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omments42.xml" ContentType="application/vnd.openxmlformats-officedocument.spreadsheetml.comments+xml"/>
  <Override PartName="/xl/comments43.xml" ContentType="application/vnd.openxmlformats-officedocument.spreadsheetml.comments+xml"/>
  <Override PartName="/xl/comments44.xml" ContentType="application/vnd.openxmlformats-officedocument.spreadsheetml.comments+xml"/>
  <Override PartName="/xl/comments45.xml" ContentType="application/vnd.openxmlformats-officedocument.spreadsheetml.comments+xml"/>
  <Override PartName="/xl/comments46.xml" ContentType="application/vnd.openxmlformats-officedocument.spreadsheetml.comments+xml"/>
  <Override PartName="/xl/comments47.xml" ContentType="application/vnd.openxmlformats-officedocument.spreadsheetml.comments+xml"/>
  <Override PartName="/xl/comments48.xml" ContentType="application/vnd.openxmlformats-officedocument.spreadsheetml.comments+xml"/>
  <Override PartName="/xl/comments49.xml" ContentType="application/vnd.openxmlformats-officedocument.spreadsheetml.comments+xml"/>
  <Override PartName="/xl/comments50.xml" ContentType="application/vnd.openxmlformats-officedocument.spreadsheetml.comments+xml"/>
  <Override PartName="/xl/comments51.xml" ContentType="application/vnd.openxmlformats-officedocument.spreadsheetml.comments+xml"/>
  <Override PartName="/xl/comments52.xml" ContentType="application/vnd.openxmlformats-officedocument.spreadsheetml.comments+xml"/>
  <Override PartName="/xl/comments5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heckCompatibility="1" defaultThemeVersion="124226"/>
  <bookViews>
    <workbookView xWindow="14655" yWindow="1470" windowWidth="14145" windowHeight="11325" tabRatio="772" firstSheet="1" activeTab="1"/>
  </bookViews>
  <sheets>
    <sheet name="3.1" sheetId="1" state="hidden" r:id="rId1"/>
    <sheet name="Показатели ТСО 3.1-КТЭЦ" sheetId="57" r:id="rId2"/>
    <sheet name="Показатели ТСО 3.1. котельн." sheetId="183" r:id="rId3"/>
    <sheet name="4.1 (свод)" sheetId="69" r:id="rId4"/>
    <sheet name="4.1_ПП_КТЭЦ" sheetId="39" state="hidden" r:id="rId5"/>
    <sheet name="4.1_КТЭЦ" sheetId="3" r:id="rId6"/>
    <sheet name="4.1_котельные" sheetId="70" r:id="rId7"/>
    <sheet name="4.1_ПП_котельн." sheetId="71" state="hidden" r:id="rId8"/>
    <sheet name="4.2_КТЭЦ" sheetId="4" r:id="rId9"/>
    <sheet name="4.2_котельные" sheetId="73" r:id="rId10"/>
    <sheet name="4.3_свод" sheetId="113" r:id="rId11"/>
    <sheet name="4.3_КТЭЦ" sheetId="114" r:id="rId12"/>
    <sheet name="4.3_котельные" sheetId="116" r:id="rId13"/>
    <sheet name="4.3ПП_КТЭЦ" sheetId="27" state="hidden" r:id="rId14"/>
    <sheet name="4.4" sheetId="6" state="hidden" r:id="rId15"/>
    <sheet name="4.5" sheetId="7" state="hidden" r:id="rId16"/>
    <sheet name="4.3ПП_котельн." sheetId="76" state="hidden" r:id="rId17"/>
    <sheet name=" 4.4-свод_тепло" sheetId="123" r:id="rId18"/>
    <sheet name=" 4.4-КТЭЦ_комбинир." sheetId="117" r:id="rId19"/>
    <sheet name=" 4.4-котельные" sheetId="120" r:id="rId20"/>
    <sheet name="4.5 - свод" sheetId="124" r:id="rId21"/>
    <sheet name="4.6_свод" sheetId="81" r:id="rId22"/>
    <sheet name="4.6_генерация (свод)" sheetId="82" r:id="rId23"/>
    <sheet name="4.6_транзит+сбыт (свод)" sheetId="179" r:id="rId24"/>
    <sheet name="4.6_транзит (свод)" sheetId="83" state="hidden" r:id="rId25"/>
    <sheet name="4.6_сбыт (свод)" sheetId="84" state="hidden" r:id="rId26"/>
    <sheet name="4.6_КТЭЦ свод с косв." sheetId="177" r:id="rId27"/>
    <sheet name="4.6_КТЭЦ свод" sheetId="8" state="hidden" r:id="rId28"/>
    <sheet name="4.6_генерация_КТЭЦ с косв." sheetId="171" r:id="rId29"/>
    <sheet name="4.6_генерация_КТЭЦ" sheetId="28" state="hidden" r:id="rId30"/>
    <sheet name="4.6_транзит+сбыт_КТЭЦ с косв." sheetId="176" r:id="rId31"/>
    <sheet name="4.6_транзит+сбыт_КТЭЦ" sheetId="175" state="hidden" r:id="rId32"/>
    <sheet name="4.6_транзит_КТЭЦ с косв." sheetId="172" state="hidden" r:id="rId33"/>
    <sheet name="4.6_транзит_КТЭЦ" sheetId="29" state="hidden" r:id="rId34"/>
    <sheet name="4.6_сбыт_КТЭЦ с косв." sheetId="173" state="hidden" r:id="rId35"/>
    <sheet name="4.6_сбыт_КТЭЦ" sheetId="30" state="hidden" r:id="rId36"/>
    <sheet name="4.7" sheetId="9" state="hidden" r:id="rId37"/>
    <sheet name="4.8" sheetId="10" state="hidden" r:id="rId38"/>
    <sheet name="4.6_косв." sheetId="174" state="hidden" r:id="rId39"/>
    <sheet name="4.6_котельные" sheetId="85" r:id="rId40"/>
    <sheet name="4.6_генерация_котельн." sheetId="86" r:id="rId41"/>
    <sheet name="4.6_транзит+сбыт_котельн." sheetId="178" r:id="rId42"/>
    <sheet name="4.6_транзит_котельн." sheetId="87" state="hidden" r:id="rId43"/>
    <sheet name="4.6_сбыт_котельн." sheetId="88" state="hidden" r:id="rId44"/>
    <sheet name="4. 7_КТЭЦ" sheetId="66" r:id="rId45"/>
    <sheet name="4. 7_котельн." sheetId="126" r:id="rId46"/>
    <sheet name="4.8 - КТЭЦ" sheetId="58" r:id="rId47"/>
    <sheet name="4.8 - котельн." sheetId="127" r:id="rId48"/>
    <sheet name="4.9_свод " sheetId="93" r:id="rId49"/>
    <sheet name="4.9_пр-во (свод)" sheetId="94" r:id="rId50"/>
    <sheet name="4.9_транзит+сбыт (свод)" sheetId="167" r:id="rId51"/>
    <sheet name="4.9_транзит (свод)" sheetId="95" state="hidden" r:id="rId52"/>
    <sheet name="4.9_сбыт (свод)" sheetId="96" state="hidden" r:id="rId53"/>
    <sheet name="4.9_свод КТЭЦ" sheetId="59" r:id="rId54"/>
    <sheet name="4.9_пр-во КТЭЦ" sheetId="60" r:id="rId55"/>
    <sheet name="4.9_транзит+сбыт (КТЭЦ)" sheetId="168" r:id="rId56"/>
    <sheet name="4.9_транзит КТЭЦ " sheetId="61" state="hidden" r:id="rId57"/>
    <sheet name="4.9_сбыт КТЭЦ  " sheetId="62" state="hidden" r:id="rId58"/>
    <sheet name="4.9_свод ККЭ" sheetId="97" r:id="rId59"/>
    <sheet name="4.9_пр-во ККЭ" sheetId="98" r:id="rId60"/>
    <sheet name="4.9_транзит+сбыт (ККЭ)" sheetId="169" r:id="rId61"/>
    <sheet name="4.9_транзит ККЭ" sheetId="99" state="hidden" r:id="rId62"/>
    <sheet name="4.9_сбыт ККЭ" sheetId="100" state="hidden" r:id="rId63"/>
    <sheet name="4.10_свод " sheetId="101" r:id="rId64"/>
    <sheet name="4.10_пр-во (свод)" sheetId="102" r:id="rId65"/>
    <sheet name="4.10_транзит+сбыт (свод)" sheetId="182" r:id="rId66"/>
    <sheet name="4.10_транзит (свод)" sheetId="103" state="hidden" r:id="rId67"/>
    <sheet name="4.10_сбыт (свод)" sheetId="104" state="hidden" r:id="rId68"/>
    <sheet name="4.10_свод_КТЭЦ" sheetId="50" r:id="rId69"/>
    <sheet name="4.10_пр-во_КТЭЦ" sheetId="12" r:id="rId70"/>
    <sheet name="4.10_транзит+сбыт_КТЭЦ" sheetId="180" r:id="rId71"/>
    <sheet name="4.10_транзит_КТЭЦ" sheetId="35" state="hidden" r:id="rId72"/>
    <sheet name="4.10_сбыт_КТЭЦ" sheetId="36" state="hidden" r:id="rId73"/>
    <sheet name="4.10_свод_котельн." sheetId="105" r:id="rId74"/>
    <sheet name="4.10_пр-во_котельн." sheetId="106" r:id="rId75"/>
    <sheet name="4.10_транзит+сбыт_котельн." sheetId="181" r:id="rId76"/>
    <sheet name="4.10_транзит_котельн." sheetId="107" state="hidden" r:id="rId77"/>
    <sheet name="4.10_сбыт_котельн." sheetId="108" state="hidden" r:id="rId78"/>
    <sheet name="4.10_косв." sheetId="212" state="hidden" r:id="rId79"/>
    <sheet name="4.11 (свод)" sheetId="109" r:id="rId80"/>
    <sheet name="4.11_КТЭЦ" sheetId="13" r:id="rId81"/>
    <sheet name="4.11_котельные" sheetId="110" state="hidden" r:id="rId82"/>
    <sheet name="4.12 (свод)" sheetId="111" r:id="rId83"/>
    <sheet name="4.12_КТЭЦ" sheetId="14" r:id="rId84"/>
    <sheet name="4.12_котельные" sheetId="112" state="hidden" r:id="rId85"/>
    <sheet name="4.13" sheetId="15" state="hidden" r:id="rId86"/>
    <sheet name="4.14" sheetId="16" state="hidden" r:id="rId87"/>
    <sheet name="4.15" sheetId="17" state="hidden" r:id="rId88"/>
    <sheet name="Исходные данные_КТЭЦ" sheetId="185" state="hidden" r:id="rId89"/>
    <sheet name="Исходные данные_котельн" sheetId="186" state="hidden" r:id="rId90"/>
    <sheet name="Исходные данные_КТЭЦ+котельн" sheetId="198" state="hidden" r:id="rId91"/>
    <sheet name="5.1_свод_КТЭЦ" sheetId="128" r:id="rId92"/>
    <sheet name="5.1_пр-во КТЭЦ" sheetId="129" r:id="rId93"/>
    <sheet name="5.1_передача КТЭЦ" sheetId="130" r:id="rId94"/>
    <sheet name="5.1_свод_котельные" sheetId="187" r:id="rId95"/>
    <sheet name="5.1_пр-во котельные" sheetId="188" r:id="rId96"/>
    <sheet name="5.1_передача котельные" sheetId="189" r:id="rId97"/>
    <sheet name="5.1_свод_КТЭЦ+котельн" sheetId="199" r:id="rId98"/>
    <sheet name="5.1_пр-во КТЭЦ+котельн" sheetId="200" r:id="rId99"/>
    <sheet name="5.1_передача КТЭЦ+котельн" sheetId="201" r:id="rId100"/>
    <sheet name="5.2_пр-во КТЭЦ" sheetId="131" r:id="rId101"/>
    <sheet name="5.2_передача КТЭЦ" sheetId="132" r:id="rId102"/>
    <sheet name="5.2_пр-во котельные" sheetId="190" r:id="rId103"/>
    <sheet name="5.2_передача котельные" sheetId="191" r:id="rId104"/>
    <sheet name="5.2_свод КТЭЦ+котельн" sheetId="215" r:id="rId105"/>
    <sheet name="5.2_пр-во КТЭЦ+котельн" sheetId="202" r:id="rId106"/>
    <sheet name="5.2_передача КТЭЦ+котельн" sheetId="203" r:id="rId107"/>
    <sheet name="5.3_КТЭЦ" sheetId="133" r:id="rId108"/>
    <sheet name="5.3_пр-во КТЭЦ" sheetId="134" r:id="rId109"/>
    <sheet name="5.3_передача КТЭЦ" sheetId="135" r:id="rId110"/>
    <sheet name="5.3_котельные" sheetId="192" r:id="rId111"/>
    <sheet name="5.3_пр-во котельные" sheetId="193" r:id="rId112"/>
    <sheet name="5.3_передача котельные" sheetId="194" r:id="rId113"/>
    <sheet name="5.3_КТЭЦ+котельн" sheetId="204" r:id="rId114"/>
    <sheet name="5.3_КТЭЦ+котельн_пр" sheetId="208" r:id="rId115"/>
    <sheet name="5.3_КТЭЦ+котельн_пер" sheetId="209" r:id="rId116"/>
    <sheet name="5.4_КТЭЦ" sheetId="136" r:id="rId117"/>
    <sheet name="5.4_пр-во КТЭЦ" sheetId="137" r:id="rId118"/>
    <sheet name="5.4_передача КТЭЦ" sheetId="138" r:id="rId119"/>
    <sheet name="5.5" sheetId="139" state="hidden" r:id="rId120"/>
    <sheet name="5.6" sheetId="140" state="hidden" r:id="rId121"/>
    <sheet name="5.7" sheetId="141" state="hidden" r:id="rId122"/>
    <sheet name="5.4_котельные" sheetId="195" r:id="rId123"/>
    <sheet name="5.4_пр-во котельные" sheetId="196" r:id="rId124"/>
    <sheet name="5.4_передача котельные" sheetId="197" r:id="rId125"/>
    <sheet name="5.4_КТЭЦ+котельн" sheetId="205" r:id="rId126"/>
    <sheet name="5.4_КТЭЦ+котельн_пр" sheetId="210" r:id="rId127"/>
    <sheet name="5.4_КТЭЦ+котельн_пер" sheetId="211" r:id="rId128"/>
    <sheet name="5.9_КТЭЦ" sheetId="142" r:id="rId129"/>
    <sheet name="5.9_котельные" sheetId="143" r:id="rId130"/>
    <sheet name="5.9_КТЭЦ+котельн" sheetId="206" r:id="rId131"/>
    <sheet name="6.1_генерация (свод)" sheetId="144" state="hidden" r:id="rId132"/>
    <sheet name="6.1_генерация (КТЭЦ)" sheetId="145" state="hidden" r:id="rId133"/>
    <sheet name="6.1_генерация (котельн) " sheetId="146" state="hidden" r:id="rId134"/>
    <sheet name="6.2_передача (свод)" sheetId="149" state="hidden" r:id="rId135"/>
    <sheet name="6.2_передача (КТЭЦ)" sheetId="147" state="hidden" r:id="rId136"/>
    <sheet name="6.2_передача (котельн)" sheetId="148" state="hidden" r:id="rId137"/>
    <sheet name="6.3_потери (свод)" sheetId="162" state="hidden" r:id="rId138"/>
    <sheet name="6.3_потери (КТЭЦ)" sheetId="150" state="hidden" r:id="rId139"/>
    <sheet name="6.3_потери (котельн)" sheetId="151" state="hidden" r:id="rId140"/>
    <sheet name="6.4_потребителям (свод)" sheetId="155" state="hidden" r:id="rId141"/>
    <sheet name="6.4_потребителям (КТЭЦ)" sheetId="153" state="hidden" r:id="rId142"/>
    <sheet name="6.4_потребителям (котельн)" sheetId="154" state="hidden" r:id="rId143"/>
    <sheet name="6.5_передача (свод)" sheetId="165" state="hidden" r:id="rId144"/>
    <sheet name="6.5_передача (КТЭЦ)" sheetId="163" state="hidden" r:id="rId145"/>
    <sheet name="6.5_передача (котельн)" sheetId="164" state="hidden" r:id="rId146"/>
    <sheet name="Вспом. расчеты_теплонос. (2016)" sheetId="207" state="hidden" r:id="rId147"/>
    <sheet name="Вспом. расчеты_теплонос.(2017)" sheetId="184" state="hidden" r:id="rId148"/>
    <sheet name="6.6_теплонос.тэц-1_1 контур" sheetId="63" state="hidden" r:id="rId149"/>
    <sheet name="6.6_теплонос.тэц-2_1 контур" sheetId="64" state="hidden" r:id="rId150"/>
    <sheet name="6.6_теплонос.ктэц_1 контур" sheetId="214" r:id="rId151"/>
    <sheet name="6.7_теплонос._1 контур" sheetId="65" r:id="rId152"/>
    <sheet name="6.6_теплонос.ктэц_2 контур" sheetId="156" r:id="rId153"/>
    <sheet name="6.6_теплонос.котельн_2 контур" sheetId="157" r:id="rId154"/>
    <sheet name="6.7_теплонос._2 контур" sheetId="158" r:id="rId155"/>
    <sheet name="6.8_ГВСоткр_1 контур" sheetId="25" r:id="rId156"/>
    <sheet name="6.8_ГВСоткр_свод_2 контур" sheetId="161" r:id="rId157"/>
    <sheet name="6.8_ГВСоткр_КТЭЦ_2 контур" sheetId="159" r:id="rId158"/>
    <sheet name="6.8_ГВСоткр_котельн_2 контур" sheetId="160" r:id="rId159"/>
    <sheet name="усл. ед. тепло" sheetId="166" state="hidden" r:id="rId160"/>
  </sheets>
  <externalReferences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</externalReferences>
  <definedNames>
    <definedName name="\a" localSheetId="19">#REF!</definedName>
    <definedName name="\a" localSheetId="18">#REF!</definedName>
    <definedName name="\a" localSheetId="17">#REF!</definedName>
    <definedName name="\a" localSheetId="45">#REF!</definedName>
    <definedName name="\a" localSheetId="44">#REF!</definedName>
    <definedName name="\a" localSheetId="3">#REF!</definedName>
    <definedName name="\a" localSheetId="78">#REF!</definedName>
    <definedName name="\a" localSheetId="63">#REF!</definedName>
    <definedName name="\a" localSheetId="73">#REF!</definedName>
    <definedName name="\a" localSheetId="68">#REF!</definedName>
    <definedName name="\a" localSheetId="65">#REF!</definedName>
    <definedName name="\a" localSheetId="75">#REF!</definedName>
    <definedName name="\a" localSheetId="70">#REF!</definedName>
    <definedName name="\a" localSheetId="79">#REF!</definedName>
    <definedName name="\a" localSheetId="82">#REF!</definedName>
    <definedName name="\a" localSheetId="12">#REF!</definedName>
    <definedName name="\a" localSheetId="11">#REF!</definedName>
    <definedName name="\a" localSheetId="20">#REF!</definedName>
    <definedName name="\a" localSheetId="28">#REF!</definedName>
    <definedName name="\a" localSheetId="38">#REF!</definedName>
    <definedName name="\a" localSheetId="26">#REF!</definedName>
    <definedName name="\a" localSheetId="34">#REF!</definedName>
    <definedName name="\a" localSheetId="32">#REF!</definedName>
    <definedName name="\a" localSheetId="23">#REF!</definedName>
    <definedName name="\a" localSheetId="41">#REF!</definedName>
    <definedName name="\a" localSheetId="31">#REF!</definedName>
    <definedName name="\a" localSheetId="30">#REF!</definedName>
    <definedName name="\a" localSheetId="47">#REF!</definedName>
    <definedName name="\a" localSheetId="52">#REF!</definedName>
    <definedName name="\a" localSheetId="62">#REF!</definedName>
    <definedName name="\a" localSheetId="57">#REF!</definedName>
    <definedName name="\a" localSheetId="48">#REF!</definedName>
    <definedName name="\a" localSheetId="58">#REF!</definedName>
    <definedName name="\a" localSheetId="53">#REF!</definedName>
    <definedName name="\a" localSheetId="51">#REF!</definedName>
    <definedName name="\a" localSheetId="61">#REF!</definedName>
    <definedName name="\a" localSheetId="56">#REF!</definedName>
    <definedName name="\a" localSheetId="60">#REF!</definedName>
    <definedName name="\a" localSheetId="55">#REF!</definedName>
    <definedName name="\a" localSheetId="50">#REF!</definedName>
    <definedName name="\a" localSheetId="96">#REF!</definedName>
    <definedName name="\a" localSheetId="93">#REF!</definedName>
    <definedName name="\a" localSheetId="99">#REF!</definedName>
    <definedName name="\a" localSheetId="95">#REF!</definedName>
    <definedName name="\a" localSheetId="92">#REF!</definedName>
    <definedName name="\a" localSheetId="98">#REF!</definedName>
    <definedName name="\a" localSheetId="94">#REF!</definedName>
    <definedName name="\a" localSheetId="91">#REF!</definedName>
    <definedName name="\a" localSheetId="97">#REF!</definedName>
    <definedName name="\a" localSheetId="103">#REF!</definedName>
    <definedName name="\a" localSheetId="101">#REF!</definedName>
    <definedName name="\a" localSheetId="106">#REF!</definedName>
    <definedName name="\a" localSheetId="102">#REF!</definedName>
    <definedName name="\a" localSheetId="100">#REF!</definedName>
    <definedName name="\a" localSheetId="105">#REF!</definedName>
    <definedName name="\a" localSheetId="104">#REF!</definedName>
    <definedName name="\a" localSheetId="110">#REF!</definedName>
    <definedName name="\a" localSheetId="107">#REF!</definedName>
    <definedName name="\a" localSheetId="113">#REF!</definedName>
    <definedName name="\a" localSheetId="115">#REF!</definedName>
    <definedName name="\a" localSheetId="114">#REF!</definedName>
    <definedName name="\a" localSheetId="112">#REF!</definedName>
    <definedName name="\a" localSheetId="109">#REF!</definedName>
    <definedName name="\a" localSheetId="111">#REF!</definedName>
    <definedName name="\a" localSheetId="108">#REF!</definedName>
    <definedName name="\a" localSheetId="122">#REF!</definedName>
    <definedName name="\a" localSheetId="116">#REF!</definedName>
    <definedName name="\a" localSheetId="125">#REF!</definedName>
    <definedName name="\a" localSheetId="127">#REF!</definedName>
    <definedName name="\a" localSheetId="126">#REF!</definedName>
    <definedName name="\a" localSheetId="124">#REF!</definedName>
    <definedName name="\a" localSheetId="118">#REF!</definedName>
    <definedName name="\a" localSheetId="123">#REF!</definedName>
    <definedName name="\a" localSheetId="117">#REF!</definedName>
    <definedName name="\a" localSheetId="119">#REF!</definedName>
    <definedName name="\a" localSheetId="120">#REF!</definedName>
    <definedName name="\a" localSheetId="121">#REF!</definedName>
    <definedName name="\a" localSheetId="129">#REF!</definedName>
    <definedName name="\a" localSheetId="128">#REF!</definedName>
    <definedName name="\a" localSheetId="130">#REF!</definedName>
    <definedName name="\a" localSheetId="133">#REF!</definedName>
    <definedName name="\a" localSheetId="132">#REF!</definedName>
    <definedName name="\a" localSheetId="136">#REF!</definedName>
    <definedName name="\a" localSheetId="134">#REF!</definedName>
    <definedName name="\a" localSheetId="139">#REF!</definedName>
    <definedName name="\a" localSheetId="137">#REF!</definedName>
    <definedName name="\a" localSheetId="142">#REF!</definedName>
    <definedName name="\a" localSheetId="141">#REF!</definedName>
    <definedName name="\a" localSheetId="140">#REF!</definedName>
    <definedName name="\a" localSheetId="145">#REF!</definedName>
    <definedName name="\a" localSheetId="144">#REF!</definedName>
    <definedName name="\a" localSheetId="143">#REF!</definedName>
    <definedName name="\a" localSheetId="150">#REF!</definedName>
    <definedName name="\a" localSheetId="158">#REF!</definedName>
    <definedName name="\a" localSheetId="157">#REF!</definedName>
    <definedName name="\a" localSheetId="156">#REF!</definedName>
    <definedName name="\a" localSheetId="146">#REF!</definedName>
    <definedName name="\a" localSheetId="89">#REF!</definedName>
    <definedName name="\a" localSheetId="90">#REF!</definedName>
    <definedName name="\a" localSheetId="2">#REF!</definedName>
    <definedName name="\a">#REF!</definedName>
    <definedName name="\m" localSheetId="19">#REF!</definedName>
    <definedName name="\m" localSheetId="18">#REF!</definedName>
    <definedName name="\m" localSheetId="17">#REF!</definedName>
    <definedName name="\m" localSheetId="45">#REF!</definedName>
    <definedName name="\m" localSheetId="44">#REF!</definedName>
    <definedName name="\m" localSheetId="3">#REF!</definedName>
    <definedName name="\m" localSheetId="78">#REF!</definedName>
    <definedName name="\m" localSheetId="63">#REF!</definedName>
    <definedName name="\m" localSheetId="73">#REF!</definedName>
    <definedName name="\m" localSheetId="68">#REF!</definedName>
    <definedName name="\m" localSheetId="65">#REF!</definedName>
    <definedName name="\m" localSheetId="75">#REF!</definedName>
    <definedName name="\m" localSheetId="70">#REF!</definedName>
    <definedName name="\m" localSheetId="79">#REF!</definedName>
    <definedName name="\m" localSheetId="82">#REF!</definedName>
    <definedName name="\m" localSheetId="12">#REF!</definedName>
    <definedName name="\m" localSheetId="11">#REF!</definedName>
    <definedName name="\m" localSheetId="28">#REF!</definedName>
    <definedName name="\m" localSheetId="38">#REF!</definedName>
    <definedName name="\m" localSheetId="26">#REF!</definedName>
    <definedName name="\m" localSheetId="34">#REF!</definedName>
    <definedName name="\m" localSheetId="32">#REF!</definedName>
    <definedName name="\m" localSheetId="23">#REF!</definedName>
    <definedName name="\m" localSheetId="41">#REF!</definedName>
    <definedName name="\m" localSheetId="31">#REF!</definedName>
    <definedName name="\m" localSheetId="30">#REF!</definedName>
    <definedName name="\m" localSheetId="47">#REF!</definedName>
    <definedName name="\m" localSheetId="52">#REF!</definedName>
    <definedName name="\m" localSheetId="62">#REF!</definedName>
    <definedName name="\m" localSheetId="57">#REF!</definedName>
    <definedName name="\m" localSheetId="48">#REF!</definedName>
    <definedName name="\m" localSheetId="58">#REF!</definedName>
    <definedName name="\m" localSheetId="53">#REF!</definedName>
    <definedName name="\m" localSheetId="51">#REF!</definedName>
    <definedName name="\m" localSheetId="61">#REF!</definedName>
    <definedName name="\m" localSheetId="56">#REF!</definedName>
    <definedName name="\m" localSheetId="60">#REF!</definedName>
    <definedName name="\m" localSheetId="55">#REF!</definedName>
    <definedName name="\m" localSheetId="50">#REF!</definedName>
    <definedName name="\m" localSheetId="96">#REF!</definedName>
    <definedName name="\m" localSheetId="93">#REF!</definedName>
    <definedName name="\m" localSheetId="99">#REF!</definedName>
    <definedName name="\m" localSheetId="95">#REF!</definedName>
    <definedName name="\m" localSheetId="92">#REF!</definedName>
    <definedName name="\m" localSheetId="98">#REF!</definedName>
    <definedName name="\m" localSheetId="94">#REF!</definedName>
    <definedName name="\m" localSheetId="91">#REF!</definedName>
    <definedName name="\m" localSheetId="97">#REF!</definedName>
    <definedName name="\m" localSheetId="103">#REF!</definedName>
    <definedName name="\m" localSheetId="101">#REF!</definedName>
    <definedName name="\m" localSheetId="106">#REF!</definedName>
    <definedName name="\m" localSheetId="102">#REF!</definedName>
    <definedName name="\m" localSheetId="100">#REF!</definedName>
    <definedName name="\m" localSheetId="105">#REF!</definedName>
    <definedName name="\m" localSheetId="104">#REF!</definedName>
    <definedName name="\m" localSheetId="110">#REF!</definedName>
    <definedName name="\m" localSheetId="107">#REF!</definedName>
    <definedName name="\m" localSheetId="113">#REF!</definedName>
    <definedName name="\m" localSheetId="115">#REF!</definedName>
    <definedName name="\m" localSheetId="114">#REF!</definedName>
    <definedName name="\m" localSheetId="112">#REF!</definedName>
    <definedName name="\m" localSheetId="109">#REF!</definedName>
    <definedName name="\m" localSheetId="111">#REF!</definedName>
    <definedName name="\m" localSheetId="108">#REF!</definedName>
    <definedName name="\m" localSheetId="122">#REF!</definedName>
    <definedName name="\m" localSheetId="116">#REF!</definedName>
    <definedName name="\m" localSheetId="125">#REF!</definedName>
    <definedName name="\m" localSheetId="127">#REF!</definedName>
    <definedName name="\m" localSheetId="126">#REF!</definedName>
    <definedName name="\m" localSheetId="124">#REF!</definedName>
    <definedName name="\m" localSheetId="118">#REF!</definedName>
    <definedName name="\m" localSheetId="123">#REF!</definedName>
    <definedName name="\m" localSheetId="117">#REF!</definedName>
    <definedName name="\m" localSheetId="119">#REF!</definedName>
    <definedName name="\m" localSheetId="120">#REF!</definedName>
    <definedName name="\m" localSheetId="121">#REF!</definedName>
    <definedName name="\m" localSheetId="129">#REF!</definedName>
    <definedName name="\m" localSheetId="128">#REF!</definedName>
    <definedName name="\m" localSheetId="130">#REF!</definedName>
    <definedName name="\m" localSheetId="133">#REF!</definedName>
    <definedName name="\m" localSheetId="132">#REF!</definedName>
    <definedName name="\m" localSheetId="136">#REF!</definedName>
    <definedName name="\m" localSheetId="134">#REF!</definedName>
    <definedName name="\m" localSheetId="139">#REF!</definedName>
    <definedName name="\m" localSheetId="137">#REF!</definedName>
    <definedName name="\m" localSheetId="142">#REF!</definedName>
    <definedName name="\m" localSheetId="141">#REF!</definedName>
    <definedName name="\m" localSheetId="140">#REF!</definedName>
    <definedName name="\m" localSheetId="145">#REF!</definedName>
    <definedName name="\m" localSheetId="144">#REF!</definedName>
    <definedName name="\m" localSheetId="143">#REF!</definedName>
    <definedName name="\m" localSheetId="150">#REF!</definedName>
    <definedName name="\m" localSheetId="158">#REF!</definedName>
    <definedName name="\m" localSheetId="157">#REF!</definedName>
    <definedName name="\m" localSheetId="156">#REF!</definedName>
    <definedName name="\m" localSheetId="146">#REF!</definedName>
    <definedName name="\m" localSheetId="89">#REF!</definedName>
    <definedName name="\m" localSheetId="90">#REF!</definedName>
    <definedName name="\m" localSheetId="2">#REF!</definedName>
    <definedName name="\m">#REF!</definedName>
    <definedName name="\n" localSheetId="19">#REF!</definedName>
    <definedName name="\n" localSheetId="18">#REF!</definedName>
    <definedName name="\n" localSheetId="17">#REF!</definedName>
    <definedName name="\n" localSheetId="45">#REF!</definedName>
    <definedName name="\n" localSheetId="44">#REF!</definedName>
    <definedName name="\n" localSheetId="3">#REF!</definedName>
    <definedName name="\n" localSheetId="78">#REF!</definedName>
    <definedName name="\n" localSheetId="63">#REF!</definedName>
    <definedName name="\n" localSheetId="73">#REF!</definedName>
    <definedName name="\n" localSheetId="68">#REF!</definedName>
    <definedName name="\n" localSheetId="65">#REF!</definedName>
    <definedName name="\n" localSheetId="75">#REF!</definedName>
    <definedName name="\n" localSheetId="70">#REF!</definedName>
    <definedName name="\n" localSheetId="79">#REF!</definedName>
    <definedName name="\n" localSheetId="82">#REF!</definedName>
    <definedName name="\n" localSheetId="12">#REF!</definedName>
    <definedName name="\n" localSheetId="11">#REF!</definedName>
    <definedName name="\n" localSheetId="28">#REF!</definedName>
    <definedName name="\n" localSheetId="38">#REF!</definedName>
    <definedName name="\n" localSheetId="26">#REF!</definedName>
    <definedName name="\n" localSheetId="34">#REF!</definedName>
    <definedName name="\n" localSheetId="32">#REF!</definedName>
    <definedName name="\n" localSheetId="23">#REF!</definedName>
    <definedName name="\n" localSheetId="41">#REF!</definedName>
    <definedName name="\n" localSheetId="31">#REF!</definedName>
    <definedName name="\n" localSheetId="30">#REF!</definedName>
    <definedName name="\n" localSheetId="47">#REF!</definedName>
    <definedName name="\n" localSheetId="52">#REF!</definedName>
    <definedName name="\n" localSheetId="62">#REF!</definedName>
    <definedName name="\n" localSheetId="57">#REF!</definedName>
    <definedName name="\n" localSheetId="48">#REF!</definedName>
    <definedName name="\n" localSheetId="58">#REF!</definedName>
    <definedName name="\n" localSheetId="53">#REF!</definedName>
    <definedName name="\n" localSheetId="51">#REF!</definedName>
    <definedName name="\n" localSheetId="61">#REF!</definedName>
    <definedName name="\n" localSheetId="56">#REF!</definedName>
    <definedName name="\n" localSheetId="60">#REF!</definedName>
    <definedName name="\n" localSheetId="55">#REF!</definedName>
    <definedName name="\n" localSheetId="50">#REF!</definedName>
    <definedName name="\n" localSheetId="96">#REF!</definedName>
    <definedName name="\n" localSheetId="93">#REF!</definedName>
    <definedName name="\n" localSheetId="99">#REF!</definedName>
    <definedName name="\n" localSheetId="95">#REF!</definedName>
    <definedName name="\n" localSheetId="92">#REF!</definedName>
    <definedName name="\n" localSheetId="98">#REF!</definedName>
    <definedName name="\n" localSheetId="94">#REF!</definedName>
    <definedName name="\n" localSheetId="91">#REF!</definedName>
    <definedName name="\n" localSheetId="97">#REF!</definedName>
    <definedName name="\n" localSheetId="103">#REF!</definedName>
    <definedName name="\n" localSheetId="101">#REF!</definedName>
    <definedName name="\n" localSheetId="106">#REF!</definedName>
    <definedName name="\n" localSheetId="102">#REF!</definedName>
    <definedName name="\n" localSheetId="100">#REF!</definedName>
    <definedName name="\n" localSheetId="105">#REF!</definedName>
    <definedName name="\n" localSheetId="104">#REF!</definedName>
    <definedName name="\n" localSheetId="110">#REF!</definedName>
    <definedName name="\n" localSheetId="107">#REF!</definedName>
    <definedName name="\n" localSheetId="113">#REF!</definedName>
    <definedName name="\n" localSheetId="115">#REF!</definedName>
    <definedName name="\n" localSheetId="114">#REF!</definedName>
    <definedName name="\n" localSheetId="112">#REF!</definedName>
    <definedName name="\n" localSheetId="109">#REF!</definedName>
    <definedName name="\n" localSheetId="111">#REF!</definedName>
    <definedName name="\n" localSheetId="108">#REF!</definedName>
    <definedName name="\n" localSheetId="122">#REF!</definedName>
    <definedName name="\n" localSheetId="116">#REF!</definedName>
    <definedName name="\n" localSheetId="125">#REF!</definedName>
    <definedName name="\n" localSheetId="127">#REF!</definedName>
    <definedName name="\n" localSheetId="126">#REF!</definedName>
    <definedName name="\n" localSheetId="124">#REF!</definedName>
    <definedName name="\n" localSheetId="118">#REF!</definedName>
    <definedName name="\n" localSheetId="123">#REF!</definedName>
    <definedName name="\n" localSheetId="117">#REF!</definedName>
    <definedName name="\n" localSheetId="119">#REF!</definedName>
    <definedName name="\n" localSheetId="120">#REF!</definedName>
    <definedName name="\n" localSheetId="121">#REF!</definedName>
    <definedName name="\n" localSheetId="129">#REF!</definedName>
    <definedName name="\n" localSheetId="128">#REF!</definedName>
    <definedName name="\n" localSheetId="130">#REF!</definedName>
    <definedName name="\n" localSheetId="133">#REF!</definedName>
    <definedName name="\n" localSheetId="132">#REF!</definedName>
    <definedName name="\n" localSheetId="136">#REF!</definedName>
    <definedName name="\n" localSheetId="134">#REF!</definedName>
    <definedName name="\n" localSheetId="139">#REF!</definedName>
    <definedName name="\n" localSheetId="137">#REF!</definedName>
    <definedName name="\n" localSheetId="142">#REF!</definedName>
    <definedName name="\n" localSheetId="141">#REF!</definedName>
    <definedName name="\n" localSheetId="140">#REF!</definedName>
    <definedName name="\n" localSheetId="145">#REF!</definedName>
    <definedName name="\n" localSheetId="144">#REF!</definedName>
    <definedName name="\n" localSheetId="143">#REF!</definedName>
    <definedName name="\n" localSheetId="150">#REF!</definedName>
    <definedName name="\n" localSheetId="158">#REF!</definedName>
    <definedName name="\n" localSheetId="157">#REF!</definedName>
    <definedName name="\n" localSheetId="156">#REF!</definedName>
    <definedName name="\n" localSheetId="146">#REF!</definedName>
    <definedName name="\n" localSheetId="89">#REF!</definedName>
    <definedName name="\n" localSheetId="90">#REF!</definedName>
    <definedName name="\n" localSheetId="2">#REF!</definedName>
    <definedName name="\n">#REF!</definedName>
    <definedName name="\o" localSheetId="19">#REF!</definedName>
    <definedName name="\o" localSheetId="17">#REF!</definedName>
    <definedName name="\o" localSheetId="45">#REF!</definedName>
    <definedName name="\o" localSheetId="3">#REF!</definedName>
    <definedName name="\o" localSheetId="78">#REF!</definedName>
    <definedName name="\o" localSheetId="63">#REF!</definedName>
    <definedName name="\o" localSheetId="73">#REF!</definedName>
    <definedName name="\o" localSheetId="68">#REF!</definedName>
    <definedName name="\o" localSheetId="65">#REF!</definedName>
    <definedName name="\o" localSheetId="75">#REF!</definedName>
    <definedName name="\o" localSheetId="70">#REF!</definedName>
    <definedName name="\o" localSheetId="79">#REF!</definedName>
    <definedName name="\o" localSheetId="82">#REF!</definedName>
    <definedName name="\o" localSheetId="12">#REF!</definedName>
    <definedName name="\o" localSheetId="11">#REF!</definedName>
    <definedName name="\o" localSheetId="28">#REF!</definedName>
    <definedName name="\o" localSheetId="38">#REF!</definedName>
    <definedName name="\o" localSheetId="26">#REF!</definedName>
    <definedName name="\o" localSheetId="34">#REF!</definedName>
    <definedName name="\o" localSheetId="32">#REF!</definedName>
    <definedName name="\o" localSheetId="23">#REF!</definedName>
    <definedName name="\o" localSheetId="41">#REF!</definedName>
    <definedName name="\o" localSheetId="31">#REF!</definedName>
    <definedName name="\o" localSheetId="30">#REF!</definedName>
    <definedName name="\o" localSheetId="47">#REF!</definedName>
    <definedName name="\o" localSheetId="52">#REF!</definedName>
    <definedName name="\o" localSheetId="62">#REF!</definedName>
    <definedName name="\o" localSheetId="57">#REF!</definedName>
    <definedName name="\o" localSheetId="48">#REF!</definedName>
    <definedName name="\o" localSheetId="58">#REF!</definedName>
    <definedName name="\o" localSheetId="53">#REF!</definedName>
    <definedName name="\o" localSheetId="51">#REF!</definedName>
    <definedName name="\o" localSheetId="61">#REF!</definedName>
    <definedName name="\o" localSheetId="56">#REF!</definedName>
    <definedName name="\o" localSheetId="60">#REF!</definedName>
    <definedName name="\o" localSheetId="55">#REF!</definedName>
    <definedName name="\o" localSheetId="50">#REF!</definedName>
    <definedName name="\o" localSheetId="96">#REF!</definedName>
    <definedName name="\o" localSheetId="93">#REF!</definedName>
    <definedName name="\o" localSheetId="99">#REF!</definedName>
    <definedName name="\o" localSheetId="95">#REF!</definedName>
    <definedName name="\o" localSheetId="92">#REF!</definedName>
    <definedName name="\o" localSheetId="98">#REF!</definedName>
    <definedName name="\o" localSheetId="94">#REF!</definedName>
    <definedName name="\o" localSheetId="91">#REF!</definedName>
    <definedName name="\o" localSheetId="97">#REF!</definedName>
    <definedName name="\o" localSheetId="103">#REF!</definedName>
    <definedName name="\o" localSheetId="101">#REF!</definedName>
    <definedName name="\o" localSheetId="106">#REF!</definedName>
    <definedName name="\o" localSheetId="102">#REF!</definedName>
    <definedName name="\o" localSheetId="100">#REF!</definedName>
    <definedName name="\o" localSheetId="105">#REF!</definedName>
    <definedName name="\o" localSheetId="104">#REF!</definedName>
    <definedName name="\o" localSheetId="110">#REF!</definedName>
    <definedName name="\o" localSheetId="107">#REF!</definedName>
    <definedName name="\o" localSheetId="113">#REF!</definedName>
    <definedName name="\o" localSheetId="115">#REF!</definedName>
    <definedName name="\o" localSheetId="114">#REF!</definedName>
    <definedName name="\o" localSheetId="112">#REF!</definedName>
    <definedName name="\o" localSheetId="109">#REF!</definedName>
    <definedName name="\o" localSheetId="111">#REF!</definedName>
    <definedName name="\o" localSheetId="108">#REF!</definedName>
    <definedName name="\o" localSheetId="122">#REF!</definedName>
    <definedName name="\o" localSheetId="116">#REF!</definedName>
    <definedName name="\o" localSheetId="125">#REF!</definedName>
    <definedName name="\o" localSheetId="127">#REF!</definedName>
    <definedName name="\o" localSheetId="126">#REF!</definedName>
    <definedName name="\o" localSheetId="124">#REF!</definedName>
    <definedName name="\o" localSheetId="118">#REF!</definedName>
    <definedName name="\o" localSheetId="123">#REF!</definedName>
    <definedName name="\o" localSheetId="117">#REF!</definedName>
    <definedName name="\o" localSheetId="119">#REF!</definedName>
    <definedName name="\o" localSheetId="120">#REF!</definedName>
    <definedName name="\o" localSheetId="121">#REF!</definedName>
    <definedName name="\o" localSheetId="129">#REF!</definedName>
    <definedName name="\o" localSheetId="128">#REF!</definedName>
    <definedName name="\o" localSheetId="130">#REF!</definedName>
    <definedName name="\o" localSheetId="133">#REF!</definedName>
    <definedName name="\o" localSheetId="132">#REF!</definedName>
    <definedName name="\o" localSheetId="136">#REF!</definedName>
    <definedName name="\o" localSheetId="134">#REF!</definedName>
    <definedName name="\o" localSheetId="139">#REF!</definedName>
    <definedName name="\o" localSheetId="137">#REF!</definedName>
    <definedName name="\o" localSheetId="142">#REF!</definedName>
    <definedName name="\o" localSheetId="141">#REF!</definedName>
    <definedName name="\o" localSheetId="140">#REF!</definedName>
    <definedName name="\o" localSheetId="145">#REF!</definedName>
    <definedName name="\o" localSheetId="144">#REF!</definedName>
    <definedName name="\o" localSheetId="143">#REF!</definedName>
    <definedName name="\o" localSheetId="150">#REF!</definedName>
    <definedName name="\o" localSheetId="158">#REF!</definedName>
    <definedName name="\o" localSheetId="157">#REF!</definedName>
    <definedName name="\o" localSheetId="156">#REF!</definedName>
    <definedName name="\o" localSheetId="146">#REF!</definedName>
    <definedName name="\o" localSheetId="89">#REF!</definedName>
    <definedName name="\o" localSheetId="90">#REF!</definedName>
    <definedName name="\o">#REF!</definedName>
    <definedName name="__SP1" localSheetId="19">[1]FES!#REF!</definedName>
    <definedName name="__SP1" localSheetId="18">[1]FES!#REF!</definedName>
    <definedName name="__SP1" localSheetId="17">[1]FES!#REF!</definedName>
    <definedName name="__SP1" localSheetId="45">[1]FES!#REF!</definedName>
    <definedName name="__SP1" localSheetId="44">[1]FES!#REF!</definedName>
    <definedName name="__SP1" localSheetId="3">[1]FES!#REF!</definedName>
    <definedName name="__SP1" localSheetId="78">[1]FES!#REF!</definedName>
    <definedName name="__SP1" localSheetId="63">[1]FES!#REF!</definedName>
    <definedName name="__SP1" localSheetId="73">[1]FES!#REF!</definedName>
    <definedName name="__SP1" localSheetId="68">[1]FES!#REF!</definedName>
    <definedName name="__SP1" localSheetId="65">[1]FES!#REF!</definedName>
    <definedName name="__SP1" localSheetId="75">[1]FES!#REF!</definedName>
    <definedName name="__SP1" localSheetId="70">[1]FES!#REF!</definedName>
    <definedName name="__SP1" localSheetId="79">[1]FES!#REF!</definedName>
    <definedName name="__SP1" localSheetId="82">[1]FES!#REF!</definedName>
    <definedName name="__SP1" localSheetId="12">[1]FES!#REF!</definedName>
    <definedName name="__SP1" localSheetId="11">[1]FES!#REF!</definedName>
    <definedName name="__SP1" localSheetId="20">[2]FES!#REF!</definedName>
    <definedName name="__SP1" localSheetId="28">[1]FES!#REF!</definedName>
    <definedName name="__SP1" localSheetId="38">[1]FES!#REF!</definedName>
    <definedName name="__SP1" localSheetId="26">[1]FES!#REF!</definedName>
    <definedName name="__SP1" localSheetId="34">[1]FES!#REF!</definedName>
    <definedName name="__SP1" localSheetId="32">[1]FES!#REF!</definedName>
    <definedName name="__SP1" localSheetId="23">[1]FES!#REF!</definedName>
    <definedName name="__SP1" localSheetId="41">[1]FES!#REF!</definedName>
    <definedName name="__SP1" localSheetId="31">[1]FES!#REF!</definedName>
    <definedName name="__SP1" localSheetId="30">[1]FES!#REF!</definedName>
    <definedName name="__SP1" localSheetId="47">[2]FES!#REF!</definedName>
    <definedName name="__SP1" localSheetId="46">[2]FES!#REF!</definedName>
    <definedName name="__SP1" localSheetId="52">[1]FES!#REF!</definedName>
    <definedName name="__SP1" localSheetId="62">[1]FES!#REF!</definedName>
    <definedName name="__SP1" localSheetId="57">[1]FES!#REF!</definedName>
    <definedName name="__SP1" localSheetId="48">[1]FES!#REF!</definedName>
    <definedName name="__SP1" localSheetId="58">[1]FES!#REF!</definedName>
    <definedName name="__SP1" localSheetId="53">[1]FES!#REF!</definedName>
    <definedName name="__SP1" localSheetId="51">[1]FES!#REF!</definedName>
    <definedName name="__SP1" localSheetId="61">[1]FES!#REF!</definedName>
    <definedName name="__SP1" localSheetId="56">[1]FES!#REF!</definedName>
    <definedName name="__SP1" localSheetId="60">[1]FES!#REF!</definedName>
    <definedName name="__SP1" localSheetId="55">[1]FES!#REF!</definedName>
    <definedName name="__SP1" localSheetId="50">[1]FES!#REF!</definedName>
    <definedName name="__SP1" localSheetId="96">[1]FES!#REF!</definedName>
    <definedName name="__SP1" localSheetId="93">[1]FES!#REF!</definedName>
    <definedName name="__SP1" localSheetId="99">[1]FES!#REF!</definedName>
    <definedName name="__SP1" localSheetId="95">[1]FES!#REF!</definedName>
    <definedName name="__SP1" localSheetId="92">[1]FES!#REF!</definedName>
    <definedName name="__SP1" localSheetId="98">[1]FES!#REF!</definedName>
    <definedName name="__SP1" localSheetId="94">[1]FES!#REF!</definedName>
    <definedName name="__SP1" localSheetId="91">[1]FES!#REF!</definedName>
    <definedName name="__SP1" localSheetId="97">[1]FES!#REF!</definedName>
    <definedName name="__SP1" localSheetId="103">[1]FES!#REF!</definedName>
    <definedName name="__SP1" localSheetId="101">[1]FES!#REF!</definedName>
    <definedName name="__SP1" localSheetId="106">[1]FES!#REF!</definedName>
    <definedName name="__SP1" localSheetId="102">[1]FES!#REF!</definedName>
    <definedName name="__SP1" localSheetId="100">[1]FES!#REF!</definedName>
    <definedName name="__SP1" localSheetId="105">[1]FES!#REF!</definedName>
    <definedName name="__SP1" localSheetId="104">[1]FES!#REF!</definedName>
    <definedName name="__SP1" localSheetId="110">[1]FES!#REF!</definedName>
    <definedName name="__SP1" localSheetId="107">[1]FES!#REF!</definedName>
    <definedName name="__SP1" localSheetId="113">[1]FES!#REF!</definedName>
    <definedName name="__SP1" localSheetId="115">[1]FES!#REF!</definedName>
    <definedName name="__SP1" localSheetId="114">[1]FES!#REF!</definedName>
    <definedName name="__SP1" localSheetId="112">[1]FES!#REF!</definedName>
    <definedName name="__SP1" localSheetId="109">[1]FES!#REF!</definedName>
    <definedName name="__SP1" localSheetId="111">[1]FES!#REF!</definedName>
    <definedName name="__SP1" localSheetId="108">[1]FES!#REF!</definedName>
    <definedName name="__SP1" localSheetId="122">[1]FES!#REF!</definedName>
    <definedName name="__SP1" localSheetId="116">[1]FES!#REF!</definedName>
    <definedName name="__SP1" localSheetId="125">[1]FES!#REF!</definedName>
    <definedName name="__SP1" localSheetId="127">[1]FES!#REF!</definedName>
    <definedName name="__SP1" localSheetId="126">[1]FES!#REF!</definedName>
    <definedName name="__SP1" localSheetId="124">[1]FES!#REF!</definedName>
    <definedName name="__SP1" localSheetId="118">[1]FES!#REF!</definedName>
    <definedName name="__SP1" localSheetId="123">[1]FES!#REF!</definedName>
    <definedName name="__SP1" localSheetId="117">[1]FES!#REF!</definedName>
    <definedName name="__SP1" localSheetId="119">[1]FES!#REF!</definedName>
    <definedName name="__SP1" localSheetId="120">[1]FES!#REF!</definedName>
    <definedName name="__SP1" localSheetId="121">[1]FES!#REF!</definedName>
    <definedName name="__SP1" localSheetId="129">[1]FES!#REF!</definedName>
    <definedName name="__SP1" localSheetId="128">[1]FES!#REF!</definedName>
    <definedName name="__SP1" localSheetId="130">[1]FES!#REF!</definedName>
    <definedName name="__SP1" localSheetId="133">[1]FES!#REF!</definedName>
    <definedName name="__SP1" localSheetId="132">[1]FES!#REF!</definedName>
    <definedName name="__SP1" localSheetId="136">[1]FES!#REF!</definedName>
    <definedName name="__SP1" localSheetId="134">[1]FES!#REF!</definedName>
    <definedName name="__SP1" localSheetId="139">[1]FES!#REF!</definedName>
    <definedName name="__SP1" localSheetId="137">[1]FES!#REF!</definedName>
    <definedName name="__SP1" localSheetId="142">[1]FES!#REF!</definedName>
    <definedName name="__SP1" localSheetId="141">[1]FES!#REF!</definedName>
    <definedName name="__SP1" localSheetId="140">[1]FES!#REF!</definedName>
    <definedName name="__SP1" localSheetId="145">[1]FES!#REF!</definedName>
    <definedName name="__SP1" localSheetId="143">[1]FES!#REF!</definedName>
    <definedName name="__SP1" localSheetId="150">[1]FES!#REF!</definedName>
    <definedName name="__SP1" localSheetId="158">[1]FES!#REF!</definedName>
    <definedName name="__SP1" localSheetId="157">[1]FES!#REF!</definedName>
    <definedName name="__SP1" localSheetId="156">[1]FES!#REF!</definedName>
    <definedName name="__SP1" localSheetId="146">[1]FES!#REF!</definedName>
    <definedName name="__SP1" localSheetId="89">[1]FES!#REF!</definedName>
    <definedName name="__SP1" localSheetId="90">[1]FES!#REF!</definedName>
    <definedName name="__SP1" localSheetId="2">[2]FES!#REF!</definedName>
    <definedName name="__SP1" localSheetId="1">[2]FES!#REF!</definedName>
    <definedName name="__SP1">[1]FES!#REF!</definedName>
    <definedName name="__SP10" localSheetId="19">[1]FES!#REF!</definedName>
    <definedName name="__SP10" localSheetId="18">[1]FES!#REF!</definedName>
    <definedName name="__SP10" localSheetId="17">[1]FES!#REF!</definedName>
    <definedName name="__SP10" localSheetId="45">[1]FES!#REF!</definedName>
    <definedName name="__SP10" localSheetId="44">[1]FES!#REF!</definedName>
    <definedName name="__SP10" localSheetId="3">[1]FES!#REF!</definedName>
    <definedName name="__SP10" localSheetId="78">[1]FES!#REF!</definedName>
    <definedName name="__SP10" localSheetId="63">[1]FES!#REF!</definedName>
    <definedName name="__SP10" localSheetId="73">[1]FES!#REF!</definedName>
    <definedName name="__SP10" localSheetId="68">[1]FES!#REF!</definedName>
    <definedName name="__SP10" localSheetId="65">[1]FES!#REF!</definedName>
    <definedName name="__SP10" localSheetId="75">[1]FES!#REF!</definedName>
    <definedName name="__SP10" localSheetId="70">[1]FES!#REF!</definedName>
    <definedName name="__SP10" localSheetId="79">[1]FES!#REF!</definedName>
    <definedName name="__SP10" localSheetId="82">[1]FES!#REF!</definedName>
    <definedName name="__SP10" localSheetId="12">[1]FES!#REF!</definedName>
    <definedName name="__SP10" localSheetId="11">[1]FES!#REF!</definedName>
    <definedName name="__SP10" localSheetId="20">[2]FES!#REF!</definedName>
    <definedName name="__SP10" localSheetId="28">[1]FES!#REF!</definedName>
    <definedName name="__SP10" localSheetId="38">[1]FES!#REF!</definedName>
    <definedName name="__SP10" localSheetId="26">[1]FES!#REF!</definedName>
    <definedName name="__SP10" localSheetId="34">[1]FES!#REF!</definedName>
    <definedName name="__SP10" localSheetId="32">[1]FES!#REF!</definedName>
    <definedName name="__SP10" localSheetId="23">[1]FES!#REF!</definedName>
    <definedName name="__SP10" localSheetId="41">[1]FES!#REF!</definedName>
    <definedName name="__SP10" localSheetId="31">[1]FES!#REF!</definedName>
    <definedName name="__SP10" localSheetId="30">[1]FES!#REF!</definedName>
    <definedName name="__SP10" localSheetId="47">[2]FES!#REF!</definedName>
    <definedName name="__SP10" localSheetId="46">[2]FES!#REF!</definedName>
    <definedName name="__SP10" localSheetId="52">[1]FES!#REF!</definedName>
    <definedName name="__SP10" localSheetId="62">[1]FES!#REF!</definedName>
    <definedName name="__SP10" localSheetId="57">[1]FES!#REF!</definedName>
    <definedName name="__SP10" localSheetId="48">[1]FES!#REF!</definedName>
    <definedName name="__SP10" localSheetId="58">[1]FES!#REF!</definedName>
    <definedName name="__SP10" localSheetId="53">[1]FES!#REF!</definedName>
    <definedName name="__SP10" localSheetId="51">[1]FES!#REF!</definedName>
    <definedName name="__SP10" localSheetId="61">[1]FES!#REF!</definedName>
    <definedName name="__SP10" localSheetId="56">[1]FES!#REF!</definedName>
    <definedName name="__SP10" localSheetId="60">[1]FES!#REF!</definedName>
    <definedName name="__SP10" localSheetId="55">[1]FES!#REF!</definedName>
    <definedName name="__SP10" localSheetId="50">[1]FES!#REF!</definedName>
    <definedName name="__SP10" localSheetId="96">[1]FES!#REF!</definedName>
    <definedName name="__SP10" localSheetId="93">[1]FES!#REF!</definedName>
    <definedName name="__SP10" localSheetId="99">[1]FES!#REF!</definedName>
    <definedName name="__SP10" localSheetId="95">[1]FES!#REF!</definedName>
    <definedName name="__SP10" localSheetId="92">[1]FES!#REF!</definedName>
    <definedName name="__SP10" localSheetId="98">[1]FES!#REF!</definedName>
    <definedName name="__SP10" localSheetId="94">[1]FES!#REF!</definedName>
    <definedName name="__SP10" localSheetId="91">[1]FES!#REF!</definedName>
    <definedName name="__SP10" localSheetId="97">[1]FES!#REF!</definedName>
    <definedName name="__SP10" localSheetId="103">[1]FES!#REF!</definedName>
    <definedName name="__SP10" localSheetId="101">[1]FES!#REF!</definedName>
    <definedName name="__SP10" localSheetId="106">[1]FES!#REF!</definedName>
    <definedName name="__SP10" localSheetId="102">[1]FES!#REF!</definedName>
    <definedName name="__SP10" localSheetId="100">[1]FES!#REF!</definedName>
    <definedName name="__SP10" localSheetId="105">[1]FES!#REF!</definedName>
    <definedName name="__SP10" localSheetId="104">[1]FES!#REF!</definedName>
    <definedName name="__SP10" localSheetId="110">[1]FES!#REF!</definedName>
    <definedName name="__SP10" localSheetId="107">[1]FES!#REF!</definedName>
    <definedName name="__SP10" localSheetId="113">[1]FES!#REF!</definedName>
    <definedName name="__SP10" localSheetId="115">[1]FES!#REF!</definedName>
    <definedName name="__SP10" localSheetId="114">[1]FES!#REF!</definedName>
    <definedName name="__SP10" localSheetId="112">[1]FES!#REF!</definedName>
    <definedName name="__SP10" localSheetId="109">[1]FES!#REF!</definedName>
    <definedName name="__SP10" localSheetId="111">[1]FES!#REF!</definedName>
    <definedName name="__SP10" localSheetId="108">[1]FES!#REF!</definedName>
    <definedName name="__SP10" localSheetId="122">[1]FES!#REF!</definedName>
    <definedName name="__SP10" localSheetId="116">[1]FES!#REF!</definedName>
    <definedName name="__SP10" localSheetId="125">[1]FES!#REF!</definedName>
    <definedName name="__SP10" localSheetId="127">[1]FES!#REF!</definedName>
    <definedName name="__SP10" localSheetId="126">[1]FES!#REF!</definedName>
    <definedName name="__SP10" localSheetId="124">[1]FES!#REF!</definedName>
    <definedName name="__SP10" localSheetId="118">[1]FES!#REF!</definedName>
    <definedName name="__SP10" localSheetId="123">[1]FES!#REF!</definedName>
    <definedName name="__SP10" localSheetId="117">[1]FES!#REF!</definedName>
    <definedName name="__SP10" localSheetId="119">[1]FES!#REF!</definedName>
    <definedName name="__SP10" localSheetId="120">[1]FES!#REF!</definedName>
    <definedName name="__SP10" localSheetId="121">[1]FES!#REF!</definedName>
    <definedName name="__SP10" localSheetId="129">[1]FES!#REF!</definedName>
    <definedName name="__SP10" localSheetId="128">[1]FES!#REF!</definedName>
    <definedName name="__SP10" localSheetId="130">[1]FES!#REF!</definedName>
    <definedName name="__SP10" localSheetId="133">[1]FES!#REF!</definedName>
    <definedName name="__SP10" localSheetId="132">[1]FES!#REF!</definedName>
    <definedName name="__SP10" localSheetId="136">[1]FES!#REF!</definedName>
    <definedName name="__SP10" localSheetId="134">[1]FES!#REF!</definedName>
    <definedName name="__SP10" localSheetId="139">[1]FES!#REF!</definedName>
    <definedName name="__SP10" localSheetId="137">[1]FES!#REF!</definedName>
    <definedName name="__SP10" localSheetId="142">[1]FES!#REF!</definedName>
    <definedName name="__SP10" localSheetId="141">[1]FES!#REF!</definedName>
    <definedName name="__SP10" localSheetId="140">[1]FES!#REF!</definedName>
    <definedName name="__SP10" localSheetId="145">[1]FES!#REF!</definedName>
    <definedName name="__SP10" localSheetId="143">[1]FES!#REF!</definedName>
    <definedName name="__SP10" localSheetId="150">[1]FES!#REF!</definedName>
    <definedName name="__SP10" localSheetId="158">[1]FES!#REF!</definedName>
    <definedName name="__SP10" localSheetId="157">[1]FES!#REF!</definedName>
    <definedName name="__SP10" localSheetId="156">[1]FES!#REF!</definedName>
    <definedName name="__SP10" localSheetId="146">[1]FES!#REF!</definedName>
    <definedName name="__SP10" localSheetId="89">[1]FES!#REF!</definedName>
    <definedName name="__SP10" localSheetId="90">[1]FES!#REF!</definedName>
    <definedName name="__SP10" localSheetId="2">[2]FES!#REF!</definedName>
    <definedName name="__SP10" localSheetId="1">[2]FES!#REF!</definedName>
    <definedName name="__SP10">[1]FES!#REF!</definedName>
    <definedName name="__SP11" localSheetId="19">[1]FES!#REF!</definedName>
    <definedName name="__SP11" localSheetId="18">[1]FES!#REF!</definedName>
    <definedName name="__SP11" localSheetId="17">[1]FES!#REF!</definedName>
    <definedName name="__SP11" localSheetId="45">[1]FES!#REF!</definedName>
    <definedName name="__SP11" localSheetId="44">[1]FES!#REF!</definedName>
    <definedName name="__SP11" localSheetId="3">[1]FES!#REF!</definedName>
    <definedName name="__SP11" localSheetId="78">[1]FES!#REF!</definedName>
    <definedName name="__SP11" localSheetId="63">[1]FES!#REF!</definedName>
    <definedName name="__SP11" localSheetId="73">[1]FES!#REF!</definedName>
    <definedName name="__SP11" localSheetId="68">[1]FES!#REF!</definedName>
    <definedName name="__SP11" localSheetId="65">[1]FES!#REF!</definedName>
    <definedName name="__SP11" localSheetId="75">[1]FES!#REF!</definedName>
    <definedName name="__SP11" localSheetId="70">[1]FES!#REF!</definedName>
    <definedName name="__SP11" localSheetId="79">[1]FES!#REF!</definedName>
    <definedName name="__SP11" localSheetId="82">[1]FES!#REF!</definedName>
    <definedName name="__SP11" localSheetId="12">[1]FES!#REF!</definedName>
    <definedName name="__SP11" localSheetId="11">[1]FES!#REF!</definedName>
    <definedName name="__SP11" localSheetId="20">[2]FES!#REF!</definedName>
    <definedName name="__SP11" localSheetId="28">[1]FES!#REF!</definedName>
    <definedName name="__SP11" localSheetId="38">[1]FES!#REF!</definedName>
    <definedName name="__SP11" localSheetId="26">[1]FES!#REF!</definedName>
    <definedName name="__SP11" localSheetId="34">[1]FES!#REF!</definedName>
    <definedName name="__SP11" localSheetId="32">[1]FES!#REF!</definedName>
    <definedName name="__SP11" localSheetId="23">[1]FES!#REF!</definedName>
    <definedName name="__SP11" localSheetId="41">[1]FES!#REF!</definedName>
    <definedName name="__SP11" localSheetId="31">[1]FES!#REF!</definedName>
    <definedName name="__SP11" localSheetId="30">[1]FES!#REF!</definedName>
    <definedName name="__SP11" localSheetId="47">[2]FES!#REF!</definedName>
    <definedName name="__SP11" localSheetId="46">[2]FES!#REF!</definedName>
    <definedName name="__SP11" localSheetId="52">[1]FES!#REF!</definedName>
    <definedName name="__SP11" localSheetId="62">[1]FES!#REF!</definedName>
    <definedName name="__SP11" localSheetId="57">[1]FES!#REF!</definedName>
    <definedName name="__SP11" localSheetId="48">[1]FES!#REF!</definedName>
    <definedName name="__SP11" localSheetId="58">[1]FES!#REF!</definedName>
    <definedName name="__SP11" localSheetId="53">[1]FES!#REF!</definedName>
    <definedName name="__SP11" localSheetId="51">[1]FES!#REF!</definedName>
    <definedName name="__SP11" localSheetId="61">[1]FES!#REF!</definedName>
    <definedName name="__SP11" localSheetId="56">[1]FES!#REF!</definedName>
    <definedName name="__SP11" localSheetId="60">[1]FES!#REF!</definedName>
    <definedName name="__SP11" localSheetId="55">[1]FES!#REF!</definedName>
    <definedName name="__SP11" localSheetId="50">[1]FES!#REF!</definedName>
    <definedName name="__SP11" localSheetId="96">[1]FES!#REF!</definedName>
    <definedName name="__SP11" localSheetId="93">[1]FES!#REF!</definedName>
    <definedName name="__SP11" localSheetId="99">[1]FES!#REF!</definedName>
    <definedName name="__SP11" localSheetId="95">[1]FES!#REF!</definedName>
    <definedName name="__SP11" localSheetId="92">[1]FES!#REF!</definedName>
    <definedName name="__SP11" localSheetId="98">[1]FES!#REF!</definedName>
    <definedName name="__SP11" localSheetId="94">[1]FES!#REF!</definedName>
    <definedName name="__SP11" localSheetId="91">[1]FES!#REF!</definedName>
    <definedName name="__SP11" localSheetId="97">[1]FES!#REF!</definedName>
    <definedName name="__SP11" localSheetId="103">[1]FES!#REF!</definedName>
    <definedName name="__SP11" localSheetId="101">[1]FES!#REF!</definedName>
    <definedName name="__SP11" localSheetId="106">[1]FES!#REF!</definedName>
    <definedName name="__SP11" localSheetId="102">[1]FES!#REF!</definedName>
    <definedName name="__SP11" localSheetId="100">[1]FES!#REF!</definedName>
    <definedName name="__SP11" localSheetId="105">[1]FES!#REF!</definedName>
    <definedName name="__SP11" localSheetId="104">[1]FES!#REF!</definedName>
    <definedName name="__SP11" localSheetId="110">[1]FES!#REF!</definedName>
    <definedName name="__SP11" localSheetId="107">[1]FES!#REF!</definedName>
    <definedName name="__SP11" localSheetId="113">[1]FES!#REF!</definedName>
    <definedName name="__SP11" localSheetId="115">[1]FES!#REF!</definedName>
    <definedName name="__SP11" localSheetId="114">[1]FES!#REF!</definedName>
    <definedName name="__SP11" localSheetId="112">[1]FES!#REF!</definedName>
    <definedName name="__SP11" localSheetId="109">[1]FES!#REF!</definedName>
    <definedName name="__SP11" localSheetId="111">[1]FES!#REF!</definedName>
    <definedName name="__SP11" localSheetId="108">[1]FES!#REF!</definedName>
    <definedName name="__SP11" localSheetId="122">[1]FES!#REF!</definedName>
    <definedName name="__SP11" localSheetId="116">[1]FES!#REF!</definedName>
    <definedName name="__SP11" localSheetId="125">[1]FES!#REF!</definedName>
    <definedName name="__SP11" localSheetId="127">[1]FES!#REF!</definedName>
    <definedName name="__SP11" localSheetId="126">[1]FES!#REF!</definedName>
    <definedName name="__SP11" localSheetId="124">[1]FES!#REF!</definedName>
    <definedName name="__SP11" localSheetId="118">[1]FES!#REF!</definedName>
    <definedName name="__SP11" localSheetId="123">[1]FES!#REF!</definedName>
    <definedName name="__SP11" localSheetId="117">[1]FES!#REF!</definedName>
    <definedName name="__SP11" localSheetId="119">[1]FES!#REF!</definedName>
    <definedName name="__SP11" localSheetId="120">[1]FES!#REF!</definedName>
    <definedName name="__SP11" localSheetId="121">[1]FES!#REF!</definedName>
    <definedName name="__SP11" localSheetId="129">[1]FES!#REF!</definedName>
    <definedName name="__SP11" localSheetId="128">[1]FES!#REF!</definedName>
    <definedName name="__SP11" localSheetId="130">[1]FES!#REF!</definedName>
    <definedName name="__SP11" localSheetId="133">[1]FES!#REF!</definedName>
    <definedName name="__SP11" localSheetId="132">[1]FES!#REF!</definedName>
    <definedName name="__SP11" localSheetId="136">[1]FES!#REF!</definedName>
    <definedName name="__SP11" localSheetId="134">[1]FES!#REF!</definedName>
    <definedName name="__SP11" localSheetId="139">[1]FES!#REF!</definedName>
    <definedName name="__SP11" localSheetId="137">[1]FES!#REF!</definedName>
    <definedName name="__SP11" localSheetId="142">[1]FES!#REF!</definedName>
    <definedName name="__SP11" localSheetId="141">[1]FES!#REF!</definedName>
    <definedName name="__SP11" localSheetId="140">[1]FES!#REF!</definedName>
    <definedName name="__SP11" localSheetId="145">[1]FES!#REF!</definedName>
    <definedName name="__SP11" localSheetId="143">[1]FES!#REF!</definedName>
    <definedName name="__SP11" localSheetId="150">[1]FES!#REF!</definedName>
    <definedName name="__SP11" localSheetId="158">[1]FES!#REF!</definedName>
    <definedName name="__SP11" localSheetId="157">[1]FES!#REF!</definedName>
    <definedName name="__SP11" localSheetId="156">[1]FES!#REF!</definedName>
    <definedName name="__SP11" localSheetId="146">[1]FES!#REF!</definedName>
    <definedName name="__SP11" localSheetId="89">[1]FES!#REF!</definedName>
    <definedName name="__SP11" localSheetId="90">[1]FES!#REF!</definedName>
    <definedName name="__SP11" localSheetId="2">[2]FES!#REF!</definedName>
    <definedName name="__SP11" localSheetId="1">[2]FES!#REF!</definedName>
    <definedName name="__SP11">[1]FES!#REF!</definedName>
    <definedName name="__SP12" localSheetId="19">[1]FES!#REF!</definedName>
    <definedName name="__SP12" localSheetId="18">[1]FES!#REF!</definedName>
    <definedName name="__SP12" localSheetId="17">[1]FES!#REF!</definedName>
    <definedName name="__SP12" localSheetId="45">[1]FES!#REF!</definedName>
    <definedName name="__SP12" localSheetId="44">[1]FES!#REF!</definedName>
    <definedName name="__SP12" localSheetId="3">[1]FES!#REF!</definedName>
    <definedName name="__SP12" localSheetId="78">[1]FES!#REF!</definedName>
    <definedName name="__SP12" localSheetId="63">[1]FES!#REF!</definedName>
    <definedName name="__SP12" localSheetId="73">[1]FES!#REF!</definedName>
    <definedName name="__SP12" localSheetId="68">[1]FES!#REF!</definedName>
    <definedName name="__SP12" localSheetId="65">[1]FES!#REF!</definedName>
    <definedName name="__SP12" localSheetId="75">[1]FES!#REF!</definedName>
    <definedName name="__SP12" localSheetId="70">[1]FES!#REF!</definedName>
    <definedName name="__SP12" localSheetId="79">[1]FES!#REF!</definedName>
    <definedName name="__SP12" localSheetId="82">[1]FES!#REF!</definedName>
    <definedName name="__SP12" localSheetId="12">[1]FES!#REF!</definedName>
    <definedName name="__SP12" localSheetId="11">[1]FES!#REF!</definedName>
    <definedName name="__SP12" localSheetId="20">[2]FES!#REF!</definedName>
    <definedName name="__SP12" localSheetId="28">[1]FES!#REF!</definedName>
    <definedName name="__SP12" localSheetId="38">[1]FES!#REF!</definedName>
    <definedName name="__SP12" localSheetId="26">[1]FES!#REF!</definedName>
    <definedName name="__SP12" localSheetId="34">[1]FES!#REF!</definedName>
    <definedName name="__SP12" localSheetId="32">[1]FES!#REF!</definedName>
    <definedName name="__SP12" localSheetId="23">[1]FES!#REF!</definedName>
    <definedName name="__SP12" localSheetId="41">[1]FES!#REF!</definedName>
    <definedName name="__SP12" localSheetId="31">[1]FES!#REF!</definedName>
    <definedName name="__SP12" localSheetId="30">[1]FES!#REF!</definedName>
    <definedName name="__SP12" localSheetId="47">[2]FES!#REF!</definedName>
    <definedName name="__SP12" localSheetId="46">[2]FES!#REF!</definedName>
    <definedName name="__SP12" localSheetId="52">[1]FES!#REF!</definedName>
    <definedName name="__SP12" localSheetId="62">[1]FES!#REF!</definedName>
    <definedName name="__SP12" localSheetId="57">[1]FES!#REF!</definedName>
    <definedName name="__SP12" localSheetId="48">[1]FES!#REF!</definedName>
    <definedName name="__SP12" localSheetId="58">[1]FES!#REF!</definedName>
    <definedName name="__SP12" localSheetId="53">[1]FES!#REF!</definedName>
    <definedName name="__SP12" localSheetId="51">[1]FES!#REF!</definedName>
    <definedName name="__SP12" localSheetId="61">[1]FES!#REF!</definedName>
    <definedName name="__SP12" localSheetId="56">[1]FES!#REF!</definedName>
    <definedName name="__SP12" localSheetId="60">[1]FES!#REF!</definedName>
    <definedName name="__SP12" localSheetId="55">[1]FES!#REF!</definedName>
    <definedName name="__SP12" localSheetId="50">[1]FES!#REF!</definedName>
    <definedName name="__SP12" localSheetId="96">[1]FES!#REF!</definedName>
    <definedName name="__SP12" localSheetId="93">[1]FES!#REF!</definedName>
    <definedName name="__SP12" localSheetId="99">[1]FES!#REF!</definedName>
    <definedName name="__SP12" localSheetId="95">[1]FES!#REF!</definedName>
    <definedName name="__SP12" localSheetId="92">[1]FES!#REF!</definedName>
    <definedName name="__SP12" localSheetId="98">[1]FES!#REF!</definedName>
    <definedName name="__SP12" localSheetId="94">[1]FES!#REF!</definedName>
    <definedName name="__SP12" localSheetId="91">[1]FES!#REF!</definedName>
    <definedName name="__SP12" localSheetId="97">[1]FES!#REF!</definedName>
    <definedName name="__SP12" localSheetId="103">[1]FES!#REF!</definedName>
    <definedName name="__SP12" localSheetId="101">[1]FES!#REF!</definedName>
    <definedName name="__SP12" localSheetId="106">[1]FES!#REF!</definedName>
    <definedName name="__SP12" localSheetId="102">[1]FES!#REF!</definedName>
    <definedName name="__SP12" localSheetId="100">[1]FES!#REF!</definedName>
    <definedName name="__SP12" localSheetId="105">[1]FES!#REF!</definedName>
    <definedName name="__SP12" localSheetId="104">[1]FES!#REF!</definedName>
    <definedName name="__SP12" localSheetId="110">[1]FES!#REF!</definedName>
    <definedName name="__SP12" localSheetId="107">[1]FES!#REF!</definedName>
    <definedName name="__SP12" localSheetId="113">[1]FES!#REF!</definedName>
    <definedName name="__SP12" localSheetId="115">[1]FES!#REF!</definedName>
    <definedName name="__SP12" localSheetId="114">[1]FES!#REF!</definedName>
    <definedName name="__SP12" localSheetId="112">[1]FES!#REF!</definedName>
    <definedName name="__SP12" localSheetId="109">[1]FES!#REF!</definedName>
    <definedName name="__SP12" localSheetId="111">[1]FES!#REF!</definedName>
    <definedName name="__SP12" localSheetId="108">[1]FES!#REF!</definedName>
    <definedName name="__SP12" localSheetId="122">[1]FES!#REF!</definedName>
    <definedName name="__SP12" localSheetId="116">[1]FES!#REF!</definedName>
    <definedName name="__SP12" localSheetId="125">[1]FES!#REF!</definedName>
    <definedName name="__SP12" localSheetId="127">[1]FES!#REF!</definedName>
    <definedName name="__SP12" localSheetId="126">[1]FES!#REF!</definedName>
    <definedName name="__SP12" localSheetId="124">[1]FES!#REF!</definedName>
    <definedName name="__SP12" localSheetId="118">[1]FES!#REF!</definedName>
    <definedName name="__SP12" localSheetId="123">[1]FES!#REF!</definedName>
    <definedName name="__SP12" localSheetId="117">[1]FES!#REF!</definedName>
    <definedName name="__SP12" localSheetId="119">[1]FES!#REF!</definedName>
    <definedName name="__SP12" localSheetId="120">[1]FES!#REF!</definedName>
    <definedName name="__SP12" localSheetId="121">[1]FES!#REF!</definedName>
    <definedName name="__SP12" localSheetId="129">[1]FES!#REF!</definedName>
    <definedName name="__SP12" localSheetId="128">[1]FES!#REF!</definedName>
    <definedName name="__SP12" localSheetId="130">[1]FES!#REF!</definedName>
    <definedName name="__SP12" localSheetId="133">[1]FES!#REF!</definedName>
    <definedName name="__SP12" localSheetId="132">[1]FES!#REF!</definedName>
    <definedName name="__SP12" localSheetId="136">[1]FES!#REF!</definedName>
    <definedName name="__SP12" localSheetId="134">[1]FES!#REF!</definedName>
    <definedName name="__SP12" localSheetId="139">[1]FES!#REF!</definedName>
    <definedName name="__SP12" localSheetId="137">[1]FES!#REF!</definedName>
    <definedName name="__SP12" localSheetId="142">[1]FES!#REF!</definedName>
    <definedName name="__SP12" localSheetId="141">[1]FES!#REF!</definedName>
    <definedName name="__SP12" localSheetId="140">[1]FES!#REF!</definedName>
    <definedName name="__SP12" localSheetId="145">[1]FES!#REF!</definedName>
    <definedName name="__SP12" localSheetId="143">[1]FES!#REF!</definedName>
    <definedName name="__SP12" localSheetId="150">[1]FES!#REF!</definedName>
    <definedName name="__SP12" localSheetId="158">[1]FES!#REF!</definedName>
    <definedName name="__SP12" localSheetId="157">[1]FES!#REF!</definedName>
    <definedName name="__SP12" localSheetId="156">[1]FES!#REF!</definedName>
    <definedName name="__SP12" localSheetId="146">[1]FES!#REF!</definedName>
    <definedName name="__SP12" localSheetId="89">[1]FES!#REF!</definedName>
    <definedName name="__SP12" localSheetId="90">[1]FES!#REF!</definedName>
    <definedName name="__SP12" localSheetId="2">[2]FES!#REF!</definedName>
    <definedName name="__SP12" localSheetId="1">[2]FES!#REF!</definedName>
    <definedName name="__SP12">[1]FES!#REF!</definedName>
    <definedName name="__SP13" localSheetId="19">[1]FES!#REF!</definedName>
    <definedName name="__SP13" localSheetId="18">[1]FES!#REF!</definedName>
    <definedName name="__SP13" localSheetId="17">[1]FES!#REF!</definedName>
    <definedName name="__SP13" localSheetId="45">[1]FES!#REF!</definedName>
    <definedName name="__SP13" localSheetId="44">[1]FES!#REF!</definedName>
    <definedName name="__SP13" localSheetId="3">[1]FES!#REF!</definedName>
    <definedName name="__SP13" localSheetId="78">[1]FES!#REF!</definedName>
    <definedName name="__SP13" localSheetId="63">[1]FES!#REF!</definedName>
    <definedName name="__SP13" localSheetId="73">[1]FES!#REF!</definedName>
    <definedName name="__SP13" localSheetId="68">[1]FES!#REF!</definedName>
    <definedName name="__SP13" localSheetId="65">[1]FES!#REF!</definedName>
    <definedName name="__SP13" localSheetId="75">[1]FES!#REF!</definedName>
    <definedName name="__SP13" localSheetId="70">[1]FES!#REF!</definedName>
    <definedName name="__SP13" localSheetId="79">[1]FES!#REF!</definedName>
    <definedName name="__SP13" localSheetId="82">[1]FES!#REF!</definedName>
    <definedName name="__SP13" localSheetId="12">[1]FES!#REF!</definedName>
    <definedName name="__SP13" localSheetId="11">[1]FES!#REF!</definedName>
    <definedName name="__SP13" localSheetId="20">[2]FES!#REF!</definedName>
    <definedName name="__SP13" localSheetId="28">[1]FES!#REF!</definedName>
    <definedName name="__SP13" localSheetId="38">[1]FES!#REF!</definedName>
    <definedName name="__SP13" localSheetId="26">[1]FES!#REF!</definedName>
    <definedName name="__SP13" localSheetId="34">[1]FES!#REF!</definedName>
    <definedName name="__SP13" localSheetId="32">[1]FES!#REF!</definedName>
    <definedName name="__SP13" localSheetId="23">[1]FES!#REF!</definedName>
    <definedName name="__SP13" localSheetId="41">[1]FES!#REF!</definedName>
    <definedName name="__SP13" localSheetId="31">[1]FES!#REF!</definedName>
    <definedName name="__SP13" localSheetId="30">[1]FES!#REF!</definedName>
    <definedName name="__SP13" localSheetId="47">[2]FES!#REF!</definedName>
    <definedName name="__SP13" localSheetId="46">[2]FES!#REF!</definedName>
    <definedName name="__SP13" localSheetId="52">[1]FES!#REF!</definedName>
    <definedName name="__SP13" localSheetId="62">[1]FES!#REF!</definedName>
    <definedName name="__SP13" localSheetId="57">[1]FES!#REF!</definedName>
    <definedName name="__SP13" localSheetId="48">[1]FES!#REF!</definedName>
    <definedName name="__SP13" localSheetId="58">[1]FES!#REF!</definedName>
    <definedName name="__SP13" localSheetId="53">[1]FES!#REF!</definedName>
    <definedName name="__SP13" localSheetId="51">[1]FES!#REF!</definedName>
    <definedName name="__SP13" localSheetId="61">[1]FES!#REF!</definedName>
    <definedName name="__SP13" localSheetId="56">[1]FES!#REF!</definedName>
    <definedName name="__SP13" localSheetId="60">[1]FES!#REF!</definedName>
    <definedName name="__SP13" localSheetId="55">[1]FES!#REF!</definedName>
    <definedName name="__SP13" localSheetId="50">[1]FES!#REF!</definedName>
    <definedName name="__SP13" localSheetId="96">[1]FES!#REF!</definedName>
    <definedName name="__SP13" localSheetId="93">[1]FES!#REF!</definedName>
    <definedName name="__SP13" localSheetId="99">[1]FES!#REF!</definedName>
    <definedName name="__SP13" localSheetId="95">[1]FES!#REF!</definedName>
    <definedName name="__SP13" localSheetId="92">[1]FES!#REF!</definedName>
    <definedName name="__SP13" localSheetId="98">[1]FES!#REF!</definedName>
    <definedName name="__SP13" localSheetId="94">[1]FES!#REF!</definedName>
    <definedName name="__SP13" localSheetId="91">[1]FES!#REF!</definedName>
    <definedName name="__SP13" localSheetId="97">[1]FES!#REF!</definedName>
    <definedName name="__SP13" localSheetId="103">[1]FES!#REF!</definedName>
    <definedName name="__SP13" localSheetId="101">[1]FES!#REF!</definedName>
    <definedName name="__SP13" localSheetId="106">[1]FES!#REF!</definedName>
    <definedName name="__SP13" localSheetId="102">[1]FES!#REF!</definedName>
    <definedName name="__SP13" localSheetId="100">[1]FES!#REF!</definedName>
    <definedName name="__SP13" localSheetId="105">[1]FES!#REF!</definedName>
    <definedName name="__SP13" localSheetId="104">[1]FES!#REF!</definedName>
    <definedName name="__SP13" localSheetId="110">[1]FES!#REF!</definedName>
    <definedName name="__SP13" localSheetId="107">[1]FES!#REF!</definedName>
    <definedName name="__SP13" localSheetId="113">[1]FES!#REF!</definedName>
    <definedName name="__SP13" localSheetId="115">[1]FES!#REF!</definedName>
    <definedName name="__SP13" localSheetId="114">[1]FES!#REF!</definedName>
    <definedName name="__SP13" localSheetId="112">[1]FES!#REF!</definedName>
    <definedName name="__SP13" localSheetId="109">[1]FES!#REF!</definedName>
    <definedName name="__SP13" localSheetId="111">[1]FES!#REF!</definedName>
    <definedName name="__SP13" localSheetId="108">[1]FES!#REF!</definedName>
    <definedName name="__SP13" localSheetId="122">[1]FES!#REF!</definedName>
    <definedName name="__SP13" localSheetId="116">[1]FES!#REF!</definedName>
    <definedName name="__SP13" localSheetId="125">[1]FES!#REF!</definedName>
    <definedName name="__SP13" localSheetId="127">[1]FES!#REF!</definedName>
    <definedName name="__SP13" localSheetId="126">[1]FES!#REF!</definedName>
    <definedName name="__SP13" localSheetId="124">[1]FES!#REF!</definedName>
    <definedName name="__SP13" localSheetId="118">[1]FES!#REF!</definedName>
    <definedName name="__SP13" localSheetId="123">[1]FES!#REF!</definedName>
    <definedName name="__SP13" localSheetId="117">[1]FES!#REF!</definedName>
    <definedName name="__SP13" localSheetId="119">[1]FES!#REF!</definedName>
    <definedName name="__SP13" localSheetId="120">[1]FES!#REF!</definedName>
    <definedName name="__SP13" localSheetId="121">[1]FES!#REF!</definedName>
    <definedName name="__SP13" localSheetId="129">[1]FES!#REF!</definedName>
    <definedName name="__SP13" localSheetId="128">[1]FES!#REF!</definedName>
    <definedName name="__SP13" localSheetId="130">[1]FES!#REF!</definedName>
    <definedName name="__SP13" localSheetId="133">[1]FES!#REF!</definedName>
    <definedName name="__SP13" localSheetId="132">[1]FES!#REF!</definedName>
    <definedName name="__SP13" localSheetId="136">[1]FES!#REF!</definedName>
    <definedName name="__SP13" localSheetId="134">[1]FES!#REF!</definedName>
    <definedName name="__SP13" localSheetId="139">[1]FES!#REF!</definedName>
    <definedName name="__SP13" localSheetId="137">[1]FES!#REF!</definedName>
    <definedName name="__SP13" localSheetId="142">[1]FES!#REF!</definedName>
    <definedName name="__SP13" localSheetId="141">[1]FES!#REF!</definedName>
    <definedName name="__SP13" localSheetId="140">[1]FES!#REF!</definedName>
    <definedName name="__SP13" localSheetId="145">[1]FES!#REF!</definedName>
    <definedName name="__SP13" localSheetId="143">[1]FES!#REF!</definedName>
    <definedName name="__SP13" localSheetId="150">[1]FES!#REF!</definedName>
    <definedName name="__SP13" localSheetId="158">[1]FES!#REF!</definedName>
    <definedName name="__SP13" localSheetId="157">[1]FES!#REF!</definedName>
    <definedName name="__SP13" localSheetId="156">[1]FES!#REF!</definedName>
    <definedName name="__SP13" localSheetId="146">[1]FES!#REF!</definedName>
    <definedName name="__SP13" localSheetId="89">[1]FES!#REF!</definedName>
    <definedName name="__SP13" localSheetId="90">[1]FES!#REF!</definedName>
    <definedName name="__SP13" localSheetId="2">[2]FES!#REF!</definedName>
    <definedName name="__SP13" localSheetId="1">[2]FES!#REF!</definedName>
    <definedName name="__SP13">[1]FES!#REF!</definedName>
    <definedName name="__SP14" localSheetId="19">[1]FES!#REF!</definedName>
    <definedName name="__SP14" localSheetId="18">[1]FES!#REF!</definedName>
    <definedName name="__SP14" localSheetId="17">[1]FES!#REF!</definedName>
    <definedName name="__SP14" localSheetId="45">[1]FES!#REF!</definedName>
    <definedName name="__SP14" localSheetId="44">[1]FES!#REF!</definedName>
    <definedName name="__SP14" localSheetId="3">[1]FES!#REF!</definedName>
    <definedName name="__SP14" localSheetId="78">[1]FES!#REF!</definedName>
    <definedName name="__SP14" localSheetId="63">[1]FES!#REF!</definedName>
    <definedName name="__SP14" localSheetId="73">[1]FES!#REF!</definedName>
    <definedName name="__SP14" localSheetId="68">[1]FES!#REF!</definedName>
    <definedName name="__SP14" localSheetId="65">[1]FES!#REF!</definedName>
    <definedName name="__SP14" localSheetId="75">[1]FES!#REF!</definedName>
    <definedName name="__SP14" localSheetId="70">[1]FES!#REF!</definedName>
    <definedName name="__SP14" localSheetId="79">[1]FES!#REF!</definedName>
    <definedName name="__SP14" localSheetId="82">[1]FES!#REF!</definedName>
    <definedName name="__SP14" localSheetId="12">[1]FES!#REF!</definedName>
    <definedName name="__SP14" localSheetId="11">[1]FES!#REF!</definedName>
    <definedName name="__SP14" localSheetId="20">[2]FES!#REF!</definedName>
    <definedName name="__SP14" localSheetId="28">[1]FES!#REF!</definedName>
    <definedName name="__SP14" localSheetId="38">[1]FES!#REF!</definedName>
    <definedName name="__SP14" localSheetId="26">[1]FES!#REF!</definedName>
    <definedName name="__SP14" localSheetId="34">[1]FES!#REF!</definedName>
    <definedName name="__SP14" localSheetId="32">[1]FES!#REF!</definedName>
    <definedName name="__SP14" localSheetId="23">[1]FES!#REF!</definedName>
    <definedName name="__SP14" localSheetId="41">[1]FES!#REF!</definedName>
    <definedName name="__SP14" localSheetId="31">[1]FES!#REF!</definedName>
    <definedName name="__SP14" localSheetId="30">[1]FES!#REF!</definedName>
    <definedName name="__SP14" localSheetId="47">[2]FES!#REF!</definedName>
    <definedName name="__SP14" localSheetId="46">[2]FES!#REF!</definedName>
    <definedName name="__SP14" localSheetId="52">[1]FES!#REF!</definedName>
    <definedName name="__SP14" localSheetId="62">[1]FES!#REF!</definedName>
    <definedName name="__SP14" localSheetId="57">[1]FES!#REF!</definedName>
    <definedName name="__SP14" localSheetId="48">[1]FES!#REF!</definedName>
    <definedName name="__SP14" localSheetId="58">[1]FES!#REF!</definedName>
    <definedName name="__SP14" localSheetId="53">[1]FES!#REF!</definedName>
    <definedName name="__SP14" localSheetId="51">[1]FES!#REF!</definedName>
    <definedName name="__SP14" localSheetId="61">[1]FES!#REF!</definedName>
    <definedName name="__SP14" localSheetId="56">[1]FES!#REF!</definedName>
    <definedName name="__SP14" localSheetId="60">[1]FES!#REF!</definedName>
    <definedName name="__SP14" localSheetId="55">[1]FES!#REF!</definedName>
    <definedName name="__SP14" localSheetId="50">[1]FES!#REF!</definedName>
    <definedName name="__SP14" localSheetId="96">[1]FES!#REF!</definedName>
    <definedName name="__SP14" localSheetId="93">[1]FES!#REF!</definedName>
    <definedName name="__SP14" localSheetId="99">[1]FES!#REF!</definedName>
    <definedName name="__SP14" localSheetId="95">[1]FES!#REF!</definedName>
    <definedName name="__SP14" localSheetId="92">[1]FES!#REF!</definedName>
    <definedName name="__SP14" localSheetId="98">[1]FES!#REF!</definedName>
    <definedName name="__SP14" localSheetId="94">[1]FES!#REF!</definedName>
    <definedName name="__SP14" localSheetId="91">[1]FES!#REF!</definedName>
    <definedName name="__SP14" localSheetId="97">[1]FES!#REF!</definedName>
    <definedName name="__SP14" localSheetId="103">[1]FES!#REF!</definedName>
    <definedName name="__SP14" localSheetId="101">[1]FES!#REF!</definedName>
    <definedName name="__SP14" localSheetId="106">[1]FES!#REF!</definedName>
    <definedName name="__SP14" localSheetId="102">[1]FES!#REF!</definedName>
    <definedName name="__SP14" localSheetId="100">[1]FES!#REF!</definedName>
    <definedName name="__SP14" localSheetId="105">[1]FES!#REF!</definedName>
    <definedName name="__SP14" localSheetId="104">[1]FES!#REF!</definedName>
    <definedName name="__SP14" localSheetId="110">[1]FES!#REF!</definedName>
    <definedName name="__SP14" localSheetId="107">[1]FES!#REF!</definedName>
    <definedName name="__SP14" localSheetId="113">[1]FES!#REF!</definedName>
    <definedName name="__SP14" localSheetId="115">[1]FES!#REF!</definedName>
    <definedName name="__SP14" localSheetId="114">[1]FES!#REF!</definedName>
    <definedName name="__SP14" localSheetId="112">[1]FES!#REF!</definedName>
    <definedName name="__SP14" localSheetId="109">[1]FES!#REF!</definedName>
    <definedName name="__SP14" localSheetId="111">[1]FES!#REF!</definedName>
    <definedName name="__SP14" localSheetId="108">[1]FES!#REF!</definedName>
    <definedName name="__SP14" localSheetId="122">[1]FES!#REF!</definedName>
    <definedName name="__SP14" localSheetId="116">[1]FES!#REF!</definedName>
    <definedName name="__SP14" localSheetId="125">[1]FES!#REF!</definedName>
    <definedName name="__SP14" localSheetId="127">[1]FES!#REF!</definedName>
    <definedName name="__SP14" localSheetId="126">[1]FES!#REF!</definedName>
    <definedName name="__SP14" localSheetId="124">[1]FES!#REF!</definedName>
    <definedName name="__SP14" localSheetId="118">[1]FES!#REF!</definedName>
    <definedName name="__SP14" localSheetId="123">[1]FES!#REF!</definedName>
    <definedName name="__SP14" localSheetId="117">[1]FES!#REF!</definedName>
    <definedName name="__SP14" localSheetId="119">[1]FES!#REF!</definedName>
    <definedName name="__SP14" localSheetId="120">[1]FES!#REF!</definedName>
    <definedName name="__SP14" localSheetId="121">[1]FES!#REF!</definedName>
    <definedName name="__SP14" localSheetId="129">[1]FES!#REF!</definedName>
    <definedName name="__SP14" localSheetId="128">[1]FES!#REF!</definedName>
    <definedName name="__SP14" localSheetId="130">[1]FES!#REF!</definedName>
    <definedName name="__SP14" localSheetId="133">[1]FES!#REF!</definedName>
    <definedName name="__SP14" localSheetId="132">[1]FES!#REF!</definedName>
    <definedName name="__SP14" localSheetId="136">[1]FES!#REF!</definedName>
    <definedName name="__SP14" localSheetId="134">[1]FES!#REF!</definedName>
    <definedName name="__SP14" localSheetId="139">[1]FES!#REF!</definedName>
    <definedName name="__SP14" localSheetId="137">[1]FES!#REF!</definedName>
    <definedName name="__SP14" localSheetId="142">[1]FES!#REF!</definedName>
    <definedName name="__SP14" localSheetId="141">[1]FES!#REF!</definedName>
    <definedName name="__SP14" localSheetId="140">[1]FES!#REF!</definedName>
    <definedName name="__SP14" localSheetId="145">[1]FES!#REF!</definedName>
    <definedName name="__SP14" localSheetId="143">[1]FES!#REF!</definedName>
    <definedName name="__SP14" localSheetId="150">[1]FES!#REF!</definedName>
    <definedName name="__SP14" localSheetId="158">[1]FES!#REF!</definedName>
    <definedName name="__SP14" localSheetId="157">[1]FES!#REF!</definedName>
    <definedName name="__SP14" localSheetId="156">[1]FES!#REF!</definedName>
    <definedName name="__SP14" localSheetId="146">[1]FES!#REF!</definedName>
    <definedName name="__SP14" localSheetId="89">[1]FES!#REF!</definedName>
    <definedName name="__SP14" localSheetId="90">[1]FES!#REF!</definedName>
    <definedName name="__SP14" localSheetId="2">[2]FES!#REF!</definedName>
    <definedName name="__SP14" localSheetId="1">[2]FES!#REF!</definedName>
    <definedName name="__SP14">[1]FES!#REF!</definedName>
    <definedName name="__SP15" localSheetId="19">[1]FES!#REF!</definedName>
    <definedName name="__SP15" localSheetId="18">[1]FES!#REF!</definedName>
    <definedName name="__SP15" localSheetId="17">[1]FES!#REF!</definedName>
    <definedName name="__SP15" localSheetId="45">[1]FES!#REF!</definedName>
    <definedName name="__SP15" localSheetId="44">[1]FES!#REF!</definedName>
    <definedName name="__SP15" localSheetId="3">[1]FES!#REF!</definedName>
    <definedName name="__SP15" localSheetId="78">[1]FES!#REF!</definedName>
    <definedName name="__SP15" localSheetId="63">[1]FES!#REF!</definedName>
    <definedName name="__SP15" localSheetId="73">[1]FES!#REF!</definedName>
    <definedName name="__SP15" localSheetId="68">[1]FES!#REF!</definedName>
    <definedName name="__SP15" localSheetId="65">[1]FES!#REF!</definedName>
    <definedName name="__SP15" localSheetId="75">[1]FES!#REF!</definedName>
    <definedName name="__SP15" localSheetId="70">[1]FES!#REF!</definedName>
    <definedName name="__SP15" localSheetId="79">[1]FES!#REF!</definedName>
    <definedName name="__SP15" localSheetId="82">[1]FES!#REF!</definedName>
    <definedName name="__SP15" localSheetId="12">[1]FES!#REF!</definedName>
    <definedName name="__SP15" localSheetId="11">[1]FES!#REF!</definedName>
    <definedName name="__SP15" localSheetId="20">[2]FES!#REF!</definedName>
    <definedName name="__SP15" localSheetId="28">[1]FES!#REF!</definedName>
    <definedName name="__SP15" localSheetId="38">[1]FES!#REF!</definedName>
    <definedName name="__SP15" localSheetId="26">[1]FES!#REF!</definedName>
    <definedName name="__SP15" localSheetId="34">[1]FES!#REF!</definedName>
    <definedName name="__SP15" localSheetId="32">[1]FES!#REF!</definedName>
    <definedName name="__SP15" localSheetId="23">[1]FES!#REF!</definedName>
    <definedName name="__SP15" localSheetId="41">[1]FES!#REF!</definedName>
    <definedName name="__SP15" localSheetId="31">[1]FES!#REF!</definedName>
    <definedName name="__SP15" localSheetId="30">[1]FES!#REF!</definedName>
    <definedName name="__SP15" localSheetId="47">[2]FES!#REF!</definedName>
    <definedName name="__SP15" localSheetId="46">[2]FES!#REF!</definedName>
    <definedName name="__SP15" localSheetId="52">[1]FES!#REF!</definedName>
    <definedName name="__SP15" localSheetId="62">[1]FES!#REF!</definedName>
    <definedName name="__SP15" localSheetId="57">[1]FES!#REF!</definedName>
    <definedName name="__SP15" localSheetId="48">[1]FES!#REF!</definedName>
    <definedName name="__SP15" localSheetId="58">[1]FES!#REF!</definedName>
    <definedName name="__SP15" localSheetId="53">[1]FES!#REF!</definedName>
    <definedName name="__SP15" localSheetId="51">[1]FES!#REF!</definedName>
    <definedName name="__SP15" localSheetId="61">[1]FES!#REF!</definedName>
    <definedName name="__SP15" localSheetId="56">[1]FES!#REF!</definedName>
    <definedName name="__SP15" localSheetId="60">[1]FES!#REF!</definedName>
    <definedName name="__SP15" localSheetId="55">[1]FES!#REF!</definedName>
    <definedName name="__SP15" localSheetId="50">[1]FES!#REF!</definedName>
    <definedName name="__SP15" localSheetId="96">[1]FES!#REF!</definedName>
    <definedName name="__SP15" localSheetId="93">[1]FES!#REF!</definedName>
    <definedName name="__SP15" localSheetId="99">[1]FES!#REF!</definedName>
    <definedName name="__SP15" localSheetId="95">[1]FES!#REF!</definedName>
    <definedName name="__SP15" localSheetId="92">[1]FES!#REF!</definedName>
    <definedName name="__SP15" localSheetId="98">[1]FES!#REF!</definedName>
    <definedName name="__SP15" localSheetId="94">[1]FES!#REF!</definedName>
    <definedName name="__SP15" localSheetId="91">[1]FES!#REF!</definedName>
    <definedName name="__SP15" localSheetId="97">[1]FES!#REF!</definedName>
    <definedName name="__SP15" localSheetId="103">[1]FES!#REF!</definedName>
    <definedName name="__SP15" localSheetId="101">[1]FES!#REF!</definedName>
    <definedName name="__SP15" localSheetId="106">[1]FES!#REF!</definedName>
    <definedName name="__SP15" localSheetId="102">[1]FES!#REF!</definedName>
    <definedName name="__SP15" localSheetId="100">[1]FES!#REF!</definedName>
    <definedName name="__SP15" localSheetId="105">[1]FES!#REF!</definedName>
    <definedName name="__SP15" localSheetId="104">[1]FES!#REF!</definedName>
    <definedName name="__SP15" localSheetId="110">[1]FES!#REF!</definedName>
    <definedName name="__SP15" localSheetId="107">[1]FES!#REF!</definedName>
    <definedName name="__SP15" localSheetId="113">[1]FES!#REF!</definedName>
    <definedName name="__SP15" localSheetId="115">[1]FES!#REF!</definedName>
    <definedName name="__SP15" localSheetId="114">[1]FES!#REF!</definedName>
    <definedName name="__SP15" localSheetId="112">[1]FES!#REF!</definedName>
    <definedName name="__SP15" localSheetId="109">[1]FES!#REF!</definedName>
    <definedName name="__SP15" localSheetId="111">[1]FES!#REF!</definedName>
    <definedName name="__SP15" localSheetId="108">[1]FES!#REF!</definedName>
    <definedName name="__SP15" localSheetId="122">[1]FES!#REF!</definedName>
    <definedName name="__SP15" localSheetId="116">[1]FES!#REF!</definedName>
    <definedName name="__SP15" localSheetId="125">[1]FES!#REF!</definedName>
    <definedName name="__SP15" localSheetId="127">[1]FES!#REF!</definedName>
    <definedName name="__SP15" localSheetId="126">[1]FES!#REF!</definedName>
    <definedName name="__SP15" localSheetId="124">[1]FES!#REF!</definedName>
    <definedName name="__SP15" localSheetId="118">[1]FES!#REF!</definedName>
    <definedName name="__SP15" localSheetId="123">[1]FES!#REF!</definedName>
    <definedName name="__SP15" localSheetId="117">[1]FES!#REF!</definedName>
    <definedName name="__SP15" localSheetId="119">[1]FES!#REF!</definedName>
    <definedName name="__SP15" localSheetId="120">[1]FES!#REF!</definedName>
    <definedName name="__SP15" localSheetId="121">[1]FES!#REF!</definedName>
    <definedName name="__SP15" localSheetId="129">[1]FES!#REF!</definedName>
    <definedName name="__SP15" localSheetId="128">[1]FES!#REF!</definedName>
    <definedName name="__SP15" localSheetId="130">[1]FES!#REF!</definedName>
    <definedName name="__SP15" localSheetId="133">[1]FES!#REF!</definedName>
    <definedName name="__SP15" localSheetId="132">[1]FES!#REF!</definedName>
    <definedName name="__SP15" localSheetId="136">[1]FES!#REF!</definedName>
    <definedName name="__SP15" localSheetId="134">[1]FES!#REF!</definedName>
    <definedName name="__SP15" localSheetId="139">[1]FES!#REF!</definedName>
    <definedName name="__SP15" localSheetId="137">[1]FES!#REF!</definedName>
    <definedName name="__SP15" localSheetId="142">[1]FES!#REF!</definedName>
    <definedName name="__SP15" localSheetId="141">[1]FES!#REF!</definedName>
    <definedName name="__SP15" localSheetId="140">[1]FES!#REF!</definedName>
    <definedName name="__SP15" localSheetId="145">[1]FES!#REF!</definedName>
    <definedName name="__SP15" localSheetId="143">[1]FES!#REF!</definedName>
    <definedName name="__SP15" localSheetId="150">[1]FES!#REF!</definedName>
    <definedName name="__SP15" localSheetId="158">[1]FES!#REF!</definedName>
    <definedName name="__SP15" localSheetId="157">[1]FES!#REF!</definedName>
    <definedName name="__SP15" localSheetId="156">[1]FES!#REF!</definedName>
    <definedName name="__SP15" localSheetId="146">[1]FES!#REF!</definedName>
    <definedName name="__SP15" localSheetId="89">[1]FES!#REF!</definedName>
    <definedName name="__SP15" localSheetId="90">[1]FES!#REF!</definedName>
    <definedName name="__SP15" localSheetId="2">[2]FES!#REF!</definedName>
    <definedName name="__SP15" localSheetId="1">[2]FES!#REF!</definedName>
    <definedName name="__SP15">[1]FES!#REF!</definedName>
    <definedName name="__SP16" localSheetId="19">[1]FES!#REF!</definedName>
    <definedName name="__SP16" localSheetId="18">[1]FES!#REF!</definedName>
    <definedName name="__SP16" localSheetId="17">[1]FES!#REF!</definedName>
    <definedName name="__SP16" localSheetId="45">[1]FES!#REF!</definedName>
    <definedName name="__SP16" localSheetId="44">[1]FES!#REF!</definedName>
    <definedName name="__SP16" localSheetId="3">[1]FES!#REF!</definedName>
    <definedName name="__SP16" localSheetId="78">[1]FES!#REF!</definedName>
    <definedName name="__SP16" localSheetId="63">[1]FES!#REF!</definedName>
    <definedName name="__SP16" localSheetId="73">[1]FES!#REF!</definedName>
    <definedName name="__SP16" localSheetId="68">[1]FES!#REF!</definedName>
    <definedName name="__SP16" localSheetId="65">[1]FES!#REF!</definedName>
    <definedName name="__SP16" localSheetId="75">[1]FES!#REF!</definedName>
    <definedName name="__SP16" localSheetId="70">[1]FES!#REF!</definedName>
    <definedName name="__SP16" localSheetId="79">[1]FES!#REF!</definedName>
    <definedName name="__SP16" localSheetId="82">[1]FES!#REF!</definedName>
    <definedName name="__SP16" localSheetId="12">[1]FES!#REF!</definedName>
    <definedName name="__SP16" localSheetId="11">[1]FES!#REF!</definedName>
    <definedName name="__SP16" localSheetId="20">[2]FES!#REF!</definedName>
    <definedName name="__SP16" localSheetId="28">[1]FES!#REF!</definedName>
    <definedName name="__SP16" localSheetId="38">[1]FES!#REF!</definedName>
    <definedName name="__SP16" localSheetId="26">[1]FES!#REF!</definedName>
    <definedName name="__SP16" localSheetId="34">[1]FES!#REF!</definedName>
    <definedName name="__SP16" localSheetId="32">[1]FES!#REF!</definedName>
    <definedName name="__SP16" localSheetId="23">[1]FES!#REF!</definedName>
    <definedName name="__SP16" localSheetId="41">[1]FES!#REF!</definedName>
    <definedName name="__SP16" localSheetId="31">[1]FES!#REF!</definedName>
    <definedName name="__SP16" localSheetId="30">[1]FES!#REF!</definedName>
    <definedName name="__SP16" localSheetId="47">[2]FES!#REF!</definedName>
    <definedName name="__SP16" localSheetId="46">[2]FES!#REF!</definedName>
    <definedName name="__SP16" localSheetId="52">[1]FES!#REF!</definedName>
    <definedName name="__SP16" localSheetId="62">[1]FES!#REF!</definedName>
    <definedName name="__SP16" localSheetId="57">[1]FES!#REF!</definedName>
    <definedName name="__SP16" localSheetId="48">[1]FES!#REF!</definedName>
    <definedName name="__SP16" localSheetId="58">[1]FES!#REF!</definedName>
    <definedName name="__SP16" localSheetId="53">[1]FES!#REF!</definedName>
    <definedName name="__SP16" localSheetId="51">[1]FES!#REF!</definedName>
    <definedName name="__SP16" localSheetId="61">[1]FES!#REF!</definedName>
    <definedName name="__SP16" localSheetId="56">[1]FES!#REF!</definedName>
    <definedName name="__SP16" localSheetId="60">[1]FES!#REF!</definedName>
    <definedName name="__SP16" localSheetId="55">[1]FES!#REF!</definedName>
    <definedName name="__SP16" localSheetId="50">[1]FES!#REF!</definedName>
    <definedName name="__SP16" localSheetId="96">[1]FES!#REF!</definedName>
    <definedName name="__SP16" localSheetId="93">[1]FES!#REF!</definedName>
    <definedName name="__SP16" localSheetId="99">[1]FES!#REF!</definedName>
    <definedName name="__SP16" localSheetId="95">[1]FES!#REF!</definedName>
    <definedName name="__SP16" localSheetId="92">[1]FES!#REF!</definedName>
    <definedName name="__SP16" localSheetId="98">[1]FES!#REF!</definedName>
    <definedName name="__SP16" localSheetId="94">[1]FES!#REF!</definedName>
    <definedName name="__SP16" localSheetId="91">[1]FES!#REF!</definedName>
    <definedName name="__SP16" localSheetId="97">[1]FES!#REF!</definedName>
    <definedName name="__SP16" localSheetId="103">[1]FES!#REF!</definedName>
    <definedName name="__SP16" localSheetId="101">[1]FES!#REF!</definedName>
    <definedName name="__SP16" localSheetId="106">[1]FES!#REF!</definedName>
    <definedName name="__SP16" localSheetId="102">[1]FES!#REF!</definedName>
    <definedName name="__SP16" localSheetId="100">[1]FES!#REF!</definedName>
    <definedName name="__SP16" localSheetId="105">[1]FES!#REF!</definedName>
    <definedName name="__SP16" localSheetId="104">[1]FES!#REF!</definedName>
    <definedName name="__SP16" localSheetId="110">[1]FES!#REF!</definedName>
    <definedName name="__SP16" localSheetId="107">[1]FES!#REF!</definedName>
    <definedName name="__SP16" localSheetId="113">[1]FES!#REF!</definedName>
    <definedName name="__SP16" localSheetId="115">[1]FES!#REF!</definedName>
    <definedName name="__SP16" localSheetId="114">[1]FES!#REF!</definedName>
    <definedName name="__SP16" localSheetId="112">[1]FES!#REF!</definedName>
    <definedName name="__SP16" localSheetId="109">[1]FES!#REF!</definedName>
    <definedName name="__SP16" localSheetId="111">[1]FES!#REF!</definedName>
    <definedName name="__SP16" localSheetId="108">[1]FES!#REF!</definedName>
    <definedName name="__SP16" localSheetId="122">[1]FES!#REF!</definedName>
    <definedName name="__SP16" localSheetId="116">[1]FES!#REF!</definedName>
    <definedName name="__SP16" localSheetId="125">[1]FES!#REF!</definedName>
    <definedName name="__SP16" localSheetId="127">[1]FES!#REF!</definedName>
    <definedName name="__SP16" localSheetId="126">[1]FES!#REF!</definedName>
    <definedName name="__SP16" localSheetId="124">[1]FES!#REF!</definedName>
    <definedName name="__SP16" localSheetId="118">[1]FES!#REF!</definedName>
    <definedName name="__SP16" localSheetId="123">[1]FES!#REF!</definedName>
    <definedName name="__SP16" localSheetId="117">[1]FES!#REF!</definedName>
    <definedName name="__SP16" localSheetId="119">[1]FES!#REF!</definedName>
    <definedName name="__SP16" localSheetId="120">[1]FES!#REF!</definedName>
    <definedName name="__SP16" localSheetId="121">[1]FES!#REF!</definedName>
    <definedName name="__SP16" localSheetId="129">[1]FES!#REF!</definedName>
    <definedName name="__SP16" localSheetId="128">[1]FES!#REF!</definedName>
    <definedName name="__SP16" localSheetId="130">[1]FES!#REF!</definedName>
    <definedName name="__SP16" localSheetId="133">[1]FES!#REF!</definedName>
    <definedName name="__SP16" localSheetId="132">[1]FES!#REF!</definedName>
    <definedName name="__SP16" localSheetId="136">[1]FES!#REF!</definedName>
    <definedName name="__SP16" localSheetId="134">[1]FES!#REF!</definedName>
    <definedName name="__SP16" localSheetId="139">[1]FES!#REF!</definedName>
    <definedName name="__SP16" localSheetId="137">[1]FES!#REF!</definedName>
    <definedName name="__SP16" localSheetId="142">[1]FES!#REF!</definedName>
    <definedName name="__SP16" localSheetId="141">[1]FES!#REF!</definedName>
    <definedName name="__SP16" localSheetId="140">[1]FES!#REF!</definedName>
    <definedName name="__SP16" localSheetId="145">[1]FES!#REF!</definedName>
    <definedName name="__SP16" localSheetId="143">[1]FES!#REF!</definedName>
    <definedName name="__SP16" localSheetId="150">[1]FES!#REF!</definedName>
    <definedName name="__SP16" localSheetId="158">[1]FES!#REF!</definedName>
    <definedName name="__SP16" localSheetId="157">[1]FES!#REF!</definedName>
    <definedName name="__SP16" localSheetId="156">[1]FES!#REF!</definedName>
    <definedName name="__SP16" localSheetId="146">[1]FES!#REF!</definedName>
    <definedName name="__SP16" localSheetId="89">[1]FES!#REF!</definedName>
    <definedName name="__SP16" localSheetId="90">[1]FES!#REF!</definedName>
    <definedName name="__SP16" localSheetId="2">[2]FES!#REF!</definedName>
    <definedName name="__SP16" localSheetId="1">[2]FES!#REF!</definedName>
    <definedName name="__SP16">[1]FES!#REF!</definedName>
    <definedName name="__SP17" localSheetId="19">[1]FES!#REF!</definedName>
    <definedName name="__SP17" localSheetId="18">[1]FES!#REF!</definedName>
    <definedName name="__SP17" localSheetId="17">[1]FES!#REF!</definedName>
    <definedName name="__SP17" localSheetId="45">[1]FES!#REF!</definedName>
    <definedName name="__SP17" localSheetId="44">[1]FES!#REF!</definedName>
    <definedName name="__SP17" localSheetId="3">[1]FES!#REF!</definedName>
    <definedName name="__SP17" localSheetId="78">[1]FES!#REF!</definedName>
    <definedName name="__SP17" localSheetId="63">[1]FES!#REF!</definedName>
    <definedName name="__SP17" localSheetId="73">[1]FES!#REF!</definedName>
    <definedName name="__SP17" localSheetId="68">[1]FES!#REF!</definedName>
    <definedName name="__SP17" localSheetId="65">[1]FES!#REF!</definedName>
    <definedName name="__SP17" localSheetId="75">[1]FES!#REF!</definedName>
    <definedName name="__SP17" localSheetId="70">[1]FES!#REF!</definedName>
    <definedName name="__SP17" localSheetId="79">[1]FES!#REF!</definedName>
    <definedName name="__SP17" localSheetId="82">[1]FES!#REF!</definedName>
    <definedName name="__SP17" localSheetId="12">[1]FES!#REF!</definedName>
    <definedName name="__SP17" localSheetId="11">[1]FES!#REF!</definedName>
    <definedName name="__SP17" localSheetId="20">[2]FES!#REF!</definedName>
    <definedName name="__SP17" localSheetId="28">[1]FES!#REF!</definedName>
    <definedName name="__SP17" localSheetId="38">[1]FES!#REF!</definedName>
    <definedName name="__SP17" localSheetId="26">[1]FES!#REF!</definedName>
    <definedName name="__SP17" localSheetId="34">[1]FES!#REF!</definedName>
    <definedName name="__SP17" localSheetId="32">[1]FES!#REF!</definedName>
    <definedName name="__SP17" localSheetId="23">[1]FES!#REF!</definedName>
    <definedName name="__SP17" localSheetId="41">[1]FES!#REF!</definedName>
    <definedName name="__SP17" localSheetId="31">[1]FES!#REF!</definedName>
    <definedName name="__SP17" localSheetId="30">[1]FES!#REF!</definedName>
    <definedName name="__SP17" localSheetId="47">[2]FES!#REF!</definedName>
    <definedName name="__SP17" localSheetId="46">[2]FES!#REF!</definedName>
    <definedName name="__SP17" localSheetId="52">[1]FES!#REF!</definedName>
    <definedName name="__SP17" localSheetId="62">[1]FES!#REF!</definedName>
    <definedName name="__SP17" localSheetId="57">[1]FES!#REF!</definedName>
    <definedName name="__SP17" localSheetId="48">[1]FES!#REF!</definedName>
    <definedName name="__SP17" localSheetId="58">[1]FES!#REF!</definedName>
    <definedName name="__SP17" localSheetId="53">[1]FES!#REF!</definedName>
    <definedName name="__SP17" localSheetId="51">[1]FES!#REF!</definedName>
    <definedName name="__SP17" localSheetId="61">[1]FES!#REF!</definedName>
    <definedName name="__SP17" localSheetId="56">[1]FES!#REF!</definedName>
    <definedName name="__SP17" localSheetId="60">[1]FES!#REF!</definedName>
    <definedName name="__SP17" localSheetId="55">[1]FES!#REF!</definedName>
    <definedName name="__SP17" localSheetId="50">[1]FES!#REF!</definedName>
    <definedName name="__SP17" localSheetId="96">[1]FES!#REF!</definedName>
    <definedName name="__SP17" localSheetId="93">[1]FES!#REF!</definedName>
    <definedName name="__SP17" localSheetId="99">[1]FES!#REF!</definedName>
    <definedName name="__SP17" localSheetId="95">[1]FES!#REF!</definedName>
    <definedName name="__SP17" localSheetId="92">[1]FES!#REF!</definedName>
    <definedName name="__SP17" localSheetId="98">[1]FES!#REF!</definedName>
    <definedName name="__SP17" localSheetId="94">[1]FES!#REF!</definedName>
    <definedName name="__SP17" localSheetId="91">[1]FES!#REF!</definedName>
    <definedName name="__SP17" localSheetId="97">[1]FES!#REF!</definedName>
    <definedName name="__SP17" localSheetId="103">[1]FES!#REF!</definedName>
    <definedName name="__SP17" localSheetId="101">[1]FES!#REF!</definedName>
    <definedName name="__SP17" localSheetId="106">[1]FES!#REF!</definedName>
    <definedName name="__SP17" localSheetId="102">[1]FES!#REF!</definedName>
    <definedName name="__SP17" localSheetId="100">[1]FES!#REF!</definedName>
    <definedName name="__SP17" localSheetId="105">[1]FES!#REF!</definedName>
    <definedName name="__SP17" localSheetId="104">[1]FES!#REF!</definedName>
    <definedName name="__SP17" localSheetId="110">[1]FES!#REF!</definedName>
    <definedName name="__SP17" localSheetId="107">[1]FES!#REF!</definedName>
    <definedName name="__SP17" localSheetId="113">[1]FES!#REF!</definedName>
    <definedName name="__SP17" localSheetId="115">[1]FES!#REF!</definedName>
    <definedName name="__SP17" localSheetId="114">[1]FES!#REF!</definedName>
    <definedName name="__SP17" localSheetId="112">[1]FES!#REF!</definedName>
    <definedName name="__SP17" localSheetId="109">[1]FES!#REF!</definedName>
    <definedName name="__SP17" localSheetId="111">[1]FES!#REF!</definedName>
    <definedName name="__SP17" localSheetId="108">[1]FES!#REF!</definedName>
    <definedName name="__SP17" localSheetId="122">[1]FES!#REF!</definedName>
    <definedName name="__SP17" localSheetId="116">[1]FES!#REF!</definedName>
    <definedName name="__SP17" localSheetId="125">[1]FES!#REF!</definedName>
    <definedName name="__SP17" localSheetId="127">[1]FES!#REF!</definedName>
    <definedName name="__SP17" localSheetId="126">[1]FES!#REF!</definedName>
    <definedName name="__SP17" localSheetId="124">[1]FES!#REF!</definedName>
    <definedName name="__SP17" localSheetId="118">[1]FES!#REF!</definedName>
    <definedName name="__SP17" localSheetId="123">[1]FES!#REF!</definedName>
    <definedName name="__SP17" localSheetId="117">[1]FES!#REF!</definedName>
    <definedName name="__SP17" localSheetId="119">[1]FES!#REF!</definedName>
    <definedName name="__SP17" localSheetId="120">[1]FES!#REF!</definedName>
    <definedName name="__SP17" localSheetId="121">[1]FES!#REF!</definedName>
    <definedName name="__SP17" localSheetId="129">[1]FES!#REF!</definedName>
    <definedName name="__SP17" localSheetId="128">[1]FES!#REF!</definedName>
    <definedName name="__SP17" localSheetId="130">[1]FES!#REF!</definedName>
    <definedName name="__SP17" localSheetId="133">[1]FES!#REF!</definedName>
    <definedName name="__SP17" localSheetId="132">[1]FES!#REF!</definedName>
    <definedName name="__SP17" localSheetId="136">[1]FES!#REF!</definedName>
    <definedName name="__SP17" localSheetId="134">[1]FES!#REF!</definedName>
    <definedName name="__SP17" localSheetId="139">[1]FES!#REF!</definedName>
    <definedName name="__SP17" localSheetId="137">[1]FES!#REF!</definedName>
    <definedName name="__SP17" localSheetId="142">[1]FES!#REF!</definedName>
    <definedName name="__SP17" localSheetId="141">[1]FES!#REF!</definedName>
    <definedName name="__SP17" localSheetId="140">[1]FES!#REF!</definedName>
    <definedName name="__SP17" localSheetId="145">[1]FES!#REF!</definedName>
    <definedName name="__SP17" localSheetId="143">[1]FES!#REF!</definedName>
    <definedName name="__SP17" localSheetId="150">[1]FES!#REF!</definedName>
    <definedName name="__SP17" localSheetId="158">[1]FES!#REF!</definedName>
    <definedName name="__SP17" localSheetId="157">[1]FES!#REF!</definedName>
    <definedName name="__SP17" localSheetId="156">[1]FES!#REF!</definedName>
    <definedName name="__SP17" localSheetId="146">[1]FES!#REF!</definedName>
    <definedName name="__SP17" localSheetId="89">[1]FES!#REF!</definedName>
    <definedName name="__SP17" localSheetId="90">[1]FES!#REF!</definedName>
    <definedName name="__SP17" localSheetId="2">[2]FES!#REF!</definedName>
    <definedName name="__SP17" localSheetId="1">[2]FES!#REF!</definedName>
    <definedName name="__SP17">[1]FES!#REF!</definedName>
    <definedName name="__SP18" localSheetId="19">[1]FES!#REF!</definedName>
    <definedName name="__SP18" localSheetId="18">[1]FES!#REF!</definedName>
    <definedName name="__SP18" localSheetId="17">[1]FES!#REF!</definedName>
    <definedName name="__SP18" localSheetId="45">[1]FES!#REF!</definedName>
    <definedName name="__SP18" localSheetId="44">[1]FES!#REF!</definedName>
    <definedName name="__SP18" localSheetId="3">[1]FES!#REF!</definedName>
    <definedName name="__SP18" localSheetId="78">[1]FES!#REF!</definedName>
    <definedName name="__SP18" localSheetId="63">[1]FES!#REF!</definedName>
    <definedName name="__SP18" localSheetId="73">[1]FES!#REF!</definedName>
    <definedName name="__SP18" localSheetId="68">[1]FES!#REF!</definedName>
    <definedName name="__SP18" localSheetId="65">[1]FES!#REF!</definedName>
    <definedName name="__SP18" localSheetId="75">[1]FES!#REF!</definedName>
    <definedName name="__SP18" localSheetId="70">[1]FES!#REF!</definedName>
    <definedName name="__SP18" localSheetId="79">[1]FES!#REF!</definedName>
    <definedName name="__SP18" localSheetId="82">[1]FES!#REF!</definedName>
    <definedName name="__SP18" localSheetId="12">[1]FES!#REF!</definedName>
    <definedName name="__SP18" localSheetId="11">[1]FES!#REF!</definedName>
    <definedName name="__SP18" localSheetId="20">[2]FES!#REF!</definedName>
    <definedName name="__SP18" localSheetId="28">[1]FES!#REF!</definedName>
    <definedName name="__SP18" localSheetId="38">[1]FES!#REF!</definedName>
    <definedName name="__SP18" localSheetId="26">[1]FES!#REF!</definedName>
    <definedName name="__SP18" localSheetId="34">[1]FES!#REF!</definedName>
    <definedName name="__SP18" localSheetId="32">[1]FES!#REF!</definedName>
    <definedName name="__SP18" localSheetId="23">[1]FES!#REF!</definedName>
    <definedName name="__SP18" localSheetId="41">[1]FES!#REF!</definedName>
    <definedName name="__SP18" localSheetId="31">[1]FES!#REF!</definedName>
    <definedName name="__SP18" localSheetId="30">[1]FES!#REF!</definedName>
    <definedName name="__SP18" localSheetId="47">[2]FES!#REF!</definedName>
    <definedName name="__SP18" localSheetId="46">[2]FES!#REF!</definedName>
    <definedName name="__SP18" localSheetId="52">[1]FES!#REF!</definedName>
    <definedName name="__SP18" localSheetId="62">[1]FES!#REF!</definedName>
    <definedName name="__SP18" localSheetId="57">[1]FES!#REF!</definedName>
    <definedName name="__SP18" localSheetId="48">[1]FES!#REF!</definedName>
    <definedName name="__SP18" localSheetId="58">[1]FES!#REF!</definedName>
    <definedName name="__SP18" localSheetId="53">[1]FES!#REF!</definedName>
    <definedName name="__SP18" localSheetId="51">[1]FES!#REF!</definedName>
    <definedName name="__SP18" localSheetId="61">[1]FES!#REF!</definedName>
    <definedName name="__SP18" localSheetId="56">[1]FES!#REF!</definedName>
    <definedName name="__SP18" localSheetId="60">[1]FES!#REF!</definedName>
    <definedName name="__SP18" localSheetId="55">[1]FES!#REF!</definedName>
    <definedName name="__SP18" localSheetId="50">[1]FES!#REF!</definedName>
    <definedName name="__SP18" localSheetId="96">[1]FES!#REF!</definedName>
    <definedName name="__SP18" localSheetId="93">[1]FES!#REF!</definedName>
    <definedName name="__SP18" localSheetId="99">[1]FES!#REF!</definedName>
    <definedName name="__SP18" localSheetId="95">[1]FES!#REF!</definedName>
    <definedName name="__SP18" localSheetId="92">[1]FES!#REF!</definedName>
    <definedName name="__SP18" localSheetId="98">[1]FES!#REF!</definedName>
    <definedName name="__SP18" localSheetId="94">[1]FES!#REF!</definedName>
    <definedName name="__SP18" localSheetId="91">[1]FES!#REF!</definedName>
    <definedName name="__SP18" localSheetId="97">[1]FES!#REF!</definedName>
    <definedName name="__SP18" localSheetId="103">[1]FES!#REF!</definedName>
    <definedName name="__SP18" localSheetId="101">[1]FES!#REF!</definedName>
    <definedName name="__SP18" localSheetId="106">[1]FES!#REF!</definedName>
    <definedName name="__SP18" localSheetId="102">[1]FES!#REF!</definedName>
    <definedName name="__SP18" localSheetId="100">[1]FES!#REF!</definedName>
    <definedName name="__SP18" localSheetId="105">[1]FES!#REF!</definedName>
    <definedName name="__SP18" localSheetId="104">[1]FES!#REF!</definedName>
    <definedName name="__SP18" localSheetId="110">[1]FES!#REF!</definedName>
    <definedName name="__SP18" localSheetId="107">[1]FES!#REF!</definedName>
    <definedName name="__SP18" localSheetId="113">[1]FES!#REF!</definedName>
    <definedName name="__SP18" localSheetId="115">[1]FES!#REF!</definedName>
    <definedName name="__SP18" localSheetId="114">[1]FES!#REF!</definedName>
    <definedName name="__SP18" localSheetId="112">[1]FES!#REF!</definedName>
    <definedName name="__SP18" localSheetId="109">[1]FES!#REF!</definedName>
    <definedName name="__SP18" localSheetId="111">[1]FES!#REF!</definedName>
    <definedName name="__SP18" localSheetId="108">[1]FES!#REF!</definedName>
    <definedName name="__SP18" localSheetId="122">[1]FES!#REF!</definedName>
    <definedName name="__SP18" localSheetId="116">[1]FES!#REF!</definedName>
    <definedName name="__SP18" localSheetId="125">[1]FES!#REF!</definedName>
    <definedName name="__SP18" localSheetId="127">[1]FES!#REF!</definedName>
    <definedName name="__SP18" localSheetId="126">[1]FES!#REF!</definedName>
    <definedName name="__SP18" localSheetId="124">[1]FES!#REF!</definedName>
    <definedName name="__SP18" localSheetId="118">[1]FES!#REF!</definedName>
    <definedName name="__SP18" localSheetId="123">[1]FES!#REF!</definedName>
    <definedName name="__SP18" localSheetId="117">[1]FES!#REF!</definedName>
    <definedName name="__SP18" localSheetId="119">[1]FES!#REF!</definedName>
    <definedName name="__SP18" localSheetId="120">[1]FES!#REF!</definedName>
    <definedName name="__SP18" localSheetId="121">[1]FES!#REF!</definedName>
    <definedName name="__SP18" localSheetId="129">[1]FES!#REF!</definedName>
    <definedName name="__SP18" localSheetId="128">[1]FES!#REF!</definedName>
    <definedName name="__SP18" localSheetId="130">[1]FES!#REF!</definedName>
    <definedName name="__SP18" localSheetId="133">[1]FES!#REF!</definedName>
    <definedName name="__SP18" localSheetId="132">[1]FES!#REF!</definedName>
    <definedName name="__SP18" localSheetId="136">[1]FES!#REF!</definedName>
    <definedName name="__SP18" localSheetId="134">[1]FES!#REF!</definedName>
    <definedName name="__SP18" localSheetId="139">[1]FES!#REF!</definedName>
    <definedName name="__SP18" localSheetId="137">[1]FES!#REF!</definedName>
    <definedName name="__SP18" localSheetId="142">[1]FES!#REF!</definedName>
    <definedName name="__SP18" localSheetId="141">[1]FES!#REF!</definedName>
    <definedName name="__SP18" localSheetId="140">[1]FES!#REF!</definedName>
    <definedName name="__SP18" localSheetId="145">[1]FES!#REF!</definedName>
    <definedName name="__SP18" localSheetId="143">[1]FES!#REF!</definedName>
    <definedName name="__SP18" localSheetId="150">[1]FES!#REF!</definedName>
    <definedName name="__SP18" localSheetId="158">[1]FES!#REF!</definedName>
    <definedName name="__SP18" localSheetId="157">[1]FES!#REF!</definedName>
    <definedName name="__SP18" localSheetId="156">[1]FES!#REF!</definedName>
    <definedName name="__SP18" localSheetId="146">[1]FES!#REF!</definedName>
    <definedName name="__SP18" localSheetId="89">[1]FES!#REF!</definedName>
    <definedName name="__SP18" localSheetId="90">[1]FES!#REF!</definedName>
    <definedName name="__SP18" localSheetId="2">[2]FES!#REF!</definedName>
    <definedName name="__SP18" localSheetId="1">[2]FES!#REF!</definedName>
    <definedName name="__SP18">[1]FES!#REF!</definedName>
    <definedName name="__SP19" localSheetId="19">[1]FES!#REF!</definedName>
    <definedName name="__SP19" localSheetId="18">[1]FES!#REF!</definedName>
    <definedName name="__SP19" localSheetId="17">[1]FES!#REF!</definedName>
    <definedName name="__SP19" localSheetId="45">[1]FES!#REF!</definedName>
    <definedName name="__SP19" localSheetId="44">[1]FES!#REF!</definedName>
    <definedName name="__SP19" localSheetId="3">[1]FES!#REF!</definedName>
    <definedName name="__SP19" localSheetId="78">[1]FES!#REF!</definedName>
    <definedName name="__SP19" localSheetId="63">[1]FES!#REF!</definedName>
    <definedName name="__SP19" localSheetId="73">[1]FES!#REF!</definedName>
    <definedName name="__SP19" localSheetId="68">[1]FES!#REF!</definedName>
    <definedName name="__SP19" localSheetId="65">[1]FES!#REF!</definedName>
    <definedName name="__SP19" localSheetId="75">[1]FES!#REF!</definedName>
    <definedName name="__SP19" localSheetId="70">[1]FES!#REF!</definedName>
    <definedName name="__SP19" localSheetId="79">[1]FES!#REF!</definedName>
    <definedName name="__SP19" localSheetId="82">[1]FES!#REF!</definedName>
    <definedName name="__SP19" localSheetId="12">[1]FES!#REF!</definedName>
    <definedName name="__SP19" localSheetId="11">[1]FES!#REF!</definedName>
    <definedName name="__SP19" localSheetId="20">[2]FES!#REF!</definedName>
    <definedName name="__SP19" localSheetId="28">[1]FES!#REF!</definedName>
    <definedName name="__SP19" localSheetId="38">[1]FES!#REF!</definedName>
    <definedName name="__SP19" localSheetId="26">[1]FES!#REF!</definedName>
    <definedName name="__SP19" localSheetId="34">[1]FES!#REF!</definedName>
    <definedName name="__SP19" localSheetId="32">[1]FES!#REF!</definedName>
    <definedName name="__SP19" localSheetId="23">[1]FES!#REF!</definedName>
    <definedName name="__SP19" localSheetId="41">[1]FES!#REF!</definedName>
    <definedName name="__SP19" localSheetId="31">[1]FES!#REF!</definedName>
    <definedName name="__SP19" localSheetId="30">[1]FES!#REF!</definedName>
    <definedName name="__SP19" localSheetId="47">[2]FES!#REF!</definedName>
    <definedName name="__SP19" localSheetId="46">[2]FES!#REF!</definedName>
    <definedName name="__SP19" localSheetId="52">[1]FES!#REF!</definedName>
    <definedName name="__SP19" localSheetId="62">[1]FES!#REF!</definedName>
    <definedName name="__SP19" localSheetId="57">[1]FES!#REF!</definedName>
    <definedName name="__SP19" localSheetId="48">[1]FES!#REF!</definedName>
    <definedName name="__SP19" localSheetId="58">[1]FES!#REF!</definedName>
    <definedName name="__SP19" localSheetId="53">[1]FES!#REF!</definedName>
    <definedName name="__SP19" localSheetId="51">[1]FES!#REF!</definedName>
    <definedName name="__SP19" localSheetId="61">[1]FES!#REF!</definedName>
    <definedName name="__SP19" localSheetId="56">[1]FES!#REF!</definedName>
    <definedName name="__SP19" localSheetId="60">[1]FES!#REF!</definedName>
    <definedName name="__SP19" localSheetId="55">[1]FES!#REF!</definedName>
    <definedName name="__SP19" localSheetId="50">[1]FES!#REF!</definedName>
    <definedName name="__SP19" localSheetId="96">[1]FES!#REF!</definedName>
    <definedName name="__SP19" localSheetId="93">[1]FES!#REF!</definedName>
    <definedName name="__SP19" localSheetId="99">[1]FES!#REF!</definedName>
    <definedName name="__SP19" localSheetId="95">[1]FES!#REF!</definedName>
    <definedName name="__SP19" localSheetId="92">[1]FES!#REF!</definedName>
    <definedName name="__SP19" localSheetId="98">[1]FES!#REF!</definedName>
    <definedName name="__SP19" localSheetId="94">[1]FES!#REF!</definedName>
    <definedName name="__SP19" localSheetId="91">[1]FES!#REF!</definedName>
    <definedName name="__SP19" localSheetId="97">[1]FES!#REF!</definedName>
    <definedName name="__SP19" localSheetId="103">[1]FES!#REF!</definedName>
    <definedName name="__SP19" localSheetId="101">[1]FES!#REF!</definedName>
    <definedName name="__SP19" localSheetId="106">[1]FES!#REF!</definedName>
    <definedName name="__SP19" localSheetId="102">[1]FES!#REF!</definedName>
    <definedName name="__SP19" localSheetId="100">[1]FES!#REF!</definedName>
    <definedName name="__SP19" localSheetId="105">[1]FES!#REF!</definedName>
    <definedName name="__SP19" localSheetId="104">[1]FES!#REF!</definedName>
    <definedName name="__SP19" localSheetId="110">[1]FES!#REF!</definedName>
    <definedName name="__SP19" localSheetId="107">[1]FES!#REF!</definedName>
    <definedName name="__SP19" localSheetId="113">[1]FES!#REF!</definedName>
    <definedName name="__SP19" localSheetId="115">[1]FES!#REF!</definedName>
    <definedName name="__SP19" localSheetId="114">[1]FES!#REF!</definedName>
    <definedName name="__SP19" localSheetId="112">[1]FES!#REF!</definedName>
    <definedName name="__SP19" localSheetId="109">[1]FES!#REF!</definedName>
    <definedName name="__SP19" localSheetId="111">[1]FES!#REF!</definedName>
    <definedName name="__SP19" localSheetId="108">[1]FES!#REF!</definedName>
    <definedName name="__SP19" localSheetId="122">[1]FES!#REF!</definedName>
    <definedName name="__SP19" localSheetId="116">[1]FES!#REF!</definedName>
    <definedName name="__SP19" localSheetId="125">[1]FES!#REF!</definedName>
    <definedName name="__SP19" localSheetId="127">[1]FES!#REF!</definedName>
    <definedName name="__SP19" localSheetId="126">[1]FES!#REF!</definedName>
    <definedName name="__SP19" localSheetId="124">[1]FES!#REF!</definedName>
    <definedName name="__SP19" localSheetId="118">[1]FES!#REF!</definedName>
    <definedName name="__SP19" localSheetId="123">[1]FES!#REF!</definedName>
    <definedName name="__SP19" localSheetId="117">[1]FES!#REF!</definedName>
    <definedName name="__SP19" localSheetId="119">[1]FES!#REF!</definedName>
    <definedName name="__SP19" localSheetId="120">[1]FES!#REF!</definedName>
    <definedName name="__SP19" localSheetId="121">[1]FES!#REF!</definedName>
    <definedName name="__SP19" localSheetId="129">[1]FES!#REF!</definedName>
    <definedName name="__SP19" localSheetId="128">[1]FES!#REF!</definedName>
    <definedName name="__SP19" localSheetId="130">[1]FES!#REF!</definedName>
    <definedName name="__SP19" localSheetId="133">[1]FES!#REF!</definedName>
    <definedName name="__SP19" localSheetId="132">[1]FES!#REF!</definedName>
    <definedName name="__SP19" localSheetId="136">[1]FES!#REF!</definedName>
    <definedName name="__SP19" localSheetId="134">[1]FES!#REF!</definedName>
    <definedName name="__SP19" localSheetId="139">[1]FES!#REF!</definedName>
    <definedName name="__SP19" localSheetId="137">[1]FES!#REF!</definedName>
    <definedName name="__SP19" localSheetId="142">[1]FES!#REF!</definedName>
    <definedName name="__SP19" localSheetId="141">[1]FES!#REF!</definedName>
    <definedName name="__SP19" localSheetId="140">[1]FES!#REF!</definedName>
    <definedName name="__SP19" localSheetId="145">[1]FES!#REF!</definedName>
    <definedName name="__SP19" localSheetId="143">[1]FES!#REF!</definedName>
    <definedName name="__SP19" localSheetId="150">[1]FES!#REF!</definedName>
    <definedName name="__SP19" localSheetId="158">[1]FES!#REF!</definedName>
    <definedName name="__SP19" localSheetId="157">[1]FES!#REF!</definedName>
    <definedName name="__SP19" localSheetId="156">[1]FES!#REF!</definedName>
    <definedName name="__SP19" localSheetId="146">[1]FES!#REF!</definedName>
    <definedName name="__SP19" localSheetId="89">[1]FES!#REF!</definedName>
    <definedName name="__SP19" localSheetId="90">[1]FES!#REF!</definedName>
    <definedName name="__SP19" localSheetId="2">[2]FES!#REF!</definedName>
    <definedName name="__SP19" localSheetId="1">[2]FES!#REF!</definedName>
    <definedName name="__SP19">[1]FES!#REF!</definedName>
    <definedName name="__SP2" localSheetId="19">[1]FES!#REF!</definedName>
    <definedName name="__SP2" localSheetId="18">[1]FES!#REF!</definedName>
    <definedName name="__SP2" localSheetId="17">[1]FES!#REF!</definedName>
    <definedName name="__SP2" localSheetId="45">[1]FES!#REF!</definedName>
    <definedName name="__SP2" localSheetId="44">[1]FES!#REF!</definedName>
    <definedName name="__SP2" localSheetId="3">[1]FES!#REF!</definedName>
    <definedName name="__SP2" localSheetId="78">[1]FES!#REF!</definedName>
    <definedName name="__SP2" localSheetId="63">[1]FES!#REF!</definedName>
    <definedName name="__SP2" localSheetId="73">[1]FES!#REF!</definedName>
    <definedName name="__SP2" localSheetId="68">[1]FES!#REF!</definedName>
    <definedName name="__SP2" localSheetId="65">[1]FES!#REF!</definedName>
    <definedName name="__SP2" localSheetId="75">[1]FES!#REF!</definedName>
    <definedName name="__SP2" localSheetId="70">[1]FES!#REF!</definedName>
    <definedName name="__SP2" localSheetId="79">[1]FES!#REF!</definedName>
    <definedName name="__SP2" localSheetId="82">[1]FES!#REF!</definedName>
    <definedName name="__SP2" localSheetId="12">[1]FES!#REF!</definedName>
    <definedName name="__SP2" localSheetId="11">[1]FES!#REF!</definedName>
    <definedName name="__SP2" localSheetId="20">[2]FES!#REF!</definedName>
    <definedName name="__SP2" localSheetId="28">[1]FES!#REF!</definedName>
    <definedName name="__SP2" localSheetId="38">[1]FES!#REF!</definedName>
    <definedName name="__SP2" localSheetId="26">[1]FES!#REF!</definedName>
    <definedName name="__SP2" localSheetId="34">[1]FES!#REF!</definedName>
    <definedName name="__SP2" localSheetId="32">[1]FES!#REF!</definedName>
    <definedName name="__SP2" localSheetId="23">[1]FES!#REF!</definedName>
    <definedName name="__SP2" localSheetId="41">[1]FES!#REF!</definedName>
    <definedName name="__SP2" localSheetId="31">[1]FES!#REF!</definedName>
    <definedName name="__SP2" localSheetId="30">[1]FES!#REF!</definedName>
    <definedName name="__SP2" localSheetId="47">[2]FES!#REF!</definedName>
    <definedName name="__SP2" localSheetId="46">[2]FES!#REF!</definedName>
    <definedName name="__SP2" localSheetId="52">[1]FES!#REF!</definedName>
    <definedName name="__SP2" localSheetId="62">[1]FES!#REF!</definedName>
    <definedName name="__SP2" localSheetId="57">[1]FES!#REF!</definedName>
    <definedName name="__SP2" localSheetId="48">[1]FES!#REF!</definedName>
    <definedName name="__SP2" localSheetId="58">[1]FES!#REF!</definedName>
    <definedName name="__SP2" localSheetId="53">[1]FES!#REF!</definedName>
    <definedName name="__SP2" localSheetId="51">[1]FES!#REF!</definedName>
    <definedName name="__SP2" localSheetId="61">[1]FES!#REF!</definedName>
    <definedName name="__SP2" localSheetId="56">[1]FES!#REF!</definedName>
    <definedName name="__SP2" localSheetId="60">[1]FES!#REF!</definedName>
    <definedName name="__SP2" localSheetId="55">[1]FES!#REF!</definedName>
    <definedName name="__SP2" localSheetId="50">[1]FES!#REF!</definedName>
    <definedName name="__SP2" localSheetId="96">[1]FES!#REF!</definedName>
    <definedName name="__SP2" localSheetId="93">[1]FES!#REF!</definedName>
    <definedName name="__SP2" localSheetId="99">[1]FES!#REF!</definedName>
    <definedName name="__SP2" localSheetId="95">[1]FES!#REF!</definedName>
    <definedName name="__SP2" localSheetId="92">[1]FES!#REF!</definedName>
    <definedName name="__SP2" localSheetId="98">[1]FES!#REF!</definedName>
    <definedName name="__SP2" localSheetId="94">[1]FES!#REF!</definedName>
    <definedName name="__SP2" localSheetId="91">[1]FES!#REF!</definedName>
    <definedName name="__SP2" localSheetId="97">[1]FES!#REF!</definedName>
    <definedName name="__SP2" localSheetId="103">[1]FES!#REF!</definedName>
    <definedName name="__SP2" localSheetId="101">[1]FES!#REF!</definedName>
    <definedName name="__SP2" localSheetId="106">[1]FES!#REF!</definedName>
    <definedName name="__SP2" localSheetId="102">[1]FES!#REF!</definedName>
    <definedName name="__SP2" localSheetId="100">[1]FES!#REF!</definedName>
    <definedName name="__SP2" localSheetId="105">[1]FES!#REF!</definedName>
    <definedName name="__SP2" localSheetId="104">[1]FES!#REF!</definedName>
    <definedName name="__SP2" localSheetId="110">[1]FES!#REF!</definedName>
    <definedName name="__SP2" localSheetId="107">[1]FES!#REF!</definedName>
    <definedName name="__SP2" localSheetId="113">[1]FES!#REF!</definedName>
    <definedName name="__SP2" localSheetId="115">[1]FES!#REF!</definedName>
    <definedName name="__SP2" localSheetId="114">[1]FES!#REF!</definedName>
    <definedName name="__SP2" localSheetId="112">[1]FES!#REF!</definedName>
    <definedName name="__SP2" localSheetId="109">[1]FES!#REF!</definedName>
    <definedName name="__SP2" localSheetId="111">[1]FES!#REF!</definedName>
    <definedName name="__SP2" localSheetId="108">[1]FES!#REF!</definedName>
    <definedName name="__SP2" localSheetId="122">[1]FES!#REF!</definedName>
    <definedName name="__SP2" localSheetId="116">[1]FES!#REF!</definedName>
    <definedName name="__SP2" localSheetId="125">[1]FES!#REF!</definedName>
    <definedName name="__SP2" localSheetId="127">[1]FES!#REF!</definedName>
    <definedName name="__SP2" localSheetId="126">[1]FES!#REF!</definedName>
    <definedName name="__SP2" localSheetId="124">[1]FES!#REF!</definedName>
    <definedName name="__SP2" localSheetId="118">[1]FES!#REF!</definedName>
    <definedName name="__SP2" localSheetId="123">[1]FES!#REF!</definedName>
    <definedName name="__SP2" localSheetId="117">[1]FES!#REF!</definedName>
    <definedName name="__SP2" localSheetId="119">[1]FES!#REF!</definedName>
    <definedName name="__SP2" localSheetId="120">[1]FES!#REF!</definedName>
    <definedName name="__SP2" localSheetId="121">[1]FES!#REF!</definedName>
    <definedName name="__SP2" localSheetId="129">[1]FES!#REF!</definedName>
    <definedName name="__SP2" localSheetId="128">[1]FES!#REF!</definedName>
    <definedName name="__SP2" localSheetId="130">[1]FES!#REF!</definedName>
    <definedName name="__SP2" localSheetId="133">[1]FES!#REF!</definedName>
    <definedName name="__SP2" localSheetId="132">[1]FES!#REF!</definedName>
    <definedName name="__SP2" localSheetId="136">[1]FES!#REF!</definedName>
    <definedName name="__SP2" localSheetId="134">[1]FES!#REF!</definedName>
    <definedName name="__SP2" localSheetId="139">[1]FES!#REF!</definedName>
    <definedName name="__SP2" localSheetId="137">[1]FES!#REF!</definedName>
    <definedName name="__SP2" localSheetId="142">[1]FES!#REF!</definedName>
    <definedName name="__SP2" localSheetId="141">[1]FES!#REF!</definedName>
    <definedName name="__SP2" localSheetId="140">[1]FES!#REF!</definedName>
    <definedName name="__SP2" localSheetId="145">[1]FES!#REF!</definedName>
    <definedName name="__SP2" localSheetId="143">[1]FES!#REF!</definedName>
    <definedName name="__SP2" localSheetId="150">[1]FES!#REF!</definedName>
    <definedName name="__SP2" localSheetId="158">[1]FES!#REF!</definedName>
    <definedName name="__SP2" localSheetId="157">[1]FES!#REF!</definedName>
    <definedName name="__SP2" localSheetId="156">[1]FES!#REF!</definedName>
    <definedName name="__SP2" localSheetId="146">[1]FES!#REF!</definedName>
    <definedName name="__SP2" localSheetId="89">[1]FES!#REF!</definedName>
    <definedName name="__SP2" localSheetId="90">[1]FES!#REF!</definedName>
    <definedName name="__SP2" localSheetId="2">[2]FES!#REF!</definedName>
    <definedName name="__SP2" localSheetId="1">[2]FES!#REF!</definedName>
    <definedName name="__SP2">[1]FES!#REF!</definedName>
    <definedName name="__SP20" localSheetId="19">[1]FES!#REF!</definedName>
    <definedName name="__SP20" localSheetId="18">[1]FES!#REF!</definedName>
    <definedName name="__SP20" localSheetId="17">[1]FES!#REF!</definedName>
    <definedName name="__SP20" localSheetId="45">[1]FES!#REF!</definedName>
    <definedName name="__SP20" localSheetId="44">[1]FES!#REF!</definedName>
    <definedName name="__SP20" localSheetId="3">[1]FES!#REF!</definedName>
    <definedName name="__SP20" localSheetId="78">[1]FES!#REF!</definedName>
    <definedName name="__SP20" localSheetId="63">[1]FES!#REF!</definedName>
    <definedName name="__SP20" localSheetId="73">[1]FES!#REF!</definedName>
    <definedName name="__SP20" localSheetId="68">[1]FES!#REF!</definedName>
    <definedName name="__SP20" localSheetId="65">[1]FES!#REF!</definedName>
    <definedName name="__SP20" localSheetId="75">[1]FES!#REF!</definedName>
    <definedName name="__SP20" localSheetId="70">[1]FES!#REF!</definedName>
    <definedName name="__SP20" localSheetId="79">[1]FES!#REF!</definedName>
    <definedName name="__SP20" localSheetId="82">[1]FES!#REF!</definedName>
    <definedName name="__SP20" localSheetId="12">[1]FES!#REF!</definedName>
    <definedName name="__SP20" localSheetId="11">[1]FES!#REF!</definedName>
    <definedName name="__SP20" localSheetId="20">[2]FES!#REF!</definedName>
    <definedName name="__SP20" localSheetId="28">[1]FES!#REF!</definedName>
    <definedName name="__SP20" localSheetId="38">[1]FES!#REF!</definedName>
    <definedName name="__SP20" localSheetId="26">[1]FES!#REF!</definedName>
    <definedName name="__SP20" localSheetId="34">[1]FES!#REF!</definedName>
    <definedName name="__SP20" localSheetId="32">[1]FES!#REF!</definedName>
    <definedName name="__SP20" localSheetId="23">[1]FES!#REF!</definedName>
    <definedName name="__SP20" localSheetId="41">[1]FES!#REF!</definedName>
    <definedName name="__SP20" localSheetId="31">[1]FES!#REF!</definedName>
    <definedName name="__SP20" localSheetId="30">[1]FES!#REF!</definedName>
    <definedName name="__SP20" localSheetId="47">[2]FES!#REF!</definedName>
    <definedName name="__SP20" localSheetId="46">[2]FES!#REF!</definedName>
    <definedName name="__SP20" localSheetId="52">[1]FES!#REF!</definedName>
    <definedName name="__SP20" localSheetId="62">[1]FES!#REF!</definedName>
    <definedName name="__SP20" localSheetId="57">[1]FES!#REF!</definedName>
    <definedName name="__SP20" localSheetId="48">[1]FES!#REF!</definedName>
    <definedName name="__SP20" localSheetId="58">[1]FES!#REF!</definedName>
    <definedName name="__SP20" localSheetId="53">[1]FES!#REF!</definedName>
    <definedName name="__SP20" localSheetId="51">[1]FES!#REF!</definedName>
    <definedName name="__SP20" localSheetId="61">[1]FES!#REF!</definedName>
    <definedName name="__SP20" localSheetId="56">[1]FES!#REF!</definedName>
    <definedName name="__SP20" localSheetId="60">[1]FES!#REF!</definedName>
    <definedName name="__SP20" localSheetId="55">[1]FES!#REF!</definedName>
    <definedName name="__SP20" localSheetId="50">[1]FES!#REF!</definedName>
    <definedName name="__SP20" localSheetId="96">[1]FES!#REF!</definedName>
    <definedName name="__SP20" localSheetId="93">[1]FES!#REF!</definedName>
    <definedName name="__SP20" localSheetId="99">[1]FES!#REF!</definedName>
    <definedName name="__SP20" localSheetId="95">[1]FES!#REF!</definedName>
    <definedName name="__SP20" localSheetId="92">[1]FES!#REF!</definedName>
    <definedName name="__SP20" localSheetId="98">[1]FES!#REF!</definedName>
    <definedName name="__SP20" localSheetId="94">[1]FES!#REF!</definedName>
    <definedName name="__SP20" localSheetId="91">[1]FES!#REF!</definedName>
    <definedName name="__SP20" localSheetId="97">[1]FES!#REF!</definedName>
    <definedName name="__SP20" localSheetId="103">[1]FES!#REF!</definedName>
    <definedName name="__SP20" localSheetId="101">[1]FES!#REF!</definedName>
    <definedName name="__SP20" localSheetId="106">[1]FES!#REF!</definedName>
    <definedName name="__SP20" localSheetId="102">[1]FES!#REF!</definedName>
    <definedName name="__SP20" localSheetId="100">[1]FES!#REF!</definedName>
    <definedName name="__SP20" localSheetId="105">[1]FES!#REF!</definedName>
    <definedName name="__SP20" localSheetId="104">[1]FES!#REF!</definedName>
    <definedName name="__SP20" localSheetId="110">[1]FES!#REF!</definedName>
    <definedName name="__SP20" localSheetId="107">[1]FES!#REF!</definedName>
    <definedName name="__SP20" localSheetId="113">[1]FES!#REF!</definedName>
    <definedName name="__SP20" localSheetId="115">[1]FES!#REF!</definedName>
    <definedName name="__SP20" localSheetId="114">[1]FES!#REF!</definedName>
    <definedName name="__SP20" localSheetId="112">[1]FES!#REF!</definedName>
    <definedName name="__SP20" localSheetId="109">[1]FES!#REF!</definedName>
    <definedName name="__SP20" localSheetId="111">[1]FES!#REF!</definedName>
    <definedName name="__SP20" localSheetId="108">[1]FES!#REF!</definedName>
    <definedName name="__SP20" localSheetId="122">[1]FES!#REF!</definedName>
    <definedName name="__SP20" localSheetId="116">[1]FES!#REF!</definedName>
    <definedName name="__SP20" localSheetId="125">[1]FES!#REF!</definedName>
    <definedName name="__SP20" localSheetId="127">[1]FES!#REF!</definedName>
    <definedName name="__SP20" localSheetId="126">[1]FES!#REF!</definedName>
    <definedName name="__SP20" localSheetId="124">[1]FES!#REF!</definedName>
    <definedName name="__SP20" localSheetId="118">[1]FES!#REF!</definedName>
    <definedName name="__SP20" localSheetId="123">[1]FES!#REF!</definedName>
    <definedName name="__SP20" localSheetId="117">[1]FES!#REF!</definedName>
    <definedName name="__SP20" localSheetId="119">[1]FES!#REF!</definedName>
    <definedName name="__SP20" localSheetId="120">[1]FES!#REF!</definedName>
    <definedName name="__SP20" localSheetId="121">[1]FES!#REF!</definedName>
    <definedName name="__SP20" localSheetId="129">[1]FES!#REF!</definedName>
    <definedName name="__SP20" localSheetId="128">[1]FES!#REF!</definedName>
    <definedName name="__SP20" localSheetId="130">[1]FES!#REF!</definedName>
    <definedName name="__SP20" localSheetId="133">[1]FES!#REF!</definedName>
    <definedName name="__SP20" localSheetId="132">[1]FES!#REF!</definedName>
    <definedName name="__SP20" localSheetId="136">[1]FES!#REF!</definedName>
    <definedName name="__SP20" localSheetId="134">[1]FES!#REF!</definedName>
    <definedName name="__SP20" localSheetId="139">[1]FES!#REF!</definedName>
    <definedName name="__SP20" localSheetId="137">[1]FES!#REF!</definedName>
    <definedName name="__SP20" localSheetId="142">[1]FES!#REF!</definedName>
    <definedName name="__SP20" localSheetId="141">[1]FES!#REF!</definedName>
    <definedName name="__SP20" localSheetId="140">[1]FES!#REF!</definedName>
    <definedName name="__SP20" localSheetId="145">[1]FES!#REF!</definedName>
    <definedName name="__SP20" localSheetId="143">[1]FES!#REF!</definedName>
    <definedName name="__SP20" localSheetId="150">[1]FES!#REF!</definedName>
    <definedName name="__SP20" localSheetId="158">[1]FES!#REF!</definedName>
    <definedName name="__SP20" localSheetId="157">[1]FES!#REF!</definedName>
    <definedName name="__SP20" localSheetId="156">[1]FES!#REF!</definedName>
    <definedName name="__SP20" localSheetId="146">[1]FES!#REF!</definedName>
    <definedName name="__SP20" localSheetId="89">[1]FES!#REF!</definedName>
    <definedName name="__SP20" localSheetId="90">[1]FES!#REF!</definedName>
    <definedName name="__SP20" localSheetId="2">[2]FES!#REF!</definedName>
    <definedName name="__SP20" localSheetId="1">[2]FES!#REF!</definedName>
    <definedName name="__SP20">[1]FES!#REF!</definedName>
    <definedName name="__SP3" localSheetId="19">[1]FES!#REF!</definedName>
    <definedName name="__SP3" localSheetId="18">[1]FES!#REF!</definedName>
    <definedName name="__SP3" localSheetId="17">[1]FES!#REF!</definedName>
    <definedName name="__SP3" localSheetId="45">[1]FES!#REF!</definedName>
    <definedName name="__SP3" localSheetId="44">[1]FES!#REF!</definedName>
    <definedName name="__SP3" localSheetId="3">[1]FES!#REF!</definedName>
    <definedName name="__SP3" localSheetId="78">[1]FES!#REF!</definedName>
    <definedName name="__SP3" localSheetId="63">[1]FES!#REF!</definedName>
    <definedName name="__SP3" localSheetId="73">[1]FES!#REF!</definedName>
    <definedName name="__SP3" localSheetId="68">[1]FES!#REF!</definedName>
    <definedName name="__SP3" localSheetId="65">[1]FES!#REF!</definedName>
    <definedName name="__SP3" localSheetId="75">[1]FES!#REF!</definedName>
    <definedName name="__SP3" localSheetId="70">[1]FES!#REF!</definedName>
    <definedName name="__SP3" localSheetId="79">[1]FES!#REF!</definedName>
    <definedName name="__SP3" localSheetId="82">[1]FES!#REF!</definedName>
    <definedName name="__SP3" localSheetId="12">[1]FES!#REF!</definedName>
    <definedName name="__SP3" localSheetId="11">[1]FES!#REF!</definedName>
    <definedName name="__SP3" localSheetId="20">[2]FES!#REF!</definedName>
    <definedName name="__SP3" localSheetId="28">[1]FES!#REF!</definedName>
    <definedName name="__SP3" localSheetId="38">[1]FES!#REF!</definedName>
    <definedName name="__SP3" localSheetId="26">[1]FES!#REF!</definedName>
    <definedName name="__SP3" localSheetId="34">[1]FES!#REF!</definedName>
    <definedName name="__SP3" localSheetId="32">[1]FES!#REF!</definedName>
    <definedName name="__SP3" localSheetId="23">[1]FES!#REF!</definedName>
    <definedName name="__SP3" localSheetId="41">[1]FES!#REF!</definedName>
    <definedName name="__SP3" localSheetId="31">[1]FES!#REF!</definedName>
    <definedName name="__SP3" localSheetId="30">[1]FES!#REF!</definedName>
    <definedName name="__SP3" localSheetId="47">[2]FES!#REF!</definedName>
    <definedName name="__SP3" localSheetId="46">[2]FES!#REF!</definedName>
    <definedName name="__SP3" localSheetId="52">[1]FES!#REF!</definedName>
    <definedName name="__SP3" localSheetId="62">[1]FES!#REF!</definedName>
    <definedName name="__SP3" localSheetId="57">[1]FES!#REF!</definedName>
    <definedName name="__SP3" localSheetId="48">[1]FES!#REF!</definedName>
    <definedName name="__SP3" localSheetId="58">[1]FES!#REF!</definedName>
    <definedName name="__SP3" localSheetId="53">[1]FES!#REF!</definedName>
    <definedName name="__SP3" localSheetId="51">[1]FES!#REF!</definedName>
    <definedName name="__SP3" localSheetId="61">[1]FES!#REF!</definedName>
    <definedName name="__SP3" localSheetId="56">[1]FES!#REF!</definedName>
    <definedName name="__SP3" localSheetId="60">[1]FES!#REF!</definedName>
    <definedName name="__SP3" localSheetId="55">[1]FES!#REF!</definedName>
    <definedName name="__SP3" localSheetId="50">[1]FES!#REF!</definedName>
    <definedName name="__SP3" localSheetId="96">[1]FES!#REF!</definedName>
    <definedName name="__SP3" localSheetId="93">[1]FES!#REF!</definedName>
    <definedName name="__SP3" localSheetId="99">[1]FES!#REF!</definedName>
    <definedName name="__SP3" localSheetId="95">[1]FES!#REF!</definedName>
    <definedName name="__SP3" localSheetId="92">[1]FES!#REF!</definedName>
    <definedName name="__SP3" localSheetId="98">[1]FES!#REF!</definedName>
    <definedName name="__SP3" localSheetId="94">[1]FES!#REF!</definedName>
    <definedName name="__SP3" localSheetId="91">[1]FES!#REF!</definedName>
    <definedName name="__SP3" localSheetId="97">[1]FES!#REF!</definedName>
    <definedName name="__SP3" localSheetId="103">[1]FES!#REF!</definedName>
    <definedName name="__SP3" localSheetId="101">[1]FES!#REF!</definedName>
    <definedName name="__SP3" localSheetId="106">[1]FES!#REF!</definedName>
    <definedName name="__SP3" localSheetId="102">[1]FES!#REF!</definedName>
    <definedName name="__SP3" localSheetId="100">[1]FES!#REF!</definedName>
    <definedName name="__SP3" localSheetId="105">[1]FES!#REF!</definedName>
    <definedName name="__SP3" localSheetId="104">[1]FES!#REF!</definedName>
    <definedName name="__SP3" localSheetId="110">[1]FES!#REF!</definedName>
    <definedName name="__SP3" localSheetId="107">[1]FES!#REF!</definedName>
    <definedName name="__SP3" localSheetId="113">[1]FES!#REF!</definedName>
    <definedName name="__SP3" localSheetId="115">[1]FES!#REF!</definedName>
    <definedName name="__SP3" localSheetId="114">[1]FES!#REF!</definedName>
    <definedName name="__SP3" localSheetId="112">[1]FES!#REF!</definedName>
    <definedName name="__SP3" localSheetId="109">[1]FES!#REF!</definedName>
    <definedName name="__SP3" localSheetId="111">[1]FES!#REF!</definedName>
    <definedName name="__SP3" localSheetId="108">[1]FES!#REF!</definedName>
    <definedName name="__SP3" localSheetId="122">[1]FES!#REF!</definedName>
    <definedName name="__SP3" localSheetId="116">[1]FES!#REF!</definedName>
    <definedName name="__SP3" localSheetId="125">[1]FES!#REF!</definedName>
    <definedName name="__SP3" localSheetId="127">[1]FES!#REF!</definedName>
    <definedName name="__SP3" localSheetId="126">[1]FES!#REF!</definedName>
    <definedName name="__SP3" localSheetId="124">[1]FES!#REF!</definedName>
    <definedName name="__SP3" localSheetId="118">[1]FES!#REF!</definedName>
    <definedName name="__SP3" localSheetId="123">[1]FES!#REF!</definedName>
    <definedName name="__SP3" localSheetId="117">[1]FES!#REF!</definedName>
    <definedName name="__SP3" localSheetId="119">[1]FES!#REF!</definedName>
    <definedName name="__SP3" localSheetId="120">[1]FES!#REF!</definedName>
    <definedName name="__SP3" localSheetId="121">[1]FES!#REF!</definedName>
    <definedName name="__SP3" localSheetId="129">[1]FES!#REF!</definedName>
    <definedName name="__SP3" localSheetId="128">[1]FES!#REF!</definedName>
    <definedName name="__SP3" localSheetId="130">[1]FES!#REF!</definedName>
    <definedName name="__SP3" localSheetId="133">[1]FES!#REF!</definedName>
    <definedName name="__SP3" localSheetId="132">[1]FES!#REF!</definedName>
    <definedName name="__SP3" localSheetId="136">[1]FES!#REF!</definedName>
    <definedName name="__SP3" localSheetId="134">[1]FES!#REF!</definedName>
    <definedName name="__SP3" localSheetId="139">[1]FES!#REF!</definedName>
    <definedName name="__SP3" localSheetId="137">[1]FES!#REF!</definedName>
    <definedName name="__SP3" localSheetId="142">[1]FES!#REF!</definedName>
    <definedName name="__SP3" localSheetId="141">[1]FES!#REF!</definedName>
    <definedName name="__SP3" localSheetId="140">[1]FES!#REF!</definedName>
    <definedName name="__SP3" localSheetId="145">[1]FES!#REF!</definedName>
    <definedName name="__SP3" localSheetId="143">[1]FES!#REF!</definedName>
    <definedName name="__SP3" localSheetId="150">[1]FES!#REF!</definedName>
    <definedName name="__SP3" localSheetId="158">[1]FES!#REF!</definedName>
    <definedName name="__SP3" localSheetId="157">[1]FES!#REF!</definedName>
    <definedName name="__SP3" localSheetId="156">[1]FES!#REF!</definedName>
    <definedName name="__SP3" localSheetId="146">[1]FES!#REF!</definedName>
    <definedName name="__SP3" localSheetId="89">[1]FES!#REF!</definedName>
    <definedName name="__SP3" localSheetId="90">[1]FES!#REF!</definedName>
    <definedName name="__SP3" localSheetId="2">[2]FES!#REF!</definedName>
    <definedName name="__SP3" localSheetId="1">[2]FES!#REF!</definedName>
    <definedName name="__SP3">[1]FES!#REF!</definedName>
    <definedName name="__SP4" localSheetId="19">[1]FES!#REF!</definedName>
    <definedName name="__SP4" localSheetId="18">[1]FES!#REF!</definedName>
    <definedName name="__SP4" localSheetId="17">[1]FES!#REF!</definedName>
    <definedName name="__SP4" localSheetId="45">[1]FES!#REF!</definedName>
    <definedName name="__SP4" localSheetId="44">[1]FES!#REF!</definedName>
    <definedName name="__SP4" localSheetId="3">[1]FES!#REF!</definedName>
    <definedName name="__SP4" localSheetId="78">[1]FES!#REF!</definedName>
    <definedName name="__SP4" localSheetId="63">[1]FES!#REF!</definedName>
    <definedName name="__SP4" localSheetId="73">[1]FES!#REF!</definedName>
    <definedName name="__SP4" localSheetId="68">[1]FES!#REF!</definedName>
    <definedName name="__SP4" localSheetId="65">[1]FES!#REF!</definedName>
    <definedName name="__SP4" localSheetId="75">[1]FES!#REF!</definedName>
    <definedName name="__SP4" localSheetId="70">[1]FES!#REF!</definedName>
    <definedName name="__SP4" localSheetId="79">[1]FES!#REF!</definedName>
    <definedName name="__SP4" localSheetId="82">[1]FES!#REF!</definedName>
    <definedName name="__SP4" localSheetId="12">[1]FES!#REF!</definedName>
    <definedName name="__SP4" localSheetId="11">[1]FES!#REF!</definedName>
    <definedName name="__SP4" localSheetId="20">[2]FES!#REF!</definedName>
    <definedName name="__SP4" localSheetId="28">[1]FES!#REF!</definedName>
    <definedName name="__SP4" localSheetId="38">[1]FES!#REF!</definedName>
    <definedName name="__SP4" localSheetId="26">[1]FES!#REF!</definedName>
    <definedName name="__SP4" localSheetId="34">[1]FES!#REF!</definedName>
    <definedName name="__SP4" localSheetId="32">[1]FES!#REF!</definedName>
    <definedName name="__SP4" localSheetId="23">[1]FES!#REF!</definedName>
    <definedName name="__SP4" localSheetId="41">[1]FES!#REF!</definedName>
    <definedName name="__SP4" localSheetId="31">[1]FES!#REF!</definedName>
    <definedName name="__SP4" localSheetId="30">[1]FES!#REF!</definedName>
    <definedName name="__SP4" localSheetId="47">[2]FES!#REF!</definedName>
    <definedName name="__SP4" localSheetId="46">[2]FES!#REF!</definedName>
    <definedName name="__SP4" localSheetId="52">[1]FES!#REF!</definedName>
    <definedName name="__SP4" localSheetId="62">[1]FES!#REF!</definedName>
    <definedName name="__SP4" localSheetId="57">[1]FES!#REF!</definedName>
    <definedName name="__SP4" localSheetId="48">[1]FES!#REF!</definedName>
    <definedName name="__SP4" localSheetId="58">[1]FES!#REF!</definedName>
    <definedName name="__SP4" localSheetId="53">[1]FES!#REF!</definedName>
    <definedName name="__SP4" localSheetId="51">[1]FES!#REF!</definedName>
    <definedName name="__SP4" localSheetId="61">[1]FES!#REF!</definedName>
    <definedName name="__SP4" localSheetId="56">[1]FES!#REF!</definedName>
    <definedName name="__SP4" localSheetId="60">[1]FES!#REF!</definedName>
    <definedName name="__SP4" localSheetId="55">[1]FES!#REF!</definedName>
    <definedName name="__SP4" localSheetId="50">[1]FES!#REF!</definedName>
    <definedName name="__SP4" localSheetId="96">[1]FES!#REF!</definedName>
    <definedName name="__SP4" localSheetId="93">[1]FES!#REF!</definedName>
    <definedName name="__SP4" localSheetId="99">[1]FES!#REF!</definedName>
    <definedName name="__SP4" localSheetId="95">[1]FES!#REF!</definedName>
    <definedName name="__SP4" localSheetId="92">[1]FES!#REF!</definedName>
    <definedName name="__SP4" localSheetId="98">[1]FES!#REF!</definedName>
    <definedName name="__SP4" localSheetId="94">[1]FES!#REF!</definedName>
    <definedName name="__SP4" localSheetId="91">[1]FES!#REF!</definedName>
    <definedName name="__SP4" localSheetId="97">[1]FES!#REF!</definedName>
    <definedName name="__SP4" localSheetId="103">[1]FES!#REF!</definedName>
    <definedName name="__SP4" localSheetId="101">[1]FES!#REF!</definedName>
    <definedName name="__SP4" localSheetId="106">[1]FES!#REF!</definedName>
    <definedName name="__SP4" localSheetId="102">[1]FES!#REF!</definedName>
    <definedName name="__SP4" localSheetId="100">[1]FES!#REF!</definedName>
    <definedName name="__SP4" localSheetId="105">[1]FES!#REF!</definedName>
    <definedName name="__SP4" localSheetId="104">[1]FES!#REF!</definedName>
    <definedName name="__SP4" localSheetId="110">[1]FES!#REF!</definedName>
    <definedName name="__SP4" localSheetId="107">[1]FES!#REF!</definedName>
    <definedName name="__SP4" localSheetId="113">[1]FES!#REF!</definedName>
    <definedName name="__SP4" localSheetId="115">[1]FES!#REF!</definedName>
    <definedName name="__SP4" localSheetId="114">[1]FES!#REF!</definedName>
    <definedName name="__SP4" localSheetId="112">[1]FES!#REF!</definedName>
    <definedName name="__SP4" localSheetId="109">[1]FES!#REF!</definedName>
    <definedName name="__SP4" localSheetId="111">[1]FES!#REF!</definedName>
    <definedName name="__SP4" localSheetId="108">[1]FES!#REF!</definedName>
    <definedName name="__SP4" localSheetId="122">[1]FES!#REF!</definedName>
    <definedName name="__SP4" localSheetId="116">[1]FES!#REF!</definedName>
    <definedName name="__SP4" localSheetId="125">[1]FES!#REF!</definedName>
    <definedName name="__SP4" localSheetId="127">[1]FES!#REF!</definedName>
    <definedName name="__SP4" localSheetId="126">[1]FES!#REF!</definedName>
    <definedName name="__SP4" localSheetId="124">[1]FES!#REF!</definedName>
    <definedName name="__SP4" localSheetId="118">[1]FES!#REF!</definedName>
    <definedName name="__SP4" localSheetId="123">[1]FES!#REF!</definedName>
    <definedName name="__SP4" localSheetId="117">[1]FES!#REF!</definedName>
    <definedName name="__SP4" localSheetId="119">[1]FES!#REF!</definedName>
    <definedName name="__SP4" localSheetId="120">[1]FES!#REF!</definedName>
    <definedName name="__SP4" localSheetId="121">[1]FES!#REF!</definedName>
    <definedName name="__SP4" localSheetId="129">[1]FES!#REF!</definedName>
    <definedName name="__SP4" localSheetId="128">[1]FES!#REF!</definedName>
    <definedName name="__SP4" localSheetId="130">[1]FES!#REF!</definedName>
    <definedName name="__SP4" localSheetId="133">[1]FES!#REF!</definedName>
    <definedName name="__SP4" localSheetId="132">[1]FES!#REF!</definedName>
    <definedName name="__SP4" localSheetId="136">[1]FES!#REF!</definedName>
    <definedName name="__SP4" localSheetId="134">[1]FES!#REF!</definedName>
    <definedName name="__SP4" localSheetId="139">[1]FES!#REF!</definedName>
    <definedName name="__SP4" localSheetId="137">[1]FES!#REF!</definedName>
    <definedName name="__SP4" localSheetId="142">[1]FES!#REF!</definedName>
    <definedName name="__SP4" localSheetId="141">[1]FES!#REF!</definedName>
    <definedName name="__SP4" localSheetId="140">[1]FES!#REF!</definedName>
    <definedName name="__SP4" localSheetId="145">[1]FES!#REF!</definedName>
    <definedName name="__SP4" localSheetId="143">[1]FES!#REF!</definedName>
    <definedName name="__SP4" localSheetId="150">[1]FES!#REF!</definedName>
    <definedName name="__SP4" localSheetId="158">[1]FES!#REF!</definedName>
    <definedName name="__SP4" localSheetId="157">[1]FES!#REF!</definedName>
    <definedName name="__SP4" localSheetId="156">[1]FES!#REF!</definedName>
    <definedName name="__SP4" localSheetId="146">[1]FES!#REF!</definedName>
    <definedName name="__SP4" localSheetId="89">[1]FES!#REF!</definedName>
    <definedName name="__SP4" localSheetId="90">[1]FES!#REF!</definedName>
    <definedName name="__SP4" localSheetId="2">[2]FES!#REF!</definedName>
    <definedName name="__SP4" localSheetId="1">[2]FES!#REF!</definedName>
    <definedName name="__SP4">[1]FES!#REF!</definedName>
    <definedName name="__SP5" localSheetId="19">[1]FES!#REF!</definedName>
    <definedName name="__SP5" localSheetId="18">[1]FES!#REF!</definedName>
    <definedName name="__SP5" localSheetId="17">[1]FES!#REF!</definedName>
    <definedName name="__SP5" localSheetId="45">[1]FES!#REF!</definedName>
    <definedName name="__SP5" localSheetId="44">[1]FES!#REF!</definedName>
    <definedName name="__SP5" localSheetId="3">[1]FES!#REF!</definedName>
    <definedName name="__SP5" localSheetId="78">[1]FES!#REF!</definedName>
    <definedName name="__SP5" localSheetId="63">[1]FES!#REF!</definedName>
    <definedName name="__SP5" localSheetId="73">[1]FES!#REF!</definedName>
    <definedName name="__SP5" localSheetId="68">[1]FES!#REF!</definedName>
    <definedName name="__SP5" localSheetId="65">[1]FES!#REF!</definedName>
    <definedName name="__SP5" localSheetId="75">[1]FES!#REF!</definedName>
    <definedName name="__SP5" localSheetId="70">[1]FES!#REF!</definedName>
    <definedName name="__SP5" localSheetId="79">[1]FES!#REF!</definedName>
    <definedName name="__SP5" localSheetId="82">[1]FES!#REF!</definedName>
    <definedName name="__SP5" localSheetId="12">[1]FES!#REF!</definedName>
    <definedName name="__SP5" localSheetId="11">[1]FES!#REF!</definedName>
    <definedName name="__SP5" localSheetId="20">[2]FES!#REF!</definedName>
    <definedName name="__SP5" localSheetId="28">[1]FES!#REF!</definedName>
    <definedName name="__SP5" localSheetId="38">[1]FES!#REF!</definedName>
    <definedName name="__SP5" localSheetId="26">[1]FES!#REF!</definedName>
    <definedName name="__SP5" localSheetId="34">[1]FES!#REF!</definedName>
    <definedName name="__SP5" localSheetId="32">[1]FES!#REF!</definedName>
    <definedName name="__SP5" localSheetId="23">[1]FES!#REF!</definedName>
    <definedName name="__SP5" localSheetId="41">[1]FES!#REF!</definedName>
    <definedName name="__SP5" localSheetId="31">[1]FES!#REF!</definedName>
    <definedName name="__SP5" localSheetId="30">[1]FES!#REF!</definedName>
    <definedName name="__SP5" localSheetId="47">[2]FES!#REF!</definedName>
    <definedName name="__SP5" localSheetId="46">[2]FES!#REF!</definedName>
    <definedName name="__SP5" localSheetId="52">[1]FES!#REF!</definedName>
    <definedName name="__SP5" localSheetId="62">[1]FES!#REF!</definedName>
    <definedName name="__SP5" localSheetId="57">[1]FES!#REF!</definedName>
    <definedName name="__SP5" localSheetId="48">[1]FES!#REF!</definedName>
    <definedName name="__SP5" localSheetId="58">[1]FES!#REF!</definedName>
    <definedName name="__SP5" localSheetId="53">[1]FES!#REF!</definedName>
    <definedName name="__SP5" localSheetId="51">[1]FES!#REF!</definedName>
    <definedName name="__SP5" localSheetId="61">[1]FES!#REF!</definedName>
    <definedName name="__SP5" localSheetId="56">[1]FES!#REF!</definedName>
    <definedName name="__SP5" localSheetId="60">[1]FES!#REF!</definedName>
    <definedName name="__SP5" localSheetId="55">[1]FES!#REF!</definedName>
    <definedName name="__SP5" localSheetId="50">[1]FES!#REF!</definedName>
    <definedName name="__SP5" localSheetId="96">[1]FES!#REF!</definedName>
    <definedName name="__SP5" localSheetId="93">[1]FES!#REF!</definedName>
    <definedName name="__SP5" localSheetId="99">[1]FES!#REF!</definedName>
    <definedName name="__SP5" localSheetId="95">[1]FES!#REF!</definedName>
    <definedName name="__SP5" localSheetId="92">[1]FES!#REF!</definedName>
    <definedName name="__SP5" localSheetId="98">[1]FES!#REF!</definedName>
    <definedName name="__SP5" localSheetId="94">[1]FES!#REF!</definedName>
    <definedName name="__SP5" localSheetId="91">[1]FES!#REF!</definedName>
    <definedName name="__SP5" localSheetId="97">[1]FES!#REF!</definedName>
    <definedName name="__SP5" localSheetId="103">[1]FES!#REF!</definedName>
    <definedName name="__SP5" localSheetId="101">[1]FES!#REF!</definedName>
    <definedName name="__SP5" localSheetId="106">[1]FES!#REF!</definedName>
    <definedName name="__SP5" localSheetId="102">[1]FES!#REF!</definedName>
    <definedName name="__SP5" localSheetId="100">[1]FES!#REF!</definedName>
    <definedName name="__SP5" localSheetId="105">[1]FES!#REF!</definedName>
    <definedName name="__SP5" localSheetId="104">[1]FES!#REF!</definedName>
    <definedName name="__SP5" localSheetId="110">[1]FES!#REF!</definedName>
    <definedName name="__SP5" localSheetId="107">[1]FES!#REF!</definedName>
    <definedName name="__SP5" localSheetId="113">[1]FES!#REF!</definedName>
    <definedName name="__SP5" localSheetId="115">[1]FES!#REF!</definedName>
    <definedName name="__SP5" localSheetId="114">[1]FES!#REF!</definedName>
    <definedName name="__SP5" localSheetId="112">[1]FES!#REF!</definedName>
    <definedName name="__SP5" localSheetId="109">[1]FES!#REF!</definedName>
    <definedName name="__SP5" localSheetId="111">[1]FES!#REF!</definedName>
    <definedName name="__SP5" localSheetId="108">[1]FES!#REF!</definedName>
    <definedName name="__SP5" localSheetId="122">[1]FES!#REF!</definedName>
    <definedName name="__SP5" localSheetId="116">[1]FES!#REF!</definedName>
    <definedName name="__SP5" localSheetId="125">[1]FES!#REF!</definedName>
    <definedName name="__SP5" localSheetId="127">[1]FES!#REF!</definedName>
    <definedName name="__SP5" localSheetId="126">[1]FES!#REF!</definedName>
    <definedName name="__SP5" localSheetId="124">[1]FES!#REF!</definedName>
    <definedName name="__SP5" localSheetId="118">[1]FES!#REF!</definedName>
    <definedName name="__SP5" localSheetId="123">[1]FES!#REF!</definedName>
    <definedName name="__SP5" localSheetId="117">[1]FES!#REF!</definedName>
    <definedName name="__SP5" localSheetId="119">[1]FES!#REF!</definedName>
    <definedName name="__SP5" localSheetId="120">[1]FES!#REF!</definedName>
    <definedName name="__SP5" localSheetId="121">[1]FES!#REF!</definedName>
    <definedName name="__SP5" localSheetId="129">[1]FES!#REF!</definedName>
    <definedName name="__SP5" localSheetId="128">[1]FES!#REF!</definedName>
    <definedName name="__SP5" localSheetId="130">[1]FES!#REF!</definedName>
    <definedName name="__SP5" localSheetId="133">[1]FES!#REF!</definedName>
    <definedName name="__SP5" localSheetId="132">[1]FES!#REF!</definedName>
    <definedName name="__SP5" localSheetId="136">[1]FES!#REF!</definedName>
    <definedName name="__SP5" localSheetId="134">[1]FES!#REF!</definedName>
    <definedName name="__SP5" localSheetId="139">[1]FES!#REF!</definedName>
    <definedName name="__SP5" localSheetId="137">[1]FES!#REF!</definedName>
    <definedName name="__SP5" localSheetId="142">[1]FES!#REF!</definedName>
    <definedName name="__SP5" localSheetId="141">[1]FES!#REF!</definedName>
    <definedName name="__SP5" localSheetId="140">[1]FES!#REF!</definedName>
    <definedName name="__SP5" localSheetId="145">[1]FES!#REF!</definedName>
    <definedName name="__SP5" localSheetId="143">[1]FES!#REF!</definedName>
    <definedName name="__SP5" localSheetId="150">[1]FES!#REF!</definedName>
    <definedName name="__SP5" localSheetId="158">[1]FES!#REF!</definedName>
    <definedName name="__SP5" localSheetId="157">[1]FES!#REF!</definedName>
    <definedName name="__SP5" localSheetId="156">[1]FES!#REF!</definedName>
    <definedName name="__SP5" localSheetId="146">[1]FES!#REF!</definedName>
    <definedName name="__SP5" localSheetId="89">[1]FES!#REF!</definedName>
    <definedName name="__SP5" localSheetId="90">[1]FES!#REF!</definedName>
    <definedName name="__SP5" localSheetId="2">[2]FES!#REF!</definedName>
    <definedName name="__SP5" localSheetId="1">[2]FES!#REF!</definedName>
    <definedName name="__SP5">[1]FES!#REF!</definedName>
    <definedName name="__SP7" localSheetId="19">[1]FES!#REF!</definedName>
    <definedName name="__SP7" localSheetId="18">[1]FES!#REF!</definedName>
    <definedName name="__SP7" localSheetId="17">[1]FES!#REF!</definedName>
    <definedName name="__SP7" localSheetId="45">[1]FES!#REF!</definedName>
    <definedName name="__SP7" localSheetId="44">[1]FES!#REF!</definedName>
    <definedName name="__SP7" localSheetId="3">[1]FES!#REF!</definedName>
    <definedName name="__SP7" localSheetId="78">[1]FES!#REF!</definedName>
    <definedName name="__SP7" localSheetId="63">[1]FES!#REF!</definedName>
    <definedName name="__SP7" localSheetId="73">[1]FES!#REF!</definedName>
    <definedName name="__SP7" localSheetId="68">[1]FES!#REF!</definedName>
    <definedName name="__SP7" localSheetId="65">[1]FES!#REF!</definedName>
    <definedName name="__SP7" localSheetId="75">[1]FES!#REF!</definedName>
    <definedName name="__SP7" localSheetId="70">[1]FES!#REF!</definedName>
    <definedName name="__SP7" localSheetId="79">[1]FES!#REF!</definedName>
    <definedName name="__SP7" localSheetId="82">[1]FES!#REF!</definedName>
    <definedName name="__SP7" localSheetId="12">[1]FES!#REF!</definedName>
    <definedName name="__SP7" localSheetId="11">[1]FES!#REF!</definedName>
    <definedName name="__SP7" localSheetId="20">[2]FES!#REF!</definedName>
    <definedName name="__SP7" localSheetId="28">[1]FES!#REF!</definedName>
    <definedName name="__SP7" localSheetId="38">[1]FES!#REF!</definedName>
    <definedName name="__SP7" localSheetId="26">[1]FES!#REF!</definedName>
    <definedName name="__SP7" localSheetId="34">[1]FES!#REF!</definedName>
    <definedName name="__SP7" localSheetId="32">[1]FES!#REF!</definedName>
    <definedName name="__SP7" localSheetId="23">[1]FES!#REF!</definedName>
    <definedName name="__SP7" localSheetId="41">[1]FES!#REF!</definedName>
    <definedName name="__SP7" localSheetId="31">[1]FES!#REF!</definedName>
    <definedName name="__SP7" localSheetId="30">[1]FES!#REF!</definedName>
    <definedName name="__SP7" localSheetId="47">[2]FES!#REF!</definedName>
    <definedName name="__SP7" localSheetId="46">[2]FES!#REF!</definedName>
    <definedName name="__SP7" localSheetId="52">[1]FES!#REF!</definedName>
    <definedName name="__SP7" localSheetId="62">[1]FES!#REF!</definedName>
    <definedName name="__SP7" localSheetId="57">[1]FES!#REF!</definedName>
    <definedName name="__SP7" localSheetId="48">[1]FES!#REF!</definedName>
    <definedName name="__SP7" localSheetId="58">[1]FES!#REF!</definedName>
    <definedName name="__SP7" localSheetId="53">[1]FES!#REF!</definedName>
    <definedName name="__SP7" localSheetId="51">[1]FES!#REF!</definedName>
    <definedName name="__SP7" localSheetId="61">[1]FES!#REF!</definedName>
    <definedName name="__SP7" localSheetId="56">[1]FES!#REF!</definedName>
    <definedName name="__SP7" localSheetId="60">[1]FES!#REF!</definedName>
    <definedName name="__SP7" localSheetId="55">[1]FES!#REF!</definedName>
    <definedName name="__SP7" localSheetId="50">[1]FES!#REF!</definedName>
    <definedName name="__SP7" localSheetId="96">[1]FES!#REF!</definedName>
    <definedName name="__SP7" localSheetId="93">[1]FES!#REF!</definedName>
    <definedName name="__SP7" localSheetId="99">[1]FES!#REF!</definedName>
    <definedName name="__SP7" localSheetId="95">[1]FES!#REF!</definedName>
    <definedName name="__SP7" localSheetId="92">[1]FES!#REF!</definedName>
    <definedName name="__SP7" localSheetId="98">[1]FES!#REF!</definedName>
    <definedName name="__SP7" localSheetId="94">[1]FES!#REF!</definedName>
    <definedName name="__SP7" localSheetId="91">[1]FES!#REF!</definedName>
    <definedName name="__SP7" localSheetId="97">[1]FES!#REF!</definedName>
    <definedName name="__SP7" localSheetId="103">[1]FES!#REF!</definedName>
    <definedName name="__SP7" localSheetId="101">[1]FES!#REF!</definedName>
    <definedName name="__SP7" localSheetId="106">[1]FES!#REF!</definedName>
    <definedName name="__SP7" localSheetId="102">[1]FES!#REF!</definedName>
    <definedName name="__SP7" localSheetId="100">[1]FES!#REF!</definedName>
    <definedName name="__SP7" localSheetId="105">[1]FES!#REF!</definedName>
    <definedName name="__SP7" localSheetId="104">[1]FES!#REF!</definedName>
    <definedName name="__SP7" localSheetId="110">[1]FES!#REF!</definedName>
    <definedName name="__SP7" localSheetId="107">[1]FES!#REF!</definedName>
    <definedName name="__SP7" localSheetId="113">[1]FES!#REF!</definedName>
    <definedName name="__SP7" localSheetId="115">[1]FES!#REF!</definedName>
    <definedName name="__SP7" localSheetId="114">[1]FES!#REF!</definedName>
    <definedName name="__SP7" localSheetId="112">[1]FES!#REF!</definedName>
    <definedName name="__SP7" localSheetId="109">[1]FES!#REF!</definedName>
    <definedName name="__SP7" localSheetId="111">[1]FES!#REF!</definedName>
    <definedName name="__SP7" localSheetId="108">[1]FES!#REF!</definedName>
    <definedName name="__SP7" localSheetId="122">[1]FES!#REF!</definedName>
    <definedName name="__SP7" localSheetId="116">[1]FES!#REF!</definedName>
    <definedName name="__SP7" localSheetId="125">[1]FES!#REF!</definedName>
    <definedName name="__SP7" localSheetId="127">[1]FES!#REF!</definedName>
    <definedName name="__SP7" localSheetId="126">[1]FES!#REF!</definedName>
    <definedName name="__SP7" localSheetId="124">[1]FES!#REF!</definedName>
    <definedName name="__SP7" localSheetId="118">[1]FES!#REF!</definedName>
    <definedName name="__SP7" localSheetId="123">[1]FES!#REF!</definedName>
    <definedName name="__SP7" localSheetId="117">[1]FES!#REF!</definedName>
    <definedName name="__SP7" localSheetId="119">[1]FES!#REF!</definedName>
    <definedName name="__SP7" localSheetId="120">[1]FES!#REF!</definedName>
    <definedName name="__SP7" localSheetId="121">[1]FES!#REF!</definedName>
    <definedName name="__SP7" localSheetId="129">[1]FES!#REF!</definedName>
    <definedName name="__SP7" localSheetId="128">[1]FES!#REF!</definedName>
    <definedName name="__SP7" localSheetId="130">[1]FES!#REF!</definedName>
    <definedName name="__SP7" localSheetId="133">[1]FES!#REF!</definedName>
    <definedName name="__SP7" localSheetId="132">[1]FES!#REF!</definedName>
    <definedName name="__SP7" localSheetId="136">[1]FES!#REF!</definedName>
    <definedName name="__SP7" localSheetId="134">[1]FES!#REF!</definedName>
    <definedName name="__SP7" localSheetId="139">[1]FES!#REF!</definedName>
    <definedName name="__SP7" localSheetId="137">[1]FES!#REF!</definedName>
    <definedName name="__SP7" localSheetId="142">[1]FES!#REF!</definedName>
    <definedName name="__SP7" localSheetId="141">[1]FES!#REF!</definedName>
    <definedName name="__SP7" localSheetId="140">[1]FES!#REF!</definedName>
    <definedName name="__SP7" localSheetId="145">[1]FES!#REF!</definedName>
    <definedName name="__SP7" localSheetId="143">[1]FES!#REF!</definedName>
    <definedName name="__SP7" localSheetId="150">[1]FES!#REF!</definedName>
    <definedName name="__SP7" localSheetId="158">[1]FES!#REF!</definedName>
    <definedName name="__SP7" localSheetId="157">[1]FES!#REF!</definedName>
    <definedName name="__SP7" localSheetId="156">[1]FES!#REF!</definedName>
    <definedName name="__SP7" localSheetId="146">[1]FES!#REF!</definedName>
    <definedName name="__SP7" localSheetId="89">[1]FES!#REF!</definedName>
    <definedName name="__SP7" localSheetId="90">[1]FES!#REF!</definedName>
    <definedName name="__SP7" localSheetId="2">[2]FES!#REF!</definedName>
    <definedName name="__SP7" localSheetId="1">[2]FES!#REF!</definedName>
    <definedName name="__SP7">[1]FES!#REF!</definedName>
    <definedName name="__SP8" localSheetId="19">[1]FES!#REF!</definedName>
    <definedName name="__SP8" localSheetId="18">[1]FES!#REF!</definedName>
    <definedName name="__SP8" localSheetId="17">[1]FES!#REF!</definedName>
    <definedName name="__SP8" localSheetId="45">[1]FES!#REF!</definedName>
    <definedName name="__SP8" localSheetId="44">[1]FES!#REF!</definedName>
    <definedName name="__SP8" localSheetId="3">[1]FES!#REF!</definedName>
    <definedName name="__SP8" localSheetId="78">[1]FES!#REF!</definedName>
    <definedName name="__SP8" localSheetId="63">[1]FES!#REF!</definedName>
    <definedName name="__SP8" localSheetId="73">[1]FES!#REF!</definedName>
    <definedName name="__SP8" localSheetId="68">[1]FES!#REF!</definedName>
    <definedName name="__SP8" localSheetId="65">[1]FES!#REF!</definedName>
    <definedName name="__SP8" localSheetId="75">[1]FES!#REF!</definedName>
    <definedName name="__SP8" localSheetId="70">[1]FES!#REF!</definedName>
    <definedName name="__SP8" localSheetId="79">[1]FES!#REF!</definedName>
    <definedName name="__SP8" localSheetId="82">[1]FES!#REF!</definedName>
    <definedName name="__SP8" localSheetId="12">[1]FES!#REF!</definedName>
    <definedName name="__SP8" localSheetId="11">[1]FES!#REF!</definedName>
    <definedName name="__SP8" localSheetId="20">[2]FES!#REF!</definedName>
    <definedName name="__SP8" localSheetId="28">[1]FES!#REF!</definedName>
    <definedName name="__SP8" localSheetId="38">[1]FES!#REF!</definedName>
    <definedName name="__SP8" localSheetId="26">[1]FES!#REF!</definedName>
    <definedName name="__SP8" localSheetId="34">[1]FES!#REF!</definedName>
    <definedName name="__SP8" localSheetId="32">[1]FES!#REF!</definedName>
    <definedName name="__SP8" localSheetId="23">[1]FES!#REF!</definedName>
    <definedName name="__SP8" localSheetId="41">[1]FES!#REF!</definedName>
    <definedName name="__SP8" localSheetId="31">[1]FES!#REF!</definedName>
    <definedName name="__SP8" localSheetId="30">[1]FES!#REF!</definedName>
    <definedName name="__SP8" localSheetId="47">[2]FES!#REF!</definedName>
    <definedName name="__SP8" localSheetId="46">[2]FES!#REF!</definedName>
    <definedName name="__SP8" localSheetId="52">[1]FES!#REF!</definedName>
    <definedName name="__SP8" localSheetId="62">[1]FES!#REF!</definedName>
    <definedName name="__SP8" localSheetId="57">[1]FES!#REF!</definedName>
    <definedName name="__SP8" localSheetId="48">[1]FES!#REF!</definedName>
    <definedName name="__SP8" localSheetId="58">[1]FES!#REF!</definedName>
    <definedName name="__SP8" localSheetId="53">[1]FES!#REF!</definedName>
    <definedName name="__SP8" localSheetId="51">[1]FES!#REF!</definedName>
    <definedName name="__SP8" localSheetId="61">[1]FES!#REF!</definedName>
    <definedName name="__SP8" localSheetId="56">[1]FES!#REF!</definedName>
    <definedName name="__SP8" localSheetId="60">[1]FES!#REF!</definedName>
    <definedName name="__SP8" localSheetId="55">[1]FES!#REF!</definedName>
    <definedName name="__SP8" localSheetId="50">[1]FES!#REF!</definedName>
    <definedName name="__SP8" localSheetId="96">[1]FES!#REF!</definedName>
    <definedName name="__SP8" localSheetId="93">[1]FES!#REF!</definedName>
    <definedName name="__SP8" localSheetId="99">[1]FES!#REF!</definedName>
    <definedName name="__SP8" localSheetId="95">[1]FES!#REF!</definedName>
    <definedName name="__SP8" localSheetId="92">[1]FES!#REF!</definedName>
    <definedName name="__SP8" localSheetId="98">[1]FES!#REF!</definedName>
    <definedName name="__SP8" localSheetId="94">[1]FES!#REF!</definedName>
    <definedName name="__SP8" localSheetId="91">[1]FES!#REF!</definedName>
    <definedName name="__SP8" localSheetId="97">[1]FES!#REF!</definedName>
    <definedName name="__SP8" localSheetId="103">[1]FES!#REF!</definedName>
    <definedName name="__SP8" localSheetId="101">[1]FES!#REF!</definedName>
    <definedName name="__SP8" localSheetId="106">[1]FES!#REF!</definedName>
    <definedName name="__SP8" localSheetId="102">[1]FES!#REF!</definedName>
    <definedName name="__SP8" localSheetId="100">[1]FES!#REF!</definedName>
    <definedName name="__SP8" localSheetId="105">[1]FES!#REF!</definedName>
    <definedName name="__SP8" localSheetId="104">[1]FES!#REF!</definedName>
    <definedName name="__SP8" localSheetId="110">[1]FES!#REF!</definedName>
    <definedName name="__SP8" localSheetId="107">[1]FES!#REF!</definedName>
    <definedName name="__SP8" localSheetId="113">[1]FES!#REF!</definedName>
    <definedName name="__SP8" localSheetId="115">[1]FES!#REF!</definedName>
    <definedName name="__SP8" localSheetId="114">[1]FES!#REF!</definedName>
    <definedName name="__SP8" localSheetId="112">[1]FES!#REF!</definedName>
    <definedName name="__SP8" localSheetId="109">[1]FES!#REF!</definedName>
    <definedName name="__SP8" localSheetId="111">[1]FES!#REF!</definedName>
    <definedName name="__SP8" localSheetId="108">[1]FES!#REF!</definedName>
    <definedName name="__SP8" localSheetId="122">[1]FES!#REF!</definedName>
    <definedName name="__SP8" localSheetId="116">[1]FES!#REF!</definedName>
    <definedName name="__SP8" localSheetId="125">[1]FES!#REF!</definedName>
    <definedName name="__SP8" localSheetId="127">[1]FES!#REF!</definedName>
    <definedName name="__SP8" localSheetId="126">[1]FES!#REF!</definedName>
    <definedName name="__SP8" localSheetId="124">[1]FES!#REF!</definedName>
    <definedName name="__SP8" localSheetId="118">[1]FES!#REF!</definedName>
    <definedName name="__SP8" localSheetId="123">[1]FES!#REF!</definedName>
    <definedName name="__SP8" localSheetId="117">[1]FES!#REF!</definedName>
    <definedName name="__SP8" localSheetId="119">[1]FES!#REF!</definedName>
    <definedName name="__SP8" localSheetId="120">[1]FES!#REF!</definedName>
    <definedName name="__SP8" localSheetId="121">[1]FES!#REF!</definedName>
    <definedName name="__SP8" localSheetId="129">[1]FES!#REF!</definedName>
    <definedName name="__SP8" localSheetId="128">[1]FES!#REF!</definedName>
    <definedName name="__SP8" localSheetId="130">[1]FES!#REF!</definedName>
    <definedName name="__SP8" localSheetId="133">[1]FES!#REF!</definedName>
    <definedName name="__SP8" localSheetId="132">[1]FES!#REF!</definedName>
    <definedName name="__SP8" localSheetId="136">[1]FES!#REF!</definedName>
    <definedName name="__SP8" localSheetId="134">[1]FES!#REF!</definedName>
    <definedName name="__SP8" localSheetId="139">[1]FES!#REF!</definedName>
    <definedName name="__SP8" localSheetId="137">[1]FES!#REF!</definedName>
    <definedName name="__SP8" localSheetId="142">[1]FES!#REF!</definedName>
    <definedName name="__SP8" localSheetId="141">[1]FES!#REF!</definedName>
    <definedName name="__SP8" localSheetId="140">[1]FES!#REF!</definedName>
    <definedName name="__SP8" localSheetId="145">[1]FES!#REF!</definedName>
    <definedName name="__SP8" localSheetId="143">[1]FES!#REF!</definedName>
    <definedName name="__SP8" localSheetId="150">[1]FES!#REF!</definedName>
    <definedName name="__SP8" localSheetId="158">[1]FES!#REF!</definedName>
    <definedName name="__SP8" localSheetId="157">[1]FES!#REF!</definedName>
    <definedName name="__SP8" localSheetId="156">[1]FES!#REF!</definedName>
    <definedName name="__SP8" localSheetId="146">[1]FES!#REF!</definedName>
    <definedName name="__SP8" localSheetId="89">[1]FES!#REF!</definedName>
    <definedName name="__SP8" localSheetId="90">[1]FES!#REF!</definedName>
    <definedName name="__SP8" localSheetId="2">[2]FES!#REF!</definedName>
    <definedName name="__SP8" localSheetId="1">[2]FES!#REF!</definedName>
    <definedName name="__SP8">[1]FES!#REF!</definedName>
    <definedName name="__SP9" localSheetId="19">[1]FES!#REF!</definedName>
    <definedName name="__SP9" localSheetId="18">[1]FES!#REF!</definedName>
    <definedName name="__SP9" localSheetId="17">[1]FES!#REF!</definedName>
    <definedName name="__SP9" localSheetId="45">[1]FES!#REF!</definedName>
    <definedName name="__SP9" localSheetId="44">[1]FES!#REF!</definedName>
    <definedName name="__SP9" localSheetId="3">[1]FES!#REF!</definedName>
    <definedName name="__SP9" localSheetId="78">[1]FES!#REF!</definedName>
    <definedName name="__SP9" localSheetId="63">[1]FES!#REF!</definedName>
    <definedName name="__SP9" localSheetId="73">[1]FES!#REF!</definedName>
    <definedName name="__SP9" localSheetId="68">[1]FES!#REF!</definedName>
    <definedName name="__SP9" localSheetId="65">[1]FES!#REF!</definedName>
    <definedName name="__SP9" localSheetId="75">[1]FES!#REF!</definedName>
    <definedName name="__SP9" localSheetId="70">[1]FES!#REF!</definedName>
    <definedName name="__SP9" localSheetId="79">[1]FES!#REF!</definedName>
    <definedName name="__SP9" localSheetId="82">[1]FES!#REF!</definedName>
    <definedName name="__SP9" localSheetId="12">[1]FES!#REF!</definedName>
    <definedName name="__SP9" localSheetId="11">[1]FES!#REF!</definedName>
    <definedName name="__SP9" localSheetId="20">[2]FES!#REF!</definedName>
    <definedName name="__SP9" localSheetId="28">[1]FES!#REF!</definedName>
    <definedName name="__SP9" localSheetId="38">[1]FES!#REF!</definedName>
    <definedName name="__SP9" localSheetId="26">[1]FES!#REF!</definedName>
    <definedName name="__SP9" localSheetId="34">[1]FES!#REF!</definedName>
    <definedName name="__SP9" localSheetId="32">[1]FES!#REF!</definedName>
    <definedName name="__SP9" localSheetId="23">[1]FES!#REF!</definedName>
    <definedName name="__SP9" localSheetId="41">[1]FES!#REF!</definedName>
    <definedName name="__SP9" localSheetId="31">[1]FES!#REF!</definedName>
    <definedName name="__SP9" localSheetId="30">[1]FES!#REF!</definedName>
    <definedName name="__SP9" localSheetId="47">[2]FES!#REF!</definedName>
    <definedName name="__SP9" localSheetId="46">[2]FES!#REF!</definedName>
    <definedName name="__SP9" localSheetId="52">[1]FES!#REF!</definedName>
    <definedName name="__SP9" localSheetId="62">[1]FES!#REF!</definedName>
    <definedName name="__SP9" localSheetId="57">[1]FES!#REF!</definedName>
    <definedName name="__SP9" localSheetId="48">[1]FES!#REF!</definedName>
    <definedName name="__SP9" localSheetId="58">[1]FES!#REF!</definedName>
    <definedName name="__SP9" localSheetId="53">[1]FES!#REF!</definedName>
    <definedName name="__SP9" localSheetId="51">[1]FES!#REF!</definedName>
    <definedName name="__SP9" localSheetId="61">[1]FES!#REF!</definedName>
    <definedName name="__SP9" localSheetId="56">[1]FES!#REF!</definedName>
    <definedName name="__SP9" localSheetId="60">[1]FES!#REF!</definedName>
    <definedName name="__SP9" localSheetId="55">[1]FES!#REF!</definedName>
    <definedName name="__SP9" localSheetId="50">[1]FES!#REF!</definedName>
    <definedName name="__SP9" localSheetId="96">[1]FES!#REF!</definedName>
    <definedName name="__SP9" localSheetId="93">[1]FES!#REF!</definedName>
    <definedName name="__SP9" localSheetId="99">[1]FES!#REF!</definedName>
    <definedName name="__SP9" localSheetId="95">[1]FES!#REF!</definedName>
    <definedName name="__SP9" localSheetId="92">[1]FES!#REF!</definedName>
    <definedName name="__SP9" localSheetId="98">[1]FES!#REF!</definedName>
    <definedName name="__SP9" localSheetId="94">[1]FES!#REF!</definedName>
    <definedName name="__SP9" localSheetId="91">[1]FES!#REF!</definedName>
    <definedName name="__SP9" localSheetId="97">[1]FES!#REF!</definedName>
    <definedName name="__SP9" localSheetId="103">[1]FES!#REF!</definedName>
    <definedName name="__SP9" localSheetId="101">[1]FES!#REF!</definedName>
    <definedName name="__SP9" localSheetId="106">[1]FES!#REF!</definedName>
    <definedName name="__SP9" localSheetId="102">[1]FES!#REF!</definedName>
    <definedName name="__SP9" localSheetId="100">[1]FES!#REF!</definedName>
    <definedName name="__SP9" localSheetId="105">[1]FES!#REF!</definedName>
    <definedName name="__SP9" localSheetId="104">[1]FES!#REF!</definedName>
    <definedName name="__SP9" localSheetId="110">[1]FES!#REF!</definedName>
    <definedName name="__SP9" localSheetId="107">[1]FES!#REF!</definedName>
    <definedName name="__SP9" localSheetId="113">[1]FES!#REF!</definedName>
    <definedName name="__SP9" localSheetId="115">[1]FES!#REF!</definedName>
    <definedName name="__SP9" localSheetId="114">[1]FES!#REF!</definedName>
    <definedName name="__SP9" localSheetId="112">[1]FES!#REF!</definedName>
    <definedName name="__SP9" localSheetId="109">[1]FES!#REF!</definedName>
    <definedName name="__SP9" localSheetId="111">[1]FES!#REF!</definedName>
    <definedName name="__SP9" localSheetId="108">[1]FES!#REF!</definedName>
    <definedName name="__SP9" localSheetId="122">[1]FES!#REF!</definedName>
    <definedName name="__SP9" localSheetId="116">[1]FES!#REF!</definedName>
    <definedName name="__SP9" localSheetId="125">[1]FES!#REF!</definedName>
    <definedName name="__SP9" localSheetId="127">[1]FES!#REF!</definedName>
    <definedName name="__SP9" localSheetId="126">[1]FES!#REF!</definedName>
    <definedName name="__SP9" localSheetId="124">[1]FES!#REF!</definedName>
    <definedName name="__SP9" localSheetId="118">[1]FES!#REF!</definedName>
    <definedName name="__SP9" localSheetId="123">[1]FES!#REF!</definedName>
    <definedName name="__SP9" localSheetId="117">[1]FES!#REF!</definedName>
    <definedName name="__SP9" localSheetId="119">[1]FES!#REF!</definedName>
    <definedName name="__SP9" localSheetId="120">[1]FES!#REF!</definedName>
    <definedName name="__SP9" localSheetId="121">[1]FES!#REF!</definedName>
    <definedName name="__SP9" localSheetId="129">[1]FES!#REF!</definedName>
    <definedName name="__SP9" localSheetId="128">[1]FES!#REF!</definedName>
    <definedName name="__SP9" localSheetId="130">[1]FES!#REF!</definedName>
    <definedName name="__SP9" localSheetId="133">[1]FES!#REF!</definedName>
    <definedName name="__SP9" localSheetId="132">[1]FES!#REF!</definedName>
    <definedName name="__SP9" localSheetId="136">[1]FES!#REF!</definedName>
    <definedName name="__SP9" localSheetId="134">[1]FES!#REF!</definedName>
    <definedName name="__SP9" localSheetId="139">[1]FES!#REF!</definedName>
    <definedName name="__SP9" localSheetId="137">[1]FES!#REF!</definedName>
    <definedName name="__SP9" localSheetId="142">[1]FES!#REF!</definedName>
    <definedName name="__SP9" localSheetId="141">[1]FES!#REF!</definedName>
    <definedName name="__SP9" localSheetId="140">[1]FES!#REF!</definedName>
    <definedName name="__SP9" localSheetId="145">[1]FES!#REF!</definedName>
    <definedName name="__SP9" localSheetId="143">[1]FES!#REF!</definedName>
    <definedName name="__SP9" localSheetId="150">[1]FES!#REF!</definedName>
    <definedName name="__SP9" localSheetId="158">[1]FES!#REF!</definedName>
    <definedName name="__SP9" localSheetId="157">[1]FES!#REF!</definedName>
    <definedName name="__SP9" localSheetId="156">[1]FES!#REF!</definedName>
    <definedName name="__SP9" localSheetId="146">[1]FES!#REF!</definedName>
    <definedName name="__SP9" localSheetId="89">[1]FES!#REF!</definedName>
    <definedName name="__SP9" localSheetId="90">[1]FES!#REF!</definedName>
    <definedName name="__SP9" localSheetId="2">[2]FES!#REF!</definedName>
    <definedName name="__SP9" localSheetId="1">[2]FES!#REF!</definedName>
    <definedName name="__SP9">[1]FES!#REF!</definedName>
    <definedName name="_tt1" localSheetId="19">'[3]5.2-опер.рас ПП'!_tt1</definedName>
    <definedName name="_tt1" localSheetId="17">'[3]5.2-опер.рас ПП'!_tt1</definedName>
    <definedName name="_tt1" localSheetId="45">'4. 7_котельн.'!_tt1</definedName>
    <definedName name="_tt1" localSheetId="44">'4. 7_КТЭЦ'!_tt1</definedName>
    <definedName name="_tt1" localSheetId="3">'[3]5.2-опер.рас ПП'!_tt1</definedName>
    <definedName name="_tt1" localSheetId="78">'[3]5.2-опер.рас ПП'!_tt1</definedName>
    <definedName name="_tt1" localSheetId="65">'[3]5.2-опер.рас ПП'!_tt1</definedName>
    <definedName name="_tt1" localSheetId="75">'[3]5.2-опер.рас ПП'!_tt1</definedName>
    <definedName name="_tt1" localSheetId="70">'[3]5.2-опер.рас ПП'!_tt1</definedName>
    <definedName name="_tt1" localSheetId="79">'[3]5.2-опер.рас ПП'!_tt1</definedName>
    <definedName name="_tt1" localSheetId="82">'[3]5.2-опер.рас ПП'!_tt1</definedName>
    <definedName name="_tt1" localSheetId="12">'[3]5.2-опер.рас ПП'!_tt1</definedName>
    <definedName name="_tt1" localSheetId="11">'[3]5.2-опер.рас ПП'!_tt1</definedName>
    <definedName name="_tt1" localSheetId="20">'[4]5.2-опер.рас ПП'!_tt1</definedName>
    <definedName name="_tt1" localSheetId="28">'[3]5.2-опер.рас ПП'!_tt1</definedName>
    <definedName name="_tt1" localSheetId="38">'[3]5.2-опер.рас ПП'!_tt1</definedName>
    <definedName name="_tt1" localSheetId="26">'[3]5.2-опер.рас ПП'!_tt1</definedName>
    <definedName name="_tt1" localSheetId="34">'[3]5.2-опер.рас ПП'!_tt1</definedName>
    <definedName name="_tt1" localSheetId="32">'[3]5.2-опер.рас ПП'!_tt1</definedName>
    <definedName name="_tt1" localSheetId="23">'[3]5.2-опер.рас ПП'!_tt1</definedName>
    <definedName name="_tt1" localSheetId="41">'[3]5.2-опер.рас ПП'!_tt1</definedName>
    <definedName name="_tt1" localSheetId="31">'[3]5.2-опер.рас ПП'!_tt1</definedName>
    <definedName name="_tt1" localSheetId="30">'[3]5.2-опер.рас ПП'!_tt1</definedName>
    <definedName name="_tt1" localSheetId="47">'[4]5.2-опер.рас ПП'!_tt1</definedName>
    <definedName name="_tt1" localSheetId="46">'[4]5.2-опер.рас ПП'!_tt1</definedName>
    <definedName name="_tt1" localSheetId="52">'[3]5.2-опер.рас ПП'!_tt1</definedName>
    <definedName name="_tt1" localSheetId="62">'[3]5.2-опер.рас ПП'!_tt1</definedName>
    <definedName name="_tt1" localSheetId="57">'[3]5.2-опер.рас ПП'!_tt1</definedName>
    <definedName name="_tt1" localSheetId="51">'[3]5.2-опер.рас ПП'!_tt1</definedName>
    <definedName name="_tt1" localSheetId="61">'[3]5.2-опер.рас ПП'!_tt1</definedName>
    <definedName name="_tt1" localSheetId="56">'[3]5.2-опер.рас ПП'!_tt1</definedName>
    <definedName name="_tt1" localSheetId="60">'[3]5.2-опер.рас ПП'!_tt1</definedName>
    <definedName name="_tt1" localSheetId="55">'[3]5.2-опер.рас ПП'!_tt1</definedName>
    <definedName name="_tt1" localSheetId="50">'[3]5.2-опер.рас ПП'!_tt1</definedName>
    <definedName name="_tt1" localSheetId="96">'[3]5.2-опер.рас ПП'!_tt1</definedName>
    <definedName name="_tt1" localSheetId="93">'[3]5.2-опер.рас ПП'!_tt1</definedName>
    <definedName name="_tt1" localSheetId="99">'[3]5.2-опер.рас ПП'!_tt1</definedName>
    <definedName name="_tt1" localSheetId="95">'[3]5.2-опер.рас ПП'!_tt1</definedName>
    <definedName name="_tt1" localSheetId="92">'[3]5.2-опер.рас ПП'!_tt1</definedName>
    <definedName name="_tt1" localSheetId="98">'[3]5.2-опер.рас ПП'!_tt1</definedName>
    <definedName name="_tt1" localSheetId="94">'[3]5.2-опер.рас ПП'!_tt1</definedName>
    <definedName name="_tt1" localSheetId="91">'[3]5.2-опер.рас ПП'!_tt1</definedName>
    <definedName name="_tt1" localSheetId="97">'[3]5.2-опер.рас ПП'!_tt1</definedName>
    <definedName name="_tt1" localSheetId="103">'[3]5.2-опер.рас ПП'!_tt1</definedName>
    <definedName name="_tt1" localSheetId="101">'[3]5.2-опер.рас ПП'!_tt1</definedName>
    <definedName name="_tt1" localSheetId="106">'[3]5.2-опер.рас ПП'!_tt1</definedName>
    <definedName name="_tt1" localSheetId="102">'[3]5.2-опер.рас ПП'!_tt1</definedName>
    <definedName name="_tt1" localSheetId="100">'[3]5.2-опер.рас ПП'!_tt1</definedName>
    <definedName name="_tt1" localSheetId="105">'[3]5.2-опер.рас ПП'!_tt1</definedName>
    <definedName name="_tt1" localSheetId="104">'[3]5.2-опер.рас ПП'!_tt1</definedName>
    <definedName name="_tt1" localSheetId="110">'[3]5.2-опер.рас ПП'!_tt1</definedName>
    <definedName name="_tt1" localSheetId="107">'[3]5.2-опер.рас ПП'!_tt1</definedName>
    <definedName name="_tt1" localSheetId="113">'[3]5.2-опер.рас ПП'!_tt1</definedName>
    <definedName name="_tt1" localSheetId="115">'[3]5.2-опер.рас ПП'!_tt1</definedName>
    <definedName name="_tt1" localSheetId="114">'[3]5.2-опер.рас ПП'!_tt1</definedName>
    <definedName name="_tt1" localSheetId="112">'[3]5.2-опер.рас ПП'!_tt1</definedName>
    <definedName name="_tt1" localSheetId="109">'[3]5.2-опер.рас ПП'!_tt1</definedName>
    <definedName name="_tt1" localSheetId="111">'[3]5.2-опер.рас ПП'!_tt1</definedName>
    <definedName name="_tt1" localSheetId="108">'[3]5.2-опер.рас ПП'!_tt1</definedName>
    <definedName name="_tt1" localSheetId="122">'[3]5.2-опер.рас ПП'!_tt1</definedName>
    <definedName name="_tt1" localSheetId="116">'[3]5.2-опер.рас ПП'!_tt1</definedName>
    <definedName name="_tt1" localSheetId="125">'[3]5.2-опер.рас ПП'!_tt1</definedName>
    <definedName name="_tt1" localSheetId="127">'[3]5.2-опер.рас ПП'!_tt1</definedName>
    <definedName name="_tt1" localSheetId="126">'[3]5.2-опер.рас ПП'!_tt1</definedName>
    <definedName name="_tt1" localSheetId="124">'[3]5.2-опер.рас ПП'!_tt1</definedName>
    <definedName name="_tt1" localSheetId="118">'[3]5.2-опер.рас ПП'!_tt1</definedName>
    <definedName name="_tt1" localSheetId="123">'[3]5.2-опер.рас ПП'!_tt1</definedName>
    <definedName name="_tt1" localSheetId="117">'[3]5.2-опер.рас ПП'!_tt1</definedName>
    <definedName name="_tt1" localSheetId="119">'[3]5.2-опер.рас ПП'!_tt1</definedName>
    <definedName name="_tt1" localSheetId="120">'[3]5.2-опер.рас ПП'!_tt1</definedName>
    <definedName name="_tt1" localSheetId="121">'[3]5.2-опер.рас ПП'!_tt1</definedName>
    <definedName name="_tt1" localSheetId="129">'[3]5.2-опер.рас ПП'!_tt1</definedName>
    <definedName name="_tt1" localSheetId="128">'[3]5.2-опер.рас ПП'!_tt1</definedName>
    <definedName name="_tt1" localSheetId="130">'[3]5.2-опер.рас ПП'!_tt1</definedName>
    <definedName name="_tt1" localSheetId="133">'[3]5.2-опер.рас ПП'!_tt1</definedName>
    <definedName name="_tt1" localSheetId="132">'[3]5.2-опер.рас ПП'!_tt1</definedName>
    <definedName name="_tt1" localSheetId="136">'[3]5.2-опер.рас ПП'!_tt1</definedName>
    <definedName name="_tt1" localSheetId="134">'[3]5.2-опер.рас ПП'!_tt1</definedName>
    <definedName name="_tt1" localSheetId="139">'[3]5.2-опер.рас ПП'!_tt1</definedName>
    <definedName name="_tt1" localSheetId="137">'[3]5.2-опер.рас ПП'!_tt1</definedName>
    <definedName name="_tt1" localSheetId="142">'[3]5.2-опер.рас ПП'!_tt1</definedName>
    <definedName name="_tt1" localSheetId="141">'[3]5.2-опер.рас ПП'!_tt1</definedName>
    <definedName name="_tt1" localSheetId="140">'[3]5.2-опер.рас ПП'!_tt1</definedName>
    <definedName name="_tt1" localSheetId="145">'[3]5.2-опер.рас ПП'!_tt1</definedName>
    <definedName name="_tt1" localSheetId="143">'[3]5.2-опер.рас ПП'!_tt1</definedName>
    <definedName name="_tt1" localSheetId="150">'[3]5.2-опер.рас ПП'!_tt1</definedName>
    <definedName name="_tt1" localSheetId="158">'[3]5.2-опер.рас ПП'!_tt1</definedName>
    <definedName name="_tt1" localSheetId="157">'[3]5.2-опер.рас ПП'!_tt1</definedName>
    <definedName name="_tt1" localSheetId="156">'[3]5.2-опер.рас ПП'!_tt1</definedName>
    <definedName name="_tt1" localSheetId="146">'[3]5.2-опер.рас ПП'!_tt1</definedName>
    <definedName name="_tt1" localSheetId="89">'[3]5.2-опер.рас ПП'!_tt1</definedName>
    <definedName name="_tt1" localSheetId="90">'[3]5.2-опер.рас ПП'!_tt1</definedName>
    <definedName name="_tt1" localSheetId="2">'[4]5.2-опер.рас ПП'!_tt1</definedName>
    <definedName name="_tt1" localSheetId="1">'[4]5.2-опер.рас ПП'!_tt1</definedName>
    <definedName name="_tt1">'[3]5.2-опер.рас ПП'!_tt1</definedName>
    <definedName name="bbbbbb" localSheetId="19">'[3]5.2-опер.рас ПП'!bbbbbb</definedName>
    <definedName name="bbbbbb" localSheetId="17">'[3]5.2-опер.рас ПП'!bbbbbb</definedName>
    <definedName name="bbbbbb" localSheetId="45">'4. 7_котельн.'!bbbbbb</definedName>
    <definedName name="bbbbbb" localSheetId="44">'4. 7_КТЭЦ'!bbbbbb</definedName>
    <definedName name="bbbbbb" localSheetId="3">'[3]5.2-опер.рас ПП'!bbbbbb</definedName>
    <definedName name="bbbbbb" localSheetId="78">'[3]5.2-опер.рас ПП'!bbbbbb</definedName>
    <definedName name="bbbbbb" localSheetId="65">'[3]5.2-опер.рас ПП'!bbbbbb</definedName>
    <definedName name="bbbbbb" localSheetId="75">'[3]5.2-опер.рас ПП'!bbbbbb</definedName>
    <definedName name="bbbbbb" localSheetId="70">'[3]5.2-опер.рас ПП'!bbbbbb</definedName>
    <definedName name="bbbbbb" localSheetId="79">'[3]5.2-опер.рас ПП'!bbbbbb</definedName>
    <definedName name="bbbbbb" localSheetId="82">'[3]5.2-опер.рас ПП'!bbbbbb</definedName>
    <definedName name="bbbbbb" localSheetId="12">'[3]5.2-опер.рас ПП'!bbbbbb</definedName>
    <definedName name="bbbbbb" localSheetId="11">'[3]5.2-опер.рас ПП'!bbbbbb</definedName>
    <definedName name="bbbbbb" localSheetId="20">'[4]5.2-опер.рас ПП'!bbbbbb</definedName>
    <definedName name="bbbbbb" localSheetId="28">'[3]5.2-опер.рас ПП'!bbbbbb</definedName>
    <definedName name="bbbbbb" localSheetId="38">'[3]5.2-опер.рас ПП'!bbbbbb</definedName>
    <definedName name="bbbbbb" localSheetId="26">'[3]5.2-опер.рас ПП'!bbbbbb</definedName>
    <definedName name="bbbbbb" localSheetId="34">'[3]5.2-опер.рас ПП'!bbbbbb</definedName>
    <definedName name="bbbbbb" localSheetId="32">'[3]5.2-опер.рас ПП'!bbbbbb</definedName>
    <definedName name="bbbbbb" localSheetId="23">'[3]5.2-опер.рас ПП'!bbbbbb</definedName>
    <definedName name="bbbbbb" localSheetId="41">'[3]5.2-опер.рас ПП'!bbbbbb</definedName>
    <definedName name="bbbbbb" localSheetId="31">'[3]5.2-опер.рас ПП'!bbbbbb</definedName>
    <definedName name="bbbbbb" localSheetId="30">'[3]5.2-опер.рас ПП'!bbbbbb</definedName>
    <definedName name="bbbbbb" localSheetId="47">'[4]5.2-опер.рас ПП'!bbbbbb</definedName>
    <definedName name="bbbbbb" localSheetId="46">'[4]5.2-опер.рас ПП'!bbbbbb</definedName>
    <definedName name="bbbbbb" localSheetId="52">'[3]5.2-опер.рас ПП'!bbbbbb</definedName>
    <definedName name="bbbbbb" localSheetId="62">'[3]5.2-опер.рас ПП'!bbbbbb</definedName>
    <definedName name="bbbbbb" localSheetId="57">'[3]5.2-опер.рас ПП'!bbbbbb</definedName>
    <definedName name="bbbbbb" localSheetId="51">'[3]5.2-опер.рас ПП'!bbbbbb</definedName>
    <definedName name="bbbbbb" localSheetId="61">'[3]5.2-опер.рас ПП'!bbbbbb</definedName>
    <definedName name="bbbbbb" localSheetId="56">'[3]5.2-опер.рас ПП'!bbbbbb</definedName>
    <definedName name="bbbbbb" localSheetId="60">'[3]5.2-опер.рас ПП'!bbbbbb</definedName>
    <definedName name="bbbbbb" localSheetId="55">'[3]5.2-опер.рас ПП'!bbbbbb</definedName>
    <definedName name="bbbbbb" localSheetId="50">'[3]5.2-опер.рас ПП'!bbbbbb</definedName>
    <definedName name="bbbbbb" localSheetId="96">'[3]5.2-опер.рас ПП'!bbbbbb</definedName>
    <definedName name="bbbbbb" localSheetId="93">'[3]5.2-опер.рас ПП'!bbbbbb</definedName>
    <definedName name="bbbbbb" localSheetId="99">'[3]5.2-опер.рас ПП'!bbbbbb</definedName>
    <definedName name="bbbbbb" localSheetId="95">'[3]5.2-опер.рас ПП'!bbbbbb</definedName>
    <definedName name="bbbbbb" localSheetId="92">'[3]5.2-опер.рас ПП'!bbbbbb</definedName>
    <definedName name="bbbbbb" localSheetId="98">'[3]5.2-опер.рас ПП'!bbbbbb</definedName>
    <definedName name="bbbbbb" localSheetId="94">'[3]5.2-опер.рас ПП'!bbbbbb</definedName>
    <definedName name="bbbbbb" localSheetId="91">'[3]5.2-опер.рас ПП'!bbbbbb</definedName>
    <definedName name="bbbbbb" localSheetId="97">'[3]5.2-опер.рас ПП'!bbbbbb</definedName>
    <definedName name="bbbbbb" localSheetId="103">'[3]5.2-опер.рас ПП'!bbbbbb</definedName>
    <definedName name="bbbbbb" localSheetId="101">'[3]5.2-опер.рас ПП'!bbbbbb</definedName>
    <definedName name="bbbbbb" localSheetId="106">'[3]5.2-опер.рас ПП'!bbbbbb</definedName>
    <definedName name="bbbbbb" localSheetId="102">'[3]5.2-опер.рас ПП'!bbbbbb</definedName>
    <definedName name="bbbbbb" localSheetId="100">'[3]5.2-опер.рас ПП'!bbbbbb</definedName>
    <definedName name="bbbbbb" localSheetId="105">'[3]5.2-опер.рас ПП'!bbbbbb</definedName>
    <definedName name="bbbbbb" localSheetId="104">'[3]5.2-опер.рас ПП'!bbbbbb</definedName>
    <definedName name="bbbbbb" localSheetId="110">'[3]5.2-опер.рас ПП'!bbbbbb</definedName>
    <definedName name="bbbbbb" localSheetId="107">'[3]5.2-опер.рас ПП'!bbbbbb</definedName>
    <definedName name="bbbbbb" localSheetId="113">'[3]5.2-опер.рас ПП'!bbbbbb</definedName>
    <definedName name="bbbbbb" localSheetId="115">'[3]5.2-опер.рас ПП'!bbbbbb</definedName>
    <definedName name="bbbbbb" localSheetId="114">'[3]5.2-опер.рас ПП'!bbbbbb</definedName>
    <definedName name="bbbbbb" localSheetId="112">'[3]5.2-опер.рас ПП'!bbbbbb</definedName>
    <definedName name="bbbbbb" localSheetId="109">'[3]5.2-опер.рас ПП'!bbbbbb</definedName>
    <definedName name="bbbbbb" localSheetId="111">'[3]5.2-опер.рас ПП'!bbbbbb</definedName>
    <definedName name="bbbbbb" localSheetId="108">'[3]5.2-опер.рас ПП'!bbbbbb</definedName>
    <definedName name="bbbbbb" localSheetId="122">'[3]5.2-опер.рас ПП'!bbbbbb</definedName>
    <definedName name="bbbbbb" localSheetId="116">'[3]5.2-опер.рас ПП'!bbbbbb</definedName>
    <definedName name="bbbbbb" localSheetId="125">'[3]5.2-опер.рас ПП'!bbbbbb</definedName>
    <definedName name="bbbbbb" localSheetId="127">'[3]5.2-опер.рас ПП'!bbbbbb</definedName>
    <definedName name="bbbbbb" localSheetId="126">'[3]5.2-опер.рас ПП'!bbbbbb</definedName>
    <definedName name="bbbbbb" localSheetId="124">'[3]5.2-опер.рас ПП'!bbbbbb</definedName>
    <definedName name="bbbbbb" localSheetId="118">'[3]5.2-опер.рас ПП'!bbbbbb</definedName>
    <definedName name="bbbbbb" localSheetId="123">'[3]5.2-опер.рас ПП'!bbbbbb</definedName>
    <definedName name="bbbbbb" localSheetId="117">'[3]5.2-опер.рас ПП'!bbbbbb</definedName>
    <definedName name="bbbbbb" localSheetId="119">'[3]5.2-опер.рас ПП'!bbbbbb</definedName>
    <definedName name="bbbbbb" localSheetId="120">'[3]5.2-опер.рас ПП'!bbbbbb</definedName>
    <definedName name="bbbbbb" localSheetId="121">'[3]5.2-опер.рас ПП'!bbbbbb</definedName>
    <definedName name="bbbbbb" localSheetId="129">'[3]5.2-опер.рас ПП'!bbbbbb</definedName>
    <definedName name="bbbbbb" localSheetId="128">'[3]5.2-опер.рас ПП'!bbbbbb</definedName>
    <definedName name="bbbbbb" localSheetId="130">'[3]5.2-опер.рас ПП'!bbbbbb</definedName>
    <definedName name="bbbbbb" localSheetId="133">'[3]5.2-опер.рас ПП'!bbbbbb</definedName>
    <definedName name="bbbbbb" localSheetId="132">'[3]5.2-опер.рас ПП'!bbbbbb</definedName>
    <definedName name="bbbbbb" localSheetId="136">'[3]5.2-опер.рас ПП'!bbbbbb</definedName>
    <definedName name="bbbbbb" localSheetId="134">'[3]5.2-опер.рас ПП'!bbbbbb</definedName>
    <definedName name="bbbbbb" localSheetId="139">'[3]5.2-опер.рас ПП'!bbbbbb</definedName>
    <definedName name="bbbbbb" localSheetId="137">'[3]5.2-опер.рас ПП'!bbbbbb</definedName>
    <definedName name="bbbbbb" localSheetId="142">'[3]5.2-опер.рас ПП'!bbbbbb</definedName>
    <definedName name="bbbbbb" localSheetId="141">'[3]5.2-опер.рас ПП'!bbbbbb</definedName>
    <definedName name="bbbbbb" localSheetId="140">'[3]5.2-опер.рас ПП'!bbbbbb</definedName>
    <definedName name="bbbbbb" localSheetId="145">'[3]5.2-опер.рас ПП'!bbbbbb</definedName>
    <definedName name="bbbbbb" localSheetId="143">'[3]5.2-опер.рас ПП'!bbbbbb</definedName>
    <definedName name="bbbbbb" localSheetId="150">'[3]5.2-опер.рас ПП'!bbbbbb</definedName>
    <definedName name="bbbbbb" localSheetId="158">'[3]5.2-опер.рас ПП'!bbbbbb</definedName>
    <definedName name="bbbbbb" localSheetId="157">'[3]5.2-опер.рас ПП'!bbbbbb</definedName>
    <definedName name="bbbbbb" localSheetId="156">'[3]5.2-опер.рас ПП'!bbbbbb</definedName>
    <definedName name="bbbbbb" localSheetId="146">'[3]5.2-опер.рас ПП'!bbbbbb</definedName>
    <definedName name="bbbbbb" localSheetId="89">'[3]5.2-опер.рас ПП'!bbbbbb</definedName>
    <definedName name="bbbbbb" localSheetId="90">'[3]5.2-опер.рас ПП'!bbbbbb</definedName>
    <definedName name="bbbbbb" localSheetId="2">'[4]5.2-опер.рас ПП'!bbbbbb</definedName>
    <definedName name="bbbbbb" localSheetId="1">'[4]5.2-опер.рас ПП'!bbbbbb</definedName>
    <definedName name="bbbbbb">'[3]5.2-опер.рас ПП'!bbbbbb</definedName>
    <definedName name="bnmnm" localSheetId="19">'[3]5.2-опер.рас ПП'!bnmnm</definedName>
    <definedName name="bnmnm" localSheetId="17">'[3]5.2-опер.рас ПП'!bnmnm</definedName>
    <definedName name="bnmnm" localSheetId="45">'4. 7_котельн.'!bnmnm</definedName>
    <definedName name="bnmnm" localSheetId="44">'4. 7_КТЭЦ'!bnmnm</definedName>
    <definedName name="bnmnm" localSheetId="3">'[3]5.2-опер.рас ПП'!bnmnm</definedName>
    <definedName name="bnmnm" localSheetId="78">'[3]5.2-опер.рас ПП'!bnmnm</definedName>
    <definedName name="bnmnm" localSheetId="65">'[3]5.2-опер.рас ПП'!bnmnm</definedName>
    <definedName name="bnmnm" localSheetId="75">'[3]5.2-опер.рас ПП'!bnmnm</definedName>
    <definedName name="bnmnm" localSheetId="70">'[3]5.2-опер.рас ПП'!bnmnm</definedName>
    <definedName name="bnmnm" localSheetId="79">'[3]5.2-опер.рас ПП'!bnmnm</definedName>
    <definedName name="bnmnm" localSheetId="82">'[3]5.2-опер.рас ПП'!bnmnm</definedName>
    <definedName name="bnmnm" localSheetId="12">'[3]5.2-опер.рас ПП'!bnmnm</definedName>
    <definedName name="bnmnm" localSheetId="11">'[3]5.2-опер.рас ПП'!bnmnm</definedName>
    <definedName name="bnmnm" localSheetId="20">'[4]5.2-опер.рас ПП'!bnmnm</definedName>
    <definedName name="bnmnm" localSheetId="28">'[3]5.2-опер.рас ПП'!bnmnm</definedName>
    <definedName name="bnmnm" localSheetId="38">'[3]5.2-опер.рас ПП'!bnmnm</definedName>
    <definedName name="bnmnm" localSheetId="26">'[3]5.2-опер.рас ПП'!bnmnm</definedName>
    <definedName name="bnmnm" localSheetId="34">'[3]5.2-опер.рас ПП'!bnmnm</definedName>
    <definedName name="bnmnm" localSheetId="32">'[3]5.2-опер.рас ПП'!bnmnm</definedName>
    <definedName name="bnmnm" localSheetId="23">'[3]5.2-опер.рас ПП'!bnmnm</definedName>
    <definedName name="bnmnm" localSheetId="41">'[3]5.2-опер.рас ПП'!bnmnm</definedName>
    <definedName name="bnmnm" localSheetId="31">'[3]5.2-опер.рас ПП'!bnmnm</definedName>
    <definedName name="bnmnm" localSheetId="30">'[3]5.2-опер.рас ПП'!bnmnm</definedName>
    <definedName name="bnmnm" localSheetId="47">'[4]5.2-опер.рас ПП'!bnmnm</definedName>
    <definedName name="bnmnm" localSheetId="46">'[4]5.2-опер.рас ПП'!bnmnm</definedName>
    <definedName name="bnmnm" localSheetId="52">'[3]5.2-опер.рас ПП'!bnmnm</definedName>
    <definedName name="bnmnm" localSheetId="62">'[3]5.2-опер.рас ПП'!bnmnm</definedName>
    <definedName name="bnmnm" localSheetId="57">'[3]5.2-опер.рас ПП'!bnmnm</definedName>
    <definedName name="bnmnm" localSheetId="51">'[3]5.2-опер.рас ПП'!bnmnm</definedName>
    <definedName name="bnmnm" localSheetId="61">'[3]5.2-опер.рас ПП'!bnmnm</definedName>
    <definedName name="bnmnm" localSheetId="56">'[3]5.2-опер.рас ПП'!bnmnm</definedName>
    <definedName name="bnmnm" localSheetId="60">'[3]5.2-опер.рас ПП'!bnmnm</definedName>
    <definedName name="bnmnm" localSheetId="55">'[3]5.2-опер.рас ПП'!bnmnm</definedName>
    <definedName name="bnmnm" localSheetId="50">'[3]5.2-опер.рас ПП'!bnmnm</definedName>
    <definedName name="bnmnm" localSheetId="96">'[3]5.2-опер.рас ПП'!bnmnm</definedName>
    <definedName name="bnmnm" localSheetId="93">'[3]5.2-опер.рас ПП'!bnmnm</definedName>
    <definedName name="bnmnm" localSheetId="99">'[3]5.2-опер.рас ПП'!bnmnm</definedName>
    <definedName name="bnmnm" localSheetId="95">'[3]5.2-опер.рас ПП'!bnmnm</definedName>
    <definedName name="bnmnm" localSheetId="92">'[3]5.2-опер.рас ПП'!bnmnm</definedName>
    <definedName name="bnmnm" localSheetId="98">'[3]5.2-опер.рас ПП'!bnmnm</definedName>
    <definedName name="bnmnm" localSheetId="94">'[3]5.2-опер.рас ПП'!bnmnm</definedName>
    <definedName name="bnmnm" localSheetId="91">'[3]5.2-опер.рас ПП'!bnmnm</definedName>
    <definedName name="bnmnm" localSheetId="97">'[3]5.2-опер.рас ПП'!bnmnm</definedName>
    <definedName name="bnmnm" localSheetId="103">'[3]5.2-опер.рас ПП'!bnmnm</definedName>
    <definedName name="bnmnm" localSheetId="101">'[3]5.2-опер.рас ПП'!bnmnm</definedName>
    <definedName name="bnmnm" localSheetId="106">'[3]5.2-опер.рас ПП'!bnmnm</definedName>
    <definedName name="bnmnm" localSheetId="102">'[3]5.2-опер.рас ПП'!bnmnm</definedName>
    <definedName name="bnmnm" localSheetId="100">'[3]5.2-опер.рас ПП'!bnmnm</definedName>
    <definedName name="bnmnm" localSheetId="105">'[3]5.2-опер.рас ПП'!bnmnm</definedName>
    <definedName name="bnmnm" localSheetId="104">'[3]5.2-опер.рас ПП'!bnmnm</definedName>
    <definedName name="bnmnm" localSheetId="110">'[3]5.2-опер.рас ПП'!bnmnm</definedName>
    <definedName name="bnmnm" localSheetId="107">'[3]5.2-опер.рас ПП'!bnmnm</definedName>
    <definedName name="bnmnm" localSheetId="113">'[3]5.2-опер.рас ПП'!bnmnm</definedName>
    <definedName name="bnmnm" localSheetId="115">'[3]5.2-опер.рас ПП'!bnmnm</definedName>
    <definedName name="bnmnm" localSheetId="114">'[3]5.2-опер.рас ПП'!bnmnm</definedName>
    <definedName name="bnmnm" localSheetId="112">'[3]5.2-опер.рас ПП'!bnmnm</definedName>
    <definedName name="bnmnm" localSheetId="109">'[3]5.2-опер.рас ПП'!bnmnm</definedName>
    <definedName name="bnmnm" localSheetId="111">'[3]5.2-опер.рас ПП'!bnmnm</definedName>
    <definedName name="bnmnm" localSheetId="108">'[3]5.2-опер.рас ПП'!bnmnm</definedName>
    <definedName name="bnmnm" localSheetId="122">'[3]5.2-опер.рас ПП'!bnmnm</definedName>
    <definedName name="bnmnm" localSheetId="116">'[3]5.2-опер.рас ПП'!bnmnm</definedName>
    <definedName name="bnmnm" localSheetId="125">'[3]5.2-опер.рас ПП'!bnmnm</definedName>
    <definedName name="bnmnm" localSheetId="127">'[3]5.2-опер.рас ПП'!bnmnm</definedName>
    <definedName name="bnmnm" localSheetId="126">'[3]5.2-опер.рас ПП'!bnmnm</definedName>
    <definedName name="bnmnm" localSheetId="124">'[3]5.2-опер.рас ПП'!bnmnm</definedName>
    <definedName name="bnmnm" localSheetId="118">'[3]5.2-опер.рас ПП'!bnmnm</definedName>
    <definedName name="bnmnm" localSheetId="123">'[3]5.2-опер.рас ПП'!bnmnm</definedName>
    <definedName name="bnmnm" localSheetId="117">'[3]5.2-опер.рас ПП'!bnmnm</definedName>
    <definedName name="bnmnm" localSheetId="119">'[3]5.2-опер.рас ПП'!bnmnm</definedName>
    <definedName name="bnmnm" localSheetId="120">'[3]5.2-опер.рас ПП'!bnmnm</definedName>
    <definedName name="bnmnm" localSheetId="121">'[3]5.2-опер.рас ПП'!bnmnm</definedName>
    <definedName name="bnmnm" localSheetId="129">'[3]5.2-опер.рас ПП'!bnmnm</definedName>
    <definedName name="bnmnm" localSheetId="128">'[3]5.2-опер.рас ПП'!bnmnm</definedName>
    <definedName name="bnmnm" localSheetId="130">'[3]5.2-опер.рас ПП'!bnmnm</definedName>
    <definedName name="bnmnm" localSheetId="133">'[3]5.2-опер.рас ПП'!bnmnm</definedName>
    <definedName name="bnmnm" localSheetId="132">'[3]5.2-опер.рас ПП'!bnmnm</definedName>
    <definedName name="bnmnm" localSheetId="136">'[3]5.2-опер.рас ПП'!bnmnm</definedName>
    <definedName name="bnmnm" localSheetId="134">'[3]5.2-опер.рас ПП'!bnmnm</definedName>
    <definedName name="bnmnm" localSheetId="139">'[3]5.2-опер.рас ПП'!bnmnm</definedName>
    <definedName name="bnmnm" localSheetId="137">'[3]5.2-опер.рас ПП'!bnmnm</definedName>
    <definedName name="bnmnm" localSheetId="142">'[3]5.2-опер.рас ПП'!bnmnm</definedName>
    <definedName name="bnmnm" localSheetId="141">'[3]5.2-опер.рас ПП'!bnmnm</definedName>
    <definedName name="bnmnm" localSheetId="140">'[3]5.2-опер.рас ПП'!bnmnm</definedName>
    <definedName name="bnmnm" localSheetId="145">'[3]5.2-опер.рас ПП'!bnmnm</definedName>
    <definedName name="bnmnm" localSheetId="143">'[3]5.2-опер.рас ПП'!bnmnm</definedName>
    <definedName name="bnmnm" localSheetId="150">'[3]5.2-опер.рас ПП'!bnmnm</definedName>
    <definedName name="bnmnm" localSheetId="158">'[3]5.2-опер.рас ПП'!bnmnm</definedName>
    <definedName name="bnmnm" localSheetId="157">'[3]5.2-опер.рас ПП'!bnmnm</definedName>
    <definedName name="bnmnm" localSheetId="156">'[3]5.2-опер.рас ПП'!bnmnm</definedName>
    <definedName name="bnmnm" localSheetId="146">'[3]5.2-опер.рас ПП'!bnmnm</definedName>
    <definedName name="bnmnm" localSheetId="89">'[3]5.2-опер.рас ПП'!bnmnm</definedName>
    <definedName name="bnmnm" localSheetId="90">'[3]5.2-опер.рас ПП'!bnmnm</definedName>
    <definedName name="bnmnm" localSheetId="2">'[4]5.2-опер.рас ПП'!bnmnm</definedName>
    <definedName name="bnmnm" localSheetId="1">'[4]5.2-опер.рас ПП'!bnmnm</definedName>
    <definedName name="bnmnm">'[3]5.2-опер.рас ПП'!bnmnm</definedName>
    <definedName name="ccc" localSheetId="19">'[3]5.2-опер.рас ПП'!ccc</definedName>
    <definedName name="ccc" localSheetId="17">'[3]5.2-опер.рас ПП'!ccc</definedName>
    <definedName name="ccc" localSheetId="45">'4. 7_котельн.'!ccc</definedName>
    <definedName name="ccc" localSheetId="44">'4. 7_КТЭЦ'!ccc</definedName>
    <definedName name="ccc" localSheetId="3">'[3]5.2-опер.рас ПП'!ccc</definedName>
    <definedName name="ccc" localSheetId="78">'[3]5.2-опер.рас ПП'!ccc</definedName>
    <definedName name="ccc" localSheetId="65">'[3]5.2-опер.рас ПП'!ccc</definedName>
    <definedName name="ccc" localSheetId="75">'[3]5.2-опер.рас ПП'!ccc</definedName>
    <definedName name="ccc" localSheetId="70">'[3]5.2-опер.рас ПП'!ccc</definedName>
    <definedName name="ccc" localSheetId="79">'[3]5.2-опер.рас ПП'!ccc</definedName>
    <definedName name="ccc" localSheetId="82">'[3]5.2-опер.рас ПП'!ccc</definedName>
    <definedName name="ccc" localSheetId="12">'[3]5.2-опер.рас ПП'!ccc</definedName>
    <definedName name="ccc" localSheetId="11">'[3]5.2-опер.рас ПП'!ccc</definedName>
    <definedName name="ccc" localSheetId="20">'[4]5.2-опер.рас ПП'!ccc</definedName>
    <definedName name="ccc" localSheetId="28">'[3]5.2-опер.рас ПП'!ccc</definedName>
    <definedName name="ccc" localSheetId="38">'[3]5.2-опер.рас ПП'!ccc</definedName>
    <definedName name="ccc" localSheetId="26">'[3]5.2-опер.рас ПП'!ccc</definedName>
    <definedName name="ccc" localSheetId="34">'[3]5.2-опер.рас ПП'!ccc</definedName>
    <definedName name="ccc" localSheetId="32">'[3]5.2-опер.рас ПП'!ccc</definedName>
    <definedName name="ccc" localSheetId="23">'[3]5.2-опер.рас ПП'!ccc</definedName>
    <definedName name="ccc" localSheetId="41">'[3]5.2-опер.рас ПП'!ccc</definedName>
    <definedName name="ccc" localSheetId="31">'[3]5.2-опер.рас ПП'!ccc</definedName>
    <definedName name="ccc" localSheetId="30">'[3]5.2-опер.рас ПП'!ccc</definedName>
    <definedName name="ccc" localSheetId="47">'[4]5.2-опер.рас ПП'!ccc</definedName>
    <definedName name="ccc" localSheetId="46">'[4]5.2-опер.рас ПП'!ccc</definedName>
    <definedName name="ccc" localSheetId="52">'[3]5.2-опер.рас ПП'!ccc</definedName>
    <definedName name="ccc" localSheetId="62">'[3]5.2-опер.рас ПП'!ccc</definedName>
    <definedName name="ccc" localSheetId="57">'[3]5.2-опер.рас ПП'!ccc</definedName>
    <definedName name="ccc" localSheetId="51">'[3]5.2-опер.рас ПП'!ccc</definedName>
    <definedName name="ccc" localSheetId="61">'[3]5.2-опер.рас ПП'!ccc</definedName>
    <definedName name="ccc" localSheetId="56">'[3]5.2-опер.рас ПП'!ccc</definedName>
    <definedName name="ccc" localSheetId="60">'[3]5.2-опер.рас ПП'!ccc</definedName>
    <definedName name="ccc" localSheetId="55">'[3]5.2-опер.рас ПП'!ccc</definedName>
    <definedName name="ccc" localSheetId="50">'[3]5.2-опер.рас ПП'!ccc</definedName>
    <definedName name="ccc" localSheetId="96">'[3]5.2-опер.рас ПП'!ccc</definedName>
    <definedName name="ccc" localSheetId="93">'[3]5.2-опер.рас ПП'!ccc</definedName>
    <definedName name="ccc" localSheetId="99">'[3]5.2-опер.рас ПП'!ccc</definedName>
    <definedName name="ccc" localSheetId="95">'[3]5.2-опер.рас ПП'!ccc</definedName>
    <definedName name="ccc" localSheetId="92">'[3]5.2-опер.рас ПП'!ccc</definedName>
    <definedName name="ccc" localSheetId="98">'[3]5.2-опер.рас ПП'!ccc</definedName>
    <definedName name="ccc" localSheetId="94">'[3]5.2-опер.рас ПП'!ccc</definedName>
    <definedName name="ccc" localSheetId="91">'[3]5.2-опер.рас ПП'!ccc</definedName>
    <definedName name="ccc" localSheetId="97">'[3]5.2-опер.рас ПП'!ccc</definedName>
    <definedName name="ccc" localSheetId="103">'[3]5.2-опер.рас ПП'!ccc</definedName>
    <definedName name="ccc" localSheetId="101">'[3]5.2-опер.рас ПП'!ccc</definedName>
    <definedName name="ccc" localSheetId="106">'[3]5.2-опер.рас ПП'!ccc</definedName>
    <definedName name="ccc" localSheetId="102">'[3]5.2-опер.рас ПП'!ccc</definedName>
    <definedName name="ccc" localSheetId="100">'[3]5.2-опер.рас ПП'!ccc</definedName>
    <definedName name="ccc" localSheetId="105">'[3]5.2-опер.рас ПП'!ccc</definedName>
    <definedName name="ccc" localSheetId="104">'[3]5.2-опер.рас ПП'!ccc</definedName>
    <definedName name="ccc" localSheetId="110">'[3]5.2-опер.рас ПП'!ccc</definedName>
    <definedName name="ccc" localSheetId="107">'[3]5.2-опер.рас ПП'!ccc</definedName>
    <definedName name="ccc" localSheetId="113">'[3]5.2-опер.рас ПП'!ccc</definedName>
    <definedName name="ccc" localSheetId="115">'[3]5.2-опер.рас ПП'!ccc</definedName>
    <definedName name="ccc" localSheetId="114">'[3]5.2-опер.рас ПП'!ccc</definedName>
    <definedName name="ccc" localSheetId="112">'[3]5.2-опер.рас ПП'!ccc</definedName>
    <definedName name="ccc" localSheetId="109">'[3]5.2-опер.рас ПП'!ccc</definedName>
    <definedName name="ccc" localSheetId="111">'[3]5.2-опер.рас ПП'!ccc</definedName>
    <definedName name="ccc" localSheetId="108">'[3]5.2-опер.рас ПП'!ccc</definedName>
    <definedName name="ccc" localSheetId="122">'[3]5.2-опер.рас ПП'!ccc</definedName>
    <definedName name="ccc" localSheetId="116">'[3]5.2-опер.рас ПП'!ccc</definedName>
    <definedName name="ccc" localSheetId="125">'[3]5.2-опер.рас ПП'!ccc</definedName>
    <definedName name="ccc" localSheetId="127">'[3]5.2-опер.рас ПП'!ccc</definedName>
    <definedName name="ccc" localSheetId="126">'[3]5.2-опер.рас ПП'!ccc</definedName>
    <definedName name="ccc" localSheetId="124">'[3]5.2-опер.рас ПП'!ccc</definedName>
    <definedName name="ccc" localSheetId="118">'[3]5.2-опер.рас ПП'!ccc</definedName>
    <definedName name="ccc" localSheetId="123">'[3]5.2-опер.рас ПП'!ccc</definedName>
    <definedName name="ccc" localSheetId="117">'[3]5.2-опер.рас ПП'!ccc</definedName>
    <definedName name="ccc" localSheetId="119">'[3]5.2-опер.рас ПП'!ccc</definedName>
    <definedName name="ccc" localSheetId="120">'[3]5.2-опер.рас ПП'!ccc</definedName>
    <definedName name="ccc" localSheetId="121">'[3]5.2-опер.рас ПП'!ccc</definedName>
    <definedName name="ccc" localSheetId="129">'[3]5.2-опер.рас ПП'!ccc</definedName>
    <definedName name="ccc" localSheetId="128">'[3]5.2-опер.рас ПП'!ccc</definedName>
    <definedName name="ccc" localSheetId="130">'[3]5.2-опер.рас ПП'!ccc</definedName>
    <definedName name="ccc" localSheetId="133">'[3]5.2-опер.рас ПП'!ccc</definedName>
    <definedName name="ccc" localSheetId="132">'[3]5.2-опер.рас ПП'!ccc</definedName>
    <definedName name="ccc" localSheetId="136">'[3]5.2-опер.рас ПП'!ccc</definedName>
    <definedName name="ccc" localSheetId="134">'[3]5.2-опер.рас ПП'!ccc</definedName>
    <definedName name="ccc" localSheetId="139">'[3]5.2-опер.рас ПП'!ccc</definedName>
    <definedName name="ccc" localSheetId="137">'[3]5.2-опер.рас ПП'!ccc</definedName>
    <definedName name="ccc" localSheetId="142">'[3]5.2-опер.рас ПП'!ccc</definedName>
    <definedName name="ccc" localSheetId="141">'[3]5.2-опер.рас ПП'!ccc</definedName>
    <definedName name="ccc" localSheetId="140">'[3]5.2-опер.рас ПП'!ccc</definedName>
    <definedName name="ccc" localSheetId="145">'[3]5.2-опер.рас ПП'!ccc</definedName>
    <definedName name="ccc" localSheetId="143">'[3]5.2-опер.рас ПП'!ccc</definedName>
    <definedName name="ccc" localSheetId="150">'[3]5.2-опер.рас ПП'!ccc</definedName>
    <definedName name="ccc" localSheetId="158">'[3]5.2-опер.рас ПП'!ccc</definedName>
    <definedName name="ccc" localSheetId="157">'[3]5.2-опер.рас ПП'!ccc</definedName>
    <definedName name="ccc" localSheetId="156">'[3]5.2-опер.рас ПП'!ccc</definedName>
    <definedName name="ccc" localSheetId="146">'[3]5.2-опер.рас ПП'!ccc</definedName>
    <definedName name="ccc" localSheetId="89">'[3]5.2-опер.рас ПП'!ccc</definedName>
    <definedName name="ccc" localSheetId="90">'[3]5.2-опер.рас ПП'!ccc</definedName>
    <definedName name="ccc" localSheetId="2">'[4]5.2-опер.рас ПП'!ccc</definedName>
    <definedName name="ccc" localSheetId="1">'[4]5.2-опер.рас ПП'!ccc</definedName>
    <definedName name="ccc">'[3]5.2-опер.рас ПП'!ccc</definedName>
    <definedName name="ccccdc" localSheetId="19">'[3]5.2-опер.рас ПП'!ccccdc</definedName>
    <definedName name="ccccdc" localSheetId="17">'[3]5.2-опер.рас ПП'!ccccdc</definedName>
    <definedName name="ccccdc" localSheetId="45">'4. 7_котельн.'!ccccdc</definedName>
    <definedName name="ccccdc" localSheetId="44">'4. 7_КТЭЦ'!ccccdc</definedName>
    <definedName name="ccccdc" localSheetId="3">'[3]5.2-опер.рас ПП'!ccccdc</definedName>
    <definedName name="ccccdc" localSheetId="78">'[3]5.2-опер.рас ПП'!ccccdc</definedName>
    <definedName name="ccccdc" localSheetId="65">'[3]5.2-опер.рас ПП'!ccccdc</definedName>
    <definedName name="ccccdc" localSheetId="75">'[3]5.2-опер.рас ПП'!ccccdc</definedName>
    <definedName name="ccccdc" localSheetId="70">'[3]5.2-опер.рас ПП'!ccccdc</definedName>
    <definedName name="ccccdc" localSheetId="79">'[3]5.2-опер.рас ПП'!ccccdc</definedName>
    <definedName name="ccccdc" localSheetId="82">'[3]5.2-опер.рас ПП'!ccccdc</definedName>
    <definedName name="ccccdc" localSheetId="12">'[3]5.2-опер.рас ПП'!ccccdc</definedName>
    <definedName name="ccccdc" localSheetId="11">'[3]5.2-опер.рас ПП'!ccccdc</definedName>
    <definedName name="ccccdc" localSheetId="20">'[4]5.2-опер.рас ПП'!ccccdc</definedName>
    <definedName name="ccccdc" localSheetId="28">'[3]5.2-опер.рас ПП'!ccccdc</definedName>
    <definedName name="ccccdc" localSheetId="38">'[3]5.2-опер.рас ПП'!ccccdc</definedName>
    <definedName name="ccccdc" localSheetId="26">'[3]5.2-опер.рас ПП'!ccccdc</definedName>
    <definedName name="ccccdc" localSheetId="34">'[3]5.2-опер.рас ПП'!ccccdc</definedName>
    <definedName name="ccccdc" localSheetId="32">'[3]5.2-опер.рас ПП'!ccccdc</definedName>
    <definedName name="ccccdc" localSheetId="23">'[3]5.2-опер.рас ПП'!ccccdc</definedName>
    <definedName name="ccccdc" localSheetId="41">'[3]5.2-опер.рас ПП'!ccccdc</definedName>
    <definedName name="ccccdc" localSheetId="31">'[3]5.2-опер.рас ПП'!ccccdc</definedName>
    <definedName name="ccccdc" localSheetId="30">'[3]5.2-опер.рас ПП'!ccccdc</definedName>
    <definedName name="ccccdc" localSheetId="47">'[4]5.2-опер.рас ПП'!ccccdc</definedName>
    <definedName name="ccccdc" localSheetId="46">'[4]5.2-опер.рас ПП'!ccccdc</definedName>
    <definedName name="ccccdc" localSheetId="52">'[3]5.2-опер.рас ПП'!ccccdc</definedName>
    <definedName name="ccccdc" localSheetId="62">'[3]5.2-опер.рас ПП'!ccccdc</definedName>
    <definedName name="ccccdc" localSheetId="57">'[3]5.2-опер.рас ПП'!ccccdc</definedName>
    <definedName name="ccccdc" localSheetId="51">'[3]5.2-опер.рас ПП'!ccccdc</definedName>
    <definedName name="ccccdc" localSheetId="61">'[3]5.2-опер.рас ПП'!ccccdc</definedName>
    <definedName name="ccccdc" localSheetId="56">'[3]5.2-опер.рас ПП'!ccccdc</definedName>
    <definedName name="ccccdc" localSheetId="60">'[3]5.2-опер.рас ПП'!ccccdc</definedName>
    <definedName name="ccccdc" localSheetId="55">'[3]5.2-опер.рас ПП'!ccccdc</definedName>
    <definedName name="ccccdc" localSheetId="50">'[3]5.2-опер.рас ПП'!ccccdc</definedName>
    <definedName name="ccccdc" localSheetId="96">'[3]5.2-опер.рас ПП'!ccccdc</definedName>
    <definedName name="ccccdc" localSheetId="93">'[3]5.2-опер.рас ПП'!ccccdc</definedName>
    <definedName name="ccccdc" localSheetId="99">'[3]5.2-опер.рас ПП'!ccccdc</definedName>
    <definedName name="ccccdc" localSheetId="95">'[3]5.2-опер.рас ПП'!ccccdc</definedName>
    <definedName name="ccccdc" localSheetId="92">'[3]5.2-опер.рас ПП'!ccccdc</definedName>
    <definedName name="ccccdc" localSheetId="98">'[3]5.2-опер.рас ПП'!ccccdc</definedName>
    <definedName name="ccccdc" localSheetId="94">'[3]5.2-опер.рас ПП'!ccccdc</definedName>
    <definedName name="ccccdc" localSheetId="91">'[3]5.2-опер.рас ПП'!ccccdc</definedName>
    <definedName name="ccccdc" localSheetId="97">'[3]5.2-опер.рас ПП'!ccccdc</definedName>
    <definedName name="ccccdc" localSheetId="103">'[3]5.2-опер.рас ПП'!ccccdc</definedName>
    <definedName name="ccccdc" localSheetId="101">'[3]5.2-опер.рас ПП'!ccccdc</definedName>
    <definedName name="ccccdc" localSheetId="106">'[3]5.2-опер.рас ПП'!ccccdc</definedName>
    <definedName name="ccccdc" localSheetId="102">'[3]5.2-опер.рас ПП'!ccccdc</definedName>
    <definedName name="ccccdc" localSheetId="100">'[3]5.2-опер.рас ПП'!ccccdc</definedName>
    <definedName name="ccccdc" localSheetId="105">'[3]5.2-опер.рас ПП'!ccccdc</definedName>
    <definedName name="ccccdc" localSheetId="104">'[3]5.2-опер.рас ПП'!ccccdc</definedName>
    <definedName name="ccccdc" localSheetId="110">'[3]5.2-опер.рас ПП'!ccccdc</definedName>
    <definedName name="ccccdc" localSheetId="107">'[3]5.2-опер.рас ПП'!ccccdc</definedName>
    <definedName name="ccccdc" localSheetId="113">'[3]5.2-опер.рас ПП'!ccccdc</definedName>
    <definedName name="ccccdc" localSheetId="115">'[3]5.2-опер.рас ПП'!ccccdc</definedName>
    <definedName name="ccccdc" localSheetId="114">'[3]5.2-опер.рас ПП'!ccccdc</definedName>
    <definedName name="ccccdc" localSheetId="112">'[3]5.2-опер.рас ПП'!ccccdc</definedName>
    <definedName name="ccccdc" localSheetId="109">'[3]5.2-опер.рас ПП'!ccccdc</definedName>
    <definedName name="ccccdc" localSheetId="111">'[3]5.2-опер.рас ПП'!ccccdc</definedName>
    <definedName name="ccccdc" localSheetId="108">'[3]5.2-опер.рас ПП'!ccccdc</definedName>
    <definedName name="ccccdc" localSheetId="122">'[3]5.2-опер.рас ПП'!ccccdc</definedName>
    <definedName name="ccccdc" localSheetId="116">'[3]5.2-опер.рас ПП'!ccccdc</definedName>
    <definedName name="ccccdc" localSheetId="125">'[3]5.2-опер.рас ПП'!ccccdc</definedName>
    <definedName name="ccccdc" localSheetId="127">'[3]5.2-опер.рас ПП'!ccccdc</definedName>
    <definedName name="ccccdc" localSheetId="126">'[3]5.2-опер.рас ПП'!ccccdc</definedName>
    <definedName name="ccccdc" localSheetId="124">'[3]5.2-опер.рас ПП'!ccccdc</definedName>
    <definedName name="ccccdc" localSheetId="118">'[3]5.2-опер.рас ПП'!ccccdc</definedName>
    <definedName name="ccccdc" localSheetId="123">'[3]5.2-опер.рас ПП'!ccccdc</definedName>
    <definedName name="ccccdc" localSheetId="117">'[3]5.2-опер.рас ПП'!ccccdc</definedName>
    <definedName name="ccccdc" localSheetId="119">'[3]5.2-опер.рас ПП'!ccccdc</definedName>
    <definedName name="ccccdc" localSheetId="120">'[3]5.2-опер.рас ПП'!ccccdc</definedName>
    <definedName name="ccccdc" localSheetId="121">'[3]5.2-опер.рас ПП'!ccccdc</definedName>
    <definedName name="ccccdc" localSheetId="129">'[3]5.2-опер.рас ПП'!ccccdc</definedName>
    <definedName name="ccccdc" localSheetId="128">'[3]5.2-опер.рас ПП'!ccccdc</definedName>
    <definedName name="ccccdc" localSheetId="130">'[3]5.2-опер.рас ПП'!ccccdc</definedName>
    <definedName name="ccccdc" localSheetId="133">'[3]5.2-опер.рас ПП'!ccccdc</definedName>
    <definedName name="ccccdc" localSheetId="132">'[3]5.2-опер.рас ПП'!ccccdc</definedName>
    <definedName name="ccccdc" localSheetId="136">'[3]5.2-опер.рас ПП'!ccccdc</definedName>
    <definedName name="ccccdc" localSheetId="134">'[3]5.2-опер.рас ПП'!ccccdc</definedName>
    <definedName name="ccccdc" localSheetId="139">'[3]5.2-опер.рас ПП'!ccccdc</definedName>
    <definedName name="ccccdc" localSheetId="137">'[3]5.2-опер.рас ПП'!ccccdc</definedName>
    <definedName name="ccccdc" localSheetId="142">'[3]5.2-опер.рас ПП'!ccccdc</definedName>
    <definedName name="ccccdc" localSheetId="141">'[3]5.2-опер.рас ПП'!ccccdc</definedName>
    <definedName name="ccccdc" localSheetId="140">'[3]5.2-опер.рас ПП'!ccccdc</definedName>
    <definedName name="ccccdc" localSheetId="145">'[3]5.2-опер.рас ПП'!ccccdc</definedName>
    <definedName name="ccccdc" localSheetId="143">'[3]5.2-опер.рас ПП'!ccccdc</definedName>
    <definedName name="ccccdc" localSheetId="150">'[3]5.2-опер.рас ПП'!ccccdc</definedName>
    <definedName name="ccccdc" localSheetId="158">'[3]5.2-опер.рас ПП'!ccccdc</definedName>
    <definedName name="ccccdc" localSheetId="157">'[3]5.2-опер.рас ПП'!ccccdc</definedName>
    <definedName name="ccccdc" localSheetId="156">'[3]5.2-опер.рас ПП'!ccccdc</definedName>
    <definedName name="ccccdc" localSheetId="146">'[3]5.2-опер.рас ПП'!ccccdc</definedName>
    <definedName name="ccccdc" localSheetId="89">'[3]5.2-опер.рас ПП'!ccccdc</definedName>
    <definedName name="ccccdc" localSheetId="90">'[3]5.2-опер.рас ПП'!ccccdc</definedName>
    <definedName name="ccccdc" localSheetId="2">'[4]5.2-опер.рас ПП'!ccccdc</definedName>
    <definedName name="ccccdc" localSheetId="1">'[4]5.2-опер.рас ПП'!ccccdc</definedName>
    <definedName name="ccccdc">'[3]5.2-опер.рас ПП'!ccccdc</definedName>
    <definedName name="coal_list">[5]TEHSHEET!$G$2:$G$60</definedName>
    <definedName name="CompOt">#N/A</definedName>
    <definedName name="CompRas">#N/A</definedName>
    <definedName name="cvfds" localSheetId="19">'[3]5.2-опер.рас ПП'!cvfds</definedName>
    <definedName name="cvfds" localSheetId="17">'[3]5.2-опер.рас ПП'!cvfds</definedName>
    <definedName name="cvfds" localSheetId="45">'4. 7_котельн.'!cvfds</definedName>
    <definedName name="cvfds" localSheetId="44">'4. 7_КТЭЦ'!cvfds</definedName>
    <definedName name="cvfds" localSheetId="3">'[3]5.2-опер.рас ПП'!cvfds</definedName>
    <definedName name="cvfds" localSheetId="78">'[3]5.2-опер.рас ПП'!cvfds</definedName>
    <definedName name="cvfds" localSheetId="65">'[3]5.2-опер.рас ПП'!cvfds</definedName>
    <definedName name="cvfds" localSheetId="75">'[3]5.2-опер.рас ПП'!cvfds</definedName>
    <definedName name="cvfds" localSheetId="70">'[3]5.2-опер.рас ПП'!cvfds</definedName>
    <definedName name="cvfds" localSheetId="79">'[3]5.2-опер.рас ПП'!cvfds</definedName>
    <definedName name="cvfds" localSheetId="82">'[3]5.2-опер.рас ПП'!cvfds</definedName>
    <definedName name="cvfds" localSheetId="12">'[3]5.2-опер.рас ПП'!cvfds</definedName>
    <definedName name="cvfds" localSheetId="11">'[3]5.2-опер.рас ПП'!cvfds</definedName>
    <definedName name="cvfds" localSheetId="20">'[4]5.2-опер.рас ПП'!cvfds</definedName>
    <definedName name="cvfds" localSheetId="28">'[3]5.2-опер.рас ПП'!cvfds</definedName>
    <definedName name="cvfds" localSheetId="38">'[3]5.2-опер.рас ПП'!cvfds</definedName>
    <definedName name="cvfds" localSheetId="26">'[3]5.2-опер.рас ПП'!cvfds</definedName>
    <definedName name="cvfds" localSheetId="34">'[3]5.2-опер.рас ПП'!cvfds</definedName>
    <definedName name="cvfds" localSheetId="32">'[3]5.2-опер.рас ПП'!cvfds</definedName>
    <definedName name="cvfds" localSheetId="23">'[3]5.2-опер.рас ПП'!cvfds</definedName>
    <definedName name="cvfds" localSheetId="41">'[3]5.2-опер.рас ПП'!cvfds</definedName>
    <definedName name="cvfds" localSheetId="31">'[3]5.2-опер.рас ПП'!cvfds</definedName>
    <definedName name="cvfds" localSheetId="30">'[3]5.2-опер.рас ПП'!cvfds</definedName>
    <definedName name="cvfds" localSheetId="47">'[4]5.2-опер.рас ПП'!cvfds</definedName>
    <definedName name="cvfds" localSheetId="46">'[4]5.2-опер.рас ПП'!cvfds</definedName>
    <definedName name="cvfds" localSheetId="52">'[3]5.2-опер.рас ПП'!cvfds</definedName>
    <definedName name="cvfds" localSheetId="62">'[3]5.2-опер.рас ПП'!cvfds</definedName>
    <definedName name="cvfds" localSheetId="57">'[3]5.2-опер.рас ПП'!cvfds</definedName>
    <definedName name="cvfds" localSheetId="51">'[3]5.2-опер.рас ПП'!cvfds</definedName>
    <definedName name="cvfds" localSheetId="61">'[3]5.2-опер.рас ПП'!cvfds</definedName>
    <definedName name="cvfds" localSheetId="56">'[3]5.2-опер.рас ПП'!cvfds</definedName>
    <definedName name="cvfds" localSheetId="60">'[3]5.2-опер.рас ПП'!cvfds</definedName>
    <definedName name="cvfds" localSheetId="55">'[3]5.2-опер.рас ПП'!cvfds</definedName>
    <definedName name="cvfds" localSheetId="50">'[3]5.2-опер.рас ПП'!cvfds</definedName>
    <definedName name="cvfds" localSheetId="96">'[3]5.2-опер.рас ПП'!cvfds</definedName>
    <definedName name="cvfds" localSheetId="93">'[3]5.2-опер.рас ПП'!cvfds</definedName>
    <definedName name="cvfds" localSheetId="99">'[3]5.2-опер.рас ПП'!cvfds</definedName>
    <definedName name="cvfds" localSheetId="95">'[3]5.2-опер.рас ПП'!cvfds</definedName>
    <definedName name="cvfds" localSheetId="92">'[3]5.2-опер.рас ПП'!cvfds</definedName>
    <definedName name="cvfds" localSheetId="98">'[3]5.2-опер.рас ПП'!cvfds</definedName>
    <definedName name="cvfds" localSheetId="94">'[3]5.2-опер.рас ПП'!cvfds</definedName>
    <definedName name="cvfds" localSheetId="91">'[3]5.2-опер.рас ПП'!cvfds</definedName>
    <definedName name="cvfds" localSheetId="97">'[3]5.2-опер.рас ПП'!cvfds</definedName>
    <definedName name="cvfds" localSheetId="103">'[3]5.2-опер.рас ПП'!cvfds</definedName>
    <definedName name="cvfds" localSheetId="101">'[3]5.2-опер.рас ПП'!cvfds</definedName>
    <definedName name="cvfds" localSheetId="106">'[3]5.2-опер.рас ПП'!cvfds</definedName>
    <definedName name="cvfds" localSheetId="102">'[3]5.2-опер.рас ПП'!cvfds</definedName>
    <definedName name="cvfds" localSheetId="100">'[3]5.2-опер.рас ПП'!cvfds</definedName>
    <definedName name="cvfds" localSheetId="105">'[3]5.2-опер.рас ПП'!cvfds</definedName>
    <definedName name="cvfds" localSheetId="104">'[3]5.2-опер.рас ПП'!cvfds</definedName>
    <definedName name="cvfds" localSheetId="110">'[3]5.2-опер.рас ПП'!cvfds</definedName>
    <definedName name="cvfds" localSheetId="107">'[3]5.2-опер.рас ПП'!cvfds</definedName>
    <definedName name="cvfds" localSheetId="113">'[3]5.2-опер.рас ПП'!cvfds</definedName>
    <definedName name="cvfds" localSheetId="115">'[3]5.2-опер.рас ПП'!cvfds</definedName>
    <definedName name="cvfds" localSheetId="114">'[3]5.2-опер.рас ПП'!cvfds</definedName>
    <definedName name="cvfds" localSheetId="112">'[3]5.2-опер.рас ПП'!cvfds</definedName>
    <definedName name="cvfds" localSheetId="109">'[3]5.2-опер.рас ПП'!cvfds</definedName>
    <definedName name="cvfds" localSheetId="111">'[3]5.2-опер.рас ПП'!cvfds</definedName>
    <definedName name="cvfds" localSheetId="108">'[3]5.2-опер.рас ПП'!cvfds</definedName>
    <definedName name="cvfds" localSheetId="122">'[3]5.2-опер.рас ПП'!cvfds</definedName>
    <definedName name="cvfds" localSheetId="116">'[3]5.2-опер.рас ПП'!cvfds</definedName>
    <definedName name="cvfds" localSheetId="125">'[3]5.2-опер.рас ПП'!cvfds</definedName>
    <definedName name="cvfds" localSheetId="127">'[3]5.2-опер.рас ПП'!cvfds</definedName>
    <definedName name="cvfds" localSheetId="126">'[3]5.2-опер.рас ПП'!cvfds</definedName>
    <definedName name="cvfds" localSheetId="124">'[3]5.2-опер.рас ПП'!cvfds</definedName>
    <definedName name="cvfds" localSheetId="118">'[3]5.2-опер.рас ПП'!cvfds</definedName>
    <definedName name="cvfds" localSheetId="123">'[3]5.2-опер.рас ПП'!cvfds</definedName>
    <definedName name="cvfds" localSheetId="117">'[3]5.2-опер.рас ПП'!cvfds</definedName>
    <definedName name="cvfds" localSheetId="119">'[3]5.2-опер.рас ПП'!cvfds</definedName>
    <definedName name="cvfds" localSheetId="120">'[3]5.2-опер.рас ПП'!cvfds</definedName>
    <definedName name="cvfds" localSheetId="121">'[3]5.2-опер.рас ПП'!cvfds</definedName>
    <definedName name="cvfds" localSheetId="129">'[3]5.2-опер.рас ПП'!cvfds</definedName>
    <definedName name="cvfds" localSheetId="128">'[3]5.2-опер.рас ПП'!cvfds</definedName>
    <definedName name="cvfds" localSheetId="130">'[3]5.2-опер.рас ПП'!cvfds</definedName>
    <definedName name="cvfds" localSheetId="133">'[3]5.2-опер.рас ПП'!cvfds</definedName>
    <definedName name="cvfds" localSheetId="132">'[3]5.2-опер.рас ПП'!cvfds</definedName>
    <definedName name="cvfds" localSheetId="136">'[3]5.2-опер.рас ПП'!cvfds</definedName>
    <definedName name="cvfds" localSheetId="134">'[3]5.2-опер.рас ПП'!cvfds</definedName>
    <definedName name="cvfds" localSheetId="139">'[3]5.2-опер.рас ПП'!cvfds</definedName>
    <definedName name="cvfds" localSheetId="137">'[3]5.2-опер.рас ПП'!cvfds</definedName>
    <definedName name="cvfds" localSheetId="142">'[3]5.2-опер.рас ПП'!cvfds</definedName>
    <definedName name="cvfds" localSheetId="141">'[3]5.2-опер.рас ПП'!cvfds</definedName>
    <definedName name="cvfds" localSheetId="140">'[3]5.2-опер.рас ПП'!cvfds</definedName>
    <definedName name="cvfds" localSheetId="145">'[3]5.2-опер.рас ПП'!cvfds</definedName>
    <definedName name="cvfds" localSheetId="143">'[3]5.2-опер.рас ПП'!cvfds</definedName>
    <definedName name="cvfds" localSheetId="150">'[3]5.2-опер.рас ПП'!cvfds</definedName>
    <definedName name="cvfds" localSheetId="158">'[3]5.2-опер.рас ПП'!cvfds</definedName>
    <definedName name="cvfds" localSheetId="157">'[3]5.2-опер.рас ПП'!cvfds</definedName>
    <definedName name="cvfds" localSheetId="156">'[3]5.2-опер.рас ПП'!cvfds</definedName>
    <definedName name="cvfds" localSheetId="146">'[3]5.2-опер.рас ПП'!cvfds</definedName>
    <definedName name="cvfds" localSheetId="89">'[3]5.2-опер.рас ПП'!cvfds</definedName>
    <definedName name="cvfds" localSheetId="90">'[3]5.2-опер.рас ПП'!cvfds</definedName>
    <definedName name="cvfds" localSheetId="2">'[4]5.2-опер.рас ПП'!cvfds</definedName>
    <definedName name="cvfds" localSheetId="1">'[4]5.2-опер.рас ПП'!cvfds</definedName>
    <definedName name="cvfds">'[3]5.2-опер.рас ПП'!cvfds</definedName>
    <definedName name="CУММА" localSheetId="19">#REF!</definedName>
    <definedName name="CУММА" localSheetId="18">#REF!</definedName>
    <definedName name="CУММА" localSheetId="17">#REF!</definedName>
    <definedName name="CУММА" localSheetId="45">#REF!</definedName>
    <definedName name="CУММА" localSheetId="44">#REF!</definedName>
    <definedName name="CУММА" localSheetId="3">#REF!</definedName>
    <definedName name="CУММА" localSheetId="78">#REF!</definedName>
    <definedName name="CУММА" localSheetId="63">#REF!</definedName>
    <definedName name="CУММА" localSheetId="73">#REF!</definedName>
    <definedName name="CУММА" localSheetId="68">#REF!</definedName>
    <definedName name="CУММА" localSheetId="65">#REF!</definedName>
    <definedName name="CУММА" localSheetId="75">#REF!</definedName>
    <definedName name="CУММА" localSheetId="70">#REF!</definedName>
    <definedName name="CУММА" localSheetId="79">#REF!</definedName>
    <definedName name="CУММА" localSheetId="82">#REF!</definedName>
    <definedName name="CУММА" localSheetId="12">#REF!</definedName>
    <definedName name="CУММА" localSheetId="11">#REF!</definedName>
    <definedName name="CУММА" localSheetId="20">#REF!</definedName>
    <definedName name="CУММА" localSheetId="28">#REF!</definedName>
    <definedName name="CУММА" localSheetId="38">#REF!</definedName>
    <definedName name="CУММА" localSheetId="26">#REF!</definedName>
    <definedName name="CУММА" localSheetId="34">#REF!</definedName>
    <definedName name="CУММА" localSheetId="32">#REF!</definedName>
    <definedName name="CУММА" localSheetId="23">#REF!</definedName>
    <definedName name="CУММА" localSheetId="41">#REF!</definedName>
    <definedName name="CУММА" localSheetId="31">#REF!</definedName>
    <definedName name="CУММА" localSheetId="30">#REF!</definedName>
    <definedName name="CУММА" localSheetId="47">#REF!</definedName>
    <definedName name="CУММА" localSheetId="46">#REF!</definedName>
    <definedName name="CУММА" localSheetId="52">#REF!</definedName>
    <definedName name="CУММА" localSheetId="62">#REF!</definedName>
    <definedName name="CУММА" localSheetId="57">#REF!</definedName>
    <definedName name="CУММА" localSheetId="48">#REF!</definedName>
    <definedName name="CУММА" localSheetId="58">#REF!</definedName>
    <definedName name="CУММА" localSheetId="53">#REF!</definedName>
    <definedName name="CУММА" localSheetId="51">#REF!</definedName>
    <definedName name="CУММА" localSheetId="61">#REF!</definedName>
    <definedName name="CУММА" localSheetId="56">#REF!</definedName>
    <definedName name="CУММА" localSheetId="60">#REF!</definedName>
    <definedName name="CУММА" localSheetId="55">#REF!</definedName>
    <definedName name="CУММА" localSheetId="50">#REF!</definedName>
    <definedName name="CУММА" localSheetId="96">#REF!</definedName>
    <definedName name="CУММА" localSheetId="93">#REF!</definedName>
    <definedName name="CУММА" localSheetId="99">#REF!</definedName>
    <definedName name="CУММА" localSheetId="95">#REF!</definedName>
    <definedName name="CУММА" localSheetId="92">#REF!</definedName>
    <definedName name="CУММА" localSheetId="98">#REF!</definedName>
    <definedName name="CУММА" localSheetId="94">#REF!</definedName>
    <definedName name="CУММА" localSheetId="91">#REF!</definedName>
    <definedName name="CУММА" localSheetId="97">#REF!</definedName>
    <definedName name="CУММА" localSheetId="103">#REF!</definedName>
    <definedName name="CУММА" localSheetId="101">#REF!</definedName>
    <definedName name="CУММА" localSheetId="106">#REF!</definedName>
    <definedName name="CУММА" localSheetId="102">#REF!</definedName>
    <definedName name="CУММА" localSheetId="100">#REF!</definedName>
    <definedName name="CУММА" localSheetId="105">#REF!</definedName>
    <definedName name="CУММА" localSheetId="104">#REF!</definedName>
    <definedName name="CУММА" localSheetId="110">#REF!</definedName>
    <definedName name="CУММА" localSheetId="107">#REF!</definedName>
    <definedName name="CУММА" localSheetId="113">#REF!</definedName>
    <definedName name="CУММА" localSheetId="115">#REF!</definedName>
    <definedName name="CУММА" localSheetId="114">#REF!</definedName>
    <definedName name="CУММА" localSheetId="112">#REF!</definedName>
    <definedName name="CУММА" localSheetId="109">#REF!</definedName>
    <definedName name="CУММА" localSheetId="111">#REF!</definedName>
    <definedName name="CУММА" localSheetId="108">#REF!</definedName>
    <definedName name="CУММА" localSheetId="122">#REF!</definedName>
    <definedName name="CУММА" localSheetId="116">#REF!</definedName>
    <definedName name="CУММА" localSheetId="125">#REF!</definedName>
    <definedName name="CУММА" localSheetId="127">#REF!</definedName>
    <definedName name="CУММА" localSheetId="126">#REF!</definedName>
    <definedName name="CУММА" localSheetId="124">#REF!</definedName>
    <definedName name="CУММА" localSheetId="118">#REF!</definedName>
    <definedName name="CУММА" localSheetId="123">#REF!</definedName>
    <definedName name="CУММА" localSheetId="117">#REF!</definedName>
    <definedName name="CУММА" localSheetId="119">#REF!</definedName>
    <definedName name="CУММА" localSheetId="120">#REF!</definedName>
    <definedName name="CУММА" localSheetId="121">#REF!</definedName>
    <definedName name="CУММА" localSheetId="129">#REF!</definedName>
    <definedName name="CУММА" localSheetId="128">#REF!</definedName>
    <definedName name="CУММА" localSheetId="130">#REF!</definedName>
    <definedName name="CУММА" localSheetId="133">#REF!</definedName>
    <definedName name="CУММА" localSheetId="132">#REF!</definedName>
    <definedName name="CУММА" localSheetId="136">#REF!</definedName>
    <definedName name="CУММА" localSheetId="134">#REF!</definedName>
    <definedName name="CУММА" localSheetId="139">#REF!</definedName>
    <definedName name="CУММА" localSheetId="137">#REF!</definedName>
    <definedName name="CУММА" localSheetId="142">#REF!</definedName>
    <definedName name="CУММА" localSheetId="141">#REF!</definedName>
    <definedName name="CУММА" localSheetId="140">#REF!</definedName>
    <definedName name="CУММА" localSheetId="145">#REF!</definedName>
    <definedName name="CУММА" localSheetId="144">#REF!</definedName>
    <definedName name="CУММА" localSheetId="143">#REF!</definedName>
    <definedName name="CУММА" localSheetId="150">#REF!</definedName>
    <definedName name="CУММА" localSheetId="158">#REF!</definedName>
    <definedName name="CУММА" localSheetId="157">#REF!</definedName>
    <definedName name="CУММА" localSheetId="156">#REF!</definedName>
    <definedName name="CУММА" localSheetId="146">#REF!</definedName>
    <definedName name="CУММА" localSheetId="89">#REF!</definedName>
    <definedName name="CУММА" localSheetId="90">#REF!</definedName>
    <definedName name="CУММА" localSheetId="2">#REF!</definedName>
    <definedName name="CУММА">#REF!</definedName>
    <definedName name="dddddddd" localSheetId="19">'[3]5.2-опер.рас ПП'!dddddddd</definedName>
    <definedName name="dddddddd" localSheetId="17">'[3]5.2-опер.рас ПП'!dddddddd</definedName>
    <definedName name="dddddddd" localSheetId="45">'4. 7_котельн.'!dddddddd</definedName>
    <definedName name="dddddddd" localSheetId="44">'4. 7_КТЭЦ'!dddddddd</definedName>
    <definedName name="dddddddd" localSheetId="3">'[3]5.2-опер.рас ПП'!dddddddd</definedName>
    <definedName name="dddddddd" localSheetId="78">'[3]5.2-опер.рас ПП'!dddddddd</definedName>
    <definedName name="dddddddd" localSheetId="65">'[3]5.2-опер.рас ПП'!dddddddd</definedName>
    <definedName name="dddddddd" localSheetId="75">'[3]5.2-опер.рас ПП'!dddddddd</definedName>
    <definedName name="dddddddd" localSheetId="70">'[3]5.2-опер.рас ПП'!dddddddd</definedName>
    <definedName name="dddddddd" localSheetId="79">'[3]5.2-опер.рас ПП'!dddddddd</definedName>
    <definedName name="dddddddd" localSheetId="82">'[3]5.2-опер.рас ПП'!dddddddd</definedName>
    <definedName name="dddddddd" localSheetId="12">'[3]5.2-опер.рас ПП'!dddddddd</definedName>
    <definedName name="dddddddd" localSheetId="11">'[3]5.2-опер.рас ПП'!dddddddd</definedName>
    <definedName name="dddddddd" localSheetId="20">'[4]5.2-опер.рас ПП'!dddddddd</definedName>
    <definedName name="dddddddd" localSheetId="28">'[3]5.2-опер.рас ПП'!dddddddd</definedName>
    <definedName name="dddddddd" localSheetId="38">'[3]5.2-опер.рас ПП'!dddddddd</definedName>
    <definedName name="dddddddd" localSheetId="26">'[3]5.2-опер.рас ПП'!dddddddd</definedName>
    <definedName name="dddddddd" localSheetId="34">'[3]5.2-опер.рас ПП'!dddddddd</definedName>
    <definedName name="dddddddd" localSheetId="32">'[3]5.2-опер.рас ПП'!dddddddd</definedName>
    <definedName name="dddddddd" localSheetId="23">'[3]5.2-опер.рас ПП'!dddddddd</definedName>
    <definedName name="dddddddd" localSheetId="41">'[3]5.2-опер.рас ПП'!dddddddd</definedName>
    <definedName name="dddddddd" localSheetId="31">'[3]5.2-опер.рас ПП'!dddddddd</definedName>
    <definedName name="dddddddd" localSheetId="30">'[3]5.2-опер.рас ПП'!dddddddd</definedName>
    <definedName name="dddddddd" localSheetId="47">'[4]5.2-опер.рас ПП'!dddddddd</definedName>
    <definedName name="dddddddd" localSheetId="46">'[4]5.2-опер.рас ПП'!dddddddd</definedName>
    <definedName name="dddddddd" localSheetId="52">'[3]5.2-опер.рас ПП'!dddddddd</definedName>
    <definedName name="dddddddd" localSheetId="62">'[3]5.2-опер.рас ПП'!dddddddd</definedName>
    <definedName name="dddddddd" localSheetId="57">'[3]5.2-опер.рас ПП'!dddddddd</definedName>
    <definedName name="dddddddd" localSheetId="51">'[3]5.2-опер.рас ПП'!dddddddd</definedName>
    <definedName name="dddddddd" localSheetId="61">'[3]5.2-опер.рас ПП'!dddddddd</definedName>
    <definedName name="dddddddd" localSheetId="56">'[3]5.2-опер.рас ПП'!dddddddd</definedName>
    <definedName name="dddddddd" localSheetId="60">'[3]5.2-опер.рас ПП'!dddddddd</definedName>
    <definedName name="dddddddd" localSheetId="55">'[3]5.2-опер.рас ПП'!dddddddd</definedName>
    <definedName name="dddddddd" localSheetId="50">'[3]5.2-опер.рас ПП'!dddddddd</definedName>
    <definedName name="dddddddd" localSheetId="96">'[3]5.2-опер.рас ПП'!dddddddd</definedName>
    <definedName name="dddddddd" localSheetId="93">'[3]5.2-опер.рас ПП'!dddddddd</definedName>
    <definedName name="dddddddd" localSheetId="99">'[3]5.2-опер.рас ПП'!dddddddd</definedName>
    <definedName name="dddddddd" localSheetId="95">'[3]5.2-опер.рас ПП'!dddddddd</definedName>
    <definedName name="dddddddd" localSheetId="92">'[3]5.2-опер.рас ПП'!dddddddd</definedName>
    <definedName name="dddddddd" localSheetId="98">'[3]5.2-опер.рас ПП'!dddddddd</definedName>
    <definedName name="dddddddd" localSheetId="94">'[3]5.2-опер.рас ПП'!dddddddd</definedName>
    <definedName name="dddddddd" localSheetId="91">'[3]5.2-опер.рас ПП'!dddddddd</definedName>
    <definedName name="dddddddd" localSheetId="97">'[3]5.2-опер.рас ПП'!dddddddd</definedName>
    <definedName name="dddddddd" localSheetId="103">'[3]5.2-опер.рас ПП'!dddddddd</definedName>
    <definedName name="dddddddd" localSheetId="101">'[3]5.2-опер.рас ПП'!dddddddd</definedName>
    <definedName name="dddddddd" localSheetId="106">'[3]5.2-опер.рас ПП'!dddddddd</definedName>
    <definedName name="dddddddd" localSheetId="102">'[3]5.2-опер.рас ПП'!dddddddd</definedName>
    <definedName name="dddddddd" localSheetId="100">'[3]5.2-опер.рас ПП'!dddddddd</definedName>
    <definedName name="dddddddd" localSheetId="105">'[3]5.2-опер.рас ПП'!dddddddd</definedName>
    <definedName name="dddddddd" localSheetId="104">'[3]5.2-опер.рас ПП'!dddddddd</definedName>
    <definedName name="dddddddd" localSheetId="110">'[3]5.2-опер.рас ПП'!dddddddd</definedName>
    <definedName name="dddddddd" localSheetId="107">'[3]5.2-опер.рас ПП'!dddddddd</definedName>
    <definedName name="dddddddd" localSheetId="113">'[3]5.2-опер.рас ПП'!dddddddd</definedName>
    <definedName name="dddddddd" localSheetId="115">'[3]5.2-опер.рас ПП'!dddddddd</definedName>
    <definedName name="dddddddd" localSheetId="114">'[3]5.2-опер.рас ПП'!dddddddd</definedName>
    <definedName name="dddddddd" localSheetId="112">'[3]5.2-опер.рас ПП'!dddddddd</definedName>
    <definedName name="dddddddd" localSheetId="109">'[3]5.2-опер.рас ПП'!dddddddd</definedName>
    <definedName name="dddddddd" localSheetId="111">'[3]5.2-опер.рас ПП'!dddddddd</definedName>
    <definedName name="dddddddd" localSheetId="108">'[3]5.2-опер.рас ПП'!dddddddd</definedName>
    <definedName name="dddddddd" localSheetId="122">'[3]5.2-опер.рас ПП'!dddddddd</definedName>
    <definedName name="dddddddd" localSheetId="116">'[3]5.2-опер.рас ПП'!dddddddd</definedName>
    <definedName name="dddddddd" localSheetId="125">'[3]5.2-опер.рас ПП'!dddddddd</definedName>
    <definedName name="dddddddd" localSheetId="127">'[3]5.2-опер.рас ПП'!dddddddd</definedName>
    <definedName name="dddddddd" localSheetId="126">'[3]5.2-опер.рас ПП'!dddddddd</definedName>
    <definedName name="dddddddd" localSheetId="124">'[3]5.2-опер.рас ПП'!dddddddd</definedName>
    <definedName name="dddddddd" localSheetId="118">'[3]5.2-опер.рас ПП'!dddddddd</definedName>
    <definedName name="dddddddd" localSheetId="123">'[3]5.2-опер.рас ПП'!dddddddd</definedName>
    <definedName name="dddddddd" localSheetId="117">'[3]5.2-опер.рас ПП'!dddddddd</definedName>
    <definedName name="dddddddd" localSheetId="119">'[3]5.2-опер.рас ПП'!dddddddd</definedName>
    <definedName name="dddddddd" localSheetId="120">'[3]5.2-опер.рас ПП'!dddddddd</definedName>
    <definedName name="dddddddd" localSheetId="121">'[3]5.2-опер.рас ПП'!dddddddd</definedName>
    <definedName name="dddddddd" localSheetId="129">'[3]5.2-опер.рас ПП'!dddddddd</definedName>
    <definedName name="dddddddd" localSheetId="128">'[3]5.2-опер.рас ПП'!dddddddd</definedName>
    <definedName name="dddddddd" localSheetId="130">'[3]5.2-опер.рас ПП'!dddddddd</definedName>
    <definedName name="dddddddd" localSheetId="133">'[3]5.2-опер.рас ПП'!dddddddd</definedName>
    <definedName name="dddddddd" localSheetId="132">'[3]5.2-опер.рас ПП'!dddddddd</definedName>
    <definedName name="dddddddd" localSheetId="136">'[3]5.2-опер.рас ПП'!dddddddd</definedName>
    <definedName name="dddddddd" localSheetId="134">'[3]5.2-опер.рас ПП'!dddddddd</definedName>
    <definedName name="dddddddd" localSheetId="139">'[3]5.2-опер.рас ПП'!dddddddd</definedName>
    <definedName name="dddddddd" localSheetId="137">'[3]5.2-опер.рас ПП'!dddddddd</definedName>
    <definedName name="dddddddd" localSheetId="142">'[3]5.2-опер.рас ПП'!dddddddd</definedName>
    <definedName name="dddddddd" localSheetId="141">'[3]5.2-опер.рас ПП'!dddddddd</definedName>
    <definedName name="dddddddd" localSheetId="140">'[3]5.2-опер.рас ПП'!dddddddd</definedName>
    <definedName name="dddddddd" localSheetId="145">'[3]5.2-опер.рас ПП'!dddddddd</definedName>
    <definedName name="dddddddd" localSheetId="143">'[3]5.2-опер.рас ПП'!dddddddd</definedName>
    <definedName name="dddddddd" localSheetId="150">'[3]5.2-опер.рас ПП'!dddddddd</definedName>
    <definedName name="dddddddd" localSheetId="158">'[3]5.2-опер.рас ПП'!dddddddd</definedName>
    <definedName name="dddddddd" localSheetId="157">'[3]5.2-опер.рас ПП'!dddddddd</definedName>
    <definedName name="dddddddd" localSheetId="156">'[3]5.2-опер.рас ПП'!dddddddd</definedName>
    <definedName name="dddddddd" localSheetId="146">'[3]5.2-опер.рас ПП'!dddddddd</definedName>
    <definedName name="dddddddd" localSheetId="89">'[3]5.2-опер.рас ПП'!dddddddd</definedName>
    <definedName name="dddddddd" localSheetId="90">'[3]5.2-опер.рас ПП'!dddddddd</definedName>
    <definedName name="dddddddd" localSheetId="2">'[4]5.2-опер.рас ПП'!dddddddd</definedName>
    <definedName name="dddddddd" localSheetId="1">'[4]5.2-опер.рас ПП'!dddddddd</definedName>
    <definedName name="dddddddd">'[3]5.2-опер.рас ПП'!dddddddd</definedName>
    <definedName name="ew">#N/A</definedName>
    <definedName name="fffffffff" localSheetId="19">'[3]5.2-опер.рас ПП'!fffffffff</definedName>
    <definedName name="fffffffff" localSheetId="17">'[3]5.2-опер.рас ПП'!fffffffff</definedName>
    <definedName name="fffffffff" localSheetId="45">'4. 7_котельн.'!fffffffff</definedName>
    <definedName name="fffffffff" localSheetId="44">'4. 7_КТЭЦ'!fffffffff</definedName>
    <definedName name="fffffffff" localSheetId="3">'[3]5.2-опер.рас ПП'!fffffffff</definedName>
    <definedName name="fffffffff" localSheetId="78">'[3]5.2-опер.рас ПП'!fffffffff</definedName>
    <definedName name="fffffffff" localSheetId="65">'[3]5.2-опер.рас ПП'!fffffffff</definedName>
    <definedName name="fffffffff" localSheetId="75">'[3]5.2-опер.рас ПП'!fffffffff</definedName>
    <definedName name="fffffffff" localSheetId="70">'[3]5.2-опер.рас ПП'!fffffffff</definedName>
    <definedName name="fffffffff" localSheetId="79">'[3]5.2-опер.рас ПП'!fffffffff</definedName>
    <definedName name="fffffffff" localSheetId="82">'[3]5.2-опер.рас ПП'!fffffffff</definedName>
    <definedName name="fffffffff" localSheetId="12">'[3]5.2-опер.рас ПП'!fffffffff</definedName>
    <definedName name="fffffffff" localSheetId="11">'[3]5.2-опер.рас ПП'!fffffffff</definedName>
    <definedName name="fffffffff" localSheetId="20">'[4]5.2-опер.рас ПП'!fffffffff</definedName>
    <definedName name="fffffffff" localSheetId="28">'[3]5.2-опер.рас ПП'!fffffffff</definedName>
    <definedName name="fffffffff" localSheetId="38">'[3]5.2-опер.рас ПП'!fffffffff</definedName>
    <definedName name="fffffffff" localSheetId="26">'[3]5.2-опер.рас ПП'!fffffffff</definedName>
    <definedName name="fffffffff" localSheetId="34">'[3]5.2-опер.рас ПП'!fffffffff</definedName>
    <definedName name="fffffffff" localSheetId="32">'[3]5.2-опер.рас ПП'!fffffffff</definedName>
    <definedName name="fffffffff" localSheetId="23">'[3]5.2-опер.рас ПП'!fffffffff</definedName>
    <definedName name="fffffffff" localSheetId="41">'[3]5.2-опер.рас ПП'!fffffffff</definedName>
    <definedName name="fffffffff" localSheetId="31">'[3]5.2-опер.рас ПП'!fffffffff</definedName>
    <definedName name="fffffffff" localSheetId="30">'[3]5.2-опер.рас ПП'!fffffffff</definedName>
    <definedName name="fffffffff" localSheetId="47">'[4]5.2-опер.рас ПП'!fffffffff</definedName>
    <definedName name="fffffffff" localSheetId="46">'[4]5.2-опер.рас ПП'!fffffffff</definedName>
    <definedName name="fffffffff" localSheetId="52">'[3]5.2-опер.рас ПП'!fffffffff</definedName>
    <definedName name="fffffffff" localSheetId="62">'[3]5.2-опер.рас ПП'!fffffffff</definedName>
    <definedName name="fffffffff" localSheetId="57">'[3]5.2-опер.рас ПП'!fffffffff</definedName>
    <definedName name="fffffffff" localSheetId="51">'[3]5.2-опер.рас ПП'!fffffffff</definedName>
    <definedName name="fffffffff" localSheetId="61">'[3]5.2-опер.рас ПП'!fffffffff</definedName>
    <definedName name="fffffffff" localSheetId="56">'[3]5.2-опер.рас ПП'!fffffffff</definedName>
    <definedName name="fffffffff" localSheetId="60">'[3]5.2-опер.рас ПП'!fffffffff</definedName>
    <definedName name="fffffffff" localSheetId="55">'[3]5.2-опер.рас ПП'!fffffffff</definedName>
    <definedName name="fffffffff" localSheetId="50">'[3]5.2-опер.рас ПП'!fffffffff</definedName>
    <definedName name="fffffffff" localSheetId="96">'[3]5.2-опер.рас ПП'!fffffffff</definedName>
    <definedName name="fffffffff" localSheetId="93">'[3]5.2-опер.рас ПП'!fffffffff</definedName>
    <definedName name="fffffffff" localSheetId="99">'[3]5.2-опер.рас ПП'!fffffffff</definedName>
    <definedName name="fffffffff" localSheetId="95">'[3]5.2-опер.рас ПП'!fffffffff</definedName>
    <definedName name="fffffffff" localSheetId="92">'[3]5.2-опер.рас ПП'!fffffffff</definedName>
    <definedName name="fffffffff" localSheetId="98">'[3]5.2-опер.рас ПП'!fffffffff</definedName>
    <definedName name="fffffffff" localSheetId="94">'[3]5.2-опер.рас ПП'!fffffffff</definedName>
    <definedName name="fffffffff" localSheetId="91">'[3]5.2-опер.рас ПП'!fffffffff</definedName>
    <definedName name="fffffffff" localSheetId="97">'[3]5.2-опер.рас ПП'!fffffffff</definedName>
    <definedName name="fffffffff" localSheetId="103">'[3]5.2-опер.рас ПП'!fffffffff</definedName>
    <definedName name="fffffffff" localSheetId="101">'[3]5.2-опер.рас ПП'!fffffffff</definedName>
    <definedName name="fffffffff" localSheetId="106">'[3]5.2-опер.рас ПП'!fffffffff</definedName>
    <definedName name="fffffffff" localSheetId="102">'[3]5.2-опер.рас ПП'!fffffffff</definedName>
    <definedName name="fffffffff" localSheetId="100">'[3]5.2-опер.рас ПП'!fffffffff</definedName>
    <definedName name="fffffffff" localSheetId="105">'[3]5.2-опер.рас ПП'!fffffffff</definedName>
    <definedName name="fffffffff" localSheetId="104">'[3]5.2-опер.рас ПП'!fffffffff</definedName>
    <definedName name="fffffffff" localSheetId="110">'[3]5.2-опер.рас ПП'!fffffffff</definedName>
    <definedName name="fffffffff" localSheetId="107">'[3]5.2-опер.рас ПП'!fffffffff</definedName>
    <definedName name="fffffffff" localSheetId="113">'[3]5.2-опер.рас ПП'!fffffffff</definedName>
    <definedName name="fffffffff" localSheetId="115">'[3]5.2-опер.рас ПП'!fffffffff</definedName>
    <definedName name="fffffffff" localSheetId="114">'[3]5.2-опер.рас ПП'!fffffffff</definedName>
    <definedName name="fffffffff" localSheetId="112">'[3]5.2-опер.рас ПП'!fffffffff</definedName>
    <definedName name="fffffffff" localSheetId="109">'[3]5.2-опер.рас ПП'!fffffffff</definedName>
    <definedName name="fffffffff" localSheetId="111">'[3]5.2-опер.рас ПП'!fffffffff</definedName>
    <definedName name="fffffffff" localSheetId="108">'[3]5.2-опер.рас ПП'!fffffffff</definedName>
    <definedName name="fffffffff" localSheetId="122">'[3]5.2-опер.рас ПП'!fffffffff</definedName>
    <definedName name="fffffffff" localSheetId="116">'[3]5.2-опер.рас ПП'!fffffffff</definedName>
    <definedName name="fffffffff" localSheetId="125">'[3]5.2-опер.рас ПП'!fffffffff</definedName>
    <definedName name="fffffffff" localSheetId="127">'[3]5.2-опер.рас ПП'!fffffffff</definedName>
    <definedName name="fffffffff" localSheetId="126">'[3]5.2-опер.рас ПП'!fffffffff</definedName>
    <definedName name="fffffffff" localSheetId="124">'[3]5.2-опер.рас ПП'!fffffffff</definedName>
    <definedName name="fffffffff" localSheetId="118">'[3]5.2-опер.рас ПП'!fffffffff</definedName>
    <definedName name="fffffffff" localSheetId="123">'[3]5.2-опер.рас ПП'!fffffffff</definedName>
    <definedName name="fffffffff" localSheetId="117">'[3]5.2-опер.рас ПП'!fffffffff</definedName>
    <definedName name="fffffffff" localSheetId="119">'[3]5.2-опер.рас ПП'!fffffffff</definedName>
    <definedName name="fffffffff" localSheetId="120">'[3]5.2-опер.рас ПП'!fffffffff</definedName>
    <definedName name="fffffffff" localSheetId="121">'[3]5.2-опер.рас ПП'!fffffffff</definedName>
    <definedName name="fffffffff" localSheetId="129">'[3]5.2-опер.рас ПП'!fffffffff</definedName>
    <definedName name="fffffffff" localSheetId="128">'[3]5.2-опер.рас ПП'!fffffffff</definedName>
    <definedName name="fffffffff" localSheetId="130">'[3]5.2-опер.рас ПП'!fffffffff</definedName>
    <definedName name="fffffffff" localSheetId="133">'[3]5.2-опер.рас ПП'!fffffffff</definedName>
    <definedName name="fffffffff" localSheetId="132">'[3]5.2-опер.рас ПП'!fffffffff</definedName>
    <definedName name="fffffffff" localSheetId="136">'[3]5.2-опер.рас ПП'!fffffffff</definedName>
    <definedName name="fffffffff" localSheetId="134">'[3]5.2-опер.рас ПП'!fffffffff</definedName>
    <definedName name="fffffffff" localSheetId="139">'[3]5.2-опер.рас ПП'!fffffffff</definedName>
    <definedName name="fffffffff" localSheetId="137">'[3]5.2-опер.рас ПП'!fffffffff</definedName>
    <definedName name="fffffffff" localSheetId="142">'[3]5.2-опер.рас ПП'!fffffffff</definedName>
    <definedName name="fffffffff" localSheetId="141">'[3]5.2-опер.рас ПП'!fffffffff</definedName>
    <definedName name="fffffffff" localSheetId="140">'[3]5.2-опер.рас ПП'!fffffffff</definedName>
    <definedName name="fffffffff" localSheetId="145">'[3]5.2-опер.рас ПП'!fffffffff</definedName>
    <definedName name="fffffffff" localSheetId="143">'[3]5.2-опер.рас ПП'!fffffffff</definedName>
    <definedName name="fffffffff" localSheetId="150">'[3]5.2-опер.рас ПП'!fffffffff</definedName>
    <definedName name="fffffffff" localSheetId="158">'[3]5.2-опер.рас ПП'!fffffffff</definedName>
    <definedName name="fffffffff" localSheetId="157">'[3]5.2-опер.рас ПП'!fffffffff</definedName>
    <definedName name="fffffffff" localSheetId="156">'[3]5.2-опер.рас ПП'!fffffffff</definedName>
    <definedName name="fffffffff" localSheetId="146">'[3]5.2-опер.рас ПП'!fffffffff</definedName>
    <definedName name="fffffffff" localSheetId="89">'[3]5.2-опер.рас ПП'!fffffffff</definedName>
    <definedName name="fffffffff" localSheetId="90">'[3]5.2-опер.рас ПП'!fffffffff</definedName>
    <definedName name="fffffffff" localSheetId="2">'[4]5.2-опер.рас ПП'!fffffffff</definedName>
    <definedName name="fffffffff" localSheetId="1">'[4]5.2-опер.рас ПП'!fffffffff</definedName>
    <definedName name="fffffffff">'[3]5.2-опер.рас ПП'!fffffffff</definedName>
    <definedName name="fg">#N/A</definedName>
    <definedName name="fuel_list">[5]TEHSHEET!$H$2:$H$12</definedName>
    <definedName name="god">[5]Титульный!$F$10</definedName>
    <definedName name="k">#N/A</definedName>
    <definedName name="kbcn" localSheetId="19">'[3]5.2-опер.рас ПП'!kbcn</definedName>
    <definedName name="kbcn" localSheetId="17">'[3]5.2-опер.рас ПП'!kbcn</definedName>
    <definedName name="kbcn" localSheetId="45">'4. 7_котельн.'!kbcn</definedName>
    <definedName name="kbcn" localSheetId="44">'4. 7_КТЭЦ'!kbcn</definedName>
    <definedName name="kbcn" localSheetId="3">'[3]5.2-опер.рас ПП'!kbcn</definedName>
    <definedName name="kbcn" localSheetId="78">'[3]5.2-опер.рас ПП'!kbcn</definedName>
    <definedName name="kbcn" localSheetId="65">'[3]5.2-опер.рас ПП'!kbcn</definedName>
    <definedName name="kbcn" localSheetId="75">'[3]5.2-опер.рас ПП'!kbcn</definedName>
    <definedName name="kbcn" localSheetId="70">'[3]5.2-опер.рас ПП'!kbcn</definedName>
    <definedName name="kbcn" localSheetId="79">'[3]5.2-опер.рас ПП'!kbcn</definedName>
    <definedName name="kbcn" localSheetId="82">'[3]5.2-опер.рас ПП'!kbcn</definedName>
    <definedName name="kbcn" localSheetId="12">'[3]5.2-опер.рас ПП'!kbcn</definedName>
    <definedName name="kbcn" localSheetId="11">'[3]5.2-опер.рас ПП'!kbcn</definedName>
    <definedName name="kbcn" localSheetId="20">'[4]5.2-опер.рас ПП'!kbcn</definedName>
    <definedName name="kbcn" localSheetId="28">'[3]5.2-опер.рас ПП'!kbcn</definedName>
    <definedName name="kbcn" localSheetId="38">'[3]5.2-опер.рас ПП'!kbcn</definedName>
    <definedName name="kbcn" localSheetId="26">'[3]5.2-опер.рас ПП'!kbcn</definedName>
    <definedName name="kbcn" localSheetId="34">'[3]5.2-опер.рас ПП'!kbcn</definedName>
    <definedName name="kbcn" localSheetId="32">'[3]5.2-опер.рас ПП'!kbcn</definedName>
    <definedName name="kbcn" localSheetId="23">'[3]5.2-опер.рас ПП'!kbcn</definedName>
    <definedName name="kbcn" localSheetId="41">'[3]5.2-опер.рас ПП'!kbcn</definedName>
    <definedName name="kbcn" localSheetId="31">'[3]5.2-опер.рас ПП'!kbcn</definedName>
    <definedName name="kbcn" localSheetId="30">'[3]5.2-опер.рас ПП'!kbcn</definedName>
    <definedName name="kbcn" localSheetId="47">'[4]5.2-опер.рас ПП'!kbcn</definedName>
    <definedName name="kbcn" localSheetId="46">'[4]5.2-опер.рас ПП'!kbcn</definedName>
    <definedName name="kbcn" localSheetId="52">'[3]5.2-опер.рас ПП'!kbcn</definedName>
    <definedName name="kbcn" localSheetId="62">'[3]5.2-опер.рас ПП'!kbcn</definedName>
    <definedName name="kbcn" localSheetId="57">'[3]5.2-опер.рас ПП'!kbcn</definedName>
    <definedName name="kbcn" localSheetId="51">'[3]5.2-опер.рас ПП'!kbcn</definedName>
    <definedName name="kbcn" localSheetId="61">'[3]5.2-опер.рас ПП'!kbcn</definedName>
    <definedName name="kbcn" localSheetId="56">'[3]5.2-опер.рас ПП'!kbcn</definedName>
    <definedName name="kbcn" localSheetId="60">'[3]5.2-опер.рас ПП'!kbcn</definedName>
    <definedName name="kbcn" localSheetId="55">'[3]5.2-опер.рас ПП'!kbcn</definedName>
    <definedName name="kbcn" localSheetId="50">'[3]5.2-опер.рас ПП'!kbcn</definedName>
    <definedName name="kbcn" localSheetId="96">'[3]5.2-опер.рас ПП'!kbcn</definedName>
    <definedName name="kbcn" localSheetId="93">'[3]5.2-опер.рас ПП'!kbcn</definedName>
    <definedName name="kbcn" localSheetId="99">'[3]5.2-опер.рас ПП'!kbcn</definedName>
    <definedName name="kbcn" localSheetId="95">'[3]5.2-опер.рас ПП'!kbcn</definedName>
    <definedName name="kbcn" localSheetId="92">'[3]5.2-опер.рас ПП'!kbcn</definedName>
    <definedName name="kbcn" localSheetId="98">'[3]5.2-опер.рас ПП'!kbcn</definedName>
    <definedName name="kbcn" localSheetId="94">'[3]5.2-опер.рас ПП'!kbcn</definedName>
    <definedName name="kbcn" localSheetId="91">'[3]5.2-опер.рас ПП'!kbcn</definedName>
    <definedName name="kbcn" localSheetId="97">'[3]5.2-опер.рас ПП'!kbcn</definedName>
    <definedName name="kbcn" localSheetId="103">'[3]5.2-опер.рас ПП'!kbcn</definedName>
    <definedName name="kbcn" localSheetId="101">'[3]5.2-опер.рас ПП'!kbcn</definedName>
    <definedName name="kbcn" localSheetId="106">'[3]5.2-опер.рас ПП'!kbcn</definedName>
    <definedName name="kbcn" localSheetId="102">'[3]5.2-опер.рас ПП'!kbcn</definedName>
    <definedName name="kbcn" localSheetId="100">'[3]5.2-опер.рас ПП'!kbcn</definedName>
    <definedName name="kbcn" localSheetId="105">'[3]5.2-опер.рас ПП'!kbcn</definedName>
    <definedName name="kbcn" localSheetId="104">'[3]5.2-опер.рас ПП'!kbcn</definedName>
    <definedName name="kbcn" localSheetId="110">'[3]5.2-опер.рас ПП'!kbcn</definedName>
    <definedName name="kbcn" localSheetId="107">'[3]5.2-опер.рас ПП'!kbcn</definedName>
    <definedName name="kbcn" localSheetId="113">'[3]5.2-опер.рас ПП'!kbcn</definedName>
    <definedName name="kbcn" localSheetId="115">'[3]5.2-опер.рас ПП'!kbcn</definedName>
    <definedName name="kbcn" localSheetId="114">'[3]5.2-опер.рас ПП'!kbcn</definedName>
    <definedName name="kbcn" localSheetId="112">'[3]5.2-опер.рас ПП'!kbcn</definedName>
    <definedName name="kbcn" localSheetId="109">'[3]5.2-опер.рас ПП'!kbcn</definedName>
    <definedName name="kbcn" localSheetId="111">'[3]5.2-опер.рас ПП'!kbcn</definedName>
    <definedName name="kbcn" localSheetId="108">'[3]5.2-опер.рас ПП'!kbcn</definedName>
    <definedName name="kbcn" localSheetId="122">'[3]5.2-опер.рас ПП'!kbcn</definedName>
    <definedName name="kbcn" localSheetId="116">'[3]5.2-опер.рас ПП'!kbcn</definedName>
    <definedName name="kbcn" localSheetId="125">'[3]5.2-опер.рас ПП'!kbcn</definedName>
    <definedName name="kbcn" localSheetId="127">'[3]5.2-опер.рас ПП'!kbcn</definedName>
    <definedName name="kbcn" localSheetId="126">'[3]5.2-опер.рас ПП'!kbcn</definedName>
    <definedName name="kbcn" localSheetId="124">'[3]5.2-опер.рас ПП'!kbcn</definedName>
    <definedName name="kbcn" localSheetId="118">'[3]5.2-опер.рас ПП'!kbcn</definedName>
    <definedName name="kbcn" localSheetId="123">'[3]5.2-опер.рас ПП'!kbcn</definedName>
    <definedName name="kbcn" localSheetId="117">'[3]5.2-опер.рас ПП'!kbcn</definedName>
    <definedName name="kbcn" localSheetId="119">'[3]5.2-опер.рас ПП'!kbcn</definedName>
    <definedName name="kbcn" localSheetId="120">'[3]5.2-опер.рас ПП'!kbcn</definedName>
    <definedName name="kbcn" localSheetId="121">'[3]5.2-опер.рас ПП'!kbcn</definedName>
    <definedName name="kbcn" localSheetId="129">'[3]5.2-опер.рас ПП'!kbcn</definedName>
    <definedName name="kbcn" localSheetId="128">'[3]5.2-опер.рас ПП'!kbcn</definedName>
    <definedName name="kbcn" localSheetId="130">'[3]5.2-опер.рас ПП'!kbcn</definedName>
    <definedName name="kbcn" localSheetId="133">'[3]5.2-опер.рас ПП'!kbcn</definedName>
    <definedName name="kbcn" localSheetId="132">'[3]5.2-опер.рас ПП'!kbcn</definedName>
    <definedName name="kbcn" localSheetId="136">'[3]5.2-опер.рас ПП'!kbcn</definedName>
    <definedName name="kbcn" localSheetId="134">'[3]5.2-опер.рас ПП'!kbcn</definedName>
    <definedName name="kbcn" localSheetId="139">'[3]5.2-опер.рас ПП'!kbcn</definedName>
    <definedName name="kbcn" localSheetId="137">'[3]5.2-опер.рас ПП'!kbcn</definedName>
    <definedName name="kbcn" localSheetId="142">'[3]5.2-опер.рас ПП'!kbcn</definedName>
    <definedName name="kbcn" localSheetId="141">'[3]5.2-опер.рас ПП'!kbcn</definedName>
    <definedName name="kbcn" localSheetId="140">'[3]5.2-опер.рас ПП'!kbcn</definedName>
    <definedName name="kbcn" localSheetId="145">'[3]5.2-опер.рас ПП'!kbcn</definedName>
    <definedName name="kbcn" localSheetId="143">'[3]5.2-опер.рас ПП'!kbcn</definedName>
    <definedName name="kbcn" localSheetId="150">'[3]5.2-опер.рас ПП'!kbcn</definedName>
    <definedName name="kbcn" localSheetId="158">'[3]5.2-опер.рас ПП'!kbcn</definedName>
    <definedName name="kbcn" localSheetId="157">'[3]5.2-опер.рас ПП'!kbcn</definedName>
    <definedName name="kbcn" localSheetId="156">'[3]5.2-опер.рас ПП'!kbcn</definedName>
    <definedName name="kbcn" localSheetId="146">'[3]5.2-опер.рас ПП'!kbcn</definedName>
    <definedName name="kbcn" localSheetId="89">'[3]5.2-опер.рас ПП'!kbcn</definedName>
    <definedName name="kbcn" localSheetId="90">'[3]5.2-опер.рас ПП'!kbcn</definedName>
    <definedName name="kbcn" localSheetId="2">'[4]5.2-опер.рас ПП'!kbcn</definedName>
    <definedName name="kbcn" localSheetId="1">'[4]5.2-опер.рас ПП'!kbcn</definedName>
    <definedName name="kbcn">'[3]5.2-опер.рас ПП'!kbcn</definedName>
    <definedName name="kk" localSheetId="19">'[3]5.2-опер.рас ПП'!kk</definedName>
    <definedName name="kk" localSheetId="17">'[3]5.2-опер.рас ПП'!kk</definedName>
    <definedName name="kk" localSheetId="45">'4. 7_котельн.'!kk</definedName>
    <definedName name="kk" localSheetId="44">'4. 7_КТЭЦ'!kk</definedName>
    <definedName name="kk" localSheetId="3">'[3]5.2-опер.рас ПП'!kk</definedName>
    <definedName name="kk" localSheetId="78">'[3]5.2-опер.рас ПП'!kk</definedName>
    <definedName name="kk" localSheetId="65">'[3]5.2-опер.рас ПП'!kk</definedName>
    <definedName name="kk" localSheetId="75">'[3]5.2-опер.рас ПП'!kk</definedName>
    <definedName name="kk" localSheetId="70">'[3]5.2-опер.рас ПП'!kk</definedName>
    <definedName name="kk" localSheetId="79">'[3]5.2-опер.рас ПП'!kk</definedName>
    <definedName name="kk" localSheetId="82">'[3]5.2-опер.рас ПП'!kk</definedName>
    <definedName name="kk" localSheetId="12">'[3]5.2-опер.рас ПП'!kk</definedName>
    <definedName name="kk" localSheetId="11">'[3]5.2-опер.рас ПП'!kk</definedName>
    <definedName name="kk" localSheetId="20">'[4]5.2-опер.рас ПП'!kk</definedName>
    <definedName name="kk" localSheetId="28">'[3]5.2-опер.рас ПП'!kk</definedName>
    <definedName name="kk" localSheetId="38">'[3]5.2-опер.рас ПП'!kk</definedName>
    <definedName name="kk" localSheetId="26">'[3]5.2-опер.рас ПП'!kk</definedName>
    <definedName name="kk" localSheetId="34">'[3]5.2-опер.рас ПП'!kk</definedName>
    <definedName name="kk" localSheetId="32">'[3]5.2-опер.рас ПП'!kk</definedName>
    <definedName name="kk" localSheetId="23">'[3]5.2-опер.рас ПП'!kk</definedName>
    <definedName name="kk" localSheetId="41">'[3]5.2-опер.рас ПП'!kk</definedName>
    <definedName name="kk" localSheetId="31">'[3]5.2-опер.рас ПП'!kk</definedName>
    <definedName name="kk" localSheetId="30">'[3]5.2-опер.рас ПП'!kk</definedName>
    <definedName name="kk" localSheetId="47">'[4]5.2-опер.рас ПП'!kk</definedName>
    <definedName name="kk" localSheetId="46">'[4]5.2-опер.рас ПП'!kk</definedName>
    <definedName name="kk" localSheetId="52">'[3]5.2-опер.рас ПП'!kk</definedName>
    <definedName name="kk" localSheetId="62">'[3]5.2-опер.рас ПП'!kk</definedName>
    <definedName name="kk" localSheetId="57">'[3]5.2-опер.рас ПП'!kk</definedName>
    <definedName name="kk" localSheetId="51">'[3]5.2-опер.рас ПП'!kk</definedName>
    <definedName name="kk" localSheetId="61">'[3]5.2-опер.рас ПП'!kk</definedName>
    <definedName name="kk" localSheetId="56">'[3]5.2-опер.рас ПП'!kk</definedName>
    <definedName name="kk" localSheetId="60">'[3]5.2-опер.рас ПП'!kk</definedName>
    <definedName name="kk" localSheetId="55">'[3]5.2-опер.рас ПП'!kk</definedName>
    <definedName name="kk" localSheetId="50">'[3]5.2-опер.рас ПП'!kk</definedName>
    <definedName name="kk" localSheetId="96">'[3]5.2-опер.рас ПП'!kk</definedName>
    <definedName name="kk" localSheetId="93">'[3]5.2-опер.рас ПП'!kk</definedName>
    <definedName name="kk" localSheetId="99">'[3]5.2-опер.рас ПП'!kk</definedName>
    <definedName name="kk" localSheetId="95">'[3]5.2-опер.рас ПП'!kk</definedName>
    <definedName name="kk" localSheetId="92">'[3]5.2-опер.рас ПП'!kk</definedName>
    <definedName name="kk" localSheetId="98">'[3]5.2-опер.рас ПП'!kk</definedName>
    <definedName name="kk" localSheetId="94">'[3]5.2-опер.рас ПП'!kk</definedName>
    <definedName name="kk" localSheetId="91">'[3]5.2-опер.рас ПП'!kk</definedName>
    <definedName name="kk" localSheetId="97">'[3]5.2-опер.рас ПП'!kk</definedName>
    <definedName name="kk" localSheetId="103">'[3]5.2-опер.рас ПП'!kk</definedName>
    <definedName name="kk" localSheetId="101">'[3]5.2-опер.рас ПП'!kk</definedName>
    <definedName name="kk" localSheetId="106">'[3]5.2-опер.рас ПП'!kk</definedName>
    <definedName name="kk" localSheetId="102">'[3]5.2-опер.рас ПП'!kk</definedName>
    <definedName name="kk" localSheetId="100">'[3]5.2-опер.рас ПП'!kk</definedName>
    <definedName name="kk" localSheetId="105">'[3]5.2-опер.рас ПП'!kk</definedName>
    <definedName name="kk" localSheetId="104">'[3]5.2-опер.рас ПП'!kk</definedName>
    <definedName name="kk" localSheetId="110">'[3]5.2-опер.рас ПП'!kk</definedName>
    <definedName name="kk" localSheetId="107">'[3]5.2-опер.рас ПП'!kk</definedName>
    <definedName name="kk" localSheetId="113">'[3]5.2-опер.рас ПП'!kk</definedName>
    <definedName name="kk" localSheetId="115">'[3]5.2-опер.рас ПП'!kk</definedName>
    <definedName name="kk" localSheetId="114">'[3]5.2-опер.рас ПП'!kk</definedName>
    <definedName name="kk" localSheetId="112">'[3]5.2-опер.рас ПП'!kk</definedName>
    <definedName name="kk" localSheetId="109">'[3]5.2-опер.рас ПП'!kk</definedName>
    <definedName name="kk" localSheetId="111">'[3]5.2-опер.рас ПП'!kk</definedName>
    <definedName name="kk" localSheetId="108">'[3]5.2-опер.рас ПП'!kk</definedName>
    <definedName name="kk" localSheetId="122">'[3]5.2-опер.рас ПП'!kk</definedName>
    <definedName name="kk" localSheetId="116">'[3]5.2-опер.рас ПП'!kk</definedName>
    <definedName name="kk" localSheetId="125">'[3]5.2-опер.рас ПП'!kk</definedName>
    <definedName name="kk" localSheetId="127">'[3]5.2-опер.рас ПП'!kk</definedName>
    <definedName name="kk" localSheetId="126">'[3]5.2-опер.рас ПП'!kk</definedName>
    <definedName name="kk" localSheetId="124">'[3]5.2-опер.рас ПП'!kk</definedName>
    <definedName name="kk" localSheetId="118">'[3]5.2-опер.рас ПП'!kk</definedName>
    <definedName name="kk" localSheetId="123">'[3]5.2-опер.рас ПП'!kk</definedName>
    <definedName name="kk" localSheetId="117">'[3]5.2-опер.рас ПП'!kk</definedName>
    <definedName name="kk" localSheetId="119">'[3]5.2-опер.рас ПП'!kk</definedName>
    <definedName name="kk" localSheetId="120">'[3]5.2-опер.рас ПП'!kk</definedName>
    <definedName name="kk" localSheetId="121">'[3]5.2-опер.рас ПП'!kk</definedName>
    <definedName name="kk" localSheetId="129">'[3]5.2-опер.рас ПП'!kk</definedName>
    <definedName name="kk" localSheetId="128">'[3]5.2-опер.рас ПП'!kk</definedName>
    <definedName name="kk" localSheetId="130">'[3]5.2-опер.рас ПП'!kk</definedName>
    <definedName name="kk" localSheetId="133">'[3]5.2-опер.рас ПП'!kk</definedName>
    <definedName name="kk" localSheetId="132">'[3]5.2-опер.рас ПП'!kk</definedName>
    <definedName name="kk" localSheetId="136">'[3]5.2-опер.рас ПП'!kk</definedName>
    <definedName name="kk" localSheetId="134">'[3]5.2-опер.рас ПП'!kk</definedName>
    <definedName name="kk" localSheetId="139">'[3]5.2-опер.рас ПП'!kk</definedName>
    <definedName name="kk" localSheetId="137">'[3]5.2-опер.рас ПП'!kk</definedName>
    <definedName name="kk" localSheetId="142">'[3]5.2-опер.рас ПП'!kk</definedName>
    <definedName name="kk" localSheetId="141">'[3]5.2-опер.рас ПП'!kk</definedName>
    <definedName name="kk" localSheetId="140">'[3]5.2-опер.рас ПП'!kk</definedName>
    <definedName name="kk" localSheetId="145">'[3]5.2-опер.рас ПП'!kk</definedName>
    <definedName name="kk" localSheetId="143">'[3]5.2-опер.рас ПП'!kk</definedName>
    <definedName name="kk" localSheetId="150">'[3]5.2-опер.рас ПП'!kk</definedName>
    <definedName name="kk" localSheetId="158">'[3]5.2-опер.рас ПП'!kk</definedName>
    <definedName name="kk" localSheetId="157">'[3]5.2-опер.рас ПП'!kk</definedName>
    <definedName name="kk" localSheetId="156">'[3]5.2-опер.рас ПП'!kk</definedName>
    <definedName name="kk" localSheetId="146">'[3]5.2-опер.рас ПП'!kk</definedName>
    <definedName name="kk" localSheetId="89">'[3]5.2-опер.рас ПП'!kk</definedName>
    <definedName name="kk" localSheetId="90">'[3]5.2-опер.рас ПП'!kk</definedName>
    <definedName name="kk" localSheetId="2">'[4]5.2-опер.рас ПП'!kk</definedName>
    <definedName name="kk" localSheetId="1">'[4]5.2-опер.рас ПП'!kk</definedName>
    <definedName name="kk">'[3]5.2-опер.рас ПП'!kk</definedName>
    <definedName name="n" localSheetId="19">'[3]5.2-опер.рас ПП'!n</definedName>
    <definedName name="n" localSheetId="17">'[3]5.2-опер.рас ПП'!n</definedName>
    <definedName name="n" localSheetId="45">'4. 7_котельн.'!n</definedName>
    <definedName name="n" localSheetId="44">'4. 7_КТЭЦ'!n</definedName>
    <definedName name="n" localSheetId="3">'[3]5.2-опер.рас ПП'!n</definedName>
    <definedName name="n" localSheetId="78">'[3]5.2-опер.рас ПП'!n</definedName>
    <definedName name="n" localSheetId="65">'[3]5.2-опер.рас ПП'!n</definedName>
    <definedName name="n" localSheetId="75">'[3]5.2-опер.рас ПП'!n</definedName>
    <definedName name="n" localSheetId="70">'[3]5.2-опер.рас ПП'!n</definedName>
    <definedName name="n" localSheetId="79">'[3]5.2-опер.рас ПП'!n</definedName>
    <definedName name="n" localSheetId="82">'[3]5.2-опер.рас ПП'!n</definedName>
    <definedName name="n" localSheetId="12">'[3]5.2-опер.рас ПП'!n</definedName>
    <definedName name="n" localSheetId="11">'[3]5.2-опер.рас ПП'!n</definedName>
    <definedName name="n" localSheetId="20">'[4]5.2-опер.рас ПП'!n</definedName>
    <definedName name="n" localSheetId="28">'[3]5.2-опер.рас ПП'!n</definedName>
    <definedName name="n" localSheetId="38">'[3]5.2-опер.рас ПП'!n</definedName>
    <definedName name="n" localSheetId="26">'[3]5.2-опер.рас ПП'!n</definedName>
    <definedName name="n" localSheetId="34">'[3]5.2-опер.рас ПП'!n</definedName>
    <definedName name="n" localSheetId="32">'[3]5.2-опер.рас ПП'!n</definedName>
    <definedName name="n" localSheetId="23">'[3]5.2-опер.рас ПП'!n</definedName>
    <definedName name="n" localSheetId="41">'[3]5.2-опер.рас ПП'!n</definedName>
    <definedName name="n" localSheetId="31">'[3]5.2-опер.рас ПП'!n</definedName>
    <definedName name="n" localSheetId="30">'[3]5.2-опер.рас ПП'!n</definedName>
    <definedName name="n" localSheetId="47">'[4]5.2-опер.рас ПП'!n</definedName>
    <definedName name="n" localSheetId="46">'[4]5.2-опер.рас ПП'!n</definedName>
    <definedName name="n" localSheetId="52">'[3]5.2-опер.рас ПП'!n</definedName>
    <definedName name="n" localSheetId="62">'[3]5.2-опер.рас ПП'!n</definedName>
    <definedName name="n" localSheetId="57">'[3]5.2-опер.рас ПП'!n</definedName>
    <definedName name="n" localSheetId="51">'[3]5.2-опер.рас ПП'!n</definedName>
    <definedName name="n" localSheetId="61">'[3]5.2-опер.рас ПП'!n</definedName>
    <definedName name="n" localSheetId="56">'[3]5.2-опер.рас ПП'!n</definedName>
    <definedName name="n" localSheetId="60">'[3]5.2-опер.рас ПП'!n</definedName>
    <definedName name="n" localSheetId="55">'[3]5.2-опер.рас ПП'!n</definedName>
    <definedName name="n" localSheetId="50">'[3]5.2-опер.рас ПП'!n</definedName>
    <definedName name="n" localSheetId="96">'[3]5.2-опер.рас ПП'!n</definedName>
    <definedName name="n" localSheetId="93">'[3]5.2-опер.рас ПП'!n</definedName>
    <definedName name="n" localSheetId="99">'[3]5.2-опер.рас ПП'!n</definedName>
    <definedName name="n" localSheetId="95">'[3]5.2-опер.рас ПП'!n</definedName>
    <definedName name="n" localSheetId="92">'[3]5.2-опер.рас ПП'!n</definedName>
    <definedName name="n" localSheetId="98">'[3]5.2-опер.рас ПП'!n</definedName>
    <definedName name="n" localSheetId="94">'[3]5.2-опер.рас ПП'!n</definedName>
    <definedName name="n" localSheetId="91">'[3]5.2-опер.рас ПП'!n</definedName>
    <definedName name="n" localSheetId="97">'[3]5.2-опер.рас ПП'!n</definedName>
    <definedName name="n" localSheetId="103">'[3]5.2-опер.рас ПП'!n</definedName>
    <definedName name="n" localSheetId="101">'[3]5.2-опер.рас ПП'!n</definedName>
    <definedName name="n" localSheetId="106">'[3]5.2-опер.рас ПП'!n</definedName>
    <definedName name="n" localSheetId="102">'[3]5.2-опер.рас ПП'!n</definedName>
    <definedName name="n" localSheetId="100">'[3]5.2-опер.рас ПП'!n</definedName>
    <definedName name="n" localSheetId="105">'[3]5.2-опер.рас ПП'!n</definedName>
    <definedName name="n" localSheetId="104">'[3]5.2-опер.рас ПП'!n</definedName>
    <definedName name="n" localSheetId="110">'[3]5.2-опер.рас ПП'!n</definedName>
    <definedName name="n" localSheetId="107">'[3]5.2-опер.рас ПП'!n</definedName>
    <definedName name="n" localSheetId="113">'[3]5.2-опер.рас ПП'!n</definedName>
    <definedName name="n" localSheetId="115">'[3]5.2-опер.рас ПП'!n</definedName>
    <definedName name="n" localSheetId="114">'[3]5.2-опер.рас ПП'!n</definedName>
    <definedName name="n" localSheetId="112">'[3]5.2-опер.рас ПП'!n</definedName>
    <definedName name="n" localSheetId="109">'[3]5.2-опер.рас ПП'!n</definedName>
    <definedName name="n" localSheetId="111">'[3]5.2-опер.рас ПП'!n</definedName>
    <definedName name="n" localSheetId="108">'[3]5.2-опер.рас ПП'!n</definedName>
    <definedName name="n" localSheetId="122">'[3]5.2-опер.рас ПП'!n</definedName>
    <definedName name="n" localSheetId="116">'[3]5.2-опер.рас ПП'!n</definedName>
    <definedName name="n" localSheetId="125">'[3]5.2-опер.рас ПП'!n</definedName>
    <definedName name="n" localSheetId="127">'[3]5.2-опер.рас ПП'!n</definedName>
    <definedName name="n" localSheetId="126">'[3]5.2-опер.рас ПП'!n</definedName>
    <definedName name="n" localSheetId="124">'[3]5.2-опер.рас ПП'!n</definedName>
    <definedName name="n" localSheetId="118">'[3]5.2-опер.рас ПП'!n</definedName>
    <definedName name="n" localSheetId="123">'[3]5.2-опер.рас ПП'!n</definedName>
    <definedName name="n" localSheetId="117">'[3]5.2-опер.рас ПП'!n</definedName>
    <definedName name="n" localSheetId="119">'[3]5.2-опер.рас ПП'!n</definedName>
    <definedName name="n" localSheetId="120">'[3]5.2-опер.рас ПП'!n</definedName>
    <definedName name="n" localSheetId="121">'[3]5.2-опер.рас ПП'!n</definedName>
    <definedName name="n" localSheetId="129">'[3]5.2-опер.рас ПП'!n</definedName>
    <definedName name="n" localSheetId="128">'[3]5.2-опер.рас ПП'!n</definedName>
    <definedName name="n" localSheetId="130">'[3]5.2-опер.рас ПП'!n</definedName>
    <definedName name="n" localSheetId="133">'[3]5.2-опер.рас ПП'!n</definedName>
    <definedName name="n" localSheetId="132">'[3]5.2-опер.рас ПП'!n</definedName>
    <definedName name="n" localSheetId="136">'[3]5.2-опер.рас ПП'!n</definedName>
    <definedName name="n" localSheetId="134">'[3]5.2-опер.рас ПП'!n</definedName>
    <definedName name="n" localSheetId="139">'[3]5.2-опер.рас ПП'!n</definedName>
    <definedName name="n" localSheetId="137">'[3]5.2-опер.рас ПП'!n</definedName>
    <definedName name="n" localSheetId="142">'[3]5.2-опер.рас ПП'!n</definedName>
    <definedName name="n" localSheetId="141">'[3]5.2-опер.рас ПП'!n</definedName>
    <definedName name="n" localSheetId="140">'[3]5.2-опер.рас ПП'!n</definedName>
    <definedName name="n" localSheetId="145">'[3]5.2-опер.рас ПП'!n</definedName>
    <definedName name="n" localSheetId="143">'[3]5.2-опер.рас ПП'!n</definedName>
    <definedName name="n" localSheetId="150">'[3]5.2-опер.рас ПП'!n</definedName>
    <definedName name="n" localSheetId="158">'[3]5.2-опер.рас ПП'!n</definedName>
    <definedName name="n" localSheetId="157">'[3]5.2-опер.рас ПП'!n</definedName>
    <definedName name="n" localSheetId="156">'[3]5.2-опер.рас ПП'!n</definedName>
    <definedName name="n" localSheetId="146">'[3]5.2-опер.рас ПП'!n</definedName>
    <definedName name="n" localSheetId="89">'[3]5.2-опер.рас ПП'!n</definedName>
    <definedName name="n" localSheetId="90">'[3]5.2-опер.рас ПП'!n</definedName>
    <definedName name="n" localSheetId="2">'[4]5.2-опер.рас ПП'!n</definedName>
    <definedName name="n" localSheetId="1">'[4]5.2-опер.рас ПП'!n</definedName>
    <definedName name="n">'[3]5.2-опер.рас ПП'!n</definedName>
    <definedName name="qasec" localSheetId="19">'[3]5.2-опер.рас ПП'!qasec</definedName>
    <definedName name="qasec" localSheetId="17">'[3]5.2-опер.рас ПП'!qasec</definedName>
    <definedName name="qasec" localSheetId="45">'4. 7_котельн.'!qasec</definedName>
    <definedName name="qasec" localSheetId="44">'4. 7_КТЭЦ'!qasec</definedName>
    <definedName name="qasec" localSheetId="3">'[3]5.2-опер.рас ПП'!qasec</definedName>
    <definedName name="qasec" localSheetId="78">'[3]5.2-опер.рас ПП'!qasec</definedName>
    <definedName name="qasec" localSheetId="65">'[3]5.2-опер.рас ПП'!qasec</definedName>
    <definedName name="qasec" localSheetId="75">'[3]5.2-опер.рас ПП'!qasec</definedName>
    <definedName name="qasec" localSheetId="70">'[3]5.2-опер.рас ПП'!qasec</definedName>
    <definedName name="qasec" localSheetId="79">'[3]5.2-опер.рас ПП'!qasec</definedName>
    <definedName name="qasec" localSheetId="82">'[3]5.2-опер.рас ПП'!qasec</definedName>
    <definedName name="qasec" localSheetId="12">'[3]5.2-опер.рас ПП'!qasec</definedName>
    <definedName name="qasec" localSheetId="11">'[3]5.2-опер.рас ПП'!qasec</definedName>
    <definedName name="qasec" localSheetId="20">'[4]5.2-опер.рас ПП'!qasec</definedName>
    <definedName name="qasec" localSheetId="28">'[3]5.2-опер.рас ПП'!qasec</definedName>
    <definedName name="qasec" localSheetId="38">'[3]5.2-опер.рас ПП'!qasec</definedName>
    <definedName name="qasec" localSheetId="26">'[3]5.2-опер.рас ПП'!qasec</definedName>
    <definedName name="qasec" localSheetId="34">'[3]5.2-опер.рас ПП'!qasec</definedName>
    <definedName name="qasec" localSheetId="32">'[3]5.2-опер.рас ПП'!qasec</definedName>
    <definedName name="qasec" localSheetId="23">'[3]5.2-опер.рас ПП'!qasec</definedName>
    <definedName name="qasec" localSheetId="41">'[3]5.2-опер.рас ПП'!qasec</definedName>
    <definedName name="qasec" localSheetId="31">'[3]5.2-опер.рас ПП'!qasec</definedName>
    <definedName name="qasec" localSheetId="30">'[3]5.2-опер.рас ПП'!qasec</definedName>
    <definedName name="qasec" localSheetId="47">'[4]5.2-опер.рас ПП'!qasec</definedName>
    <definedName name="qasec" localSheetId="46">'[4]5.2-опер.рас ПП'!qasec</definedName>
    <definedName name="qasec" localSheetId="52">'[3]5.2-опер.рас ПП'!qasec</definedName>
    <definedName name="qasec" localSheetId="62">'[3]5.2-опер.рас ПП'!qasec</definedName>
    <definedName name="qasec" localSheetId="57">'[3]5.2-опер.рас ПП'!qasec</definedName>
    <definedName name="qasec" localSheetId="51">'[3]5.2-опер.рас ПП'!qasec</definedName>
    <definedName name="qasec" localSheetId="61">'[3]5.2-опер.рас ПП'!qasec</definedName>
    <definedName name="qasec" localSheetId="56">'[3]5.2-опер.рас ПП'!qasec</definedName>
    <definedName name="qasec" localSheetId="60">'[3]5.2-опер.рас ПП'!qasec</definedName>
    <definedName name="qasec" localSheetId="55">'[3]5.2-опер.рас ПП'!qasec</definedName>
    <definedName name="qasec" localSheetId="50">'[3]5.2-опер.рас ПП'!qasec</definedName>
    <definedName name="qasec" localSheetId="96">'[3]5.2-опер.рас ПП'!qasec</definedName>
    <definedName name="qasec" localSheetId="93">'[3]5.2-опер.рас ПП'!qasec</definedName>
    <definedName name="qasec" localSheetId="99">'[3]5.2-опер.рас ПП'!qasec</definedName>
    <definedName name="qasec" localSheetId="95">'[3]5.2-опер.рас ПП'!qasec</definedName>
    <definedName name="qasec" localSheetId="92">'[3]5.2-опер.рас ПП'!qasec</definedName>
    <definedName name="qasec" localSheetId="98">'[3]5.2-опер.рас ПП'!qasec</definedName>
    <definedName name="qasec" localSheetId="94">'[3]5.2-опер.рас ПП'!qasec</definedName>
    <definedName name="qasec" localSheetId="91">'[3]5.2-опер.рас ПП'!qasec</definedName>
    <definedName name="qasec" localSheetId="97">'[3]5.2-опер.рас ПП'!qasec</definedName>
    <definedName name="qasec" localSheetId="103">'[3]5.2-опер.рас ПП'!qasec</definedName>
    <definedName name="qasec" localSheetId="101">'[3]5.2-опер.рас ПП'!qasec</definedName>
    <definedName name="qasec" localSheetId="106">'[3]5.2-опер.рас ПП'!qasec</definedName>
    <definedName name="qasec" localSheetId="102">'[3]5.2-опер.рас ПП'!qasec</definedName>
    <definedName name="qasec" localSheetId="100">'[3]5.2-опер.рас ПП'!qasec</definedName>
    <definedName name="qasec" localSheetId="105">'[3]5.2-опер.рас ПП'!qasec</definedName>
    <definedName name="qasec" localSheetId="104">'[3]5.2-опер.рас ПП'!qasec</definedName>
    <definedName name="qasec" localSheetId="110">'[3]5.2-опер.рас ПП'!qasec</definedName>
    <definedName name="qasec" localSheetId="107">'[3]5.2-опер.рас ПП'!qasec</definedName>
    <definedName name="qasec" localSheetId="113">'[3]5.2-опер.рас ПП'!qasec</definedName>
    <definedName name="qasec" localSheetId="115">'[3]5.2-опер.рас ПП'!qasec</definedName>
    <definedName name="qasec" localSheetId="114">'[3]5.2-опер.рас ПП'!qasec</definedName>
    <definedName name="qasec" localSheetId="112">'[3]5.2-опер.рас ПП'!qasec</definedName>
    <definedName name="qasec" localSheetId="109">'[3]5.2-опер.рас ПП'!qasec</definedName>
    <definedName name="qasec" localSheetId="111">'[3]5.2-опер.рас ПП'!qasec</definedName>
    <definedName name="qasec" localSheetId="108">'[3]5.2-опер.рас ПП'!qasec</definedName>
    <definedName name="qasec" localSheetId="122">'[3]5.2-опер.рас ПП'!qasec</definedName>
    <definedName name="qasec" localSheetId="116">'[3]5.2-опер.рас ПП'!qasec</definedName>
    <definedName name="qasec" localSheetId="125">'[3]5.2-опер.рас ПП'!qasec</definedName>
    <definedName name="qasec" localSheetId="127">'[3]5.2-опер.рас ПП'!qasec</definedName>
    <definedName name="qasec" localSheetId="126">'[3]5.2-опер.рас ПП'!qasec</definedName>
    <definedName name="qasec" localSheetId="124">'[3]5.2-опер.рас ПП'!qasec</definedName>
    <definedName name="qasec" localSheetId="118">'[3]5.2-опер.рас ПП'!qasec</definedName>
    <definedName name="qasec" localSheetId="123">'[3]5.2-опер.рас ПП'!qasec</definedName>
    <definedName name="qasec" localSheetId="117">'[3]5.2-опер.рас ПП'!qasec</definedName>
    <definedName name="qasec" localSheetId="119">'[3]5.2-опер.рас ПП'!qasec</definedName>
    <definedName name="qasec" localSheetId="120">'[3]5.2-опер.рас ПП'!qasec</definedName>
    <definedName name="qasec" localSheetId="121">'[3]5.2-опер.рас ПП'!qasec</definedName>
    <definedName name="qasec" localSheetId="129">'[3]5.2-опер.рас ПП'!qasec</definedName>
    <definedName name="qasec" localSheetId="128">'[3]5.2-опер.рас ПП'!qasec</definedName>
    <definedName name="qasec" localSheetId="130">'[3]5.2-опер.рас ПП'!qasec</definedName>
    <definedName name="qasec" localSheetId="133">'[3]5.2-опер.рас ПП'!qasec</definedName>
    <definedName name="qasec" localSheetId="132">'[3]5.2-опер.рас ПП'!qasec</definedName>
    <definedName name="qasec" localSheetId="136">'[3]5.2-опер.рас ПП'!qasec</definedName>
    <definedName name="qasec" localSheetId="134">'[3]5.2-опер.рас ПП'!qasec</definedName>
    <definedName name="qasec" localSheetId="139">'[3]5.2-опер.рас ПП'!qasec</definedName>
    <definedName name="qasec" localSheetId="137">'[3]5.2-опер.рас ПП'!qasec</definedName>
    <definedName name="qasec" localSheetId="142">'[3]5.2-опер.рас ПП'!qasec</definedName>
    <definedName name="qasec" localSheetId="141">'[3]5.2-опер.рас ПП'!qasec</definedName>
    <definedName name="qasec" localSheetId="140">'[3]5.2-опер.рас ПП'!qasec</definedName>
    <definedName name="qasec" localSheetId="145">'[3]5.2-опер.рас ПП'!qasec</definedName>
    <definedName name="qasec" localSheetId="143">'[3]5.2-опер.рас ПП'!qasec</definedName>
    <definedName name="qasec" localSheetId="150">'[3]5.2-опер.рас ПП'!qasec</definedName>
    <definedName name="qasec" localSheetId="158">'[3]5.2-опер.рас ПП'!qasec</definedName>
    <definedName name="qasec" localSheetId="157">'[3]5.2-опер.рас ПП'!qasec</definedName>
    <definedName name="qasec" localSheetId="156">'[3]5.2-опер.рас ПП'!qasec</definedName>
    <definedName name="qasec" localSheetId="146">'[3]5.2-опер.рас ПП'!qasec</definedName>
    <definedName name="qasec" localSheetId="89">'[3]5.2-опер.рас ПП'!qasec</definedName>
    <definedName name="qasec" localSheetId="90">'[3]5.2-опер.рас ПП'!qasec</definedName>
    <definedName name="qasec" localSheetId="2">'[4]5.2-опер.рас ПП'!qasec</definedName>
    <definedName name="qasec" localSheetId="1">'[4]5.2-опер.рас ПП'!qasec</definedName>
    <definedName name="qasec">'[3]5.2-опер.рас ПП'!qasec</definedName>
    <definedName name="qqq" localSheetId="19">'[3]5.2-опер.рас ПП'!qqq</definedName>
    <definedName name="qqq" localSheetId="17">'[3]5.2-опер.рас ПП'!qqq</definedName>
    <definedName name="qqq" localSheetId="45">'4. 7_котельн.'!qqq</definedName>
    <definedName name="qqq" localSheetId="44">'4. 7_КТЭЦ'!qqq</definedName>
    <definedName name="qqq" localSheetId="3">'[3]5.2-опер.рас ПП'!qqq</definedName>
    <definedName name="qqq" localSheetId="78">'[3]5.2-опер.рас ПП'!qqq</definedName>
    <definedName name="qqq" localSheetId="65">'[3]5.2-опер.рас ПП'!qqq</definedName>
    <definedName name="qqq" localSheetId="75">'[3]5.2-опер.рас ПП'!qqq</definedName>
    <definedName name="qqq" localSheetId="70">'[3]5.2-опер.рас ПП'!qqq</definedName>
    <definedName name="qqq" localSheetId="79">'[3]5.2-опер.рас ПП'!qqq</definedName>
    <definedName name="qqq" localSheetId="82">'[3]5.2-опер.рас ПП'!qqq</definedName>
    <definedName name="qqq" localSheetId="12">'[3]5.2-опер.рас ПП'!qqq</definedName>
    <definedName name="qqq" localSheetId="11">'[3]5.2-опер.рас ПП'!qqq</definedName>
    <definedName name="qqq" localSheetId="20">'[4]5.2-опер.рас ПП'!qqq</definedName>
    <definedName name="qqq" localSheetId="28">'[3]5.2-опер.рас ПП'!qqq</definedName>
    <definedName name="qqq" localSheetId="38">'[3]5.2-опер.рас ПП'!qqq</definedName>
    <definedName name="qqq" localSheetId="26">'[3]5.2-опер.рас ПП'!qqq</definedName>
    <definedName name="qqq" localSheetId="34">'[3]5.2-опер.рас ПП'!qqq</definedName>
    <definedName name="qqq" localSheetId="32">'[3]5.2-опер.рас ПП'!qqq</definedName>
    <definedName name="qqq" localSheetId="23">'[3]5.2-опер.рас ПП'!qqq</definedName>
    <definedName name="qqq" localSheetId="41">'[3]5.2-опер.рас ПП'!qqq</definedName>
    <definedName name="qqq" localSheetId="31">'[3]5.2-опер.рас ПП'!qqq</definedName>
    <definedName name="qqq" localSheetId="30">'[3]5.2-опер.рас ПП'!qqq</definedName>
    <definedName name="qqq" localSheetId="47">'[4]5.2-опер.рас ПП'!qqq</definedName>
    <definedName name="qqq" localSheetId="46">'[4]5.2-опер.рас ПП'!qqq</definedName>
    <definedName name="qqq" localSheetId="52">'[3]5.2-опер.рас ПП'!qqq</definedName>
    <definedName name="qqq" localSheetId="62">'[3]5.2-опер.рас ПП'!qqq</definedName>
    <definedName name="qqq" localSheetId="57">'[3]5.2-опер.рас ПП'!qqq</definedName>
    <definedName name="qqq" localSheetId="51">'[3]5.2-опер.рас ПП'!qqq</definedName>
    <definedName name="qqq" localSheetId="61">'[3]5.2-опер.рас ПП'!qqq</definedName>
    <definedName name="qqq" localSheetId="56">'[3]5.2-опер.рас ПП'!qqq</definedName>
    <definedName name="qqq" localSheetId="60">'[3]5.2-опер.рас ПП'!qqq</definedName>
    <definedName name="qqq" localSheetId="55">'[3]5.2-опер.рас ПП'!qqq</definedName>
    <definedName name="qqq" localSheetId="50">'[3]5.2-опер.рас ПП'!qqq</definedName>
    <definedName name="qqq" localSheetId="96">'[3]5.2-опер.рас ПП'!qqq</definedName>
    <definedName name="qqq" localSheetId="93">'[3]5.2-опер.рас ПП'!qqq</definedName>
    <definedName name="qqq" localSheetId="99">'[3]5.2-опер.рас ПП'!qqq</definedName>
    <definedName name="qqq" localSheetId="95">'[3]5.2-опер.рас ПП'!qqq</definedName>
    <definedName name="qqq" localSheetId="92">'[3]5.2-опер.рас ПП'!qqq</definedName>
    <definedName name="qqq" localSheetId="98">'[3]5.2-опер.рас ПП'!qqq</definedName>
    <definedName name="qqq" localSheetId="94">'[3]5.2-опер.рас ПП'!qqq</definedName>
    <definedName name="qqq" localSheetId="91">'[3]5.2-опер.рас ПП'!qqq</definedName>
    <definedName name="qqq" localSheetId="97">'[3]5.2-опер.рас ПП'!qqq</definedName>
    <definedName name="qqq" localSheetId="103">'[3]5.2-опер.рас ПП'!qqq</definedName>
    <definedName name="qqq" localSheetId="101">'[3]5.2-опер.рас ПП'!qqq</definedName>
    <definedName name="qqq" localSheetId="106">'[3]5.2-опер.рас ПП'!qqq</definedName>
    <definedName name="qqq" localSheetId="102">'[3]5.2-опер.рас ПП'!qqq</definedName>
    <definedName name="qqq" localSheetId="100">'[3]5.2-опер.рас ПП'!qqq</definedName>
    <definedName name="qqq" localSheetId="105">'[3]5.2-опер.рас ПП'!qqq</definedName>
    <definedName name="qqq" localSheetId="104">'[3]5.2-опер.рас ПП'!qqq</definedName>
    <definedName name="qqq" localSheetId="110">'[3]5.2-опер.рас ПП'!qqq</definedName>
    <definedName name="qqq" localSheetId="107">'[3]5.2-опер.рас ПП'!qqq</definedName>
    <definedName name="qqq" localSheetId="113">'[3]5.2-опер.рас ПП'!qqq</definedName>
    <definedName name="qqq" localSheetId="115">'[3]5.2-опер.рас ПП'!qqq</definedName>
    <definedName name="qqq" localSheetId="114">'[3]5.2-опер.рас ПП'!qqq</definedName>
    <definedName name="qqq" localSheetId="112">'[3]5.2-опер.рас ПП'!qqq</definedName>
    <definedName name="qqq" localSheetId="109">'[3]5.2-опер.рас ПП'!qqq</definedName>
    <definedName name="qqq" localSheetId="111">'[3]5.2-опер.рас ПП'!qqq</definedName>
    <definedName name="qqq" localSheetId="108">'[3]5.2-опер.рас ПП'!qqq</definedName>
    <definedName name="qqq" localSheetId="122">'[3]5.2-опер.рас ПП'!qqq</definedName>
    <definedName name="qqq" localSheetId="116">'[3]5.2-опер.рас ПП'!qqq</definedName>
    <definedName name="qqq" localSheetId="125">'[3]5.2-опер.рас ПП'!qqq</definedName>
    <definedName name="qqq" localSheetId="127">'[3]5.2-опер.рас ПП'!qqq</definedName>
    <definedName name="qqq" localSheetId="126">'[3]5.2-опер.рас ПП'!qqq</definedName>
    <definedName name="qqq" localSheetId="124">'[3]5.2-опер.рас ПП'!qqq</definedName>
    <definedName name="qqq" localSheetId="118">'[3]5.2-опер.рас ПП'!qqq</definedName>
    <definedName name="qqq" localSheetId="123">'[3]5.2-опер.рас ПП'!qqq</definedName>
    <definedName name="qqq" localSheetId="117">'[3]5.2-опер.рас ПП'!qqq</definedName>
    <definedName name="qqq" localSheetId="119">'[3]5.2-опер.рас ПП'!qqq</definedName>
    <definedName name="qqq" localSheetId="120">'[3]5.2-опер.рас ПП'!qqq</definedName>
    <definedName name="qqq" localSheetId="121">'[3]5.2-опер.рас ПП'!qqq</definedName>
    <definedName name="qqq" localSheetId="129">'[3]5.2-опер.рас ПП'!qqq</definedName>
    <definedName name="qqq" localSheetId="128">'[3]5.2-опер.рас ПП'!qqq</definedName>
    <definedName name="qqq" localSheetId="130">'[3]5.2-опер.рас ПП'!qqq</definedName>
    <definedName name="qqq" localSheetId="133">'[3]5.2-опер.рас ПП'!qqq</definedName>
    <definedName name="qqq" localSheetId="132">'[3]5.2-опер.рас ПП'!qqq</definedName>
    <definedName name="qqq" localSheetId="136">'[3]5.2-опер.рас ПП'!qqq</definedName>
    <definedName name="qqq" localSheetId="134">'[3]5.2-опер.рас ПП'!qqq</definedName>
    <definedName name="qqq" localSheetId="139">'[3]5.2-опер.рас ПП'!qqq</definedName>
    <definedName name="qqq" localSheetId="137">'[3]5.2-опер.рас ПП'!qqq</definedName>
    <definedName name="qqq" localSheetId="142">'[3]5.2-опер.рас ПП'!qqq</definedName>
    <definedName name="qqq" localSheetId="141">'[3]5.2-опер.рас ПП'!qqq</definedName>
    <definedName name="qqq" localSheetId="140">'[3]5.2-опер.рас ПП'!qqq</definedName>
    <definedName name="qqq" localSheetId="145">'[3]5.2-опер.рас ПП'!qqq</definedName>
    <definedName name="qqq" localSheetId="143">'[3]5.2-опер.рас ПП'!qqq</definedName>
    <definedName name="qqq" localSheetId="150">'[3]5.2-опер.рас ПП'!qqq</definedName>
    <definedName name="qqq" localSheetId="158">'[3]5.2-опер.рас ПП'!qqq</definedName>
    <definedName name="qqq" localSheetId="157">'[3]5.2-опер.рас ПП'!qqq</definedName>
    <definedName name="qqq" localSheetId="156">'[3]5.2-опер.рас ПП'!qqq</definedName>
    <definedName name="qqq" localSheetId="146">'[3]5.2-опер.рас ПП'!qqq</definedName>
    <definedName name="qqq" localSheetId="89">'[3]5.2-опер.рас ПП'!qqq</definedName>
    <definedName name="qqq" localSheetId="90">'[3]5.2-опер.рас ПП'!qqq</definedName>
    <definedName name="qqq" localSheetId="2">'[4]5.2-опер.рас ПП'!qqq</definedName>
    <definedName name="qqq" localSheetId="1">'[4]5.2-опер.рас ПП'!qqq</definedName>
    <definedName name="qqq">'[3]5.2-опер.рас ПП'!qqq</definedName>
    <definedName name="qqqq" localSheetId="19">'[3]5.2-опер.рас ПП'!qqqq</definedName>
    <definedName name="qqqq" localSheetId="17">'[3]5.2-опер.рас ПП'!qqqq</definedName>
    <definedName name="qqqq" localSheetId="45">'4. 7_котельн.'!qqqq</definedName>
    <definedName name="qqqq" localSheetId="44">'4. 7_КТЭЦ'!qqqq</definedName>
    <definedName name="qqqq" localSheetId="3">'[3]5.2-опер.рас ПП'!qqqq</definedName>
    <definedName name="qqqq" localSheetId="78">'[3]5.2-опер.рас ПП'!qqqq</definedName>
    <definedName name="qqqq" localSheetId="65">'[3]5.2-опер.рас ПП'!qqqq</definedName>
    <definedName name="qqqq" localSheetId="75">'[3]5.2-опер.рас ПП'!qqqq</definedName>
    <definedName name="qqqq" localSheetId="70">'[3]5.2-опер.рас ПП'!qqqq</definedName>
    <definedName name="qqqq" localSheetId="79">'[3]5.2-опер.рас ПП'!qqqq</definedName>
    <definedName name="qqqq" localSheetId="82">'[3]5.2-опер.рас ПП'!qqqq</definedName>
    <definedName name="qqqq" localSheetId="12">'[3]5.2-опер.рас ПП'!qqqq</definedName>
    <definedName name="qqqq" localSheetId="11">'[3]5.2-опер.рас ПП'!qqqq</definedName>
    <definedName name="qqqq" localSheetId="20">'[4]5.2-опер.рас ПП'!qqqq</definedName>
    <definedName name="qqqq" localSheetId="28">'[3]5.2-опер.рас ПП'!qqqq</definedName>
    <definedName name="qqqq" localSheetId="38">'[3]5.2-опер.рас ПП'!qqqq</definedName>
    <definedName name="qqqq" localSheetId="26">'[3]5.2-опер.рас ПП'!qqqq</definedName>
    <definedName name="qqqq" localSheetId="34">'[3]5.2-опер.рас ПП'!qqqq</definedName>
    <definedName name="qqqq" localSheetId="32">'[3]5.2-опер.рас ПП'!qqqq</definedName>
    <definedName name="qqqq" localSheetId="23">'[3]5.2-опер.рас ПП'!qqqq</definedName>
    <definedName name="qqqq" localSheetId="41">'[3]5.2-опер.рас ПП'!qqqq</definedName>
    <definedName name="qqqq" localSheetId="31">'[3]5.2-опер.рас ПП'!qqqq</definedName>
    <definedName name="qqqq" localSheetId="30">'[3]5.2-опер.рас ПП'!qqqq</definedName>
    <definedName name="qqqq" localSheetId="47">'[4]5.2-опер.рас ПП'!qqqq</definedName>
    <definedName name="qqqq" localSheetId="46">'[4]5.2-опер.рас ПП'!qqqq</definedName>
    <definedName name="qqqq" localSheetId="52">'[3]5.2-опер.рас ПП'!qqqq</definedName>
    <definedName name="qqqq" localSheetId="62">'[3]5.2-опер.рас ПП'!qqqq</definedName>
    <definedName name="qqqq" localSheetId="57">'[3]5.2-опер.рас ПП'!qqqq</definedName>
    <definedName name="qqqq" localSheetId="51">'[3]5.2-опер.рас ПП'!qqqq</definedName>
    <definedName name="qqqq" localSheetId="61">'[3]5.2-опер.рас ПП'!qqqq</definedName>
    <definedName name="qqqq" localSheetId="56">'[3]5.2-опер.рас ПП'!qqqq</definedName>
    <definedName name="qqqq" localSheetId="60">'[3]5.2-опер.рас ПП'!qqqq</definedName>
    <definedName name="qqqq" localSheetId="55">'[3]5.2-опер.рас ПП'!qqqq</definedName>
    <definedName name="qqqq" localSheetId="50">'[3]5.2-опер.рас ПП'!qqqq</definedName>
    <definedName name="qqqq" localSheetId="96">'[3]5.2-опер.рас ПП'!qqqq</definedName>
    <definedName name="qqqq" localSheetId="93">'[3]5.2-опер.рас ПП'!qqqq</definedName>
    <definedName name="qqqq" localSheetId="99">'[3]5.2-опер.рас ПП'!qqqq</definedName>
    <definedName name="qqqq" localSheetId="95">'[3]5.2-опер.рас ПП'!qqqq</definedName>
    <definedName name="qqqq" localSheetId="92">'[3]5.2-опер.рас ПП'!qqqq</definedName>
    <definedName name="qqqq" localSheetId="98">'[3]5.2-опер.рас ПП'!qqqq</definedName>
    <definedName name="qqqq" localSheetId="94">'[3]5.2-опер.рас ПП'!qqqq</definedName>
    <definedName name="qqqq" localSheetId="91">'[3]5.2-опер.рас ПП'!qqqq</definedName>
    <definedName name="qqqq" localSheetId="97">'[3]5.2-опер.рас ПП'!qqqq</definedName>
    <definedName name="qqqq" localSheetId="103">'[3]5.2-опер.рас ПП'!qqqq</definedName>
    <definedName name="qqqq" localSheetId="101">'[3]5.2-опер.рас ПП'!qqqq</definedName>
    <definedName name="qqqq" localSheetId="106">'[3]5.2-опер.рас ПП'!qqqq</definedName>
    <definedName name="qqqq" localSheetId="102">'[3]5.2-опер.рас ПП'!qqqq</definedName>
    <definedName name="qqqq" localSheetId="100">'[3]5.2-опер.рас ПП'!qqqq</definedName>
    <definedName name="qqqq" localSheetId="105">'[3]5.2-опер.рас ПП'!qqqq</definedName>
    <definedName name="qqqq" localSheetId="104">'[3]5.2-опер.рас ПП'!qqqq</definedName>
    <definedName name="qqqq" localSheetId="110">'[3]5.2-опер.рас ПП'!qqqq</definedName>
    <definedName name="qqqq" localSheetId="107">'[3]5.2-опер.рас ПП'!qqqq</definedName>
    <definedName name="qqqq" localSheetId="113">'[3]5.2-опер.рас ПП'!qqqq</definedName>
    <definedName name="qqqq" localSheetId="115">'[3]5.2-опер.рас ПП'!qqqq</definedName>
    <definedName name="qqqq" localSheetId="114">'[3]5.2-опер.рас ПП'!qqqq</definedName>
    <definedName name="qqqq" localSheetId="112">'[3]5.2-опер.рас ПП'!qqqq</definedName>
    <definedName name="qqqq" localSheetId="109">'[3]5.2-опер.рас ПП'!qqqq</definedName>
    <definedName name="qqqq" localSheetId="111">'[3]5.2-опер.рас ПП'!qqqq</definedName>
    <definedName name="qqqq" localSheetId="108">'[3]5.2-опер.рас ПП'!qqqq</definedName>
    <definedName name="qqqq" localSheetId="122">'[3]5.2-опер.рас ПП'!qqqq</definedName>
    <definedName name="qqqq" localSheetId="116">'[3]5.2-опер.рас ПП'!qqqq</definedName>
    <definedName name="qqqq" localSheetId="125">'[3]5.2-опер.рас ПП'!qqqq</definedName>
    <definedName name="qqqq" localSheetId="127">'[3]5.2-опер.рас ПП'!qqqq</definedName>
    <definedName name="qqqq" localSheetId="126">'[3]5.2-опер.рас ПП'!qqqq</definedName>
    <definedName name="qqqq" localSheetId="124">'[3]5.2-опер.рас ПП'!qqqq</definedName>
    <definedName name="qqqq" localSheetId="118">'[3]5.2-опер.рас ПП'!qqqq</definedName>
    <definedName name="qqqq" localSheetId="123">'[3]5.2-опер.рас ПП'!qqqq</definedName>
    <definedName name="qqqq" localSheetId="117">'[3]5.2-опер.рас ПП'!qqqq</definedName>
    <definedName name="qqqq" localSheetId="119">'[3]5.2-опер.рас ПП'!qqqq</definedName>
    <definedName name="qqqq" localSheetId="120">'[3]5.2-опер.рас ПП'!qqqq</definedName>
    <definedName name="qqqq" localSheetId="121">'[3]5.2-опер.рас ПП'!qqqq</definedName>
    <definedName name="qqqq" localSheetId="129">'[3]5.2-опер.рас ПП'!qqqq</definedName>
    <definedName name="qqqq" localSheetId="128">'[3]5.2-опер.рас ПП'!qqqq</definedName>
    <definedName name="qqqq" localSheetId="130">'[3]5.2-опер.рас ПП'!qqqq</definedName>
    <definedName name="qqqq" localSheetId="133">'[3]5.2-опер.рас ПП'!qqqq</definedName>
    <definedName name="qqqq" localSheetId="132">'[3]5.2-опер.рас ПП'!qqqq</definedName>
    <definedName name="qqqq" localSheetId="136">'[3]5.2-опер.рас ПП'!qqqq</definedName>
    <definedName name="qqqq" localSheetId="134">'[3]5.2-опер.рас ПП'!qqqq</definedName>
    <definedName name="qqqq" localSheetId="139">'[3]5.2-опер.рас ПП'!qqqq</definedName>
    <definedName name="qqqq" localSheetId="137">'[3]5.2-опер.рас ПП'!qqqq</definedName>
    <definedName name="qqqq" localSheetId="142">'[3]5.2-опер.рас ПП'!qqqq</definedName>
    <definedName name="qqqq" localSheetId="141">'[3]5.2-опер.рас ПП'!qqqq</definedName>
    <definedName name="qqqq" localSheetId="140">'[3]5.2-опер.рас ПП'!qqqq</definedName>
    <definedName name="qqqq" localSheetId="145">'[3]5.2-опер.рас ПП'!qqqq</definedName>
    <definedName name="qqqq" localSheetId="143">'[3]5.2-опер.рас ПП'!qqqq</definedName>
    <definedName name="qqqq" localSheetId="150">'[3]5.2-опер.рас ПП'!qqqq</definedName>
    <definedName name="qqqq" localSheetId="158">'[3]5.2-опер.рас ПП'!qqqq</definedName>
    <definedName name="qqqq" localSheetId="157">'[3]5.2-опер.рас ПП'!qqqq</definedName>
    <definedName name="qqqq" localSheetId="156">'[3]5.2-опер.рас ПП'!qqqq</definedName>
    <definedName name="qqqq" localSheetId="146">'[3]5.2-опер.рас ПП'!qqqq</definedName>
    <definedName name="qqqq" localSheetId="89">'[3]5.2-опер.рас ПП'!qqqq</definedName>
    <definedName name="qqqq" localSheetId="90">'[3]5.2-опер.рас ПП'!qqqq</definedName>
    <definedName name="qqqq" localSheetId="2">'[4]5.2-опер.рас ПП'!qqqq</definedName>
    <definedName name="qqqq" localSheetId="1">'[4]5.2-опер.рас ПП'!qqqq</definedName>
    <definedName name="qqqq">'[3]5.2-опер.рас ПП'!qqqq</definedName>
    <definedName name="qwecn" localSheetId="19">'[3]5.2-опер.рас ПП'!qwecn</definedName>
    <definedName name="qwecn" localSheetId="17">'[3]5.2-опер.рас ПП'!qwecn</definedName>
    <definedName name="qwecn" localSheetId="45">'4. 7_котельн.'!qwecn</definedName>
    <definedName name="qwecn" localSheetId="44">'4. 7_КТЭЦ'!qwecn</definedName>
    <definedName name="qwecn" localSheetId="3">'[3]5.2-опер.рас ПП'!qwecn</definedName>
    <definedName name="qwecn" localSheetId="78">'[3]5.2-опер.рас ПП'!qwecn</definedName>
    <definedName name="qwecn" localSheetId="65">'[3]5.2-опер.рас ПП'!qwecn</definedName>
    <definedName name="qwecn" localSheetId="75">'[3]5.2-опер.рас ПП'!qwecn</definedName>
    <definedName name="qwecn" localSheetId="70">'[3]5.2-опер.рас ПП'!qwecn</definedName>
    <definedName name="qwecn" localSheetId="79">'[3]5.2-опер.рас ПП'!qwecn</definedName>
    <definedName name="qwecn" localSheetId="82">'[3]5.2-опер.рас ПП'!qwecn</definedName>
    <definedName name="qwecn" localSheetId="12">'[3]5.2-опер.рас ПП'!qwecn</definedName>
    <definedName name="qwecn" localSheetId="11">'[3]5.2-опер.рас ПП'!qwecn</definedName>
    <definedName name="qwecn" localSheetId="20">'[4]5.2-опер.рас ПП'!qwecn</definedName>
    <definedName name="qwecn" localSheetId="28">'[3]5.2-опер.рас ПП'!qwecn</definedName>
    <definedName name="qwecn" localSheetId="38">'[3]5.2-опер.рас ПП'!qwecn</definedName>
    <definedName name="qwecn" localSheetId="26">'[3]5.2-опер.рас ПП'!qwecn</definedName>
    <definedName name="qwecn" localSheetId="34">'[3]5.2-опер.рас ПП'!qwecn</definedName>
    <definedName name="qwecn" localSheetId="32">'[3]5.2-опер.рас ПП'!qwecn</definedName>
    <definedName name="qwecn" localSheetId="23">'[3]5.2-опер.рас ПП'!qwecn</definedName>
    <definedName name="qwecn" localSheetId="41">'[3]5.2-опер.рас ПП'!qwecn</definedName>
    <definedName name="qwecn" localSheetId="31">'[3]5.2-опер.рас ПП'!qwecn</definedName>
    <definedName name="qwecn" localSheetId="30">'[3]5.2-опер.рас ПП'!qwecn</definedName>
    <definedName name="qwecn" localSheetId="47">'[4]5.2-опер.рас ПП'!qwecn</definedName>
    <definedName name="qwecn" localSheetId="46">'[4]5.2-опер.рас ПП'!qwecn</definedName>
    <definedName name="qwecn" localSheetId="52">'[3]5.2-опер.рас ПП'!qwecn</definedName>
    <definedName name="qwecn" localSheetId="62">'[3]5.2-опер.рас ПП'!qwecn</definedName>
    <definedName name="qwecn" localSheetId="57">'[3]5.2-опер.рас ПП'!qwecn</definedName>
    <definedName name="qwecn" localSheetId="51">'[3]5.2-опер.рас ПП'!qwecn</definedName>
    <definedName name="qwecn" localSheetId="61">'[3]5.2-опер.рас ПП'!qwecn</definedName>
    <definedName name="qwecn" localSheetId="56">'[3]5.2-опер.рас ПП'!qwecn</definedName>
    <definedName name="qwecn" localSheetId="60">'[3]5.2-опер.рас ПП'!qwecn</definedName>
    <definedName name="qwecn" localSheetId="55">'[3]5.2-опер.рас ПП'!qwecn</definedName>
    <definedName name="qwecn" localSheetId="50">'[3]5.2-опер.рас ПП'!qwecn</definedName>
    <definedName name="qwecn" localSheetId="96">'[3]5.2-опер.рас ПП'!qwecn</definedName>
    <definedName name="qwecn" localSheetId="93">'[3]5.2-опер.рас ПП'!qwecn</definedName>
    <definedName name="qwecn" localSheetId="99">'[3]5.2-опер.рас ПП'!qwecn</definedName>
    <definedName name="qwecn" localSheetId="95">'[3]5.2-опер.рас ПП'!qwecn</definedName>
    <definedName name="qwecn" localSheetId="92">'[3]5.2-опер.рас ПП'!qwecn</definedName>
    <definedName name="qwecn" localSheetId="98">'[3]5.2-опер.рас ПП'!qwecn</definedName>
    <definedName name="qwecn" localSheetId="94">'[3]5.2-опер.рас ПП'!qwecn</definedName>
    <definedName name="qwecn" localSheetId="91">'[3]5.2-опер.рас ПП'!qwecn</definedName>
    <definedName name="qwecn" localSheetId="97">'[3]5.2-опер.рас ПП'!qwecn</definedName>
    <definedName name="qwecn" localSheetId="103">'[3]5.2-опер.рас ПП'!qwecn</definedName>
    <definedName name="qwecn" localSheetId="101">'[3]5.2-опер.рас ПП'!qwecn</definedName>
    <definedName name="qwecn" localSheetId="106">'[3]5.2-опер.рас ПП'!qwecn</definedName>
    <definedName name="qwecn" localSheetId="102">'[3]5.2-опер.рас ПП'!qwecn</definedName>
    <definedName name="qwecn" localSheetId="100">'[3]5.2-опер.рас ПП'!qwecn</definedName>
    <definedName name="qwecn" localSheetId="105">'[3]5.2-опер.рас ПП'!qwecn</definedName>
    <definedName name="qwecn" localSheetId="104">'[3]5.2-опер.рас ПП'!qwecn</definedName>
    <definedName name="qwecn" localSheetId="110">'[3]5.2-опер.рас ПП'!qwecn</definedName>
    <definedName name="qwecn" localSheetId="107">'[3]5.2-опер.рас ПП'!qwecn</definedName>
    <definedName name="qwecn" localSheetId="113">'[3]5.2-опер.рас ПП'!qwecn</definedName>
    <definedName name="qwecn" localSheetId="115">'[3]5.2-опер.рас ПП'!qwecn</definedName>
    <definedName name="qwecn" localSheetId="114">'[3]5.2-опер.рас ПП'!qwecn</definedName>
    <definedName name="qwecn" localSheetId="112">'[3]5.2-опер.рас ПП'!qwecn</definedName>
    <definedName name="qwecn" localSheetId="109">'[3]5.2-опер.рас ПП'!qwecn</definedName>
    <definedName name="qwecn" localSheetId="111">'[3]5.2-опер.рас ПП'!qwecn</definedName>
    <definedName name="qwecn" localSheetId="108">'[3]5.2-опер.рас ПП'!qwecn</definedName>
    <definedName name="qwecn" localSheetId="122">'[3]5.2-опер.рас ПП'!qwecn</definedName>
    <definedName name="qwecn" localSheetId="116">'[3]5.2-опер.рас ПП'!qwecn</definedName>
    <definedName name="qwecn" localSheetId="125">'[3]5.2-опер.рас ПП'!qwecn</definedName>
    <definedName name="qwecn" localSheetId="127">'[3]5.2-опер.рас ПП'!qwecn</definedName>
    <definedName name="qwecn" localSheetId="126">'[3]5.2-опер.рас ПП'!qwecn</definedName>
    <definedName name="qwecn" localSheetId="124">'[3]5.2-опер.рас ПП'!qwecn</definedName>
    <definedName name="qwecn" localSheetId="118">'[3]5.2-опер.рас ПП'!qwecn</definedName>
    <definedName name="qwecn" localSheetId="123">'[3]5.2-опер.рас ПП'!qwecn</definedName>
    <definedName name="qwecn" localSheetId="117">'[3]5.2-опер.рас ПП'!qwecn</definedName>
    <definedName name="qwecn" localSheetId="119">'[3]5.2-опер.рас ПП'!qwecn</definedName>
    <definedName name="qwecn" localSheetId="120">'[3]5.2-опер.рас ПП'!qwecn</definedName>
    <definedName name="qwecn" localSheetId="121">'[3]5.2-опер.рас ПП'!qwecn</definedName>
    <definedName name="qwecn" localSheetId="129">'[3]5.2-опер.рас ПП'!qwecn</definedName>
    <definedName name="qwecn" localSheetId="128">'[3]5.2-опер.рас ПП'!qwecn</definedName>
    <definedName name="qwecn" localSheetId="130">'[3]5.2-опер.рас ПП'!qwecn</definedName>
    <definedName name="qwecn" localSheetId="133">'[3]5.2-опер.рас ПП'!qwecn</definedName>
    <definedName name="qwecn" localSheetId="132">'[3]5.2-опер.рас ПП'!qwecn</definedName>
    <definedName name="qwecn" localSheetId="136">'[3]5.2-опер.рас ПП'!qwecn</definedName>
    <definedName name="qwecn" localSheetId="134">'[3]5.2-опер.рас ПП'!qwecn</definedName>
    <definedName name="qwecn" localSheetId="139">'[3]5.2-опер.рас ПП'!qwecn</definedName>
    <definedName name="qwecn" localSheetId="137">'[3]5.2-опер.рас ПП'!qwecn</definedName>
    <definedName name="qwecn" localSheetId="142">'[3]5.2-опер.рас ПП'!qwecn</definedName>
    <definedName name="qwecn" localSheetId="141">'[3]5.2-опер.рас ПП'!qwecn</definedName>
    <definedName name="qwecn" localSheetId="140">'[3]5.2-опер.рас ПП'!qwecn</definedName>
    <definedName name="qwecn" localSheetId="145">'[3]5.2-опер.рас ПП'!qwecn</definedName>
    <definedName name="qwecn" localSheetId="143">'[3]5.2-опер.рас ПП'!qwecn</definedName>
    <definedName name="qwecn" localSheetId="150">'[3]5.2-опер.рас ПП'!qwecn</definedName>
    <definedName name="qwecn" localSheetId="158">'[3]5.2-опер.рас ПП'!qwecn</definedName>
    <definedName name="qwecn" localSheetId="157">'[3]5.2-опер.рас ПП'!qwecn</definedName>
    <definedName name="qwecn" localSheetId="156">'[3]5.2-опер.рас ПП'!qwecn</definedName>
    <definedName name="qwecn" localSheetId="146">'[3]5.2-опер.рас ПП'!qwecn</definedName>
    <definedName name="qwecn" localSheetId="89">'[3]5.2-опер.рас ПП'!qwecn</definedName>
    <definedName name="qwecn" localSheetId="90">'[3]5.2-опер.рас ПП'!qwecn</definedName>
    <definedName name="qwecn" localSheetId="2">'[4]5.2-опер.рас ПП'!qwecn</definedName>
    <definedName name="qwecn" localSheetId="1">'[4]5.2-опер.рас ПП'!qwecn</definedName>
    <definedName name="qwecn">'[3]5.2-опер.рас ПП'!qwecn</definedName>
    <definedName name="qwer" localSheetId="19">'[3]5.2-опер.рас ПП'!qwer</definedName>
    <definedName name="qwer" localSheetId="17">'[3]5.2-опер.рас ПП'!qwer</definedName>
    <definedName name="qwer" localSheetId="45">'4. 7_котельн.'!qwer</definedName>
    <definedName name="qwer" localSheetId="44">'4. 7_КТЭЦ'!qwer</definedName>
    <definedName name="qwer" localSheetId="3">'[3]5.2-опер.рас ПП'!qwer</definedName>
    <definedName name="qwer" localSheetId="78">'[3]5.2-опер.рас ПП'!qwer</definedName>
    <definedName name="qwer" localSheetId="65">'[3]5.2-опер.рас ПП'!qwer</definedName>
    <definedName name="qwer" localSheetId="75">'[3]5.2-опер.рас ПП'!qwer</definedName>
    <definedName name="qwer" localSheetId="70">'[3]5.2-опер.рас ПП'!qwer</definedName>
    <definedName name="qwer" localSheetId="79">'[3]5.2-опер.рас ПП'!qwer</definedName>
    <definedName name="qwer" localSheetId="82">'[3]5.2-опер.рас ПП'!qwer</definedName>
    <definedName name="qwer" localSheetId="12">'[3]5.2-опер.рас ПП'!qwer</definedName>
    <definedName name="qwer" localSheetId="11">'[3]5.2-опер.рас ПП'!qwer</definedName>
    <definedName name="qwer" localSheetId="20">'[4]5.2-опер.рас ПП'!qwer</definedName>
    <definedName name="qwer" localSheetId="28">'[3]5.2-опер.рас ПП'!qwer</definedName>
    <definedName name="qwer" localSheetId="38">'[3]5.2-опер.рас ПП'!qwer</definedName>
    <definedName name="qwer" localSheetId="26">'[3]5.2-опер.рас ПП'!qwer</definedName>
    <definedName name="qwer" localSheetId="34">'[3]5.2-опер.рас ПП'!qwer</definedName>
    <definedName name="qwer" localSheetId="32">'[3]5.2-опер.рас ПП'!qwer</definedName>
    <definedName name="qwer" localSheetId="23">'[3]5.2-опер.рас ПП'!qwer</definedName>
    <definedName name="qwer" localSheetId="41">'[3]5.2-опер.рас ПП'!qwer</definedName>
    <definedName name="qwer" localSheetId="31">'[3]5.2-опер.рас ПП'!qwer</definedName>
    <definedName name="qwer" localSheetId="30">'[3]5.2-опер.рас ПП'!qwer</definedName>
    <definedName name="qwer" localSheetId="47">'[4]5.2-опер.рас ПП'!qwer</definedName>
    <definedName name="qwer" localSheetId="46">'[4]5.2-опер.рас ПП'!qwer</definedName>
    <definedName name="qwer" localSheetId="52">'[3]5.2-опер.рас ПП'!qwer</definedName>
    <definedName name="qwer" localSheetId="62">'[3]5.2-опер.рас ПП'!qwer</definedName>
    <definedName name="qwer" localSheetId="57">'[3]5.2-опер.рас ПП'!qwer</definedName>
    <definedName name="qwer" localSheetId="51">'[3]5.2-опер.рас ПП'!qwer</definedName>
    <definedName name="qwer" localSheetId="61">'[3]5.2-опер.рас ПП'!qwer</definedName>
    <definedName name="qwer" localSheetId="56">'[3]5.2-опер.рас ПП'!qwer</definedName>
    <definedName name="qwer" localSheetId="60">'[3]5.2-опер.рас ПП'!qwer</definedName>
    <definedName name="qwer" localSheetId="55">'[3]5.2-опер.рас ПП'!qwer</definedName>
    <definedName name="qwer" localSheetId="50">'[3]5.2-опер.рас ПП'!qwer</definedName>
    <definedName name="qwer" localSheetId="96">'[3]5.2-опер.рас ПП'!qwer</definedName>
    <definedName name="qwer" localSheetId="93">'[3]5.2-опер.рас ПП'!qwer</definedName>
    <definedName name="qwer" localSheetId="99">'[3]5.2-опер.рас ПП'!qwer</definedName>
    <definedName name="qwer" localSheetId="95">'[3]5.2-опер.рас ПП'!qwer</definedName>
    <definedName name="qwer" localSheetId="92">'[3]5.2-опер.рас ПП'!qwer</definedName>
    <definedName name="qwer" localSheetId="98">'[3]5.2-опер.рас ПП'!qwer</definedName>
    <definedName name="qwer" localSheetId="94">'[3]5.2-опер.рас ПП'!qwer</definedName>
    <definedName name="qwer" localSheetId="91">'[3]5.2-опер.рас ПП'!qwer</definedName>
    <definedName name="qwer" localSheetId="97">'[3]5.2-опер.рас ПП'!qwer</definedName>
    <definedName name="qwer" localSheetId="103">'[3]5.2-опер.рас ПП'!qwer</definedName>
    <definedName name="qwer" localSheetId="101">'[3]5.2-опер.рас ПП'!qwer</definedName>
    <definedName name="qwer" localSheetId="106">'[3]5.2-опер.рас ПП'!qwer</definedName>
    <definedName name="qwer" localSheetId="102">'[3]5.2-опер.рас ПП'!qwer</definedName>
    <definedName name="qwer" localSheetId="100">'[3]5.2-опер.рас ПП'!qwer</definedName>
    <definedName name="qwer" localSheetId="105">'[3]5.2-опер.рас ПП'!qwer</definedName>
    <definedName name="qwer" localSheetId="104">'[3]5.2-опер.рас ПП'!qwer</definedName>
    <definedName name="qwer" localSheetId="110">'[3]5.2-опер.рас ПП'!qwer</definedName>
    <definedName name="qwer" localSheetId="107">'[3]5.2-опер.рас ПП'!qwer</definedName>
    <definedName name="qwer" localSheetId="113">'[3]5.2-опер.рас ПП'!qwer</definedName>
    <definedName name="qwer" localSheetId="115">'[3]5.2-опер.рас ПП'!qwer</definedName>
    <definedName name="qwer" localSheetId="114">'[3]5.2-опер.рас ПП'!qwer</definedName>
    <definedName name="qwer" localSheetId="112">'[3]5.2-опер.рас ПП'!qwer</definedName>
    <definedName name="qwer" localSheetId="109">'[3]5.2-опер.рас ПП'!qwer</definedName>
    <definedName name="qwer" localSheetId="111">'[3]5.2-опер.рас ПП'!qwer</definedName>
    <definedName name="qwer" localSheetId="108">'[3]5.2-опер.рас ПП'!qwer</definedName>
    <definedName name="qwer" localSheetId="122">'[3]5.2-опер.рас ПП'!qwer</definedName>
    <definedName name="qwer" localSheetId="116">'[3]5.2-опер.рас ПП'!qwer</definedName>
    <definedName name="qwer" localSheetId="125">'[3]5.2-опер.рас ПП'!qwer</definedName>
    <definedName name="qwer" localSheetId="127">'[3]5.2-опер.рас ПП'!qwer</definedName>
    <definedName name="qwer" localSheetId="126">'[3]5.2-опер.рас ПП'!qwer</definedName>
    <definedName name="qwer" localSheetId="124">'[3]5.2-опер.рас ПП'!qwer</definedName>
    <definedName name="qwer" localSheetId="118">'[3]5.2-опер.рас ПП'!qwer</definedName>
    <definedName name="qwer" localSheetId="123">'[3]5.2-опер.рас ПП'!qwer</definedName>
    <definedName name="qwer" localSheetId="117">'[3]5.2-опер.рас ПП'!qwer</definedName>
    <definedName name="qwer" localSheetId="119">'[3]5.2-опер.рас ПП'!qwer</definedName>
    <definedName name="qwer" localSheetId="120">'[3]5.2-опер.рас ПП'!qwer</definedName>
    <definedName name="qwer" localSheetId="121">'[3]5.2-опер.рас ПП'!qwer</definedName>
    <definedName name="qwer" localSheetId="129">'[3]5.2-опер.рас ПП'!qwer</definedName>
    <definedName name="qwer" localSheetId="128">'[3]5.2-опер.рас ПП'!qwer</definedName>
    <definedName name="qwer" localSheetId="130">'[3]5.2-опер.рас ПП'!qwer</definedName>
    <definedName name="qwer" localSheetId="133">'[3]5.2-опер.рас ПП'!qwer</definedName>
    <definedName name="qwer" localSheetId="132">'[3]5.2-опер.рас ПП'!qwer</definedName>
    <definedName name="qwer" localSheetId="136">'[3]5.2-опер.рас ПП'!qwer</definedName>
    <definedName name="qwer" localSheetId="134">'[3]5.2-опер.рас ПП'!qwer</definedName>
    <definedName name="qwer" localSheetId="139">'[3]5.2-опер.рас ПП'!qwer</definedName>
    <definedName name="qwer" localSheetId="137">'[3]5.2-опер.рас ПП'!qwer</definedName>
    <definedName name="qwer" localSheetId="142">'[3]5.2-опер.рас ПП'!qwer</definedName>
    <definedName name="qwer" localSheetId="141">'[3]5.2-опер.рас ПП'!qwer</definedName>
    <definedName name="qwer" localSheetId="140">'[3]5.2-опер.рас ПП'!qwer</definedName>
    <definedName name="qwer" localSheetId="145">'[3]5.2-опер.рас ПП'!qwer</definedName>
    <definedName name="qwer" localSheetId="143">'[3]5.2-опер.рас ПП'!qwer</definedName>
    <definedName name="qwer" localSheetId="150">'[3]5.2-опер.рас ПП'!qwer</definedName>
    <definedName name="qwer" localSheetId="158">'[3]5.2-опер.рас ПП'!qwer</definedName>
    <definedName name="qwer" localSheetId="157">'[3]5.2-опер.рас ПП'!qwer</definedName>
    <definedName name="qwer" localSheetId="156">'[3]5.2-опер.рас ПП'!qwer</definedName>
    <definedName name="qwer" localSheetId="146">'[3]5.2-опер.рас ПП'!qwer</definedName>
    <definedName name="qwer" localSheetId="89">'[3]5.2-опер.рас ПП'!qwer</definedName>
    <definedName name="qwer" localSheetId="90">'[3]5.2-опер.рас ПП'!qwer</definedName>
    <definedName name="qwer" localSheetId="2">'[4]5.2-опер.рас ПП'!qwer</definedName>
    <definedName name="qwer" localSheetId="1">'[4]5.2-опер.рас ПП'!qwer</definedName>
    <definedName name="qwer">'[3]5.2-опер.рас ПП'!qwer</definedName>
    <definedName name="qwertyt" localSheetId="19">'[3]5.2-опер.рас ПП'!qwertyt</definedName>
    <definedName name="qwertyt" localSheetId="17">'[3]5.2-опер.рас ПП'!qwertyt</definedName>
    <definedName name="qwertyt" localSheetId="45">'4. 7_котельн.'!qwertyt</definedName>
    <definedName name="qwertyt" localSheetId="44">'4. 7_КТЭЦ'!qwertyt</definedName>
    <definedName name="qwertyt" localSheetId="3">'[3]5.2-опер.рас ПП'!qwertyt</definedName>
    <definedName name="qwertyt" localSheetId="78">'[3]5.2-опер.рас ПП'!qwertyt</definedName>
    <definedName name="qwertyt" localSheetId="65">'[3]5.2-опер.рас ПП'!qwertyt</definedName>
    <definedName name="qwertyt" localSheetId="75">'[3]5.2-опер.рас ПП'!qwertyt</definedName>
    <definedName name="qwertyt" localSheetId="70">'[3]5.2-опер.рас ПП'!qwertyt</definedName>
    <definedName name="qwertyt" localSheetId="79">'[3]5.2-опер.рас ПП'!qwertyt</definedName>
    <definedName name="qwertyt" localSheetId="82">'[3]5.2-опер.рас ПП'!qwertyt</definedName>
    <definedName name="qwertyt" localSheetId="12">'[3]5.2-опер.рас ПП'!qwertyt</definedName>
    <definedName name="qwertyt" localSheetId="11">'[3]5.2-опер.рас ПП'!qwertyt</definedName>
    <definedName name="qwertyt" localSheetId="20">'[4]5.2-опер.рас ПП'!qwertyt</definedName>
    <definedName name="qwertyt" localSheetId="28">'[3]5.2-опер.рас ПП'!qwertyt</definedName>
    <definedName name="qwertyt" localSheetId="38">'[3]5.2-опер.рас ПП'!qwertyt</definedName>
    <definedName name="qwertyt" localSheetId="26">'[3]5.2-опер.рас ПП'!qwertyt</definedName>
    <definedName name="qwertyt" localSheetId="34">'[3]5.2-опер.рас ПП'!qwertyt</definedName>
    <definedName name="qwertyt" localSheetId="32">'[3]5.2-опер.рас ПП'!qwertyt</definedName>
    <definedName name="qwertyt" localSheetId="23">'[3]5.2-опер.рас ПП'!qwertyt</definedName>
    <definedName name="qwertyt" localSheetId="41">'[3]5.2-опер.рас ПП'!qwertyt</definedName>
    <definedName name="qwertyt" localSheetId="31">'[3]5.2-опер.рас ПП'!qwertyt</definedName>
    <definedName name="qwertyt" localSheetId="30">'[3]5.2-опер.рас ПП'!qwertyt</definedName>
    <definedName name="qwertyt" localSheetId="47">'[4]5.2-опер.рас ПП'!qwertyt</definedName>
    <definedName name="qwertyt" localSheetId="46">'[4]5.2-опер.рас ПП'!qwertyt</definedName>
    <definedName name="qwertyt" localSheetId="52">'[3]5.2-опер.рас ПП'!qwertyt</definedName>
    <definedName name="qwertyt" localSheetId="62">'[3]5.2-опер.рас ПП'!qwertyt</definedName>
    <definedName name="qwertyt" localSheetId="57">'[3]5.2-опер.рас ПП'!qwertyt</definedName>
    <definedName name="qwertyt" localSheetId="51">'[3]5.2-опер.рас ПП'!qwertyt</definedName>
    <definedName name="qwertyt" localSheetId="61">'[3]5.2-опер.рас ПП'!qwertyt</definedName>
    <definedName name="qwertyt" localSheetId="56">'[3]5.2-опер.рас ПП'!qwertyt</definedName>
    <definedName name="qwertyt" localSheetId="60">'[3]5.2-опер.рас ПП'!qwertyt</definedName>
    <definedName name="qwertyt" localSheetId="55">'[3]5.2-опер.рас ПП'!qwertyt</definedName>
    <definedName name="qwertyt" localSheetId="50">'[3]5.2-опер.рас ПП'!qwertyt</definedName>
    <definedName name="qwertyt" localSheetId="96">'[3]5.2-опер.рас ПП'!qwertyt</definedName>
    <definedName name="qwertyt" localSheetId="93">'[3]5.2-опер.рас ПП'!qwertyt</definedName>
    <definedName name="qwertyt" localSheetId="99">'[3]5.2-опер.рас ПП'!qwertyt</definedName>
    <definedName name="qwertyt" localSheetId="95">'[3]5.2-опер.рас ПП'!qwertyt</definedName>
    <definedName name="qwertyt" localSheetId="92">'[3]5.2-опер.рас ПП'!qwertyt</definedName>
    <definedName name="qwertyt" localSheetId="98">'[3]5.2-опер.рас ПП'!qwertyt</definedName>
    <definedName name="qwertyt" localSheetId="94">'[3]5.2-опер.рас ПП'!qwertyt</definedName>
    <definedName name="qwertyt" localSheetId="91">'[3]5.2-опер.рас ПП'!qwertyt</definedName>
    <definedName name="qwertyt" localSheetId="97">'[3]5.2-опер.рас ПП'!qwertyt</definedName>
    <definedName name="qwertyt" localSheetId="103">'[3]5.2-опер.рас ПП'!qwertyt</definedName>
    <definedName name="qwertyt" localSheetId="101">'[3]5.2-опер.рас ПП'!qwertyt</definedName>
    <definedName name="qwertyt" localSheetId="106">'[3]5.2-опер.рас ПП'!qwertyt</definedName>
    <definedName name="qwertyt" localSheetId="102">'[3]5.2-опер.рас ПП'!qwertyt</definedName>
    <definedName name="qwertyt" localSheetId="100">'[3]5.2-опер.рас ПП'!qwertyt</definedName>
    <definedName name="qwertyt" localSheetId="105">'[3]5.2-опер.рас ПП'!qwertyt</definedName>
    <definedName name="qwertyt" localSheetId="104">'[3]5.2-опер.рас ПП'!qwertyt</definedName>
    <definedName name="qwertyt" localSheetId="110">'[3]5.2-опер.рас ПП'!qwertyt</definedName>
    <definedName name="qwertyt" localSheetId="107">'[3]5.2-опер.рас ПП'!qwertyt</definedName>
    <definedName name="qwertyt" localSheetId="113">'[3]5.2-опер.рас ПП'!qwertyt</definedName>
    <definedName name="qwertyt" localSheetId="115">'[3]5.2-опер.рас ПП'!qwertyt</definedName>
    <definedName name="qwertyt" localSheetId="114">'[3]5.2-опер.рас ПП'!qwertyt</definedName>
    <definedName name="qwertyt" localSheetId="112">'[3]5.2-опер.рас ПП'!qwertyt</definedName>
    <definedName name="qwertyt" localSheetId="109">'[3]5.2-опер.рас ПП'!qwertyt</definedName>
    <definedName name="qwertyt" localSheetId="111">'[3]5.2-опер.рас ПП'!qwertyt</definedName>
    <definedName name="qwertyt" localSheetId="108">'[3]5.2-опер.рас ПП'!qwertyt</definedName>
    <definedName name="qwertyt" localSheetId="122">'[3]5.2-опер.рас ПП'!qwertyt</definedName>
    <definedName name="qwertyt" localSheetId="116">'[3]5.2-опер.рас ПП'!qwertyt</definedName>
    <definedName name="qwertyt" localSheetId="125">'[3]5.2-опер.рас ПП'!qwertyt</definedName>
    <definedName name="qwertyt" localSheetId="127">'[3]5.2-опер.рас ПП'!qwertyt</definedName>
    <definedName name="qwertyt" localSheetId="126">'[3]5.2-опер.рас ПП'!qwertyt</definedName>
    <definedName name="qwertyt" localSheetId="124">'[3]5.2-опер.рас ПП'!qwertyt</definedName>
    <definedName name="qwertyt" localSheetId="118">'[3]5.2-опер.рас ПП'!qwertyt</definedName>
    <definedName name="qwertyt" localSheetId="123">'[3]5.2-опер.рас ПП'!qwertyt</definedName>
    <definedName name="qwertyt" localSheetId="117">'[3]5.2-опер.рас ПП'!qwertyt</definedName>
    <definedName name="qwertyt" localSheetId="119">'[3]5.2-опер.рас ПП'!qwertyt</definedName>
    <definedName name="qwertyt" localSheetId="120">'[3]5.2-опер.рас ПП'!qwertyt</definedName>
    <definedName name="qwertyt" localSheetId="121">'[3]5.2-опер.рас ПП'!qwertyt</definedName>
    <definedName name="qwertyt" localSheetId="129">'[3]5.2-опер.рас ПП'!qwertyt</definedName>
    <definedName name="qwertyt" localSheetId="128">'[3]5.2-опер.рас ПП'!qwertyt</definedName>
    <definedName name="qwertyt" localSheetId="130">'[3]5.2-опер.рас ПП'!qwertyt</definedName>
    <definedName name="qwertyt" localSheetId="133">'[3]5.2-опер.рас ПП'!qwertyt</definedName>
    <definedName name="qwertyt" localSheetId="132">'[3]5.2-опер.рас ПП'!qwertyt</definedName>
    <definedName name="qwertyt" localSheetId="136">'[3]5.2-опер.рас ПП'!qwertyt</definedName>
    <definedName name="qwertyt" localSheetId="134">'[3]5.2-опер.рас ПП'!qwertyt</definedName>
    <definedName name="qwertyt" localSheetId="139">'[3]5.2-опер.рас ПП'!qwertyt</definedName>
    <definedName name="qwertyt" localSheetId="137">'[3]5.2-опер.рас ПП'!qwertyt</definedName>
    <definedName name="qwertyt" localSheetId="142">'[3]5.2-опер.рас ПП'!qwertyt</definedName>
    <definedName name="qwertyt" localSheetId="141">'[3]5.2-опер.рас ПП'!qwertyt</definedName>
    <definedName name="qwertyt" localSheetId="140">'[3]5.2-опер.рас ПП'!qwertyt</definedName>
    <definedName name="qwertyt" localSheetId="145">'[3]5.2-опер.рас ПП'!qwertyt</definedName>
    <definedName name="qwertyt" localSheetId="143">'[3]5.2-опер.рас ПП'!qwertyt</definedName>
    <definedName name="qwertyt" localSheetId="150">'[3]5.2-опер.рас ПП'!qwertyt</definedName>
    <definedName name="qwertyt" localSheetId="158">'[3]5.2-опер.рас ПП'!qwertyt</definedName>
    <definedName name="qwertyt" localSheetId="157">'[3]5.2-опер.рас ПП'!qwertyt</definedName>
    <definedName name="qwertyt" localSheetId="156">'[3]5.2-опер.рас ПП'!qwertyt</definedName>
    <definedName name="qwertyt" localSheetId="146">'[3]5.2-опер.рас ПП'!qwertyt</definedName>
    <definedName name="qwertyt" localSheetId="89">'[3]5.2-опер.рас ПП'!qwertyt</definedName>
    <definedName name="qwertyt" localSheetId="90">'[3]5.2-опер.рас ПП'!qwertyt</definedName>
    <definedName name="qwertyt" localSheetId="2">'[4]5.2-опер.рас ПП'!qwertyt</definedName>
    <definedName name="qwertyt" localSheetId="1">'[4]5.2-опер.рас ПП'!qwertyt</definedName>
    <definedName name="qwertyt">'[3]5.2-опер.рас ПП'!qwertyt</definedName>
    <definedName name="qwertyu" localSheetId="19">'[3]5.2-опер.рас ПП'!qwertyu</definedName>
    <definedName name="qwertyu" localSheetId="17">'[3]5.2-опер.рас ПП'!qwertyu</definedName>
    <definedName name="qwertyu" localSheetId="45">'4. 7_котельн.'!qwertyu</definedName>
    <definedName name="qwertyu" localSheetId="44">'4. 7_КТЭЦ'!qwertyu</definedName>
    <definedName name="qwertyu" localSheetId="3">'[3]5.2-опер.рас ПП'!qwertyu</definedName>
    <definedName name="qwertyu" localSheetId="78">'[3]5.2-опер.рас ПП'!qwertyu</definedName>
    <definedName name="qwertyu" localSheetId="65">'[3]5.2-опер.рас ПП'!qwertyu</definedName>
    <definedName name="qwertyu" localSheetId="75">'[3]5.2-опер.рас ПП'!qwertyu</definedName>
    <definedName name="qwertyu" localSheetId="70">'[3]5.2-опер.рас ПП'!qwertyu</definedName>
    <definedName name="qwertyu" localSheetId="79">'[3]5.2-опер.рас ПП'!qwertyu</definedName>
    <definedName name="qwertyu" localSheetId="82">'[3]5.2-опер.рас ПП'!qwertyu</definedName>
    <definedName name="qwertyu" localSheetId="12">'[3]5.2-опер.рас ПП'!qwertyu</definedName>
    <definedName name="qwertyu" localSheetId="11">'[3]5.2-опер.рас ПП'!qwertyu</definedName>
    <definedName name="qwertyu" localSheetId="20">'[4]5.2-опер.рас ПП'!qwertyu</definedName>
    <definedName name="qwertyu" localSheetId="28">'[3]5.2-опер.рас ПП'!qwertyu</definedName>
    <definedName name="qwertyu" localSheetId="38">'[3]5.2-опер.рас ПП'!qwertyu</definedName>
    <definedName name="qwertyu" localSheetId="26">'[3]5.2-опер.рас ПП'!qwertyu</definedName>
    <definedName name="qwertyu" localSheetId="34">'[3]5.2-опер.рас ПП'!qwertyu</definedName>
    <definedName name="qwertyu" localSheetId="32">'[3]5.2-опер.рас ПП'!qwertyu</definedName>
    <definedName name="qwertyu" localSheetId="23">'[3]5.2-опер.рас ПП'!qwertyu</definedName>
    <definedName name="qwertyu" localSheetId="41">'[3]5.2-опер.рас ПП'!qwertyu</definedName>
    <definedName name="qwertyu" localSheetId="31">'[3]5.2-опер.рас ПП'!qwertyu</definedName>
    <definedName name="qwertyu" localSheetId="30">'[3]5.2-опер.рас ПП'!qwertyu</definedName>
    <definedName name="qwertyu" localSheetId="47">'[4]5.2-опер.рас ПП'!qwertyu</definedName>
    <definedName name="qwertyu" localSheetId="46">'[4]5.2-опер.рас ПП'!qwertyu</definedName>
    <definedName name="qwertyu" localSheetId="52">'[3]5.2-опер.рас ПП'!qwertyu</definedName>
    <definedName name="qwertyu" localSheetId="62">'[3]5.2-опер.рас ПП'!qwertyu</definedName>
    <definedName name="qwertyu" localSheetId="57">'[3]5.2-опер.рас ПП'!qwertyu</definedName>
    <definedName name="qwertyu" localSheetId="51">'[3]5.2-опер.рас ПП'!qwertyu</definedName>
    <definedName name="qwertyu" localSheetId="61">'[3]5.2-опер.рас ПП'!qwertyu</definedName>
    <definedName name="qwertyu" localSheetId="56">'[3]5.2-опер.рас ПП'!qwertyu</definedName>
    <definedName name="qwertyu" localSheetId="60">'[3]5.2-опер.рас ПП'!qwertyu</definedName>
    <definedName name="qwertyu" localSheetId="55">'[3]5.2-опер.рас ПП'!qwertyu</definedName>
    <definedName name="qwertyu" localSheetId="50">'[3]5.2-опер.рас ПП'!qwertyu</definedName>
    <definedName name="qwertyu" localSheetId="96">'[3]5.2-опер.рас ПП'!qwertyu</definedName>
    <definedName name="qwertyu" localSheetId="93">'[3]5.2-опер.рас ПП'!qwertyu</definedName>
    <definedName name="qwertyu" localSheetId="99">'[3]5.2-опер.рас ПП'!qwertyu</definedName>
    <definedName name="qwertyu" localSheetId="95">'[3]5.2-опер.рас ПП'!qwertyu</definedName>
    <definedName name="qwertyu" localSheetId="92">'[3]5.2-опер.рас ПП'!qwertyu</definedName>
    <definedName name="qwertyu" localSheetId="98">'[3]5.2-опер.рас ПП'!qwertyu</definedName>
    <definedName name="qwertyu" localSheetId="94">'[3]5.2-опер.рас ПП'!qwertyu</definedName>
    <definedName name="qwertyu" localSheetId="91">'[3]5.2-опер.рас ПП'!qwertyu</definedName>
    <definedName name="qwertyu" localSheetId="97">'[3]5.2-опер.рас ПП'!qwertyu</definedName>
    <definedName name="qwertyu" localSheetId="103">'[3]5.2-опер.рас ПП'!qwertyu</definedName>
    <definedName name="qwertyu" localSheetId="101">'[3]5.2-опер.рас ПП'!qwertyu</definedName>
    <definedName name="qwertyu" localSheetId="106">'[3]5.2-опер.рас ПП'!qwertyu</definedName>
    <definedName name="qwertyu" localSheetId="102">'[3]5.2-опер.рас ПП'!qwertyu</definedName>
    <definedName name="qwertyu" localSheetId="100">'[3]5.2-опер.рас ПП'!qwertyu</definedName>
    <definedName name="qwertyu" localSheetId="105">'[3]5.2-опер.рас ПП'!qwertyu</definedName>
    <definedName name="qwertyu" localSheetId="104">'[3]5.2-опер.рас ПП'!qwertyu</definedName>
    <definedName name="qwertyu" localSheetId="110">'[3]5.2-опер.рас ПП'!qwertyu</definedName>
    <definedName name="qwertyu" localSheetId="107">'[3]5.2-опер.рас ПП'!qwertyu</definedName>
    <definedName name="qwertyu" localSheetId="113">'[3]5.2-опер.рас ПП'!qwertyu</definedName>
    <definedName name="qwertyu" localSheetId="115">'[3]5.2-опер.рас ПП'!qwertyu</definedName>
    <definedName name="qwertyu" localSheetId="114">'[3]5.2-опер.рас ПП'!qwertyu</definedName>
    <definedName name="qwertyu" localSheetId="112">'[3]5.2-опер.рас ПП'!qwertyu</definedName>
    <definedName name="qwertyu" localSheetId="109">'[3]5.2-опер.рас ПП'!qwertyu</definedName>
    <definedName name="qwertyu" localSheetId="111">'[3]5.2-опер.рас ПП'!qwertyu</definedName>
    <definedName name="qwertyu" localSheetId="108">'[3]5.2-опер.рас ПП'!qwertyu</definedName>
    <definedName name="qwertyu" localSheetId="122">'[3]5.2-опер.рас ПП'!qwertyu</definedName>
    <definedName name="qwertyu" localSheetId="116">'[3]5.2-опер.рас ПП'!qwertyu</definedName>
    <definedName name="qwertyu" localSheetId="125">'[3]5.2-опер.рас ПП'!qwertyu</definedName>
    <definedName name="qwertyu" localSheetId="127">'[3]5.2-опер.рас ПП'!qwertyu</definedName>
    <definedName name="qwertyu" localSheetId="126">'[3]5.2-опер.рас ПП'!qwertyu</definedName>
    <definedName name="qwertyu" localSheetId="124">'[3]5.2-опер.рас ПП'!qwertyu</definedName>
    <definedName name="qwertyu" localSheetId="118">'[3]5.2-опер.рас ПП'!qwertyu</definedName>
    <definedName name="qwertyu" localSheetId="123">'[3]5.2-опер.рас ПП'!qwertyu</definedName>
    <definedName name="qwertyu" localSheetId="117">'[3]5.2-опер.рас ПП'!qwertyu</definedName>
    <definedName name="qwertyu" localSheetId="119">'[3]5.2-опер.рас ПП'!qwertyu</definedName>
    <definedName name="qwertyu" localSheetId="120">'[3]5.2-опер.рас ПП'!qwertyu</definedName>
    <definedName name="qwertyu" localSheetId="121">'[3]5.2-опер.рас ПП'!qwertyu</definedName>
    <definedName name="qwertyu" localSheetId="129">'[3]5.2-опер.рас ПП'!qwertyu</definedName>
    <definedName name="qwertyu" localSheetId="128">'[3]5.2-опер.рас ПП'!qwertyu</definedName>
    <definedName name="qwertyu" localSheetId="130">'[3]5.2-опер.рас ПП'!qwertyu</definedName>
    <definedName name="qwertyu" localSheetId="133">'[3]5.2-опер.рас ПП'!qwertyu</definedName>
    <definedName name="qwertyu" localSheetId="132">'[3]5.2-опер.рас ПП'!qwertyu</definedName>
    <definedName name="qwertyu" localSheetId="136">'[3]5.2-опер.рас ПП'!qwertyu</definedName>
    <definedName name="qwertyu" localSheetId="134">'[3]5.2-опер.рас ПП'!qwertyu</definedName>
    <definedName name="qwertyu" localSheetId="139">'[3]5.2-опер.рас ПП'!qwertyu</definedName>
    <definedName name="qwertyu" localSheetId="137">'[3]5.2-опер.рас ПП'!qwertyu</definedName>
    <definedName name="qwertyu" localSheetId="142">'[3]5.2-опер.рас ПП'!qwertyu</definedName>
    <definedName name="qwertyu" localSheetId="141">'[3]5.2-опер.рас ПП'!qwertyu</definedName>
    <definedName name="qwertyu" localSheetId="140">'[3]5.2-опер.рас ПП'!qwertyu</definedName>
    <definedName name="qwertyu" localSheetId="145">'[3]5.2-опер.рас ПП'!qwertyu</definedName>
    <definedName name="qwertyu" localSheetId="143">'[3]5.2-опер.рас ПП'!qwertyu</definedName>
    <definedName name="qwertyu" localSheetId="150">'[3]5.2-опер.рас ПП'!qwertyu</definedName>
    <definedName name="qwertyu" localSheetId="158">'[3]5.2-опер.рас ПП'!qwertyu</definedName>
    <definedName name="qwertyu" localSheetId="157">'[3]5.2-опер.рас ПП'!qwertyu</definedName>
    <definedName name="qwertyu" localSheetId="156">'[3]5.2-опер.рас ПП'!qwertyu</definedName>
    <definedName name="qwertyu" localSheetId="146">'[3]5.2-опер.рас ПП'!qwertyu</definedName>
    <definedName name="qwertyu" localSheetId="89">'[3]5.2-опер.рас ПП'!qwertyu</definedName>
    <definedName name="qwertyu" localSheetId="90">'[3]5.2-опер.рас ПП'!qwertyu</definedName>
    <definedName name="qwertyu" localSheetId="2">'[4]5.2-опер.рас ПП'!qwertyu</definedName>
    <definedName name="qwertyu" localSheetId="1">'[4]5.2-опер.рас ПП'!qwertyu</definedName>
    <definedName name="qwertyu">'[3]5.2-опер.рас ПП'!qwertyu</definedName>
    <definedName name="qwertyui" localSheetId="19">'[3]5.2-опер.рас ПП'!qwertyui</definedName>
    <definedName name="qwertyui" localSheetId="17">'[3]5.2-опер.рас ПП'!qwertyui</definedName>
    <definedName name="qwertyui" localSheetId="45">'4. 7_котельн.'!qwertyui</definedName>
    <definedName name="qwertyui" localSheetId="44">'4. 7_КТЭЦ'!qwertyui</definedName>
    <definedName name="qwertyui" localSheetId="3">'[3]5.2-опер.рас ПП'!qwertyui</definedName>
    <definedName name="qwertyui" localSheetId="78">'[3]5.2-опер.рас ПП'!qwertyui</definedName>
    <definedName name="qwertyui" localSheetId="65">'[3]5.2-опер.рас ПП'!qwertyui</definedName>
    <definedName name="qwertyui" localSheetId="75">'[3]5.2-опер.рас ПП'!qwertyui</definedName>
    <definedName name="qwertyui" localSheetId="70">'[3]5.2-опер.рас ПП'!qwertyui</definedName>
    <definedName name="qwertyui" localSheetId="79">'[3]5.2-опер.рас ПП'!qwertyui</definedName>
    <definedName name="qwertyui" localSheetId="82">'[3]5.2-опер.рас ПП'!qwertyui</definedName>
    <definedName name="qwertyui" localSheetId="12">'[3]5.2-опер.рас ПП'!qwertyui</definedName>
    <definedName name="qwertyui" localSheetId="11">'[3]5.2-опер.рас ПП'!qwertyui</definedName>
    <definedName name="qwertyui" localSheetId="20">'[4]5.2-опер.рас ПП'!qwertyui</definedName>
    <definedName name="qwertyui" localSheetId="28">'[3]5.2-опер.рас ПП'!qwertyui</definedName>
    <definedName name="qwertyui" localSheetId="38">'[3]5.2-опер.рас ПП'!qwertyui</definedName>
    <definedName name="qwertyui" localSheetId="26">'[3]5.2-опер.рас ПП'!qwertyui</definedName>
    <definedName name="qwertyui" localSheetId="34">'[3]5.2-опер.рас ПП'!qwertyui</definedName>
    <definedName name="qwertyui" localSheetId="32">'[3]5.2-опер.рас ПП'!qwertyui</definedName>
    <definedName name="qwertyui" localSheetId="23">'[3]5.2-опер.рас ПП'!qwertyui</definedName>
    <definedName name="qwertyui" localSheetId="41">'[3]5.2-опер.рас ПП'!qwertyui</definedName>
    <definedName name="qwertyui" localSheetId="31">'[3]5.2-опер.рас ПП'!qwertyui</definedName>
    <definedName name="qwertyui" localSheetId="30">'[3]5.2-опер.рас ПП'!qwertyui</definedName>
    <definedName name="qwertyui" localSheetId="47">'[4]5.2-опер.рас ПП'!qwertyui</definedName>
    <definedName name="qwertyui" localSheetId="46">'[4]5.2-опер.рас ПП'!qwertyui</definedName>
    <definedName name="qwertyui" localSheetId="52">'[3]5.2-опер.рас ПП'!qwertyui</definedName>
    <definedName name="qwertyui" localSheetId="62">'[3]5.2-опер.рас ПП'!qwertyui</definedName>
    <definedName name="qwertyui" localSheetId="57">'[3]5.2-опер.рас ПП'!qwertyui</definedName>
    <definedName name="qwertyui" localSheetId="51">'[3]5.2-опер.рас ПП'!qwertyui</definedName>
    <definedName name="qwertyui" localSheetId="61">'[3]5.2-опер.рас ПП'!qwertyui</definedName>
    <definedName name="qwertyui" localSheetId="56">'[3]5.2-опер.рас ПП'!qwertyui</definedName>
    <definedName name="qwertyui" localSheetId="60">'[3]5.2-опер.рас ПП'!qwertyui</definedName>
    <definedName name="qwertyui" localSheetId="55">'[3]5.2-опер.рас ПП'!qwertyui</definedName>
    <definedName name="qwertyui" localSheetId="50">'[3]5.2-опер.рас ПП'!qwertyui</definedName>
    <definedName name="qwertyui" localSheetId="96">'[3]5.2-опер.рас ПП'!qwertyui</definedName>
    <definedName name="qwertyui" localSheetId="93">'[3]5.2-опер.рас ПП'!qwertyui</definedName>
    <definedName name="qwertyui" localSheetId="99">'[3]5.2-опер.рас ПП'!qwertyui</definedName>
    <definedName name="qwertyui" localSheetId="95">'[3]5.2-опер.рас ПП'!qwertyui</definedName>
    <definedName name="qwertyui" localSheetId="92">'[3]5.2-опер.рас ПП'!qwertyui</definedName>
    <definedName name="qwertyui" localSheetId="98">'[3]5.2-опер.рас ПП'!qwertyui</definedName>
    <definedName name="qwertyui" localSheetId="94">'[3]5.2-опер.рас ПП'!qwertyui</definedName>
    <definedName name="qwertyui" localSheetId="91">'[3]5.2-опер.рас ПП'!qwertyui</definedName>
    <definedName name="qwertyui" localSheetId="97">'[3]5.2-опер.рас ПП'!qwertyui</definedName>
    <definedName name="qwertyui" localSheetId="103">'[3]5.2-опер.рас ПП'!qwertyui</definedName>
    <definedName name="qwertyui" localSheetId="101">'[3]5.2-опер.рас ПП'!qwertyui</definedName>
    <definedName name="qwertyui" localSheetId="106">'[3]5.2-опер.рас ПП'!qwertyui</definedName>
    <definedName name="qwertyui" localSheetId="102">'[3]5.2-опер.рас ПП'!qwertyui</definedName>
    <definedName name="qwertyui" localSheetId="100">'[3]5.2-опер.рас ПП'!qwertyui</definedName>
    <definedName name="qwertyui" localSheetId="105">'[3]5.2-опер.рас ПП'!qwertyui</definedName>
    <definedName name="qwertyui" localSheetId="104">'[3]5.2-опер.рас ПП'!qwertyui</definedName>
    <definedName name="qwertyui" localSheetId="110">'[3]5.2-опер.рас ПП'!qwertyui</definedName>
    <definedName name="qwertyui" localSheetId="107">'[3]5.2-опер.рас ПП'!qwertyui</definedName>
    <definedName name="qwertyui" localSheetId="113">'[3]5.2-опер.рас ПП'!qwertyui</definedName>
    <definedName name="qwertyui" localSheetId="115">'[3]5.2-опер.рас ПП'!qwertyui</definedName>
    <definedName name="qwertyui" localSheetId="114">'[3]5.2-опер.рас ПП'!qwertyui</definedName>
    <definedName name="qwertyui" localSheetId="112">'[3]5.2-опер.рас ПП'!qwertyui</definedName>
    <definedName name="qwertyui" localSheetId="109">'[3]5.2-опер.рас ПП'!qwertyui</definedName>
    <definedName name="qwertyui" localSheetId="111">'[3]5.2-опер.рас ПП'!qwertyui</definedName>
    <definedName name="qwertyui" localSheetId="108">'[3]5.2-опер.рас ПП'!qwertyui</definedName>
    <definedName name="qwertyui" localSheetId="122">'[3]5.2-опер.рас ПП'!qwertyui</definedName>
    <definedName name="qwertyui" localSheetId="116">'[3]5.2-опер.рас ПП'!qwertyui</definedName>
    <definedName name="qwertyui" localSheetId="125">'[3]5.2-опер.рас ПП'!qwertyui</definedName>
    <definedName name="qwertyui" localSheetId="127">'[3]5.2-опер.рас ПП'!qwertyui</definedName>
    <definedName name="qwertyui" localSheetId="126">'[3]5.2-опер.рас ПП'!qwertyui</definedName>
    <definedName name="qwertyui" localSheetId="124">'[3]5.2-опер.рас ПП'!qwertyui</definedName>
    <definedName name="qwertyui" localSheetId="118">'[3]5.2-опер.рас ПП'!qwertyui</definedName>
    <definedName name="qwertyui" localSheetId="123">'[3]5.2-опер.рас ПП'!qwertyui</definedName>
    <definedName name="qwertyui" localSheetId="117">'[3]5.2-опер.рас ПП'!qwertyui</definedName>
    <definedName name="qwertyui" localSheetId="119">'[3]5.2-опер.рас ПП'!qwertyui</definedName>
    <definedName name="qwertyui" localSheetId="120">'[3]5.2-опер.рас ПП'!qwertyui</definedName>
    <definedName name="qwertyui" localSheetId="121">'[3]5.2-опер.рас ПП'!qwertyui</definedName>
    <definedName name="qwertyui" localSheetId="129">'[3]5.2-опер.рас ПП'!qwertyui</definedName>
    <definedName name="qwertyui" localSheetId="128">'[3]5.2-опер.рас ПП'!qwertyui</definedName>
    <definedName name="qwertyui" localSheetId="130">'[3]5.2-опер.рас ПП'!qwertyui</definedName>
    <definedName name="qwertyui" localSheetId="133">'[3]5.2-опер.рас ПП'!qwertyui</definedName>
    <definedName name="qwertyui" localSheetId="132">'[3]5.2-опер.рас ПП'!qwertyui</definedName>
    <definedName name="qwertyui" localSheetId="136">'[3]5.2-опер.рас ПП'!qwertyui</definedName>
    <definedName name="qwertyui" localSheetId="134">'[3]5.2-опер.рас ПП'!qwertyui</definedName>
    <definedName name="qwertyui" localSheetId="139">'[3]5.2-опер.рас ПП'!qwertyui</definedName>
    <definedName name="qwertyui" localSheetId="137">'[3]5.2-опер.рас ПП'!qwertyui</definedName>
    <definedName name="qwertyui" localSheetId="142">'[3]5.2-опер.рас ПП'!qwertyui</definedName>
    <definedName name="qwertyui" localSheetId="141">'[3]5.2-опер.рас ПП'!qwertyui</definedName>
    <definedName name="qwertyui" localSheetId="140">'[3]5.2-опер.рас ПП'!qwertyui</definedName>
    <definedName name="qwertyui" localSheetId="145">'[3]5.2-опер.рас ПП'!qwertyui</definedName>
    <definedName name="qwertyui" localSheetId="143">'[3]5.2-опер.рас ПП'!qwertyui</definedName>
    <definedName name="qwertyui" localSheetId="150">'[3]5.2-опер.рас ПП'!qwertyui</definedName>
    <definedName name="qwertyui" localSheetId="158">'[3]5.2-опер.рас ПП'!qwertyui</definedName>
    <definedName name="qwertyui" localSheetId="157">'[3]5.2-опер.рас ПП'!qwertyui</definedName>
    <definedName name="qwertyui" localSheetId="156">'[3]5.2-опер.рас ПП'!qwertyui</definedName>
    <definedName name="qwertyui" localSheetId="146">'[3]5.2-опер.рас ПП'!qwertyui</definedName>
    <definedName name="qwertyui" localSheetId="89">'[3]5.2-опер.рас ПП'!qwertyui</definedName>
    <definedName name="qwertyui" localSheetId="90">'[3]5.2-опер.рас ПП'!qwertyui</definedName>
    <definedName name="qwertyui" localSheetId="2">'[4]5.2-опер.рас ПП'!qwertyui</definedName>
    <definedName name="qwertyui" localSheetId="1">'[4]5.2-опер.рас ПП'!qwertyui</definedName>
    <definedName name="qwertyui">'[3]5.2-опер.рас ПП'!qwertyui</definedName>
    <definedName name="qwsde" localSheetId="19">'[3]5.2-опер.рас ПП'!qwsde</definedName>
    <definedName name="qwsde" localSheetId="17">'[3]5.2-опер.рас ПП'!qwsde</definedName>
    <definedName name="qwsde" localSheetId="45">'4. 7_котельн.'!qwsde</definedName>
    <definedName name="qwsde" localSheetId="44">'4. 7_КТЭЦ'!qwsde</definedName>
    <definedName name="qwsde" localSheetId="3">'[3]5.2-опер.рас ПП'!qwsde</definedName>
    <definedName name="qwsde" localSheetId="78">'[3]5.2-опер.рас ПП'!qwsde</definedName>
    <definedName name="qwsde" localSheetId="65">'[3]5.2-опер.рас ПП'!qwsde</definedName>
    <definedName name="qwsde" localSheetId="75">'[3]5.2-опер.рас ПП'!qwsde</definedName>
    <definedName name="qwsde" localSheetId="70">'[3]5.2-опер.рас ПП'!qwsde</definedName>
    <definedName name="qwsde" localSheetId="79">'[3]5.2-опер.рас ПП'!qwsde</definedName>
    <definedName name="qwsde" localSheetId="82">'[3]5.2-опер.рас ПП'!qwsde</definedName>
    <definedName name="qwsde" localSheetId="12">'[3]5.2-опер.рас ПП'!qwsde</definedName>
    <definedName name="qwsde" localSheetId="11">'[3]5.2-опер.рас ПП'!qwsde</definedName>
    <definedName name="qwsde" localSheetId="20">'[4]5.2-опер.рас ПП'!qwsde</definedName>
    <definedName name="qwsde" localSheetId="28">'[3]5.2-опер.рас ПП'!qwsde</definedName>
    <definedName name="qwsde" localSheetId="38">'[3]5.2-опер.рас ПП'!qwsde</definedName>
    <definedName name="qwsde" localSheetId="26">'[3]5.2-опер.рас ПП'!qwsde</definedName>
    <definedName name="qwsde" localSheetId="34">'[3]5.2-опер.рас ПП'!qwsde</definedName>
    <definedName name="qwsde" localSheetId="32">'[3]5.2-опер.рас ПП'!qwsde</definedName>
    <definedName name="qwsde" localSheetId="23">'[3]5.2-опер.рас ПП'!qwsde</definedName>
    <definedName name="qwsde" localSheetId="41">'[3]5.2-опер.рас ПП'!qwsde</definedName>
    <definedName name="qwsde" localSheetId="31">'[3]5.2-опер.рас ПП'!qwsde</definedName>
    <definedName name="qwsde" localSheetId="30">'[3]5.2-опер.рас ПП'!qwsde</definedName>
    <definedName name="qwsde" localSheetId="47">'[4]5.2-опер.рас ПП'!qwsde</definedName>
    <definedName name="qwsde" localSheetId="46">'[4]5.2-опер.рас ПП'!qwsde</definedName>
    <definedName name="qwsde" localSheetId="52">'[3]5.2-опер.рас ПП'!qwsde</definedName>
    <definedName name="qwsde" localSheetId="62">'[3]5.2-опер.рас ПП'!qwsde</definedName>
    <definedName name="qwsde" localSheetId="57">'[3]5.2-опер.рас ПП'!qwsde</definedName>
    <definedName name="qwsde" localSheetId="51">'[3]5.2-опер.рас ПП'!qwsde</definedName>
    <definedName name="qwsde" localSheetId="61">'[3]5.2-опер.рас ПП'!qwsde</definedName>
    <definedName name="qwsde" localSheetId="56">'[3]5.2-опер.рас ПП'!qwsde</definedName>
    <definedName name="qwsde" localSheetId="60">'[3]5.2-опер.рас ПП'!qwsde</definedName>
    <definedName name="qwsde" localSheetId="55">'[3]5.2-опер.рас ПП'!qwsde</definedName>
    <definedName name="qwsde" localSheetId="50">'[3]5.2-опер.рас ПП'!qwsde</definedName>
    <definedName name="qwsde" localSheetId="96">'[3]5.2-опер.рас ПП'!qwsde</definedName>
    <definedName name="qwsde" localSheetId="93">'[3]5.2-опер.рас ПП'!qwsde</definedName>
    <definedName name="qwsde" localSheetId="99">'[3]5.2-опер.рас ПП'!qwsde</definedName>
    <definedName name="qwsde" localSheetId="95">'[3]5.2-опер.рас ПП'!qwsde</definedName>
    <definedName name="qwsde" localSheetId="92">'[3]5.2-опер.рас ПП'!qwsde</definedName>
    <definedName name="qwsde" localSheetId="98">'[3]5.2-опер.рас ПП'!qwsde</definedName>
    <definedName name="qwsde" localSheetId="94">'[3]5.2-опер.рас ПП'!qwsde</definedName>
    <definedName name="qwsde" localSheetId="91">'[3]5.2-опер.рас ПП'!qwsde</definedName>
    <definedName name="qwsde" localSheetId="97">'[3]5.2-опер.рас ПП'!qwsde</definedName>
    <definedName name="qwsde" localSheetId="103">'[3]5.2-опер.рас ПП'!qwsde</definedName>
    <definedName name="qwsde" localSheetId="101">'[3]5.2-опер.рас ПП'!qwsde</definedName>
    <definedName name="qwsde" localSheetId="106">'[3]5.2-опер.рас ПП'!qwsde</definedName>
    <definedName name="qwsde" localSheetId="102">'[3]5.2-опер.рас ПП'!qwsde</definedName>
    <definedName name="qwsde" localSheetId="100">'[3]5.2-опер.рас ПП'!qwsde</definedName>
    <definedName name="qwsde" localSheetId="105">'[3]5.2-опер.рас ПП'!qwsde</definedName>
    <definedName name="qwsde" localSheetId="104">'[3]5.2-опер.рас ПП'!qwsde</definedName>
    <definedName name="qwsde" localSheetId="110">'[3]5.2-опер.рас ПП'!qwsde</definedName>
    <definedName name="qwsde" localSheetId="107">'[3]5.2-опер.рас ПП'!qwsde</definedName>
    <definedName name="qwsde" localSheetId="113">'[3]5.2-опер.рас ПП'!qwsde</definedName>
    <definedName name="qwsde" localSheetId="115">'[3]5.2-опер.рас ПП'!qwsde</definedName>
    <definedName name="qwsde" localSheetId="114">'[3]5.2-опер.рас ПП'!qwsde</definedName>
    <definedName name="qwsde" localSheetId="112">'[3]5.2-опер.рас ПП'!qwsde</definedName>
    <definedName name="qwsde" localSheetId="109">'[3]5.2-опер.рас ПП'!qwsde</definedName>
    <definedName name="qwsde" localSheetId="111">'[3]5.2-опер.рас ПП'!qwsde</definedName>
    <definedName name="qwsde" localSheetId="108">'[3]5.2-опер.рас ПП'!qwsde</definedName>
    <definedName name="qwsde" localSheetId="122">'[3]5.2-опер.рас ПП'!qwsde</definedName>
    <definedName name="qwsde" localSheetId="116">'[3]5.2-опер.рас ПП'!qwsde</definedName>
    <definedName name="qwsde" localSheetId="125">'[3]5.2-опер.рас ПП'!qwsde</definedName>
    <definedName name="qwsde" localSheetId="127">'[3]5.2-опер.рас ПП'!qwsde</definedName>
    <definedName name="qwsde" localSheetId="126">'[3]5.2-опер.рас ПП'!qwsde</definedName>
    <definedName name="qwsde" localSheetId="124">'[3]5.2-опер.рас ПП'!qwsde</definedName>
    <definedName name="qwsde" localSheetId="118">'[3]5.2-опер.рас ПП'!qwsde</definedName>
    <definedName name="qwsde" localSheetId="123">'[3]5.2-опер.рас ПП'!qwsde</definedName>
    <definedName name="qwsde" localSheetId="117">'[3]5.2-опер.рас ПП'!qwsde</definedName>
    <definedName name="qwsde" localSheetId="119">'[3]5.2-опер.рас ПП'!qwsde</definedName>
    <definedName name="qwsde" localSheetId="120">'[3]5.2-опер.рас ПП'!qwsde</definedName>
    <definedName name="qwsde" localSheetId="121">'[3]5.2-опер.рас ПП'!qwsde</definedName>
    <definedName name="qwsde" localSheetId="129">'[3]5.2-опер.рас ПП'!qwsde</definedName>
    <definedName name="qwsde" localSheetId="128">'[3]5.2-опер.рас ПП'!qwsde</definedName>
    <definedName name="qwsde" localSheetId="130">'[3]5.2-опер.рас ПП'!qwsde</definedName>
    <definedName name="qwsde" localSheetId="133">'[3]5.2-опер.рас ПП'!qwsde</definedName>
    <definedName name="qwsde" localSheetId="132">'[3]5.2-опер.рас ПП'!qwsde</definedName>
    <definedName name="qwsde" localSheetId="136">'[3]5.2-опер.рас ПП'!qwsde</definedName>
    <definedName name="qwsde" localSheetId="134">'[3]5.2-опер.рас ПП'!qwsde</definedName>
    <definedName name="qwsde" localSheetId="139">'[3]5.2-опер.рас ПП'!qwsde</definedName>
    <definedName name="qwsde" localSheetId="137">'[3]5.2-опер.рас ПП'!qwsde</definedName>
    <definedName name="qwsde" localSheetId="142">'[3]5.2-опер.рас ПП'!qwsde</definedName>
    <definedName name="qwsde" localSheetId="141">'[3]5.2-опер.рас ПП'!qwsde</definedName>
    <definedName name="qwsde" localSheetId="140">'[3]5.2-опер.рас ПП'!qwsde</definedName>
    <definedName name="qwsde" localSheetId="145">'[3]5.2-опер.рас ПП'!qwsde</definedName>
    <definedName name="qwsde" localSheetId="143">'[3]5.2-опер.рас ПП'!qwsde</definedName>
    <definedName name="qwsde" localSheetId="150">'[3]5.2-опер.рас ПП'!qwsde</definedName>
    <definedName name="qwsde" localSheetId="158">'[3]5.2-опер.рас ПП'!qwsde</definedName>
    <definedName name="qwsde" localSheetId="157">'[3]5.2-опер.рас ПП'!qwsde</definedName>
    <definedName name="qwsde" localSheetId="156">'[3]5.2-опер.рас ПП'!qwsde</definedName>
    <definedName name="qwsde" localSheetId="146">'[3]5.2-опер.рас ПП'!qwsde</definedName>
    <definedName name="qwsde" localSheetId="89">'[3]5.2-опер.рас ПП'!qwsde</definedName>
    <definedName name="qwsde" localSheetId="90">'[3]5.2-опер.рас ПП'!qwsde</definedName>
    <definedName name="qwsde" localSheetId="2">'[4]5.2-опер.рас ПП'!qwsde</definedName>
    <definedName name="qwsde" localSheetId="1">'[4]5.2-опер.рас ПП'!qwsde</definedName>
    <definedName name="qwsde">'[3]5.2-опер.рас ПП'!qwsde</definedName>
    <definedName name="qwxxd" localSheetId="19">'[3]5.2-опер.рас ПП'!qwxxd</definedName>
    <definedName name="qwxxd" localSheetId="17">'[3]5.2-опер.рас ПП'!qwxxd</definedName>
    <definedName name="qwxxd" localSheetId="45">'4. 7_котельн.'!qwxxd</definedName>
    <definedName name="qwxxd" localSheetId="44">'4. 7_КТЭЦ'!qwxxd</definedName>
    <definedName name="qwxxd" localSheetId="3">'[3]5.2-опер.рас ПП'!qwxxd</definedName>
    <definedName name="qwxxd" localSheetId="78">'[3]5.2-опер.рас ПП'!qwxxd</definedName>
    <definedName name="qwxxd" localSheetId="65">'[3]5.2-опер.рас ПП'!qwxxd</definedName>
    <definedName name="qwxxd" localSheetId="75">'[3]5.2-опер.рас ПП'!qwxxd</definedName>
    <definedName name="qwxxd" localSheetId="70">'[3]5.2-опер.рас ПП'!qwxxd</definedName>
    <definedName name="qwxxd" localSheetId="79">'[3]5.2-опер.рас ПП'!qwxxd</definedName>
    <definedName name="qwxxd" localSheetId="82">'[3]5.2-опер.рас ПП'!qwxxd</definedName>
    <definedName name="qwxxd" localSheetId="12">'[3]5.2-опер.рас ПП'!qwxxd</definedName>
    <definedName name="qwxxd" localSheetId="11">'[3]5.2-опер.рас ПП'!qwxxd</definedName>
    <definedName name="qwxxd" localSheetId="20">'[4]5.2-опер.рас ПП'!qwxxd</definedName>
    <definedName name="qwxxd" localSheetId="28">'[3]5.2-опер.рас ПП'!qwxxd</definedName>
    <definedName name="qwxxd" localSheetId="38">'[3]5.2-опер.рас ПП'!qwxxd</definedName>
    <definedName name="qwxxd" localSheetId="26">'[3]5.2-опер.рас ПП'!qwxxd</definedName>
    <definedName name="qwxxd" localSheetId="34">'[3]5.2-опер.рас ПП'!qwxxd</definedName>
    <definedName name="qwxxd" localSheetId="32">'[3]5.2-опер.рас ПП'!qwxxd</definedName>
    <definedName name="qwxxd" localSheetId="23">'[3]5.2-опер.рас ПП'!qwxxd</definedName>
    <definedName name="qwxxd" localSheetId="41">'[3]5.2-опер.рас ПП'!qwxxd</definedName>
    <definedName name="qwxxd" localSheetId="31">'[3]5.2-опер.рас ПП'!qwxxd</definedName>
    <definedName name="qwxxd" localSheetId="30">'[3]5.2-опер.рас ПП'!qwxxd</definedName>
    <definedName name="qwxxd" localSheetId="47">'[4]5.2-опер.рас ПП'!qwxxd</definedName>
    <definedName name="qwxxd" localSheetId="46">'[4]5.2-опер.рас ПП'!qwxxd</definedName>
    <definedName name="qwxxd" localSheetId="52">'[3]5.2-опер.рас ПП'!qwxxd</definedName>
    <definedName name="qwxxd" localSheetId="62">'[3]5.2-опер.рас ПП'!qwxxd</definedName>
    <definedName name="qwxxd" localSheetId="57">'[3]5.2-опер.рас ПП'!qwxxd</definedName>
    <definedName name="qwxxd" localSheetId="51">'[3]5.2-опер.рас ПП'!qwxxd</definedName>
    <definedName name="qwxxd" localSheetId="61">'[3]5.2-опер.рас ПП'!qwxxd</definedName>
    <definedName name="qwxxd" localSheetId="56">'[3]5.2-опер.рас ПП'!qwxxd</definedName>
    <definedName name="qwxxd" localSheetId="60">'[3]5.2-опер.рас ПП'!qwxxd</definedName>
    <definedName name="qwxxd" localSheetId="55">'[3]5.2-опер.рас ПП'!qwxxd</definedName>
    <definedName name="qwxxd" localSheetId="50">'[3]5.2-опер.рас ПП'!qwxxd</definedName>
    <definedName name="qwxxd" localSheetId="96">'[3]5.2-опер.рас ПП'!qwxxd</definedName>
    <definedName name="qwxxd" localSheetId="93">'[3]5.2-опер.рас ПП'!qwxxd</definedName>
    <definedName name="qwxxd" localSheetId="99">'[3]5.2-опер.рас ПП'!qwxxd</definedName>
    <definedName name="qwxxd" localSheetId="95">'[3]5.2-опер.рас ПП'!qwxxd</definedName>
    <definedName name="qwxxd" localSheetId="92">'[3]5.2-опер.рас ПП'!qwxxd</definedName>
    <definedName name="qwxxd" localSheetId="98">'[3]5.2-опер.рас ПП'!qwxxd</definedName>
    <definedName name="qwxxd" localSheetId="94">'[3]5.2-опер.рас ПП'!qwxxd</definedName>
    <definedName name="qwxxd" localSheetId="91">'[3]5.2-опер.рас ПП'!qwxxd</definedName>
    <definedName name="qwxxd" localSheetId="97">'[3]5.2-опер.рас ПП'!qwxxd</definedName>
    <definedName name="qwxxd" localSheetId="103">'[3]5.2-опер.рас ПП'!qwxxd</definedName>
    <definedName name="qwxxd" localSheetId="101">'[3]5.2-опер.рас ПП'!qwxxd</definedName>
    <definedName name="qwxxd" localSheetId="106">'[3]5.2-опер.рас ПП'!qwxxd</definedName>
    <definedName name="qwxxd" localSheetId="102">'[3]5.2-опер.рас ПП'!qwxxd</definedName>
    <definedName name="qwxxd" localSheetId="100">'[3]5.2-опер.рас ПП'!qwxxd</definedName>
    <definedName name="qwxxd" localSheetId="105">'[3]5.2-опер.рас ПП'!qwxxd</definedName>
    <definedName name="qwxxd" localSheetId="104">'[3]5.2-опер.рас ПП'!qwxxd</definedName>
    <definedName name="qwxxd" localSheetId="110">'[3]5.2-опер.рас ПП'!qwxxd</definedName>
    <definedName name="qwxxd" localSheetId="107">'[3]5.2-опер.рас ПП'!qwxxd</definedName>
    <definedName name="qwxxd" localSheetId="113">'[3]5.2-опер.рас ПП'!qwxxd</definedName>
    <definedName name="qwxxd" localSheetId="115">'[3]5.2-опер.рас ПП'!qwxxd</definedName>
    <definedName name="qwxxd" localSheetId="114">'[3]5.2-опер.рас ПП'!qwxxd</definedName>
    <definedName name="qwxxd" localSheetId="112">'[3]5.2-опер.рас ПП'!qwxxd</definedName>
    <definedName name="qwxxd" localSheetId="109">'[3]5.2-опер.рас ПП'!qwxxd</definedName>
    <definedName name="qwxxd" localSheetId="111">'[3]5.2-опер.рас ПП'!qwxxd</definedName>
    <definedName name="qwxxd" localSheetId="108">'[3]5.2-опер.рас ПП'!qwxxd</definedName>
    <definedName name="qwxxd" localSheetId="122">'[3]5.2-опер.рас ПП'!qwxxd</definedName>
    <definedName name="qwxxd" localSheetId="116">'[3]5.2-опер.рас ПП'!qwxxd</definedName>
    <definedName name="qwxxd" localSheetId="125">'[3]5.2-опер.рас ПП'!qwxxd</definedName>
    <definedName name="qwxxd" localSheetId="127">'[3]5.2-опер.рас ПП'!qwxxd</definedName>
    <definedName name="qwxxd" localSheetId="126">'[3]5.2-опер.рас ПП'!qwxxd</definedName>
    <definedName name="qwxxd" localSheetId="124">'[3]5.2-опер.рас ПП'!qwxxd</definedName>
    <definedName name="qwxxd" localSheetId="118">'[3]5.2-опер.рас ПП'!qwxxd</definedName>
    <definedName name="qwxxd" localSheetId="123">'[3]5.2-опер.рас ПП'!qwxxd</definedName>
    <definedName name="qwxxd" localSheetId="117">'[3]5.2-опер.рас ПП'!qwxxd</definedName>
    <definedName name="qwxxd" localSheetId="119">'[3]5.2-опер.рас ПП'!qwxxd</definedName>
    <definedName name="qwxxd" localSheetId="120">'[3]5.2-опер.рас ПП'!qwxxd</definedName>
    <definedName name="qwxxd" localSheetId="121">'[3]5.2-опер.рас ПП'!qwxxd</definedName>
    <definedName name="qwxxd" localSheetId="129">'[3]5.2-опер.рас ПП'!qwxxd</definedName>
    <definedName name="qwxxd" localSheetId="128">'[3]5.2-опер.рас ПП'!qwxxd</definedName>
    <definedName name="qwxxd" localSheetId="130">'[3]5.2-опер.рас ПП'!qwxxd</definedName>
    <definedName name="qwxxd" localSheetId="133">'[3]5.2-опер.рас ПП'!qwxxd</definedName>
    <definedName name="qwxxd" localSheetId="132">'[3]5.2-опер.рас ПП'!qwxxd</definedName>
    <definedName name="qwxxd" localSheetId="136">'[3]5.2-опер.рас ПП'!qwxxd</definedName>
    <definedName name="qwxxd" localSheetId="134">'[3]5.2-опер.рас ПП'!qwxxd</definedName>
    <definedName name="qwxxd" localSheetId="139">'[3]5.2-опер.рас ПП'!qwxxd</definedName>
    <definedName name="qwxxd" localSheetId="137">'[3]5.2-опер.рас ПП'!qwxxd</definedName>
    <definedName name="qwxxd" localSheetId="142">'[3]5.2-опер.рас ПП'!qwxxd</definedName>
    <definedName name="qwxxd" localSheetId="141">'[3]5.2-опер.рас ПП'!qwxxd</definedName>
    <definedName name="qwxxd" localSheetId="140">'[3]5.2-опер.рас ПП'!qwxxd</definedName>
    <definedName name="qwxxd" localSheetId="145">'[3]5.2-опер.рас ПП'!qwxxd</definedName>
    <definedName name="qwxxd" localSheetId="143">'[3]5.2-опер.рас ПП'!qwxxd</definedName>
    <definedName name="qwxxd" localSheetId="150">'[3]5.2-опер.рас ПП'!qwxxd</definedName>
    <definedName name="qwxxd" localSheetId="158">'[3]5.2-опер.рас ПП'!qwxxd</definedName>
    <definedName name="qwxxd" localSheetId="157">'[3]5.2-опер.рас ПП'!qwxxd</definedName>
    <definedName name="qwxxd" localSheetId="156">'[3]5.2-опер.рас ПП'!qwxxd</definedName>
    <definedName name="qwxxd" localSheetId="146">'[3]5.2-опер.рас ПП'!qwxxd</definedName>
    <definedName name="qwxxd" localSheetId="89">'[3]5.2-опер.рас ПП'!qwxxd</definedName>
    <definedName name="qwxxd" localSheetId="90">'[3]5.2-опер.рас ПП'!qwxxd</definedName>
    <definedName name="qwxxd" localSheetId="2">'[4]5.2-опер.рас ПП'!qwxxd</definedName>
    <definedName name="qwxxd" localSheetId="1">'[4]5.2-опер.рас ПП'!qwxxd</definedName>
    <definedName name="qwxxd">'[3]5.2-опер.рас ПП'!qwxxd</definedName>
    <definedName name="rr" localSheetId="19">'[3]5.2-опер.рас ПП'!rr</definedName>
    <definedName name="rr" localSheetId="17">'[3]5.2-опер.рас ПП'!rr</definedName>
    <definedName name="rr" localSheetId="45">'4. 7_котельн.'!rr</definedName>
    <definedName name="rr" localSheetId="44">'4. 7_КТЭЦ'!rr</definedName>
    <definedName name="rr" localSheetId="3">'[3]5.2-опер.рас ПП'!rr</definedName>
    <definedName name="rr" localSheetId="78">'[3]5.2-опер.рас ПП'!rr</definedName>
    <definedName name="rr" localSheetId="65">'[3]5.2-опер.рас ПП'!rr</definedName>
    <definedName name="rr" localSheetId="75">'[3]5.2-опер.рас ПП'!rr</definedName>
    <definedName name="rr" localSheetId="70">'[3]5.2-опер.рас ПП'!rr</definedName>
    <definedName name="rr" localSheetId="79">'[3]5.2-опер.рас ПП'!rr</definedName>
    <definedName name="rr" localSheetId="82">'[3]5.2-опер.рас ПП'!rr</definedName>
    <definedName name="rr" localSheetId="12">'[3]5.2-опер.рас ПП'!rr</definedName>
    <definedName name="rr" localSheetId="11">'[3]5.2-опер.рас ПП'!rr</definedName>
    <definedName name="rr" localSheetId="20">'[4]5.2-опер.рас ПП'!rr</definedName>
    <definedName name="rr" localSheetId="28">'[3]5.2-опер.рас ПП'!rr</definedName>
    <definedName name="rr" localSheetId="38">'[3]5.2-опер.рас ПП'!rr</definedName>
    <definedName name="rr" localSheetId="26">'[3]5.2-опер.рас ПП'!rr</definedName>
    <definedName name="rr" localSheetId="34">'[3]5.2-опер.рас ПП'!rr</definedName>
    <definedName name="rr" localSheetId="32">'[3]5.2-опер.рас ПП'!rr</definedName>
    <definedName name="rr" localSheetId="23">'[3]5.2-опер.рас ПП'!rr</definedName>
    <definedName name="rr" localSheetId="41">'[3]5.2-опер.рас ПП'!rr</definedName>
    <definedName name="rr" localSheetId="31">'[3]5.2-опер.рас ПП'!rr</definedName>
    <definedName name="rr" localSheetId="30">'[3]5.2-опер.рас ПП'!rr</definedName>
    <definedName name="rr" localSheetId="47">'[4]5.2-опер.рас ПП'!rr</definedName>
    <definedName name="rr" localSheetId="46">'[4]5.2-опер.рас ПП'!rr</definedName>
    <definedName name="rr" localSheetId="52">'[3]5.2-опер.рас ПП'!rr</definedName>
    <definedName name="rr" localSheetId="62">'[3]5.2-опер.рас ПП'!rr</definedName>
    <definedName name="rr" localSheetId="57">'[3]5.2-опер.рас ПП'!rr</definedName>
    <definedName name="rr" localSheetId="51">'[3]5.2-опер.рас ПП'!rr</definedName>
    <definedName name="rr" localSheetId="61">'[3]5.2-опер.рас ПП'!rr</definedName>
    <definedName name="rr" localSheetId="56">'[3]5.2-опер.рас ПП'!rr</definedName>
    <definedName name="rr" localSheetId="60">'[3]5.2-опер.рас ПП'!rr</definedName>
    <definedName name="rr" localSheetId="55">'[3]5.2-опер.рас ПП'!rr</definedName>
    <definedName name="rr" localSheetId="50">'[3]5.2-опер.рас ПП'!rr</definedName>
    <definedName name="rr" localSheetId="96">'[3]5.2-опер.рас ПП'!rr</definedName>
    <definedName name="rr" localSheetId="93">'[3]5.2-опер.рас ПП'!rr</definedName>
    <definedName name="rr" localSheetId="99">'[3]5.2-опер.рас ПП'!rr</definedName>
    <definedName name="rr" localSheetId="95">'[3]5.2-опер.рас ПП'!rr</definedName>
    <definedName name="rr" localSheetId="92">'[3]5.2-опер.рас ПП'!rr</definedName>
    <definedName name="rr" localSheetId="98">'[3]5.2-опер.рас ПП'!rr</definedName>
    <definedName name="rr" localSheetId="94">'[3]5.2-опер.рас ПП'!rr</definedName>
    <definedName name="rr" localSheetId="91">'[3]5.2-опер.рас ПП'!rr</definedName>
    <definedName name="rr" localSheetId="97">'[3]5.2-опер.рас ПП'!rr</definedName>
    <definedName name="rr" localSheetId="103">'[3]5.2-опер.рас ПП'!rr</definedName>
    <definedName name="rr" localSheetId="101">'[3]5.2-опер.рас ПП'!rr</definedName>
    <definedName name="rr" localSheetId="106">'[3]5.2-опер.рас ПП'!rr</definedName>
    <definedName name="rr" localSheetId="102">'[3]5.2-опер.рас ПП'!rr</definedName>
    <definedName name="rr" localSheetId="100">'[3]5.2-опер.рас ПП'!rr</definedName>
    <definedName name="rr" localSheetId="105">'[3]5.2-опер.рас ПП'!rr</definedName>
    <definedName name="rr" localSheetId="104">'[3]5.2-опер.рас ПП'!rr</definedName>
    <definedName name="rr" localSheetId="110">'[3]5.2-опер.рас ПП'!rr</definedName>
    <definedName name="rr" localSheetId="107">'[3]5.2-опер.рас ПП'!rr</definedName>
    <definedName name="rr" localSheetId="113">'[3]5.2-опер.рас ПП'!rr</definedName>
    <definedName name="rr" localSheetId="115">'[3]5.2-опер.рас ПП'!rr</definedName>
    <definedName name="rr" localSheetId="114">'[3]5.2-опер.рас ПП'!rr</definedName>
    <definedName name="rr" localSheetId="112">'[3]5.2-опер.рас ПП'!rr</definedName>
    <definedName name="rr" localSheetId="109">'[3]5.2-опер.рас ПП'!rr</definedName>
    <definedName name="rr" localSheetId="111">'[3]5.2-опер.рас ПП'!rr</definedName>
    <definedName name="rr" localSheetId="108">'[3]5.2-опер.рас ПП'!rr</definedName>
    <definedName name="rr" localSheetId="122">'[3]5.2-опер.рас ПП'!rr</definedName>
    <definedName name="rr" localSheetId="116">'[3]5.2-опер.рас ПП'!rr</definedName>
    <definedName name="rr" localSheetId="125">'[3]5.2-опер.рас ПП'!rr</definedName>
    <definedName name="rr" localSheetId="127">'[3]5.2-опер.рас ПП'!rr</definedName>
    <definedName name="rr" localSheetId="126">'[3]5.2-опер.рас ПП'!rr</definedName>
    <definedName name="rr" localSheetId="124">'[3]5.2-опер.рас ПП'!rr</definedName>
    <definedName name="rr" localSheetId="118">'[3]5.2-опер.рас ПП'!rr</definedName>
    <definedName name="rr" localSheetId="123">'[3]5.2-опер.рас ПП'!rr</definedName>
    <definedName name="rr" localSheetId="117">'[3]5.2-опер.рас ПП'!rr</definedName>
    <definedName name="rr" localSheetId="119">'[3]5.2-опер.рас ПП'!rr</definedName>
    <definedName name="rr" localSheetId="120">'[3]5.2-опер.рас ПП'!rr</definedName>
    <definedName name="rr" localSheetId="121">'[3]5.2-опер.рас ПП'!rr</definedName>
    <definedName name="rr" localSheetId="129">'[3]5.2-опер.рас ПП'!rr</definedName>
    <definedName name="rr" localSheetId="128">'[3]5.2-опер.рас ПП'!rr</definedName>
    <definedName name="rr" localSheetId="130">'[3]5.2-опер.рас ПП'!rr</definedName>
    <definedName name="rr" localSheetId="133">'[3]5.2-опер.рас ПП'!rr</definedName>
    <definedName name="rr" localSheetId="132">'[3]5.2-опер.рас ПП'!rr</definedName>
    <definedName name="rr" localSheetId="136">'[3]5.2-опер.рас ПП'!rr</definedName>
    <definedName name="rr" localSheetId="134">'[3]5.2-опер.рас ПП'!rr</definedName>
    <definedName name="rr" localSheetId="139">'[3]5.2-опер.рас ПП'!rr</definedName>
    <definedName name="rr" localSheetId="137">'[3]5.2-опер.рас ПП'!rr</definedName>
    <definedName name="rr" localSheetId="142">'[3]5.2-опер.рас ПП'!rr</definedName>
    <definedName name="rr" localSheetId="141">'[3]5.2-опер.рас ПП'!rr</definedName>
    <definedName name="rr" localSheetId="140">'[3]5.2-опер.рас ПП'!rr</definedName>
    <definedName name="rr" localSheetId="145">'[3]5.2-опер.рас ПП'!rr</definedName>
    <definedName name="rr" localSheetId="143">'[3]5.2-опер.рас ПП'!rr</definedName>
    <definedName name="rr" localSheetId="150">'[3]5.2-опер.рас ПП'!rr</definedName>
    <definedName name="rr" localSheetId="158">'[3]5.2-опер.рас ПП'!rr</definedName>
    <definedName name="rr" localSheetId="157">'[3]5.2-опер.рас ПП'!rr</definedName>
    <definedName name="rr" localSheetId="156">'[3]5.2-опер.рас ПП'!rr</definedName>
    <definedName name="rr" localSheetId="146">'[3]5.2-опер.рас ПП'!rr</definedName>
    <definedName name="rr" localSheetId="89">'[3]5.2-опер.рас ПП'!rr</definedName>
    <definedName name="rr" localSheetId="90">'[3]5.2-опер.рас ПП'!rr</definedName>
    <definedName name="rr" localSheetId="2">'[4]5.2-опер.рас ПП'!rr</definedName>
    <definedName name="rr" localSheetId="1">'[4]5.2-опер.рас ПП'!rr</definedName>
    <definedName name="rr">'[3]5.2-опер.рас ПП'!rr</definedName>
    <definedName name="S1_" localSheetId="19">#REF!</definedName>
    <definedName name="S1_" localSheetId="18">#REF!</definedName>
    <definedName name="S1_" localSheetId="17">#REF!</definedName>
    <definedName name="S1_" localSheetId="45">#REF!</definedName>
    <definedName name="S1_" localSheetId="44">#REF!</definedName>
    <definedName name="S1_" localSheetId="3">#REF!</definedName>
    <definedName name="S1_" localSheetId="78">#REF!</definedName>
    <definedName name="S1_" localSheetId="63">#REF!</definedName>
    <definedName name="S1_" localSheetId="73">#REF!</definedName>
    <definedName name="S1_" localSheetId="68">#REF!</definedName>
    <definedName name="S1_" localSheetId="65">#REF!</definedName>
    <definedName name="S1_" localSheetId="75">#REF!</definedName>
    <definedName name="S1_" localSheetId="70">#REF!</definedName>
    <definedName name="S1_" localSheetId="79">#REF!</definedName>
    <definedName name="S1_" localSheetId="82">#REF!</definedName>
    <definedName name="S1_" localSheetId="12">#REF!</definedName>
    <definedName name="S1_" localSheetId="11">#REF!</definedName>
    <definedName name="S1_" localSheetId="20">#REF!</definedName>
    <definedName name="S1_" localSheetId="28">#REF!</definedName>
    <definedName name="S1_" localSheetId="38">#REF!</definedName>
    <definedName name="S1_" localSheetId="26">#REF!</definedName>
    <definedName name="S1_" localSheetId="34">#REF!</definedName>
    <definedName name="S1_" localSheetId="32">#REF!</definedName>
    <definedName name="S1_" localSheetId="23">#REF!</definedName>
    <definedName name="S1_" localSheetId="41">#REF!</definedName>
    <definedName name="S1_" localSheetId="31">#REF!</definedName>
    <definedName name="S1_" localSheetId="30">#REF!</definedName>
    <definedName name="S1_" localSheetId="47">#REF!</definedName>
    <definedName name="S1_" localSheetId="46">#REF!</definedName>
    <definedName name="S1_" localSheetId="52">#REF!</definedName>
    <definedName name="S1_" localSheetId="62">#REF!</definedName>
    <definedName name="S1_" localSheetId="57">#REF!</definedName>
    <definedName name="S1_" localSheetId="48">#REF!</definedName>
    <definedName name="S1_" localSheetId="58">#REF!</definedName>
    <definedName name="S1_" localSheetId="53">#REF!</definedName>
    <definedName name="S1_" localSheetId="51">#REF!</definedName>
    <definedName name="S1_" localSheetId="61">#REF!</definedName>
    <definedName name="S1_" localSheetId="56">#REF!</definedName>
    <definedName name="S1_" localSheetId="60">#REF!</definedName>
    <definedName name="S1_" localSheetId="55">#REF!</definedName>
    <definedName name="S1_" localSheetId="50">#REF!</definedName>
    <definedName name="S1_" localSheetId="96">#REF!</definedName>
    <definedName name="S1_" localSheetId="93">#REF!</definedName>
    <definedName name="S1_" localSheetId="99">#REF!</definedName>
    <definedName name="S1_" localSheetId="95">#REF!</definedName>
    <definedName name="S1_" localSheetId="92">#REF!</definedName>
    <definedName name="S1_" localSheetId="98">#REF!</definedName>
    <definedName name="S1_" localSheetId="94">#REF!</definedName>
    <definedName name="S1_" localSheetId="91">#REF!</definedName>
    <definedName name="S1_" localSheetId="97">#REF!</definedName>
    <definedName name="S1_" localSheetId="103">#REF!</definedName>
    <definedName name="S1_" localSheetId="101">#REF!</definedName>
    <definedName name="S1_" localSheetId="106">#REF!</definedName>
    <definedName name="S1_" localSheetId="102">#REF!</definedName>
    <definedName name="S1_" localSheetId="100">#REF!</definedName>
    <definedName name="S1_" localSheetId="105">#REF!</definedName>
    <definedName name="S1_" localSheetId="104">#REF!</definedName>
    <definedName name="S1_" localSheetId="110">#REF!</definedName>
    <definedName name="S1_" localSheetId="107">#REF!</definedName>
    <definedName name="S1_" localSheetId="113">#REF!</definedName>
    <definedName name="S1_" localSheetId="115">#REF!</definedName>
    <definedName name="S1_" localSheetId="114">#REF!</definedName>
    <definedName name="S1_" localSheetId="112">#REF!</definedName>
    <definedName name="S1_" localSheetId="109">#REF!</definedName>
    <definedName name="S1_" localSheetId="111">#REF!</definedName>
    <definedName name="S1_" localSheetId="108">#REF!</definedName>
    <definedName name="S1_" localSheetId="122">#REF!</definedName>
    <definedName name="S1_" localSheetId="116">#REF!</definedName>
    <definedName name="S1_" localSheetId="125">#REF!</definedName>
    <definedName name="S1_" localSheetId="127">#REF!</definedName>
    <definedName name="S1_" localSheetId="126">#REF!</definedName>
    <definedName name="S1_" localSheetId="124">#REF!</definedName>
    <definedName name="S1_" localSheetId="118">#REF!</definedName>
    <definedName name="S1_" localSheetId="123">#REF!</definedName>
    <definedName name="S1_" localSheetId="117">#REF!</definedName>
    <definedName name="S1_" localSheetId="119">#REF!</definedName>
    <definedName name="S1_" localSheetId="120">#REF!</definedName>
    <definedName name="S1_" localSheetId="121">#REF!</definedName>
    <definedName name="S1_" localSheetId="129">#REF!</definedName>
    <definedName name="S1_" localSheetId="128">#REF!</definedName>
    <definedName name="S1_" localSheetId="130">#REF!</definedName>
    <definedName name="S1_" localSheetId="133">#REF!</definedName>
    <definedName name="S1_" localSheetId="132">#REF!</definedName>
    <definedName name="S1_" localSheetId="136">#REF!</definedName>
    <definedName name="S1_" localSheetId="134">#REF!</definedName>
    <definedName name="S1_" localSheetId="139">#REF!</definedName>
    <definedName name="S1_" localSheetId="137">#REF!</definedName>
    <definedName name="S1_" localSheetId="142">#REF!</definedName>
    <definedName name="S1_" localSheetId="141">#REF!</definedName>
    <definedName name="S1_" localSheetId="140">#REF!</definedName>
    <definedName name="S1_" localSheetId="145">#REF!</definedName>
    <definedName name="S1_" localSheetId="144">#REF!</definedName>
    <definedName name="S1_" localSheetId="143">#REF!</definedName>
    <definedName name="S1_" localSheetId="150">#REF!</definedName>
    <definedName name="S1_" localSheetId="158">#REF!</definedName>
    <definedName name="S1_" localSheetId="157">#REF!</definedName>
    <definedName name="S1_" localSheetId="156">#REF!</definedName>
    <definedName name="S1_" localSheetId="146">#REF!</definedName>
    <definedName name="S1_" localSheetId="89">#REF!</definedName>
    <definedName name="S1_" localSheetId="90">#REF!</definedName>
    <definedName name="S1_" localSheetId="2">#REF!</definedName>
    <definedName name="S1_">#REF!</definedName>
    <definedName name="S10_" localSheetId="19">#REF!</definedName>
    <definedName name="S10_" localSheetId="18">#REF!</definedName>
    <definedName name="S10_" localSheetId="17">#REF!</definedName>
    <definedName name="S10_" localSheetId="45">#REF!</definedName>
    <definedName name="S10_" localSheetId="44">#REF!</definedName>
    <definedName name="S10_" localSheetId="3">#REF!</definedName>
    <definedName name="S10_" localSheetId="78">#REF!</definedName>
    <definedName name="S10_" localSheetId="63">#REF!</definedName>
    <definedName name="S10_" localSheetId="73">#REF!</definedName>
    <definedName name="S10_" localSheetId="68">#REF!</definedName>
    <definedName name="S10_" localSheetId="65">#REF!</definedName>
    <definedName name="S10_" localSheetId="75">#REF!</definedName>
    <definedName name="S10_" localSheetId="70">#REF!</definedName>
    <definedName name="S10_" localSheetId="79">#REF!</definedName>
    <definedName name="S10_" localSheetId="82">#REF!</definedName>
    <definedName name="S10_" localSheetId="12">#REF!</definedName>
    <definedName name="S10_" localSheetId="11">#REF!</definedName>
    <definedName name="S10_" localSheetId="28">#REF!</definedName>
    <definedName name="S10_" localSheetId="38">#REF!</definedName>
    <definedName name="S10_" localSheetId="26">#REF!</definedName>
    <definedName name="S10_" localSheetId="34">#REF!</definedName>
    <definedName name="S10_" localSheetId="32">#REF!</definedName>
    <definedName name="S10_" localSheetId="23">#REF!</definedName>
    <definedName name="S10_" localSheetId="41">#REF!</definedName>
    <definedName name="S10_" localSheetId="31">#REF!</definedName>
    <definedName name="S10_" localSheetId="30">#REF!</definedName>
    <definedName name="S10_" localSheetId="47">#REF!</definedName>
    <definedName name="S10_" localSheetId="52">#REF!</definedName>
    <definedName name="S10_" localSheetId="62">#REF!</definedName>
    <definedName name="S10_" localSheetId="57">#REF!</definedName>
    <definedName name="S10_" localSheetId="48">#REF!</definedName>
    <definedName name="S10_" localSheetId="58">#REF!</definedName>
    <definedName name="S10_" localSheetId="53">#REF!</definedName>
    <definedName name="S10_" localSheetId="51">#REF!</definedName>
    <definedName name="S10_" localSheetId="61">#REF!</definedName>
    <definedName name="S10_" localSheetId="56">#REF!</definedName>
    <definedName name="S10_" localSheetId="60">#REF!</definedName>
    <definedName name="S10_" localSheetId="55">#REF!</definedName>
    <definedName name="S10_" localSheetId="50">#REF!</definedName>
    <definedName name="S10_" localSheetId="96">#REF!</definedName>
    <definedName name="S10_" localSheetId="93">#REF!</definedName>
    <definedName name="S10_" localSheetId="99">#REF!</definedName>
    <definedName name="S10_" localSheetId="95">#REF!</definedName>
    <definedName name="S10_" localSheetId="92">#REF!</definedName>
    <definedName name="S10_" localSheetId="98">#REF!</definedName>
    <definedName name="S10_" localSheetId="94">#REF!</definedName>
    <definedName name="S10_" localSheetId="91">#REF!</definedName>
    <definedName name="S10_" localSheetId="97">#REF!</definedName>
    <definedName name="S10_" localSheetId="103">#REF!</definedName>
    <definedName name="S10_" localSheetId="101">#REF!</definedName>
    <definedName name="S10_" localSheetId="106">#REF!</definedName>
    <definedName name="S10_" localSheetId="102">#REF!</definedName>
    <definedName name="S10_" localSheetId="100">#REF!</definedName>
    <definedName name="S10_" localSheetId="105">#REF!</definedName>
    <definedName name="S10_" localSheetId="104">#REF!</definedName>
    <definedName name="S10_" localSheetId="110">#REF!</definedName>
    <definedName name="S10_" localSheetId="107">#REF!</definedName>
    <definedName name="S10_" localSheetId="113">#REF!</definedName>
    <definedName name="S10_" localSheetId="115">#REF!</definedName>
    <definedName name="S10_" localSheetId="114">#REF!</definedName>
    <definedName name="S10_" localSheetId="112">#REF!</definedName>
    <definedName name="S10_" localSheetId="109">#REF!</definedName>
    <definedName name="S10_" localSheetId="111">#REF!</definedName>
    <definedName name="S10_" localSheetId="108">#REF!</definedName>
    <definedName name="S10_" localSheetId="122">#REF!</definedName>
    <definedName name="S10_" localSheetId="116">#REF!</definedName>
    <definedName name="S10_" localSheetId="125">#REF!</definedName>
    <definedName name="S10_" localSheetId="127">#REF!</definedName>
    <definedName name="S10_" localSheetId="126">#REF!</definedName>
    <definedName name="S10_" localSheetId="124">#REF!</definedName>
    <definedName name="S10_" localSheetId="118">#REF!</definedName>
    <definedName name="S10_" localSheetId="123">#REF!</definedName>
    <definedName name="S10_" localSheetId="117">#REF!</definedName>
    <definedName name="S10_" localSheetId="119">#REF!</definedName>
    <definedName name="S10_" localSheetId="120">#REF!</definedName>
    <definedName name="S10_" localSheetId="121">#REF!</definedName>
    <definedName name="S10_" localSheetId="129">#REF!</definedName>
    <definedName name="S10_" localSheetId="128">#REF!</definedName>
    <definedName name="S10_" localSheetId="130">#REF!</definedName>
    <definedName name="S10_" localSheetId="133">#REF!</definedName>
    <definedName name="S10_" localSheetId="132">#REF!</definedName>
    <definedName name="S10_" localSheetId="136">#REF!</definedName>
    <definedName name="S10_" localSheetId="134">#REF!</definedName>
    <definedName name="S10_" localSheetId="139">#REF!</definedName>
    <definedName name="S10_" localSheetId="137">#REF!</definedName>
    <definedName name="S10_" localSheetId="142">#REF!</definedName>
    <definedName name="S10_" localSheetId="141">#REF!</definedName>
    <definedName name="S10_" localSheetId="140">#REF!</definedName>
    <definedName name="S10_" localSheetId="145">#REF!</definedName>
    <definedName name="S10_" localSheetId="144">#REF!</definedName>
    <definedName name="S10_" localSheetId="143">#REF!</definedName>
    <definedName name="S10_" localSheetId="150">#REF!</definedName>
    <definedName name="S10_" localSheetId="158">#REF!</definedName>
    <definedName name="S10_" localSheetId="157">#REF!</definedName>
    <definedName name="S10_" localSheetId="156">#REF!</definedName>
    <definedName name="S10_" localSheetId="146">#REF!</definedName>
    <definedName name="S10_" localSheetId="89">#REF!</definedName>
    <definedName name="S10_" localSheetId="90">#REF!</definedName>
    <definedName name="S10_" localSheetId="2">#REF!</definedName>
    <definedName name="S10_">#REF!</definedName>
    <definedName name="S11_" localSheetId="19">#REF!</definedName>
    <definedName name="S11_" localSheetId="18">#REF!</definedName>
    <definedName name="S11_" localSheetId="17">#REF!</definedName>
    <definedName name="S11_" localSheetId="45">#REF!</definedName>
    <definedName name="S11_" localSheetId="44">#REF!</definedName>
    <definedName name="S11_" localSheetId="3">#REF!</definedName>
    <definedName name="S11_" localSheetId="78">#REF!</definedName>
    <definedName name="S11_" localSheetId="63">#REF!</definedName>
    <definedName name="S11_" localSheetId="73">#REF!</definedName>
    <definedName name="S11_" localSheetId="68">#REF!</definedName>
    <definedName name="S11_" localSheetId="65">#REF!</definedName>
    <definedName name="S11_" localSheetId="75">#REF!</definedName>
    <definedName name="S11_" localSheetId="70">#REF!</definedName>
    <definedName name="S11_" localSheetId="79">#REF!</definedName>
    <definedName name="S11_" localSheetId="82">#REF!</definedName>
    <definedName name="S11_" localSheetId="12">#REF!</definedName>
    <definedName name="S11_" localSheetId="11">#REF!</definedName>
    <definedName name="S11_" localSheetId="28">#REF!</definedName>
    <definedName name="S11_" localSheetId="38">#REF!</definedName>
    <definedName name="S11_" localSheetId="26">#REF!</definedName>
    <definedName name="S11_" localSheetId="34">#REF!</definedName>
    <definedName name="S11_" localSheetId="32">#REF!</definedName>
    <definedName name="S11_" localSheetId="23">#REF!</definedName>
    <definedName name="S11_" localSheetId="41">#REF!</definedName>
    <definedName name="S11_" localSheetId="31">#REF!</definedName>
    <definedName name="S11_" localSheetId="30">#REF!</definedName>
    <definedName name="S11_" localSheetId="47">#REF!</definedName>
    <definedName name="S11_" localSheetId="52">#REF!</definedName>
    <definedName name="S11_" localSheetId="62">#REF!</definedName>
    <definedName name="S11_" localSheetId="57">#REF!</definedName>
    <definedName name="S11_" localSheetId="48">#REF!</definedName>
    <definedName name="S11_" localSheetId="58">#REF!</definedName>
    <definedName name="S11_" localSheetId="53">#REF!</definedName>
    <definedName name="S11_" localSheetId="51">#REF!</definedName>
    <definedName name="S11_" localSheetId="61">#REF!</definedName>
    <definedName name="S11_" localSheetId="56">#REF!</definedName>
    <definedName name="S11_" localSheetId="60">#REF!</definedName>
    <definedName name="S11_" localSheetId="55">#REF!</definedName>
    <definedName name="S11_" localSheetId="50">#REF!</definedName>
    <definedName name="S11_" localSheetId="96">#REF!</definedName>
    <definedName name="S11_" localSheetId="93">#REF!</definedName>
    <definedName name="S11_" localSheetId="99">#REF!</definedName>
    <definedName name="S11_" localSheetId="95">#REF!</definedName>
    <definedName name="S11_" localSheetId="92">#REF!</definedName>
    <definedName name="S11_" localSheetId="98">#REF!</definedName>
    <definedName name="S11_" localSheetId="94">#REF!</definedName>
    <definedName name="S11_" localSheetId="91">#REF!</definedName>
    <definedName name="S11_" localSheetId="97">#REF!</definedName>
    <definedName name="S11_" localSheetId="103">#REF!</definedName>
    <definedName name="S11_" localSheetId="101">#REF!</definedName>
    <definedName name="S11_" localSheetId="106">#REF!</definedName>
    <definedName name="S11_" localSheetId="102">#REF!</definedName>
    <definedName name="S11_" localSheetId="100">#REF!</definedName>
    <definedName name="S11_" localSheetId="105">#REF!</definedName>
    <definedName name="S11_" localSheetId="104">#REF!</definedName>
    <definedName name="S11_" localSheetId="110">#REF!</definedName>
    <definedName name="S11_" localSheetId="107">#REF!</definedName>
    <definedName name="S11_" localSheetId="113">#REF!</definedName>
    <definedName name="S11_" localSheetId="115">#REF!</definedName>
    <definedName name="S11_" localSheetId="114">#REF!</definedName>
    <definedName name="S11_" localSheetId="112">#REF!</definedName>
    <definedName name="S11_" localSheetId="109">#REF!</definedName>
    <definedName name="S11_" localSheetId="111">#REF!</definedName>
    <definedName name="S11_" localSheetId="108">#REF!</definedName>
    <definedName name="S11_" localSheetId="122">#REF!</definedName>
    <definedName name="S11_" localSheetId="116">#REF!</definedName>
    <definedName name="S11_" localSheetId="125">#REF!</definedName>
    <definedName name="S11_" localSheetId="127">#REF!</definedName>
    <definedName name="S11_" localSheetId="126">#REF!</definedName>
    <definedName name="S11_" localSheetId="124">#REF!</definedName>
    <definedName name="S11_" localSheetId="118">#REF!</definedName>
    <definedName name="S11_" localSheetId="123">#REF!</definedName>
    <definedName name="S11_" localSheetId="117">#REF!</definedName>
    <definedName name="S11_" localSheetId="119">#REF!</definedName>
    <definedName name="S11_" localSheetId="120">#REF!</definedName>
    <definedName name="S11_" localSheetId="121">#REF!</definedName>
    <definedName name="S11_" localSheetId="129">#REF!</definedName>
    <definedName name="S11_" localSheetId="128">#REF!</definedName>
    <definedName name="S11_" localSheetId="130">#REF!</definedName>
    <definedName name="S11_" localSheetId="133">#REF!</definedName>
    <definedName name="S11_" localSheetId="132">#REF!</definedName>
    <definedName name="S11_" localSheetId="136">#REF!</definedName>
    <definedName name="S11_" localSheetId="134">#REF!</definedName>
    <definedName name="S11_" localSheetId="139">#REF!</definedName>
    <definedName name="S11_" localSheetId="137">#REF!</definedName>
    <definedName name="S11_" localSheetId="142">#REF!</definedName>
    <definedName name="S11_" localSheetId="141">#REF!</definedName>
    <definedName name="S11_" localSheetId="140">#REF!</definedName>
    <definedName name="S11_" localSheetId="145">#REF!</definedName>
    <definedName name="S11_" localSheetId="144">#REF!</definedName>
    <definedName name="S11_" localSheetId="143">#REF!</definedName>
    <definedName name="S11_" localSheetId="150">#REF!</definedName>
    <definedName name="S11_" localSheetId="158">#REF!</definedName>
    <definedName name="S11_" localSheetId="157">#REF!</definedName>
    <definedName name="S11_" localSheetId="156">#REF!</definedName>
    <definedName name="S11_" localSheetId="146">#REF!</definedName>
    <definedName name="S11_" localSheetId="89">#REF!</definedName>
    <definedName name="S11_" localSheetId="90">#REF!</definedName>
    <definedName name="S11_" localSheetId="2">#REF!</definedName>
    <definedName name="S11_">#REF!</definedName>
    <definedName name="S12_" localSheetId="19">#REF!</definedName>
    <definedName name="S12_" localSheetId="17">#REF!</definedName>
    <definedName name="S12_" localSheetId="45">#REF!</definedName>
    <definedName name="S12_" localSheetId="3">#REF!</definedName>
    <definedName name="S12_" localSheetId="78">#REF!</definedName>
    <definedName name="S12_" localSheetId="63">#REF!</definedName>
    <definedName name="S12_" localSheetId="73">#REF!</definedName>
    <definedName name="S12_" localSheetId="68">#REF!</definedName>
    <definedName name="S12_" localSheetId="65">#REF!</definedName>
    <definedName name="S12_" localSheetId="75">#REF!</definedName>
    <definedName name="S12_" localSheetId="70">#REF!</definedName>
    <definedName name="S12_" localSheetId="79">#REF!</definedName>
    <definedName name="S12_" localSheetId="82">#REF!</definedName>
    <definedName name="S12_" localSheetId="12">#REF!</definedName>
    <definedName name="S12_" localSheetId="11">#REF!</definedName>
    <definedName name="S12_" localSheetId="28">#REF!</definedName>
    <definedName name="S12_" localSheetId="38">#REF!</definedName>
    <definedName name="S12_" localSheetId="26">#REF!</definedName>
    <definedName name="S12_" localSheetId="34">#REF!</definedName>
    <definedName name="S12_" localSheetId="32">#REF!</definedName>
    <definedName name="S12_" localSheetId="23">#REF!</definedName>
    <definedName name="S12_" localSheetId="41">#REF!</definedName>
    <definedName name="S12_" localSheetId="31">#REF!</definedName>
    <definedName name="S12_" localSheetId="30">#REF!</definedName>
    <definedName name="S12_" localSheetId="47">#REF!</definedName>
    <definedName name="S12_" localSheetId="52">#REF!</definedName>
    <definedName name="S12_" localSheetId="62">#REF!</definedName>
    <definedName name="S12_" localSheetId="57">#REF!</definedName>
    <definedName name="S12_" localSheetId="48">#REF!</definedName>
    <definedName name="S12_" localSheetId="58">#REF!</definedName>
    <definedName name="S12_" localSheetId="53">#REF!</definedName>
    <definedName name="S12_" localSheetId="51">#REF!</definedName>
    <definedName name="S12_" localSheetId="61">#REF!</definedName>
    <definedName name="S12_" localSheetId="56">#REF!</definedName>
    <definedName name="S12_" localSheetId="60">#REF!</definedName>
    <definedName name="S12_" localSheetId="55">#REF!</definedName>
    <definedName name="S12_" localSheetId="50">#REF!</definedName>
    <definedName name="S12_" localSheetId="96">#REF!</definedName>
    <definedName name="S12_" localSheetId="93">#REF!</definedName>
    <definedName name="S12_" localSheetId="99">#REF!</definedName>
    <definedName name="S12_" localSheetId="95">#REF!</definedName>
    <definedName name="S12_" localSheetId="92">#REF!</definedName>
    <definedName name="S12_" localSheetId="98">#REF!</definedName>
    <definedName name="S12_" localSheetId="94">#REF!</definedName>
    <definedName name="S12_" localSheetId="91">#REF!</definedName>
    <definedName name="S12_" localSheetId="97">#REF!</definedName>
    <definedName name="S12_" localSheetId="103">#REF!</definedName>
    <definedName name="S12_" localSheetId="101">#REF!</definedName>
    <definedName name="S12_" localSheetId="106">#REF!</definedName>
    <definedName name="S12_" localSheetId="102">#REF!</definedName>
    <definedName name="S12_" localSheetId="100">#REF!</definedName>
    <definedName name="S12_" localSheetId="105">#REF!</definedName>
    <definedName name="S12_" localSheetId="104">#REF!</definedName>
    <definedName name="S12_" localSheetId="110">#REF!</definedName>
    <definedName name="S12_" localSheetId="107">#REF!</definedName>
    <definedName name="S12_" localSheetId="113">#REF!</definedName>
    <definedName name="S12_" localSheetId="115">#REF!</definedName>
    <definedName name="S12_" localSheetId="114">#REF!</definedName>
    <definedName name="S12_" localSheetId="112">#REF!</definedName>
    <definedName name="S12_" localSheetId="109">#REF!</definedName>
    <definedName name="S12_" localSheetId="111">#REF!</definedName>
    <definedName name="S12_" localSheetId="108">#REF!</definedName>
    <definedName name="S12_" localSheetId="122">#REF!</definedName>
    <definedName name="S12_" localSheetId="116">#REF!</definedName>
    <definedName name="S12_" localSheetId="125">#REF!</definedName>
    <definedName name="S12_" localSheetId="127">#REF!</definedName>
    <definedName name="S12_" localSheetId="126">#REF!</definedName>
    <definedName name="S12_" localSheetId="124">#REF!</definedName>
    <definedName name="S12_" localSheetId="118">#REF!</definedName>
    <definedName name="S12_" localSheetId="123">#REF!</definedName>
    <definedName name="S12_" localSheetId="117">#REF!</definedName>
    <definedName name="S12_" localSheetId="119">#REF!</definedName>
    <definedName name="S12_" localSheetId="120">#REF!</definedName>
    <definedName name="S12_" localSheetId="121">#REF!</definedName>
    <definedName name="S12_" localSheetId="129">#REF!</definedName>
    <definedName name="S12_" localSheetId="128">#REF!</definedName>
    <definedName name="S12_" localSheetId="130">#REF!</definedName>
    <definedName name="S12_" localSheetId="133">#REF!</definedName>
    <definedName name="S12_" localSheetId="132">#REF!</definedName>
    <definedName name="S12_" localSheetId="136">#REF!</definedName>
    <definedName name="S12_" localSheetId="134">#REF!</definedName>
    <definedName name="S12_" localSheetId="139">#REF!</definedName>
    <definedName name="S12_" localSheetId="137">#REF!</definedName>
    <definedName name="S12_" localSheetId="142">#REF!</definedName>
    <definedName name="S12_" localSheetId="141">#REF!</definedName>
    <definedName name="S12_" localSheetId="140">#REF!</definedName>
    <definedName name="S12_" localSheetId="145">#REF!</definedName>
    <definedName name="S12_" localSheetId="144">#REF!</definedName>
    <definedName name="S12_" localSheetId="143">#REF!</definedName>
    <definedName name="S12_" localSheetId="150">#REF!</definedName>
    <definedName name="S12_" localSheetId="158">#REF!</definedName>
    <definedName name="S12_" localSheetId="157">#REF!</definedName>
    <definedName name="S12_" localSheetId="156">#REF!</definedName>
    <definedName name="S12_" localSheetId="146">#REF!</definedName>
    <definedName name="S12_" localSheetId="89">#REF!</definedName>
    <definedName name="S12_" localSheetId="90">#REF!</definedName>
    <definedName name="S12_">#REF!</definedName>
    <definedName name="S13_" localSheetId="19">#REF!</definedName>
    <definedName name="S13_" localSheetId="17">#REF!</definedName>
    <definedName name="S13_" localSheetId="45">#REF!</definedName>
    <definedName name="S13_" localSheetId="3">#REF!</definedName>
    <definedName name="S13_" localSheetId="78">#REF!</definedName>
    <definedName name="S13_" localSheetId="63">#REF!</definedName>
    <definedName name="S13_" localSheetId="73">#REF!</definedName>
    <definedName name="S13_" localSheetId="68">#REF!</definedName>
    <definedName name="S13_" localSheetId="65">#REF!</definedName>
    <definedName name="S13_" localSheetId="75">#REF!</definedName>
    <definedName name="S13_" localSheetId="70">#REF!</definedName>
    <definedName name="S13_" localSheetId="79">#REF!</definedName>
    <definedName name="S13_" localSheetId="82">#REF!</definedName>
    <definedName name="S13_" localSheetId="12">#REF!</definedName>
    <definedName name="S13_" localSheetId="11">#REF!</definedName>
    <definedName name="S13_" localSheetId="28">#REF!</definedName>
    <definedName name="S13_" localSheetId="38">#REF!</definedName>
    <definedName name="S13_" localSheetId="26">#REF!</definedName>
    <definedName name="S13_" localSheetId="34">#REF!</definedName>
    <definedName name="S13_" localSheetId="32">#REF!</definedName>
    <definedName name="S13_" localSheetId="23">#REF!</definedName>
    <definedName name="S13_" localSheetId="41">#REF!</definedName>
    <definedName name="S13_" localSheetId="31">#REF!</definedName>
    <definedName name="S13_" localSheetId="30">#REF!</definedName>
    <definedName name="S13_" localSheetId="47">#REF!</definedName>
    <definedName name="S13_" localSheetId="52">#REF!</definedName>
    <definedName name="S13_" localSheetId="62">#REF!</definedName>
    <definedName name="S13_" localSheetId="57">#REF!</definedName>
    <definedName name="S13_" localSheetId="48">#REF!</definedName>
    <definedName name="S13_" localSheetId="58">#REF!</definedName>
    <definedName name="S13_" localSheetId="53">#REF!</definedName>
    <definedName name="S13_" localSheetId="51">#REF!</definedName>
    <definedName name="S13_" localSheetId="61">#REF!</definedName>
    <definedName name="S13_" localSheetId="56">#REF!</definedName>
    <definedName name="S13_" localSheetId="60">#REF!</definedName>
    <definedName name="S13_" localSheetId="55">#REF!</definedName>
    <definedName name="S13_" localSheetId="50">#REF!</definedName>
    <definedName name="S13_" localSheetId="96">#REF!</definedName>
    <definedName name="S13_" localSheetId="93">#REF!</definedName>
    <definedName name="S13_" localSheetId="99">#REF!</definedName>
    <definedName name="S13_" localSheetId="95">#REF!</definedName>
    <definedName name="S13_" localSheetId="92">#REF!</definedName>
    <definedName name="S13_" localSheetId="98">#REF!</definedName>
    <definedName name="S13_" localSheetId="94">#REF!</definedName>
    <definedName name="S13_" localSheetId="91">#REF!</definedName>
    <definedName name="S13_" localSheetId="97">#REF!</definedName>
    <definedName name="S13_" localSheetId="103">#REF!</definedName>
    <definedName name="S13_" localSheetId="101">#REF!</definedName>
    <definedName name="S13_" localSheetId="106">#REF!</definedName>
    <definedName name="S13_" localSheetId="102">#REF!</definedName>
    <definedName name="S13_" localSheetId="100">#REF!</definedName>
    <definedName name="S13_" localSheetId="105">#REF!</definedName>
    <definedName name="S13_" localSheetId="104">#REF!</definedName>
    <definedName name="S13_" localSheetId="110">#REF!</definedName>
    <definedName name="S13_" localSheetId="107">#REF!</definedName>
    <definedName name="S13_" localSheetId="113">#REF!</definedName>
    <definedName name="S13_" localSheetId="115">#REF!</definedName>
    <definedName name="S13_" localSheetId="114">#REF!</definedName>
    <definedName name="S13_" localSheetId="112">#REF!</definedName>
    <definedName name="S13_" localSheetId="109">#REF!</definedName>
    <definedName name="S13_" localSheetId="111">#REF!</definedName>
    <definedName name="S13_" localSheetId="108">#REF!</definedName>
    <definedName name="S13_" localSheetId="122">#REF!</definedName>
    <definedName name="S13_" localSheetId="116">#REF!</definedName>
    <definedName name="S13_" localSheetId="125">#REF!</definedName>
    <definedName name="S13_" localSheetId="127">#REF!</definedName>
    <definedName name="S13_" localSheetId="126">#REF!</definedName>
    <definedName name="S13_" localSheetId="124">#REF!</definedName>
    <definedName name="S13_" localSheetId="118">#REF!</definedName>
    <definedName name="S13_" localSheetId="123">#REF!</definedName>
    <definedName name="S13_" localSheetId="117">#REF!</definedName>
    <definedName name="S13_" localSheetId="119">#REF!</definedName>
    <definedName name="S13_" localSheetId="120">#REF!</definedName>
    <definedName name="S13_" localSheetId="121">#REF!</definedName>
    <definedName name="S13_" localSheetId="129">#REF!</definedName>
    <definedName name="S13_" localSheetId="128">#REF!</definedName>
    <definedName name="S13_" localSheetId="130">#REF!</definedName>
    <definedName name="S13_" localSheetId="133">#REF!</definedName>
    <definedName name="S13_" localSheetId="132">#REF!</definedName>
    <definedName name="S13_" localSheetId="136">#REF!</definedName>
    <definedName name="S13_" localSheetId="134">#REF!</definedName>
    <definedName name="S13_" localSheetId="139">#REF!</definedName>
    <definedName name="S13_" localSheetId="137">#REF!</definedName>
    <definedName name="S13_" localSheetId="142">#REF!</definedName>
    <definedName name="S13_" localSheetId="141">#REF!</definedName>
    <definedName name="S13_" localSheetId="140">#REF!</definedName>
    <definedName name="S13_" localSheetId="145">#REF!</definedName>
    <definedName name="S13_" localSheetId="144">#REF!</definedName>
    <definedName name="S13_" localSheetId="143">#REF!</definedName>
    <definedName name="S13_" localSheetId="150">#REF!</definedName>
    <definedName name="S13_" localSheetId="158">#REF!</definedName>
    <definedName name="S13_" localSheetId="157">#REF!</definedName>
    <definedName name="S13_" localSheetId="156">#REF!</definedName>
    <definedName name="S13_" localSheetId="146">#REF!</definedName>
    <definedName name="S13_" localSheetId="89">#REF!</definedName>
    <definedName name="S13_" localSheetId="90">#REF!</definedName>
    <definedName name="S13_">#REF!</definedName>
    <definedName name="S14_" localSheetId="19">#REF!</definedName>
    <definedName name="S14_" localSheetId="17">#REF!</definedName>
    <definedName name="S14_" localSheetId="45">#REF!</definedName>
    <definedName name="S14_" localSheetId="3">#REF!</definedName>
    <definedName name="S14_" localSheetId="78">#REF!</definedName>
    <definedName name="S14_" localSheetId="63">#REF!</definedName>
    <definedName name="S14_" localSheetId="73">#REF!</definedName>
    <definedName name="S14_" localSheetId="68">#REF!</definedName>
    <definedName name="S14_" localSheetId="65">#REF!</definedName>
    <definedName name="S14_" localSheetId="75">#REF!</definedName>
    <definedName name="S14_" localSheetId="70">#REF!</definedName>
    <definedName name="S14_" localSheetId="79">#REF!</definedName>
    <definedName name="S14_" localSheetId="82">#REF!</definedName>
    <definedName name="S14_" localSheetId="12">#REF!</definedName>
    <definedName name="S14_" localSheetId="11">#REF!</definedName>
    <definedName name="S14_" localSheetId="28">#REF!</definedName>
    <definedName name="S14_" localSheetId="38">#REF!</definedName>
    <definedName name="S14_" localSheetId="26">#REF!</definedName>
    <definedName name="S14_" localSheetId="34">#REF!</definedName>
    <definedName name="S14_" localSheetId="32">#REF!</definedName>
    <definedName name="S14_" localSheetId="23">#REF!</definedName>
    <definedName name="S14_" localSheetId="41">#REF!</definedName>
    <definedName name="S14_" localSheetId="31">#REF!</definedName>
    <definedName name="S14_" localSheetId="30">#REF!</definedName>
    <definedName name="S14_" localSheetId="47">#REF!</definedName>
    <definedName name="S14_" localSheetId="52">#REF!</definedName>
    <definedName name="S14_" localSheetId="62">#REF!</definedName>
    <definedName name="S14_" localSheetId="57">#REF!</definedName>
    <definedName name="S14_" localSheetId="48">#REF!</definedName>
    <definedName name="S14_" localSheetId="58">#REF!</definedName>
    <definedName name="S14_" localSheetId="53">#REF!</definedName>
    <definedName name="S14_" localSheetId="51">#REF!</definedName>
    <definedName name="S14_" localSheetId="61">#REF!</definedName>
    <definedName name="S14_" localSheetId="56">#REF!</definedName>
    <definedName name="S14_" localSheetId="60">#REF!</definedName>
    <definedName name="S14_" localSheetId="55">#REF!</definedName>
    <definedName name="S14_" localSheetId="50">#REF!</definedName>
    <definedName name="S14_" localSheetId="96">#REF!</definedName>
    <definedName name="S14_" localSheetId="93">#REF!</definedName>
    <definedName name="S14_" localSheetId="99">#REF!</definedName>
    <definedName name="S14_" localSheetId="95">#REF!</definedName>
    <definedName name="S14_" localSheetId="92">#REF!</definedName>
    <definedName name="S14_" localSheetId="98">#REF!</definedName>
    <definedName name="S14_" localSheetId="94">#REF!</definedName>
    <definedName name="S14_" localSheetId="91">#REF!</definedName>
    <definedName name="S14_" localSheetId="97">#REF!</definedName>
    <definedName name="S14_" localSheetId="103">#REF!</definedName>
    <definedName name="S14_" localSheetId="101">#REF!</definedName>
    <definedName name="S14_" localSheetId="106">#REF!</definedName>
    <definedName name="S14_" localSheetId="102">#REF!</definedName>
    <definedName name="S14_" localSheetId="100">#REF!</definedName>
    <definedName name="S14_" localSheetId="105">#REF!</definedName>
    <definedName name="S14_" localSheetId="104">#REF!</definedName>
    <definedName name="S14_" localSheetId="110">#REF!</definedName>
    <definedName name="S14_" localSheetId="107">#REF!</definedName>
    <definedName name="S14_" localSheetId="113">#REF!</definedName>
    <definedName name="S14_" localSheetId="115">#REF!</definedName>
    <definedName name="S14_" localSheetId="114">#REF!</definedName>
    <definedName name="S14_" localSheetId="112">#REF!</definedName>
    <definedName name="S14_" localSheetId="109">#REF!</definedName>
    <definedName name="S14_" localSheetId="111">#REF!</definedName>
    <definedName name="S14_" localSheetId="108">#REF!</definedName>
    <definedName name="S14_" localSheetId="122">#REF!</definedName>
    <definedName name="S14_" localSheetId="116">#REF!</definedName>
    <definedName name="S14_" localSheetId="125">#REF!</definedName>
    <definedName name="S14_" localSheetId="127">#REF!</definedName>
    <definedName name="S14_" localSheetId="126">#REF!</definedName>
    <definedName name="S14_" localSheetId="124">#REF!</definedName>
    <definedName name="S14_" localSheetId="118">#REF!</definedName>
    <definedName name="S14_" localSheetId="123">#REF!</definedName>
    <definedName name="S14_" localSheetId="117">#REF!</definedName>
    <definedName name="S14_" localSheetId="119">#REF!</definedName>
    <definedName name="S14_" localSheetId="120">#REF!</definedName>
    <definedName name="S14_" localSheetId="121">#REF!</definedName>
    <definedName name="S14_" localSheetId="129">#REF!</definedName>
    <definedName name="S14_" localSheetId="128">#REF!</definedName>
    <definedName name="S14_" localSheetId="130">#REF!</definedName>
    <definedName name="S14_" localSheetId="133">#REF!</definedName>
    <definedName name="S14_" localSheetId="132">#REF!</definedName>
    <definedName name="S14_" localSheetId="136">#REF!</definedName>
    <definedName name="S14_" localSheetId="134">#REF!</definedName>
    <definedName name="S14_" localSheetId="139">#REF!</definedName>
    <definedName name="S14_" localSheetId="137">#REF!</definedName>
    <definedName name="S14_" localSheetId="142">#REF!</definedName>
    <definedName name="S14_" localSheetId="141">#REF!</definedName>
    <definedName name="S14_" localSheetId="140">#REF!</definedName>
    <definedName name="S14_" localSheetId="145">#REF!</definedName>
    <definedName name="S14_" localSheetId="144">#REF!</definedName>
    <definedName name="S14_" localSheetId="143">#REF!</definedName>
    <definedName name="S14_" localSheetId="150">#REF!</definedName>
    <definedName name="S14_" localSheetId="158">#REF!</definedName>
    <definedName name="S14_" localSheetId="157">#REF!</definedName>
    <definedName name="S14_" localSheetId="156">#REF!</definedName>
    <definedName name="S14_" localSheetId="146">#REF!</definedName>
    <definedName name="S14_" localSheetId="89">#REF!</definedName>
    <definedName name="S14_" localSheetId="90">#REF!</definedName>
    <definedName name="S14_">#REF!</definedName>
    <definedName name="S15_" localSheetId="19">#REF!</definedName>
    <definedName name="S15_" localSheetId="17">#REF!</definedName>
    <definedName name="S15_" localSheetId="45">#REF!</definedName>
    <definedName name="S15_" localSheetId="3">#REF!</definedName>
    <definedName name="S15_" localSheetId="78">#REF!</definedName>
    <definedName name="S15_" localSheetId="63">#REF!</definedName>
    <definedName name="S15_" localSheetId="73">#REF!</definedName>
    <definedName name="S15_" localSheetId="68">#REF!</definedName>
    <definedName name="S15_" localSheetId="65">#REF!</definedName>
    <definedName name="S15_" localSheetId="75">#REF!</definedName>
    <definedName name="S15_" localSheetId="70">#REF!</definedName>
    <definedName name="S15_" localSheetId="79">#REF!</definedName>
    <definedName name="S15_" localSheetId="82">#REF!</definedName>
    <definedName name="S15_" localSheetId="12">#REF!</definedName>
    <definedName name="S15_" localSheetId="11">#REF!</definedName>
    <definedName name="S15_" localSheetId="28">#REF!</definedName>
    <definedName name="S15_" localSheetId="38">#REF!</definedName>
    <definedName name="S15_" localSheetId="26">#REF!</definedName>
    <definedName name="S15_" localSheetId="34">#REF!</definedName>
    <definedName name="S15_" localSheetId="32">#REF!</definedName>
    <definedName name="S15_" localSheetId="23">#REF!</definedName>
    <definedName name="S15_" localSheetId="41">#REF!</definedName>
    <definedName name="S15_" localSheetId="31">#REF!</definedName>
    <definedName name="S15_" localSheetId="30">#REF!</definedName>
    <definedName name="S15_" localSheetId="47">#REF!</definedName>
    <definedName name="S15_" localSheetId="52">#REF!</definedName>
    <definedName name="S15_" localSheetId="62">#REF!</definedName>
    <definedName name="S15_" localSheetId="57">#REF!</definedName>
    <definedName name="S15_" localSheetId="48">#REF!</definedName>
    <definedName name="S15_" localSheetId="58">#REF!</definedName>
    <definedName name="S15_" localSheetId="53">#REF!</definedName>
    <definedName name="S15_" localSheetId="51">#REF!</definedName>
    <definedName name="S15_" localSheetId="61">#REF!</definedName>
    <definedName name="S15_" localSheetId="56">#REF!</definedName>
    <definedName name="S15_" localSheetId="60">#REF!</definedName>
    <definedName name="S15_" localSheetId="55">#REF!</definedName>
    <definedName name="S15_" localSheetId="50">#REF!</definedName>
    <definedName name="S15_" localSheetId="96">#REF!</definedName>
    <definedName name="S15_" localSheetId="93">#REF!</definedName>
    <definedName name="S15_" localSheetId="99">#REF!</definedName>
    <definedName name="S15_" localSheetId="95">#REF!</definedName>
    <definedName name="S15_" localSheetId="92">#REF!</definedName>
    <definedName name="S15_" localSheetId="98">#REF!</definedName>
    <definedName name="S15_" localSheetId="94">#REF!</definedName>
    <definedName name="S15_" localSheetId="91">#REF!</definedName>
    <definedName name="S15_" localSheetId="97">#REF!</definedName>
    <definedName name="S15_" localSheetId="103">#REF!</definedName>
    <definedName name="S15_" localSheetId="101">#REF!</definedName>
    <definedName name="S15_" localSheetId="106">#REF!</definedName>
    <definedName name="S15_" localSheetId="102">#REF!</definedName>
    <definedName name="S15_" localSheetId="100">#REF!</definedName>
    <definedName name="S15_" localSheetId="105">#REF!</definedName>
    <definedName name="S15_" localSheetId="104">#REF!</definedName>
    <definedName name="S15_" localSheetId="110">#REF!</definedName>
    <definedName name="S15_" localSheetId="107">#REF!</definedName>
    <definedName name="S15_" localSheetId="113">#REF!</definedName>
    <definedName name="S15_" localSheetId="115">#REF!</definedName>
    <definedName name="S15_" localSheetId="114">#REF!</definedName>
    <definedName name="S15_" localSheetId="112">#REF!</definedName>
    <definedName name="S15_" localSheetId="109">#REF!</definedName>
    <definedName name="S15_" localSheetId="111">#REF!</definedName>
    <definedName name="S15_" localSheetId="108">#REF!</definedName>
    <definedName name="S15_" localSheetId="122">#REF!</definedName>
    <definedName name="S15_" localSheetId="116">#REF!</definedName>
    <definedName name="S15_" localSheetId="125">#REF!</definedName>
    <definedName name="S15_" localSheetId="127">#REF!</definedName>
    <definedName name="S15_" localSheetId="126">#REF!</definedName>
    <definedName name="S15_" localSheetId="124">#REF!</definedName>
    <definedName name="S15_" localSheetId="118">#REF!</definedName>
    <definedName name="S15_" localSheetId="123">#REF!</definedName>
    <definedName name="S15_" localSheetId="117">#REF!</definedName>
    <definedName name="S15_" localSheetId="119">#REF!</definedName>
    <definedName name="S15_" localSheetId="120">#REF!</definedName>
    <definedName name="S15_" localSheetId="121">#REF!</definedName>
    <definedName name="S15_" localSheetId="129">#REF!</definedName>
    <definedName name="S15_" localSheetId="128">#REF!</definedName>
    <definedName name="S15_" localSheetId="130">#REF!</definedName>
    <definedName name="S15_" localSheetId="133">#REF!</definedName>
    <definedName name="S15_" localSheetId="132">#REF!</definedName>
    <definedName name="S15_" localSheetId="136">#REF!</definedName>
    <definedName name="S15_" localSheetId="134">#REF!</definedName>
    <definedName name="S15_" localSheetId="139">#REF!</definedName>
    <definedName name="S15_" localSheetId="137">#REF!</definedName>
    <definedName name="S15_" localSheetId="142">#REF!</definedName>
    <definedName name="S15_" localSheetId="141">#REF!</definedName>
    <definedName name="S15_" localSheetId="140">#REF!</definedName>
    <definedName name="S15_" localSheetId="145">#REF!</definedName>
    <definedName name="S15_" localSheetId="144">#REF!</definedName>
    <definedName name="S15_" localSheetId="143">#REF!</definedName>
    <definedName name="S15_" localSheetId="150">#REF!</definedName>
    <definedName name="S15_" localSheetId="158">#REF!</definedName>
    <definedName name="S15_" localSheetId="157">#REF!</definedName>
    <definedName name="S15_" localSheetId="156">#REF!</definedName>
    <definedName name="S15_" localSheetId="146">#REF!</definedName>
    <definedName name="S15_" localSheetId="89">#REF!</definedName>
    <definedName name="S15_" localSheetId="90">#REF!</definedName>
    <definedName name="S15_">#REF!</definedName>
    <definedName name="S16_" localSheetId="19">#REF!</definedName>
    <definedName name="S16_" localSheetId="17">#REF!</definedName>
    <definedName name="S16_" localSheetId="45">#REF!</definedName>
    <definedName name="S16_" localSheetId="3">#REF!</definedName>
    <definedName name="S16_" localSheetId="78">#REF!</definedName>
    <definedName name="S16_" localSheetId="63">#REF!</definedName>
    <definedName name="S16_" localSheetId="73">#REF!</definedName>
    <definedName name="S16_" localSheetId="68">#REF!</definedName>
    <definedName name="S16_" localSheetId="65">#REF!</definedName>
    <definedName name="S16_" localSheetId="75">#REF!</definedName>
    <definedName name="S16_" localSheetId="70">#REF!</definedName>
    <definedName name="S16_" localSheetId="79">#REF!</definedName>
    <definedName name="S16_" localSheetId="82">#REF!</definedName>
    <definedName name="S16_" localSheetId="12">#REF!</definedName>
    <definedName name="S16_" localSheetId="11">#REF!</definedName>
    <definedName name="S16_" localSheetId="28">#REF!</definedName>
    <definedName name="S16_" localSheetId="38">#REF!</definedName>
    <definedName name="S16_" localSheetId="26">#REF!</definedName>
    <definedName name="S16_" localSheetId="34">#REF!</definedName>
    <definedName name="S16_" localSheetId="32">#REF!</definedName>
    <definedName name="S16_" localSheetId="23">#REF!</definedName>
    <definedName name="S16_" localSheetId="41">#REF!</definedName>
    <definedName name="S16_" localSheetId="31">#REF!</definedName>
    <definedName name="S16_" localSheetId="30">#REF!</definedName>
    <definedName name="S16_" localSheetId="47">#REF!</definedName>
    <definedName name="S16_" localSheetId="52">#REF!</definedName>
    <definedName name="S16_" localSheetId="62">#REF!</definedName>
    <definedName name="S16_" localSheetId="57">#REF!</definedName>
    <definedName name="S16_" localSheetId="48">#REF!</definedName>
    <definedName name="S16_" localSheetId="58">#REF!</definedName>
    <definedName name="S16_" localSheetId="53">#REF!</definedName>
    <definedName name="S16_" localSheetId="51">#REF!</definedName>
    <definedName name="S16_" localSheetId="61">#REF!</definedName>
    <definedName name="S16_" localSheetId="56">#REF!</definedName>
    <definedName name="S16_" localSheetId="60">#REF!</definedName>
    <definedName name="S16_" localSheetId="55">#REF!</definedName>
    <definedName name="S16_" localSheetId="50">#REF!</definedName>
    <definedName name="S16_" localSheetId="96">#REF!</definedName>
    <definedName name="S16_" localSheetId="93">#REF!</definedName>
    <definedName name="S16_" localSheetId="99">#REF!</definedName>
    <definedName name="S16_" localSheetId="95">#REF!</definedName>
    <definedName name="S16_" localSheetId="92">#REF!</definedName>
    <definedName name="S16_" localSheetId="98">#REF!</definedName>
    <definedName name="S16_" localSheetId="94">#REF!</definedName>
    <definedName name="S16_" localSheetId="91">#REF!</definedName>
    <definedName name="S16_" localSheetId="97">#REF!</definedName>
    <definedName name="S16_" localSheetId="103">#REF!</definedName>
    <definedName name="S16_" localSheetId="101">#REF!</definedName>
    <definedName name="S16_" localSheetId="106">#REF!</definedName>
    <definedName name="S16_" localSheetId="102">#REF!</definedName>
    <definedName name="S16_" localSheetId="100">#REF!</definedName>
    <definedName name="S16_" localSheetId="105">#REF!</definedName>
    <definedName name="S16_" localSheetId="104">#REF!</definedName>
    <definedName name="S16_" localSheetId="110">#REF!</definedName>
    <definedName name="S16_" localSheetId="107">#REF!</definedName>
    <definedName name="S16_" localSheetId="113">#REF!</definedName>
    <definedName name="S16_" localSheetId="115">#REF!</definedName>
    <definedName name="S16_" localSheetId="114">#REF!</definedName>
    <definedName name="S16_" localSheetId="112">#REF!</definedName>
    <definedName name="S16_" localSheetId="109">#REF!</definedName>
    <definedName name="S16_" localSheetId="111">#REF!</definedName>
    <definedName name="S16_" localSheetId="108">#REF!</definedName>
    <definedName name="S16_" localSheetId="122">#REF!</definedName>
    <definedName name="S16_" localSheetId="116">#REF!</definedName>
    <definedName name="S16_" localSheetId="125">#REF!</definedName>
    <definedName name="S16_" localSheetId="127">#REF!</definedName>
    <definedName name="S16_" localSheetId="126">#REF!</definedName>
    <definedName name="S16_" localSheetId="124">#REF!</definedName>
    <definedName name="S16_" localSheetId="118">#REF!</definedName>
    <definedName name="S16_" localSheetId="123">#REF!</definedName>
    <definedName name="S16_" localSheetId="117">#REF!</definedName>
    <definedName name="S16_" localSheetId="119">#REF!</definedName>
    <definedName name="S16_" localSheetId="120">#REF!</definedName>
    <definedName name="S16_" localSheetId="121">#REF!</definedName>
    <definedName name="S16_" localSheetId="129">#REF!</definedName>
    <definedName name="S16_" localSheetId="128">#REF!</definedName>
    <definedName name="S16_" localSheetId="130">#REF!</definedName>
    <definedName name="S16_" localSheetId="133">#REF!</definedName>
    <definedName name="S16_" localSheetId="132">#REF!</definedName>
    <definedName name="S16_" localSheetId="136">#REF!</definedName>
    <definedName name="S16_" localSheetId="134">#REF!</definedName>
    <definedName name="S16_" localSheetId="139">#REF!</definedName>
    <definedName name="S16_" localSheetId="137">#REF!</definedName>
    <definedName name="S16_" localSheetId="142">#REF!</definedName>
    <definedName name="S16_" localSheetId="141">#REF!</definedName>
    <definedName name="S16_" localSheetId="140">#REF!</definedName>
    <definedName name="S16_" localSheetId="145">#REF!</definedName>
    <definedName name="S16_" localSheetId="144">#REF!</definedName>
    <definedName name="S16_" localSheetId="143">#REF!</definedName>
    <definedName name="S16_" localSheetId="150">#REF!</definedName>
    <definedName name="S16_" localSheetId="158">#REF!</definedName>
    <definedName name="S16_" localSheetId="157">#REF!</definedName>
    <definedName name="S16_" localSheetId="156">#REF!</definedName>
    <definedName name="S16_" localSheetId="146">#REF!</definedName>
    <definedName name="S16_" localSheetId="89">#REF!</definedName>
    <definedName name="S16_" localSheetId="90">#REF!</definedName>
    <definedName name="S16_">#REF!</definedName>
    <definedName name="S17_" localSheetId="19">#REF!</definedName>
    <definedName name="S17_" localSheetId="17">#REF!</definedName>
    <definedName name="S17_" localSheetId="45">#REF!</definedName>
    <definedName name="S17_" localSheetId="3">#REF!</definedName>
    <definedName name="S17_" localSheetId="78">#REF!</definedName>
    <definedName name="S17_" localSheetId="63">#REF!</definedName>
    <definedName name="S17_" localSheetId="73">#REF!</definedName>
    <definedName name="S17_" localSheetId="68">#REF!</definedName>
    <definedName name="S17_" localSheetId="65">#REF!</definedName>
    <definedName name="S17_" localSheetId="75">#REF!</definedName>
    <definedName name="S17_" localSheetId="70">#REF!</definedName>
    <definedName name="S17_" localSheetId="79">#REF!</definedName>
    <definedName name="S17_" localSheetId="82">#REF!</definedName>
    <definedName name="S17_" localSheetId="12">#REF!</definedName>
    <definedName name="S17_" localSheetId="11">#REF!</definedName>
    <definedName name="S17_" localSheetId="28">#REF!</definedName>
    <definedName name="S17_" localSheetId="38">#REF!</definedName>
    <definedName name="S17_" localSheetId="26">#REF!</definedName>
    <definedName name="S17_" localSheetId="34">#REF!</definedName>
    <definedName name="S17_" localSheetId="32">#REF!</definedName>
    <definedName name="S17_" localSheetId="23">#REF!</definedName>
    <definedName name="S17_" localSheetId="41">#REF!</definedName>
    <definedName name="S17_" localSheetId="31">#REF!</definedName>
    <definedName name="S17_" localSheetId="30">#REF!</definedName>
    <definedName name="S17_" localSheetId="47">#REF!</definedName>
    <definedName name="S17_" localSheetId="52">#REF!</definedName>
    <definedName name="S17_" localSheetId="62">#REF!</definedName>
    <definedName name="S17_" localSheetId="57">#REF!</definedName>
    <definedName name="S17_" localSheetId="48">#REF!</definedName>
    <definedName name="S17_" localSheetId="58">#REF!</definedName>
    <definedName name="S17_" localSheetId="53">#REF!</definedName>
    <definedName name="S17_" localSheetId="51">#REF!</definedName>
    <definedName name="S17_" localSheetId="61">#REF!</definedName>
    <definedName name="S17_" localSheetId="56">#REF!</definedName>
    <definedName name="S17_" localSheetId="60">#REF!</definedName>
    <definedName name="S17_" localSheetId="55">#REF!</definedName>
    <definedName name="S17_" localSheetId="50">#REF!</definedName>
    <definedName name="S17_" localSheetId="96">#REF!</definedName>
    <definedName name="S17_" localSheetId="93">#REF!</definedName>
    <definedName name="S17_" localSheetId="99">#REF!</definedName>
    <definedName name="S17_" localSheetId="95">#REF!</definedName>
    <definedName name="S17_" localSheetId="92">#REF!</definedName>
    <definedName name="S17_" localSheetId="98">#REF!</definedName>
    <definedName name="S17_" localSheetId="94">#REF!</definedName>
    <definedName name="S17_" localSheetId="91">#REF!</definedName>
    <definedName name="S17_" localSheetId="97">#REF!</definedName>
    <definedName name="S17_" localSheetId="103">#REF!</definedName>
    <definedName name="S17_" localSheetId="101">#REF!</definedName>
    <definedName name="S17_" localSheetId="106">#REF!</definedName>
    <definedName name="S17_" localSheetId="102">#REF!</definedName>
    <definedName name="S17_" localSheetId="100">#REF!</definedName>
    <definedName name="S17_" localSheetId="105">#REF!</definedName>
    <definedName name="S17_" localSheetId="104">#REF!</definedName>
    <definedName name="S17_" localSheetId="110">#REF!</definedName>
    <definedName name="S17_" localSheetId="107">#REF!</definedName>
    <definedName name="S17_" localSheetId="113">#REF!</definedName>
    <definedName name="S17_" localSheetId="115">#REF!</definedName>
    <definedName name="S17_" localSheetId="114">#REF!</definedName>
    <definedName name="S17_" localSheetId="112">#REF!</definedName>
    <definedName name="S17_" localSheetId="109">#REF!</definedName>
    <definedName name="S17_" localSheetId="111">#REF!</definedName>
    <definedName name="S17_" localSheetId="108">#REF!</definedName>
    <definedName name="S17_" localSheetId="122">#REF!</definedName>
    <definedName name="S17_" localSheetId="116">#REF!</definedName>
    <definedName name="S17_" localSheetId="125">#REF!</definedName>
    <definedName name="S17_" localSheetId="127">#REF!</definedName>
    <definedName name="S17_" localSheetId="126">#REF!</definedName>
    <definedName name="S17_" localSheetId="124">#REF!</definedName>
    <definedName name="S17_" localSheetId="118">#REF!</definedName>
    <definedName name="S17_" localSheetId="123">#REF!</definedName>
    <definedName name="S17_" localSheetId="117">#REF!</definedName>
    <definedName name="S17_" localSheetId="119">#REF!</definedName>
    <definedName name="S17_" localSheetId="120">#REF!</definedName>
    <definedName name="S17_" localSheetId="121">#REF!</definedName>
    <definedName name="S17_" localSheetId="129">#REF!</definedName>
    <definedName name="S17_" localSheetId="128">#REF!</definedName>
    <definedName name="S17_" localSheetId="130">#REF!</definedName>
    <definedName name="S17_" localSheetId="133">#REF!</definedName>
    <definedName name="S17_" localSheetId="132">#REF!</definedName>
    <definedName name="S17_" localSheetId="136">#REF!</definedName>
    <definedName name="S17_" localSheetId="134">#REF!</definedName>
    <definedName name="S17_" localSheetId="139">#REF!</definedName>
    <definedName name="S17_" localSheetId="137">#REF!</definedName>
    <definedName name="S17_" localSheetId="142">#REF!</definedName>
    <definedName name="S17_" localSheetId="141">#REF!</definedName>
    <definedName name="S17_" localSheetId="140">#REF!</definedName>
    <definedName name="S17_" localSheetId="145">#REF!</definedName>
    <definedName name="S17_" localSheetId="144">#REF!</definedName>
    <definedName name="S17_" localSheetId="143">#REF!</definedName>
    <definedName name="S17_" localSheetId="150">#REF!</definedName>
    <definedName name="S17_" localSheetId="158">#REF!</definedName>
    <definedName name="S17_" localSheetId="157">#REF!</definedName>
    <definedName name="S17_" localSheetId="156">#REF!</definedName>
    <definedName name="S17_" localSheetId="146">#REF!</definedName>
    <definedName name="S17_" localSheetId="89">#REF!</definedName>
    <definedName name="S17_" localSheetId="90">#REF!</definedName>
    <definedName name="S17_">#REF!</definedName>
    <definedName name="S18_" localSheetId="19">#REF!</definedName>
    <definedName name="S18_" localSheetId="17">#REF!</definedName>
    <definedName name="S18_" localSheetId="45">#REF!</definedName>
    <definedName name="S18_" localSheetId="3">#REF!</definedName>
    <definedName name="S18_" localSheetId="78">#REF!</definedName>
    <definedName name="S18_" localSheetId="63">#REF!</definedName>
    <definedName name="S18_" localSheetId="73">#REF!</definedName>
    <definedName name="S18_" localSheetId="68">#REF!</definedName>
    <definedName name="S18_" localSheetId="65">#REF!</definedName>
    <definedName name="S18_" localSheetId="75">#REF!</definedName>
    <definedName name="S18_" localSheetId="70">#REF!</definedName>
    <definedName name="S18_" localSheetId="79">#REF!</definedName>
    <definedName name="S18_" localSheetId="82">#REF!</definedName>
    <definedName name="S18_" localSheetId="12">#REF!</definedName>
    <definedName name="S18_" localSheetId="11">#REF!</definedName>
    <definedName name="S18_" localSheetId="28">#REF!</definedName>
    <definedName name="S18_" localSheetId="38">#REF!</definedName>
    <definedName name="S18_" localSheetId="26">#REF!</definedName>
    <definedName name="S18_" localSheetId="34">#REF!</definedName>
    <definedName name="S18_" localSheetId="32">#REF!</definedName>
    <definedName name="S18_" localSheetId="23">#REF!</definedName>
    <definedName name="S18_" localSheetId="41">#REF!</definedName>
    <definedName name="S18_" localSheetId="31">#REF!</definedName>
    <definedName name="S18_" localSheetId="30">#REF!</definedName>
    <definedName name="S18_" localSheetId="47">#REF!</definedName>
    <definedName name="S18_" localSheetId="52">#REF!</definedName>
    <definedName name="S18_" localSheetId="62">#REF!</definedName>
    <definedName name="S18_" localSheetId="57">#REF!</definedName>
    <definedName name="S18_" localSheetId="48">#REF!</definedName>
    <definedName name="S18_" localSheetId="58">#REF!</definedName>
    <definedName name="S18_" localSheetId="53">#REF!</definedName>
    <definedName name="S18_" localSheetId="51">#REF!</definedName>
    <definedName name="S18_" localSheetId="61">#REF!</definedName>
    <definedName name="S18_" localSheetId="56">#REF!</definedName>
    <definedName name="S18_" localSheetId="60">#REF!</definedName>
    <definedName name="S18_" localSheetId="55">#REF!</definedName>
    <definedName name="S18_" localSheetId="50">#REF!</definedName>
    <definedName name="S18_" localSheetId="96">#REF!</definedName>
    <definedName name="S18_" localSheetId="93">#REF!</definedName>
    <definedName name="S18_" localSheetId="99">#REF!</definedName>
    <definedName name="S18_" localSheetId="95">#REF!</definedName>
    <definedName name="S18_" localSheetId="92">#REF!</definedName>
    <definedName name="S18_" localSheetId="98">#REF!</definedName>
    <definedName name="S18_" localSheetId="94">#REF!</definedName>
    <definedName name="S18_" localSheetId="91">#REF!</definedName>
    <definedName name="S18_" localSheetId="97">#REF!</definedName>
    <definedName name="S18_" localSheetId="103">#REF!</definedName>
    <definedName name="S18_" localSheetId="101">#REF!</definedName>
    <definedName name="S18_" localSheetId="106">#REF!</definedName>
    <definedName name="S18_" localSheetId="102">#REF!</definedName>
    <definedName name="S18_" localSheetId="100">#REF!</definedName>
    <definedName name="S18_" localSheetId="105">#REF!</definedName>
    <definedName name="S18_" localSheetId="104">#REF!</definedName>
    <definedName name="S18_" localSheetId="110">#REF!</definedName>
    <definedName name="S18_" localSheetId="107">#REF!</definedName>
    <definedName name="S18_" localSheetId="113">#REF!</definedName>
    <definedName name="S18_" localSheetId="115">#REF!</definedName>
    <definedName name="S18_" localSheetId="114">#REF!</definedName>
    <definedName name="S18_" localSheetId="112">#REF!</definedName>
    <definedName name="S18_" localSheetId="109">#REF!</definedName>
    <definedName name="S18_" localSheetId="111">#REF!</definedName>
    <definedName name="S18_" localSheetId="108">#REF!</definedName>
    <definedName name="S18_" localSheetId="122">#REF!</definedName>
    <definedName name="S18_" localSheetId="116">#REF!</definedName>
    <definedName name="S18_" localSheetId="125">#REF!</definedName>
    <definedName name="S18_" localSheetId="127">#REF!</definedName>
    <definedName name="S18_" localSheetId="126">#REF!</definedName>
    <definedName name="S18_" localSheetId="124">#REF!</definedName>
    <definedName name="S18_" localSheetId="118">#REF!</definedName>
    <definedName name="S18_" localSheetId="123">#REF!</definedName>
    <definedName name="S18_" localSheetId="117">#REF!</definedName>
    <definedName name="S18_" localSheetId="119">#REF!</definedName>
    <definedName name="S18_" localSheetId="120">#REF!</definedName>
    <definedName name="S18_" localSheetId="121">#REF!</definedName>
    <definedName name="S18_" localSheetId="129">#REF!</definedName>
    <definedName name="S18_" localSheetId="128">#REF!</definedName>
    <definedName name="S18_" localSheetId="130">#REF!</definedName>
    <definedName name="S18_" localSheetId="133">#REF!</definedName>
    <definedName name="S18_" localSheetId="132">#REF!</definedName>
    <definedName name="S18_" localSheetId="136">#REF!</definedName>
    <definedName name="S18_" localSheetId="134">#REF!</definedName>
    <definedName name="S18_" localSheetId="139">#REF!</definedName>
    <definedName name="S18_" localSheetId="137">#REF!</definedName>
    <definedName name="S18_" localSheetId="142">#REF!</definedName>
    <definedName name="S18_" localSheetId="141">#REF!</definedName>
    <definedName name="S18_" localSheetId="140">#REF!</definedName>
    <definedName name="S18_" localSheetId="145">#REF!</definedName>
    <definedName name="S18_" localSheetId="144">#REF!</definedName>
    <definedName name="S18_" localSheetId="143">#REF!</definedName>
    <definedName name="S18_" localSheetId="150">#REF!</definedName>
    <definedName name="S18_" localSheetId="158">#REF!</definedName>
    <definedName name="S18_" localSheetId="157">#REF!</definedName>
    <definedName name="S18_" localSheetId="156">#REF!</definedName>
    <definedName name="S18_" localSheetId="146">#REF!</definedName>
    <definedName name="S18_" localSheetId="89">#REF!</definedName>
    <definedName name="S18_" localSheetId="90">#REF!</definedName>
    <definedName name="S18_">#REF!</definedName>
    <definedName name="S19_" localSheetId="19">#REF!</definedName>
    <definedName name="S19_" localSheetId="17">#REF!</definedName>
    <definedName name="S19_" localSheetId="45">#REF!</definedName>
    <definedName name="S19_" localSheetId="3">#REF!</definedName>
    <definedName name="S19_" localSheetId="78">#REF!</definedName>
    <definedName name="S19_" localSheetId="63">#REF!</definedName>
    <definedName name="S19_" localSheetId="73">#REF!</definedName>
    <definedName name="S19_" localSheetId="68">#REF!</definedName>
    <definedName name="S19_" localSheetId="65">#REF!</definedName>
    <definedName name="S19_" localSheetId="75">#REF!</definedName>
    <definedName name="S19_" localSheetId="70">#REF!</definedName>
    <definedName name="S19_" localSheetId="79">#REF!</definedName>
    <definedName name="S19_" localSheetId="82">#REF!</definedName>
    <definedName name="S19_" localSheetId="12">#REF!</definedName>
    <definedName name="S19_" localSheetId="11">#REF!</definedName>
    <definedName name="S19_" localSheetId="28">#REF!</definedName>
    <definedName name="S19_" localSheetId="38">#REF!</definedName>
    <definedName name="S19_" localSheetId="26">#REF!</definedName>
    <definedName name="S19_" localSheetId="34">#REF!</definedName>
    <definedName name="S19_" localSheetId="32">#REF!</definedName>
    <definedName name="S19_" localSheetId="23">#REF!</definedName>
    <definedName name="S19_" localSheetId="41">#REF!</definedName>
    <definedName name="S19_" localSheetId="31">#REF!</definedName>
    <definedName name="S19_" localSheetId="30">#REF!</definedName>
    <definedName name="S19_" localSheetId="47">#REF!</definedName>
    <definedName name="S19_" localSheetId="52">#REF!</definedName>
    <definedName name="S19_" localSheetId="62">#REF!</definedName>
    <definedName name="S19_" localSheetId="57">#REF!</definedName>
    <definedName name="S19_" localSheetId="48">#REF!</definedName>
    <definedName name="S19_" localSheetId="58">#REF!</definedName>
    <definedName name="S19_" localSheetId="53">#REF!</definedName>
    <definedName name="S19_" localSheetId="51">#REF!</definedName>
    <definedName name="S19_" localSheetId="61">#REF!</definedName>
    <definedName name="S19_" localSheetId="56">#REF!</definedName>
    <definedName name="S19_" localSheetId="60">#REF!</definedName>
    <definedName name="S19_" localSheetId="55">#REF!</definedName>
    <definedName name="S19_" localSheetId="50">#REF!</definedName>
    <definedName name="S19_" localSheetId="96">#REF!</definedName>
    <definedName name="S19_" localSheetId="93">#REF!</definedName>
    <definedName name="S19_" localSheetId="99">#REF!</definedName>
    <definedName name="S19_" localSheetId="95">#REF!</definedName>
    <definedName name="S19_" localSheetId="92">#REF!</definedName>
    <definedName name="S19_" localSheetId="98">#REF!</definedName>
    <definedName name="S19_" localSheetId="94">#REF!</definedName>
    <definedName name="S19_" localSheetId="91">#REF!</definedName>
    <definedName name="S19_" localSheetId="97">#REF!</definedName>
    <definedName name="S19_" localSheetId="103">#REF!</definedName>
    <definedName name="S19_" localSheetId="101">#REF!</definedName>
    <definedName name="S19_" localSheetId="106">#REF!</definedName>
    <definedName name="S19_" localSheetId="102">#REF!</definedName>
    <definedName name="S19_" localSheetId="100">#REF!</definedName>
    <definedName name="S19_" localSheetId="105">#REF!</definedName>
    <definedName name="S19_" localSheetId="104">#REF!</definedName>
    <definedName name="S19_" localSheetId="110">#REF!</definedName>
    <definedName name="S19_" localSheetId="107">#REF!</definedName>
    <definedName name="S19_" localSheetId="113">#REF!</definedName>
    <definedName name="S19_" localSheetId="115">#REF!</definedName>
    <definedName name="S19_" localSheetId="114">#REF!</definedName>
    <definedName name="S19_" localSheetId="112">#REF!</definedName>
    <definedName name="S19_" localSheetId="109">#REF!</definedName>
    <definedName name="S19_" localSheetId="111">#REF!</definedName>
    <definedName name="S19_" localSheetId="108">#REF!</definedName>
    <definedName name="S19_" localSheetId="122">#REF!</definedName>
    <definedName name="S19_" localSheetId="116">#REF!</definedName>
    <definedName name="S19_" localSheetId="125">#REF!</definedName>
    <definedName name="S19_" localSheetId="127">#REF!</definedName>
    <definedName name="S19_" localSheetId="126">#REF!</definedName>
    <definedName name="S19_" localSheetId="124">#REF!</definedName>
    <definedName name="S19_" localSheetId="118">#REF!</definedName>
    <definedName name="S19_" localSheetId="123">#REF!</definedName>
    <definedName name="S19_" localSheetId="117">#REF!</definedName>
    <definedName name="S19_" localSheetId="119">#REF!</definedName>
    <definedName name="S19_" localSheetId="120">#REF!</definedName>
    <definedName name="S19_" localSheetId="121">#REF!</definedName>
    <definedName name="S19_" localSheetId="129">#REF!</definedName>
    <definedName name="S19_" localSheetId="128">#REF!</definedName>
    <definedName name="S19_" localSheetId="130">#REF!</definedName>
    <definedName name="S19_" localSheetId="133">#REF!</definedName>
    <definedName name="S19_" localSheetId="132">#REF!</definedName>
    <definedName name="S19_" localSheetId="136">#REF!</definedName>
    <definedName name="S19_" localSheetId="134">#REF!</definedName>
    <definedName name="S19_" localSheetId="139">#REF!</definedName>
    <definedName name="S19_" localSheetId="137">#REF!</definedName>
    <definedName name="S19_" localSheetId="142">#REF!</definedName>
    <definedName name="S19_" localSheetId="141">#REF!</definedName>
    <definedName name="S19_" localSheetId="140">#REF!</definedName>
    <definedName name="S19_" localSheetId="145">#REF!</definedName>
    <definedName name="S19_" localSheetId="144">#REF!</definedName>
    <definedName name="S19_" localSheetId="143">#REF!</definedName>
    <definedName name="S19_" localSheetId="150">#REF!</definedName>
    <definedName name="S19_" localSheetId="158">#REF!</definedName>
    <definedName name="S19_" localSheetId="157">#REF!</definedName>
    <definedName name="S19_" localSheetId="156">#REF!</definedName>
    <definedName name="S19_" localSheetId="146">#REF!</definedName>
    <definedName name="S19_" localSheetId="89">#REF!</definedName>
    <definedName name="S19_" localSheetId="90">#REF!</definedName>
    <definedName name="S19_">#REF!</definedName>
    <definedName name="S2_" localSheetId="19">#REF!</definedName>
    <definedName name="S2_" localSheetId="17">#REF!</definedName>
    <definedName name="S2_" localSheetId="45">#REF!</definedName>
    <definedName name="S2_" localSheetId="3">#REF!</definedName>
    <definedName name="S2_" localSheetId="78">#REF!</definedName>
    <definedName name="S2_" localSheetId="63">#REF!</definedName>
    <definedName name="S2_" localSheetId="73">#REF!</definedName>
    <definedName name="S2_" localSheetId="68">#REF!</definedName>
    <definedName name="S2_" localSheetId="65">#REF!</definedName>
    <definedName name="S2_" localSheetId="75">#REF!</definedName>
    <definedName name="S2_" localSheetId="70">#REF!</definedName>
    <definedName name="S2_" localSheetId="79">#REF!</definedName>
    <definedName name="S2_" localSheetId="82">#REF!</definedName>
    <definedName name="S2_" localSheetId="12">#REF!</definedName>
    <definedName name="S2_" localSheetId="11">#REF!</definedName>
    <definedName name="S2_" localSheetId="28">#REF!</definedName>
    <definedName name="S2_" localSheetId="38">#REF!</definedName>
    <definedName name="S2_" localSheetId="26">#REF!</definedName>
    <definedName name="S2_" localSheetId="34">#REF!</definedName>
    <definedName name="S2_" localSheetId="32">#REF!</definedName>
    <definedName name="S2_" localSheetId="23">#REF!</definedName>
    <definedName name="S2_" localSheetId="41">#REF!</definedName>
    <definedName name="S2_" localSheetId="31">#REF!</definedName>
    <definedName name="S2_" localSheetId="30">#REF!</definedName>
    <definedName name="S2_" localSheetId="47">#REF!</definedName>
    <definedName name="S2_" localSheetId="52">#REF!</definedName>
    <definedName name="S2_" localSheetId="62">#REF!</definedName>
    <definedName name="S2_" localSheetId="57">#REF!</definedName>
    <definedName name="S2_" localSheetId="48">#REF!</definedName>
    <definedName name="S2_" localSheetId="58">#REF!</definedName>
    <definedName name="S2_" localSheetId="53">#REF!</definedName>
    <definedName name="S2_" localSheetId="51">#REF!</definedName>
    <definedName name="S2_" localSheetId="61">#REF!</definedName>
    <definedName name="S2_" localSheetId="56">#REF!</definedName>
    <definedName name="S2_" localSheetId="60">#REF!</definedName>
    <definedName name="S2_" localSheetId="55">#REF!</definedName>
    <definedName name="S2_" localSheetId="50">#REF!</definedName>
    <definedName name="S2_" localSheetId="96">#REF!</definedName>
    <definedName name="S2_" localSheetId="93">#REF!</definedName>
    <definedName name="S2_" localSheetId="99">#REF!</definedName>
    <definedName name="S2_" localSheetId="95">#REF!</definedName>
    <definedName name="S2_" localSheetId="92">#REF!</definedName>
    <definedName name="S2_" localSheetId="98">#REF!</definedName>
    <definedName name="S2_" localSheetId="94">#REF!</definedName>
    <definedName name="S2_" localSheetId="91">#REF!</definedName>
    <definedName name="S2_" localSheetId="97">#REF!</definedName>
    <definedName name="S2_" localSheetId="103">#REF!</definedName>
    <definedName name="S2_" localSheetId="101">#REF!</definedName>
    <definedName name="S2_" localSheetId="106">#REF!</definedName>
    <definedName name="S2_" localSheetId="102">#REF!</definedName>
    <definedName name="S2_" localSheetId="100">#REF!</definedName>
    <definedName name="S2_" localSheetId="105">#REF!</definedName>
    <definedName name="S2_" localSheetId="104">#REF!</definedName>
    <definedName name="S2_" localSheetId="110">#REF!</definedName>
    <definedName name="S2_" localSheetId="107">#REF!</definedName>
    <definedName name="S2_" localSheetId="113">#REF!</definedName>
    <definedName name="S2_" localSheetId="115">#REF!</definedName>
    <definedName name="S2_" localSheetId="114">#REF!</definedName>
    <definedName name="S2_" localSheetId="112">#REF!</definedName>
    <definedName name="S2_" localSheetId="109">#REF!</definedName>
    <definedName name="S2_" localSheetId="111">#REF!</definedName>
    <definedName name="S2_" localSheetId="108">#REF!</definedName>
    <definedName name="S2_" localSheetId="122">#REF!</definedName>
    <definedName name="S2_" localSheetId="116">#REF!</definedName>
    <definedName name="S2_" localSheetId="125">#REF!</definedName>
    <definedName name="S2_" localSheetId="127">#REF!</definedName>
    <definedName name="S2_" localSheetId="126">#REF!</definedName>
    <definedName name="S2_" localSheetId="124">#REF!</definedName>
    <definedName name="S2_" localSheetId="118">#REF!</definedName>
    <definedName name="S2_" localSheetId="123">#REF!</definedName>
    <definedName name="S2_" localSheetId="117">#REF!</definedName>
    <definedName name="S2_" localSheetId="119">#REF!</definedName>
    <definedName name="S2_" localSheetId="120">#REF!</definedName>
    <definedName name="S2_" localSheetId="121">#REF!</definedName>
    <definedName name="S2_" localSheetId="129">#REF!</definedName>
    <definedName name="S2_" localSheetId="128">#REF!</definedName>
    <definedName name="S2_" localSheetId="130">#REF!</definedName>
    <definedName name="S2_" localSheetId="133">#REF!</definedName>
    <definedName name="S2_" localSheetId="132">#REF!</definedName>
    <definedName name="S2_" localSheetId="136">#REF!</definedName>
    <definedName name="S2_" localSheetId="134">#REF!</definedName>
    <definedName name="S2_" localSheetId="139">#REF!</definedName>
    <definedName name="S2_" localSheetId="137">#REF!</definedName>
    <definedName name="S2_" localSheetId="142">#REF!</definedName>
    <definedName name="S2_" localSheetId="141">#REF!</definedName>
    <definedName name="S2_" localSheetId="140">#REF!</definedName>
    <definedName name="S2_" localSheetId="145">#REF!</definedName>
    <definedName name="S2_" localSheetId="144">#REF!</definedName>
    <definedName name="S2_" localSheetId="143">#REF!</definedName>
    <definedName name="S2_" localSheetId="150">#REF!</definedName>
    <definedName name="S2_" localSheetId="158">#REF!</definedName>
    <definedName name="S2_" localSheetId="157">#REF!</definedName>
    <definedName name="S2_" localSheetId="156">#REF!</definedName>
    <definedName name="S2_" localSheetId="146">#REF!</definedName>
    <definedName name="S2_" localSheetId="89">#REF!</definedName>
    <definedName name="S2_" localSheetId="90">#REF!</definedName>
    <definedName name="S2_">#REF!</definedName>
    <definedName name="S20_" localSheetId="19">#REF!</definedName>
    <definedName name="S20_" localSheetId="17">#REF!</definedName>
    <definedName name="S20_" localSheetId="45">#REF!</definedName>
    <definedName name="S20_" localSheetId="3">#REF!</definedName>
    <definedName name="S20_" localSheetId="78">#REF!</definedName>
    <definedName name="S20_" localSheetId="63">#REF!</definedName>
    <definedName name="S20_" localSheetId="73">#REF!</definedName>
    <definedName name="S20_" localSheetId="68">#REF!</definedName>
    <definedName name="S20_" localSheetId="65">#REF!</definedName>
    <definedName name="S20_" localSheetId="75">#REF!</definedName>
    <definedName name="S20_" localSheetId="70">#REF!</definedName>
    <definedName name="S20_" localSheetId="79">#REF!</definedName>
    <definedName name="S20_" localSheetId="82">#REF!</definedName>
    <definedName name="S20_" localSheetId="12">#REF!</definedName>
    <definedName name="S20_" localSheetId="11">#REF!</definedName>
    <definedName name="S20_" localSheetId="28">#REF!</definedName>
    <definedName name="S20_" localSheetId="38">#REF!</definedName>
    <definedName name="S20_" localSheetId="26">#REF!</definedName>
    <definedName name="S20_" localSheetId="34">#REF!</definedName>
    <definedName name="S20_" localSheetId="32">#REF!</definedName>
    <definedName name="S20_" localSheetId="23">#REF!</definedName>
    <definedName name="S20_" localSheetId="41">#REF!</definedName>
    <definedName name="S20_" localSheetId="31">#REF!</definedName>
    <definedName name="S20_" localSheetId="30">#REF!</definedName>
    <definedName name="S20_" localSheetId="47">#REF!</definedName>
    <definedName name="S20_" localSheetId="52">#REF!</definedName>
    <definedName name="S20_" localSheetId="62">#REF!</definedName>
    <definedName name="S20_" localSheetId="57">#REF!</definedName>
    <definedName name="S20_" localSheetId="48">#REF!</definedName>
    <definedName name="S20_" localSheetId="58">#REF!</definedName>
    <definedName name="S20_" localSheetId="53">#REF!</definedName>
    <definedName name="S20_" localSheetId="51">#REF!</definedName>
    <definedName name="S20_" localSheetId="61">#REF!</definedName>
    <definedName name="S20_" localSheetId="56">#REF!</definedName>
    <definedName name="S20_" localSheetId="60">#REF!</definedName>
    <definedName name="S20_" localSheetId="55">#REF!</definedName>
    <definedName name="S20_" localSheetId="50">#REF!</definedName>
    <definedName name="S20_" localSheetId="96">#REF!</definedName>
    <definedName name="S20_" localSheetId="93">#REF!</definedName>
    <definedName name="S20_" localSheetId="99">#REF!</definedName>
    <definedName name="S20_" localSheetId="95">#REF!</definedName>
    <definedName name="S20_" localSheetId="92">#REF!</definedName>
    <definedName name="S20_" localSheetId="98">#REF!</definedName>
    <definedName name="S20_" localSheetId="94">#REF!</definedName>
    <definedName name="S20_" localSheetId="91">#REF!</definedName>
    <definedName name="S20_" localSheetId="97">#REF!</definedName>
    <definedName name="S20_" localSheetId="103">#REF!</definedName>
    <definedName name="S20_" localSheetId="101">#REF!</definedName>
    <definedName name="S20_" localSheetId="106">#REF!</definedName>
    <definedName name="S20_" localSheetId="102">#REF!</definedName>
    <definedName name="S20_" localSheetId="100">#REF!</definedName>
    <definedName name="S20_" localSheetId="105">#REF!</definedName>
    <definedName name="S20_" localSheetId="104">#REF!</definedName>
    <definedName name="S20_" localSheetId="110">#REF!</definedName>
    <definedName name="S20_" localSheetId="107">#REF!</definedName>
    <definedName name="S20_" localSheetId="113">#REF!</definedName>
    <definedName name="S20_" localSheetId="115">#REF!</definedName>
    <definedName name="S20_" localSheetId="114">#REF!</definedName>
    <definedName name="S20_" localSheetId="112">#REF!</definedName>
    <definedName name="S20_" localSheetId="109">#REF!</definedName>
    <definedName name="S20_" localSheetId="111">#REF!</definedName>
    <definedName name="S20_" localSheetId="108">#REF!</definedName>
    <definedName name="S20_" localSheetId="122">#REF!</definedName>
    <definedName name="S20_" localSheetId="116">#REF!</definedName>
    <definedName name="S20_" localSheetId="125">#REF!</definedName>
    <definedName name="S20_" localSheetId="127">#REF!</definedName>
    <definedName name="S20_" localSheetId="126">#REF!</definedName>
    <definedName name="S20_" localSheetId="124">#REF!</definedName>
    <definedName name="S20_" localSheetId="118">#REF!</definedName>
    <definedName name="S20_" localSheetId="123">#REF!</definedName>
    <definedName name="S20_" localSheetId="117">#REF!</definedName>
    <definedName name="S20_" localSheetId="119">#REF!</definedName>
    <definedName name="S20_" localSheetId="120">#REF!</definedName>
    <definedName name="S20_" localSheetId="121">#REF!</definedName>
    <definedName name="S20_" localSheetId="129">#REF!</definedName>
    <definedName name="S20_" localSheetId="128">#REF!</definedName>
    <definedName name="S20_" localSheetId="130">#REF!</definedName>
    <definedName name="S20_" localSheetId="133">#REF!</definedName>
    <definedName name="S20_" localSheetId="132">#REF!</definedName>
    <definedName name="S20_" localSheetId="136">#REF!</definedName>
    <definedName name="S20_" localSheetId="134">#REF!</definedName>
    <definedName name="S20_" localSheetId="139">#REF!</definedName>
    <definedName name="S20_" localSheetId="137">#REF!</definedName>
    <definedName name="S20_" localSheetId="142">#REF!</definedName>
    <definedName name="S20_" localSheetId="141">#REF!</definedName>
    <definedName name="S20_" localSheetId="140">#REF!</definedName>
    <definedName name="S20_" localSheetId="145">#REF!</definedName>
    <definedName name="S20_" localSheetId="144">#REF!</definedName>
    <definedName name="S20_" localSheetId="143">#REF!</definedName>
    <definedName name="S20_" localSheetId="150">#REF!</definedName>
    <definedName name="S20_" localSheetId="158">#REF!</definedName>
    <definedName name="S20_" localSheetId="157">#REF!</definedName>
    <definedName name="S20_" localSheetId="156">#REF!</definedName>
    <definedName name="S20_" localSheetId="146">#REF!</definedName>
    <definedName name="S20_" localSheetId="89">#REF!</definedName>
    <definedName name="S20_" localSheetId="90">#REF!</definedName>
    <definedName name="S20_">#REF!</definedName>
    <definedName name="S3_" localSheetId="19">#REF!</definedName>
    <definedName name="S3_" localSheetId="17">#REF!</definedName>
    <definedName name="S3_" localSheetId="45">#REF!</definedName>
    <definedName name="S3_" localSheetId="3">#REF!</definedName>
    <definedName name="S3_" localSheetId="78">#REF!</definedName>
    <definedName name="S3_" localSheetId="63">#REF!</definedName>
    <definedName name="S3_" localSheetId="73">#REF!</definedName>
    <definedName name="S3_" localSheetId="68">#REF!</definedName>
    <definedName name="S3_" localSheetId="65">#REF!</definedName>
    <definedName name="S3_" localSheetId="75">#REF!</definedName>
    <definedName name="S3_" localSheetId="70">#REF!</definedName>
    <definedName name="S3_" localSheetId="79">#REF!</definedName>
    <definedName name="S3_" localSheetId="82">#REF!</definedName>
    <definedName name="S3_" localSheetId="12">#REF!</definedName>
    <definedName name="S3_" localSheetId="11">#REF!</definedName>
    <definedName name="S3_" localSheetId="28">#REF!</definedName>
    <definedName name="S3_" localSheetId="38">#REF!</definedName>
    <definedName name="S3_" localSheetId="26">#REF!</definedName>
    <definedName name="S3_" localSheetId="34">#REF!</definedName>
    <definedName name="S3_" localSheetId="32">#REF!</definedName>
    <definedName name="S3_" localSheetId="23">#REF!</definedName>
    <definedName name="S3_" localSheetId="41">#REF!</definedName>
    <definedName name="S3_" localSheetId="31">#REF!</definedName>
    <definedName name="S3_" localSheetId="30">#REF!</definedName>
    <definedName name="S3_" localSheetId="47">#REF!</definedName>
    <definedName name="S3_" localSheetId="52">#REF!</definedName>
    <definedName name="S3_" localSheetId="62">#REF!</definedName>
    <definedName name="S3_" localSheetId="57">#REF!</definedName>
    <definedName name="S3_" localSheetId="48">#REF!</definedName>
    <definedName name="S3_" localSheetId="58">#REF!</definedName>
    <definedName name="S3_" localSheetId="53">#REF!</definedName>
    <definedName name="S3_" localSheetId="51">#REF!</definedName>
    <definedName name="S3_" localSheetId="61">#REF!</definedName>
    <definedName name="S3_" localSheetId="56">#REF!</definedName>
    <definedName name="S3_" localSheetId="60">#REF!</definedName>
    <definedName name="S3_" localSheetId="55">#REF!</definedName>
    <definedName name="S3_" localSheetId="50">#REF!</definedName>
    <definedName name="S3_" localSheetId="96">#REF!</definedName>
    <definedName name="S3_" localSheetId="93">#REF!</definedName>
    <definedName name="S3_" localSheetId="99">#REF!</definedName>
    <definedName name="S3_" localSheetId="95">#REF!</definedName>
    <definedName name="S3_" localSheetId="92">#REF!</definedName>
    <definedName name="S3_" localSheetId="98">#REF!</definedName>
    <definedName name="S3_" localSheetId="94">#REF!</definedName>
    <definedName name="S3_" localSheetId="91">#REF!</definedName>
    <definedName name="S3_" localSheetId="97">#REF!</definedName>
    <definedName name="S3_" localSheetId="103">#REF!</definedName>
    <definedName name="S3_" localSheetId="101">#REF!</definedName>
    <definedName name="S3_" localSheetId="106">#REF!</definedName>
    <definedName name="S3_" localSheetId="102">#REF!</definedName>
    <definedName name="S3_" localSheetId="100">#REF!</definedName>
    <definedName name="S3_" localSheetId="105">#REF!</definedName>
    <definedName name="S3_" localSheetId="104">#REF!</definedName>
    <definedName name="S3_" localSheetId="110">#REF!</definedName>
    <definedName name="S3_" localSheetId="107">#REF!</definedName>
    <definedName name="S3_" localSheetId="113">#REF!</definedName>
    <definedName name="S3_" localSheetId="115">#REF!</definedName>
    <definedName name="S3_" localSheetId="114">#REF!</definedName>
    <definedName name="S3_" localSheetId="112">#REF!</definedName>
    <definedName name="S3_" localSheetId="109">#REF!</definedName>
    <definedName name="S3_" localSheetId="111">#REF!</definedName>
    <definedName name="S3_" localSheetId="108">#REF!</definedName>
    <definedName name="S3_" localSheetId="122">#REF!</definedName>
    <definedName name="S3_" localSheetId="116">#REF!</definedName>
    <definedName name="S3_" localSheetId="125">#REF!</definedName>
    <definedName name="S3_" localSheetId="127">#REF!</definedName>
    <definedName name="S3_" localSheetId="126">#REF!</definedName>
    <definedName name="S3_" localSheetId="124">#REF!</definedName>
    <definedName name="S3_" localSheetId="118">#REF!</definedName>
    <definedName name="S3_" localSheetId="123">#REF!</definedName>
    <definedName name="S3_" localSheetId="117">#REF!</definedName>
    <definedName name="S3_" localSheetId="119">#REF!</definedName>
    <definedName name="S3_" localSheetId="120">#REF!</definedName>
    <definedName name="S3_" localSheetId="121">#REF!</definedName>
    <definedName name="S3_" localSheetId="129">#REF!</definedName>
    <definedName name="S3_" localSheetId="128">#REF!</definedName>
    <definedName name="S3_" localSheetId="130">#REF!</definedName>
    <definedName name="S3_" localSheetId="133">#REF!</definedName>
    <definedName name="S3_" localSheetId="132">#REF!</definedName>
    <definedName name="S3_" localSheetId="136">#REF!</definedName>
    <definedName name="S3_" localSheetId="134">#REF!</definedName>
    <definedName name="S3_" localSheetId="139">#REF!</definedName>
    <definedName name="S3_" localSheetId="137">#REF!</definedName>
    <definedName name="S3_" localSheetId="142">#REF!</definedName>
    <definedName name="S3_" localSheetId="141">#REF!</definedName>
    <definedName name="S3_" localSheetId="140">#REF!</definedName>
    <definedName name="S3_" localSheetId="145">#REF!</definedName>
    <definedName name="S3_" localSheetId="144">#REF!</definedName>
    <definedName name="S3_" localSheetId="143">#REF!</definedName>
    <definedName name="S3_" localSheetId="150">#REF!</definedName>
    <definedName name="S3_" localSheetId="158">#REF!</definedName>
    <definedName name="S3_" localSheetId="157">#REF!</definedName>
    <definedName name="S3_" localSheetId="156">#REF!</definedName>
    <definedName name="S3_" localSheetId="146">#REF!</definedName>
    <definedName name="S3_" localSheetId="89">#REF!</definedName>
    <definedName name="S3_" localSheetId="90">#REF!</definedName>
    <definedName name="S3_">#REF!</definedName>
    <definedName name="S4_" localSheetId="19">#REF!</definedName>
    <definedName name="S4_" localSheetId="17">#REF!</definedName>
    <definedName name="S4_" localSheetId="45">#REF!</definedName>
    <definedName name="S4_" localSheetId="3">#REF!</definedName>
    <definedName name="S4_" localSheetId="78">#REF!</definedName>
    <definedName name="S4_" localSheetId="63">#REF!</definedName>
    <definedName name="S4_" localSheetId="73">#REF!</definedName>
    <definedName name="S4_" localSheetId="68">#REF!</definedName>
    <definedName name="S4_" localSheetId="65">#REF!</definedName>
    <definedName name="S4_" localSheetId="75">#REF!</definedName>
    <definedName name="S4_" localSheetId="70">#REF!</definedName>
    <definedName name="S4_" localSheetId="79">#REF!</definedName>
    <definedName name="S4_" localSheetId="82">#REF!</definedName>
    <definedName name="S4_" localSheetId="12">#REF!</definedName>
    <definedName name="S4_" localSheetId="11">#REF!</definedName>
    <definedName name="S4_" localSheetId="28">#REF!</definedName>
    <definedName name="S4_" localSheetId="38">#REF!</definedName>
    <definedName name="S4_" localSheetId="26">#REF!</definedName>
    <definedName name="S4_" localSheetId="34">#REF!</definedName>
    <definedName name="S4_" localSheetId="32">#REF!</definedName>
    <definedName name="S4_" localSheetId="23">#REF!</definedName>
    <definedName name="S4_" localSheetId="41">#REF!</definedName>
    <definedName name="S4_" localSheetId="31">#REF!</definedName>
    <definedName name="S4_" localSheetId="30">#REF!</definedName>
    <definedName name="S4_" localSheetId="47">#REF!</definedName>
    <definedName name="S4_" localSheetId="52">#REF!</definedName>
    <definedName name="S4_" localSheetId="62">#REF!</definedName>
    <definedName name="S4_" localSheetId="57">#REF!</definedName>
    <definedName name="S4_" localSheetId="48">#REF!</definedName>
    <definedName name="S4_" localSheetId="58">#REF!</definedName>
    <definedName name="S4_" localSheetId="53">#REF!</definedName>
    <definedName name="S4_" localSheetId="51">#REF!</definedName>
    <definedName name="S4_" localSheetId="61">#REF!</definedName>
    <definedName name="S4_" localSheetId="56">#REF!</definedName>
    <definedName name="S4_" localSheetId="60">#REF!</definedName>
    <definedName name="S4_" localSheetId="55">#REF!</definedName>
    <definedName name="S4_" localSheetId="50">#REF!</definedName>
    <definedName name="S4_" localSheetId="96">#REF!</definedName>
    <definedName name="S4_" localSheetId="93">#REF!</definedName>
    <definedName name="S4_" localSheetId="99">#REF!</definedName>
    <definedName name="S4_" localSheetId="95">#REF!</definedName>
    <definedName name="S4_" localSheetId="92">#REF!</definedName>
    <definedName name="S4_" localSheetId="98">#REF!</definedName>
    <definedName name="S4_" localSheetId="94">#REF!</definedName>
    <definedName name="S4_" localSheetId="91">#REF!</definedName>
    <definedName name="S4_" localSheetId="97">#REF!</definedName>
    <definedName name="S4_" localSheetId="103">#REF!</definedName>
    <definedName name="S4_" localSheetId="101">#REF!</definedName>
    <definedName name="S4_" localSheetId="106">#REF!</definedName>
    <definedName name="S4_" localSheetId="102">#REF!</definedName>
    <definedName name="S4_" localSheetId="100">#REF!</definedName>
    <definedName name="S4_" localSheetId="105">#REF!</definedName>
    <definedName name="S4_" localSheetId="104">#REF!</definedName>
    <definedName name="S4_" localSheetId="110">#REF!</definedName>
    <definedName name="S4_" localSheetId="107">#REF!</definedName>
    <definedName name="S4_" localSheetId="113">#REF!</definedName>
    <definedName name="S4_" localSheetId="115">#REF!</definedName>
    <definedName name="S4_" localSheetId="114">#REF!</definedName>
    <definedName name="S4_" localSheetId="112">#REF!</definedName>
    <definedName name="S4_" localSheetId="109">#REF!</definedName>
    <definedName name="S4_" localSheetId="111">#REF!</definedName>
    <definedName name="S4_" localSheetId="108">#REF!</definedName>
    <definedName name="S4_" localSheetId="122">#REF!</definedName>
    <definedName name="S4_" localSheetId="116">#REF!</definedName>
    <definedName name="S4_" localSheetId="125">#REF!</definedName>
    <definedName name="S4_" localSheetId="127">#REF!</definedName>
    <definedName name="S4_" localSheetId="126">#REF!</definedName>
    <definedName name="S4_" localSheetId="124">#REF!</definedName>
    <definedName name="S4_" localSheetId="118">#REF!</definedName>
    <definedName name="S4_" localSheetId="123">#REF!</definedName>
    <definedName name="S4_" localSheetId="117">#REF!</definedName>
    <definedName name="S4_" localSheetId="119">#REF!</definedName>
    <definedName name="S4_" localSheetId="120">#REF!</definedName>
    <definedName name="S4_" localSheetId="121">#REF!</definedName>
    <definedName name="S4_" localSheetId="129">#REF!</definedName>
    <definedName name="S4_" localSheetId="128">#REF!</definedName>
    <definedName name="S4_" localSheetId="130">#REF!</definedName>
    <definedName name="S4_" localSheetId="133">#REF!</definedName>
    <definedName name="S4_" localSheetId="132">#REF!</definedName>
    <definedName name="S4_" localSheetId="136">#REF!</definedName>
    <definedName name="S4_" localSheetId="134">#REF!</definedName>
    <definedName name="S4_" localSheetId="139">#REF!</definedName>
    <definedName name="S4_" localSheetId="137">#REF!</definedName>
    <definedName name="S4_" localSheetId="142">#REF!</definedName>
    <definedName name="S4_" localSheetId="141">#REF!</definedName>
    <definedName name="S4_" localSheetId="140">#REF!</definedName>
    <definedName name="S4_" localSheetId="145">#REF!</definedName>
    <definedName name="S4_" localSheetId="144">#REF!</definedName>
    <definedName name="S4_" localSheetId="143">#REF!</definedName>
    <definedName name="S4_" localSheetId="150">#REF!</definedName>
    <definedName name="S4_" localSheetId="158">#REF!</definedName>
    <definedName name="S4_" localSheetId="157">#REF!</definedName>
    <definedName name="S4_" localSheetId="156">#REF!</definedName>
    <definedName name="S4_" localSheetId="146">#REF!</definedName>
    <definedName name="S4_" localSheetId="89">#REF!</definedName>
    <definedName name="S4_" localSheetId="90">#REF!</definedName>
    <definedName name="S4_">#REF!</definedName>
    <definedName name="S5_" localSheetId="19">#REF!</definedName>
    <definedName name="S5_" localSheetId="17">#REF!</definedName>
    <definedName name="S5_" localSheetId="45">#REF!</definedName>
    <definedName name="S5_" localSheetId="3">#REF!</definedName>
    <definedName name="S5_" localSheetId="78">#REF!</definedName>
    <definedName name="S5_" localSheetId="63">#REF!</definedName>
    <definedName name="S5_" localSheetId="73">#REF!</definedName>
    <definedName name="S5_" localSheetId="68">#REF!</definedName>
    <definedName name="S5_" localSheetId="65">#REF!</definedName>
    <definedName name="S5_" localSheetId="75">#REF!</definedName>
    <definedName name="S5_" localSheetId="70">#REF!</definedName>
    <definedName name="S5_" localSheetId="79">#REF!</definedName>
    <definedName name="S5_" localSheetId="82">#REF!</definedName>
    <definedName name="S5_" localSheetId="12">#REF!</definedName>
    <definedName name="S5_" localSheetId="11">#REF!</definedName>
    <definedName name="S5_" localSheetId="28">#REF!</definedName>
    <definedName name="S5_" localSheetId="38">#REF!</definedName>
    <definedName name="S5_" localSheetId="26">#REF!</definedName>
    <definedName name="S5_" localSheetId="34">#REF!</definedName>
    <definedName name="S5_" localSheetId="32">#REF!</definedName>
    <definedName name="S5_" localSheetId="23">#REF!</definedName>
    <definedName name="S5_" localSheetId="41">#REF!</definedName>
    <definedName name="S5_" localSheetId="31">#REF!</definedName>
    <definedName name="S5_" localSheetId="30">#REF!</definedName>
    <definedName name="S5_" localSheetId="47">#REF!</definedName>
    <definedName name="S5_" localSheetId="52">#REF!</definedName>
    <definedName name="S5_" localSheetId="62">#REF!</definedName>
    <definedName name="S5_" localSheetId="57">#REF!</definedName>
    <definedName name="S5_" localSheetId="48">#REF!</definedName>
    <definedName name="S5_" localSheetId="58">#REF!</definedName>
    <definedName name="S5_" localSheetId="53">#REF!</definedName>
    <definedName name="S5_" localSheetId="51">#REF!</definedName>
    <definedName name="S5_" localSheetId="61">#REF!</definedName>
    <definedName name="S5_" localSheetId="56">#REF!</definedName>
    <definedName name="S5_" localSheetId="60">#REF!</definedName>
    <definedName name="S5_" localSheetId="55">#REF!</definedName>
    <definedName name="S5_" localSheetId="50">#REF!</definedName>
    <definedName name="S5_" localSheetId="96">#REF!</definedName>
    <definedName name="S5_" localSheetId="93">#REF!</definedName>
    <definedName name="S5_" localSheetId="99">#REF!</definedName>
    <definedName name="S5_" localSheetId="95">#REF!</definedName>
    <definedName name="S5_" localSheetId="92">#REF!</definedName>
    <definedName name="S5_" localSheetId="98">#REF!</definedName>
    <definedName name="S5_" localSheetId="94">#REF!</definedName>
    <definedName name="S5_" localSheetId="91">#REF!</definedName>
    <definedName name="S5_" localSheetId="97">#REF!</definedName>
    <definedName name="S5_" localSheetId="103">#REF!</definedName>
    <definedName name="S5_" localSheetId="101">#REF!</definedName>
    <definedName name="S5_" localSheetId="106">#REF!</definedName>
    <definedName name="S5_" localSheetId="102">#REF!</definedName>
    <definedName name="S5_" localSheetId="100">#REF!</definedName>
    <definedName name="S5_" localSheetId="105">#REF!</definedName>
    <definedName name="S5_" localSheetId="104">#REF!</definedName>
    <definedName name="S5_" localSheetId="110">#REF!</definedName>
    <definedName name="S5_" localSheetId="107">#REF!</definedName>
    <definedName name="S5_" localSheetId="113">#REF!</definedName>
    <definedName name="S5_" localSheetId="115">#REF!</definedName>
    <definedName name="S5_" localSheetId="114">#REF!</definedName>
    <definedName name="S5_" localSheetId="112">#REF!</definedName>
    <definedName name="S5_" localSheetId="109">#REF!</definedName>
    <definedName name="S5_" localSheetId="111">#REF!</definedName>
    <definedName name="S5_" localSheetId="108">#REF!</definedName>
    <definedName name="S5_" localSheetId="122">#REF!</definedName>
    <definedName name="S5_" localSheetId="116">#REF!</definedName>
    <definedName name="S5_" localSheetId="125">#REF!</definedName>
    <definedName name="S5_" localSheetId="127">#REF!</definedName>
    <definedName name="S5_" localSheetId="126">#REF!</definedName>
    <definedName name="S5_" localSheetId="124">#REF!</definedName>
    <definedName name="S5_" localSheetId="118">#REF!</definedName>
    <definedName name="S5_" localSheetId="123">#REF!</definedName>
    <definedName name="S5_" localSheetId="117">#REF!</definedName>
    <definedName name="S5_" localSheetId="119">#REF!</definedName>
    <definedName name="S5_" localSheetId="120">#REF!</definedName>
    <definedName name="S5_" localSheetId="121">#REF!</definedName>
    <definedName name="S5_" localSheetId="129">#REF!</definedName>
    <definedName name="S5_" localSheetId="128">#REF!</definedName>
    <definedName name="S5_" localSheetId="130">#REF!</definedName>
    <definedName name="S5_" localSheetId="133">#REF!</definedName>
    <definedName name="S5_" localSheetId="132">#REF!</definedName>
    <definedName name="S5_" localSheetId="136">#REF!</definedName>
    <definedName name="S5_" localSheetId="134">#REF!</definedName>
    <definedName name="S5_" localSheetId="139">#REF!</definedName>
    <definedName name="S5_" localSheetId="137">#REF!</definedName>
    <definedName name="S5_" localSheetId="142">#REF!</definedName>
    <definedName name="S5_" localSheetId="141">#REF!</definedName>
    <definedName name="S5_" localSheetId="140">#REF!</definedName>
    <definedName name="S5_" localSheetId="145">#REF!</definedName>
    <definedName name="S5_" localSheetId="144">#REF!</definedName>
    <definedName name="S5_" localSheetId="143">#REF!</definedName>
    <definedName name="S5_" localSheetId="150">#REF!</definedName>
    <definedName name="S5_" localSheetId="158">#REF!</definedName>
    <definedName name="S5_" localSheetId="157">#REF!</definedName>
    <definedName name="S5_" localSheetId="156">#REF!</definedName>
    <definedName name="S5_" localSheetId="146">#REF!</definedName>
    <definedName name="S5_" localSheetId="89">#REF!</definedName>
    <definedName name="S5_" localSheetId="90">#REF!</definedName>
    <definedName name="S5_">#REF!</definedName>
    <definedName name="S6_" localSheetId="19">#REF!</definedName>
    <definedName name="S6_" localSheetId="17">#REF!</definedName>
    <definedName name="S6_" localSheetId="45">#REF!</definedName>
    <definedName name="S6_" localSheetId="3">#REF!</definedName>
    <definedName name="S6_" localSheetId="78">#REF!</definedName>
    <definedName name="S6_" localSheetId="63">#REF!</definedName>
    <definedName name="S6_" localSheetId="73">#REF!</definedName>
    <definedName name="S6_" localSheetId="68">#REF!</definedName>
    <definedName name="S6_" localSheetId="65">#REF!</definedName>
    <definedName name="S6_" localSheetId="75">#REF!</definedName>
    <definedName name="S6_" localSheetId="70">#REF!</definedName>
    <definedName name="S6_" localSheetId="79">#REF!</definedName>
    <definedName name="S6_" localSheetId="82">#REF!</definedName>
    <definedName name="S6_" localSheetId="12">#REF!</definedName>
    <definedName name="S6_" localSheetId="11">#REF!</definedName>
    <definedName name="S6_" localSheetId="28">#REF!</definedName>
    <definedName name="S6_" localSheetId="38">#REF!</definedName>
    <definedName name="S6_" localSheetId="26">#REF!</definedName>
    <definedName name="S6_" localSheetId="34">#REF!</definedName>
    <definedName name="S6_" localSheetId="32">#REF!</definedName>
    <definedName name="S6_" localSheetId="23">#REF!</definedName>
    <definedName name="S6_" localSheetId="41">#REF!</definedName>
    <definedName name="S6_" localSheetId="31">#REF!</definedName>
    <definedName name="S6_" localSheetId="30">#REF!</definedName>
    <definedName name="S6_" localSheetId="47">#REF!</definedName>
    <definedName name="S6_" localSheetId="52">#REF!</definedName>
    <definedName name="S6_" localSheetId="62">#REF!</definedName>
    <definedName name="S6_" localSheetId="57">#REF!</definedName>
    <definedName name="S6_" localSheetId="48">#REF!</definedName>
    <definedName name="S6_" localSheetId="58">#REF!</definedName>
    <definedName name="S6_" localSheetId="53">#REF!</definedName>
    <definedName name="S6_" localSheetId="51">#REF!</definedName>
    <definedName name="S6_" localSheetId="61">#REF!</definedName>
    <definedName name="S6_" localSheetId="56">#REF!</definedName>
    <definedName name="S6_" localSheetId="60">#REF!</definedName>
    <definedName name="S6_" localSheetId="55">#REF!</definedName>
    <definedName name="S6_" localSheetId="50">#REF!</definedName>
    <definedName name="S6_" localSheetId="96">#REF!</definedName>
    <definedName name="S6_" localSheetId="93">#REF!</definedName>
    <definedName name="S6_" localSheetId="99">#REF!</definedName>
    <definedName name="S6_" localSheetId="95">#REF!</definedName>
    <definedName name="S6_" localSheetId="92">#REF!</definedName>
    <definedName name="S6_" localSheetId="98">#REF!</definedName>
    <definedName name="S6_" localSheetId="94">#REF!</definedName>
    <definedName name="S6_" localSheetId="91">#REF!</definedName>
    <definedName name="S6_" localSheetId="97">#REF!</definedName>
    <definedName name="S6_" localSheetId="103">#REF!</definedName>
    <definedName name="S6_" localSheetId="101">#REF!</definedName>
    <definedName name="S6_" localSheetId="106">#REF!</definedName>
    <definedName name="S6_" localSheetId="102">#REF!</definedName>
    <definedName name="S6_" localSheetId="100">#REF!</definedName>
    <definedName name="S6_" localSheetId="105">#REF!</definedName>
    <definedName name="S6_" localSheetId="104">#REF!</definedName>
    <definedName name="S6_" localSheetId="110">#REF!</definedName>
    <definedName name="S6_" localSheetId="107">#REF!</definedName>
    <definedName name="S6_" localSheetId="113">#REF!</definedName>
    <definedName name="S6_" localSheetId="115">#REF!</definedName>
    <definedName name="S6_" localSheetId="114">#REF!</definedName>
    <definedName name="S6_" localSheetId="112">#REF!</definedName>
    <definedName name="S6_" localSheetId="109">#REF!</definedName>
    <definedName name="S6_" localSheetId="111">#REF!</definedName>
    <definedName name="S6_" localSheetId="108">#REF!</definedName>
    <definedName name="S6_" localSheetId="122">#REF!</definedName>
    <definedName name="S6_" localSheetId="116">#REF!</definedName>
    <definedName name="S6_" localSheetId="125">#REF!</definedName>
    <definedName name="S6_" localSheetId="127">#REF!</definedName>
    <definedName name="S6_" localSheetId="126">#REF!</definedName>
    <definedName name="S6_" localSheetId="124">#REF!</definedName>
    <definedName name="S6_" localSheetId="118">#REF!</definedName>
    <definedName name="S6_" localSheetId="123">#REF!</definedName>
    <definedName name="S6_" localSheetId="117">#REF!</definedName>
    <definedName name="S6_" localSheetId="119">#REF!</definedName>
    <definedName name="S6_" localSheetId="120">#REF!</definedName>
    <definedName name="S6_" localSheetId="121">#REF!</definedName>
    <definedName name="S6_" localSheetId="129">#REF!</definedName>
    <definedName name="S6_" localSheetId="128">#REF!</definedName>
    <definedName name="S6_" localSheetId="130">#REF!</definedName>
    <definedName name="S6_" localSheetId="133">#REF!</definedName>
    <definedName name="S6_" localSheetId="132">#REF!</definedName>
    <definedName name="S6_" localSheetId="136">#REF!</definedName>
    <definedName name="S6_" localSheetId="134">#REF!</definedName>
    <definedName name="S6_" localSheetId="139">#REF!</definedName>
    <definedName name="S6_" localSheetId="137">#REF!</definedName>
    <definedName name="S6_" localSheetId="142">#REF!</definedName>
    <definedName name="S6_" localSheetId="141">#REF!</definedName>
    <definedName name="S6_" localSheetId="140">#REF!</definedName>
    <definedName name="S6_" localSheetId="145">#REF!</definedName>
    <definedName name="S6_" localSheetId="144">#REF!</definedName>
    <definedName name="S6_" localSheetId="143">#REF!</definedName>
    <definedName name="S6_" localSheetId="150">#REF!</definedName>
    <definedName name="S6_" localSheetId="158">#REF!</definedName>
    <definedName name="S6_" localSheetId="157">#REF!</definedName>
    <definedName name="S6_" localSheetId="156">#REF!</definedName>
    <definedName name="S6_" localSheetId="146">#REF!</definedName>
    <definedName name="S6_" localSheetId="89">#REF!</definedName>
    <definedName name="S6_" localSheetId="90">#REF!</definedName>
    <definedName name="S6_">#REF!</definedName>
    <definedName name="S7_" localSheetId="19">#REF!</definedName>
    <definedName name="S7_" localSheetId="17">#REF!</definedName>
    <definedName name="S7_" localSheetId="45">#REF!</definedName>
    <definedName name="S7_" localSheetId="3">#REF!</definedName>
    <definedName name="S7_" localSheetId="78">#REF!</definedName>
    <definedName name="S7_" localSheetId="63">#REF!</definedName>
    <definedName name="S7_" localSheetId="73">#REF!</definedName>
    <definedName name="S7_" localSheetId="68">#REF!</definedName>
    <definedName name="S7_" localSheetId="65">#REF!</definedName>
    <definedName name="S7_" localSheetId="75">#REF!</definedName>
    <definedName name="S7_" localSheetId="70">#REF!</definedName>
    <definedName name="S7_" localSheetId="79">#REF!</definedName>
    <definedName name="S7_" localSheetId="82">#REF!</definedName>
    <definedName name="S7_" localSheetId="12">#REF!</definedName>
    <definedName name="S7_" localSheetId="11">#REF!</definedName>
    <definedName name="S7_" localSheetId="28">#REF!</definedName>
    <definedName name="S7_" localSheetId="38">#REF!</definedName>
    <definedName name="S7_" localSheetId="26">#REF!</definedName>
    <definedName name="S7_" localSheetId="34">#REF!</definedName>
    <definedName name="S7_" localSheetId="32">#REF!</definedName>
    <definedName name="S7_" localSheetId="23">#REF!</definedName>
    <definedName name="S7_" localSheetId="41">#REF!</definedName>
    <definedName name="S7_" localSheetId="31">#REF!</definedName>
    <definedName name="S7_" localSheetId="30">#REF!</definedName>
    <definedName name="S7_" localSheetId="47">#REF!</definedName>
    <definedName name="S7_" localSheetId="52">#REF!</definedName>
    <definedName name="S7_" localSheetId="62">#REF!</definedName>
    <definedName name="S7_" localSheetId="57">#REF!</definedName>
    <definedName name="S7_" localSheetId="48">#REF!</definedName>
    <definedName name="S7_" localSheetId="58">#REF!</definedName>
    <definedName name="S7_" localSheetId="53">#REF!</definedName>
    <definedName name="S7_" localSheetId="51">#REF!</definedName>
    <definedName name="S7_" localSheetId="61">#REF!</definedName>
    <definedName name="S7_" localSheetId="56">#REF!</definedName>
    <definedName name="S7_" localSheetId="60">#REF!</definedName>
    <definedName name="S7_" localSheetId="55">#REF!</definedName>
    <definedName name="S7_" localSheetId="50">#REF!</definedName>
    <definedName name="S7_" localSheetId="96">#REF!</definedName>
    <definedName name="S7_" localSheetId="93">#REF!</definedName>
    <definedName name="S7_" localSheetId="99">#REF!</definedName>
    <definedName name="S7_" localSheetId="95">#REF!</definedName>
    <definedName name="S7_" localSheetId="92">#REF!</definedName>
    <definedName name="S7_" localSheetId="98">#REF!</definedName>
    <definedName name="S7_" localSheetId="94">#REF!</definedName>
    <definedName name="S7_" localSheetId="91">#REF!</definedName>
    <definedName name="S7_" localSheetId="97">#REF!</definedName>
    <definedName name="S7_" localSheetId="103">#REF!</definedName>
    <definedName name="S7_" localSheetId="101">#REF!</definedName>
    <definedName name="S7_" localSheetId="106">#REF!</definedName>
    <definedName name="S7_" localSheetId="102">#REF!</definedName>
    <definedName name="S7_" localSheetId="100">#REF!</definedName>
    <definedName name="S7_" localSheetId="105">#REF!</definedName>
    <definedName name="S7_" localSheetId="104">#REF!</definedName>
    <definedName name="S7_" localSheetId="110">#REF!</definedName>
    <definedName name="S7_" localSheetId="107">#REF!</definedName>
    <definedName name="S7_" localSheetId="113">#REF!</definedName>
    <definedName name="S7_" localSheetId="115">#REF!</definedName>
    <definedName name="S7_" localSheetId="114">#REF!</definedName>
    <definedName name="S7_" localSheetId="112">#REF!</definedName>
    <definedName name="S7_" localSheetId="109">#REF!</definedName>
    <definedName name="S7_" localSheetId="111">#REF!</definedName>
    <definedName name="S7_" localSheetId="108">#REF!</definedName>
    <definedName name="S7_" localSheetId="122">#REF!</definedName>
    <definedName name="S7_" localSheetId="116">#REF!</definedName>
    <definedName name="S7_" localSheetId="125">#REF!</definedName>
    <definedName name="S7_" localSheetId="127">#REF!</definedName>
    <definedName name="S7_" localSheetId="126">#REF!</definedName>
    <definedName name="S7_" localSheetId="124">#REF!</definedName>
    <definedName name="S7_" localSheetId="118">#REF!</definedName>
    <definedName name="S7_" localSheetId="123">#REF!</definedName>
    <definedName name="S7_" localSheetId="117">#REF!</definedName>
    <definedName name="S7_" localSheetId="119">#REF!</definedName>
    <definedName name="S7_" localSheetId="120">#REF!</definedName>
    <definedName name="S7_" localSheetId="121">#REF!</definedName>
    <definedName name="S7_" localSheetId="129">#REF!</definedName>
    <definedName name="S7_" localSheetId="128">#REF!</definedName>
    <definedName name="S7_" localSheetId="130">#REF!</definedName>
    <definedName name="S7_" localSheetId="133">#REF!</definedName>
    <definedName name="S7_" localSheetId="132">#REF!</definedName>
    <definedName name="S7_" localSheetId="136">#REF!</definedName>
    <definedName name="S7_" localSheetId="134">#REF!</definedName>
    <definedName name="S7_" localSheetId="139">#REF!</definedName>
    <definedName name="S7_" localSheetId="137">#REF!</definedName>
    <definedName name="S7_" localSheetId="142">#REF!</definedName>
    <definedName name="S7_" localSheetId="141">#REF!</definedName>
    <definedName name="S7_" localSheetId="140">#REF!</definedName>
    <definedName name="S7_" localSheetId="145">#REF!</definedName>
    <definedName name="S7_" localSheetId="144">#REF!</definedName>
    <definedName name="S7_" localSheetId="143">#REF!</definedName>
    <definedName name="S7_" localSheetId="150">#REF!</definedName>
    <definedName name="S7_" localSheetId="158">#REF!</definedName>
    <definedName name="S7_" localSheetId="157">#REF!</definedName>
    <definedName name="S7_" localSheetId="156">#REF!</definedName>
    <definedName name="S7_" localSheetId="146">#REF!</definedName>
    <definedName name="S7_" localSheetId="89">#REF!</definedName>
    <definedName name="S7_" localSheetId="90">#REF!</definedName>
    <definedName name="S7_">#REF!</definedName>
    <definedName name="S8_" localSheetId="19">#REF!</definedName>
    <definedName name="S8_" localSheetId="17">#REF!</definedName>
    <definedName name="S8_" localSheetId="45">#REF!</definedName>
    <definedName name="S8_" localSheetId="3">#REF!</definedName>
    <definedName name="S8_" localSheetId="78">#REF!</definedName>
    <definedName name="S8_" localSheetId="63">#REF!</definedName>
    <definedName name="S8_" localSheetId="73">#REF!</definedName>
    <definedName name="S8_" localSheetId="68">#REF!</definedName>
    <definedName name="S8_" localSheetId="65">#REF!</definedName>
    <definedName name="S8_" localSheetId="75">#REF!</definedName>
    <definedName name="S8_" localSheetId="70">#REF!</definedName>
    <definedName name="S8_" localSheetId="79">#REF!</definedName>
    <definedName name="S8_" localSheetId="82">#REF!</definedName>
    <definedName name="S8_" localSheetId="12">#REF!</definedName>
    <definedName name="S8_" localSheetId="11">#REF!</definedName>
    <definedName name="S8_" localSheetId="28">#REF!</definedName>
    <definedName name="S8_" localSheetId="38">#REF!</definedName>
    <definedName name="S8_" localSheetId="26">#REF!</definedName>
    <definedName name="S8_" localSheetId="34">#REF!</definedName>
    <definedName name="S8_" localSheetId="32">#REF!</definedName>
    <definedName name="S8_" localSheetId="23">#REF!</definedName>
    <definedName name="S8_" localSheetId="41">#REF!</definedName>
    <definedName name="S8_" localSheetId="31">#REF!</definedName>
    <definedName name="S8_" localSheetId="30">#REF!</definedName>
    <definedName name="S8_" localSheetId="47">#REF!</definedName>
    <definedName name="S8_" localSheetId="52">#REF!</definedName>
    <definedName name="S8_" localSheetId="62">#REF!</definedName>
    <definedName name="S8_" localSheetId="57">#REF!</definedName>
    <definedName name="S8_" localSheetId="48">#REF!</definedName>
    <definedName name="S8_" localSheetId="58">#REF!</definedName>
    <definedName name="S8_" localSheetId="53">#REF!</definedName>
    <definedName name="S8_" localSheetId="51">#REF!</definedName>
    <definedName name="S8_" localSheetId="61">#REF!</definedName>
    <definedName name="S8_" localSheetId="56">#REF!</definedName>
    <definedName name="S8_" localSheetId="60">#REF!</definedName>
    <definedName name="S8_" localSheetId="55">#REF!</definedName>
    <definedName name="S8_" localSheetId="50">#REF!</definedName>
    <definedName name="S8_" localSheetId="96">#REF!</definedName>
    <definedName name="S8_" localSheetId="93">#REF!</definedName>
    <definedName name="S8_" localSheetId="99">#REF!</definedName>
    <definedName name="S8_" localSheetId="95">#REF!</definedName>
    <definedName name="S8_" localSheetId="92">#REF!</definedName>
    <definedName name="S8_" localSheetId="98">#REF!</definedName>
    <definedName name="S8_" localSheetId="94">#REF!</definedName>
    <definedName name="S8_" localSheetId="91">#REF!</definedName>
    <definedName name="S8_" localSheetId="97">#REF!</definedName>
    <definedName name="S8_" localSheetId="103">#REF!</definedName>
    <definedName name="S8_" localSheetId="101">#REF!</definedName>
    <definedName name="S8_" localSheetId="106">#REF!</definedName>
    <definedName name="S8_" localSheetId="102">#REF!</definedName>
    <definedName name="S8_" localSheetId="100">#REF!</definedName>
    <definedName name="S8_" localSheetId="105">#REF!</definedName>
    <definedName name="S8_" localSheetId="104">#REF!</definedName>
    <definedName name="S8_" localSheetId="110">#REF!</definedName>
    <definedName name="S8_" localSheetId="107">#REF!</definedName>
    <definedName name="S8_" localSheetId="113">#REF!</definedName>
    <definedName name="S8_" localSheetId="115">#REF!</definedName>
    <definedName name="S8_" localSheetId="114">#REF!</definedName>
    <definedName name="S8_" localSheetId="112">#REF!</definedName>
    <definedName name="S8_" localSheetId="109">#REF!</definedName>
    <definedName name="S8_" localSheetId="111">#REF!</definedName>
    <definedName name="S8_" localSheetId="108">#REF!</definedName>
    <definedName name="S8_" localSheetId="122">#REF!</definedName>
    <definedName name="S8_" localSheetId="116">#REF!</definedName>
    <definedName name="S8_" localSheetId="125">#REF!</definedName>
    <definedName name="S8_" localSheetId="127">#REF!</definedName>
    <definedName name="S8_" localSheetId="126">#REF!</definedName>
    <definedName name="S8_" localSheetId="124">#REF!</definedName>
    <definedName name="S8_" localSheetId="118">#REF!</definedName>
    <definedName name="S8_" localSheetId="123">#REF!</definedName>
    <definedName name="S8_" localSheetId="117">#REF!</definedName>
    <definedName name="S8_" localSheetId="119">#REF!</definedName>
    <definedName name="S8_" localSheetId="120">#REF!</definedName>
    <definedName name="S8_" localSheetId="121">#REF!</definedName>
    <definedName name="S8_" localSheetId="129">#REF!</definedName>
    <definedName name="S8_" localSheetId="128">#REF!</definedName>
    <definedName name="S8_" localSheetId="130">#REF!</definedName>
    <definedName name="S8_" localSheetId="133">#REF!</definedName>
    <definedName name="S8_" localSheetId="132">#REF!</definedName>
    <definedName name="S8_" localSheetId="136">#REF!</definedName>
    <definedName name="S8_" localSheetId="134">#REF!</definedName>
    <definedName name="S8_" localSheetId="139">#REF!</definedName>
    <definedName name="S8_" localSheetId="137">#REF!</definedName>
    <definedName name="S8_" localSheetId="142">#REF!</definedName>
    <definedName name="S8_" localSheetId="141">#REF!</definedName>
    <definedName name="S8_" localSheetId="140">#REF!</definedName>
    <definedName name="S8_" localSheetId="145">#REF!</definedName>
    <definedName name="S8_" localSheetId="144">#REF!</definedName>
    <definedName name="S8_" localSheetId="143">#REF!</definedName>
    <definedName name="S8_" localSheetId="150">#REF!</definedName>
    <definedName name="S8_" localSheetId="158">#REF!</definedName>
    <definedName name="S8_" localSheetId="157">#REF!</definedName>
    <definedName name="S8_" localSheetId="156">#REF!</definedName>
    <definedName name="S8_" localSheetId="146">#REF!</definedName>
    <definedName name="S8_" localSheetId="89">#REF!</definedName>
    <definedName name="S8_" localSheetId="90">#REF!</definedName>
    <definedName name="S8_">#REF!</definedName>
    <definedName name="S9_" localSheetId="19">#REF!</definedName>
    <definedName name="S9_" localSheetId="17">#REF!</definedName>
    <definedName name="S9_" localSheetId="45">#REF!</definedName>
    <definedName name="S9_" localSheetId="3">#REF!</definedName>
    <definedName name="S9_" localSheetId="78">#REF!</definedName>
    <definedName name="S9_" localSheetId="63">#REF!</definedName>
    <definedName name="S9_" localSheetId="73">#REF!</definedName>
    <definedName name="S9_" localSheetId="68">#REF!</definedName>
    <definedName name="S9_" localSheetId="65">#REF!</definedName>
    <definedName name="S9_" localSheetId="75">#REF!</definedName>
    <definedName name="S9_" localSheetId="70">#REF!</definedName>
    <definedName name="S9_" localSheetId="79">#REF!</definedName>
    <definedName name="S9_" localSheetId="82">#REF!</definedName>
    <definedName name="S9_" localSheetId="12">#REF!</definedName>
    <definedName name="S9_" localSheetId="11">#REF!</definedName>
    <definedName name="S9_" localSheetId="28">#REF!</definedName>
    <definedName name="S9_" localSheetId="38">#REF!</definedName>
    <definedName name="S9_" localSheetId="26">#REF!</definedName>
    <definedName name="S9_" localSheetId="34">#REF!</definedName>
    <definedName name="S9_" localSheetId="32">#REF!</definedName>
    <definedName name="S9_" localSheetId="23">#REF!</definedName>
    <definedName name="S9_" localSheetId="41">#REF!</definedName>
    <definedName name="S9_" localSheetId="31">#REF!</definedName>
    <definedName name="S9_" localSheetId="30">#REF!</definedName>
    <definedName name="S9_" localSheetId="47">#REF!</definedName>
    <definedName name="S9_" localSheetId="52">#REF!</definedName>
    <definedName name="S9_" localSheetId="62">#REF!</definedName>
    <definedName name="S9_" localSheetId="57">#REF!</definedName>
    <definedName name="S9_" localSheetId="48">#REF!</definedName>
    <definedName name="S9_" localSheetId="58">#REF!</definedName>
    <definedName name="S9_" localSheetId="53">#REF!</definedName>
    <definedName name="S9_" localSheetId="51">#REF!</definedName>
    <definedName name="S9_" localSheetId="61">#REF!</definedName>
    <definedName name="S9_" localSheetId="56">#REF!</definedName>
    <definedName name="S9_" localSheetId="60">#REF!</definedName>
    <definedName name="S9_" localSheetId="55">#REF!</definedName>
    <definedName name="S9_" localSheetId="50">#REF!</definedName>
    <definedName name="S9_" localSheetId="96">#REF!</definedName>
    <definedName name="S9_" localSheetId="93">#REF!</definedName>
    <definedName name="S9_" localSheetId="99">#REF!</definedName>
    <definedName name="S9_" localSheetId="95">#REF!</definedName>
    <definedName name="S9_" localSheetId="92">#REF!</definedName>
    <definedName name="S9_" localSheetId="98">#REF!</definedName>
    <definedName name="S9_" localSheetId="94">#REF!</definedName>
    <definedName name="S9_" localSheetId="91">#REF!</definedName>
    <definedName name="S9_" localSheetId="97">#REF!</definedName>
    <definedName name="S9_" localSheetId="103">#REF!</definedName>
    <definedName name="S9_" localSheetId="101">#REF!</definedName>
    <definedName name="S9_" localSheetId="106">#REF!</definedName>
    <definedName name="S9_" localSheetId="102">#REF!</definedName>
    <definedName name="S9_" localSheetId="100">#REF!</definedName>
    <definedName name="S9_" localSheetId="105">#REF!</definedName>
    <definedName name="S9_" localSheetId="104">#REF!</definedName>
    <definedName name="S9_" localSheetId="110">#REF!</definedName>
    <definedName name="S9_" localSheetId="107">#REF!</definedName>
    <definedName name="S9_" localSheetId="113">#REF!</definedName>
    <definedName name="S9_" localSheetId="115">#REF!</definedName>
    <definedName name="S9_" localSheetId="114">#REF!</definedName>
    <definedName name="S9_" localSheetId="112">#REF!</definedName>
    <definedName name="S9_" localSheetId="109">#REF!</definedName>
    <definedName name="S9_" localSheetId="111">#REF!</definedName>
    <definedName name="S9_" localSheetId="108">#REF!</definedName>
    <definedName name="S9_" localSheetId="122">#REF!</definedName>
    <definedName name="S9_" localSheetId="116">#REF!</definedName>
    <definedName name="S9_" localSheetId="125">#REF!</definedName>
    <definedName name="S9_" localSheetId="127">#REF!</definedName>
    <definedName name="S9_" localSheetId="126">#REF!</definedName>
    <definedName name="S9_" localSheetId="124">#REF!</definedName>
    <definedName name="S9_" localSheetId="118">#REF!</definedName>
    <definedName name="S9_" localSheetId="123">#REF!</definedName>
    <definedName name="S9_" localSheetId="117">#REF!</definedName>
    <definedName name="S9_" localSheetId="119">#REF!</definedName>
    <definedName name="S9_" localSheetId="120">#REF!</definedName>
    <definedName name="S9_" localSheetId="121">#REF!</definedName>
    <definedName name="S9_" localSheetId="129">#REF!</definedName>
    <definedName name="S9_" localSheetId="128">#REF!</definedName>
    <definedName name="S9_" localSheetId="130">#REF!</definedName>
    <definedName name="S9_" localSheetId="133">#REF!</definedName>
    <definedName name="S9_" localSheetId="132">#REF!</definedName>
    <definedName name="S9_" localSheetId="136">#REF!</definedName>
    <definedName name="S9_" localSheetId="134">#REF!</definedName>
    <definedName name="S9_" localSheetId="139">#REF!</definedName>
    <definedName name="S9_" localSheetId="137">#REF!</definedName>
    <definedName name="S9_" localSheetId="142">#REF!</definedName>
    <definedName name="S9_" localSheetId="141">#REF!</definedName>
    <definedName name="S9_" localSheetId="140">#REF!</definedName>
    <definedName name="S9_" localSheetId="145">#REF!</definedName>
    <definedName name="S9_" localSheetId="144">#REF!</definedName>
    <definedName name="S9_" localSheetId="143">#REF!</definedName>
    <definedName name="S9_" localSheetId="150">#REF!</definedName>
    <definedName name="S9_" localSheetId="158">#REF!</definedName>
    <definedName name="S9_" localSheetId="157">#REF!</definedName>
    <definedName name="S9_" localSheetId="156">#REF!</definedName>
    <definedName name="S9_" localSheetId="146">#REF!</definedName>
    <definedName name="S9_" localSheetId="89">#REF!</definedName>
    <definedName name="S9_" localSheetId="90">#REF!</definedName>
    <definedName name="S9_">#REF!</definedName>
    <definedName name="SCOPE_NALOG">[6]Справочники!$R$3:$R$4</definedName>
    <definedName name="sd" localSheetId="19">'[3]5.2-опер.рас ПП'!sd</definedName>
    <definedName name="sd" localSheetId="17">'[3]5.2-опер.рас ПП'!sd</definedName>
    <definedName name="sd" localSheetId="45">'4. 7_котельн.'!sd</definedName>
    <definedName name="sd" localSheetId="44">'4. 7_КТЭЦ'!sd</definedName>
    <definedName name="sd" localSheetId="3">'[3]5.2-опер.рас ПП'!sd</definedName>
    <definedName name="sd" localSheetId="78">'[3]5.2-опер.рас ПП'!sd</definedName>
    <definedName name="sd" localSheetId="65">'[3]5.2-опер.рас ПП'!sd</definedName>
    <definedName name="sd" localSheetId="75">'[3]5.2-опер.рас ПП'!sd</definedName>
    <definedName name="sd" localSheetId="70">'[3]5.2-опер.рас ПП'!sd</definedName>
    <definedName name="sd" localSheetId="79">'[3]5.2-опер.рас ПП'!sd</definedName>
    <definedName name="sd" localSheetId="82">'[3]5.2-опер.рас ПП'!sd</definedName>
    <definedName name="sd" localSheetId="12">'[3]5.2-опер.рас ПП'!sd</definedName>
    <definedName name="sd" localSheetId="11">'[3]5.2-опер.рас ПП'!sd</definedName>
    <definedName name="sd" localSheetId="20">'[4]5.2-опер.рас ПП'!sd</definedName>
    <definedName name="sd" localSheetId="28">'[3]5.2-опер.рас ПП'!sd</definedName>
    <definedName name="sd" localSheetId="38">'[3]5.2-опер.рас ПП'!sd</definedName>
    <definedName name="sd" localSheetId="26">'[3]5.2-опер.рас ПП'!sd</definedName>
    <definedName name="sd" localSheetId="34">'[3]5.2-опер.рас ПП'!sd</definedName>
    <definedName name="sd" localSheetId="32">'[3]5.2-опер.рас ПП'!sd</definedName>
    <definedName name="sd" localSheetId="23">'[3]5.2-опер.рас ПП'!sd</definedName>
    <definedName name="sd" localSheetId="41">'[3]5.2-опер.рас ПП'!sd</definedName>
    <definedName name="sd" localSheetId="31">'[3]5.2-опер.рас ПП'!sd</definedName>
    <definedName name="sd" localSheetId="30">'[3]5.2-опер.рас ПП'!sd</definedName>
    <definedName name="sd" localSheetId="47">'[4]5.2-опер.рас ПП'!sd</definedName>
    <definedName name="sd" localSheetId="46">'[4]5.2-опер.рас ПП'!sd</definedName>
    <definedName name="sd" localSheetId="52">'[3]5.2-опер.рас ПП'!sd</definedName>
    <definedName name="sd" localSheetId="62">'[3]5.2-опер.рас ПП'!sd</definedName>
    <definedName name="sd" localSheetId="57">'[3]5.2-опер.рас ПП'!sd</definedName>
    <definedName name="sd" localSheetId="51">'[3]5.2-опер.рас ПП'!sd</definedName>
    <definedName name="sd" localSheetId="61">'[3]5.2-опер.рас ПП'!sd</definedName>
    <definedName name="sd" localSheetId="56">'[3]5.2-опер.рас ПП'!sd</definedName>
    <definedName name="sd" localSheetId="60">'[3]5.2-опер.рас ПП'!sd</definedName>
    <definedName name="sd" localSheetId="55">'[3]5.2-опер.рас ПП'!sd</definedName>
    <definedName name="sd" localSheetId="50">'[3]5.2-опер.рас ПП'!sd</definedName>
    <definedName name="sd" localSheetId="96">'[3]5.2-опер.рас ПП'!sd</definedName>
    <definedName name="sd" localSheetId="93">'[3]5.2-опер.рас ПП'!sd</definedName>
    <definedName name="sd" localSheetId="99">'[3]5.2-опер.рас ПП'!sd</definedName>
    <definedName name="sd" localSheetId="95">'[3]5.2-опер.рас ПП'!sd</definedName>
    <definedName name="sd" localSheetId="92">'[3]5.2-опер.рас ПП'!sd</definedName>
    <definedName name="sd" localSheetId="98">'[3]5.2-опер.рас ПП'!sd</definedName>
    <definedName name="sd" localSheetId="94">'[3]5.2-опер.рас ПП'!sd</definedName>
    <definedName name="sd" localSheetId="91">'[3]5.2-опер.рас ПП'!sd</definedName>
    <definedName name="sd" localSheetId="97">'[3]5.2-опер.рас ПП'!sd</definedName>
    <definedName name="sd" localSheetId="103">'[3]5.2-опер.рас ПП'!sd</definedName>
    <definedName name="sd" localSheetId="101">'[3]5.2-опер.рас ПП'!sd</definedName>
    <definedName name="sd" localSheetId="106">'[3]5.2-опер.рас ПП'!sd</definedName>
    <definedName name="sd" localSheetId="102">'[3]5.2-опер.рас ПП'!sd</definedName>
    <definedName name="sd" localSheetId="100">'[3]5.2-опер.рас ПП'!sd</definedName>
    <definedName name="sd" localSheetId="105">'[3]5.2-опер.рас ПП'!sd</definedName>
    <definedName name="sd" localSheetId="104">'[3]5.2-опер.рас ПП'!sd</definedName>
    <definedName name="sd" localSheetId="110">'[3]5.2-опер.рас ПП'!sd</definedName>
    <definedName name="sd" localSheetId="107">'[3]5.2-опер.рас ПП'!sd</definedName>
    <definedName name="sd" localSheetId="113">'[3]5.2-опер.рас ПП'!sd</definedName>
    <definedName name="sd" localSheetId="115">'[3]5.2-опер.рас ПП'!sd</definedName>
    <definedName name="sd" localSheetId="114">'[3]5.2-опер.рас ПП'!sd</definedName>
    <definedName name="sd" localSheetId="112">'[3]5.2-опер.рас ПП'!sd</definedName>
    <definedName name="sd" localSheetId="109">'[3]5.2-опер.рас ПП'!sd</definedName>
    <definedName name="sd" localSheetId="111">'[3]5.2-опер.рас ПП'!sd</definedName>
    <definedName name="sd" localSheetId="108">'[3]5.2-опер.рас ПП'!sd</definedName>
    <definedName name="sd" localSheetId="122">'[3]5.2-опер.рас ПП'!sd</definedName>
    <definedName name="sd" localSheetId="116">'[3]5.2-опер.рас ПП'!sd</definedName>
    <definedName name="sd" localSheetId="125">'[3]5.2-опер.рас ПП'!sd</definedName>
    <definedName name="sd" localSheetId="127">'[3]5.2-опер.рас ПП'!sd</definedName>
    <definedName name="sd" localSheetId="126">'[3]5.2-опер.рас ПП'!sd</definedName>
    <definedName name="sd" localSheetId="124">'[3]5.2-опер.рас ПП'!sd</definedName>
    <definedName name="sd" localSheetId="118">'[3]5.2-опер.рас ПП'!sd</definedName>
    <definedName name="sd" localSheetId="123">'[3]5.2-опер.рас ПП'!sd</definedName>
    <definedName name="sd" localSheetId="117">'[3]5.2-опер.рас ПП'!sd</definedName>
    <definedName name="sd" localSheetId="119">'[3]5.2-опер.рас ПП'!sd</definedName>
    <definedName name="sd" localSheetId="120">'[3]5.2-опер.рас ПП'!sd</definedName>
    <definedName name="sd" localSheetId="121">'[3]5.2-опер.рас ПП'!sd</definedName>
    <definedName name="sd" localSheetId="129">'[3]5.2-опер.рас ПП'!sd</definedName>
    <definedName name="sd" localSheetId="128">'[3]5.2-опер.рас ПП'!sd</definedName>
    <definedName name="sd" localSheetId="130">'[3]5.2-опер.рас ПП'!sd</definedName>
    <definedName name="sd" localSheetId="133">'[3]5.2-опер.рас ПП'!sd</definedName>
    <definedName name="sd" localSheetId="132">'[3]5.2-опер.рас ПП'!sd</definedName>
    <definedName name="sd" localSheetId="136">'[3]5.2-опер.рас ПП'!sd</definedName>
    <definedName name="sd" localSheetId="134">'[3]5.2-опер.рас ПП'!sd</definedName>
    <definedName name="sd" localSheetId="139">'[3]5.2-опер.рас ПП'!sd</definedName>
    <definedName name="sd" localSheetId="137">'[3]5.2-опер.рас ПП'!sd</definedName>
    <definedName name="sd" localSheetId="142">'[3]5.2-опер.рас ПП'!sd</definedName>
    <definedName name="sd" localSheetId="141">'[3]5.2-опер.рас ПП'!sd</definedName>
    <definedName name="sd" localSheetId="140">'[3]5.2-опер.рас ПП'!sd</definedName>
    <definedName name="sd" localSheetId="145">'[3]5.2-опер.рас ПП'!sd</definedName>
    <definedName name="sd" localSheetId="143">'[3]5.2-опер.рас ПП'!sd</definedName>
    <definedName name="sd" localSheetId="150">'[3]5.2-опер.рас ПП'!sd</definedName>
    <definedName name="sd" localSheetId="158">'[3]5.2-опер.рас ПП'!sd</definedName>
    <definedName name="sd" localSheetId="157">'[3]5.2-опер.рас ПП'!sd</definedName>
    <definedName name="sd" localSheetId="156">'[3]5.2-опер.рас ПП'!sd</definedName>
    <definedName name="sd" localSheetId="146">'[3]5.2-опер.рас ПП'!sd</definedName>
    <definedName name="sd" localSheetId="89">'[3]5.2-опер.рас ПП'!sd</definedName>
    <definedName name="sd" localSheetId="90">'[3]5.2-опер.рас ПП'!sd</definedName>
    <definedName name="sd" localSheetId="2">'[4]5.2-опер.рас ПП'!sd</definedName>
    <definedName name="sd" localSheetId="1">'[4]5.2-опер.рас ПП'!sd</definedName>
    <definedName name="sd">'[3]5.2-опер.рас ПП'!sd</definedName>
    <definedName name="tt" localSheetId="19">'[3]5.2-опер.рас ПП'!tt</definedName>
    <definedName name="tt" localSheetId="17">'[3]5.2-опер.рас ПП'!tt</definedName>
    <definedName name="tt" localSheetId="45">'4. 7_котельн.'!tt</definedName>
    <definedName name="tt" localSheetId="44">'4. 7_КТЭЦ'!tt</definedName>
    <definedName name="tt" localSheetId="3">'[3]5.2-опер.рас ПП'!tt</definedName>
    <definedName name="tt" localSheetId="78">'[3]5.2-опер.рас ПП'!tt</definedName>
    <definedName name="tt" localSheetId="65">'[3]5.2-опер.рас ПП'!tt</definedName>
    <definedName name="tt" localSheetId="75">'[3]5.2-опер.рас ПП'!tt</definedName>
    <definedName name="tt" localSheetId="70">'[3]5.2-опер.рас ПП'!tt</definedName>
    <definedName name="tt" localSheetId="79">'[3]5.2-опер.рас ПП'!tt</definedName>
    <definedName name="tt" localSheetId="82">'[3]5.2-опер.рас ПП'!tt</definedName>
    <definedName name="tt" localSheetId="12">'[3]5.2-опер.рас ПП'!tt</definedName>
    <definedName name="tt" localSheetId="11">'[3]5.2-опер.рас ПП'!tt</definedName>
    <definedName name="tt" localSheetId="20">'[4]5.2-опер.рас ПП'!tt</definedName>
    <definedName name="tt" localSheetId="28">'[3]5.2-опер.рас ПП'!tt</definedName>
    <definedName name="tt" localSheetId="38">'[3]5.2-опер.рас ПП'!tt</definedName>
    <definedName name="tt" localSheetId="26">'[3]5.2-опер.рас ПП'!tt</definedName>
    <definedName name="tt" localSheetId="34">'[3]5.2-опер.рас ПП'!tt</definedName>
    <definedName name="tt" localSheetId="32">'[3]5.2-опер.рас ПП'!tt</definedName>
    <definedName name="tt" localSheetId="23">'[3]5.2-опер.рас ПП'!tt</definedName>
    <definedName name="tt" localSheetId="41">'[3]5.2-опер.рас ПП'!tt</definedName>
    <definedName name="tt" localSheetId="31">'[3]5.2-опер.рас ПП'!tt</definedName>
    <definedName name="tt" localSheetId="30">'[3]5.2-опер.рас ПП'!tt</definedName>
    <definedName name="tt" localSheetId="47">'[4]5.2-опер.рас ПП'!tt</definedName>
    <definedName name="tt" localSheetId="46">'[4]5.2-опер.рас ПП'!tt</definedName>
    <definedName name="tt" localSheetId="52">'[3]5.2-опер.рас ПП'!tt</definedName>
    <definedName name="tt" localSheetId="62">'[3]5.2-опер.рас ПП'!tt</definedName>
    <definedName name="tt" localSheetId="57">'[3]5.2-опер.рас ПП'!tt</definedName>
    <definedName name="tt" localSheetId="51">'[3]5.2-опер.рас ПП'!tt</definedName>
    <definedName name="tt" localSheetId="61">'[3]5.2-опер.рас ПП'!tt</definedName>
    <definedName name="tt" localSheetId="56">'[3]5.2-опер.рас ПП'!tt</definedName>
    <definedName name="tt" localSheetId="60">'[3]5.2-опер.рас ПП'!tt</definedName>
    <definedName name="tt" localSheetId="55">'[3]5.2-опер.рас ПП'!tt</definedName>
    <definedName name="tt" localSheetId="50">'[3]5.2-опер.рас ПП'!tt</definedName>
    <definedName name="tt" localSheetId="96">'[3]5.2-опер.рас ПП'!tt</definedName>
    <definedName name="tt" localSheetId="93">'[3]5.2-опер.рас ПП'!tt</definedName>
    <definedName name="tt" localSheetId="99">'[3]5.2-опер.рас ПП'!tt</definedName>
    <definedName name="tt" localSheetId="95">'[3]5.2-опер.рас ПП'!tt</definedName>
    <definedName name="tt" localSheetId="92">'[3]5.2-опер.рас ПП'!tt</definedName>
    <definedName name="tt" localSheetId="98">'[3]5.2-опер.рас ПП'!tt</definedName>
    <definedName name="tt" localSheetId="94">'[3]5.2-опер.рас ПП'!tt</definedName>
    <definedName name="tt" localSheetId="91">'[3]5.2-опер.рас ПП'!tt</definedName>
    <definedName name="tt" localSheetId="97">'[3]5.2-опер.рас ПП'!tt</definedName>
    <definedName name="tt" localSheetId="103">'[3]5.2-опер.рас ПП'!tt</definedName>
    <definedName name="tt" localSheetId="101">'[3]5.2-опер.рас ПП'!tt</definedName>
    <definedName name="tt" localSheetId="106">'[3]5.2-опер.рас ПП'!tt</definedName>
    <definedName name="tt" localSheetId="102">'[3]5.2-опер.рас ПП'!tt</definedName>
    <definedName name="tt" localSheetId="100">'[3]5.2-опер.рас ПП'!tt</definedName>
    <definedName name="tt" localSheetId="105">'[3]5.2-опер.рас ПП'!tt</definedName>
    <definedName name="tt" localSheetId="104">'[3]5.2-опер.рас ПП'!tt</definedName>
    <definedName name="tt" localSheetId="110">'[3]5.2-опер.рас ПП'!tt</definedName>
    <definedName name="tt" localSheetId="107">'[3]5.2-опер.рас ПП'!tt</definedName>
    <definedName name="tt" localSheetId="113">'[3]5.2-опер.рас ПП'!tt</definedName>
    <definedName name="tt" localSheetId="115">'[3]5.2-опер.рас ПП'!tt</definedName>
    <definedName name="tt" localSheetId="114">'[3]5.2-опер.рас ПП'!tt</definedName>
    <definedName name="tt" localSheetId="112">'[3]5.2-опер.рас ПП'!tt</definedName>
    <definedName name="tt" localSheetId="109">'[3]5.2-опер.рас ПП'!tt</definedName>
    <definedName name="tt" localSheetId="111">'[3]5.2-опер.рас ПП'!tt</definedName>
    <definedName name="tt" localSheetId="108">'[3]5.2-опер.рас ПП'!tt</definedName>
    <definedName name="tt" localSheetId="122">'[3]5.2-опер.рас ПП'!tt</definedName>
    <definedName name="tt" localSheetId="116">'[3]5.2-опер.рас ПП'!tt</definedName>
    <definedName name="tt" localSheetId="125">'[3]5.2-опер.рас ПП'!tt</definedName>
    <definedName name="tt" localSheetId="127">'[3]5.2-опер.рас ПП'!tt</definedName>
    <definedName name="tt" localSheetId="126">'[3]5.2-опер.рас ПП'!tt</definedName>
    <definedName name="tt" localSheetId="124">'[3]5.2-опер.рас ПП'!tt</definedName>
    <definedName name="tt" localSheetId="118">'[3]5.2-опер.рас ПП'!tt</definedName>
    <definedName name="tt" localSheetId="123">'[3]5.2-опер.рас ПП'!tt</definedName>
    <definedName name="tt" localSheetId="117">'[3]5.2-опер.рас ПП'!tt</definedName>
    <definedName name="tt" localSheetId="119">'[3]5.2-опер.рас ПП'!tt</definedName>
    <definedName name="tt" localSheetId="120">'[3]5.2-опер.рас ПП'!tt</definedName>
    <definedName name="tt" localSheetId="121">'[3]5.2-опер.рас ПП'!tt</definedName>
    <definedName name="tt" localSheetId="129">'[3]5.2-опер.рас ПП'!tt</definedName>
    <definedName name="tt" localSheetId="128">'[3]5.2-опер.рас ПП'!tt</definedName>
    <definedName name="tt" localSheetId="130">'[3]5.2-опер.рас ПП'!tt</definedName>
    <definedName name="tt" localSheetId="133">'[3]5.2-опер.рас ПП'!tt</definedName>
    <definedName name="tt" localSheetId="132">'[3]5.2-опер.рас ПП'!tt</definedName>
    <definedName name="tt" localSheetId="136">'[3]5.2-опер.рас ПП'!tt</definedName>
    <definedName name="tt" localSheetId="134">'[3]5.2-опер.рас ПП'!tt</definedName>
    <definedName name="tt" localSheetId="139">'[3]5.2-опер.рас ПП'!tt</definedName>
    <definedName name="tt" localSheetId="137">'[3]5.2-опер.рас ПП'!tt</definedName>
    <definedName name="tt" localSheetId="142">'[3]5.2-опер.рас ПП'!tt</definedName>
    <definedName name="tt" localSheetId="141">'[3]5.2-опер.рас ПП'!tt</definedName>
    <definedName name="tt" localSheetId="140">'[3]5.2-опер.рас ПП'!tt</definedName>
    <definedName name="tt" localSheetId="145">'[3]5.2-опер.рас ПП'!tt</definedName>
    <definedName name="tt" localSheetId="143">'[3]5.2-опер.рас ПП'!tt</definedName>
    <definedName name="tt" localSheetId="150">'[3]5.2-опер.рас ПП'!tt</definedName>
    <definedName name="tt" localSheetId="158">'[3]5.2-опер.рас ПП'!tt</definedName>
    <definedName name="tt" localSheetId="157">'[3]5.2-опер.рас ПП'!tt</definedName>
    <definedName name="tt" localSheetId="156">'[3]5.2-опер.рас ПП'!tt</definedName>
    <definedName name="tt" localSheetId="146">'[3]5.2-опер.рас ПП'!tt</definedName>
    <definedName name="tt" localSheetId="89">'[3]5.2-опер.рас ПП'!tt</definedName>
    <definedName name="tt" localSheetId="90">'[3]5.2-опер.рас ПП'!tt</definedName>
    <definedName name="tt" localSheetId="2">'[4]5.2-опер.рас ПП'!tt</definedName>
    <definedName name="tt" localSheetId="1">'[4]5.2-опер.рас ПП'!tt</definedName>
    <definedName name="tt">'[3]5.2-опер.рас ПП'!tt</definedName>
    <definedName name="vbh" localSheetId="19">'[3]5.2-опер.рас ПП'!vbh</definedName>
    <definedName name="vbh" localSheetId="17">'[3]5.2-опер.рас ПП'!vbh</definedName>
    <definedName name="vbh" localSheetId="45">'4. 7_котельн.'!vbh</definedName>
    <definedName name="vbh" localSheetId="44">'4. 7_КТЭЦ'!vbh</definedName>
    <definedName name="vbh" localSheetId="3">'[3]5.2-опер.рас ПП'!vbh</definedName>
    <definedName name="vbh" localSheetId="78">'[3]5.2-опер.рас ПП'!vbh</definedName>
    <definedName name="vbh" localSheetId="65">'[3]5.2-опер.рас ПП'!vbh</definedName>
    <definedName name="vbh" localSheetId="75">'[3]5.2-опер.рас ПП'!vbh</definedName>
    <definedName name="vbh" localSheetId="70">'[3]5.2-опер.рас ПП'!vbh</definedName>
    <definedName name="vbh" localSheetId="79">'[3]5.2-опер.рас ПП'!vbh</definedName>
    <definedName name="vbh" localSheetId="82">'[3]5.2-опер.рас ПП'!vbh</definedName>
    <definedName name="vbh" localSheetId="12">'[3]5.2-опер.рас ПП'!vbh</definedName>
    <definedName name="vbh" localSheetId="11">'[3]5.2-опер.рас ПП'!vbh</definedName>
    <definedName name="vbh" localSheetId="20">'[4]5.2-опер.рас ПП'!vbh</definedName>
    <definedName name="vbh" localSheetId="28">'[3]5.2-опер.рас ПП'!vbh</definedName>
    <definedName name="vbh" localSheetId="38">'[3]5.2-опер.рас ПП'!vbh</definedName>
    <definedName name="vbh" localSheetId="26">'[3]5.2-опер.рас ПП'!vbh</definedName>
    <definedName name="vbh" localSheetId="34">'[3]5.2-опер.рас ПП'!vbh</definedName>
    <definedName name="vbh" localSheetId="32">'[3]5.2-опер.рас ПП'!vbh</definedName>
    <definedName name="vbh" localSheetId="23">'[3]5.2-опер.рас ПП'!vbh</definedName>
    <definedName name="vbh" localSheetId="41">'[3]5.2-опер.рас ПП'!vbh</definedName>
    <definedName name="vbh" localSheetId="31">'[3]5.2-опер.рас ПП'!vbh</definedName>
    <definedName name="vbh" localSheetId="30">'[3]5.2-опер.рас ПП'!vbh</definedName>
    <definedName name="vbh" localSheetId="47">'[4]5.2-опер.рас ПП'!vbh</definedName>
    <definedName name="vbh" localSheetId="46">'[4]5.2-опер.рас ПП'!vbh</definedName>
    <definedName name="vbh" localSheetId="52">'[3]5.2-опер.рас ПП'!vbh</definedName>
    <definedName name="vbh" localSheetId="62">'[3]5.2-опер.рас ПП'!vbh</definedName>
    <definedName name="vbh" localSheetId="57">'[3]5.2-опер.рас ПП'!vbh</definedName>
    <definedName name="vbh" localSheetId="51">'[3]5.2-опер.рас ПП'!vbh</definedName>
    <definedName name="vbh" localSheetId="61">'[3]5.2-опер.рас ПП'!vbh</definedName>
    <definedName name="vbh" localSheetId="56">'[3]5.2-опер.рас ПП'!vbh</definedName>
    <definedName name="vbh" localSheetId="60">'[3]5.2-опер.рас ПП'!vbh</definedName>
    <definedName name="vbh" localSheetId="55">'[3]5.2-опер.рас ПП'!vbh</definedName>
    <definedName name="vbh" localSheetId="50">'[3]5.2-опер.рас ПП'!vbh</definedName>
    <definedName name="vbh" localSheetId="96">'[3]5.2-опер.рас ПП'!vbh</definedName>
    <definedName name="vbh" localSheetId="93">'[3]5.2-опер.рас ПП'!vbh</definedName>
    <definedName name="vbh" localSheetId="99">'[3]5.2-опер.рас ПП'!vbh</definedName>
    <definedName name="vbh" localSheetId="95">'[3]5.2-опер.рас ПП'!vbh</definedName>
    <definedName name="vbh" localSheetId="92">'[3]5.2-опер.рас ПП'!vbh</definedName>
    <definedName name="vbh" localSheetId="98">'[3]5.2-опер.рас ПП'!vbh</definedName>
    <definedName name="vbh" localSheetId="94">'[3]5.2-опер.рас ПП'!vbh</definedName>
    <definedName name="vbh" localSheetId="91">'[3]5.2-опер.рас ПП'!vbh</definedName>
    <definedName name="vbh" localSheetId="97">'[3]5.2-опер.рас ПП'!vbh</definedName>
    <definedName name="vbh" localSheetId="103">'[3]5.2-опер.рас ПП'!vbh</definedName>
    <definedName name="vbh" localSheetId="101">'[3]5.2-опер.рас ПП'!vbh</definedName>
    <definedName name="vbh" localSheetId="106">'[3]5.2-опер.рас ПП'!vbh</definedName>
    <definedName name="vbh" localSheetId="102">'[3]5.2-опер.рас ПП'!vbh</definedName>
    <definedName name="vbh" localSheetId="100">'[3]5.2-опер.рас ПП'!vbh</definedName>
    <definedName name="vbh" localSheetId="105">'[3]5.2-опер.рас ПП'!vbh</definedName>
    <definedName name="vbh" localSheetId="104">'[3]5.2-опер.рас ПП'!vbh</definedName>
    <definedName name="vbh" localSheetId="110">'[3]5.2-опер.рас ПП'!vbh</definedName>
    <definedName name="vbh" localSheetId="107">'[3]5.2-опер.рас ПП'!vbh</definedName>
    <definedName name="vbh" localSheetId="113">'[3]5.2-опер.рас ПП'!vbh</definedName>
    <definedName name="vbh" localSheetId="115">'[3]5.2-опер.рас ПП'!vbh</definedName>
    <definedName name="vbh" localSheetId="114">'[3]5.2-опер.рас ПП'!vbh</definedName>
    <definedName name="vbh" localSheetId="112">'[3]5.2-опер.рас ПП'!vbh</definedName>
    <definedName name="vbh" localSheetId="109">'[3]5.2-опер.рас ПП'!vbh</definedName>
    <definedName name="vbh" localSheetId="111">'[3]5.2-опер.рас ПП'!vbh</definedName>
    <definedName name="vbh" localSheetId="108">'[3]5.2-опер.рас ПП'!vbh</definedName>
    <definedName name="vbh" localSheetId="122">'[3]5.2-опер.рас ПП'!vbh</definedName>
    <definedName name="vbh" localSheetId="116">'[3]5.2-опер.рас ПП'!vbh</definedName>
    <definedName name="vbh" localSheetId="125">'[3]5.2-опер.рас ПП'!vbh</definedName>
    <definedName name="vbh" localSheetId="127">'[3]5.2-опер.рас ПП'!vbh</definedName>
    <definedName name="vbh" localSheetId="126">'[3]5.2-опер.рас ПП'!vbh</definedName>
    <definedName name="vbh" localSheetId="124">'[3]5.2-опер.рас ПП'!vbh</definedName>
    <definedName name="vbh" localSheetId="118">'[3]5.2-опер.рас ПП'!vbh</definedName>
    <definedName name="vbh" localSheetId="123">'[3]5.2-опер.рас ПП'!vbh</definedName>
    <definedName name="vbh" localSheetId="117">'[3]5.2-опер.рас ПП'!vbh</definedName>
    <definedName name="vbh" localSheetId="119">'[3]5.2-опер.рас ПП'!vbh</definedName>
    <definedName name="vbh" localSheetId="120">'[3]5.2-опер.рас ПП'!vbh</definedName>
    <definedName name="vbh" localSheetId="121">'[3]5.2-опер.рас ПП'!vbh</definedName>
    <definedName name="vbh" localSheetId="129">'[3]5.2-опер.рас ПП'!vbh</definedName>
    <definedName name="vbh" localSheetId="128">'[3]5.2-опер.рас ПП'!vbh</definedName>
    <definedName name="vbh" localSheetId="130">'[3]5.2-опер.рас ПП'!vbh</definedName>
    <definedName name="vbh" localSheetId="133">'[3]5.2-опер.рас ПП'!vbh</definedName>
    <definedName name="vbh" localSheetId="132">'[3]5.2-опер.рас ПП'!vbh</definedName>
    <definedName name="vbh" localSheetId="136">'[3]5.2-опер.рас ПП'!vbh</definedName>
    <definedName name="vbh" localSheetId="134">'[3]5.2-опер.рас ПП'!vbh</definedName>
    <definedName name="vbh" localSheetId="139">'[3]5.2-опер.рас ПП'!vbh</definedName>
    <definedName name="vbh" localSheetId="137">'[3]5.2-опер.рас ПП'!vbh</definedName>
    <definedName name="vbh" localSheetId="142">'[3]5.2-опер.рас ПП'!vbh</definedName>
    <definedName name="vbh" localSheetId="141">'[3]5.2-опер.рас ПП'!vbh</definedName>
    <definedName name="vbh" localSheetId="140">'[3]5.2-опер.рас ПП'!vbh</definedName>
    <definedName name="vbh" localSheetId="145">'[3]5.2-опер.рас ПП'!vbh</definedName>
    <definedName name="vbh" localSheetId="143">'[3]5.2-опер.рас ПП'!vbh</definedName>
    <definedName name="vbh" localSheetId="150">'[3]5.2-опер.рас ПП'!vbh</definedName>
    <definedName name="vbh" localSheetId="158">'[3]5.2-опер.рас ПП'!vbh</definedName>
    <definedName name="vbh" localSheetId="157">'[3]5.2-опер.рас ПП'!vbh</definedName>
    <definedName name="vbh" localSheetId="156">'[3]5.2-опер.рас ПП'!vbh</definedName>
    <definedName name="vbh" localSheetId="146">'[3]5.2-опер.рас ПП'!vbh</definedName>
    <definedName name="vbh" localSheetId="89">'[3]5.2-опер.рас ПП'!vbh</definedName>
    <definedName name="vbh" localSheetId="90">'[3]5.2-опер.рас ПП'!vbh</definedName>
    <definedName name="vbh" localSheetId="2">'[4]5.2-опер.рас ПП'!vbh</definedName>
    <definedName name="vbh" localSheetId="1">'[4]5.2-опер.рас ПП'!vbh</definedName>
    <definedName name="vbh">'[3]5.2-опер.рас ПП'!vbh</definedName>
    <definedName name="vrem" localSheetId="19">#REF!</definedName>
    <definedName name="vrem" localSheetId="18">#REF!</definedName>
    <definedName name="vrem" localSheetId="17">#REF!</definedName>
    <definedName name="vrem" localSheetId="45">#REF!</definedName>
    <definedName name="vrem" localSheetId="44">#REF!</definedName>
    <definedName name="vrem" localSheetId="3">#REF!</definedName>
    <definedName name="vrem" localSheetId="78">#REF!</definedName>
    <definedName name="vrem" localSheetId="63">#REF!</definedName>
    <definedName name="vrem" localSheetId="73">#REF!</definedName>
    <definedName name="vrem" localSheetId="68">#REF!</definedName>
    <definedName name="vrem" localSheetId="65">#REF!</definedName>
    <definedName name="vrem" localSheetId="75">#REF!</definedName>
    <definedName name="vrem" localSheetId="70">#REF!</definedName>
    <definedName name="vrem" localSheetId="79">#REF!</definedName>
    <definedName name="vrem" localSheetId="82">#REF!</definedName>
    <definedName name="vrem" localSheetId="12">#REF!</definedName>
    <definedName name="vrem" localSheetId="11">#REF!</definedName>
    <definedName name="vrem" localSheetId="20">#REF!</definedName>
    <definedName name="vrem" localSheetId="28">#REF!</definedName>
    <definedName name="vrem" localSheetId="38">#REF!</definedName>
    <definedName name="vrem" localSheetId="26">#REF!</definedName>
    <definedName name="vrem" localSheetId="34">#REF!</definedName>
    <definedName name="vrem" localSheetId="32">#REF!</definedName>
    <definedName name="vrem" localSheetId="23">#REF!</definedName>
    <definedName name="vrem" localSheetId="41">#REF!</definedName>
    <definedName name="vrem" localSheetId="31">#REF!</definedName>
    <definedName name="vrem" localSheetId="30">#REF!</definedName>
    <definedName name="vrem" localSheetId="47">#REF!</definedName>
    <definedName name="vrem" localSheetId="46">#REF!</definedName>
    <definedName name="vrem" localSheetId="52">#REF!</definedName>
    <definedName name="vrem" localSheetId="62">#REF!</definedName>
    <definedName name="vrem" localSheetId="57">#REF!</definedName>
    <definedName name="vrem" localSheetId="48">#REF!</definedName>
    <definedName name="vrem" localSheetId="58">#REF!</definedName>
    <definedName name="vrem" localSheetId="53">#REF!</definedName>
    <definedName name="vrem" localSheetId="51">#REF!</definedName>
    <definedName name="vrem" localSheetId="61">#REF!</definedName>
    <definedName name="vrem" localSheetId="56">#REF!</definedName>
    <definedName name="vrem" localSheetId="60">#REF!</definedName>
    <definedName name="vrem" localSheetId="55">#REF!</definedName>
    <definedName name="vrem" localSheetId="50">#REF!</definedName>
    <definedName name="vrem" localSheetId="96">#REF!</definedName>
    <definedName name="vrem" localSheetId="93">#REF!</definedName>
    <definedName name="vrem" localSheetId="99">#REF!</definedName>
    <definedName name="vrem" localSheetId="95">#REF!</definedName>
    <definedName name="vrem" localSheetId="92">#REF!</definedName>
    <definedName name="vrem" localSheetId="98">#REF!</definedName>
    <definedName name="vrem" localSheetId="94">#REF!</definedName>
    <definedName name="vrem" localSheetId="91">#REF!</definedName>
    <definedName name="vrem" localSheetId="97">#REF!</definedName>
    <definedName name="vrem" localSheetId="103">#REF!</definedName>
    <definedName name="vrem" localSheetId="101">#REF!</definedName>
    <definedName name="vrem" localSheetId="106">#REF!</definedName>
    <definedName name="vrem" localSheetId="102">#REF!</definedName>
    <definedName name="vrem" localSheetId="100">#REF!</definedName>
    <definedName name="vrem" localSheetId="105">#REF!</definedName>
    <definedName name="vrem" localSheetId="104">#REF!</definedName>
    <definedName name="vrem" localSheetId="110">#REF!</definedName>
    <definedName name="vrem" localSheetId="107">#REF!</definedName>
    <definedName name="vrem" localSheetId="113">#REF!</definedName>
    <definedName name="vrem" localSheetId="115">#REF!</definedName>
    <definedName name="vrem" localSheetId="114">#REF!</definedName>
    <definedName name="vrem" localSheetId="112">#REF!</definedName>
    <definedName name="vrem" localSheetId="109">#REF!</definedName>
    <definedName name="vrem" localSheetId="111">#REF!</definedName>
    <definedName name="vrem" localSheetId="108">#REF!</definedName>
    <definedName name="vrem" localSheetId="122">#REF!</definedName>
    <definedName name="vrem" localSheetId="116">#REF!</definedName>
    <definedName name="vrem" localSheetId="125">#REF!</definedName>
    <definedName name="vrem" localSheetId="127">#REF!</definedName>
    <definedName name="vrem" localSheetId="126">#REF!</definedName>
    <definedName name="vrem" localSheetId="124">#REF!</definedName>
    <definedName name="vrem" localSheetId="118">#REF!</definedName>
    <definedName name="vrem" localSheetId="123">#REF!</definedName>
    <definedName name="vrem" localSheetId="117">#REF!</definedName>
    <definedName name="vrem" localSheetId="119">#REF!</definedName>
    <definedName name="vrem" localSheetId="120">#REF!</definedName>
    <definedName name="vrem" localSheetId="121">#REF!</definedName>
    <definedName name="vrem" localSheetId="129">#REF!</definedName>
    <definedName name="vrem" localSheetId="128">#REF!</definedName>
    <definedName name="vrem" localSheetId="130">#REF!</definedName>
    <definedName name="vrem" localSheetId="133">#REF!</definedName>
    <definedName name="vrem" localSheetId="132">#REF!</definedName>
    <definedName name="vrem" localSheetId="136">#REF!</definedName>
    <definedName name="vrem" localSheetId="134">#REF!</definedName>
    <definedName name="vrem" localSheetId="139">#REF!</definedName>
    <definedName name="vrem" localSheetId="137">#REF!</definedName>
    <definedName name="vrem" localSheetId="142">#REF!</definedName>
    <definedName name="vrem" localSheetId="141">#REF!</definedName>
    <definedName name="vrem" localSheetId="140">#REF!</definedName>
    <definedName name="vrem" localSheetId="145">#REF!</definedName>
    <definedName name="vrem" localSheetId="144">#REF!</definedName>
    <definedName name="vrem" localSheetId="143">#REF!</definedName>
    <definedName name="vrem" localSheetId="150">#REF!</definedName>
    <definedName name="vrem" localSheetId="158">#REF!</definedName>
    <definedName name="vrem" localSheetId="157">#REF!</definedName>
    <definedName name="vrem" localSheetId="156">#REF!</definedName>
    <definedName name="vrem" localSheetId="146">#REF!</definedName>
    <definedName name="vrem" localSheetId="89">#REF!</definedName>
    <definedName name="vrem" localSheetId="90">#REF!</definedName>
    <definedName name="vrem" localSheetId="2">#REF!</definedName>
    <definedName name="vrem">#REF!</definedName>
    <definedName name="xdgfg" localSheetId="19">'[3]5.2-опер.рас ПП'!xdgfg</definedName>
    <definedName name="xdgfg" localSheetId="17">'[3]5.2-опер.рас ПП'!xdgfg</definedName>
    <definedName name="xdgfg" localSheetId="45">'4. 7_котельн.'!xdgfg</definedName>
    <definedName name="xdgfg" localSheetId="44">'4. 7_КТЭЦ'!xdgfg</definedName>
    <definedName name="xdgfg" localSheetId="3">'[3]5.2-опер.рас ПП'!xdgfg</definedName>
    <definedName name="xdgfg" localSheetId="78">'[3]5.2-опер.рас ПП'!xdgfg</definedName>
    <definedName name="xdgfg" localSheetId="65">'[3]5.2-опер.рас ПП'!xdgfg</definedName>
    <definedName name="xdgfg" localSheetId="75">'[3]5.2-опер.рас ПП'!xdgfg</definedName>
    <definedName name="xdgfg" localSheetId="70">'[3]5.2-опер.рас ПП'!xdgfg</definedName>
    <definedName name="xdgfg" localSheetId="79">'[3]5.2-опер.рас ПП'!xdgfg</definedName>
    <definedName name="xdgfg" localSheetId="82">'[3]5.2-опер.рас ПП'!xdgfg</definedName>
    <definedName name="xdgfg" localSheetId="12">'[3]5.2-опер.рас ПП'!xdgfg</definedName>
    <definedName name="xdgfg" localSheetId="11">'[3]5.2-опер.рас ПП'!xdgfg</definedName>
    <definedName name="xdgfg" localSheetId="20">'[4]5.2-опер.рас ПП'!xdgfg</definedName>
    <definedName name="xdgfg" localSheetId="28">'[3]5.2-опер.рас ПП'!xdgfg</definedName>
    <definedName name="xdgfg" localSheetId="38">'[3]5.2-опер.рас ПП'!xdgfg</definedName>
    <definedName name="xdgfg" localSheetId="26">'[3]5.2-опер.рас ПП'!xdgfg</definedName>
    <definedName name="xdgfg" localSheetId="34">'[3]5.2-опер.рас ПП'!xdgfg</definedName>
    <definedName name="xdgfg" localSheetId="32">'[3]5.2-опер.рас ПП'!xdgfg</definedName>
    <definedName name="xdgfg" localSheetId="23">'[3]5.2-опер.рас ПП'!xdgfg</definedName>
    <definedName name="xdgfg" localSheetId="41">'[3]5.2-опер.рас ПП'!xdgfg</definedName>
    <definedName name="xdgfg" localSheetId="31">'[3]5.2-опер.рас ПП'!xdgfg</definedName>
    <definedName name="xdgfg" localSheetId="30">'[3]5.2-опер.рас ПП'!xdgfg</definedName>
    <definedName name="xdgfg" localSheetId="47">'[4]5.2-опер.рас ПП'!xdgfg</definedName>
    <definedName name="xdgfg" localSheetId="46">'[4]5.2-опер.рас ПП'!xdgfg</definedName>
    <definedName name="xdgfg" localSheetId="52">'[3]5.2-опер.рас ПП'!xdgfg</definedName>
    <definedName name="xdgfg" localSheetId="62">'[3]5.2-опер.рас ПП'!xdgfg</definedName>
    <definedName name="xdgfg" localSheetId="57">'[3]5.2-опер.рас ПП'!xdgfg</definedName>
    <definedName name="xdgfg" localSheetId="51">'[3]5.2-опер.рас ПП'!xdgfg</definedName>
    <definedName name="xdgfg" localSheetId="61">'[3]5.2-опер.рас ПП'!xdgfg</definedName>
    <definedName name="xdgfg" localSheetId="56">'[3]5.2-опер.рас ПП'!xdgfg</definedName>
    <definedName name="xdgfg" localSheetId="60">'[3]5.2-опер.рас ПП'!xdgfg</definedName>
    <definedName name="xdgfg" localSheetId="55">'[3]5.2-опер.рас ПП'!xdgfg</definedName>
    <definedName name="xdgfg" localSheetId="50">'[3]5.2-опер.рас ПП'!xdgfg</definedName>
    <definedName name="xdgfg" localSheetId="96">'[3]5.2-опер.рас ПП'!xdgfg</definedName>
    <definedName name="xdgfg" localSheetId="93">'[3]5.2-опер.рас ПП'!xdgfg</definedName>
    <definedName name="xdgfg" localSheetId="99">'[3]5.2-опер.рас ПП'!xdgfg</definedName>
    <definedName name="xdgfg" localSheetId="95">'[3]5.2-опер.рас ПП'!xdgfg</definedName>
    <definedName name="xdgfg" localSheetId="92">'[3]5.2-опер.рас ПП'!xdgfg</definedName>
    <definedName name="xdgfg" localSheetId="98">'[3]5.2-опер.рас ПП'!xdgfg</definedName>
    <definedName name="xdgfg" localSheetId="94">'[3]5.2-опер.рас ПП'!xdgfg</definedName>
    <definedName name="xdgfg" localSheetId="91">'[3]5.2-опер.рас ПП'!xdgfg</definedName>
    <definedName name="xdgfg" localSheetId="97">'[3]5.2-опер.рас ПП'!xdgfg</definedName>
    <definedName name="xdgfg" localSheetId="103">'[3]5.2-опер.рас ПП'!xdgfg</definedName>
    <definedName name="xdgfg" localSheetId="101">'[3]5.2-опер.рас ПП'!xdgfg</definedName>
    <definedName name="xdgfg" localSheetId="106">'[3]5.2-опер.рас ПП'!xdgfg</definedName>
    <definedName name="xdgfg" localSheetId="102">'[3]5.2-опер.рас ПП'!xdgfg</definedName>
    <definedName name="xdgfg" localSheetId="100">'[3]5.2-опер.рас ПП'!xdgfg</definedName>
    <definedName name="xdgfg" localSheetId="105">'[3]5.2-опер.рас ПП'!xdgfg</definedName>
    <definedName name="xdgfg" localSheetId="104">'[3]5.2-опер.рас ПП'!xdgfg</definedName>
    <definedName name="xdgfg" localSheetId="110">'[3]5.2-опер.рас ПП'!xdgfg</definedName>
    <definedName name="xdgfg" localSheetId="107">'[3]5.2-опер.рас ПП'!xdgfg</definedName>
    <definedName name="xdgfg" localSheetId="113">'[3]5.2-опер.рас ПП'!xdgfg</definedName>
    <definedName name="xdgfg" localSheetId="115">'[3]5.2-опер.рас ПП'!xdgfg</definedName>
    <definedName name="xdgfg" localSheetId="114">'[3]5.2-опер.рас ПП'!xdgfg</definedName>
    <definedName name="xdgfg" localSheetId="112">'[3]5.2-опер.рас ПП'!xdgfg</definedName>
    <definedName name="xdgfg" localSheetId="109">'[3]5.2-опер.рас ПП'!xdgfg</definedName>
    <definedName name="xdgfg" localSheetId="111">'[3]5.2-опер.рас ПП'!xdgfg</definedName>
    <definedName name="xdgfg" localSheetId="108">'[3]5.2-опер.рас ПП'!xdgfg</definedName>
    <definedName name="xdgfg" localSheetId="122">'[3]5.2-опер.рас ПП'!xdgfg</definedName>
    <definedName name="xdgfg" localSheetId="116">'[3]5.2-опер.рас ПП'!xdgfg</definedName>
    <definedName name="xdgfg" localSheetId="125">'[3]5.2-опер.рас ПП'!xdgfg</definedName>
    <definedName name="xdgfg" localSheetId="127">'[3]5.2-опер.рас ПП'!xdgfg</definedName>
    <definedName name="xdgfg" localSheetId="126">'[3]5.2-опер.рас ПП'!xdgfg</definedName>
    <definedName name="xdgfg" localSheetId="124">'[3]5.2-опер.рас ПП'!xdgfg</definedName>
    <definedName name="xdgfg" localSheetId="118">'[3]5.2-опер.рас ПП'!xdgfg</definedName>
    <definedName name="xdgfg" localSheetId="123">'[3]5.2-опер.рас ПП'!xdgfg</definedName>
    <definedName name="xdgfg" localSheetId="117">'[3]5.2-опер.рас ПП'!xdgfg</definedName>
    <definedName name="xdgfg" localSheetId="119">'[3]5.2-опер.рас ПП'!xdgfg</definedName>
    <definedName name="xdgfg" localSheetId="120">'[3]5.2-опер.рас ПП'!xdgfg</definedName>
    <definedName name="xdgfg" localSheetId="121">'[3]5.2-опер.рас ПП'!xdgfg</definedName>
    <definedName name="xdgfg" localSheetId="129">'[3]5.2-опер.рас ПП'!xdgfg</definedName>
    <definedName name="xdgfg" localSheetId="128">'[3]5.2-опер.рас ПП'!xdgfg</definedName>
    <definedName name="xdgfg" localSheetId="130">'[3]5.2-опер.рас ПП'!xdgfg</definedName>
    <definedName name="xdgfg" localSheetId="133">'[3]5.2-опер.рас ПП'!xdgfg</definedName>
    <definedName name="xdgfg" localSheetId="132">'[3]5.2-опер.рас ПП'!xdgfg</definedName>
    <definedName name="xdgfg" localSheetId="136">'[3]5.2-опер.рас ПП'!xdgfg</definedName>
    <definedName name="xdgfg" localSheetId="134">'[3]5.2-опер.рас ПП'!xdgfg</definedName>
    <definedName name="xdgfg" localSheetId="139">'[3]5.2-опер.рас ПП'!xdgfg</definedName>
    <definedName name="xdgfg" localSheetId="137">'[3]5.2-опер.рас ПП'!xdgfg</definedName>
    <definedName name="xdgfg" localSheetId="142">'[3]5.2-опер.рас ПП'!xdgfg</definedName>
    <definedName name="xdgfg" localSheetId="141">'[3]5.2-опер.рас ПП'!xdgfg</definedName>
    <definedName name="xdgfg" localSheetId="140">'[3]5.2-опер.рас ПП'!xdgfg</definedName>
    <definedName name="xdgfg" localSheetId="145">'[3]5.2-опер.рас ПП'!xdgfg</definedName>
    <definedName name="xdgfg" localSheetId="143">'[3]5.2-опер.рас ПП'!xdgfg</definedName>
    <definedName name="xdgfg" localSheetId="150">'[3]5.2-опер.рас ПП'!xdgfg</definedName>
    <definedName name="xdgfg" localSheetId="158">'[3]5.2-опер.рас ПП'!xdgfg</definedName>
    <definedName name="xdgfg" localSheetId="157">'[3]5.2-опер.рас ПП'!xdgfg</definedName>
    <definedName name="xdgfg" localSheetId="156">'[3]5.2-опер.рас ПП'!xdgfg</definedName>
    <definedName name="xdgfg" localSheetId="146">'[3]5.2-опер.рас ПП'!xdgfg</definedName>
    <definedName name="xdgfg" localSheetId="89">'[3]5.2-опер.рас ПП'!xdgfg</definedName>
    <definedName name="xdgfg" localSheetId="90">'[3]5.2-опер.рас ПП'!xdgfg</definedName>
    <definedName name="xdgfg" localSheetId="2">'[4]5.2-опер.рас ПП'!xdgfg</definedName>
    <definedName name="xdgfg" localSheetId="1">'[4]5.2-опер.рас ПП'!xdgfg</definedName>
    <definedName name="xdgfg">'[3]5.2-опер.рас ПП'!xdgfg</definedName>
    <definedName name="абон.пл" localSheetId="19">'[3]5.2-опер.рас ПП'!абон.пл</definedName>
    <definedName name="абон.пл" localSheetId="17">'[3]5.2-опер.рас ПП'!абон.пл</definedName>
    <definedName name="абон.пл" localSheetId="45">'4. 7_котельн.'!абон.пл</definedName>
    <definedName name="абон.пл" localSheetId="44">'4. 7_КТЭЦ'!абон.пл</definedName>
    <definedName name="абон.пл" localSheetId="3">'[3]5.2-опер.рас ПП'!абон.пл</definedName>
    <definedName name="абон.пл" localSheetId="78">'[3]5.2-опер.рас ПП'!абон.пл</definedName>
    <definedName name="абон.пл" localSheetId="65">'[3]5.2-опер.рас ПП'!абон.пл</definedName>
    <definedName name="абон.пл" localSheetId="75">'[3]5.2-опер.рас ПП'!абон.пл</definedName>
    <definedName name="абон.пл" localSheetId="70">'[3]5.2-опер.рас ПП'!абон.пл</definedName>
    <definedName name="абон.пл" localSheetId="79">'[3]5.2-опер.рас ПП'!абон.пл</definedName>
    <definedName name="абон.пл" localSheetId="82">'[3]5.2-опер.рас ПП'!абон.пл</definedName>
    <definedName name="абон.пл" localSheetId="12">'[3]5.2-опер.рас ПП'!абон.пл</definedName>
    <definedName name="абон.пл" localSheetId="11">'[3]5.2-опер.рас ПП'!абон.пл</definedName>
    <definedName name="абон.пл" localSheetId="20">'[4]5.2-опер.рас ПП'!абон.пл</definedName>
    <definedName name="абон.пл" localSheetId="28">'[3]5.2-опер.рас ПП'!абон.пл</definedName>
    <definedName name="абон.пл" localSheetId="38">'[3]5.2-опер.рас ПП'!абон.пл</definedName>
    <definedName name="абон.пл" localSheetId="26">'[3]5.2-опер.рас ПП'!абон.пл</definedName>
    <definedName name="абон.пл" localSheetId="34">'[3]5.2-опер.рас ПП'!абон.пл</definedName>
    <definedName name="абон.пл" localSheetId="32">'[3]5.2-опер.рас ПП'!абон.пл</definedName>
    <definedName name="абон.пл" localSheetId="23">'[3]5.2-опер.рас ПП'!абон.пл</definedName>
    <definedName name="абон.пл" localSheetId="41">'[3]5.2-опер.рас ПП'!абон.пл</definedName>
    <definedName name="абон.пл" localSheetId="31">'[3]5.2-опер.рас ПП'!абон.пл</definedName>
    <definedName name="абон.пл" localSheetId="30">'[3]5.2-опер.рас ПП'!абон.пл</definedName>
    <definedName name="абон.пл" localSheetId="47">'[4]5.2-опер.рас ПП'!абон.пл</definedName>
    <definedName name="абон.пл" localSheetId="46">'[4]5.2-опер.рас ПП'!абон.пл</definedName>
    <definedName name="абон.пл" localSheetId="52">'[3]5.2-опер.рас ПП'!абон.пл</definedName>
    <definedName name="абон.пл" localSheetId="62">'[3]5.2-опер.рас ПП'!абон.пл</definedName>
    <definedName name="абон.пл" localSheetId="57">'[3]5.2-опер.рас ПП'!абон.пл</definedName>
    <definedName name="абон.пл" localSheetId="51">'[3]5.2-опер.рас ПП'!абон.пл</definedName>
    <definedName name="абон.пл" localSheetId="61">'[3]5.2-опер.рас ПП'!абон.пл</definedName>
    <definedName name="абон.пл" localSheetId="56">'[3]5.2-опер.рас ПП'!абон.пл</definedName>
    <definedName name="абон.пл" localSheetId="60">'[3]5.2-опер.рас ПП'!абон.пл</definedName>
    <definedName name="абон.пл" localSheetId="55">'[3]5.2-опер.рас ПП'!абон.пл</definedName>
    <definedName name="абон.пл" localSheetId="50">'[3]5.2-опер.рас ПП'!абон.пл</definedName>
    <definedName name="абон.пл" localSheetId="96">'[3]5.2-опер.рас ПП'!абон.пл</definedName>
    <definedName name="абон.пл" localSheetId="93">'[3]5.2-опер.рас ПП'!абон.пл</definedName>
    <definedName name="абон.пл" localSheetId="99">'[3]5.2-опер.рас ПП'!абон.пл</definedName>
    <definedName name="абон.пл" localSheetId="95">'[3]5.2-опер.рас ПП'!абон.пл</definedName>
    <definedName name="абон.пл" localSheetId="92">'[3]5.2-опер.рас ПП'!абон.пл</definedName>
    <definedName name="абон.пл" localSheetId="98">'[3]5.2-опер.рас ПП'!абон.пл</definedName>
    <definedName name="абон.пл" localSheetId="94">'[3]5.2-опер.рас ПП'!абон.пл</definedName>
    <definedName name="абон.пл" localSheetId="91">'[3]5.2-опер.рас ПП'!абон.пл</definedName>
    <definedName name="абон.пл" localSheetId="97">'[3]5.2-опер.рас ПП'!абон.пл</definedName>
    <definedName name="абон.пл" localSheetId="103">'[3]5.2-опер.рас ПП'!абон.пл</definedName>
    <definedName name="абон.пл" localSheetId="101">'[3]5.2-опер.рас ПП'!абон.пл</definedName>
    <definedName name="абон.пл" localSheetId="106">'[3]5.2-опер.рас ПП'!абон.пл</definedName>
    <definedName name="абон.пл" localSheetId="102">'[3]5.2-опер.рас ПП'!абон.пл</definedName>
    <definedName name="абон.пл" localSheetId="100">'[3]5.2-опер.рас ПП'!абон.пл</definedName>
    <definedName name="абон.пл" localSheetId="105">'[3]5.2-опер.рас ПП'!абон.пл</definedName>
    <definedName name="абон.пл" localSheetId="104">'[3]5.2-опер.рас ПП'!абон.пл</definedName>
    <definedName name="абон.пл" localSheetId="110">'[3]5.2-опер.рас ПП'!абон.пл</definedName>
    <definedName name="абон.пл" localSheetId="107">'[3]5.2-опер.рас ПП'!абон.пл</definedName>
    <definedName name="абон.пл" localSheetId="113">'[3]5.2-опер.рас ПП'!абон.пл</definedName>
    <definedName name="абон.пл" localSheetId="115">'[3]5.2-опер.рас ПП'!абон.пл</definedName>
    <definedName name="абон.пл" localSheetId="114">'[3]5.2-опер.рас ПП'!абон.пл</definedName>
    <definedName name="абон.пл" localSheetId="112">'[3]5.2-опер.рас ПП'!абон.пл</definedName>
    <definedName name="абон.пл" localSheetId="109">'[3]5.2-опер.рас ПП'!абон.пл</definedName>
    <definedName name="абон.пл" localSheetId="111">'[3]5.2-опер.рас ПП'!абон.пл</definedName>
    <definedName name="абон.пл" localSheetId="108">'[3]5.2-опер.рас ПП'!абон.пл</definedName>
    <definedName name="абон.пл" localSheetId="122">'[3]5.2-опер.рас ПП'!абон.пл</definedName>
    <definedName name="абон.пл" localSheetId="116">'[3]5.2-опер.рас ПП'!абон.пл</definedName>
    <definedName name="абон.пл" localSheetId="125">'[3]5.2-опер.рас ПП'!абон.пл</definedName>
    <definedName name="абон.пл" localSheetId="127">'[3]5.2-опер.рас ПП'!абон.пл</definedName>
    <definedName name="абон.пл" localSheetId="126">'[3]5.2-опер.рас ПП'!абон.пл</definedName>
    <definedName name="абон.пл" localSheetId="124">'[3]5.2-опер.рас ПП'!абон.пл</definedName>
    <definedName name="абон.пл" localSheetId="118">'[3]5.2-опер.рас ПП'!абон.пл</definedName>
    <definedName name="абон.пл" localSheetId="123">'[3]5.2-опер.рас ПП'!абон.пл</definedName>
    <definedName name="абон.пл" localSheetId="117">'[3]5.2-опер.рас ПП'!абон.пл</definedName>
    <definedName name="абон.пл" localSheetId="119">'[3]5.2-опер.рас ПП'!абон.пл</definedName>
    <definedName name="абон.пл" localSheetId="120">'[3]5.2-опер.рас ПП'!абон.пл</definedName>
    <definedName name="абон.пл" localSheetId="121">'[3]5.2-опер.рас ПП'!абон.пл</definedName>
    <definedName name="абон.пл" localSheetId="129">'[3]5.2-опер.рас ПП'!абон.пл</definedName>
    <definedName name="абон.пл" localSheetId="128">'[3]5.2-опер.рас ПП'!абон.пл</definedName>
    <definedName name="абон.пл" localSheetId="130">'[3]5.2-опер.рас ПП'!абон.пл</definedName>
    <definedName name="абон.пл" localSheetId="133">'[3]5.2-опер.рас ПП'!абон.пл</definedName>
    <definedName name="абон.пл" localSheetId="132">'[3]5.2-опер.рас ПП'!абон.пл</definedName>
    <definedName name="абон.пл" localSheetId="136">'[3]5.2-опер.рас ПП'!абон.пл</definedName>
    <definedName name="абон.пл" localSheetId="134">'[3]5.2-опер.рас ПП'!абон.пл</definedName>
    <definedName name="абон.пл" localSheetId="139">'[3]5.2-опер.рас ПП'!абон.пл</definedName>
    <definedName name="абон.пл" localSheetId="137">'[3]5.2-опер.рас ПП'!абон.пл</definedName>
    <definedName name="абон.пл" localSheetId="142">'[3]5.2-опер.рас ПП'!абон.пл</definedName>
    <definedName name="абон.пл" localSheetId="141">'[3]5.2-опер.рас ПП'!абон.пл</definedName>
    <definedName name="абон.пл" localSheetId="140">'[3]5.2-опер.рас ПП'!абон.пл</definedName>
    <definedName name="абон.пл" localSheetId="145">'[3]5.2-опер.рас ПП'!абон.пл</definedName>
    <definedName name="абон.пл" localSheetId="143">'[3]5.2-опер.рас ПП'!абон.пл</definedName>
    <definedName name="абон.пл" localSheetId="150">'[3]5.2-опер.рас ПП'!абон.пл</definedName>
    <definedName name="абон.пл" localSheetId="158">'[3]5.2-опер.рас ПП'!абон.пл</definedName>
    <definedName name="абон.пл" localSheetId="157">'[3]5.2-опер.рас ПП'!абон.пл</definedName>
    <definedName name="абон.пл" localSheetId="156">'[3]5.2-опер.рас ПП'!абон.пл</definedName>
    <definedName name="абон.пл" localSheetId="146">'[3]5.2-опер.рас ПП'!абон.пл</definedName>
    <definedName name="абон.пл" localSheetId="89">'[3]5.2-опер.рас ПП'!абон.пл</definedName>
    <definedName name="абон.пл" localSheetId="90">'[3]5.2-опер.рас ПП'!абон.пл</definedName>
    <definedName name="абон.пл" localSheetId="2">'[4]5.2-опер.рас ПП'!абон.пл</definedName>
    <definedName name="абон.пл" localSheetId="1">'[4]5.2-опер.рас ПП'!абон.пл</definedName>
    <definedName name="абон.пл">'[3]5.2-опер.рас ПП'!абон.пл</definedName>
    <definedName name="авт" localSheetId="19">'[3]5.2-опер.рас ПП'!авт</definedName>
    <definedName name="авт" localSheetId="17">'[3]5.2-опер.рас ПП'!авт</definedName>
    <definedName name="авт" localSheetId="45">'4. 7_котельн.'!авт</definedName>
    <definedName name="авт" localSheetId="44">'4. 7_КТЭЦ'!авт</definedName>
    <definedName name="авт" localSheetId="3">'[3]5.2-опер.рас ПП'!авт</definedName>
    <definedName name="авт" localSheetId="78">'[3]5.2-опер.рас ПП'!авт</definedName>
    <definedName name="авт" localSheetId="65">'[3]5.2-опер.рас ПП'!авт</definedName>
    <definedName name="авт" localSheetId="75">'[3]5.2-опер.рас ПП'!авт</definedName>
    <definedName name="авт" localSheetId="70">'[3]5.2-опер.рас ПП'!авт</definedName>
    <definedName name="авт" localSheetId="79">'[3]5.2-опер.рас ПП'!авт</definedName>
    <definedName name="авт" localSheetId="82">'[3]5.2-опер.рас ПП'!авт</definedName>
    <definedName name="авт" localSheetId="12">'[3]5.2-опер.рас ПП'!авт</definedName>
    <definedName name="авт" localSheetId="11">'[3]5.2-опер.рас ПП'!авт</definedName>
    <definedName name="авт" localSheetId="20">'[4]5.2-опер.рас ПП'!авт</definedName>
    <definedName name="авт" localSheetId="28">'[3]5.2-опер.рас ПП'!авт</definedName>
    <definedName name="авт" localSheetId="38">'[3]5.2-опер.рас ПП'!авт</definedName>
    <definedName name="авт" localSheetId="26">'[3]5.2-опер.рас ПП'!авт</definedName>
    <definedName name="авт" localSheetId="34">'[3]5.2-опер.рас ПП'!авт</definedName>
    <definedName name="авт" localSheetId="32">'[3]5.2-опер.рас ПП'!авт</definedName>
    <definedName name="авт" localSheetId="23">'[3]5.2-опер.рас ПП'!авт</definedName>
    <definedName name="авт" localSheetId="41">'[3]5.2-опер.рас ПП'!авт</definedName>
    <definedName name="авт" localSheetId="31">'[3]5.2-опер.рас ПП'!авт</definedName>
    <definedName name="авт" localSheetId="30">'[3]5.2-опер.рас ПП'!авт</definedName>
    <definedName name="авт" localSheetId="47">'[4]5.2-опер.рас ПП'!авт</definedName>
    <definedName name="авт" localSheetId="46">'[4]5.2-опер.рас ПП'!авт</definedName>
    <definedName name="авт" localSheetId="52">'[3]5.2-опер.рас ПП'!авт</definedName>
    <definedName name="авт" localSheetId="62">'[3]5.2-опер.рас ПП'!авт</definedName>
    <definedName name="авт" localSheetId="57">'[3]5.2-опер.рас ПП'!авт</definedName>
    <definedName name="авт" localSheetId="51">'[3]5.2-опер.рас ПП'!авт</definedName>
    <definedName name="авт" localSheetId="61">'[3]5.2-опер.рас ПП'!авт</definedName>
    <definedName name="авт" localSheetId="56">'[3]5.2-опер.рас ПП'!авт</definedName>
    <definedName name="авт" localSheetId="60">'[3]5.2-опер.рас ПП'!авт</definedName>
    <definedName name="авт" localSheetId="55">'[3]5.2-опер.рас ПП'!авт</definedName>
    <definedName name="авт" localSheetId="50">'[3]5.2-опер.рас ПП'!авт</definedName>
    <definedName name="авт" localSheetId="96">'[3]5.2-опер.рас ПП'!авт</definedName>
    <definedName name="авт" localSheetId="93">'[3]5.2-опер.рас ПП'!авт</definedName>
    <definedName name="авт" localSheetId="99">'[3]5.2-опер.рас ПП'!авт</definedName>
    <definedName name="авт" localSheetId="95">'[3]5.2-опер.рас ПП'!авт</definedName>
    <definedName name="авт" localSheetId="92">'[3]5.2-опер.рас ПП'!авт</definedName>
    <definedName name="авт" localSheetId="98">'[3]5.2-опер.рас ПП'!авт</definedName>
    <definedName name="авт" localSheetId="94">'[3]5.2-опер.рас ПП'!авт</definedName>
    <definedName name="авт" localSheetId="91">'[3]5.2-опер.рас ПП'!авт</definedName>
    <definedName name="авт" localSheetId="97">'[3]5.2-опер.рас ПП'!авт</definedName>
    <definedName name="авт" localSheetId="103">'[3]5.2-опер.рас ПП'!авт</definedName>
    <definedName name="авт" localSheetId="101">'[3]5.2-опер.рас ПП'!авт</definedName>
    <definedName name="авт" localSheetId="106">'[3]5.2-опер.рас ПП'!авт</definedName>
    <definedName name="авт" localSheetId="102">'[3]5.2-опер.рас ПП'!авт</definedName>
    <definedName name="авт" localSheetId="100">'[3]5.2-опер.рас ПП'!авт</definedName>
    <definedName name="авт" localSheetId="105">'[3]5.2-опер.рас ПП'!авт</definedName>
    <definedName name="авт" localSheetId="104">'[3]5.2-опер.рас ПП'!авт</definedName>
    <definedName name="авт" localSheetId="110">'[3]5.2-опер.рас ПП'!авт</definedName>
    <definedName name="авт" localSheetId="107">'[3]5.2-опер.рас ПП'!авт</definedName>
    <definedName name="авт" localSheetId="113">'[3]5.2-опер.рас ПП'!авт</definedName>
    <definedName name="авт" localSheetId="115">'[3]5.2-опер.рас ПП'!авт</definedName>
    <definedName name="авт" localSheetId="114">'[3]5.2-опер.рас ПП'!авт</definedName>
    <definedName name="авт" localSheetId="112">'[3]5.2-опер.рас ПП'!авт</definedName>
    <definedName name="авт" localSheetId="109">'[3]5.2-опер.рас ПП'!авт</definedName>
    <definedName name="авт" localSheetId="111">'[3]5.2-опер.рас ПП'!авт</definedName>
    <definedName name="авт" localSheetId="108">'[3]5.2-опер.рас ПП'!авт</definedName>
    <definedName name="авт" localSheetId="122">'[3]5.2-опер.рас ПП'!авт</definedName>
    <definedName name="авт" localSheetId="116">'[3]5.2-опер.рас ПП'!авт</definedName>
    <definedName name="авт" localSheetId="125">'[3]5.2-опер.рас ПП'!авт</definedName>
    <definedName name="авт" localSheetId="127">'[3]5.2-опер.рас ПП'!авт</definedName>
    <definedName name="авт" localSheetId="126">'[3]5.2-опер.рас ПП'!авт</definedName>
    <definedName name="авт" localSheetId="124">'[3]5.2-опер.рас ПП'!авт</definedName>
    <definedName name="авт" localSheetId="118">'[3]5.2-опер.рас ПП'!авт</definedName>
    <definedName name="авт" localSheetId="123">'[3]5.2-опер.рас ПП'!авт</definedName>
    <definedName name="авт" localSheetId="117">'[3]5.2-опер.рас ПП'!авт</definedName>
    <definedName name="авт" localSheetId="119">'[3]5.2-опер.рас ПП'!авт</definedName>
    <definedName name="авт" localSheetId="120">'[3]5.2-опер.рас ПП'!авт</definedName>
    <definedName name="авт" localSheetId="121">'[3]5.2-опер.рас ПП'!авт</definedName>
    <definedName name="авт" localSheetId="129">'[3]5.2-опер.рас ПП'!авт</definedName>
    <definedName name="авт" localSheetId="128">'[3]5.2-опер.рас ПП'!авт</definedName>
    <definedName name="авт" localSheetId="130">'[3]5.2-опер.рас ПП'!авт</definedName>
    <definedName name="авт" localSheetId="133">'[3]5.2-опер.рас ПП'!авт</definedName>
    <definedName name="авт" localSheetId="132">'[3]5.2-опер.рас ПП'!авт</definedName>
    <definedName name="авт" localSheetId="136">'[3]5.2-опер.рас ПП'!авт</definedName>
    <definedName name="авт" localSheetId="134">'[3]5.2-опер.рас ПП'!авт</definedName>
    <definedName name="авт" localSheetId="139">'[3]5.2-опер.рас ПП'!авт</definedName>
    <definedName name="авт" localSheetId="137">'[3]5.2-опер.рас ПП'!авт</definedName>
    <definedName name="авт" localSheetId="142">'[3]5.2-опер.рас ПП'!авт</definedName>
    <definedName name="авт" localSheetId="141">'[3]5.2-опер.рас ПП'!авт</definedName>
    <definedName name="авт" localSheetId="140">'[3]5.2-опер.рас ПП'!авт</definedName>
    <definedName name="авт" localSheetId="145">'[3]5.2-опер.рас ПП'!авт</definedName>
    <definedName name="авт" localSheetId="143">'[3]5.2-опер.рас ПП'!авт</definedName>
    <definedName name="авт" localSheetId="150">'[3]5.2-опер.рас ПП'!авт</definedName>
    <definedName name="авт" localSheetId="158">'[3]5.2-опер.рас ПП'!авт</definedName>
    <definedName name="авт" localSheetId="157">'[3]5.2-опер.рас ПП'!авт</definedName>
    <definedName name="авт" localSheetId="156">'[3]5.2-опер.рас ПП'!авт</definedName>
    <definedName name="авт" localSheetId="146">'[3]5.2-опер.рас ПП'!авт</definedName>
    <definedName name="авт" localSheetId="89">'[3]5.2-опер.рас ПП'!авт</definedName>
    <definedName name="авт" localSheetId="90">'[3]5.2-опер.рас ПП'!авт</definedName>
    <definedName name="авт" localSheetId="2">'[4]5.2-опер.рас ПП'!авт</definedName>
    <definedName name="авт" localSheetId="1">'[4]5.2-опер.рас ПП'!авт</definedName>
    <definedName name="авт">'[3]5.2-опер.рас ПП'!авт</definedName>
    <definedName name="ан" localSheetId="19">'[3]5.2-опер.рас ПП'!ан</definedName>
    <definedName name="ан" localSheetId="17">'[3]5.2-опер.рас ПП'!ан</definedName>
    <definedName name="ан" localSheetId="45">'4. 7_котельн.'!ан</definedName>
    <definedName name="ан" localSheetId="44">'4. 7_КТЭЦ'!ан</definedName>
    <definedName name="ан" localSheetId="3">'[3]5.2-опер.рас ПП'!ан</definedName>
    <definedName name="ан" localSheetId="78">'[3]5.2-опер.рас ПП'!ан</definedName>
    <definedName name="ан" localSheetId="65">'[3]5.2-опер.рас ПП'!ан</definedName>
    <definedName name="ан" localSheetId="75">'[3]5.2-опер.рас ПП'!ан</definedName>
    <definedName name="ан" localSheetId="70">'[3]5.2-опер.рас ПП'!ан</definedName>
    <definedName name="ан" localSheetId="79">'[3]5.2-опер.рас ПП'!ан</definedName>
    <definedName name="ан" localSheetId="82">'[3]5.2-опер.рас ПП'!ан</definedName>
    <definedName name="ан" localSheetId="12">'[3]5.2-опер.рас ПП'!ан</definedName>
    <definedName name="ан" localSheetId="11">'[3]5.2-опер.рас ПП'!ан</definedName>
    <definedName name="ан" localSheetId="20">'[4]5.2-опер.рас ПП'!ан</definedName>
    <definedName name="ан" localSheetId="28">'[3]5.2-опер.рас ПП'!ан</definedName>
    <definedName name="ан" localSheetId="38">'[3]5.2-опер.рас ПП'!ан</definedName>
    <definedName name="ан" localSheetId="26">'[3]5.2-опер.рас ПП'!ан</definedName>
    <definedName name="ан" localSheetId="34">'[3]5.2-опер.рас ПП'!ан</definedName>
    <definedName name="ан" localSheetId="32">'[3]5.2-опер.рас ПП'!ан</definedName>
    <definedName name="ан" localSheetId="23">'[3]5.2-опер.рас ПП'!ан</definedName>
    <definedName name="ан" localSheetId="41">'[3]5.2-опер.рас ПП'!ан</definedName>
    <definedName name="ан" localSheetId="31">'[3]5.2-опер.рас ПП'!ан</definedName>
    <definedName name="ан" localSheetId="30">'[3]5.2-опер.рас ПП'!ан</definedName>
    <definedName name="ан" localSheetId="47">'[4]5.2-опер.рас ПП'!ан</definedName>
    <definedName name="ан" localSheetId="46">'[4]5.2-опер.рас ПП'!ан</definedName>
    <definedName name="ан" localSheetId="52">'[3]5.2-опер.рас ПП'!ан</definedName>
    <definedName name="ан" localSheetId="62">'[3]5.2-опер.рас ПП'!ан</definedName>
    <definedName name="ан" localSheetId="57">'[3]5.2-опер.рас ПП'!ан</definedName>
    <definedName name="ан" localSheetId="51">'[3]5.2-опер.рас ПП'!ан</definedName>
    <definedName name="ан" localSheetId="61">'[3]5.2-опер.рас ПП'!ан</definedName>
    <definedName name="ан" localSheetId="56">'[3]5.2-опер.рас ПП'!ан</definedName>
    <definedName name="ан" localSheetId="60">'[3]5.2-опер.рас ПП'!ан</definedName>
    <definedName name="ан" localSheetId="55">'[3]5.2-опер.рас ПП'!ан</definedName>
    <definedName name="ан" localSheetId="50">'[3]5.2-опер.рас ПП'!ан</definedName>
    <definedName name="ан" localSheetId="96">'[3]5.2-опер.рас ПП'!ан</definedName>
    <definedName name="ан" localSheetId="93">'[3]5.2-опер.рас ПП'!ан</definedName>
    <definedName name="ан" localSheetId="99">'[3]5.2-опер.рас ПП'!ан</definedName>
    <definedName name="ан" localSheetId="95">'[3]5.2-опер.рас ПП'!ан</definedName>
    <definedName name="ан" localSheetId="92">'[3]5.2-опер.рас ПП'!ан</definedName>
    <definedName name="ан" localSheetId="98">'[3]5.2-опер.рас ПП'!ан</definedName>
    <definedName name="ан" localSheetId="94">'[3]5.2-опер.рас ПП'!ан</definedName>
    <definedName name="ан" localSheetId="91">'[3]5.2-опер.рас ПП'!ан</definedName>
    <definedName name="ан" localSheetId="97">'[3]5.2-опер.рас ПП'!ан</definedName>
    <definedName name="ан" localSheetId="103">'[3]5.2-опер.рас ПП'!ан</definedName>
    <definedName name="ан" localSheetId="101">'[3]5.2-опер.рас ПП'!ан</definedName>
    <definedName name="ан" localSheetId="106">'[3]5.2-опер.рас ПП'!ан</definedName>
    <definedName name="ан" localSheetId="102">'[3]5.2-опер.рас ПП'!ан</definedName>
    <definedName name="ан" localSheetId="100">'[3]5.2-опер.рас ПП'!ан</definedName>
    <definedName name="ан" localSheetId="105">'[3]5.2-опер.рас ПП'!ан</definedName>
    <definedName name="ан" localSheetId="104">'[3]5.2-опер.рас ПП'!ан</definedName>
    <definedName name="ан" localSheetId="110">'[3]5.2-опер.рас ПП'!ан</definedName>
    <definedName name="ан" localSheetId="107">'[3]5.2-опер.рас ПП'!ан</definedName>
    <definedName name="ан" localSheetId="113">'[3]5.2-опер.рас ПП'!ан</definedName>
    <definedName name="ан" localSheetId="115">'[3]5.2-опер.рас ПП'!ан</definedName>
    <definedName name="ан" localSheetId="114">'[3]5.2-опер.рас ПП'!ан</definedName>
    <definedName name="ан" localSheetId="112">'[3]5.2-опер.рас ПП'!ан</definedName>
    <definedName name="ан" localSheetId="109">'[3]5.2-опер.рас ПП'!ан</definedName>
    <definedName name="ан" localSheetId="111">'[3]5.2-опер.рас ПП'!ан</definedName>
    <definedName name="ан" localSheetId="108">'[3]5.2-опер.рас ПП'!ан</definedName>
    <definedName name="ан" localSheetId="122">'[3]5.2-опер.рас ПП'!ан</definedName>
    <definedName name="ан" localSheetId="116">'[3]5.2-опер.рас ПП'!ан</definedName>
    <definedName name="ан" localSheetId="125">'[3]5.2-опер.рас ПП'!ан</definedName>
    <definedName name="ан" localSheetId="127">'[3]5.2-опер.рас ПП'!ан</definedName>
    <definedName name="ан" localSheetId="126">'[3]5.2-опер.рас ПП'!ан</definedName>
    <definedName name="ан" localSheetId="124">'[3]5.2-опер.рас ПП'!ан</definedName>
    <definedName name="ан" localSheetId="118">'[3]5.2-опер.рас ПП'!ан</definedName>
    <definedName name="ан" localSheetId="123">'[3]5.2-опер.рас ПП'!ан</definedName>
    <definedName name="ан" localSheetId="117">'[3]5.2-опер.рас ПП'!ан</definedName>
    <definedName name="ан" localSheetId="119">'[3]5.2-опер.рас ПП'!ан</definedName>
    <definedName name="ан" localSheetId="120">'[3]5.2-опер.рас ПП'!ан</definedName>
    <definedName name="ан" localSheetId="121">'[3]5.2-опер.рас ПП'!ан</definedName>
    <definedName name="ан" localSheetId="129">'[3]5.2-опер.рас ПП'!ан</definedName>
    <definedName name="ан" localSheetId="128">'[3]5.2-опер.рас ПП'!ан</definedName>
    <definedName name="ан" localSheetId="130">'[3]5.2-опер.рас ПП'!ан</definedName>
    <definedName name="ан" localSheetId="133">'[3]5.2-опер.рас ПП'!ан</definedName>
    <definedName name="ан" localSheetId="132">'[3]5.2-опер.рас ПП'!ан</definedName>
    <definedName name="ан" localSheetId="136">'[3]5.2-опер.рас ПП'!ан</definedName>
    <definedName name="ан" localSheetId="134">'[3]5.2-опер.рас ПП'!ан</definedName>
    <definedName name="ан" localSheetId="139">'[3]5.2-опер.рас ПП'!ан</definedName>
    <definedName name="ан" localSheetId="137">'[3]5.2-опер.рас ПП'!ан</definedName>
    <definedName name="ан" localSheetId="142">'[3]5.2-опер.рас ПП'!ан</definedName>
    <definedName name="ан" localSheetId="141">'[3]5.2-опер.рас ПП'!ан</definedName>
    <definedName name="ан" localSheetId="140">'[3]5.2-опер.рас ПП'!ан</definedName>
    <definedName name="ан" localSheetId="145">'[3]5.2-опер.рас ПП'!ан</definedName>
    <definedName name="ан" localSheetId="143">'[3]5.2-опер.рас ПП'!ан</definedName>
    <definedName name="ан" localSheetId="150">'[3]5.2-опер.рас ПП'!ан</definedName>
    <definedName name="ан" localSheetId="158">'[3]5.2-опер.рас ПП'!ан</definedName>
    <definedName name="ан" localSheetId="157">'[3]5.2-опер.рас ПП'!ан</definedName>
    <definedName name="ан" localSheetId="156">'[3]5.2-опер.рас ПП'!ан</definedName>
    <definedName name="ан" localSheetId="146">'[3]5.2-опер.рас ПП'!ан</definedName>
    <definedName name="ан" localSheetId="89">'[3]5.2-опер.рас ПП'!ан</definedName>
    <definedName name="ан" localSheetId="90">'[3]5.2-опер.рас ПП'!ан</definedName>
    <definedName name="ан" localSheetId="2">'[4]5.2-опер.рас ПП'!ан</definedName>
    <definedName name="ан" localSheetId="1">'[4]5.2-опер.рас ПП'!ан</definedName>
    <definedName name="ан">'[3]5.2-опер.рас ПП'!ан</definedName>
    <definedName name="анализ" localSheetId="19">'[3]5.2-опер.рас ПП'!анализ</definedName>
    <definedName name="анализ" localSheetId="17">'[3]5.2-опер.рас ПП'!анализ</definedName>
    <definedName name="анализ" localSheetId="45">'4. 7_котельн.'!анализ</definedName>
    <definedName name="анализ" localSheetId="44">'4. 7_КТЭЦ'!анализ</definedName>
    <definedName name="анализ" localSheetId="3">'[3]5.2-опер.рас ПП'!анализ</definedName>
    <definedName name="анализ" localSheetId="78">'[3]5.2-опер.рас ПП'!анализ</definedName>
    <definedName name="анализ" localSheetId="65">'[3]5.2-опер.рас ПП'!анализ</definedName>
    <definedName name="анализ" localSheetId="75">'[3]5.2-опер.рас ПП'!анализ</definedName>
    <definedName name="анализ" localSheetId="70">'[3]5.2-опер.рас ПП'!анализ</definedName>
    <definedName name="анализ" localSheetId="79">'[3]5.2-опер.рас ПП'!анализ</definedName>
    <definedName name="анализ" localSheetId="82">'[3]5.2-опер.рас ПП'!анализ</definedName>
    <definedName name="анализ" localSheetId="12">'[3]5.2-опер.рас ПП'!анализ</definedName>
    <definedName name="анализ" localSheetId="11">'[3]5.2-опер.рас ПП'!анализ</definedName>
    <definedName name="анализ" localSheetId="20">'[4]5.2-опер.рас ПП'!анализ</definedName>
    <definedName name="анализ" localSheetId="28">'[3]5.2-опер.рас ПП'!анализ</definedName>
    <definedName name="анализ" localSheetId="38">'[3]5.2-опер.рас ПП'!анализ</definedName>
    <definedName name="анализ" localSheetId="26">'[3]5.2-опер.рас ПП'!анализ</definedName>
    <definedName name="анализ" localSheetId="34">'[3]5.2-опер.рас ПП'!анализ</definedName>
    <definedName name="анализ" localSheetId="32">'[3]5.2-опер.рас ПП'!анализ</definedName>
    <definedName name="анализ" localSheetId="23">'[3]5.2-опер.рас ПП'!анализ</definedName>
    <definedName name="анализ" localSheetId="41">'[3]5.2-опер.рас ПП'!анализ</definedName>
    <definedName name="анализ" localSheetId="31">'[3]5.2-опер.рас ПП'!анализ</definedName>
    <definedName name="анализ" localSheetId="30">'[3]5.2-опер.рас ПП'!анализ</definedName>
    <definedName name="анализ" localSheetId="47">'[4]5.2-опер.рас ПП'!анализ</definedName>
    <definedName name="анализ" localSheetId="46">'[4]5.2-опер.рас ПП'!анализ</definedName>
    <definedName name="анализ" localSheetId="52">'[3]5.2-опер.рас ПП'!анализ</definedName>
    <definedName name="анализ" localSheetId="62">'[3]5.2-опер.рас ПП'!анализ</definedName>
    <definedName name="анализ" localSheetId="57">'[3]5.2-опер.рас ПП'!анализ</definedName>
    <definedName name="анализ" localSheetId="51">'[3]5.2-опер.рас ПП'!анализ</definedName>
    <definedName name="анализ" localSheetId="61">'[3]5.2-опер.рас ПП'!анализ</definedName>
    <definedName name="анализ" localSheetId="56">'[3]5.2-опер.рас ПП'!анализ</definedName>
    <definedName name="анализ" localSheetId="60">'[3]5.2-опер.рас ПП'!анализ</definedName>
    <definedName name="анализ" localSheetId="55">'[3]5.2-опер.рас ПП'!анализ</definedName>
    <definedName name="анализ" localSheetId="50">'[3]5.2-опер.рас ПП'!анализ</definedName>
    <definedName name="анализ" localSheetId="96">'[3]5.2-опер.рас ПП'!анализ</definedName>
    <definedName name="анализ" localSheetId="93">'[3]5.2-опер.рас ПП'!анализ</definedName>
    <definedName name="анализ" localSheetId="99">'[3]5.2-опер.рас ПП'!анализ</definedName>
    <definedName name="анализ" localSheetId="95">'[3]5.2-опер.рас ПП'!анализ</definedName>
    <definedName name="анализ" localSheetId="92">'[3]5.2-опер.рас ПП'!анализ</definedName>
    <definedName name="анализ" localSheetId="98">'[3]5.2-опер.рас ПП'!анализ</definedName>
    <definedName name="анализ" localSheetId="94">'[3]5.2-опер.рас ПП'!анализ</definedName>
    <definedName name="анализ" localSheetId="91">'[3]5.2-опер.рас ПП'!анализ</definedName>
    <definedName name="анализ" localSheetId="97">'[3]5.2-опер.рас ПП'!анализ</definedName>
    <definedName name="анализ" localSheetId="103">'[3]5.2-опер.рас ПП'!анализ</definedName>
    <definedName name="анализ" localSheetId="101">'[3]5.2-опер.рас ПП'!анализ</definedName>
    <definedName name="анализ" localSheetId="106">'[3]5.2-опер.рас ПП'!анализ</definedName>
    <definedName name="анализ" localSheetId="102">'[3]5.2-опер.рас ПП'!анализ</definedName>
    <definedName name="анализ" localSheetId="100">'[3]5.2-опер.рас ПП'!анализ</definedName>
    <definedName name="анализ" localSheetId="105">'[3]5.2-опер.рас ПП'!анализ</definedName>
    <definedName name="анализ" localSheetId="104">'[3]5.2-опер.рас ПП'!анализ</definedName>
    <definedName name="анализ" localSheetId="110">'[3]5.2-опер.рас ПП'!анализ</definedName>
    <definedName name="анализ" localSheetId="107">'[3]5.2-опер.рас ПП'!анализ</definedName>
    <definedName name="анализ" localSheetId="113">'[3]5.2-опер.рас ПП'!анализ</definedName>
    <definedName name="анализ" localSheetId="115">'[3]5.2-опер.рас ПП'!анализ</definedName>
    <definedName name="анализ" localSheetId="114">'[3]5.2-опер.рас ПП'!анализ</definedName>
    <definedName name="анализ" localSheetId="112">'[3]5.2-опер.рас ПП'!анализ</definedName>
    <definedName name="анализ" localSheetId="109">'[3]5.2-опер.рас ПП'!анализ</definedName>
    <definedName name="анализ" localSheetId="111">'[3]5.2-опер.рас ПП'!анализ</definedName>
    <definedName name="анализ" localSheetId="108">'[3]5.2-опер.рас ПП'!анализ</definedName>
    <definedName name="анализ" localSheetId="122">'[3]5.2-опер.рас ПП'!анализ</definedName>
    <definedName name="анализ" localSheetId="116">'[3]5.2-опер.рас ПП'!анализ</definedName>
    <definedName name="анализ" localSheetId="125">'[3]5.2-опер.рас ПП'!анализ</definedName>
    <definedName name="анализ" localSheetId="127">'[3]5.2-опер.рас ПП'!анализ</definedName>
    <definedName name="анализ" localSheetId="126">'[3]5.2-опер.рас ПП'!анализ</definedName>
    <definedName name="анализ" localSheetId="124">'[3]5.2-опер.рас ПП'!анализ</definedName>
    <definedName name="анализ" localSheetId="118">'[3]5.2-опер.рас ПП'!анализ</definedName>
    <definedName name="анализ" localSheetId="123">'[3]5.2-опер.рас ПП'!анализ</definedName>
    <definedName name="анализ" localSheetId="117">'[3]5.2-опер.рас ПП'!анализ</definedName>
    <definedName name="анализ" localSheetId="119">'[3]5.2-опер.рас ПП'!анализ</definedName>
    <definedName name="анализ" localSheetId="120">'[3]5.2-опер.рас ПП'!анализ</definedName>
    <definedName name="анализ" localSheetId="121">'[3]5.2-опер.рас ПП'!анализ</definedName>
    <definedName name="анализ" localSheetId="129">'[3]5.2-опер.рас ПП'!анализ</definedName>
    <definedName name="анализ" localSheetId="128">'[3]5.2-опер.рас ПП'!анализ</definedName>
    <definedName name="анализ" localSheetId="130">'[3]5.2-опер.рас ПП'!анализ</definedName>
    <definedName name="анализ" localSheetId="133">'[3]5.2-опер.рас ПП'!анализ</definedName>
    <definedName name="анализ" localSheetId="132">'[3]5.2-опер.рас ПП'!анализ</definedName>
    <definedName name="анализ" localSheetId="136">'[3]5.2-опер.рас ПП'!анализ</definedName>
    <definedName name="анализ" localSheetId="134">'[3]5.2-опер.рас ПП'!анализ</definedName>
    <definedName name="анализ" localSheetId="139">'[3]5.2-опер.рас ПП'!анализ</definedName>
    <definedName name="анализ" localSheetId="137">'[3]5.2-опер.рас ПП'!анализ</definedName>
    <definedName name="анализ" localSheetId="142">'[3]5.2-опер.рас ПП'!анализ</definedName>
    <definedName name="анализ" localSheetId="141">'[3]5.2-опер.рас ПП'!анализ</definedName>
    <definedName name="анализ" localSheetId="140">'[3]5.2-опер.рас ПП'!анализ</definedName>
    <definedName name="анализ" localSheetId="145">'[3]5.2-опер.рас ПП'!анализ</definedName>
    <definedName name="анализ" localSheetId="143">'[3]5.2-опер.рас ПП'!анализ</definedName>
    <definedName name="анализ" localSheetId="150">'[3]5.2-опер.рас ПП'!анализ</definedName>
    <definedName name="анализ" localSheetId="158">'[3]5.2-опер.рас ПП'!анализ</definedName>
    <definedName name="анализ" localSheetId="157">'[3]5.2-опер.рас ПП'!анализ</definedName>
    <definedName name="анализ" localSheetId="156">'[3]5.2-опер.рас ПП'!анализ</definedName>
    <definedName name="анализ" localSheetId="146">'[3]5.2-опер.рас ПП'!анализ</definedName>
    <definedName name="анализ" localSheetId="89">'[3]5.2-опер.рас ПП'!анализ</definedName>
    <definedName name="анализ" localSheetId="90">'[3]5.2-опер.рас ПП'!анализ</definedName>
    <definedName name="анализ" localSheetId="2">'[4]5.2-опер.рас ПП'!анализ</definedName>
    <definedName name="анализ" localSheetId="1">'[4]5.2-опер.рас ПП'!анализ</definedName>
    <definedName name="анализ">'[3]5.2-опер.рас ПП'!анализ</definedName>
    <definedName name="ап" localSheetId="19">'[3]5.2-опер.рас ПП'!ап</definedName>
    <definedName name="ап" localSheetId="17">'[3]5.2-опер.рас ПП'!ап</definedName>
    <definedName name="ап" localSheetId="45">'4. 7_котельн.'!ап</definedName>
    <definedName name="ап" localSheetId="44">'4. 7_КТЭЦ'!ап</definedName>
    <definedName name="ап" localSheetId="3">'[3]5.2-опер.рас ПП'!ап</definedName>
    <definedName name="ап" localSheetId="78">'[3]5.2-опер.рас ПП'!ап</definedName>
    <definedName name="ап" localSheetId="65">'[3]5.2-опер.рас ПП'!ап</definedName>
    <definedName name="ап" localSheetId="75">'[3]5.2-опер.рас ПП'!ап</definedName>
    <definedName name="ап" localSheetId="70">'[3]5.2-опер.рас ПП'!ап</definedName>
    <definedName name="ап" localSheetId="79">'[3]5.2-опер.рас ПП'!ап</definedName>
    <definedName name="ап" localSheetId="82">'[3]5.2-опер.рас ПП'!ап</definedName>
    <definedName name="ап" localSheetId="12">'[3]5.2-опер.рас ПП'!ап</definedName>
    <definedName name="ап" localSheetId="11">'[3]5.2-опер.рас ПП'!ап</definedName>
    <definedName name="ап" localSheetId="20">'[4]5.2-опер.рас ПП'!ап</definedName>
    <definedName name="ап" localSheetId="28">'[3]5.2-опер.рас ПП'!ап</definedName>
    <definedName name="ап" localSheetId="38">'[3]5.2-опер.рас ПП'!ап</definedName>
    <definedName name="ап" localSheetId="26">'[3]5.2-опер.рас ПП'!ап</definedName>
    <definedName name="ап" localSheetId="34">'[3]5.2-опер.рас ПП'!ап</definedName>
    <definedName name="ап" localSheetId="32">'[3]5.2-опер.рас ПП'!ап</definedName>
    <definedName name="ап" localSheetId="23">'[3]5.2-опер.рас ПП'!ап</definedName>
    <definedName name="ап" localSheetId="41">'[3]5.2-опер.рас ПП'!ап</definedName>
    <definedName name="ап" localSheetId="31">'[3]5.2-опер.рас ПП'!ап</definedName>
    <definedName name="ап" localSheetId="30">'[3]5.2-опер.рас ПП'!ап</definedName>
    <definedName name="ап" localSheetId="47">'[4]5.2-опер.рас ПП'!ап</definedName>
    <definedName name="ап" localSheetId="46">'[4]5.2-опер.рас ПП'!ап</definedName>
    <definedName name="ап" localSheetId="52">'[3]5.2-опер.рас ПП'!ап</definedName>
    <definedName name="ап" localSheetId="62">'[3]5.2-опер.рас ПП'!ап</definedName>
    <definedName name="ап" localSheetId="57">'[3]5.2-опер.рас ПП'!ап</definedName>
    <definedName name="ап" localSheetId="51">'[3]5.2-опер.рас ПП'!ап</definedName>
    <definedName name="ап" localSheetId="61">'[3]5.2-опер.рас ПП'!ап</definedName>
    <definedName name="ап" localSheetId="56">'[3]5.2-опер.рас ПП'!ап</definedName>
    <definedName name="ап" localSheetId="60">'[3]5.2-опер.рас ПП'!ап</definedName>
    <definedName name="ап" localSheetId="55">'[3]5.2-опер.рас ПП'!ап</definedName>
    <definedName name="ап" localSheetId="50">'[3]5.2-опер.рас ПП'!ап</definedName>
    <definedName name="ап" localSheetId="96">'[3]5.2-опер.рас ПП'!ап</definedName>
    <definedName name="ап" localSheetId="93">'[3]5.2-опер.рас ПП'!ап</definedName>
    <definedName name="ап" localSheetId="99">'[3]5.2-опер.рас ПП'!ап</definedName>
    <definedName name="ап" localSheetId="95">'[3]5.2-опер.рас ПП'!ап</definedName>
    <definedName name="ап" localSheetId="92">'[3]5.2-опер.рас ПП'!ап</definedName>
    <definedName name="ап" localSheetId="98">'[3]5.2-опер.рас ПП'!ап</definedName>
    <definedName name="ап" localSheetId="94">'[3]5.2-опер.рас ПП'!ап</definedName>
    <definedName name="ап" localSheetId="91">'[3]5.2-опер.рас ПП'!ап</definedName>
    <definedName name="ап" localSheetId="97">'[3]5.2-опер.рас ПП'!ап</definedName>
    <definedName name="ап" localSheetId="103">'[3]5.2-опер.рас ПП'!ап</definedName>
    <definedName name="ап" localSheetId="101">'[3]5.2-опер.рас ПП'!ап</definedName>
    <definedName name="ап" localSheetId="106">'[3]5.2-опер.рас ПП'!ап</definedName>
    <definedName name="ап" localSheetId="102">'[3]5.2-опер.рас ПП'!ап</definedName>
    <definedName name="ап" localSheetId="100">'[3]5.2-опер.рас ПП'!ап</definedName>
    <definedName name="ап" localSheetId="105">'[3]5.2-опер.рас ПП'!ап</definedName>
    <definedName name="ап" localSheetId="104">'[3]5.2-опер.рас ПП'!ап</definedName>
    <definedName name="ап" localSheetId="110">'[3]5.2-опер.рас ПП'!ап</definedName>
    <definedName name="ап" localSheetId="107">'[3]5.2-опер.рас ПП'!ап</definedName>
    <definedName name="ап" localSheetId="113">'[3]5.2-опер.рас ПП'!ап</definedName>
    <definedName name="ап" localSheetId="115">'[3]5.2-опер.рас ПП'!ап</definedName>
    <definedName name="ап" localSheetId="114">'[3]5.2-опер.рас ПП'!ап</definedName>
    <definedName name="ап" localSheetId="112">'[3]5.2-опер.рас ПП'!ап</definedName>
    <definedName name="ап" localSheetId="109">'[3]5.2-опер.рас ПП'!ап</definedName>
    <definedName name="ап" localSheetId="111">'[3]5.2-опер.рас ПП'!ап</definedName>
    <definedName name="ап" localSheetId="108">'[3]5.2-опер.рас ПП'!ап</definedName>
    <definedName name="ап" localSheetId="122">'[3]5.2-опер.рас ПП'!ап</definedName>
    <definedName name="ап" localSheetId="116">'[3]5.2-опер.рас ПП'!ап</definedName>
    <definedName name="ап" localSheetId="125">'[3]5.2-опер.рас ПП'!ап</definedName>
    <definedName name="ап" localSheetId="127">'[3]5.2-опер.рас ПП'!ап</definedName>
    <definedName name="ап" localSheetId="126">'[3]5.2-опер.рас ПП'!ап</definedName>
    <definedName name="ап" localSheetId="124">'[3]5.2-опер.рас ПП'!ап</definedName>
    <definedName name="ап" localSheetId="118">'[3]5.2-опер.рас ПП'!ап</definedName>
    <definedName name="ап" localSheetId="123">'[3]5.2-опер.рас ПП'!ап</definedName>
    <definedName name="ап" localSheetId="117">'[3]5.2-опер.рас ПП'!ап</definedName>
    <definedName name="ап" localSheetId="119">'[3]5.2-опер.рас ПП'!ап</definedName>
    <definedName name="ап" localSheetId="120">'[3]5.2-опер.рас ПП'!ап</definedName>
    <definedName name="ап" localSheetId="121">'[3]5.2-опер.рас ПП'!ап</definedName>
    <definedName name="ап" localSheetId="129">'[3]5.2-опер.рас ПП'!ап</definedName>
    <definedName name="ап" localSheetId="128">'[3]5.2-опер.рас ПП'!ап</definedName>
    <definedName name="ап" localSheetId="130">'[3]5.2-опер.рас ПП'!ап</definedName>
    <definedName name="ап" localSheetId="133">'[3]5.2-опер.рас ПП'!ап</definedName>
    <definedName name="ап" localSheetId="132">'[3]5.2-опер.рас ПП'!ап</definedName>
    <definedName name="ап" localSheetId="136">'[3]5.2-опер.рас ПП'!ап</definedName>
    <definedName name="ап" localSheetId="134">'[3]5.2-опер.рас ПП'!ап</definedName>
    <definedName name="ап" localSheetId="139">'[3]5.2-опер.рас ПП'!ап</definedName>
    <definedName name="ап" localSheetId="137">'[3]5.2-опер.рас ПП'!ап</definedName>
    <definedName name="ап" localSheetId="142">'[3]5.2-опер.рас ПП'!ап</definedName>
    <definedName name="ап" localSheetId="141">'[3]5.2-опер.рас ПП'!ап</definedName>
    <definedName name="ап" localSheetId="140">'[3]5.2-опер.рас ПП'!ап</definedName>
    <definedName name="ап" localSheetId="145">'[3]5.2-опер.рас ПП'!ап</definedName>
    <definedName name="ап" localSheetId="143">'[3]5.2-опер.рас ПП'!ап</definedName>
    <definedName name="ап" localSheetId="150">'[3]5.2-опер.рас ПП'!ап</definedName>
    <definedName name="ап" localSheetId="158">'[3]5.2-опер.рас ПП'!ап</definedName>
    <definedName name="ап" localSheetId="157">'[3]5.2-опер.рас ПП'!ап</definedName>
    <definedName name="ап" localSheetId="156">'[3]5.2-опер.рас ПП'!ап</definedName>
    <definedName name="ап" localSheetId="146">'[3]5.2-опер.рас ПП'!ап</definedName>
    <definedName name="ап" localSheetId="89">'[3]5.2-опер.рас ПП'!ап</definedName>
    <definedName name="ап" localSheetId="90">'[3]5.2-опер.рас ПП'!ап</definedName>
    <definedName name="ап" localSheetId="2">'[4]5.2-опер.рас ПП'!ап</definedName>
    <definedName name="ап" localSheetId="1">'[4]5.2-опер.рас ПП'!ап</definedName>
    <definedName name="ап">'[3]5.2-опер.рас ПП'!ап</definedName>
    <definedName name="апрель">#N/A</definedName>
    <definedName name="_xlnm.Database" localSheetId="19">#REF!</definedName>
    <definedName name="_xlnm.Database" localSheetId="18">#REF!</definedName>
    <definedName name="_xlnm.Database" localSheetId="17">#REF!</definedName>
    <definedName name="_xlnm.Database" localSheetId="45">#REF!</definedName>
    <definedName name="_xlnm.Database" localSheetId="44">#REF!</definedName>
    <definedName name="_xlnm.Database" localSheetId="3">#REF!</definedName>
    <definedName name="_xlnm.Database" localSheetId="78">#REF!</definedName>
    <definedName name="_xlnm.Database" localSheetId="63">#REF!</definedName>
    <definedName name="_xlnm.Database" localSheetId="73">#REF!</definedName>
    <definedName name="_xlnm.Database" localSheetId="68">#REF!</definedName>
    <definedName name="_xlnm.Database" localSheetId="65">#REF!</definedName>
    <definedName name="_xlnm.Database" localSheetId="75">#REF!</definedName>
    <definedName name="_xlnm.Database" localSheetId="70">#REF!</definedName>
    <definedName name="_xlnm.Database" localSheetId="79">#REF!</definedName>
    <definedName name="_xlnm.Database" localSheetId="82">#REF!</definedName>
    <definedName name="_xlnm.Database" localSheetId="12">#REF!</definedName>
    <definedName name="_xlnm.Database" localSheetId="11">#REF!</definedName>
    <definedName name="_xlnm.Database" localSheetId="20">#REF!</definedName>
    <definedName name="_xlnm.Database" localSheetId="28">#REF!</definedName>
    <definedName name="_xlnm.Database" localSheetId="38">#REF!</definedName>
    <definedName name="_xlnm.Database" localSheetId="26">#REF!</definedName>
    <definedName name="_xlnm.Database" localSheetId="34">#REF!</definedName>
    <definedName name="_xlnm.Database" localSheetId="32">#REF!</definedName>
    <definedName name="_xlnm.Database" localSheetId="23">#REF!</definedName>
    <definedName name="_xlnm.Database" localSheetId="41">#REF!</definedName>
    <definedName name="_xlnm.Database" localSheetId="31">#REF!</definedName>
    <definedName name="_xlnm.Database" localSheetId="30">#REF!</definedName>
    <definedName name="_xlnm.Database" localSheetId="47">#REF!</definedName>
    <definedName name="_xlnm.Database" localSheetId="46">#REF!</definedName>
    <definedName name="_xlnm.Database" localSheetId="52">#REF!</definedName>
    <definedName name="_xlnm.Database" localSheetId="62">#REF!</definedName>
    <definedName name="_xlnm.Database" localSheetId="57">#REF!</definedName>
    <definedName name="_xlnm.Database" localSheetId="48">#REF!</definedName>
    <definedName name="_xlnm.Database" localSheetId="58">#REF!</definedName>
    <definedName name="_xlnm.Database" localSheetId="53">#REF!</definedName>
    <definedName name="_xlnm.Database" localSheetId="51">#REF!</definedName>
    <definedName name="_xlnm.Database" localSheetId="61">#REF!</definedName>
    <definedName name="_xlnm.Database" localSheetId="56">#REF!</definedName>
    <definedName name="_xlnm.Database" localSheetId="60">#REF!</definedName>
    <definedName name="_xlnm.Database" localSheetId="55">#REF!</definedName>
    <definedName name="_xlnm.Database" localSheetId="50">#REF!</definedName>
    <definedName name="_xlnm.Database" localSheetId="96">#REF!</definedName>
    <definedName name="_xlnm.Database" localSheetId="93">#REF!</definedName>
    <definedName name="_xlnm.Database" localSheetId="99">#REF!</definedName>
    <definedName name="_xlnm.Database" localSheetId="95">#REF!</definedName>
    <definedName name="_xlnm.Database" localSheetId="92">#REF!</definedName>
    <definedName name="_xlnm.Database" localSheetId="98">#REF!</definedName>
    <definedName name="_xlnm.Database" localSheetId="94">#REF!</definedName>
    <definedName name="_xlnm.Database" localSheetId="91">#REF!</definedName>
    <definedName name="_xlnm.Database" localSheetId="97">#REF!</definedName>
    <definedName name="_xlnm.Database" localSheetId="103">#REF!</definedName>
    <definedName name="_xlnm.Database" localSheetId="101">#REF!</definedName>
    <definedName name="_xlnm.Database" localSheetId="106">#REF!</definedName>
    <definedName name="_xlnm.Database" localSheetId="102">#REF!</definedName>
    <definedName name="_xlnm.Database" localSheetId="100">#REF!</definedName>
    <definedName name="_xlnm.Database" localSheetId="105">#REF!</definedName>
    <definedName name="_xlnm.Database" localSheetId="104">#REF!</definedName>
    <definedName name="_xlnm.Database" localSheetId="110">#REF!</definedName>
    <definedName name="_xlnm.Database" localSheetId="107">#REF!</definedName>
    <definedName name="_xlnm.Database" localSheetId="113">#REF!</definedName>
    <definedName name="_xlnm.Database" localSheetId="115">#REF!</definedName>
    <definedName name="_xlnm.Database" localSheetId="114">#REF!</definedName>
    <definedName name="_xlnm.Database" localSheetId="112">#REF!</definedName>
    <definedName name="_xlnm.Database" localSheetId="109">#REF!</definedName>
    <definedName name="_xlnm.Database" localSheetId="111">#REF!</definedName>
    <definedName name="_xlnm.Database" localSheetId="108">#REF!</definedName>
    <definedName name="_xlnm.Database" localSheetId="122">#REF!</definedName>
    <definedName name="_xlnm.Database" localSheetId="116">#REF!</definedName>
    <definedName name="_xlnm.Database" localSheetId="125">#REF!</definedName>
    <definedName name="_xlnm.Database" localSheetId="127">#REF!</definedName>
    <definedName name="_xlnm.Database" localSheetId="126">#REF!</definedName>
    <definedName name="_xlnm.Database" localSheetId="124">#REF!</definedName>
    <definedName name="_xlnm.Database" localSheetId="118">#REF!</definedName>
    <definedName name="_xlnm.Database" localSheetId="123">#REF!</definedName>
    <definedName name="_xlnm.Database" localSheetId="117">#REF!</definedName>
    <definedName name="_xlnm.Database" localSheetId="119">#REF!</definedName>
    <definedName name="_xlnm.Database" localSheetId="120">#REF!</definedName>
    <definedName name="_xlnm.Database" localSheetId="121">#REF!</definedName>
    <definedName name="_xlnm.Database" localSheetId="129">#REF!</definedName>
    <definedName name="_xlnm.Database" localSheetId="128">#REF!</definedName>
    <definedName name="_xlnm.Database" localSheetId="130">#REF!</definedName>
    <definedName name="_xlnm.Database" localSheetId="133">#REF!</definedName>
    <definedName name="_xlnm.Database" localSheetId="132">#REF!</definedName>
    <definedName name="_xlnm.Database" localSheetId="136">#REF!</definedName>
    <definedName name="_xlnm.Database" localSheetId="134">#REF!</definedName>
    <definedName name="_xlnm.Database" localSheetId="139">#REF!</definedName>
    <definedName name="_xlnm.Database" localSheetId="137">#REF!</definedName>
    <definedName name="_xlnm.Database" localSheetId="142">#REF!</definedName>
    <definedName name="_xlnm.Database" localSheetId="141">#REF!</definedName>
    <definedName name="_xlnm.Database" localSheetId="140">#REF!</definedName>
    <definedName name="_xlnm.Database" localSheetId="145">#REF!</definedName>
    <definedName name="_xlnm.Database" localSheetId="144">#REF!</definedName>
    <definedName name="_xlnm.Database" localSheetId="143">#REF!</definedName>
    <definedName name="_xlnm.Database" localSheetId="150">#REF!</definedName>
    <definedName name="_xlnm.Database" localSheetId="158">#REF!</definedName>
    <definedName name="_xlnm.Database" localSheetId="157">#REF!</definedName>
    <definedName name="_xlnm.Database" localSheetId="156">#REF!</definedName>
    <definedName name="_xlnm.Database" localSheetId="146">#REF!</definedName>
    <definedName name="_xlnm.Database" localSheetId="89">#REF!</definedName>
    <definedName name="_xlnm.Database" localSheetId="90">#REF!</definedName>
    <definedName name="_xlnm.Database" localSheetId="2">#REF!</definedName>
    <definedName name="_xlnm.Database">#REF!</definedName>
    <definedName name="БазовыйПериод" localSheetId="45">[7]Заголовок!$B$15</definedName>
    <definedName name="БазовыйПериод" localSheetId="44">[7]Заголовок!$B$15</definedName>
    <definedName name="БазовыйПериод">[8]Заголовок!$B$15</definedName>
    <definedName name="в23ё">#N/A</definedName>
    <definedName name="вв">#N/A</definedName>
    <definedName name="Волгоградэнерго" localSheetId="19">#REF!</definedName>
    <definedName name="Волгоградэнерго" localSheetId="18">#REF!</definedName>
    <definedName name="Волгоградэнерго" localSheetId="17">#REF!</definedName>
    <definedName name="Волгоградэнерго" localSheetId="45">#REF!</definedName>
    <definedName name="Волгоградэнерго" localSheetId="44">#REF!</definedName>
    <definedName name="Волгоградэнерго" localSheetId="3">#REF!</definedName>
    <definedName name="Волгоградэнерго" localSheetId="78">#REF!</definedName>
    <definedName name="Волгоградэнерго" localSheetId="63">#REF!</definedName>
    <definedName name="Волгоградэнерго" localSheetId="73">#REF!</definedName>
    <definedName name="Волгоградэнерго" localSheetId="68">#REF!</definedName>
    <definedName name="Волгоградэнерго" localSheetId="65">#REF!</definedName>
    <definedName name="Волгоградэнерго" localSheetId="75">#REF!</definedName>
    <definedName name="Волгоградэнерго" localSheetId="70">#REF!</definedName>
    <definedName name="Волгоградэнерго" localSheetId="79">#REF!</definedName>
    <definedName name="Волгоградэнерго" localSheetId="82">#REF!</definedName>
    <definedName name="Волгоградэнерго" localSheetId="12">#REF!</definedName>
    <definedName name="Волгоградэнерго" localSheetId="11">#REF!</definedName>
    <definedName name="Волгоградэнерго" localSheetId="20">#REF!</definedName>
    <definedName name="Волгоградэнерго" localSheetId="28">#REF!</definedName>
    <definedName name="Волгоградэнерго" localSheetId="38">#REF!</definedName>
    <definedName name="Волгоградэнерго" localSheetId="26">#REF!</definedName>
    <definedName name="Волгоградэнерго" localSheetId="34">#REF!</definedName>
    <definedName name="Волгоградэнерго" localSheetId="32">#REF!</definedName>
    <definedName name="Волгоградэнерго" localSheetId="23">#REF!</definedName>
    <definedName name="Волгоградэнерго" localSheetId="41">#REF!</definedName>
    <definedName name="Волгоградэнерго" localSheetId="31">#REF!</definedName>
    <definedName name="Волгоградэнерго" localSheetId="30">#REF!</definedName>
    <definedName name="Волгоградэнерго" localSheetId="47">#REF!</definedName>
    <definedName name="Волгоградэнерго" localSheetId="46">#REF!</definedName>
    <definedName name="Волгоградэнерго" localSheetId="52">#REF!</definedName>
    <definedName name="Волгоградэнерго" localSheetId="62">#REF!</definedName>
    <definedName name="Волгоградэнерго" localSheetId="57">#REF!</definedName>
    <definedName name="Волгоградэнерго" localSheetId="48">#REF!</definedName>
    <definedName name="Волгоградэнерго" localSheetId="58">#REF!</definedName>
    <definedName name="Волгоградэнерго" localSheetId="53">#REF!</definedName>
    <definedName name="Волгоградэнерго" localSheetId="51">#REF!</definedName>
    <definedName name="Волгоградэнерго" localSheetId="61">#REF!</definedName>
    <definedName name="Волгоградэнерго" localSheetId="56">#REF!</definedName>
    <definedName name="Волгоградэнерго" localSheetId="60">#REF!</definedName>
    <definedName name="Волгоградэнерго" localSheetId="55">#REF!</definedName>
    <definedName name="Волгоградэнерго" localSheetId="50">#REF!</definedName>
    <definedName name="Волгоградэнерго" localSheetId="96">#REF!</definedName>
    <definedName name="Волгоградэнерго" localSheetId="93">#REF!</definedName>
    <definedName name="Волгоградэнерго" localSheetId="99">#REF!</definedName>
    <definedName name="Волгоградэнерго" localSheetId="95">#REF!</definedName>
    <definedName name="Волгоградэнерго" localSheetId="92">#REF!</definedName>
    <definedName name="Волгоградэнерго" localSheetId="98">#REF!</definedName>
    <definedName name="Волгоградэнерго" localSheetId="94">#REF!</definedName>
    <definedName name="Волгоградэнерго" localSheetId="91">#REF!</definedName>
    <definedName name="Волгоградэнерго" localSheetId="97">#REF!</definedName>
    <definedName name="Волгоградэнерго" localSheetId="103">#REF!</definedName>
    <definedName name="Волгоградэнерго" localSheetId="101">#REF!</definedName>
    <definedName name="Волгоградэнерго" localSheetId="106">#REF!</definedName>
    <definedName name="Волгоградэнерго" localSheetId="102">#REF!</definedName>
    <definedName name="Волгоградэнерго" localSheetId="100">#REF!</definedName>
    <definedName name="Волгоградэнерго" localSheetId="105">#REF!</definedName>
    <definedName name="Волгоградэнерго" localSheetId="104">#REF!</definedName>
    <definedName name="Волгоградэнерго" localSheetId="110">#REF!</definedName>
    <definedName name="Волгоградэнерго" localSheetId="107">#REF!</definedName>
    <definedName name="Волгоградэнерго" localSheetId="113">#REF!</definedName>
    <definedName name="Волгоградэнерго" localSheetId="115">#REF!</definedName>
    <definedName name="Волгоградэнерго" localSheetId="114">#REF!</definedName>
    <definedName name="Волгоградэнерго" localSheetId="112">#REF!</definedName>
    <definedName name="Волгоградэнерго" localSheetId="109">#REF!</definedName>
    <definedName name="Волгоградэнерго" localSheetId="111">#REF!</definedName>
    <definedName name="Волгоградэнерго" localSheetId="108">#REF!</definedName>
    <definedName name="Волгоградэнерго" localSheetId="122">#REF!</definedName>
    <definedName name="Волгоградэнерго" localSheetId="116">#REF!</definedName>
    <definedName name="Волгоградэнерго" localSheetId="125">#REF!</definedName>
    <definedName name="Волгоградэнерго" localSheetId="127">#REF!</definedName>
    <definedName name="Волгоградэнерго" localSheetId="126">#REF!</definedName>
    <definedName name="Волгоградэнерго" localSheetId="124">#REF!</definedName>
    <definedName name="Волгоградэнерго" localSheetId="118">#REF!</definedName>
    <definedName name="Волгоградэнерго" localSheetId="123">#REF!</definedName>
    <definedName name="Волгоградэнерго" localSheetId="117">#REF!</definedName>
    <definedName name="Волгоградэнерго" localSheetId="119">#REF!</definedName>
    <definedName name="Волгоградэнерго" localSheetId="120">#REF!</definedName>
    <definedName name="Волгоградэнерго" localSheetId="121">#REF!</definedName>
    <definedName name="Волгоградэнерго" localSheetId="129">#REF!</definedName>
    <definedName name="Волгоградэнерго" localSheetId="128">#REF!</definedName>
    <definedName name="Волгоградэнерго" localSheetId="130">#REF!</definedName>
    <definedName name="Волгоградэнерго" localSheetId="133">#REF!</definedName>
    <definedName name="Волгоградэнерго" localSheetId="132">#REF!</definedName>
    <definedName name="Волгоградэнерго" localSheetId="136">#REF!</definedName>
    <definedName name="Волгоградэнерго" localSheetId="134">#REF!</definedName>
    <definedName name="Волгоградэнерго" localSheetId="139">#REF!</definedName>
    <definedName name="Волгоградэнерго" localSheetId="137">#REF!</definedName>
    <definedName name="Волгоградэнерго" localSheetId="142">#REF!</definedName>
    <definedName name="Волгоградэнерго" localSheetId="141">#REF!</definedName>
    <definedName name="Волгоградэнерго" localSheetId="140">#REF!</definedName>
    <definedName name="Волгоградэнерго" localSheetId="145">#REF!</definedName>
    <definedName name="Волгоградэнерго" localSheetId="144">#REF!</definedName>
    <definedName name="Волгоградэнерго" localSheetId="143">#REF!</definedName>
    <definedName name="Волгоградэнерго" localSheetId="150">#REF!</definedName>
    <definedName name="Волгоградэнерго" localSheetId="158">#REF!</definedName>
    <definedName name="Волгоградэнерго" localSheetId="157">#REF!</definedName>
    <definedName name="Волгоградэнерго" localSheetId="156">#REF!</definedName>
    <definedName name="Волгоградэнерго" localSheetId="146">#REF!</definedName>
    <definedName name="Волгоградэнерго" localSheetId="89">#REF!</definedName>
    <definedName name="Волгоградэнерго" localSheetId="90">#REF!</definedName>
    <definedName name="Волгоградэнерго" localSheetId="2">#REF!</definedName>
    <definedName name="Волгоградэнерго">#REF!</definedName>
    <definedName name="второй" localSheetId="19">#REF!</definedName>
    <definedName name="второй" localSheetId="18">#REF!</definedName>
    <definedName name="второй" localSheetId="17">#REF!</definedName>
    <definedName name="второй" localSheetId="45">#REF!</definedName>
    <definedName name="второй" localSheetId="44">#REF!</definedName>
    <definedName name="второй" localSheetId="3">#REF!</definedName>
    <definedName name="второй" localSheetId="78">#REF!</definedName>
    <definedName name="второй" localSheetId="63">#REF!</definedName>
    <definedName name="второй" localSheetId="73">#REF!</definedName>
    <definedName name="второй" localSheetId="68">#REF!</definedName>
    <definedName name="второй" localSheetId="65">#REF!</definedName>
    <definedName name="второй" localSheetId="75">#REF!</definedName>
    <definedName name="второй" localSheetId="70">#REF!</definedName>
    <definedName name="второй" localSheetId="79">#REF!</definedName>
    <definedName name="второй" localSheetId="82">#REF!</definedName>
    <definedName name="второй" localSheetId="12">#REF!</definedName>
    <definedName name="второй" localSheetId="11">#REF!</definedName>
    <definedName name="второй" localSheetId="28">#REF!</definedName>
    <definedName name="второй" localSheetId="38">#REF!</definedName>
    <definedName name="второй" localSheetId="26">#REF!</definedName>
    <definedName name="второй" localSheetId="34">#REF!</definedName>
    <definedName name="второй" localSheetId="32">#REF!</definedName>
    <definedName name="второй" localSheetId="23">#REF!</definedName>
    <definedName name="второй" localSheetId="41">#REF!</definedName>
    <definedName name="второй" localSheetId="31">#REF!</definedName>
    <definedName name="второй" localSheetId="30">#REF!</definedName>
    <definedName name="второй" localSheetId="47">#REF!</definedName>
    <definedName name="второй" localSheetId="52">#REF!</definedName>
    <definedName name="второй" localSheetId="62">#REF!</definedName>
    <definedName name="второй" localSheetId="57">#REF!</definedName>
    <definedName name="второй" localSheetId="48">#REF!</definedName>
    <definedName name="второй" localSheetId="58">#REF!</definedName>
    <definedName name="второй" localSheetId="53">#REF!</definedName>
    <definedName name="второй" localSheetId="51">#REF!</definedName>
    <definedName name="второй" localSheetId="61">#REF!</definedName>
    <definedName name="второй" localSheetId="56">#REF!</definedName>
    <definedName name="второй" localSheetId="60">#REF!</definedName>
    <definedName name="второй" localSheetId="55">#REF!</definedName>
    <definedName name="второй" localSheetId="50">#REF!</definedName>
    <definedName name="второй" localSheetId="96">#REF!</definedName>
    <definedName name="второй" localSheetId="93">#REF!</definedName>
    <definedName name="второй" localSheetId="99">#REF!</definedName>
    <definedName name="второй" localSheetId="95">#REF!</definedName>
    <definedName name="второй" localSheetId="92">#REF!</definedName>
    <definedName name="второй" localSheetId="98">#REF!</definedName>
    <definedName name="второй" localSheetId="94">#REF!</definedName>
    <definedName name="второй" localSheetId="91">#REF!</definedName>
    <definedName name="второй" localSheetId="97">#REF!</definedName>
    <definedName name="второй" localSheetId="103">#REF!</definedName>
    <definedName name="второй" localSheetId="101">#REF!</definedName>
    <definedName name="второй" localSheetId="106">#REF!</definedName>
    <definedName name="второй" localSheetId="102">#REF!</definedName>
    <definedName name="второй" localSheetId="100">#REF!</definedName>
    <definedName name="второй" localSheetId="105">#REF!</definedName>
    <definedName name="второй" localSheetId="104">#REF!</definedName>
    <definedName name="второй" localSheetId="110">#REF!</definedName>
    <definedName name="второй" localSheetId="107">#REF!</definedName>
    <definedName name="второй" localSheetId="113">#REF!</definedName>
    <definedName name="второй" localSheetId="115">#REF!</definedName>
    <definedName name="второй" localSheetId="114">#REF!</definedName>
    <definedName name="второй" localSheetId="112">#REF!</definedName>
    <definedName name="второй" localSheetId="109">#REF!</definedName>
    <definedName name="второй" localSheetId="111">#REF!</definedName>
    <definedName name="второй" localSheetId="108">#REF!</definedName>
    <definedName name="второй" localSheetId="122">#REF!</definedName>
    <definedName name="второй" localSheetId="116">#REF!</definedName>
    <definedName name="второй" localSheetId="125">#REF!</definedName>
    <definedName name="второй" localSheetId="127">#REF!</definedName>
    <definedName name="второй" localSheetId="126">#REF!</definedName>
    <definedName name="второй" localSheetId="124">#REF!</definedName>
    <definedName name="второй" localSheetId="118">#REF!</definedName>
    <definedName name="второй" localSheetId="123">#REF!</definedName>
    <definedName name="второй" localSheetId="117">#REF!</definedName>
    <definedName name="второй" localSheetId="119">#REF!</definedName>
    <definedName name="второй" localSheetId="120">#REF!</definedName>
    <definedName name="второй" localSheetId="121">#REF!</definedName>
    <definedName name="второй" localSheetId="129">#REF!</definedName>
    <definedName name="второй" localSheetId="128">#REF!</definedName>
    <definedName name="второй" localSheetId="130">#REF!</definedName>
    <definedName name="второй" localSheetId="133">#REF!</definedName>
    <definedName name="второй" localSheetId="132">#REF!</definedName>
    <definedName name="второй" localSheetId="136">#REF!</definedName>
    <definedName name="второй" localSheetId="134">#REF!</definedName>
    <definedName name="второй" localSheetId="139">#REF!</definedName>
    <definedName name="второй" localSheetId="137">#REF!</definedName>
    <definedName name="второй" localSheetId="142">#REF!</definedName>
    <definedName name="второй" localSheetId="141">#REF!</definedName>
    <definedName name="второй" localSheetId="140">#REF!</definedName>
    <definedName name="второй" localSheetId="145">#REF!</definedName>
    <definedName name="второй" localSheetId="144">#REF!</definedName>
    <definedName name="второй" localSheetId="143">#REF!</definedName>
    <definedName name="второй" localSheetId="150">#REF!</definedName>
    <definedName name="второй" localSheetId="158">#REF!</definedName>
    <definedName name="второй" localSheetId="157">#REF!</definedName>
    <definedName name="второй" localSheetId="156">#REF!</definedName>
    <definedName name="второй" localSheetId="146">#REF!</definedName>
    <definedName name="второй" localSheetId="89">#REF!</definedName>
    <definedName name="второй" localSheetId="90">#REF!</definedName>
    <definedName name="второй" localSheetId="2">#REF!</definedName>
    <definedName name="второй">#REF!</definedName>
    <definedName name="дд" localSheetId="19">'[3]5.2-опер.рас ПП'!дд</definedName>
    <definedName name="дд" localSheetId="17">'[3]5.2-опер.рас ПП'!дд</definedName>
    <definedName name="дд" localSheetId="45">'4. 7_котельн.'!дд</definedName>
    <definedName name="дд" localSheetId="44">'4. 7_КТЭЦ'!дд</definedName>
    <definedName name="дд" localSheetId="3">'[3]5.2-опер.рас ПП'!дд</definedName>
    <definedName name="дд" localSheetId="78">'[3]5.2-опер.рас ПП'!дд</definedName>
    <definedName name="дд" localSheetId="65">'[3]5.2-опер.рас ПП'!дд</definedName>
    <definedName name="дд" localSheetId="75">'[3]5.2-опер.рас ПП'!дд</definedName>
    <definedName name="дд" localSheetId="70">'[3]5.2-опер.рас ПП'!дд</definedName>
    <definedName name="дд" localSheetId="79">'[3]5.2-опер.рас ПП'!дд</definedName>
    <definedName name="дд" localSheetId="82">'[3]5.2-опер.рас ПП'!дд</definedName>
    <definedName name="дд" localSheetId="12">'[3]5.2-опер.рас ПП'!дд</definedName>
    <definedName name="дд" localSheetId="11">'[3]5.2-опер.рас ПП'!дд</definedName>
    <definedName name="дд" localSheetId="20">'[4]5.2-опер.рас ПП'!дд</definedName>
    <definedName name="дд" localSheetId="28">'[3]5.2-опер.рас ПП'!дд</definedName>
    <definedName name="дд" localSheetId="38">'[3]5.2-опер.рас ПП'!дд</definedName>
    <definedName name="дд" localSheetId="26">'[3]5.2-опер.рас ПП'!дд</definedName>
    <definedName name="дд" localSheetId="34">'[3]5.2-опер.рас ПП'!дд</definedName>
    <definedName name="дд" localSheetId="32">'[3]5.2-опер.рас ПП'!дд</definedName>
    <definedName name="дд" localSheetId="23">'[3]5.2-опер.рас ПП'!дд</definedName>
    <definedName name="дд" localSheetId="41">'[3]5.2-опер.рас ПП'!дд</definedName>
    <definedName name="дд" localSheetId="31">'[3]5.2-опер.рас ПП'!дд</definedName>
    <definedName name="дд" localSheetId="30">'[3]5.2-опер.рас ПП'!дд</definedName>
    <definedName name="дд" localSheetId="47">'[4]5.2-опер.рас ПП'!дд</definedName>
    <definedName name="дд" localSheetId="46">'[4]5.2-опер.рас ПП'!дд</definedName>
    <definedName name="дд" localSheetId="52">'[3]5.2-опер.рас ПП'!дд</definedName>
    <definedName name="дд" localSheetId="62">'[3]5.2-опер.рас ПП'!дд</definedName>
    <definedName name="дд" localSheetId="57">'[3]5.2-опер.рас ПП'!дд</definedName>
    <definedName name="дд" localSheetId="51">'[3]5.2-опер.рас ПП'!дд</definedName>
    <definedName name="дд" localSheetId="61">'[3]5.2-опер.рас ПП'!дд</definedName>
    <definedName name="дд" localSheetId="56">'[3]5.2-опер.рас ПП'!дд</definedName>
    <definedName name="дд" localSheetId="60">'[3]5.2-опер.рас ПП'!дд</definedName>
    <definedName name="дд" localSheetId="55">'[3]5.2-опер.рас ПП'!дд</definedName>
    <definedName name="дд" localSheetId="50">'[3]5.2-опер.рас ПП'!дд</definedName>
    <definedName name="дд" localSheetId="96">'[3]5.2-опер.рас ПП'!дд</definedName>
    <definedName name="дд" localSheetId="93">'[3]5.2-опер.рас ПП'!дд</definedName>
    <definedName name="дд" localSheetId="99">'[3]5.2-опер.рас ПП'!дд</definedName>
    <definedName name="дд" localSheetId="95">'[3]5.2-опер.рас ПП'!дд</definedName>
    <definedName name="дд" localSheetId="92">'[3]5.2-опер.рас ПП'!дд</definedName>
    <definedName name="дд" localSheetId="98">'[3]5.2-опер.рас ПП'!дд</definedName>
    <definedName name="дд" localSheetId="94">'[3]5.2-опер.рас ПП'!дд</definedName>
    <definedName name="дд" localSheetId="91">'[3]5.2-опер.рас ПП'!дд</definedName>
    <definedName name="дд" localSheetId="97">'[3]5.2-опер.рас ПП'!дд</definedName>
    <definedName name="дд" localSheetId="103">'[3]5.2-опер.рас ПП'!дд</definedName>
    <definedName name="дд" localSheetId="101">'[3]5.2-опер.рас ПП'!дд</definedName>
    <definedName name="дд" localSheetId="106">'[3]5.2-опер.рас ПП'!дд</definedName>
    <definedName name="дд" localSheetId="102">'[3]5.2-опер.рас ПП'!дд</definedName>
    <definedName name="дд" localSheetId="100">'[3]5.2-опер.рас ПП'!дд</definedName>
    <definedName name="дд" localSheetId="105">'[3]5.2-опер.рас ПП'!дд</definedName>
    <definedName name="дд" localSheetId="104">'[3]5.2-опер.рас ПП'!дд</definedName>
    <definedName name="дд" localSheetId="110">'[3]5.2-опер.рас ПП'!дд</definedName>
    <definedName name="дд" localSheetId="107">'[3]5.2-опер.рас ПП'!дд</definedName>
    <definedName name="дд" localSheetId="113">'[3]5.2-опер.рас ПП'!дд</definedName>
    <definedName name="дд" localSheetId="115">'[3]5.2-опер.рас ПП'!дд</definedName>
    <definedName name="дд" localSheetId="114">'[3]5.2-опер.рас ПП'!дд</definedName>
    <definedName name="дд" localSheetId="112">'[3]5.2-опер.рас ПП'!дд</definedName>
    <definedName name="дд" localSheetId="109">'[3]5.2-опер.рас ПП'!дд</definedName>
    <definedName name="дд" localSheetId="111">'[3]5.2-опер.рас ПП'!дд</definedName>
    <definedName name="дд" localSheetId="108">'[3]5.2-опер.рас ПП'!дд</definedName>
    <definedName name="дд" localSheetId="122">'[3]5.2-опер.рас ПП'!дд</definedName>
    <definedName name="дд" localSheetId="116">'[3]5.2-опер.рас ПП'!дд</definedName>
    <definedName name="дд" localSheetId="125">'[3]5.2-опер.рас ПП'!дд</definedName>
    <definedName name="дд" localSheetId="127">'[3]5.2-опер.рас ПП'!дд</definedName>
    <definedName name="дд" localSheetId="126">'[3]5.2-опер.рас ПП'!дд</definedName>
    <definedName name="дд" localSheetId="124">'[3]5.2-опер.рас ПП'!дд</definedName>
    <definedName name="дд" localSheetId="118">'[3]5.2-опер.рас ПП'!дд</definedName>
    <definedName name="дд" localSheetId="123">'[3]5.2-опер.рас ПП'!дд</definedName>
    <definedName name="дд" localSheetId="117">'[3]5.2-опер.рас ПП'!дд</definedName>
    <definedName name="дд" localSheetId="119">'[3]5.2-опер.рас ПП'!дд</definedName>
    <definedName name="дд" localSheetId="120">'[3]5.2-опер.рас ПП'!дд</definedName>
    <definedName name="дд" localSheetId="121">'[3]5.2-опер.рас ПП'!дд</definedName>
    <definedName name="дд" localSheetId="129">'[3]5.2-опер.рас ПП'!дд</definedName>
    <definedName name="дд" localSheetId="128">'[3]5.2-опер.рас ПП'!дд</definedName>
    <definedName name="дд" localSheetId="130">'[3]5.2-опер.рас ПП'!дд</definedName>
    <definedName name="дд" localSheetId="133">'[3]5.2-опер.рас ПП'!дд</definedName>
    <definedName name="дд" localSheetId="132">'[3]5.2-опер.рас ПП'!дд</definedName>
    <definedName name="дд" localSheetId="136">'[3]5.2-опер.рас ПП'!дд</definedName>
    <definedName name="дд" localSheetId="134">'[3]5.2-опер.рас ПП'!дд</definedName>
    <definedName name="дд" localSheetId="139">'[3]5.2-опер.рас ПП'!дд</definedName>
    <definedName name="дд" localSheetId="137">'[3]5.2-опер.рас ПП'!дд</definedName>
    <definedName name="дд" localSheetId="142">'[3]5.2-опер.рас ПП'!дд</definedName>
    <definedName name="дд" localSheetId="141">'[3]5.2-опер.рас ПП'!дд</definedName>
    <definedName name="дд" localSheetId="140">'[3]5.2-опер.рас ПП'!дд</definedName>
    <definedName name="дд" localSheetId="145">'[3]5.2-опер.рас ПП'!дд</definedName>
    <definedName name="дд" localSheetId="143">'[3]5.2-опер.рас ПП'!дд</definedName>
    <definedName name="дд" localSheetId="150">'[3]5.2-опер.рас ПП'!дд</definedName>
    <definedName name="дд" localSheetId="158">'[3]5.2-опер.рас ПП'!дд</definedName>
    <definedName name="дд" localSheetId="157">'[3]5.2-опер.рас ПП'!дд</definedName>
    <definedName name="дд" localSheetId="156">'[3]5.2-опер.рас ПП'!дд</definedName>
    <definedName name="дд" localSheetId="146">'[3]5.2-опер.рас ПП'!дд</definedName>
    <definedName name="дд" localSheetId="89">'[3]5.2-опер.рас ПП'!дд</definedName>
    <definedName name="дд" localSheetId="90">'[3]5.2-опер.рас ПП'!дд</definedName>
    <definedName name="дд" localSheetId="2">'[4]5.2-опер.рас ПП'!дд</definedName>
    <definedName name="дд" localSheetId="1">'[4]5.2-опер.рас ПП'!дд</definedName>
    <definedName name="дд">'[3]5.2-опер.рас ПП'!дд</definedName>
    <definedName name="_xlnm.Print_Titles" localSheetId="19">' 4.4-котельные'!$1:$7</definedName>
    <definedName name="_xlnm.Print_Titles" localSheetId="18">' 4.4-КТЭЦ_комбинир.'!$1:$7</definedName>
    <definedName name="_xlnm.Print_Titles" localSheetId="17">' 4.4-свод_тепло'!$5:$7</definedName>
    <definedName name="_xlnm.Print_Titles" localSheetId="45">'4. 7_котельн.'!$6:$10</definedName>
    <definedName name="_xlnm.Print_Titles" localSheetId="44">'4. 7_КТЭЦ'!$6:$10</definedName>
    <definedName name="_xlnm.Print_Titles" localSheetId="3">'4.1 (свод)'!$A:$B</definedName>
    <definedName name="_xlnm.Print_Titles" localSheetId="6">'4.1_котельные'!$A:$B,'4.1_котельные'!$9:$9</definedName>
    <definedName name="_xlnm.Print_Titles" localSheetId="5">'4.1_КТЭЦ'!$A:$B,'4.1_КТЭЦ'!$9:$9</definedName>
    <definedName name="_xlnm.Print_Titles" localSheetId="7">'4.1_ПП_котельн.'!$9:$9</definedName>
    <definedName name="_xlnm.Print_Titles" localSheetId="4">'4.1_ПП_КТЭЦ'!$9:$9</definedName>
    <definedName name="_xlnm.Print_Titles" localSheetId="78">'4.10_косв.'!$5:$6</definedName>
    <definedName name="_xlnm.Print_Titles" localSheetId="64">'4.10_пр-во (свод)'!$5:$6</definedName>
    <definedName name="_xlnm.Print_Titles" localSheetId="74">'4.10_пр-во_котельн.'!$5:$6</definedName>
    <definedName name="_xlnm.Print_Titles" localSheetId="69">'4.10_пр-во_КТЭЦ'!$5:$6</definedName>
    <definedName name="_xlnm.Print_Titles" localSheetId="67">'4.10_сбыт (свод)'!$5:$6</definedName>
    <definedName name="_xlnm.Print_Titles" localSheetId="77">'4.10_сбыт_котельн.'!$5:$6</definedName>
    <definedName name="_xlnm.Print_Titles" localSheetId="72">'4.10_сбыт_КТЭЦ'!$5:$6</definedName>
    <definedName name="_xlnm.Print_Titles" localSheetId="63">'4.10_свод '!$5:$6</definedName>
    <definedName name="_xlnm.Print_Titles" localSheetId="73">'4.10_свод_котельн.'!$5:$6</definedName>
    <definedName name="_xlnm.Print_Titles" localSheetId="68">'4.10_свод_КТЭЦ'!$5:$6</definedName>
    <definedName name="_xlnm.Print_Titles" localSheetId="66">'4.10_транзит (свод)'!$5:$6</definedName>
    <definedName name="_xlnm.Print_Titles" localSheetId="76">'4.10_транзит_котельн.'!$5:$6</definedName>
    <definedName name="_xlnm.Print_Titles" localSheetId="71">'4.10_транзит_КТЭЦ'!$5:$6</definedName>
    <definedName name="_xlnm.Print_Titles" localSheetId="65">'4.10_транзит+сбыт (свод)'!$5:$6</definedName>
    <definedName name="_xlnm.Print_Titles" localSheetId="75">'4.10_транзит+сбыт_котельн.'!$5:$6</definedName>
    <definedName name="_xlnm.Print_Titles" localSheetId="70">'4.10_транзит+сбыт_КТЭЦ'!$5:$6</definedName>
    <definedName name="_xlnm.Print_Titles" localSheetId="82">'4.12 (свод)'!$7:$7</definedName>
    <definedName name="_xlnm.Print_Titles" localSheetId="84">'4.12_котельные'!$7:$7</definedName>
    <definedName name="_xlnm.Print_Titles" localSheetId="85">'4.13'!$6:$6</definedName>
    <definedName name="_xlnm.Print_Titles" localSheetId="86">'4.14'!$6:$6</definedName>
    <definedName name="_xlnm.Print_Titles" localSheetId="87">'4.15'!$6:$6</definedName>
    <definedName name="_xlnm.Print_Titles" localSheetId="9">'4.2_котельные'!$A:$B,'4.2_котельные'!$9:$9</definedName>
    <definedName name="_xlnm.Print_Titles" localSheetId="8">'4.2_КТЭЦ'!$A:$B,'4.2_КТЭЦ'!$9:$9</definedName>
    <definedName name="_xlnm.Print_Titles" localSheetId="12">'4.3_котельные'!$A:$B,'4.3_котельные'!$1:$7</definedName>
    <definedName name="_xlnm.Print_Titles" localSheetId="11">'4.3_КТЭЦ'!$A:$B,'4.3_КТЭЦ'!$1:$7</definedName>
    <definedName name="_xlnm.Print_Titles" localSheetId="10">'4.3_свод'!$A:$B,'4.3_свод'!$5:$6</definedName>
    <definedName name="_xlnm.Print_Titles" localSheetId="14">'4.4'!$5:$6</definedName>
    <definedName name="_xlnm.Print_Titles" localSheetId="15">'4.5'!$5:$7</definedName>
    <definedName name="_xlnm.Print_Titles" localSheetId="20">'4.5 - свод'!$1:$7</definedName>
    <definedName name="_xlnm.Print_Titles" localSheetId="22">'4.6_генерация (свод)'!$6:$6</definedName>
    <definedName name="_xlnm.Print_Titles" localSheetId="40">'4.6_генерация_котельн.'!$5:$6</definedName>
    <definedName name="_xlnm.Print_Titles" localSheetId="29">'4.6_генерация_КТЭЦ'!$6:$6</definedName>
    <definedName name="_xlnm.Print_Titles" localSheetId="28">'4.6_генерация_КТЭЦ с косв.'!$5:$6</definedName>
    <definedName name="_xlnm.Print_Titles" localSheetId="38">'4.6_косв.'!$6:$6</definedName>
    <definedName name="_xlnm.Print_Titles" localSheetId="39">'4.6_котельные'!$5:$6</definedName>
    <definedName name="_xlnm.Print_Titles" localSheetId="27">'4.6_КТЭЦ свод'!$6:$6</definedName>
    <definedName name="_xlnm.Print_Titles" localSheetId="26">'4.6_КТЭЦ свод с косв.'!$5:$6</definedName>
    <definedName name="_xlnm.Print_Titles" localSheetId="25">'4.6_сбыт (свод)'!$6:$6</definedName>
    <definedName name="_xlnm.Print_Titles" localSheetId="43">'4.6_сбыт_котельн.'!$5:$6</definedName>
    <definedName name="_xlnm.Print_Titles" localSheetId="35">'4.6_сбыт_КТЭЦ'!$6:$6</definedName>
    <definedName name="_xlnm.Print_Titles" localSheetId="34">'4.6_сбыт_КТЭЦ с косв.'!$5:$6</definedName>
    <definedName name="_xlnm.Print_Titles" localSheetId="21">'4.6_свод'!$6:$6</definedName>
    <definedName name="_xlnm.Print_Titles" localSheetId="24">'4.6_транзит (свод)'!$6:$6</definedName>
    <definedName name="_xlnm.Print_Titles" localSheetId="42">'4.6_транзит_котельн.'!$5:$6</definedName>
    <definedName name="_xlnm.Print_Titles" localSheetId="33">'4.6_транзит_КТЭЦ'!$6:$6</definedName>
    <definedName name="_xlnm.Print_Titles" localSheetId="32">'4.6_транзит_КТЭЦ с косв.'!$5:$6</definedName>
    <definedName name="_xlnm.Print_Titles" localSheetId="23">'4.6_транзит+сбыт (свод)'!$6:$6</definedName>
    <definedName name="_xlnm.Print_Titles" localSheetId="41">'4.6_транзит+сбыт_котельн.'!$5:$6</definedName>
    <definedName name="_xlnm.Print_Titles" localSheetId="31">'4.6_транзит+сбыт_КТЭЦ'!$6:$6</definedName>
    <definedName name="_xlnm.Print_Titles" localSheetId="30">'4.6_транзит+сбыт_КТЭЦ с косв.'!$5:$6</definedName>
    <definedName name="_xlnm.Print_Titles" localSheetId="36">'4.7'!$5:$9</definedName>
    <definedName name="_xlnm.Print_Titles" localSheetId="37">'4.8'!$8:$8</definedName>
    <definedName name="_xlnm.Print_Titles" localSheetId="47">'4.8 - котельн.'!$A:$B</definedName>
    <definedName name="_xlnm.Print_Titles" localSheetId="46">'4.8 - КТЭЦ'!$A:$B</definedName>
    <definedName name="_xlnm.Print_Titles" localSheetId="49">'4.9_пр-во (свод)'!$5:$6</definedName>
    <definedName name="_xlnm.Print_Titles" localSheetId="59">'4.9_пр-во ККЭ'!$5:$6</definedName>
    <definedName name="_xlnm.Print_Titles" localSheetId="54">'4.9_пр-во КТЭЦ'!$5:$6</definedName>
    <definedName name="_xlnm.Print_Titles" localSheetId="52">'4.9_сбыт (свод)'!$5:$6</definedName>
    <definedName name="_xlnm.Print_Titles" localSheetId="62">'4.9_сбыт ККЭ'!$5:$6</definedName>
    <definedName name="_xlnm.Print_Titles" localSheetId="57">'4.9_сбыт КТЭЦ  '!$5:$6</definedName>
    <definedName name="_xlnm.Print_Titles" localSheetId="48">'4.9_свод '!$5:$6</definedName>
    <definedName name="_xlnm.Print_Titles" localSheetId="58">'4.9_свод ККЭ'!$5:$6</definedName>
    <definedName name="_xlnm.Print_Titles" localSheetId="53">'4.9_свод КТЭЦ'!$5:$6</definedName>
    <definedName name="_xlnm.Print_Titles" localSheetId="51">'4.9_транзит (свод)'!$5:$6</definedName>
    <definedName name="_xlnm.Print_Titles" localSheetId="61">'4.9_транзит ККЭ'!$5:$6</definedName>
    <definedName name="_xlnm.Print_Titles" localSheetId="56">'4.9_транзит КТЭЦ '!$5:$6</definedName>
    <definedName name="_xlnm.Print_Titles" localSheetId="60">'4.9_транзит+сбыт (ККЭ)'!$5:$6</definedName>
    <definedName name="_xlnm.Print_Titles" localSheetId="55">'4.9_транзит+сбыт (КТЭЦ)'!$5:$6</definedName>
    <definedName name="_xlnm.Print_Titles" localSheetId="50">'4.9_транзит+сбыт (свод)'!$5:$6</definedName>
    <definedName name="_xlnm.Print_Titles" localSheetId="96">'5.1_передача котельные'!$8:$8</definedName>
    <definedName name="_xlnm.Print_Titles" localSheetId="93">'5.1_передача КТЭЦ'!$8:$8</definedName>
    <definedName name="_xlnm.Print_Titles" localSheetId="99">'5.1_передача КТЭЦ+котельн'!$8:$8</definedName>
    <definedName name="_xlnm.Print_Titles" localSheetId="95">'5.1_пр-во котельные'!$8:$8</definedName>
    <definedName name="_xlnm.Print_Titles" localSheetId="92">'5.1_пр-во КТЭЦ'!$8:$8</definedName>
    <definedName name="_xlnm.Print_Titles" localSheetId="98">'5.1_пр-во КТЭЦ+котельн'!$8:$8</definedName>
    <definedName name="_xlnm.Print_Titles" localSheetId="94">'5.1_свод_котельные'!$8:$8</definedName>
    <definedName name="_xlnm.Print_Titles" localSheetId="91">'5.1_свод_КТЭЦ'!$8:$8</definedName>
    <definedName name="_xlnm.Print_Titles" localSheetId="97">'5.1_свод_КТЭЦ+котельн'!$8:$8</definedName>
    <definedName name="_xlnm.Print_Titles" localSheetId="103">'5.2_передача котельные'!$9:$9</definedName>
    <definedName name="_xlnm.Print_Titles" localSheetId="101">'5.2_передача КТЭЦ'!$9:$9</definedName>
    <definedName name="_xlnm.Print_Titles" localSheetId="106">'5.2_передача КТЭЦ+котельн'!$9:$9</definedName>
    <definedName name="_xlnm.Print_Titles" localSheetId="102">'5.2_пр-во котельные'!$9:$9</definedName>
    <definedName name="_xlnm.Print_Titles" localSheetId="100">'5.2_пр-во КТЭЦ'!$9:$9</definedName>
    <definedName name="_xlnm.Print_Titles" localSheetId="105">'5.2_пр-во КТЭЦ+котельн'!$9:$9</definedName>
    <definedName name="_xlnm.Print_Titles" localSheetId="104">'5.2_свод КТЭЦ+котельн'!$9:$9</definedName>
    <definedName name="_xlnm.Print_Titles" localSheetId="110">'5.3_котельные'!$8:$8</definedName>
    <definedName name="_xlnm.Print_Titles" localSheetId="107">'5.3_КТЭЦ'!$8:$8</definedName>
    <definedName name="_xlnm.Print_Titles" localSheetId="113">'5.3_КТЭЦ+котельн'!$8:$8</definedName>
    <definedName name="_xlnm.Print_Titles" localSheetId="115">'5.3_КТЭЦ+котельн_пер'!$8:$8</definedName>
    <definedName name="_xlnm.Print_Titles" localSheetId="114">'5.3_КТЭЦ+котельн_пр'!$8:$8</definedName>
    <definedName name="_xlnm.Print_Titles" localSheetId="112">'5.3_передача котельные'!$8:$8</definedName>
    <definedName name="_xlnm.Print_Titles" localSheetId="109">'5.3_передача КТЭЦ'!$8:$8</definedName>
    <definedName name="_xlnm.Print_Titles" localSheetId="111">'5.3_пр-во котельные'!$8:$8</definedName>
    <definedName name="_xlnm.Print_Titles" localSheetId="108">'5.3_пр-во КТЭЦ'!$8:$8</definedName>
    <definedName name="_xlnm.Print_Titles" localSheetId="122">'5.4_котельные'!$8:$8</definedName>
    <definedName name="_xlnm.Print_Titles" localSheetId="116">'5.4_КТЭЦ'!$8:$8</definedName>
    <definedName name="_xlnm.Print_Titles" localSheetId="125">'5.4_КТЭЦ+котельн'!$8:$8</definedName>
    <definedName name="_xlnm.Print_Titles" localSheetId="127">'5.4_КТЭЦ+котельн_пер'!$8:$8</definedName>
    <definedName name="_xlnm.Print_Titles" localSheetId="126">'5.4_КТЭЦ+котельн_пр'!$8:$8</definedName>
    <definedName name="_xlnm.Print_Titles" localSheetId="124">'5.4_передача котельные'!$8:$8</definedName>
    <definedName name="_xlnm.Print_Titles" localSheetId="118">'5.4_передача КТЭЦ'!$8:$8</definedName>
    <definedName name="_xlnm.Print_Titles" localSheetId="123">'5.4_пр-во котельные'!$8:$8</definedName>
    <definedName name="_xlnm.Print_Titles" localSheetId="117">'5.4_пр-во КТЭЦ'!$8:$8</definedName>
    <definedName name="_xlnm.Print_Titles" localSheetId="119">'5.5'!$7:$7</definedName>
    <definedName name="_xlnm.Print_Titles" localSheetId="120">'5.6'!$7:$7</definedName>
    <definedName name="_xlnm.Print_Titles" localSheetId="121">'5.7'!$7:$7</definedName>
    <definedName name="_xlnm.Print_Titles" localSheetId="129">'5.9_котельные'!$8:$8</definedName>
    <definedName name="_xlnm.Print_Titles" localSheetId="128">'5.9_КТЭЦ'!$8:$8</definedName>
    <definedName name="_xlnm.Print_Titles" localSheetId="130">'5.9_КТЭЦ+котельн'!$8:$8</definedName>
    <definedName name="_xlnm.Print_Titles" localSheetId="133">'6.1_генерация (котельн) '!$4:$7</definedName>
    <definedName name="_xlnm.Print_Titles" localSheetId="132">'6.1_генерация (КТЭЦ)'!$4:$7</definedName>
    <definedName name="_xlnm.Print_Titles" localSheetId="131">'6.1_генерация (свод)'!$4:$7</definedName>
    <definedName name="_xlnm.Print_Titles" localSheetId="136">'6.2_передача (котельн)'!$5:$7</definedName>
    <definedName name="_xlnm.Print_Titles" localSheetId="135">'6.2_передача (КТЭЦ)'!$5:$7</definedName>
    <definedName name="_xlnm.Print_Titles" localSheetId="134">'6.2_передача (свод)'!$5:$7</definedName>
    <definedName name="_xlnm.Print_Titles" localSheetId="139">'6.3_потери (котельн)'!$A:$B</definedName>
    <definedName name="_xlnm.Print_Titles" localSheetId="138">'6.3_потери (КТЭЦ)'!$A:$B</definedName>
    <definedName name="_xlnm.Print_Titles" localSheetId="137">'6.3_потери (свод)'!$7:$7</definedName>
    <definedName name="_xlnm.Print_Titles" localSheetId="142">'6.4_потребителям (котельн)'!$5:$7</definedName>
    <definedName name="_xlnm.Print_Titles" localSheetId="141">'6.4_потребителям (КТЭЦ)'!$5:$7</definedName>
    <definedName name="_xlnm.Print_Titles" localSheetId="140">'6.4_потребителям (свод)'!$5:$7</definedName>
    <definedName name="_xlnm.Print_Titles" localSheetId="145">'6.5_передача (котельн)'!$5:$7</definedName>
    <definedName name="_xlnm.Print_Titles" localSheetId="144">'6.5_передача (КТЭЦ)'!$5:$7</definedName>
    <definedName name="_xlnm.Print_Titles" localSheetId="143">'6.5_передача (свод)'!$5:$7</definedName>
    <definedName name="_xlnm.Print_Titles" localSheetId="2">'Показатели ТСО 3.1. котельн.'!$6:$7</definedName>
    <definedName name="_xlnm.Print_Titles" localSheetId="1">'Показатели ТСО 3.1-КТЭЦ'!$6:$7</definedName>
    <definedName name="зз" localSheetId="19">'[3]5.2-опер.рас ПП'!зз</definedName>
    <definedName name="зз" localSheetId="17">'[3]5.2-опер.рас ПП'!зз</definedName>
    <definedName name="зз" localSheetId="45">'4. 7_котельн.'!зз</definedName>
    <definedName name="зз" localSheetId="44">'4. 7_КТЭЦ'!зз</definedName>
    <definedName name="зз" localSheetId="3">'[3]5.2-опер.рас ПП'!зз</definedName>
    <definedName name="зз" localSheetId="78">'[3]5.2-опер.рас ПП'!зз</definedName>
    <definedName name="зз" localSheetId="65">'[3]5.2-опер.рас ПП'!зз</definedName>
    <definedName name="зз" localSheetId="75">'[3]5.2-опер.рас ПП'!зз</definedName>
    <definedName name="зз" localSheetId="70">'[3]5.2-опер.рас ПП'!зз</definedName>
    <definedName name="зз" localSheetId="79">'[3]5.2-опер.рас ПП'!зз</definedName>
    <definedName name="зз" localSheetId="82">'[3]5.2-опер.рас ПП'!зз</definedName>
    <definedName name="зз" localSheetId="12">'[3]5.2-опер.рас ПП'!зз</definedName>
    <definedName name="зз" localSheetId="11">'[3]5.2-опер.рас ПП'!зз</definedName>
    <definedName name="зз" localSheetId="20">'[4]5.2-опер.рас ПП'!зз</definedName>
    <definedName name="зз" localSheetId="28">'[3]5.2-опер.рас ПП'!зз</definedName>
    <definedName name="зз" localSheetId="38">'[3]5.2-опер.рас ПП'!зз</definedName>
    <definedName name="зз" localSheetId="26">'[3]5.2-опер.рас ПП'!зз</definedName>
    <definedName name="зз" localSheetId="34">'[3]5.2-опер.рас ПП'!зз</definedName>
    <definedName name="зз" localSheetId="32">'[3]5.2-опер.рас ПП'!зз</definedName>
    <definedName name="зз" localSheetId="23">'[3]5.2-опер.рас ПП'!зз</definedName>
    <definedName name="зз" localSheetId="41">'[3]5.2-опер.рас ПП'!зз</definedName>
    <definedName name="зз" localSheetId="31">'[3]5.2-опер.рас ПП'!зз</definedName>
    <definedName name="зз" localSheetId="30">'[3]5.2-опер.рас ПП'!зз</definedName>
    <definedName name="зз" localSheetId="47">'[4]5.2-опер.рас ПП'!зз</definedName>
    <definedName name="зз" localSheetId="46">'[4]5.2-опер.рас ПП'!зз</definedName>
    <definedName name="зз" localSheetId="52">'[3]5.2-опер.рас ПП'!зз</definedName>
    <definedName name="зз" localSheetId="62">'[3]5.2-опер.рас ПП'!зз</definedName>
    <definedName name="зз" localSheetId="57">'[3]5.2-опер.рас ПП'!зз</definedName>
    <definedName name="зз" localSheetId="51">'[3]5.2-опер.рас ПП'!зз</definedName>
    <definedName name="зз" localSheetId="61">'[3]5.2-опер.рас ПП'!зз</definedName>
    <definedName name="зз" localSheetId="56">'[3]5.2-опер.рас ПП'!зз</definedName>
    <definedName name="зз" localSheetId="60">'[3]5.2-опер.рас ПП'!зз</definedName>
    <definedName name="зз" localSheetId="55">'[3]5.2-опер.рас ПП'!зз</definedName>
    <definedName name="зз" localSheetId="50">'[3]5.2-опер.рас ПП'!зз</definedName>
    <definedName name="зз" localSheetId="96">'[3]5.2-опер.рас ПП'!зз</definedName>
    <definedName name="зз" localSheetId="93">'[3]5.2-опер.рас ПП'!зз</definedName>
    <definedName name="зз" localSheetId="99">'[3]5.2-опер.рас ПП'!зз</definedName>
    <definedName name="зз" localSheetId="95">'[3]5.2-опер.рас ПП'!зз</definedName>
    <definedName name="зз" localSheetId="92">'[3]5.2-опер.рас ПП'!зз</definedName>
    <definedName name="зз" localSheetId="98">'[3]5.2-опер.рас ПП'!зз</definedName>
    <definedName name="зз" localSheetId="94">'[3]5.2-опер.рас ПП'!зз</definedName>
    <definedName name="зз" localSheetId="91">'[3]5.2-опер.рас ПП'!зз</definedName>
    <definedName name="зз" localSheetId="97">'[3]5.2-опер.рас ПП'!зз</definedName>
    <definedName name="зз" localSheetId="103">'[3]5.2-опер.рас ПП'!зз</definedName>
    <definedName name="зз" localSheetId="101">'[3]5.2-опер.рас ПП'!зз</definedName>
    <definedName name="зз" localSheetId="106">'[3]5.2-опер.рас ПП'!зз</definedName>
    <definedName name="зз" localSheetId="102">'[3]5.2-опер.рас ПП'!зз</definedName>
    <definedName name="зз" localSheetId="100">'[3]5.2-опер.рас ПП'!зз</definedName>
    <definedName name="зз" localSheetId="105">'[3]5.2-опер.рас ПП'!зз</definedName>
    <definedName name="зз" localSheetId="104">'[3]5.2-опер.рас ПП'!зз</definedName>
    <definedName name="зз" localSheetId="110">'[3]5.2-опер.рас ПП'!зз</definedName>
    <definedName name="зз" localSheetId="107">'[3]5.2-опер.рас ПП'!зз</definedName>
    <definedName name="зз" localSheetId="113">'[3]5.2-опер.рас ПП'!зз</definedName>
    <definedName name="зз" localSheetId="115">'[3]5.2-опер.рас ПП'!зз</definedName>
    <definedName name="зз" localSheetId="114">'[3]5.2-опер.рас ПП'!зз</definedName>
    <definedName name="зз" localSheetId="112">'[3]5.2-опер.рас ПП'!зз</definedName>
    <definedName name="зз" localSheetId="109">'[3]5.2-опер.рас ПП'!зз</definedName>
    <definedName name="зз" localSheetId="111">'[3]5.2-опер.рас ПП'!зз</definedName>
    <definedName name="зз" localSheetId="108">'[3]5.2-опер.рас ПП'!зз</definedName>
    <definedName name="зз" localSheetId="122">'[3]5.2-опер.рас ПП'!зз</definedName>
    <definedName name="зз" localSheetId="116">'[3]5.2-опер.рас ПП'!зз</definedName>
    <definedName name="зз" localSheetId="125">'[3]5.2-опер.рас ПП'!зз</definedName>
    <definedName name="зз" localSheetId="127">'[3]5.2-опер.рас ПП'!зз</definedName>
    <definedName name="зз" localSheetId="126">'[3]5.2-опер.рас ПП'!зз</definedName>
    <definedName name="зз" localSheetId="124">'[3]5.2-опер.рас ПП'!зз</definedName>
    <definedName name="зз" localSheetId="118">'[3]5.2-опер.рас ПП'!зз</definedName>
    <definedName name="зз" localSheetId="123">'[3]5.2-опер.рас ПП'!зз</definedName>
    <definedName name="зз" localSheetId="117">'[3]5.2-опер.рас ПП'!зз</definedName>
    <definedName name="зз" localSheetId="119">'[3]5.2-опер.рас ПП'!зз</definedName>
    <definedName name="зз" localSheetId="120">'[3]5.2-опер.рас ПП'!зз</definedName>
    <definedName name="зз" localSheetId="121">'[3]5.2-опер.рас ПП'!зз</definedName>
    <definedName name="зз" localSheetId="129">'[3]5.2-опер.рас ПП'!зз</definedName>
    <definedName name="зз" localSheetId="128">'[3]5.2-опер.рас ПП'!зз</definedName>
    <definedName name="зз" localSheetId="130">'[3]5.2-опер.рас ПП'!зз</definedName>
    <definedName name="зз" localSheetId="133">'[3]5.2-опер.рас ПП'!зз</definedName>
    <definedName name="зз" localSheetId="132">'[3]5.2-опер.рас ПП'!зз</definedName>
    <definedName name="зз" localSheetId="136">'[3]5.2-опер.рас ПП'!зз</definedName>
    <definedName name="зз" localSheetId="134">'[3]5.2-опер.рас ПП'!зз</definedName>
    <definedName name="зз" localSheetId="139">'[3]5.2-опер.рас ПП'!зз</definedName>
    <definedName name="зз" localSheetId="137">'[3]5.2-опер.рас ПП'!зз</definedName>
    <definedName name="зз" localSheetId="142">'[3]5.2-опер.рас ПП'!зз</definedName>
    <definedName name="зз" localSheetId="141">'[3]5.2-опер.рас ПП'!зз</definedName>
    <definedName name="зз" localSheetId="140">'[3]5.2-опер.рас ПП'!зз</definedName>
    <definedName name="зз" localSheetId="145">'[3]5.2-опер.рас ПП'!зз</definedName>
    <definedName name="зз" localSheetId="143">'[3]5.2-опер.рас ПП'!зз</definedName>
    <definedName name="зз" localSheetId="150">'[3]5.2-опер.рас ПП'!зз</definedName>
    <definedName name="зз" localSheetId="158">'[3]5.2-опер.рас ПП'!зз</definedName>
    <definedName name="зз" localSheetId="157">'[3]5.2-опер.рас ПП'!зз</definedName>
    <definedName name="зз" localSheetId="156">'[3]5.2-опер.рас ПП'!зз</definedName>
    <definedName name="зз" localSheetId="146">'[3]5.2-опер.рас ПП'!зз</definedName>
    <definedName name="зз" localSheetId="89">'[3]5.2-опер.рас ПП'!зз</definedName>
    <definedName name="зз" localSheetId="90">'[3]5.2-опер.рас ПП'!зз</definedName>
    <definedName name="зз" localSheetId="2">'[4]5.2-опер.рас ПП'!зз</definedName>
    <definedName name="зз" localSheetId="1">'[4]5.2-опер.рас ПП'!зз</definedName>
    <definedName name="зз">'[3]5.2-опер.рас ПП'!зз</definedName>
    <definedName name="Зин" localSheetId="19">'[3]5.2-опер.рас ПП'!Зин</definedName>
    <definedName name="Зин" localSheetId="17">'[3]5.2-опер.рас ПП'!Зин</definedName>
    <definedName name="Зин" localSheetId="45">'4. 7_котельн.'!Зин</definedName>
    <definedName name="Зин" localSheetId="44">'4. 7_КТЭЦ'!Зин</definedName>
    <definedName name="Зин" localSheetId="3">'[3]5.2-опер.рас ПП'!Зин</definedName>
    <definedName name="Зин" localSheetId="78">'[3]5.2-опер.рас ПП'!Зин</definedName>
    <definedName name="Зин" localSheetId="65">'[3]5.2-опер.рас ПП'!Зин</definedName>
    <definedName name="Зин" localSheetId="75">'[3]5.2-опер.рас ПП'!Зин</definedName>
    <definedName name="Зин" localSheetId="70">'[3]5.2-опер.рас ПП'!Зин</definedName>
    <definedName name="Зин" localSheetId="79">'[3]5.2-опер.рас ПП'!Зин</definedName>
    <definedName name="Зин" localSheetId="82">'[3]5.2-опер.рас ПП'!Зин</definedName>
    <definedName name="Зин" localSheetId="12">'[3]5.2-опер.рас ПП'!Зин</definedName>
    <definedName name="Зин" localSheetId="11">'[3]5.2-опер.рас ПП'!Зин</definedName>
    <definedName name="Зин" localSheetId="20">'[4]5.2-опер.рас ПП'!Зин</definedName>
    <definedName name="Зин" localSheetId="28">'[3]5.2-опер.рас ПП'!Зин</definedName>
    <definedName name="Зин" localSheetId="38">'[3]5.2-опер.рас ПП'!Зин</definedName>
    <definedName name="Зин" localSheetId="26">'[3]5.2-опер.рас ПП'!Зин</definedName>
    <definedName name="Зин" localSheetId="34">'[3]5.2-опер.рас ПП'!Зин</definedName>
    <definedName name="Зин" localSheetId="32">'[3]5.2-опер.рас ПП'!Зин</definedName>
    <definedName name="Зин" localSheetId="23">'[3]5.2-опер.рас ПП'!Зин</definedName>
    <definedName name="Зин" localSheetId="41">'[3]5.2-опер.рас ПП'!Зин</definedName>
    <definedName name="Зин" localSheetId="31">'[3]5.2-опер.рас ПП'!Зин</definedName>
    <definedName name="Зин" localSheetId="30">'[3]5.2-опер.рас ПП'!Зин</definedName>
    <definedName name="Зин" localSheetId="47">'[4]5.2-опер.рас ПП'!Зин</definedName>
    <definedName name="Зин" localSheetId="46">'[4]5.2-опер.рас ПП'!Зин</definedName>
    <definedName name="Зин" localSheetId="52">'[3]5.2-опер.рас ПП'!Зин</definedName>
    <definedName name="Зин" localSheetId="62">'[3]5.2-опер.рас ПП'!Зин</definedName>
    <definedName name="Зин" localSheetId="57">'[3]5.2-опер.рас ПП'!Зин</definedName>
    <definedName name="Зин" localSheetId="51">'[3]5.2-опер.рас ПП'!Зин</definedName>
    <definedName name="Зин" localSheetId="61">'[3]5.2-опер.рас ПП'!Зин</definedName>
    <definedName name="Зин" localSheetId="56">'[3]5.2-опер.рас ПП'!Зин</definedName>
    <definedName name="Зин" localSheetId="60">'[3]5.2-опер.рас ПП'!Зин</definedName>
    <definedName name="Зин" localSheetId="55">'[3]5.2-опер.рас ПП'!Зин</definedName>
    <definedName name="Зин" localSheetId="50">'[3]5.2-опер.рас ПП'!Зин</definedName>
    <definedName name="Зин" localSheetId="96">'[3]5.2-опер.рас ПП'!Зин</definedName>
    <definedName name="Зин" localSheetId="93">'[3]5.2-опер.рас ПП'!Зин</definedName>
    <definedName name="Зин" localSheetId="99">'[3]5.2-опер.рас ПП'!Зин</definedName>
    <definedName name="Зин" localSheetId="95">'[3]5.2-опер.рас ПП'!Зин</definedName>
    <definedName name="Зин" localSheetId="92">'[3]5.2-опер.рас ПП'!Зин</definedName>
    <definedName name="Зин" localSheetId="98">'[3]5.2-опер.рас ПП'!Зин</definedName>
    <definedName name="Зин" localSheetId="94">'[3]5.2-опер.рас ПП'!Зин</definedName>
    <definedName name="Зин" localSheetId="91">'[3]5.2-опер.рас ПП'!Зин</definedName>
    <definedName name="Зин" localSheetId="97">'[3]5.2-опер.рас ПП'!Зин</definedName>
    <definedName name="Зин" localSheetId="103">'[3]5.2-опер.рас ПП'!Зин</definedName>
    <definedName name="Зин" localSheetId="101">'[3]5.2-опер.рас ПП'!Зин</definedName>
    <definedName name="Зин" localSheetId="106">'[3]5.2-опер.рас ПП'!Зин</definedName>
    <definedName name="Зин" localSheetId="102">'[3]5.2-опер.рас ПП'!Зин</definedName>
    <definedName name="Зин" localSheetId="100">'[3]5.2-опер.рас ПП'!Зин</definedName>
    <definedName name="Зин" localSheetId="105">'[3]5.2-опер.рас ПП'!Зин</definedName>
    <definedName name="Зин" localSheetId="104">'[3]5.2-опер.рас ПП'!Зин</definedName>
    <definedName name="Зин" localSheetId="110">'[3]5.2-опер.рас ПП'!Зин</definedName>
    <definedName name="Зин" localSheetId="107">'[3]5.2-опер.рас ПП'!Зин</definedName>
    <definedName name="Зин" localSheetId="113">'[3]5.2-опер.рас ПП'!Зин</definedName>
    <definedName name="Зин" localSheetId="115">'[3]5.2-опер.рас ПП'!Зин</definedName>
    <definedName name="Зин" localSheetId="114">'[3]5.2-опер.рас ПП'!Зин</definedName>
    <definedName name="Зин" localSheetId="112">'[3]5.2-опер.рас ПП'!Зин</definedName>
    <definedName name="Зин" localSheetId="109">'[3]5.2-опер.рас ПП'!Зин</definedName>
    <definedName name="Зин" localSheetId="111">'[3]5.2-опер.рас ПП'!Зин</definedName>
    <definedName name="Зин" localSheetId="108">'[3]5.2-опер.рас ПП'!Зин</definedName>
    <definedName name="Зин" localSheetId="122">'[3]5.2-опер.рас ПП'!Зин</definedName>
    <definedName name="Зин" localSheetId="116">'[3]5.2-опер.рас ПП'!Зин</definedName>
    <definedName name="Зин" localSheetId="125">'[3]5.2-опер.рас ПП'!Зин</definedName>
    <definedName name="Зин" localSheetId="127">'[3]5.2-опер.рас ПП'!Зин</definedName>
    <definedName name="Зин" localSheetId="126">'[3]5.2-опер.рас ПП'!Зин</definedName>
    <definedName name="Зин" localSheetId="124">'[3]5.2-опер.рас ПП'!Зин</definedName>
    <definedName name="Зин" localSheetId="118">'[3]5.2-опер.рас ПП'!Зин</definedName>
    <definedName name="Зин" localSheetId="123">'[3]5.2-опер.рас ПП'!Зин</definedName>
    <definedName name="Зин" localSheetId="117">'[3]5.2-опер.рас ПП'!Зин</definedName>
    <definedName name="Зин" localSheetId="119">'[3]5.2-опер.рас ПП'!Зин</definedName>
    <definedName name="Зин" localSheetId="120">'[3]5.2-опер.рас ПП'!Зин</definedName>
    <definedName name="Зин" localSheetId="121">'[3]5.2-опер.рас ПП'!Зин</definedName>
    <definedName name="Зин" localSheetId="129">'[3]5.2-опер.рас ПП'!Зин</definedName>
    <definedName name="Зин" localSheetId="128">'[3]5.2-опер.рас ПП'!Зин</definedName>
    <definedName name="Зин" localSheetId="130">'[3]5.2-опер.рас ПП'!Зин</definedName>
    <definedName name="Зин" localSheetId="133">'[3]5.2-опер.рас ПП'!Зин</definedName>
    <definedName name="Зин" localSheetId="132">'[3]5.2-опер.рас ПП'!Зин</definedName>
    <definedName name="Зин" localSheetId="136">'[3]5.2-опер.рас ПП'!Зин</definedName>
    <definedName name="Зин" localSheetId="134">'[3]5.2-опер.рас ПП'!Зин</definedName>
    <definedName name="Зин" localSheetId="139">'[3]5.2-опер.рас ПП'!Зин</definedName>
    <definedName name="Зин" localSheetId="137">'[3]5.2-опер.рас ПП'!Зин</definedName>
    <definedName name="Зин" localSheetId="142">'[3]5.2-опер.рас ПП'!Зин</definedName>
    <definedName name="Зин" localSheetId="141">'[3]5.2-опер.рас ПП'!Зин</definedName>
    <definedName name="Зин" localSheetId="140">'[3]5.2-опер.рас ПП'!Зин</definedName>
    <definedName name="Зин" localSheetId="145">'[3]5.2-опер.рас ПП'!Зин</definedName>
    <definedName name="Зин" localSheetId="143">'[3]5.2-опер.рас ПП'!Зин</definedName>
    <definedName name="Зин" localSheetId="150">'[3]5.2-опер.рас ПП'!Зин</definedName>
    <definedName name="Зин" localSheetId="158">'[3]5.2-опер.рас ПП'!Зин</definedName>
    <definedName name="Зин" localSheetId="157">'[3]5.2-опер.рас ПП'!Зин</definedName>
    <definedName name="Зин" localSheetId="156">'[3]5.2-опер.рас ПП'!Зин</definedName>
    <definedName name="Зин" localSheetId="146">'[3]5.2-опер.рас ПП'!Зин</definedName>
    <definedName name="Зин" localSheetId="89">'[3]5.2-опер.рас ПП'!Зин</definedName>
    <definedName name="Зин" localSheetId="90">'[3]5.2-опер.рас ПП'!Зин</definedName>
    <definedName name="Зин" localSheetId="2">'[4]5.2-опер.рас ПП'!Зин</definedName>
    <definedName name="Зин" localSheetId="1">'[4]5.2-опер.рас ПП'!Зин</definedName>
    <definedName name="Зин">'[3]5.2-опер.рас ПП'!Зин</definedName>
    <definedName name="й">#N/A</definedName>
    <definedName name="йй">#N/A</definedName>
    <definedName name="к1" localSheetId="19">'[3]5.2-опер.рас ПП'!к1</definedName>
    <definedName name="к1" localSheetId="17">'[3]5.2-опер.рас ПП'!к1</definedName>
    <definedName name="к1" localSheetId="45">'4. 7_котельн.'!к1</definedName>
    <definedName name="к1" localSheetId="44">'4. 7_КТЭЦ'!к1</definedName>
    <definedName name="к1" localSheetId="3">'[3]5.2-опер.рас ПП'!к1</definedName>
    <definedName name="к1" localSheetId="78">'[3]5.2-опер.рас ПП'!к1</definedName>
    <definedName name="к1" localSheetId="65">'[3]5.2-опер.рас ПП'!к1</definedName>
    <definedName name="к1" localSheetId="75">'[3]5.2-опер.рас ПП'!к1</definedName>
    <definedName name="к1" localSheetId="70">'[3]5.2-опер.рас ПП'!к1</definedName>
    <definedName name="к1" localSheetId="79">'[3]5.2-опер.рас ПП'!к1</definedName>
    <definedName name="к1" localSheetId="82">'[3]5.2-опер.рас ПП'!к1</definedName>
    <definedName name="к1" localSheetId="12">'[3]5.2-опер.рас ПП'!к1</definedName>
    <definedName name="к1" localSheetId="11">'[3]5.2-опер.рас ПП'!к1</definedName>
    <definedName name="к1" localSheetId="20">'[4]5.2-опер.рас ПП'!к1</definedName>
    <definedName name="к1" localSheetId="28">'[3]5.2-опер.рас ПП'!к1</definedName>
    <definedName name="к1" localSheetId="38">'[3]5.2-опер.рас ПП'!к1</definedName>
    <definedName name="к1" localSheetId="26">'[3]5.2-опер.рас ПП'!к1</definedName>
    <definedName name="к1" localSheetId="34">'[3]5.2-опер.рас ПП'!к1</definedName>
    <definedName name="к1" localSheetId="32">'[3]5.2-опер.рас ПП'!к1</definedName>
    <definedName name="к1" localSheetId="23">'[3]5.2-опер.рас ПП'!к1</definedName>
    <definedName name="к1" localSheetId="41">'[3]5.2-опер.рас ПП'!к1</definedName>
    <definedName name="к1" localSheetId="31">'[3]5.2-опер.рас ПП'!к1</definedName>
    <definedName name="к1" localSheetId="30">'[3]5.2-опер.рас ПП'!к1</definedName>
    <definedName name="к1" localSheetId="47">'[4]5.2-опер.рас ПП'!к1</definedName>
    <definedName name="к1" localSheetId="46">'[4]5.2-опер.рас ПП'!к1</definedName>
    <definedName name="к1" localSheetId="52">'[3]5.2-опер.рас ПП'!к1</definedName>
    <definedName name="к1" localSheetId="62">'[3]5.2-опер.рас ПП'!к1</definedName>
    <definedName name="к1" localSheetId="57">'[3]5.2-опер.рас ПП'!к1</definedName>
    <definedName name="к1" localSheetId="51">'[3]5.2-опер.рас ПП'!к1</definedName>
    <definedName name="к1" localSheetId="61">'[3]5.2-опер.рас ПП'!к1</definedName>
    <definedName name="к1" localSheetId="56">'[3]5.2-опер.рас ПП'!к1</definedName>
    <definedName name="к1" localSheetId="60">'[3]5.2-опер.рас ПП'!к1</definedName>
    <definedName name="к1" localSheetId="55">'[3]5.2-опер.рас ПП'!к1</definedName>
    <definedName name="к1" localSheetId="50">'[3]5.2-опер.рас ПП'!к1</definedName>
    <definedName name="к1" localSheetId="96">'[3]5.2-опер.рас ПП'!к1</definedName>
    <definedName name="к1" localSheetId="93">'[3]5.2-опер.рас ПП'!к1</definedName>
    <definedName name="к1" localSheetId="99">'[3]5.2-опер.рас ПП'!к1</definedName>
    <definedName name="к1" localSheetId="95">'[3]5.2-опер.рас ПП'!к1</definedName>
    <definedName name="к1" localSheetId="92">'[3]5.2-опер.рас ПП'!к1</definedName>
    <definedName name="к1" localSheetId="98">'[3]5.2-опер.рас ПП'!к1</definedName>
    <definedName name="к1" localSheetId="94">'[3]5.2-опер.рас ПП'!к1</definedName>
    <definedName name="к1" localSheetId="91">'[3]5.2-опер.рас ПП'!к1</definedName>
    <definedName name="к1" localSheetId="97">'[3]5.2-опер.рас ПП'!к1</definedName>
    <definedName name="к1" localSheetId="103">'[3]5.2-опер.рас ПП'!к1</definedName>
    <definedName name="к1" localSheetId="101">'[3]5.2-опер.рас ПП'!к1</definedName>
    <definedName name="к1" localSheetId="106">'[3]5.2-опер.рас ПП'!к1</definedName>
    <definedName name="к1" localSheetId="102">'[3]5.2-опер.рас ПП'!к1</definedName>
    <definedName name="к1" localSheetId="100">'[3]5.2-опер.рас ПП'!к1</definedName>
    <definedName name="к1" localSheetId="105">'[3]5.2-опер.рас ПП'!к1</definedName>
    <definedName name="к1" localSheetId="104">'[3]5.2-опер.рас ПП'!к1</definedName>
    <definedName name="к1" localSheetId="110">'[3]5.2-опер.рас ПП'!к1</definedName>
    <definedName name="к1" localSheetId="107">'[3]5.2-опер.рас ПП'!к1</definedName>
    <definedName name="к1" localSheetId="113">'[3]5.2-опер.рас ПП'!к1</definedName>
    <definedName name="к1" localSheetId="115">'[3]5.2-опер.рас ПП'!к1</definedName>
    <definedName name="к1" localSheetId="114">'[3]5.2-опер.рас ПП'!к1</definedName>
    <definedName name="к1" localSheetId="112">'[3]5.2-опер.рас ПП'!к1</definedName>
    <definedName name="к1" localSheetId="109">'[3]5.2-опер.рас ПП'!к1</definedName>
    <definedName name="к1" localSheetId="111">'[3]5.2-опер.рас ПП'!к1</definedName>
    <definedName name="к1" localSheetId="108">'[3]5.2-опер.рас ПП'!к1</definedName>
    <definedName name="к1" localSheetId="122">'[3]5.2-опер.рас ПП'!к1</definedName>
    <definedName name="к1" localSheetId="116">'[3]5.2-опер.рас ПП'!к1</definedName>
    <definedName name="к1" localSheetId="125">'[3]5.2-опер.рас ПП'!к1</definedName>
    <definedName name="к1" localSheetId="127">'[3]5.2-опер.рас ПП'!к1</definedName>
    <definedName name="к1" localSheetId="126">'[3]5.2-опер.рас ПП'!к1</definedName>
    <definedName name="к1" localSheetId="124">'[3]5.2-опер.рас ПП'!к1</definedName>
    <definedName name="к1" localSheetId="118">'[3]5.2-опер.рас ПП'!к1</definedName>
    <definedName name="к1" localSheetId="123">'[3]5.2-опер.рас ПП'!к1</definedName>
    <definedName name="к1" localSheetId="117">'[3]5.2-опер.рас ПП'!к1</definedName>
    <definedName name="к1" localSheetId="119">'[3]5.2-опер.рас ПП'!к1</definedName>
    <definedName name="к1" localSheetId="120">'[3]5.2-опер.рас ПП'!к1</definedName>
    <definedName name="к1" localSheetId="121">'[3]5.2-опер.рас ПП'!к1</definedName>
    <definedName name="к1" localSheetId="129">'[3]5.2-опер.рас ПП'!к1</definedName>
    <definedName name="к1" localSheetId="128">'[3]5.2-опер.рас ПП'!к1</definedName>
    <definedName name="к1" localSheetId="130">'[3]5.2-опер.рас ПП'!к1</definedName>
    <definedName name="к1" localSheetId="133">'[3]5.2-опер.рас ПП'!к1</definedName>
    <definedName name="к1" localSheetId="132">'[3]5.2-опер.рас ПП'!к1</definedName>
    <definedName name="к1" localSheetId="136">'[3]5.2-опер.рас ПП'!к1</definedName>
    <definedName name="к1" localSheetId="134">'[3]5.2-опер.рас ПП'!к1</definedName>
    <definedName name="к1" localSheetId="139">'[3]5.2-опер.рас ПП'!к1</definedName>
    <definedName name="к1" localSheetId="137">'[3]5.2-опер.рас ПП'!к1</definedName>
    <definedName name="к1" localSheetId="142">'[3]5.2-опер.рас ПП'!к1</definedName>
    <definedName name="к1" localSheetId="141">'[3]5.2-опер.рас ПП'!к1</definedName>
    <definedName name="к1" localSheetId="140">'[3]5.2-опер.рас ПП'!к1</definedName>
    <definedName name="к1" localSheetId="145">'[3]5.2-опер.рас ПП'!к1</definedName>
    <definedName name="к1" localSheetId="143">'[3]5.2-опер.рас ПП'!к1</definedName>
    <definedName name="к1" localSheetId="150">'[3]5.2-опер.рас ПП'!к1</definedName>
    <definedName name="к1" localSheetId="158">'[3]5.2-опер.рас ПП'!к1</definedName>
    <definedName name="к1" localSheetId="157">'[3]5.2-опер.рас ПП'!к1</definedName>
    <definedName name="к1" localSheetId="156">'[3]5.2-опер.рас ПП'!к1</definedName>
    <definedName name="к1" localSheetId="146">'[3]5.2-опер.рас ПП'!к1</definedName>
    <definedName name="к1" localSheetId="89">'[3]5.2-опер.рас ПП'!к1</definedName>
    <definedName name="к1" localSheetId="90">'[3]5.2-опер.рас ПП'!к1</definedName>
    <definedName name="к1" localSheetId="2">'[4]5.2-опер.рас ПП'!к1</definedName>
    <definedName name="к1" localSheetId="1">'[4]5.2-опер.рас ПП'!к1</definedName>
    <definedName name="к1">'[3]5.2-опер.рас ПП'!к1</definedName>
    <definedName name="ке">#N/A</definedName>
    <definedName name="копия" localSheetId="19">[1]FES!#REF!</definedName>
    <definedName name="копия" localSheetId="18">[1]FES!#REF!</definedName>
    <definedName name="копия" localSheetId="17">[1]FES!#REF!</definedName>
    <definedName name="копия" localSheetId="45">[1]FES!#REF!</definedName>
    <definedName name="копия" localSheetId="44">[1]FES!#REF!</definedName>
    <definedName name="копия" localSheetId="3">[1]FES!#REF!</definedName>
    <definedName name="копия" localSheetId="78">[1]FES!#REF!</definedName>
    <definedName name="копия" localSheetId="63">[1]FES!#REF!</definedName>
    <definedName name="копия" localSheetId="73">[1]FES!#REF!</definedName>
    <definedName name="копия" localSheetId="68">[1]FES!#REF!</definedName>
    <definedName name="копия" localSheetId="65">[1]FES!#REF!</definedName>
    <definedName name="копия" localSheetId="75">[1]FES!#REF!</definedName>
    <definedName name="копия" localSheetId="70">[1]FES!#REF!</definedName>
    <definedName name="копия" localSheetId="79">[1]FES!#REF!</definedName>
    <definedName name="копия" localSheetId="82">[1]FES!#REF!</definedName>
    <definedName name="копия" localSheetId="12">[1]FES!#REF!</definedName>
    <definedName name="копия" localSheetId="11">[1]FES!#REF!</definedName>
    <definedName name="копия" localSheetId="20">[2]FES!#REF!</definedName>
    <definedName name="копия" localSheetId="28">[1]FES!#REF!</definedName>
    <definedName name="копия" localSheetId="38">[1]FES!#REF!</definedName>
    <definedName name="копия" localSheetId="26">[1]FES!#REF!</definedName>
    <definedName name="копия" localSheetId="34">[1]FES!#REF!</definedName>
    <definedName name="копия" localSheetId="32">[1]FES!#REF!</definedName>
    <definedName name="копия" localSheetId="23">[1]FES!#REF!</definedName>
    <definedName name="копия" localSheetId="41">[1]FES!#REF!</definedName>
    <definedName name="копия" localSheetId="31">[1]FES!#REF!</definedName>
    <definedName name="копия" localSheetId="30">[1]FES!#REF!</definedName>
    <definedName name="копия" localSheetId="47">[2]FES!#REF!</definedName>
    <definedName name="копия" localSheetId="46">[2]FES!#REF!</definedName>
    <definedName name="копия" localSheetId="52">[1]FES!#REF!</definedName>
    <definedName name="копия" localSheetId="62">[1]FES!#REF!</definedName>
    <definedName name="копия" localSheetId="57">[1]FES!#REF!</definedName>
    <definedName name="копия" localSheetId="48">[1]FES!#REF!</definedName>
    <definedName name="копия" localSheetId="58">[1]FES!#REF!</definedName>
    <definedName name="копия" localSheetId="53">[1]FES!#REF!</definedName>
    <definedName name="копия" localSheetId="51">[1]FES!#REF!</definedName>
    <definedName name="копия" localSheetId="61">[1]FES!#REF!</definedName>
    <definedName name="копия" localSheetId="56">[1]FES!#REF!</definedName>
    <definedName name="копия" localSheetId="60">[1]FES!#REF!</definedName>
    <definedName name="копия" localSheetId="55">[1]FES!#REF!</definedName>
    <definedName name="копия" localSheetId="50">[1]FES!#REF!</definedName>
    <definedName name="копия" localSheetId="96">[1]FES!#REF!</definedName>
    <definedName name="копия" localSheetId="93">[1]FES!#REF!</definedName>
    <definedName name="копия" localSheetId="99">[1]FES!#REF!</definedName>
    <definedName name="копия" localSheetId="95">[1]FES!#REF!</definedName>
    <definedName name="копия" localSheetId="92">[1]FES!#REF!</definedName>
    <definedName name="копия" localSheetId="98">[1]FES!#REF!</definedName>
    <definedName name="копия" localSheetId="94">[1]FES!#REF!</definedName>
    <definedName name="копия" localSheetId="91">[1]FES!#REF!</definedName>
    <definedName name="копия" localSheetId="97">[1]FES!#REF!</definedName>
    <definedName name="копия" localSheetId="103">[1]FES!#REF!</definedName>
    <definedName name="копия" localSheetId="101">[1]FES!#REF!</definedName>
    <definedName name="копия" localSheetId="106">[1]FES!#REF!</definedName>
    <definedName name="копия" localSheetId="102">[1]FES!#REF!</definedName>
    <definedName name="копия" localSheetId="100">[1]FES!#REF!</definedName>
    <definedName name="копия" localSheetId="105">[1]FES!#REF!</definedName>
    <definedName name="копия" localSheetId="104">[1]FES!#REF!</definedName>
    <definedName name="копия" localSheetId="110">[1]FES!#REF!</definedName>
    <definedName name="копия" localSheetId="107">[1]FES!#REF!</definedName>
    <definedName name="копия" localSheetId="113">[1]FES!#REF!</definedName>
    <definedName name="копия" localSheetId="115">[1]FES!#REF!</definedName>
    <definedName name="копия" localSheetId="114">[1]FES!#REF!</definedName>
    <definedName name="копия" localSheetId="112">[1]FES!#REF!</definedName>
    <definedName name="копия" localSheetId="109">[1]FES!#REF!</definedName>
    <definedName name="копия" localSheetId="111">[1]FES!#REF!</definedName>
    <definedName name="копия" localSheetId="108">[1]FES!#REF!</definedName>
    <definedName name="копия" localSheetId="122">[1]FES!#REF!</definedName>
    <definedName name="копия" localSheetId="116">[1]FES!#REF!</definedName>
    <definedName name="копия" localSheetId="125">[1]FES!#REF!</definedName>
    <definedName name="копия" localSheetId="127">[1]FES!#REF!</definedName>
    <definedName name="копия" localSheetId="126">[1]FES!#REF!</definedName>
    <definedName name="копия" localSheetId="124">[1]FES!#REF!</definedName>
    <definedName name="копия" localSheetId="118">[1]FES!#REF!</definedName>
    <definedName name="копия" localSheetId="123">[1]FES!#REF!</definedName>
    <definedName name="копия" localSheetId="117">[1]FES!#REF!</definedName>
    <definedName name="копия" localSheetId="119">[1]FES!#REF!</definedName>
    <definedName name="копия" localSheetId="120">[1]FES!#REF!</definedName>
    <definedName name="копия" localSheetId="121">[1]FES!#REF!</definedName>
    <definedName name="копия" localSheetId="129">[1]FES!#REF!</definedName>
    <definedName name="копия" localSheetId="128">[1]FES!#REF!</definedName>
    <definedName name="копия" localSheetId="130">[1]FES!#REF!</definedName>
    <definedName name="копия" localSheetId="133">[1]FES!#REF!</definedName>
    <definedName name="копия" localSheetId="132">[1]FES!#REF!</definedName>
    <definedName name="копия" localSheetId="136">[1]FES!#REF!</definedName>
    <definedName name="копия" localSheetId="134">[1]FES!#REF!</definedName>
    <definedName name="копия" localSheetId="139">[1]FES!#REF!</definedName>
    <definedName name="копия" localSheetId="137">[1]FES!#REF!</definedName>
    <definedName name="копия" localSheetId="142">[1]FES!#REF!</definedName>
    <definedName name="копия" localSheetId="141">[1]FES!#REF!</definedName>
    <definedName name="копия" localSheetId="140">[1]FES!#REF!</definedName>
    <definedName name="копия" localSheetId="145">[1]FES!#REF!</definedName>
    <definedName name="копия" localSheetId="143">[1]FES!#REF!</definedName>
    <definedName name="копия" localSheetId="150">[1]FES!#REF!</definedName>
    <definedName name="копия" localSheetId="158">[1]FES!#REF!</definedName>
    <definedName name="копия" localSheetId="157">[1]FES!#REF!</definedName>
    <definedName name="копия" localSheetId="156">[1]FES!#REF!</definedName>
    <definedName name="копия" localSheetId="146">[1]FES!#REF!</definedName>
    <definedName name="копия" localSheetId="89">[1]FES!#REF!</definedName>
    <definedName name="копия" localSheetId="90">[1]FES!#REF!</definedName>
    <definedName name="копия" localSheetId="2">[2]FES!#REF!</definedName>
    <definedName name="копия" localSheetId="1">[2]FES!#REF!</definedName>
    <definedName name="копия">[1]FES!#REF!</definedName>
    <definedName name="коэф1" localSheetId="19">#REF!</definedName>
    <definedName name="коэф1" localSheetId="18">#REF!</definedName>
    <definedName name="коэф1" localSheetId="17">#REF!</definedName>
    <definedName name="коэф1" localSheetId="45">#REF!</definedName>
    <definedName name="коэф1" localSheetId="44">#REF!</definedName>
    <definedName name="коэф1" localSheetId="3">#REF!</definedName>
    <definedName name="коэф1" localSheetId="78">#REF!</definedName>
    <definedName name="коэф1" localSheetId="63">#REF!</definedName>
    <definedName name="коэф1" localSheetId="73">#REF!</definedName>
    <definedName name="коэф1" localSheetId="68">#REF!</definedName>
    <definedName name="коэф1" localSheetId="65">#REF!</definedName>
    <definedName name="коэф1" localSheetId="75">#REF!</definedName>
    <definedName name="коэф1" localSheetId="70">#REF!</definedName>
    <definedName name="коэф1" localSheetId="79">#REF!</definedName>
    <definedName name="коэф1" localSheetId="82">#REF!</definedName>
    <definedName name="коэф1" localSheetId="12">#REF!</definedName>
    <definedName name="коэф1" localSheetId="11">#REF!</definedName>
    <definedName name="коэф1" localSheetId="20">#REF!</definedName>
    <definedName name="коэф1" localSheetId="28">#REF!</definedName>
    <definedName name="коэф1" localSheetId="38">#REF!</definedName>
    <definedName name="коэф1" localSheetId="26">#REF!</definedName>
    <definedName name="коэф1" localSheetId="34">#REF!</definedName>
    <definedName name="коэф1" localSheetId="32">#REF!</definedName>
    <definedName name="коэф1" localSheetId="23">#REF!</definedName>
    <definedName name="коэф1" localSheetId="41">#REF!</definedName>
    <definedName name="коэф1" localSheetId="31">#REF!</definedName>
    <definedName name="коэф1" localSheetId="30">#REF!</definedName>
    <definedName name="коэф1" localSheetId="47">#REF!</definedName>
    <definedName name="коэф1" localSheetId="46">#REF!</definedName>
    <definedName name="коэф1" localSheetId="52">#REF!</definedName>
    <definedName name="коэф1" localSheetId="62">#REF!</definedName>
    <definedName name="коэф1" localSheetId="57">#REF!</definedName>
    <definedName name="коэф1" localSheetId="48">#REF!</definedName>
    <definedName name="коэф1" localSheetId="58">#REF!</definedName>
    <definedName name="коэф1" localSheetId="53">#REF!</definedName>
    <definedName name="коэф1" localSheetId="51">#REF!</definedName>
    <definedName name="коэф1" localSheetId="61">#REF!</definedName>
    <definedName name="коэф1" localSheetId="56">#REF!</definedName>
    <definedName name="коэф1" localSheetId="60">#REF!</definedName>
    <definedName name="коэф1" localSheetId="55">#REF!</definedName>
    <definedName name="коэф1" localSheetId="50">#REF!</definedName>
    <definedName name="коэф1" localSheetId="96">#REF!</definedName>
    <definedName name="коэф1" localSheetId="93">#REF!</definedName>
    <definedName name="коэф1" localSheetId="99">#REF!</definedName>
    <definedName name="коэф1" localSheetId="95">#REF!</definedName>
    <definedName name="коэф1" localSheetId="92">#REF!</definedName>
    <definedName name="коэф1" localSheetId="98">#REF!</definedName>
    <definedName name="коэф1" localSheetId="94">#REF!</definedName>
    <definedName name="коэф1" localSheetId="91">#REF!</definedName>
    <definedName name="коэф1" localSheetId="97">#REF!</definedName>
    <definedName name="коэф1" localSheetId="103">#REF!</definedName>
    <definedName name="коэф1" localSheetId="101">#REF!</definedName>
    <definedName name="коэф1" localSheetId="106">#REF!</definedName>
    <definedName name="коэф1" localSheetId="102">#REF!</definedName>
    <definedName name="коэф1" localSheetId="100">#REF!</definedName>
    <definedName name="коэф1" localSheetId="105">#REF!</definedName>
    <definedName name="коэф1" localSheetId="104">#REF!</definedName>
    <definedName name="коэф1" localSheetId="110">#REF!</definedName>
    <definedName name="коэф1" localSheetId="107">#REF!</definedName>
    <definedName name="коэф1" localSheetId="113">#REF!</definedName>
    <definedName name="коэф1" localSheetId="115">#REF!</definedName>
    <definedName name="коэф1" localSheetId="114">#REF!</definedName>
    <definedName name="коэф1" localSheetId="112">#REF!</definedName>
    <definedName name="коэф1" localSheetId="109">#REF!</definedName>
    <definedName name="коэф1" localSheetId="111">#REF!</definedName>
    <definedName name="коэф1" localSheetId="108">#REF!</definedName>
    <definedName name="коэф1" localSheetId="122">#REF!</definedName>
    <definedName name="коэф1" localSheetId="116">#REF!</definedName>
    <definedName name="коэф1" localSheetId="125">#REF!</definedName>
    <definedName name="коэф1" localSheetId="127">#REF!</definedName>
    <definedName name="коэф1" localSheetId="126">#REF!</definedName>
    <definedName name="коэф1" localSheetId="124">#REF!</definedName>
    <definedName name="коэф1" localSheetId="118">#REF!</definedName>
    <definedName name="коэф1" localSheetId="123">#REF!</definedName>
    <definedName name="коэф1" localSheetId="117">#REF!</definedName>
    <definedName name="коэф1" localSheetId="119">#REF!</definedName>
    <definedName name="коэф1" localSheetId="120">#REF!</definedName>
    <definedName name="коэф1" localSheetId="121">#REF!</definedName>
    <definedName name="коэф1" localSheetId="129">#REF!</definedName>
    <definedName name="коэф1" localSheetId="128">#REF!</definedName>
    <definedName name="коэф1" localSheetId="130">#REF!</definedName>
    <definedName name="коэф1" localSheetId="133">#REF!</definedName>
    <definedName name="коэф1" localSheetId="132">#REF!</definedName>
    <definedName name="коэф1" localSheetId="136">#REF!</definedName>
    <definedName name="коэф1" localSheetId="134">#REF!</definedName>
    <definedName name="коэф1" localSheetId="139">#REF!</definedName>
    <definedName name="коэф1" localSheetId="137">#REF!</definedName>
    <definedName name="коэф1" localSheetId="142">#REF!</definedName>
    <definedName name="коэф1" localSheetId="141">#REF!</definedName>
    <definedName name="коэф1" localSheetId="140">#REF!</definedName>
    <definedName name="коэф1" localSheetId="145">#REF!</definedName>
    <definedName name="коэф1" localSheetId="144">#REF!</definedName>
    <definedName name="коэф1" localSheetId="143">#REF!</definedName>
    <definedName name="коэф1" localSheetId="150">#REF!</definedName>
    <definedName name="коэф1" localSheetId="158">#REF!</definedName>
    <definedName name="коэф1" localSheetId="157">#REF!</definedName>
    <definedName name="коэф1" localSheetId="156">#REF!</definedName>
    <definedName name="коэф1" localSheetId="146">#REF!</definedName>
    <definedName name="коэф1" localSheetId="89">#REF!</definedName>
    <definedName name="коэф1" localSheetId="90">#REF!</definedName>
    <definedName name="коэф1" localSheetId="2">#REF!</definedName>
    <definedName name="коэф1">#REF!</definedName>
    <definedName name="коэф2" localSheetId="19">#REF!</definedName>
    <definedName name="коэф2" localSheetId="18">#REF!</definedName>
    <definedName name="коэф2" localSheetId="17">#REF!</definedName>
    <definedName name="коэф2" localSheetId="45">#REF!</definedName>
    <definedName name="коэф2" localSheetId="44">#REF!</definedName>
    <definedName name="коэф2" localSheetId="3">#REF!</definedName>
    <definedName name="коэф2" localSheetId="78">#REF!</definedName>
    <definedName name="коэф2" localSheetId="63">#REF!</definedName>
    <definedName name="коэф2" localSheetId="73">#REF!</definedName>
    <definedName name="коэф2" localSheetId="68">#REF!</definedName>
    <definedName name="коэф2" localSheetId="65">#REF!</definedName>
    <definedName name="коэф2" localSheetId="75">#REF!</definedName>
    <definedName name="коэф2" localSheetId="70">#REF!</definedName>
    <definedName name="коэф2" localSheetId="79">#REF!</definedName>
    <definedName name="коэф2" localSheetId="82">#REF!</definedName>
    <definedName name="коэф2" localSheetId="12">#REF!</definedName>
    <definedName name="коэф2" localSheetId="11">#REF!</definedName>
    <definedName name="коэф2" localSheetId="28">#REF!</definedName>
    <definedName name="коэф2" localSheetId="38">#REF!</definedName>
    <definedName name="коэф2" localSheetId="26">#REF!</definedName>
    <definedName name="коэф2" localSheetId="34">#REF!</definedName>
    <definedName name="коэф2" localSheetId="32">#REF!</definedName>
    <definedName name="коэф2" localSheetId="23">#REF!</definedName>
    <definedName name="коэф2" localSheetId="41">#REF!</definedName>
    <definedName name="коэф2" localSheetId="31">#REF!</definedName>
    <definedName name="коэф2" localSheetId="30">#REF!</definedName>
    <definedName name="коэф2" localSheetId="47">#REF!</definedName>
    <definedName name="коэф2" localSheetId="52">#REF!</definedName>
    <definedName name="коэф2" localSheetId="62">#REF!</definedName>
    <definedName name="коэф2" localSheetId="57">#REF!</definedName>
    <definedName name="коэф2" localSheetId="48">#REF!</definedName>
    <definedName name="коэф2" localSheetId="58">#REF!</definedName>
    <definedName name="коэф2" localSheetId="53">#REF!</definedName>
    <definedName name="коэф2" localSheetId="51">#REF!</definedName>
    <definedName name="коэф2" localSheetId="61">#REF!</definedName>
    <definedName name="коэф2" localSheetId="56">#REF!</definedName>
    <definedName name="коэф2" localSheetId="60">#REF!</definedName>
    <definedName name="коэф2" localSheetId="55">#REF!</definedName>
    <definedName name="коэф2" localSheetId="50">#REF!</definedName>
    <definedName name="коэф2" localSheetId="96">#REF!</definedName>
    <definedName name="коэф2" localSheetId="93">#REF!</definedName>
    <definedName name="коэф2" localSheetId="99">#REF!</definedName>
    <definedName name="коэф2" localSheetId="95">#REF!</definedName>
    <definedName name="коэф2" localSheetId="92">#REF!</definedName>
    <definedName name="коэф2" localSheetId="98">#REF!</definedName>
    <definedName name="коэф2" localSheetId="94">#REF!</definedName>
    <definedName name="коэф2" localSheetId="91">#REF!</definedName>
    <definedName name="коэф2" localSheetId="97">#REF!</definedName>
    <definedName name="коэф2" localSheetId="103">#REF!</definedName>
    <definedName name="коэф2" localSheetId="101">#REF!</definedName>
    <definedName name="коэф2" localSheetId="106">#REF!</definedName>
    <definedName name="коэф2" localSheetId="102">#REF!</definedName>
    <definedName name="коэф2" localSheetId="100">#REF!</definedName>
    <definedName name="коэф2" localSheetId="105">#REF!</definedName>
    <definedName name="коэф2" localSheetId="104">#REF!</definedName>
    <definedName name="коэф2" localSheetId="110">#REF!</definedName>
    <definedName name="коэф2" localSheetId="107">#REF!</definedName>
    <definedName name="коэф2" localSheetId="113">#REF!</definedName>
    <definedName name="коэф2" localSheetId="115">#REF!</definedName>
    <definedName name="коэф2" localSheetId="114">#REF!</definedName>
    <definedName name="коэф2" localSheetId="112">#REF!</definedName>
    <definedName name="коэф2" localSheetId="109">#REF!</definedName>
    <definedName name="коэф2" localSheetId="111">#REF!</definedName>
    <definedName name="коэф2" localSheetId="108">#REF!</definedName>
    <definedName name="коэф2" localSheetId="122">#REF!</definedName>
    <definedName name="коэф2" localSheetId="116">#REF!</definedName>
    <definedName name="коэф2" localSheetId="125">#REF!</definedName>
    <definedName name="коэф2" localSheetId="127">#REF!</definedName>
    <definedName name="коэф2" localSheetId="126">#REF!</definedName>
    <definedName name="коэф2" localSheetId="124">#REF!</definedName>
    <definedName name="коэф2" localSheetId="118">#REF!</definedName>
    <definedName name="коэф2" localSheetId="123">#REF!</definedName>
    <definedName name="коэф2" localSheetId="117">#REF!</definedName>
    <definedName name="коэф2" localSheetId="119">#REF!</definedName>
    <definedName name="коэф2" localSheetId="120">#REF!</definedName>
    <definedName name="коэф2" localSheetId="121">#REF!</definedName>
    <definedName name="коэф2" localSheetId="129">#REF!</definedName>
    <definedName name="коэф2" localSheetId="128">#REF!</definedName>
    <definedName name="коэф2" localSheetId="130">#REF!</definedName>
    <definedName name="коэф2" localSheetId="133">#REF!</definedName>
    <definedName name="коэф2" localSheetId="132">#REF!</definedName>
    <definedName name="коэф2" localSheetId="136">#REF!</definedName>
    <definedName name="коэф2" localSheetId="134">#REF!</definedName>
    <definedName name="коэф2" localSheetId="139">#REF!</definedName>
    <definedName name="коэф2" localSheetId="137">#REF!</definedName>
    <definedName name="коэф2" localSheetId="142">#REF!</definedName>
    <definedName name="коэф2" localSheetId="141">#REF!</definedName>
    <definedName name="коэф2" localSheetId="140">#REF!</definedName>
    <definedName name="коэф2" localSheetId="145">#REF!</definedName>
    <definedName name="коэф2" localSheetId="144">#REF!</definedName>
    <definedName name="коэф2" localSheetId="143">#REF!</definedName>
    <definedName name="коэф2" localSheetId="150">#REF!</definedName>
    <definedName name="коэф2" localSheetId="158">#REF!</definedName>
    <definedName name="коэф2" localSheetId="157">#REF!</definedName>
    <definedName name="коэф2" localSheetId="156">#REF!</definedName>
    <definedName name="коэф2" localSheetId="146">#REF!</definedName>
    <definedName name="коэф2" localSheetId="89">#REF!</definedName>
    <definedName name="коэф2" localSheetId="90">#REF!</definedName>
    <definedName name="коэф2" localSheetId="2">#REF!</definedName>
    <definedName name="коэф2">#REF!</definedName>
    <definedName name="коэф3" localSheetId="19">#REF!</definedName>
    <definedName name="коэф3" localSheetId="18">#REF!</definedName>
    <definedName name="коэф3" localSheetId="17">#REF!</definedName>
    <definedName name="коэф3" localSheetId="45">#REF!</definedName>
    <definedName name="коэф3" localSheetId="44">#REF!</definedName>
    <definedName name="коэф3" localSheetId="3">#REF!</definedName>
    <definedName name="коэф3" localSheetId="78">#REF!</definedName>
    <definedName name="коэф3" localSheetId="63">#REF!</definedName>
    <definedName name="коэф3" localSheetId="73">#REF!</definedName>
    <definedName name="коэф3" localSheetId="68">#REF!</definedName>
    <definedName name="коэф3" localSheetId="65">#REF!</definedName>
    <definedName name="коэф3" localSheetId="75">#REF!</definedName>
    <definedName name="коэф3" localSheetId="70">#REF!</definedName>
    <definedName name="коэф3" localSheetId="79">#REF!</definedName>
    <definedName name="коэф3" localSheetId="82">#REF!</definedName>
    <definedName name="коэф3" localSheetId="12">#REF!</definedName>
    <definedName name="коэф3" localSheetId="11">#REF!</definedName>
    <definedName name="коэф3" localSheetId="28">#REF!</definedName>
    <definedName name="коэф3" localSheetId="38">#REF!</definedName>
    <definedName name="коэф3" localSheetId="26">#REF!</definedName>
    <definedName name="коэф3" localSheetId="34">#REF!</definedName>
    <definedName name="коэф3" localSheetId="32">#REF!</definedName>
    <definedName name="коэф3" localSheetId="23">#REF!</definedName>
    <definedName name="коэф3" localSheetId="41">#REF!</definedName>
    <definedName name="коэф3" localSheetId="31">#REF!</definedName>
    <definedName name="коэф3" localSheetId="30">#REF!</definedName>
    <definedName name="коэф3" localSheetId="47">#REF!</definedName>
    <definedName name="коэф3" localSheetId="52">#REF!</definedName>
    <definedName name="коэф3" localSheetId="62">#REF!</definedName>
    <definedName name="коэф3" localSheetId="57">#REF!</definedName>
    <definedName name="коэф3" localSheetId="48">#REF!</definedName>
    <definedName name="коэф3" localSheetId="58">#REF!</definedName>
    <definedName name="коэф3" localSheetId="53">#REF!</definedName>
    <definedName name="коэф3" localSheetId="51">#REF!</definedName>
    <definedName name="коэф3" localSheetId="61">#REF!</definedName>
    <definedName name="коэф3" localSheetId="56">#REF!</definedName>
    <definedName name="коэф3" localSheetId="60">#REF!</definedName>
    <definedName name="коэф3" localSheetId="55">#REF!</definedName>
    <definedName name="коэф3" localSheetId="50">#REF!</definedName>
    <definedName name="коэф3" localSheetId="96">#REF!</definedName>
    <definedName name="коэф3" localSheetId="93">#REF!</definedName>
    <definedName name="коэф3" localSheetId="99">#REF!</definedName>
    <definedName name="коэф3" localSheetId="95">#REF!</definedName>
    <definedName name="коэф3" localSheetId="92">#REF!</definedName>
    <definedName name="коэф3" localSheetId="98">#REF!</definedName>
    <definedName name="коэф3" localSheetId="94">#REF!</definedName>
    <definedName name="коэф3" localSheetId="91">#REF!</definedName>
    <definedName name="коэф3" localSheetId="97">#REF!</definedName>
    <definedName name="коэф3" localSheetId="103">#REF!</definedName>
    <definedName name="коэф3" localSheetId="101">#REF!</definedName>
    <definedName name="коэф3" localSheetId="106">#REF!</definedName>
    <definedName name="коэф3" localSheetId="102">#REF!</definedName>
    <definedName name="коэф3" localSheetId="100">#REF!</definedName>
    <definedName name="коэф3" localSheetId="105">#REF!</definedName>
    <definedName name="коэф3" localSheetId="104">#REF!</definedName>
    <definedName name="коэф3" localSheetId="110">#REF!</definedName>
    <definedName name="коэф3" localSheetId="107">#REF!</definedName>
    <definedName name="коэф3" localSheetId="113">#REF!</definedName>
    <definedName name="коэф3" localSheetId="115">#REF!</definedName>
    <definedName name="коэф3" localSheetId="114">#REF!</definedName>
    <definedName name="коэф3" localSheetId="112">#REF!</definedName>
    <definedName name="коэф3" localSheetId="109">#REF!</definedName>
    <definedName name="коэф3" localSheetId="111">#REF!</definedName>
    <definedName name="коэф3" localSheetId="108">#REF!</definedName>
    <definedName name="коэф3" localSheetId="122">#REF!</definedName>
    <definedName name="коэф3" localSheetId="116">#REF!</definedName>
    <definedName name="коэф3" localSheetId="125">#REF!</definedName>
    <definedName name="коэф3" localSheetId="127">#REF!</definedName>
    <definedName name="коэф3" localSheetId="126">#REF!</definedName>
    <definedName name="коэф3" localSheetId="124">#REF!</definedName>
    <definedName name="коэф3" localSheetId="118">#REF!</definedName>
    <definedName name="коэф3" localSheetId="123">#REF!</definedName>
    <definedName name="коэф3" localSheetId="117">#REF!</definedName>
    <definedName name="коэф3" localSheetId="119">#REF!</definedName>
    <definedName name="коэф3" localSheetId="120">#REF!</definedName>
    <definedName name="коэф3" localSheetId="121">#REF!</definedName>
    <definedName name="коэф3" localSheetId="129">#REF!</definedName>
    <definedName name="коэф3" localSheetId="128">#REF!</definedName>
    <definedName name="коэф3" localSheetId="130">#REF!</definedName>
    <definedName name="коэф3" localSheetId="133">#REF!</definedName>
    <definedName name="коэф3" localSheetId="132">#REF!</definedName>
    <definedName name="коэф3" localSheetId="136">#REF!</definedName>
    <definedName name="коэф3" localSheetId="134">#REF!</definedName>
    <definedName name="коэф3" localSheetId="139">#REF!</definedName>
    <definedName name="коэф3" localSheetId="137">#REF!</definedName>
    <definedName name="коэф3" localSheetId="142">#REF!</definedName>
    <definedName name="коэф3" localSheetId="141">#REF!</definedName>
    <definedName name="коэф3" localSheetId="140">#REF!</definedName>
    <definedName name="коэф3" localSheetId="145">#REF!</definedName>
    <definedName name="коэф3" localSheetId="144">#REF!</definedName>
    <definedName name="коэф3" localSheetId="143">#REF!</definedName>
    <definedName name="коэф3" localSheetId="150">#REF!</definedName>
    <definedName name="коэф3" localSheetId="158">#REF!</definedName>
    <definedName name="коэф3" localSheetId="157">#REF!</definedName>
    <definedName name="коэф3" localSheetId="156">#REF!</definedName>
    <definedName name="коэф3" localSheetId="146">#REF!</definedName>
    <definedName name="коэф3" localSheetId="89">#REF!</definedName>
    <definedName name="коэф3" localSheetId="90">#REF!</definedName>
    <definedName name="коэф3" localSheetId="2">#REF!</definedName>
    <definedName name="коэф3">#REF!</definedName>
    <definedName name="коэф4" localSheetId="19">#REF!</definedName>
    <definedName name="коэф4" localSheetId="17">#REF!</definedName>
    <definedName name="коэф4" localSheetId="45">#REF!</definedName>
    <definedName name="коэф4" localSheetId="3">#REF!</definedName>
    <definedName name="коэф4" localSheetId="78">#REF!</definedName>
    <definedName name="коэф4" localSheetId="63">#REF!</definedName>
    <definedName name="коэф4" localSheetId="73">#REF!</definedName>
    <definedName name="коэф4" localSheetId="68">#REF!</definedName>
    <definedName name="коэф4" localSheetId="65">#REF!</definedName>
    <definedName name="коэф4" localSheetId="75">#REF!</definedName>
    <definedName name="коэф4" localSheetId="70">#REF!</definedName>
    <definedName name="коэф4" localSheetId="79">#REF!</definedName>
    <definedName name="коэф4" localSheetId="82">#REF!</definedName>
    <definedName name="коэф4" localSheetId="12">#REF!</definedName>
    <definedName name="коэф4" localSheetId="11">#REF!</definedName>
    <definedName name="коэф4" localSheetId="28">#REF!</definedName>
    <definedName name="коэф4" localSheetId="38">#REF!</definedName>
    <definedName name="коэф4" localSheetId="26">#REF!</definedName>
    <definedName name="коэф4" localSheetId="34">#REF!</definedName>
    <definedName name="коэф4" localSheetId="32">#REF!</definedName>
    <definedName name="коэф4" localSheetId="23">#REF!</definedName>
    <definedName name="коэф4" localSheetId="41">#REF!</definedName>
    <definedName name="коэф4" localSheetId="31">#REF!</definedName>
    <definedName name="коэф4" localSheetId="30">#REF!</definedName>
    <definedName name="коэф4" localSheetId="47">#REF!</definedName>
    <definedName name="коэф4" localSheetId="52">#REF!</definedName>
    <definedName name="коэф4" localSheetId="62">#REF!</definedName>
    <definedName name="коэф4" localSheetId="57">#REF!</definedName>
    <definedName name="коэф4" localSheetId="48">#REF!</definedName>
    <definedName name="коэф4" localSheetId="58">#REF!</definedName>
    <definedName name="коэф4" localSheetId="53">#REF!</definedName>
    <definedName name="коэф4" localSheetId="51">#REF!</definedName>
    <definedName name="коэф4" localSheetId="61">#REF!</definedName>
    <definedName name="коэф4" localSheetId="56">#REF!</definedName>
    <definedName name="коэф4" localSheetId="60">#REF!</definedName>
    <definedName name="коэф4" localSheetId="55">#REF!</definedName>
    <definedName name="коэф4" localSheetId="50">#REF!</definedName>
    <definedName name="коэф4" localSheetId="96">#REF!</definedName>
    <definedName name="коэф4" localSheetId="93">#REF!</definedName>
    <definedName name="коэф4" localSheetId="99">#REF!</definedName>
    <definedName name="коэф4" localSheetId="95">#REF!</definedName>
    <definedName name="коэф4" localSheetId="92">#REF!</definedName>
    <definedName name="коэф4" localSheetId="98">#REF!</definedName>
    <definedName name="коэф4" localSheetId="94">#REF!</definedName>
    <definedName name="коэф4" localSheetId="91">#REF!</definedName>
    <definedName name="коэф4" localSheetId="97">#REF!</definedName>
    <definedName name="коэф4" localSheetId="103">#REF!</definedName>
    <definedName name="коэф4" localSheetId="101">#REF!</definedName>
    <definedName name="коэф4" localSheetId="106">#REF!</definedName>
    <definedName name="коэф4" localSheetId="102">#REF!</definedName>
    <definedName name="коэф4" localSheetId="100">#REF!</definedName>
    <definedName name="коэф4" localSheetId="105">#REF!</definedName>
    <definedName name="коэф4" localSheetId="104">#REF!</definedName>
    <definedName name="коэф4" localSheetId="110">#REF!</definedName>
    <definedName name="коэф4" localSheetId="107">#REF!</definedName>
    <definedName name="коэф4" localSheetId="113">#REF!</definedName>
    <definedName name="коэф4" localSheetId="115">#REF!</definedName>
    <definedName name="коэф4" localSheetId="114">#REF!</definedName>
    <definedName name="коэф4" localSheetId="112">#REF!</definedName>
    <definedName name="коэф4" localSheetId="109">#REF!</definedName>
    <definedName name="коэф4" localSheetId="111">#REF!</definedName>
    <definedName name="коэф4" localSheetId="108">#REF!</definedName>
    <definedName name="коэф4" localSheetId="122">#REF!</definedName>
    <definedName name="коэф4" localSheetId="116">#REF!</definedName>
    <definedName name="коэф4" localSheetId="125">#REF!</definedName>
    <definedName name="коэф4" localSheetId="127">#REF!</definedName>
    <definedName name="коэф4" localSheetId="126">#REF!</definedName>
    <definedName name="коэф4" localSheetId="124">#REF!</definedName>
    <definedName name="коэф4" localSheetId="118">#REF!</definedName>
    <definedName name="коэф4" localSheetId="123">#REF!</definedName>
    <definedName name="коэф4" localSheetId="117">#REF!</definedName>
    <definedName name="коэф4" localSheetId="119">#REF!</definedName>
    <definedName name="коэф4" localSheetId="120">#REF!</definedName>
    <definedName name="коэф4" localSheetId="121">#REF!</definedName>
    <definedName name="коэф4" localSheetId="129">#REF!</definedName>
    <definedName name="коэф4" localSheetId="128">#REF!</definedName>
    <definedName name="коэф4" localSheetId="130">#REF!</definedName>
    <definedName name="коэф4" localSheetId="133">#REF!</definedName>
    <definedName name="коэф4" localSheetId="132">#REF!</definedName>
    <definedName name="коэф4" localSheetId="136">#REF!</definedName>
    <definedName name="коэф4" localSheetId="134">#REF!</definedName>
    <definedName name="коэф4" localSheetId="139">#REF!</definedName>
    <definedName name="коэф4" localSheetId="137">#REF!</definedName>
    <definedName name="коэф4" localSheetId="142">#REF!</definedName>
    <definedName name="коэф4" localSheetId="141">#REF!</definedName>
    <definedName name="коэф4" localSheetId="140">#REF!</definedName>
    <definedName name="коэф4" localSheetId="145">#REF!</definedName>
    <definedName name="коэф4" localSheetId="144">#REF!</definedName>
    <definedName name="коэф4" localSheetId="143">#REF!</definedName>
    <definedName name="коэф4" localSheetId="150">#REF!</definedName>
    <definedName name="коэф4" localSheetId="158">#REF!</definedName>
    <definedName name="коэф4" localSheetId="157">#REF!</definedName>
    <definedName name="коэф4" localSheetId="156">#REF!</definedName>
    <definedName name="коэф4" localSheetId="146">#REF!</definedName>
    <definedName name="коэф4" localSheetId="89">#REF!</definedName>
    <definedName name="коэф4" localSheetId="90">#REF!</definedName>
    <definedName name="коэф4">#REF!</definedName>
    <definedName name="л" localSheetId="19">'[3]5.2-опер.рас ПП'!л</definedName>
    <definedName name="л" localSheetId="17">'[3]5.2-опер.рас ПП'!л</definedName>
    <definedName name="л" localSheetId="45">'4. 7_котельн.'!л</definedName>
    <definedName name="л" localSheetId="44">'4. 7_КТЭЦ'!л</definedName>
    <definedName name="л" localSheetId="3">'[3]5.2-опер.рас ПП'!л</definedName>
    <definedName name="л" localSheetId="78">'[3]5.2-опер.рас ПП'!л</definedName>
    <definedName name="л" localSheetId="65">'[3]5.2-опер.рас ПП'!л</definedName>
    <definedName name="л" localSheetId="75">'[3]5.2-опер.рас ПП'!л</definedName>
    <definedName name="л" localSheetId="70">'[3]5.2-опер.рас ПП'!л</definedName>
    <definedName name="л" localSheetId="79">'[3]5.2-опер.рас ПП'!л</definedName>
    <definedName name="л" localSheetId="82">'[3]5.2-опер.рас ПП'!л</definedName>
    <definedName name="л" localSheetId="12">'[3]5.2-опер.рас ПП'!л</definedName>
    <definedName name="л" localSheetId="11">'[3]5.2-опер.рас ПП'!л</definedName>
    <definedName name="л" localSheetId="20">'[4]5.2-опер.рас ПП'!л</definedName>
    <definedName name="л" localSheetId="28">'[3]5.2-опер.рас ПП'!л</definedName>
    <definedName name="л" localSheetId="38">'[3]5.2-опер.рас ПП'!л</definedName>
    <definedName name="л" localSheetId="26">'[3]5.2-опер.рас ПП'!л</definedName>
    <definedName name="л" localSheetId="34">'[3]5.2-опер.рас ПП'!л</definedName>
    <definedName name="л" localSheetId="32">'[3]5.2-опер.рас ПП'!л</definedName>
    <definedName name="л" localSheetId="23">'[3]5.2-опер.рас ПП'!л</definedName>
    <definedName name="л" localSheetId="41">'[3]5.2-опер.рас ПП'!л</definedName>
    <definedName name="л" localSheetId="31">'[3]5.2-опер.рас ПП'!л</definedName>
    <definedName name="л" localSheetId="30">'[3]5.2-опер.рас ПП'!л</definedName>
    <definedName name="л" localSheetId="47">'[4]5.2-опер.рас ПП'!л</definedName>
    <definedName name="л" localSheetId="46">'[4]5.2-опер.рас ПП'!л</definedName>
    <definedName name="л" localSheetId="52">'[3]5.2-опер.рас ПП'!л</definedName>
    <definedName name="л" localSheetId="62">'[3]5.2-опер.рас ПП'!л</definedName>
    <definedName name="л" localSheetId="57">'[3]5.2-опер.рас ПП'!л</definedName>
    <definedName name="л" localSheetId="51">'[3]5.2-опер.рас ПП'!л</definedName>
    <definedName name="л" localSheetId="61">'[3]5.2-опер.рас ПП'!л</definedName>
    <definedName name="л" localSheetId="56">'[3]5.2-опер.рас ПП'!л</definedName>
    <definedName name="л" localSheetId="60">'[3]5.2-опер.рас ПП'!л</definedName>
    <definedName name="л" localSheetId="55">'[3]5.2-опер.рас ПП'!л</definedName>
    <definedName name="л" localSheetId="50">'[3]5.2-опер.рас ПП'!л</definedName>
    <definedName name="л" localSheetId="96">'[3]5.2-опер.рас ПП'!л</definedName>
    <definedName name="л" localSheetId="93">'[3]5.2-опер.рас ПП'!л</definedName>
    <definedName name="л" localSheetId="99">'[3]5.2-опер.рас ПП'!л</definedName>
    <definedName name="л" localSheetId="95">'[3]5.2-опер.рас ПП'!л</definedName>
    <definedName name="л" localSheetId="92">'[3]5.2-опер.рас ПП'!л</definedName>
    <definedName name="л" localSheetId="98">'[3]5.2-опер.рас ПП'!л</definedName>
    <definedName name="л" localSheetId="94">'[3]5.2-опер.рас ПП'!л</definedName>
    <definedName name="л" localSheetId="91">'[3]5.2-опер.рас ПП'!л</definedName>
    <definedName name="л" localSheetId="97">'[3]5.2-опер.рас ПП'!л</definedName>
    <definedName name="л" localSheetId="103">'[3]5.2-опер.рас ПП'!л</definedName>
    <definedName name="л" localSheetId="101">'[3]5.2-опер.рас ПП'!л</definedName>
    <definedName name="л" localSheetId="106">'[3]5.2-опер.рас ПП'!л</definedName>
    <definedName name="л" localSheetId="102">'[3]5.2-опер.рас ПП'!л</definedName>
    <definedName name="л" localSheetId="100">'[3]5.2-опер.рас ПП'!л</definedName>
    <definedName name="л" localSheetId="105">'[3]5.2-опер.рас ПП'!л</definedName>
    <definedName name="л" localSheetId="104">'[3]5.2-опер.рас ПП'!л</definedName>
    <definedName name="л" localSheetId="110">'[3]5.2-опер.рас ПП'!л</definedName>
    <definedName name="л" localSheetId="107">'[3]5.2-опер.рас ПП'!л</definedName>
    <definedName name="л" localSheetId="113">'[3]5.2-опер.рас ПП'!л</definedName>
    <definedName name="л" localSheetId="115">'[3]5.2-опер.рас ПП'!л</definedName>
    <definedName name="л" localSheetId="114">'[3]5.2-опер.рас ПП'!л</definedName>
    <definedName name="л" localSheetId="112">'[3]5.2-опер.рас ПП'!л</definedName>
    <definedName name="л" localSheetId="109">'[3]5.2-опер.рас ПП'!л</definedName>
    <definedName name="л" localSheetId="111">'[3]5.2-опер.рас ПП'!л</definedName>
    <definedName name="л" localSheetId="108">'[3]5.2-опер.рас ПП'!л</definedName>
    <definedName name="л" localSheetId="122">'[3]5.2-опер.рас ПП'!л</definedName>
    <definedName name="л" localSheetId="116">'[3]5.2-опер.рас ПП'!л</definedName>
    <definedName name="л" localSheetId="125">'[3]5.2-опер.рас ПП'!л</definedName>
    <definedName name="л" localSheetId="127">'[3]5.2-опер.рас ПП'!л</definedName>
    <definedName name="л" localSheetId="126">'[3]5.2-опер.рас ПП'!л</definedName>
    <definedName name="л" localSheetId="124">'[3]5.2-опер.рас ПП'!л</definedName>
    <definedName name="л" localSheetId="118">'[3]5.2-опер.рас ПП'!л</definedName>
    <definedName name="л" localSheetId="123">'[3]5.2-опер.рас ПП'!л</definedName>
    <definedName name="л" localSheetId="117">'[3]5.2-опер.рас ПП'!л</definedName>
    <definedName name="л" localSheetId="119">'[3]5.2-опер.рас ПП'!л</definedName>
    <definedName name="л" localSheetId="120">'[3]5.2-опер.рас ПП'!л</definedName>
    <definedName name="л" localSheetId="121">'[3]5.2-опер.рас ПП'!л</definedName>
    <definedName name="л" localSheetId="129">'[3]5.2-опер.рас ПП'!л</definedName>
    <definedName name="л" localSheetId="128">'[3]5.2-опер.рас ПП'!л</definedName>
    <definedName name="л" localSheetId="130">'[3]5.2-опер.рас ПП'!л</definedName>
    <definedName name="л" localSheetId="133">'[3]5.2-опер.рас ПП'!л</definedName>
    <definedName name="л" localSheetId="132">'[3]5.2-опер.рас ПП'!л</definedName>
    <definedName name="л" localSheetId="136">'[3]5.2-опер.рас ПП'!л</definedName>
    <definedName name="л" localSheetId="134">'[3]5.2-опер.рас ПП'!л</definedName>
    <definedName name="л" localSheetId="139">'[3]5.2-опер.рас ПП'!л</definedName>
    <definedName name="л" localSheetId="137">'[3]5.2-опер.рас ПП'!л</definedName>
    <definedName name="л" localSheetId="142">'[3]5.2-опер.рас ПП'!л</definedName>
    <definedName name="л" localSheetId="141">'[3]5.2-опер.рас ПП'!л</definedName>
    <definedName name="л" localSheetId="140">'[3]5.2-опер.рас ПП'!л</definedName>
    <definedName name="л" localSheetId="145">'[3]5.2-опер.рас ПП'!л</definedName>
    <definedName name="л" localSheetId="143">'[3]5.2-опер.рас ПП'!л</definedName>
    <definedName name="л" localSheetId="150">'[3]5.2-опер.рас ПП'!л</definedName>
    <definedName name="л" localSheetId="158">'[3]5.2-опер.рас ПП'!л</definedName>
    <definedName name="л" localSheetId="157">'[3]5.2-опер.рас ПП'!л</definedName>
    <definedName name="л" localSheetId="156">'[3]5.2-опер.рас ПП'!л</definedName>
    <definedName name="л" localSheetId="146">'[3]5.2-опер.рас ПП'!л</definedName>
    <definedName name="л" localSheetId="89">'[3]5.2-опер.рас ПП'!л</definedName>
    <definedName name="л" localSheetId="90">'[3]5.2-опер.рас ПП'!л</definedName>
    <definedName name="л" localSheetId="2">'[4]5.2-опер.рас ПП'!л</definedName>
    <definedName name="л" localSheetId="1">'[4]5.2-опер.рас ПП'!л</definedName>
    <definedName name="л">'[3]5.2-опер.рас ПП'!л</definedName>
    <definedName name="лист" localSheetId="19">'[3]5.2-опер.рас ПП'!лист</definedName>
    <definedName name="лист" localSheetId="17">'[3]5.2-опер.рас ПП'!лист</definedName>
    <definedName name="лист" localSheetId="45">'4. 7_котельн.'!лист</definedName>
    <definedName name="лист" localSheetId="44">'4. 7_КТЭЦ'!лист</definedName>
    <definedName name="лист" localSheetId="3">'[3]5.2-опер.рас ПП'!лист</definedName>
    <definedName name="лист" localSheetId="78">'[3]5.2-опер.рас ПП'!лист</definedName>
    <definedName name="лист" localSheetId="65">'[3]5.2-опер.рас ПП'!лист</definedName>
    <definedName name="лист" localSheetId="75">'[3]5.2-опер.рас ПП'!лист</definedName>
    <definedName name="лист" localSheetId="70">'[3]5.2-опер.рас ПП'!лист</definedName>
    <definedName name="лист" localSheetId="79">'[3]5.2-опер.рас ПП'!лист</definedName>
    <definedName name="лист" localSheetId="82">'[3]5.2-опер.рас ПП'!лист</definedName>
    <definedName name="лист" localSheetId="12">'[3]5.2-опер.рас ПП'!лист</definedName>
    <definedName name="лист" localSheetId="11">'[3]5.2-опер.рас ПП'!лист</definedName>
    <definedName name="лист" localSheetId="20">'[4]5.2-опер.рас ПП'!лист</definedName>
    <definedName name="лист" localSheetId="28">'[3]5.2-опер.рас ПП'!лист</definedName>
    <definedName name="лист" localSheetId="38">'[3]5.2-опер.рас ПП'!лист</definedName>
    <definedName name="лист" localSheetId="26">'[3]5.2-опер.рас ПП'!лист</definedName>
    <definedName name="лист" localSheetId="34">'[3]5.2-опер.рас ПП'!лист</definedName>
    <definedName name="лист" localSheetId="32">'[3]5.2-опер.рас ПП'!лист</definedName>
    <definedName name="лист" localSheetId="23">'[3]5.2-опер.рас ПП'!лист</definedName>
    <definedName name="лист" localSheetId="41">'[3]5.2-опер.рас ПП'!лист</definedName>
    <definedName name="лист" localSheetId="31">'[3]5.2-опер.рас ПП'!лист</definedName>
    <definedName name="лист" localSheetId="30">'[3]5.2-опер.рас ПП'!лист</definedName>
    <definedName name="лист" localSheetId="47">'[4]5.2-опер.рас ПП'!лист</definedName>
    <definedName name="лист" localSheetId="46">'[4]5.2-опер.рас ПП'!лист</definedName>
    <definedName name="лист" localSheetId="52">'[3]5.2-опер.рас ПП'!лист</definedName>
    <definedName name="лист" localSheetId="62">'[3]5.2-опер.рас ПП'!лист</definedName>
    <definedName name="лист" localSheetId="57">'[3]5.2-опер.рас ПП'!лист</definedName>
    <definedName name="лист" localSheetId="51">'[3]5.2-опер.рас ПП'!лист</definedName>
    <definedName name="лист" localSheetId="61">'[3]5.2-опер.рас ПП'!лист</definedName>
    <definedName name="лист" localSheetId="56">'[3]5.2-опер.рас ПП'!лист</definedName>
    <definedName name="лист" localSheetId="60">'[3]5.2-опер.рас ПП'!лист</definedName>
    <definedName name="лист" localSheetId="55">'[3]5.2-опер.рас ПП'!лист</definedName>
    <definedName name="лист" localSheetId="50">'[3]5.2-опер.рас ПП'!лист</definedName>
    <definedName name="лист" localSheetId="96">'[3]5.2-опер.рас ПП'!лист</definedName>
    <definedName name="лист" localSheetId="93">'[3]5.2-опер.рас ПП'!лист</definedName>
    <definedName name="лист" localSheetId="99">'[3]5.2-опер.рас ПП'!лист</definedName>
    <definedName name="лист" localSheetId="95">'[3]5.2-опер.рас ПП'!лист</definedName>
    <definedName name="лист" localSheetId="92">'[3]5.2-опер.рас ПП'!лист</definedName>
    <definedName name="лист" localSheetId="98">'[3]5.2-опер.рас ПП'!лист</definedName>
    <definedName name="лист" localSheetId="94">'[3]5.2-опер.рас ПП'!лист</definedName>
    <definedName name="лист" localSheetId="91">'[3]5.2-опер.рас ПП'!лист</definedName>
    <definedName name="лист" localSheetId="97">'[3]5.2-опер.рас ПП'!лист</definedName>
    <definedName name="лист" localSheetId="103">'[3]5.2-опер.рас ПП'!лист</definedName>
    <definedName name="лист" localSheetId="101">'[3]5.2-опер.рас ПП'!лист</definedName>
    <definedName name="лист" localSheetId="106">'[3]5.2-опер.рас ПП'!лист</definedName>
    <definedName name="лист" localSheetId="102">'[3]5.2-опер.рас ПП'!лист</definedName>
    <definedName name="лист" localSheetId="100">'[3]5.2-опер.рас ПП'!лист</definedName>
    <definedName name="лист" localSheetId="105">'[3]5.2-опер.рас ПП'!лист</definedName>
    <definedName name="лист" localSheetId="104">'[3]5.2-опер.рас ПП'!лист</definedName>
    <definedName name="лист" localSheetId="110">'[3]5.2-опер.рас ПП'!лист</definedName>
    <definedName name="лист" localSheetId="107">'[3]5.2-опер.рас ПП'!лист</definedName>
    <definedName name="лист" localSheetId="113">'[3]5.2-опер.рас ПП'!лист</definedName>
    <definedName name="лист" localSheetId="115">'[3]5.2-опер.рас ПП'!лист</definedName>
    <definedName name="лист" localSheetId="114">'[3]5.2-опер.рас ПП'!лист</definedName>
    <definedName name="лист" localSheetId="112">'[3]5.2-опер.рас ПП'!лист</definedName>
    <definedName name="лист" localSheetId="109">'[3]5.2-опер.рас ПП'!лист</definedName>
    <definedName name="лист" localSheetId="111">'[3]5.2-опер.рас ПП'!лист</definedName>
    <definedName name="лист" localSheetId="108">'[3]5.2-опер.рас ПП'!лист</definedName>
    <definedName name="лист" localSheetId="122">'[3]5.2-опер.рас ПП'!лист</definedName>
    <definedName name="лист" localSheetId="116">'[3]5.2-опер.рас ПП'!лист</definedName>
    <definedName name="лист" localSheetId="125">'[3]5.2-опер.рас ПП'!лист</definedName>
    <definedName name="лист" localSheetId="127">'[3]5.2-опер.рас ПП'!лист</definedName>
    <definedName name="лист" localSheetId="126">'[3]5.2-опер.рас ПП'!лист</definedName>
    <definedName name="лист" localSheetId="124">'[3]5.2-опер.рас ПП'!лист</definedName>
    <definedName name="лист" localSheetId="118">'[3]5.2-опер.рас ПП'!лист</definedName>
    <definedName name="лист" localSheetId="123">'[3]5.2-опер.рас ПП'!лист</definedName>
    <definedName name="лист" localSheetId="117">'[3]5.2-опер.рас ПП'!лист</definedName>
    <definedName name="лист" localSheetId="119">'[3]5.2-опер.рас ПП'!лист</definedName>
    <definedName name="лист" localSheetId="120">'[3]5.2-опер.рас ПП'!лист</definedName>
    <definedName name="лист" localSheetId="121">'[3]5.2-опер.рас ПП'!лист</definedName>
    <definedName name="лист" localSheetId="129">'[3]5.2-опер.рас ПП'!лист</definedName>
    <definedName name="лист" localSheetId="128">'[3]5.2-опер.рас ПП'!лист</definedName>
    <definedName name="лист" localSheetId="130">'[3]5.2-опер.рас ПП'!лист</definedName>
    <definedName name="лист" localSheetId="133">'[3]5.2-опер.рас ПП'!лист</definedName>
    <definedName name="лист" localSheetId="132">'[3]5.2-опер.рас ПП'!лист</definedName>
    <definedName name="лист" localSheetId="136">'[3]5.2-опер.рас ПП'!лист</definedName>
    <definedName name="лист" localSheetId="134">'[3]5.2-опер.рас ПП'!лист</definedName>
    <definedName name="лист" localSheetId="139">'[3]5.2-опер.рас ПП'!лист</definedName>
    <definedName name="лист" localSheetId="137">'[3]5.2-опер.рас ПП'!лист</definedName>
    <definedName name="лист" localSheetId="142">'[3]5.2-опер.рас ПП'!лист</definedName>
    <definedName name="лист" localSheetId="141">'[3]5.2-опер.рас ПП'!лист</definedName>
    <definedName name="лист" localSheetId="140">'[3]5.2-опер.рас ПП'!лист</definedName>
    <definedName name="лист" localSheetId="145">'[3]5.2-опер.рас ПП'!лист</definedName>
    <definedName name="лист" localSheetId="143">'[3]5.2-опер.рас ПП'!лист</definedName>
    <definedName name="лист" localSheetId="150">'[3]5.2-опер.рас ПП'!лист</definedName>
    <definedName name="лист" localSheetId="158">'[3]5.2-опер.рас ПП'!лист</definedName>
    <definedName name="лист" localSheetId="157">'[3]5.2-опер.рас ПП'!лист</definedName>
    <definedName name="лист" localSheetId="156">'[3]5.2-опер.рас ПП'!лист</definedName>
    <definedName name="лист" localSheetId="146">'[3]5.2-опер.рас ПП'!лист</definedName>
    <definedName name="лист" localSheetId="89">'[3]5.2-опер.рас ПП'!лист</definedName>
    <definedName name="лист" localSheetId="90">'[3]5.2-опер.рас ПП'!лист</definedName>
    <definedName name="лист" localSheetId="2">'[4]5.2-опер.рас ПП'!лист</definedName>
    <definedName name="лист" localSheetId="1">'[4]5.2-опер.рас ПП'!лист</definedName>
    <definedName name="лист">'[3]5.2-опер.рас ПП'!лист</definedName>
    <definedName name="лист1" localSheetId="19">'[3]5.2-опер.рас ПП'!лист1</definedName>
    <definedName name="лист1" localSheetId="17">'[3]5.2-опер.рас ПП'!лист1</definedName>
    <definedName name="лист1" localSheetId="45">'4. 7_котельн.'!лист1</definedName>
    <definedName name="лист1" localSheetId="44">'4. 7_КТЭЦ'!лист1</definedName>
    <definedName name="лист1" localSheetId="3">'[3]5.2-опер.рас ПП'!лист1</definedName>
    <definedName name="лист1" localSheetId="78">'[3]5.2-опер.рас ПП'!лист1</definedName>
    <definedName name="лист1" localSheetId="65">'[3]5.2-опер.рас ПП'!лист1</definedName>
    <definedName name="лист1" localSheetId="75">'[3]5.2-опер.рас ПП'!лист1</definedName>
    <definedName name="лист1" localSheetId="70">'[3]5.2-опер.рас ПП'!лист1</definedName>
    <definedName name="лист1" localSheetId="79">'[3]5.2-опер.рас ПП'!лист1</definedName>
    <definedName name="лист1" localSheetId="82">'[3]5.2-опер.рас ПП'!лист1</definedName>
    <definedName name="лист1" localSheetId="12">'[3]5.2-опер.рас ПП'!лист1</definedName>
    <definedName name="лист1" localSheetId="11">'[3]5.2-опер.рас ПП'!лист1</definedName>
    <definedName name="лист1" localSheetId="20">'[4]5.2-опер.рас ПП'!лист1</definedName>
    <definedName name="лист1" localSheetId="28">'[3]5.2-опер.рас ПП'!лист1</definedName>
    <definedName name="лист1" localSheetId="38">'[3]5.2-опер.рас ПП'!лист1</definedName>
    <definedName name="лист1" localSheetId="26">'[3]5.2-опер.рас ПП'!лист1</definedName>
    <definedName name="лист1" localSheetId="34">'[3]5.2-опер.рас ПП'!лист1</definedName>
    <definedName name="лист1" localSheetId="32">'[3]5.2-опер.рас ПП'!лист1</definedName>
    <definedName name="лист1" localSheetId="23">'[3]5.2-опер.рас ПП'!лист1</definedName>
    <definedName name="лист1" localSheetId="41">'[3]5.2-опер.рас ПП'!лист1</definedName>
    <definedName name="лист1" localSheetId="31">'[3]5.2-опер.рас ПП'!лист1</definedName>
    <definedName name="лист1" localSheetId="30">'[3]5.2-опер.рас ПП'!лист1</definedName>
    <definedName name="лист1" localSheetId="47">'[4]5.2-опер.рас ПП'!лист1</definedName>
    <definedName name="лист1" localSheetId="46">'[4]5.2-опер.рас ПП'!лист1</definedName>
    <definedName name="лист1" localSheetId="52">'[3]5.2-опер.рас ПП'!лист1</definedName>
    <definedName name="лист1" localSheetId="62">'[3]5.2-опер.рас ПП'!лист1</definedName>
    <definedName name="лист1" localSheetId="57">'[3]5.2-опер.рас ПП'!лист1</definedName>
    <definedName name="лист1" localSheetId="51">'[3]5.2-опер.рас ПП'!лист1</definedName>
    <definedName name="лист1" localSheetId="61">'[3]5.2-опер.рас ПП'!лист1</definedName>
    <definedName name="лист1" localSheetId="56">'[3]5.2-опер.рас ПП'!лист1</definedName>
    <definedName name="лист1" localSheetId="60">'[3]5.2-опер.рас ПП'!лист1</definedName>
    <definedName name="лист1" localSheetId="55">'[3]5.2-опер.рас ПП'!лист1</definedName>
    <definedName name="лист1" localSheetId="50">'[3]5.2-опер.рас ПП'!лист1</definedName>
    <definedName name="лист1" localSheetId="96">'[3]5.2-опер.рас ПП'!лист1</definedName>
    <definedName name="лист1" localSheetId="93">'[3]5.2-опер.рас ПП'!лист1</definedName>
    <definedName name="лист1" localSheetId="99">'[3]5.2-опер.рас ПП'!лист1</definedName>
    <definedName name="лист1" localSheetId="95">'[3]5.2-опер.рас ПП'!лист1</definedName>
    <definedName name="лист1" localSheetId="92">'[3]5.2-опер.рас ПП'!лист1</definedName>
    <definedName name="лист1" localSheetId="98">'[3]5.2-опер.рас ПП'!лист1</definedName>
    <definedName name="лист1" localSheetId="94">'[3]5.2-опер.рас ПП'!лист1</definedName>
    <definedName name="лист1" localSheetId="91">'[3]5.2-опер.рас ПП'!лист1</definedName>
    <definedName name="лист1" localSheetId="97">'[3]5.2-опер.рас ПП'!лист1</definedName>
    <definedName name="лист1" localSheetId="103">'[3]5.2-опер.рас ПП'!лист1</definedName>
    <definedName name="лист1" localSheetId="101">'[3]5.2-опер.рас ПП'!лист1</definedName>
    <definedName name="лист1" localSheetId="106">'[3]5.2-опер.рас ПП'!лист1</definedName>
    <definedName name="лист1" localSheetId="102">'[3]5.2-опер.рас ПП'!лист1</definedName>
    <definedName name="лист1" localSheetId="100">'[3]5.2-опер.рас ПП'!лист1</definedName>
    <definedName name="лист1" localSheetId="105">'[3]5.2-опер.рас ПП'!лист1</definedName>
    <definedName name="лист1" localSheetId="104">'[3]5.2-опер.рас ПП'!лист1</definedName>
    <definedName name="лист1" localSheetId="110">'[3]5.2-опер.рас ПП'!лист1</definedName>
    <definedName name="лист1" localSheetId="107">'[3]5.2-опер.рас ПП'!лист1</definedName>
    <definedName name="лист1" localSheetId="113">'[3]5.2-опер.рас ПП'!лист1</definedName>
    <definedName name="лист1" localSheetId="115">'[3]5.2-опер.рас ПП'!лист1</definedName>
    <definedName name="лист1" localSheetId="114">'[3]5.2-опер.рас ПП'!лист1</definedName>
    <definedName name="лист1" localSheetId="112">'[3]5.2-опер.рас ПП'!лист1</definedName>
    <definedName name="лист1" localSheetId="109">'[3]5.2-опер.рас ПП'!лист1</definedName>
    <definedName name="лист1" localSheetId="111">'[3]5.2-опер.рас ПП'!лист1</definedName>
    <definedName name="лист1" localSheetId="108">'[3]5.2-опер.рас ПП'!лист1</definedName>
    <definedName name="лист1" localSheetId="122">'[3]5.2-опер.рас ПП'!лист1</definedName>
    <definedName name="лист1" localSheetId="116">'[3]5.2-опер.рас ПП'!лист1</definedName>
    <definedName name="лист1" localSheetId="125">'[3]5.2-опер.рас ПП'!лист1</definedName>
    <definedName name="лист1" localSheetId="127">'[3]5.2-опер.рас ПП'!лист1</definedName>
    <definedName name="лист1" localSheetId="126">'[3]5.2-опер.рас ПП'!лист1</definedName>
    <definedName name="лист1" localSheetId="124">'[3]5.2-опер.рас ПП'!лист1</definedName>
    <definedName name="лист1" localSheetId="118">'[3]5.2-опер.рас ПП'!лист1</definedName>
    <definedName name="лист1" localSheetId="123">'[3]5.2-опер.рас ПП'!лист1</definedName>
    <definedName name="лист1" localSheetId="117">'[3]5.2-опер.рас ПП'!лист1</definedName>
    <definedName name="лист1" localSheetId="119">'[3]5.2-опер.рас ПП'!лист1</definedName>
    <definedName name="лист1" localSheetId="120">'[3]5.2-опер.рас ПП'!лист1</definedName>
    <definedName name="лист1" localSheetId="121">'[3]5.2-опер.рас ПП'!лист1</definedName>
    <definedName name="лист1" localSheetId="129">'[3]5.2-опер.рас ПП'!лист1</definedName>
    <definedName name="лист1" localSheetId="128">'[3]5.2-опер.рас ПП'!лист1</definedName>
    <definedName name="лист1" localSheetId="130">'[3]5.2-опер.рас ПП'!лист1</definedName>
    <definedName name="лист1" localSheetId="133">'[3]5.2-опер.рас ПП'!лист1</definedName>
    <definedName name="лист1" localSheetId="132">'[3]5.2-опер.рас ПП'!лист1</definedName>
    <definedName name="лист1" localSheetId="136">'[3]5.2-опер.рас ПП'!лист1</definedName>
    <definedName name="лист1" localSheetId="134">'[3]5.2-опер.рас ПП'!лист1</definedName>
    <definedName name="лист1" localSheetId="139">'[3]5.2-опер.рас ПП'!лист1</definedName>
    <definedName name="лист1" localSheetId="137">'[3]5.2-опер.рас ПП'!лист1</definedName>
    <definedName name="лист1" localSheetId="142">'[3]5.2-опер.рас ПП'!лист1</definedName>
    <definedName name="лист1" localSheetId="141">'[3]5.2-опер.рас ПП'!лист1</definedName>
    <definedName name="лист1" localSheetId="140">'[3]5.2-опер.рас ПП'!лист1</definedName>
    <definedName name="лист1" localSheetId="145">'[3]5.2-опер.рас ПП'!лист1</definedName>
    <definedName name="лист1" localSheetId="143">'[3]5.2-опер.рас ПП'!лист1</definedName>
    <definedName name="лист1" localSheetId="150">'[3]5.2-опер.рас ПП'!лист1</definedName>
    <definedName name="лист1" localSheetId="158">'[3]5.2-опер.рас ПП'!лист1</definedName>
    <definedName name="лист1" localSheetId="157">'[3]5.2-опер.рас ПП'!лист1</definedName>
    <definedName name="лист1" localSheetId="156">'[3]5.2-опер.рас ПП'!лист1</definedName>
    <definedName name="лист1" localSheetId="146">'[3]5.2-опер.рас ПП'!лист1</definedName>
    <definedName name="лист1" localSheetId="89">'[3]5.2-опер.рас ПП'!лист1</definedName>
    <definedName name="лист1" localSheetId="90">'[3]5.2-опер.рас ПП'!лист1</definedName>
    <definedName name="лист1" localSheetId="2">'[4]5.2-опер.рас ПП'!лист1</definedName>
    <definedName name="лист1" localSheetId="1">'[4]5.2-опер.рас ПП'!лист1</definedName>
    <definedName name="лист1">'[3]5.2-опер.рас ПП'!лист1</definedName>
    <definedName name="лист2" localSheetId="19">'[3]5.2-опер.рас ПП'!лист2</definedName>
    <definedName name="лист2" localSheetId="17">'[3]5.2-опер.рас ПП'!лист2</definedName>
    <definedName name="лист2" localSheetId="45">'4. 7_котельн.'!лист2</definedName>
    <definedName name="лист2" localSheetId="44">'4. 7_КТЭЦ'!лист2</definedName>
    <definedName name="лист2" localSheetId="3">'[3]5.2-опер.рас ПП'!лист2</definedName>
    <definedName name="лист2" localSheetId="78">'[3]5.2-опер.рас ПП'!лист2</definedName>
    <definedName name="лист2" localSheetId="65">'[3]5.2-опер.рас ПП'!лист2</definedName>
    <definedName name="лист2" localSheetId="75">'[3]5.2-опер.рас ПП'!лист2</definedName>
    <definedName name="лист2" localSheetId="70">'[3]5.2-опер.рас ПП'!лист2</definedName>
    <definedName name="лист2" localSheetId="79">'[3]5.2-опер.рас ПП'!лист2</definedName>
    <definedName name="лист2" localSheetId="82">'[3]5.2-опер.рас ПП'!лист2</definedName>
    <definedName name="лист2" localSheetId="12">'[3]5.2-опер.рас ПП'!лист2</definedName>
    <definedName name="лист2" localSheetId="11">'[3]5.2-опер.рас ПП'!лист2</definedName>
    <definedName name="лист2" localSheetId="20">'[4]5.2-опер.рас ПП'!лист2</definedName>
    <definedName name="лист2" localSheetId="28">'[3]5.2-опер.рас ПП'!лист2</definedName>
    <definedName name="лист2" localSheetId="38">'[3]5.2-опер.рас ПП'!лист2</definedName>
    <definedName name="лист2" localSheetId="26">'[3]5.2-опер.рас ПП'!лист2</definedName>
    <definedName name="лист2" localSheetId="34">'[3]5.2-опер.рас ПП'!лист2</definedName>
    <definedName name="лист2" localSheetId="32">'[3]5.2-опер.рас ПП'!лист2</definedName>
    <definedName name="лист2" localSheetId="23">'[3]5.2-опер.рас ПП'!лист2</definedName>
    <definedName name="лист2" localSheetId="41">'[3]5.2-опер.рас ПП'!лист2</definedName>
    <definedName name="лист2" localSheetId="31">'[3]5.2-опер.рас ПП'!лист2</definedName>
    <definedName name="лист2" localSheetId="30">'[3]5.2-опер.рас ПП'!лист2</definedName>
    <definedName name="лист2" localSheetId="47">'[4]5.2-опер.рас ПП'!лист2</definedName>
    <definedName name="лист2" localSheetId="46">'[4]5.2-опер.рас ПП'!лист2</definedName>
    <definedName name="лист2" localSheetId="52">'[3]5.2-опер.рас ПП'!лист2</definedName>
    <definedName name="лист2" localSheetId="62">'[3]5.2-опер.рас ПП'!лист2</definedName>
    <definedName name="лист2" localSheetId="57">'[3]5.2-опер.рас ПП'!лист2</definedName>
    <definedName name="лист2" localSheetId="51">'[3]5.2-опер.рас ПП'!лист2</definedName>
    <definedName name="лист2" localSheetId="61">'[3]5.2-опер.рас ПП'!лист2</definedName>
    <definedName name="лист2" localSheetId="56">'[3]5.2-опер.рас ПП'!лист2</definedName>
    <definedName name="лист2" localSheetId="60">'[3]5.2-опер.рас ПП'!лист2</definedName>
    <definedName name="лист2" localSheetId="55">'[3]5.2-опер.рас ПП'!лист2</definedName>
    <definedName name="лист2" localSheetId="50">'[3]5.2-опер.рас ПП'!лист2</definedName>
    <definedName name="лист2" localSheetId="96">'[3]5.2-опер.рас ПП'!лист2</definedName>
    <definedName name="лист2" localSheetId="93">'[3]5.2-опер.рас ПП'!лист2</definedName>
    <definedName name="лист2" localSheetId="99">'[3]5.2-опер.рас ПП'!лист2</definedName>
    <definedName name="лист2" localSheetId="95">'[3]5.2-опер.рас ПП'!лист2</definedName>
    <definedName name="лист2" localSheetId="92">'[3]5.2-опер.рас ПП'!лист2</definedName>
    <definedName name="лист2" localSheetId="98">'[3]5.2-опер.рас ПП'!лист2</definedName>
    <definedName name="лист2" localSheetId="94">'[3]5.2-опер.рас ПП'!лист2</definedName>
    <definedName name="лист2" localSheetId="91">'[3]5.2-опер.рас ПП'!лист2</definedName>
    <definedName name="лист2" localSheetId="97">'[3]5.2-опер.рас ПП'!лист2</definedName>
    <definedName name="лист2" localSheetId="103">'[3]5.2-опер.рас ПП'!лист2</definedName>
    <definedName name="лист2" localSheetId="101">'[3]5.2-опер.рас ПП'!лист2</definedName>
    <definedName name="лист2" localSheetId="106">'[3]5.2-опер.рас ПП'!лист2</definedName>
    <definedName name="лист2" localSheetId="102">'[3]5.2-опер.рас ПП'!лист2</definedName>
    <definedName name="лист2" localSheetId="100">'[3]5.2-опер.рас ПП'!лист2</definedName>
    <definedName name="лист2" localSheetId="105">'[3]5.2-опер.рас ПП'!лист2</definedName>
    <definedName name="лист2" localSheetId="104">'[3]5.2-опер.рас ПП'!лист2</definedName>
    <definedName name="лист2" localSheetId="110">'[3]5.2-опер.рас ПП'!лист2</definedName>
    <definedName name="лист2" localSheetId="107">'[3]5.2-опер.рас ПП'!лист2</definedName>
    <definedName name="лист2" localSheetId="113">'[3]5.2-опер.рас ПП'!лист2</definedName>
    <definedName name="лист2" localSheetId="115">'[3]5.2-опер.рас ПП'!лист2</definedName>
    <definedName name="лист2" localSheetId="114">'[3]5.2-опер.рас ПП'!лист2</definedName>
    <definedName name="лист2" localSheetId="112">'[3]5.2-опер.рас ПП'!лист2</definedName>
    <definedName name="лист2" localSheetId="109">'[3]5.2-опер.рас ПП'!лист2</definedName>
    <definedName name="лист2" localSheetId="111">'[3]5.2-опер.рас ПП'!лист2</definedName>
    <definedName name="лист2" localSheetId="108">'[3]5.2-опер.рас ПП'!лист2</definedName>
    <definedName name="лист2" localSheetId="122">'[3]5.2-опер.рас ПП'!лист2</definedName>
    <definedName name="лист2" localSheetId="116">'[3]5.2-опер.рас ПП'!лист2</definedName>
    <definedName name="лист2" localSheetId="125">'[3]5.2-опер.рас ПП'!лист2</definedName>
    <definedName name="лист2" localSheetId="127">'[3]5.2-опер.рас ПП'!лист2</definedName>
    <definedName name="лист2" localSheetId="126">'[3]5.2-опер.рас ПП'!лист2</definedName>
    <definedName name="лист2" localSheetId="124">'[3]5.2-опер.рас ПП'!лист2</definedName>
    <definedName name="лист2" localSheetId="118">'[3]5.2-опер.рас ПП'!лист2</definedName>
    <definedName name="лист2" localSheetId="123">'[3]5.2-опер.рас ПП'!лист2</definedName>
    <definedName name="лист2" localSheetId="117">'[3]5.2-опер.рас ПП'!лист2</definedName>
    <definedName name="лист2" localSheetId="119">'[3]5.2-опер.рас ПП'!лист2</definedName>
    <definedName name="лист2" localSheetId="120">'[3]5.2-опер.рас ПП'!лист2</definedName>
    <definedName name="лист2" localSheetId="121">'[3]5.2-опер.рас ПП'!лист2</definedName>
    <definedName name="лист2" localSheetId="129">'[3]5.2-опер.рас ПП'!лист2</definedName>
    <definedName name="лист2" localSheetId="128">'[3]5.2-опер.рас ПП'!лист2</definedName>
    <definedName name="лист2" localSheetId="130">'[3]5.2-опер.рас ПП'!лист2</definedName>
    <definedName name="лист2" localSheetId="133">'[3]5.2-опер.рас ПП'!лист2</definedName>
    <definedName name="лист2" localSheetId="132">'[3]5.2-опер.рас ПП'!лист2</definedName>
    <definedName name="лист2" localSheetId="136">'[3]5.2-опер.рас ПП'!лист2</definedName>
    <definedName name="лист2" localSheetId="134">'[3]5.2-опер.рас ПП'!лист2</definedName>
    <definedName name="лист2" localSheetId="139">'[3]5.2-опер.рас ПП'!лист2</definedName>
    <definedName name="лист2" localSheetId="137">'[3]5.2-опер.рас ПП'!лист2</definedName>
    <definedName name="лист2" localSheetId="142">'[3]5.2-опер.рас ПП'!лист2</definedName>
    <definedName name="лист2" localSheetId="141">'[3]5.2-опер.рас ПП'!лист2</definedName>
    <definedName name="лист2" localSheetId="140">'[3]5.2-опер.рас ПП'!лист2</definedName>
    <definedName name="лист2" localSheetId="145">'[3]5.2-опер.рас ПП'!лист2</definedName>
    <definedName name="лист2" localSheetId="143">'[3]5.2-опер.рас ПП'!лист2</definedName>
    <definedName name="лист2" localSheetId="150">'[3]5.2-опер.рас ПП'!лист2</definedName>
    <definedName name="лист2" localSheetId="158">'[3]5.2-опер.рас ПП'!лист2</definedName>
    <definedName name="лист2" localSheetId="157">'[3]5.2-опер.рас ПП'!лист2</definedName>
    <definedName name="лист2" localSheetId="156">'[3]5.2-опер.рас ПП'!лист2</definedName>
    <definedName name="лист2" localSheetId="146">'[3]5.2-опер.рас ПП'!лист2</definedName>
    <definedName name="лист2" localSheetId="89">'[3]5.2-опер.рас ПП'!лист2</definedName>
    <definedName name="лист2" localSheetId="90">'[3]5.2-опер.рас ПП'!лист2</definedName>
    <definedName name="лист2" localSheetId="2">'[4]5.2-опер.рас ПП'!лист2</definedName>
    <definedName name="лист2" localSheetId="1">'[4]5.2-опер.рас ПП'!лист2</definedName>
    <definedName name="лист2">'[3]5.2-опер.рас ПП'!лист2</definedName>
    <definedName name="лист3" localSheetId="19">[1]FES!#REF!</definedName>
    <definedName name="лист3" localSheetId="18">[1]FES!#REF!</definedName>
    <definedName name="лист3" localSheetId="17">[1]FES!#REF!</definedName>
    <definedName name="лист3" localSheetId="45">[1]FES!#REF!</definedName>
    <definedName name="лист3" localSheetId="44">[1]FES!#REF!</definedName>
    <definedName name="лист3" localSheetId="3">[1]FES!#REF!</definedName>
    <definedName name="лист3" localSheetId="78">[1]FES!#REF!</definedName>
    <definedName name="лист3" localSheetId="63">[1]FES!#REF!</definedName>
    <definedName name="лист3" localSheetId="73">[1]FES!#REF!</definedName>
    <definedName name="лист3" localSheetId="68">[1]FES!#REF!</definedName>
    <definedName name="лист3" localSheetId="65">[1]FES!#REF!</definedName>
    <definedName name="лист3" localSheetId="75">[1]FES!#REF!</definedName>
    <definedName name="лист3" localSheetId="70">[1]FES!#REF!</definedName>
    <definedName name="лист3" localSheetId="79">[1]FES!#REF!</definedName>
    <definedName name="лист3" localSheetId="82">[1]FES!#REF!</definedName>
    <definedName name="лист3" localSheetId="12">[1]FES!#REF!</definedName>
    <definedName name="лист3" localSheetId="11">[1]FES!#REF!</definedName>
    <definedName name="лист3" localSheetId="20">[2]FES!#REF!</definedName>
    <definedName name="лист3" localSheetId="28">[1]FES!#REF!</definedName>
    <definedName name="лист3" localSheetId="38">[1]FES!#REF!</definedName>
    <definedName name="лист3" localSheetId="26">[1]FES!#REF!</definedName>
    <definedName name="лист3" localSheetId="34">[1]FES!#REF!</definedName>
    <definedName name="лист3" localSheetId="32">[1]FES!#REF!</definedName>
    <definedName name="лист3" localSheetId="23">[1]FES!#REF!</definedName>
    <definedName name="лист3" localSheetId="41">[1]FES!#REF!</definedName>
    <definedName name="лист3" localSheetId="31">[1]FES!#REF!</definedName>
    <definedName name="лист3" localSheetId="30">[1]FES!#REF!</definedName>
    <definedName name="лист3" localSheetId="47">[2]FES!#REF!</definedName>
    <definedName name="лист3" localSheetId="46">[2]FES!#REF!</definedName>
    <definedName name="лист3" localSheetId="52">[1]FES!#REF!</definedName>
    <definedName name="лист3" localSheetId="62">[1]FES!#REF!</definedName>
    <definedName name="лист3" localSheetId="57">[1]FES!#REF!</definedName>
    <definedName name="лист3" localSheetId="48">[1]FES!#REF!</definedName>
    <definedName name="лист3" localSheetId="58">[1]FES!#REF!</definedName>
    <definedName name="лист3" localSheetId="53">[1]FES!#REF!</definedName>
    <definedName name="лист3" localSheetId="51">[1]FES!#REF!</definedName>
    <definedName name="лист3" localSheetId="61">[1]FES!#REF!</definedName>
    <definedName name="лист3" localSheetId="56">[1]FES!#REF!</definedName>
    <definedName name="лист3" localSheetId="60">[1]FES!#REF!</definedName>
    <definedName name="лист3" localSheetId="55">[1]FES!#REF!</definedName>
    <definedName name="лист3" localSheetId="50">[1]FES!#REF!</definedName>
    <definedName name="лист3" localSheetId="96">[1]FES!#REF!</definedName>
    <definedName name="лист3" localSheetId="93">[1]FES!#REF!</definedName>
    <definedName name="лист3" localSheetId="99">[1]FES!#REF!</definedName>
    <definedName name="лист3" localSheetId="95">[1]FES!#REF!</definedName>
    <definedName name="лист3" localSheetId="92">[1]FES!#REF!</definedName>
    <definedName name="лист3" localSheetId="98">[1]FES!#REF!</definedName>
    <definedName name="лист3" localSheetId="94">[1]FES!#REF!</definedName>
    <definedName name="лист3" localSheetId="91">[1]FES!#REF!</definedName>
    <definedName name="лист3" localSheetId="97">[1]FES!#REF!</definedName>
    <definedName name="лист3" localSheetId="103">[1]FES!#REF!</definedName>
    <definedName name="лист3" localSheetId="101">[1]FES!#REF!</definedName>
    <definedName name="лист3" localSheetId="106">[1]FES!#REF!</definedName>
    <definedName name="лист3" localSheetId="102">[1]FES!#REF!</definedName>
    <definedName name="лист3" localSheetId="100">[1]FES!#REF!</definedName>
    <definedName name="лист3" localSheetId="105">[1]FES!#REF!</definedName>
    <definedName name="лист3" localSheetId="104">[1]FES!#REF!</definedName>
    <definedName name="лист3" localSheetId="110">[1]FES!#REF!</definedName>
    <definedName name="лист3" localSheetId="107">[1]FES!#REF!</definedName>
    <definedName name="лист3" localSheetId="113">[1]FES!#REF!</definedName>
    <definedName name="лист3" localSheetId="115">[1]FES!#REF!</definedName>
    <definedName name="лист3" localSheetId="114">[1]FES!#REF!</definedName>
    <definedName name="лист3" localSheetId="112">[1]FES!#REF!</definedName>
    <definedName name="лист3" localSheetId="109">[1]FES!#REF!</definedName>
    <definedName name="лист3" localSheetId="111">[1]FES!#REF!</definedName>
    <definedName name="лист3" localSheetId="108">[1]FES!#REF!</definedName>
    <definedName name="лист3" localSheetId="122">[1]FES!#REF!</definedName>
    <definedName name="лист3" localSheetId="116">[1]FES!#REF!</definedName>
    <definedName name="лист3" localSheetId="125">[1]FES!#REF!</definedName>
    <definedName name="лист3" localSheetId="127">[1]FES!#REF!</definedName>
    <definedName name="лист3" localSheetId="126">[1]FES!#REF!</definedName>
    <definedName name="лист3" localSheetId="124">[1]FES!#REF!</definedName>
    <definedName name="лист3" localSheetId="118">[1]FES!#REF!</definedName>
    <definedName name="лист3" localSheetId="123">[1]FES!#REF!</definedName>
    <definedName name="лист3" localSheetId="117">[1]FES!#REF!</definedName>
    <definedName name="лист3" localSheetId="119">[1]FES!#REF!</definedName>
    <definedName name="лист3" localSheetId="120">[1]FES!#REF!</definedName>
    <definedName name="лист3" localSheetId="121">[1]FES!#REF!</definedName>
    <definedName name="лист3" localSheetId="129">[1]FES!#REF!</definedName>
    <definedName name="лист3" localSheetId="128">[1]FES!#REF!</definedName>
    <definedName name="лист3" localSheetId="130">[1]FES!#REF!</definedName>
    <definedName name="лист3" localSheetId="133">[1]FES!#REF!</definedName>
    <definedName name="лист3" localSheetId="132">[1]FES!#REF!</definedName>
    <definedName name="лист3" localSheetId="136">[1]FES!#REF!</definedName>
    <definedName name="лист3" localSheetId="134">[1]FES!#REF!</definedName>
    <definedName name="лист3" localSheetId="139">[1]FES!#REF!</definedName>
    <definedName name="лист3" localSheetId="137">[1]FES!#REF!</definedName>
    <definedName name="лист3" localSheetId="142">[1]FES!#REF!</definedName>
    <definedName name="лист3" localSheetId="141">[1]FES!#REF!</definedName>
    <definedName name="лист3" localSheetId="140">[1]FES!#REF!</definedName>
    <definedName name="лист3" localSheetId="145">[1]FES!#REF!</definedName>
    <definedName name="лист3" localSheetId="143">[1]FES!#REF!</definedName>
    <definedName name="лист3" localSheetId="150">[1]FES!#REF!</definedName>
    <definedName name="лист3" localSheetId="158">[1]FES!#REF!</definedName>
    <definedName name="лист3" localSheetId="157">[1]FES!#REF!</definedName>
    <definedName name="лист3" localSheetId="156">[1]FES!#REF!</definedName>
    <definedName name="лист3" localSheetId="146">[1]FES!#REF!</definedName>
    <definedName name="лист3" localSheetId="89">[1]FES!#REF!</definedName>
    <definedName name="лист3" localSheetId="90">[1]FES!#REF!</definedName>
    <definedName name="лист3" localSheetId="2">[2]FES!#REF!</definedName>
    <definedName name="лист3" localSheetId="1">[2]FES!#REF!</definedName>
    <definedName name="лист3">[1]FES!#REF!</definedName>
    <definedName name="лл" localSheetId="19">'[3]5.2-опер.рас ПП'!лл</definedName>
    <definedName name="лл" localSheetId="17">'[3]5.2-опер.рас ПП'!лл</definedName>
    <definedName name="лл" localSheetId="45">'4. 7_котельн.'!лл</definedName>
    <definedName name="лл" localSheetId="44">'4. 7_КТЭЦ'!лл</definedName>
    <definedName name="лл" localSheetId="3">'[3]5.2-опер.рас ПП'!лл</definedName>
    <definedName name="лл" localSheetId="78">'[3]5.2-опер.рас ПП'!лл</definedName>
    <definedName name="лл" localSheetId="65">'[3]5.2-опер.рас ПП'!лл</definedName>
    <definedName name="лл" localSheetId="75">'[3]5.2-опер.рас ПП'!лл</definedName>
    <definedName name="лл" localSheetId="70">'[3]5.2-опер.рас ПП'!лл</definedName>
    <definedName name="лл" localSheetId="79">'[3]5.2-опер.рас ПП'!лл</definedName>
    <definedName name="лл" localSheetId="82">'[3]5.2-опер.рас ПП'!лл</definedName>
    <definedName name="лл" localSheetId="12">'[3]5.2-опер.рас ПП'!лл</definedName>
    <definedName name="лл" localSheetId="11">'[3]5.2-опер.рас ПП'!лл</definedName>
    <definedName name="лл" localSheetId="20">'[4]5.2-опер.рас ПП'!лл</definedName>
    <definedName name="лл" localSheetId="28">'[3]5.2-опер.рас ПП'!лл</definedName>
    <definedName name="лл" localSheetId="38">'[3]5.2-опер.рас ПП'!лл</definedName>
    <definedName name="лл" localSheetId="26">'[3]5.2-опер.рас ПП'!лл</definedName>
    <definedName name="лл" localSheetId="34">'[3]5.2-опер.рас ПП'!лл</definedName>
    <definedName name="лл" localSheetId="32">'[3]5.2-опер.рас ПП'!лл</definedName>
    <definedName name="лл" localSheetId="23">'[3]5.2-опер.рас ПП'!лл</definedName>
    <definedName name="лл" localSheetId="41">'[3]5.2-опер.рас ПП'!лл</definedName>
    <definedName name="лл" localSheetId="31">'[3]5.2-опер.рас ПП'!лл</definedName>
    <definedName name="лл" localSheetId="30">'[3]5.2-опер.рас ПП'!лл</definedName>
    <definedName name="лл" localSheetId="47">'[4]5.2-опер.рас ПП'!лл</definedName>
    <definedName name="лл" localSheetId="46">'[4]5.2-опер.рас ПП'!лл</definedName>
    <definedName name="лл" localSheetId="52">'[3]5.2-опер.рас ПП'!лл</definedName>
    <definedName name="лл" localSheetId="62">'[3]5.2-опер.рас ПП'!лл</definedName>
    <definedName name="лл" localSheetId="57">'[3]5.2-опер.рас ПП'!лл</definedName>
    <definedName name="лл" localSheetId="51">'[3]5.2-опер.рас ПП'!лл</definedName>
    <definedName name="лл" localSheetId="61">'[3]5.2-опер.рас ПП'!лл</definedName>
    <definedName name="лл" localSheetId="56">'[3]5.2-опер.рас ПП'!лл</definedName>
    <definedName name="лл" localSheetId="60">'[3]5.2-опер.рас ПП'!лл</definedName>
    <definedName name="лл" localSheetId="55">'[3]5.2-опер.рас ПП'!лл</definedName>
    <definedName name="лл" localSheetId="50">'[3]5.2-опер.рас ПП'!лл</definedName>
    <definedName name="лл" localSheetId="96">'[3]5.2-опер.рас ПП'!лл</definedName>
    <definedName name="лл" localSheetId="93">'[3]5.2-опер.рас ПП'!лл</definedName>
    <definedName name="лл" localSheetId="99">'[3]5.2-опер.рас ПП'!лл</definedName>
    <definedName name="лл" localSheetId="95">'[3]5.2-опер.рас ПП'!лл</definedName>
    <definedName name="лл" localSheetId="92">'[3]5.2-опер.рас ПП'!лл</definedName>
    <definedName name="лл" localSheetId="98">'[3]5.2-опер.рас ПП'!лл</definedName>
    <definedName name="лл" localSheetId="94">'[3]5.2-опер.рас ПП'!лл</definedName>
    <definedName name="лл" localSheetId="91">'[3]5.2-опер.рас ПП'!лл</definedName>
    <definedName name="лл" localSheetId="97">'[3]5.2-опер.рас ПП'!лл</definedName>
    <definedName name="лл" localSheetId="103">'[3]5.2-опер.рас ПП'!лл</definedName>
    <definedName name="лл" localSheetId="101">'[3]5.2-опер.рас ПП'!лл</definedName>
    <definedName name="лл" localSheetId="106">'[3]5.2-опер.рас ПП'!лл</definedName>
    <definedName name="лл" localSheetId="102">'[3]5.2-опер.рас ПП'!лл</definedName>
    <definedName name="лл" localSheetId="100">'[3]5.2-опер.рас ПП'!лл</definedName>
    <definedName name="лл" localSheetId="105">'[3]5.2-опер.рас ПП'!лл</definedName>
    <definedName name="лл" localSheetId="104">'[3]5.2-опер.рас ПП'!лл</definedName>
    <definedName name="лл" localSheetId="110">'[3]5.2-опер.рас ПП'!лл</definedName>
    <definedName name="лл" localSheetId="107">'[3]5.2-опер.рас ПП'!лл</definedName>
    <definedName name="лл" localSheetId="113">'[3]5.2-опер.рас ПП'!лл</definedName>
    <definedName name="лл" localSheetId="115">'[3]5.2-опер.рас ПП'!лл</definedName>
    <definedName name="лл" localSheetId="114">'[3]5.2-опер.рас ПП'!лл</definedName>
    <definedName name="лл" localSheetId="112">'[3]5.2-опер.рас ПП'!лл</definedName>
    <definedName name="лл" localSheetId="109">'[3]5.2-опер.рас ПП'!лл</definedName>
    <definedName name="лл" localSheetId="111">'[3]5.2-опер.рас ПП'!лл</definedName>
    <definedName name="лл" localSheetId="108">'[3]5.2-опер.рас ПП'!лл</definedName>
    <definedName name="лл" localSheetId="122">'[3]5.2-опер.рас ПП'!лл</definedName>
    <definedName name="лл" localSheetId="116">'[3]5.2-опер.рас ПП'!лл</definedName>
    <definedName name="лл" localSheetId="125">'[3]5.2-опер.рас ПП'!лл</definedName>
    <definedName name="лл" localSheetId="127">'[3]5.2-опер.рас ПП'!лл</definedName>
    <definedName name="лл" localSheetId="126">'[3]5.2-опер.рас ПП'!лл</definedName>
    <definedName name="лл" localSheetId="124">'[3]5.2-опер.рас ПП'!лл</definedName>
    <definedName name="лл" localSheetId="118">'[3]5.2-опер.рас ПП'!лл</definedName>
    <definedName name="лл" localSheetId="123">'[3]5.2-опер.рас ПП'!лл</definedName>
    <definedName name="лл" localSheetId="117">'[3]5.2-опер.рас ПП'!лл</definedName>
    <definedName name="лл" localSheetId="119">'[3]5.2-опер.рас ПП'!лл</definedName>
    <definedName name="лл" localSheetId="120">'[3]5.2-опер.рас ПП'!лл</definedName>
    <definedName name="лл" localSheetId="121">'[3]5.2-опер.рас ПП'!лл</definedName>
    <definedName name="лл" localSheetId="129">'[3]5.2-опер.рас ПП'!лл</definedName>
    <definedName name="лл" localSheetId="128">'[3]5.2-опер.рас ПП'!лл</definedName>
    <definedName name="лл" localSheetId="130">'[3]5.2-опер.рас ПП'!лл</definedName>
    <definedName name="лл" localSheetId="133">'[3]5.2-опер.рас ПП'!лл</definedName>
    <definedName name="лл" localSheetId="132">'[3]5.2-опер.рас ПП'!лл</definedName>
    <definedName name="лл" localSheetId="136">'[3]5.2-опер.рас ПП'!лл</definedName>
    <definedName name="лл" localSheetId="134">'[3]5.2-опер.рас ПП'!лл</definedName>
    <definedName name="лл" localSheetId="139">'[3]5.2-опер.рас ПП'!лл</definedName>
    <definedName name="лл" localSheetId="137">'[3]5.2-опер.рас ПП'!лл</definedName>
    <definedName name="лл" localSheetId="142">'[3]5.2-опер.рас ПП'!лл</definedName>
    <definedName name="лл" localSheetId="141">'[3]5.2-опер.рас ПП'!лл</definedName>
    <definedName name="лл" localSheetId="140">'[3]5.2-опер.рас ПП'!лл</definedName>
    <definedName name="лл" localSheetId="145">'[3]5.2-опер.рас ПП'!лл</definedName>
    <definedName name="лл" localSheetId="143">'[3]5.2-опер.рас ПП'!лл</definedName>
    <definedName name="лл" localSheetId="150">'[3]5.2-опер.рас ПП'!лл</definedName>
    <definedName name="лл" localSheetId="158">'[3]5.2-опер.рас ПП'!лл</definedName>
    <definedName name="лл" localSheetId="157">'[3]5.2-опер.рас ПП'!лл</definedName>
    <definedName name="лл" localSheetId="156">'[3]5.2-опер.рас ПП'!лл</definedName>
    <definedName name="лл" localSheetId="146">'[3]5.2-опер.рас ПП'!лл</definedName>
    <definedName name="лл" localSheetId="89">'[3]5.2-опер.рас ПП'!лл</definedName>
    <definedName name="лл" localSheetId="90">'[3]5.2-опер.рас ПП'!лл</definedName>
    <definedName name="лл" localSheetId="2">'[4]5.2-опер.рас ПП'!лл</definedName>
    <definedName name="лл" localSheetId="1">'[4]5.2-опер.рас ПП'!лл</definedName>
    <definedName name="лл">'[3]5.2-опер.рас ПП'!лл</definedName>
    <definedName name="мс" localSheetId="19">'[3]5.2-опер.рас ПП'!мс</definedName>
    <definedName name="мс" localSheetId="17">'[3]5.2-опер.рас ПП'!мс</definedName>
    <definedName name="мс" localSheetId="45">'4. 7_котельн.'!мс</definedName>
    <definedName name="мс" localSheetId="44">'4. 7_КТЭЦ'!мс</definedName>
    <definedName name="мс" localSheetId="3">'[3]5.2-опер.рас ПП'!мс</definedName>
    <definedName name="мс" localSheetId="78">'[3]5.2-опер.рас ПП'!мс</definedName>
    <definedName name="мс" localSheetId="65">'[3]5.2-опер.рас ПП'!мс</definedName>
    <definedName name="мс" localSheetId="75">'[3]5.2-опер.рас ПП'!мс</definedName>
    <definedName name="мс" localSheetId="70">'[3]5.2-опер.рас ПП'!мс</definedName>
    <definedName name="мс" localSheetId="79">'[3]5.2-опер.рас ПП'!мс</definedName>
    <definedName name="мс" localSheetId="82">'[3]5.2-опер.рас ПП'!мс</definedName>
    <definedName name="мс" localSheetId="12">'[3]5.2-опер.рас ПП'!мс</definedName>
    <definedName name="мс" localSheetId="11">'[3]5.2-опер.рас ПП'!мс</definedName>
    <definedName name="мс" localSheetId="20">'[4]5.2-опер.рас ПП'!мс</definedName>
    <definedName name="мс" localSheetId="28">'[3]5.2-опер.рас ПП'!мс</definedName>
    <definedName name="мс" localSheetId="38">'[3]5.2-опер.рас ПП'!мс</definedName>
    <definedName name="мс" localSheetId="26">'[3]5.2-опер.рас ПП'!мс</definedName>
    <definedName name="мс" localSheetId="34">'[3]5.2-опер.рас ПП'!мс</definedName>
    <definedName name="мс" localSheetId="32">'[3]5.2-опер.рас ПП'!мс</definedName>
    <definedName name="мс" localSheetId="23">'[3]5.2-опер.рас ПП'!мс</definedName>
    <definedName name="мс" localSheetId="41">'[3]5.2-опер.рас ПП'!мс</definedName>
    <definedName name="мс" localSheetId="31">'[3]5.2-опер.рас ПП'!мс</definedName>
    <definedName name="мс" localSheetId="30">'[3]5.2-опер.рас ПП'!мс</definedName>
    <definedName name="мс" localSheetId="47">'[4]5.2-опер.рас ПП'!мс</definedName>
    <definedName name="мс" localSheetId="46">'[4]5.2-опер.рас ПП'!мс</definedName>
    <definedName name="мс" localSheetId="52">'[3]5.2-опер.рас ПП'!мс</definedName>
    <definedName name="мс" localSheetId="62">'[3]5.2-опер.рас ПП'!мс</definedName>
    <definedName name="мс" localSheetId="57">'[3]5.2-опер.рас ПП'!мс</definedName>
    <definedName name="мс" localSheetId="51">'[3]5.2-опер.рас ПП'!мс</definedName>
    <definedName name="мс" localSheetId="61">'[3]5.2-опер.рас ПП'!мс</definedName>
    <definedName name="мс" localSheetId="56">'[3]5.2-опер.рас ПП'!мс</definedName>
    <definedName name="мс" localSheetId="60">'[3]5.2-опер.рас ПП'!мс</definedName>
    <definedName name="мс" localSheetId="55">'[3]5.2-опер.рас ПП'!мс</definedName>
    <definedName name="мс" localSheetId="50">'[3]5.2-опер.рас ПП'!мс</definedName>
    <definedName name="мс" localSheetId="96">'[3]5.2-опер.рас ПП'!мс</definedName>
    <definedName name="мс" localSheetId="93">'[3]5.2-опер.рас ПП'!мс</definedName>
    <definedName name="мс" localSheetId="99">'[3]5.2-опер.рас ПП'!мс</definedName>
    <definedName name="мс" localSheetId="95">'[3]5.2-опер.рас ПП'!мс</definedName>
    <definedName name="мс" localSheetId="92">'[3]5.2-опер.рас ПП'!мс</definedName>
    <definedName name="мс" localSheetId="98">'[3]5.2-опер.рас ПП'!мс</definedName>
    <definedName name="мс" localSheetId="94">'[3]5.2-опер.рас ПП'!мс</definedName>
    <definedName name="мс" localSheetId="91">'[3]5.2-опер.рас ПП'!мс</definedName>
    <definedName name="мс" localSheetId="97">'[3]5.2-опер.рас ПП'!мс</definedName>
    <definedName name="мс" localSheetId="103">'[3]5.2-опер.рас ПП'!мс</definedName>
    <definedName name="мс" localSheetId="101">'[3]5.2-опер.рас ПП'!мс</definedName>
    <definedName name="мс" localSheetId="106">'[3]5.2-опер.рас ПП'!мс</definedName>
    <definedName name="мс" localSheetId="102">'[3]5.2-опер.рас ПП'!мс</definedName>
    <definedName name="мс" localSheetId="100">'[3]5.2-опер.рас ПП'!мс</definedName>
    <definedName name="мс" localSheetId="105">'[3]5.2-опер.рас ПП'!мс</definedName>
    <definedName name="мс" localSheetId="104">'[3]5.2-опер.рас ПП'!мс</definedName>
    <definedName name="мс" localSheetId="110">'[3]5.2-опер.рас ПП'!мс</definedName>
    <definedName name="мс" localSheetId="107">'[3]5.2-опер.рас ПП'!мс</definedName>
    <definedName name="мс" localSheetId="113">'[3]5.2-опер.рас ПП'!мс</definedName>
    <definedName name="мс" localSheetId="115">'[3]5.2-опер.рас ПП'!мс</definedName>
    <definedName name="мс" localSheetId="114">'[3]5.2-опер.рас ПП'!мс</definedName>
    <definedName name="мс" localSheetId="112">'[3]5.2-опер.рас ПП'!мс</definedName>
    <definedName name="мс" localSheetId="109">'[3]5.2-опер.рас ПП'!мс</definedName>
    <definedName name="мс" localSheetId="111">'[3]5.2-опер.рас ПП'!мс</definedName>
    <definedName name="мс" localSheetId="108">'[3]5.2-опер.рас ПП'!мс</definedName>
    <definedName name="мс" localSheetId="122">'[3]5.2-опер.рас ПП'!мс</definedName>
    <definedName name="мс" localSheetId="116">'[3]5.2-опер.рас ПП'!мс</definedName>
    <definedName name="мс" localSheetId="125">'[3]5.2-опер.рас ПП'!мс</definedName>
    <definedName name="мс" localSheetId="127">'[3]5.2-опер.рас ПП'!мс</definedName>
    <definedName name="мс" localSheetId="126">'[3]5.2-опер.рас ПП'!мс</definedName>
    <definedName name="мс" localSheetId="124">'[3]5.2-опер.рас ПП'!мс</definedName>
    <definedName name="мс" localSheetId="118">'[3]5.2-опер.рас ПП'!мс</definedName>
    <definedName name="мс" localSheetId="123">'[3]5.2-опер.рас ПП'!мс</definedName>
    <definedName name="мс" localSheetId="117">'[3]5.2-опер.рас ПП'!мс</definedName>
    <definedName name="мс" localSheetId="119">'[3]5.2-опер.рас ПП'!мс</definedName>
    <definedName name="мс" localSheetId="120">'[3]5.2-опер.рас ПП'!мс</definedName>
    <definedName name="мс" localSheetId="121">'[3]5.2-опер.рас ПП'!мс</definedName>
    <definedName name="мс" localSheetId="129">'[3]5.2-опер.рас ПП'!мс</definedName>
    <definedName name="мс" localSheetId="128">'[3]5.2-опер.рас ПП'!мс</definedName>
    <definedName name="мс" localSheetId="130">'[3]5.2-опер.рас ПП'!мс</definedName>
    <definedName name="мс" localSheetId="133">'[3]5.2-опер.рас ПП'!мс</definedName>
    <definedName name="мс" localSheetId="132">'[3]5.2-опер.рас ПП'!мс</definedName>
    <definedName name="мс" localSheetId="136">'[3]5.2-опер.рас ПП'!мс</definedName>
    <definedName name="мс" localSheetId="134">'[3]5.2-опер.рас ПП'!мс</definedName>
    <definedName name="мс" localSheetId="139">'[3]5.2-опер.рас ПП'!мс</definedName>
    <definedName name="мс" localSheetId="137">'[3]5.2-опер.рас ПП'!мс</definedName>
    <definedName name="мс" localSheetId="142">'[3]5.2-опер.рас ПП'!мс</definedName>
    <definedName name="мс" localSheetId="141">'[3]5.2-опер.рас ПП'!мс</definedName>
    <definedName name="мс" localSheetId="140">'[3]5.2-опер.рас ПП'!мс</definedName>
    <definedName name="мс" localSheetId="145">'[3]5.2-опер.рас ПП'!мс</definedName>
    <definedName name="мс" localSheetId="143">'[3]5.2-опер.рас ПП'!мс</definedName>
    <definedName name="мс" localSheetId="150">'[3]5.2-опер.рас ПП'!мс</definedName>
    <definedName name="мс" localSheetId="158">'[3]5.2-опер.рас ПП'!мс</definedName>
    <definedName name="мс" localSheetId="157">'[3]5.2-опер.рас ПП'!мс</definedName>
    <definedName name="мс" localSheetId="156">'[3]5.2-опер.рас ПП'!мс</definedName>
    <definedName name="мс" localSheetId="146">'[3]5.2-опер.рас ПП'!мс</definedName>
    <definedName name="мс" localSheetId="89">'[3]5.2-опер.рас ПП'!мс</definedName>
    <definedName name="мс" localSheetId="90">'[3]5.2-опер.рас ПП'!мс</definedName>
    <definedName name="мс" localSheetId="2">'[4]5.2-опер.рас ПП'!мс</definedName>
    <definedName name="мс" localSheetId="1">'[4]5.2-опер.рас ПП'!мс</definedName>
    <definedName name="мс">'[3]5.2-опер.рас ПП'!мс</definedName>
    <definedName name="мым">#N/A</definedName>
    <definedName name="_xlnm.Print_Area" localSheetId="19">' 4.4-котельные'!$A$1:$Q$277</definedName>
    <definedName name="_xlnm.Print_Area" localSheetId="18">' 4.4-КТЭЦ_комбинир.'!$A$1:$Q$277</definedName>
    <definedName name="_xlnm.Print_Area" localSheetId="17">' 4.4-свод_тепло'!$A$1:$Q$277</definedName>
    <definedName name="_xlnm.Print_Area" localSheetId="0">'3.1'!$A$1:$E$42</definedName>
    <definedName name="_xlnm.Print_Area" localSheetId="45">'4. 7_котельн.'!$A$1:$O$305</definedName>
    <definedName name="_xlnm.Print_Area" localSheetId="44">'4. 7_КТЭЦ'!$A$1:$O$305</definedName>
    <definedName name="_xlnm.Print_Area" localSheetId="3">'4.1 (свод)'!$A$1:$EZ$28</definedName>
    <definedName name="_xlnm.Print_Area" localSheetId="6">'4.1_котельные'!$A$1:$EZ$28</definedName>
    <definedName name="_xlnm.Print_Area" localSheetId="5">'4.1_КТЭЦ'!$A$1:$EZ$28</definedName>
    <definedName name="_xlnm.Print_Area" localSheetId="7">'4.1_ПП_котельн.'!$A$1:$Z$35</definedName>
    <definedName name="_xlnm.Print_Area" localSheetId="4">'4.1_ПП_КТЭЦ'!$A$1:$Z$35</definedName>
    <definedName name="_xlnm.Print_Area" localSheetId="78">'4.10_косв.'!$A$1:$N$115</definedName>
    <definedName name="_xlnm.Print_Area" localSheetId="64">'4.10_пр-во (свод)'!$A$1:$N$115</definedName>
    <definedName name="_xlnm.Print_Area" localSheetId="74">'4.10_пр-во_котельн.'!$A$1:$N$115</definedName>
    <definedName name="_xlnm.Print_Area" localSheetId="69">'4.10_пр-во_КТЭЦ'!$A$1:$N$115</definedName>
    <definedName name="_xlnm.Print_Area" localSheetId="67">'4.10_сбыт (свод)'!$A$1:$N$115</definedName>
    <definedName name="_xlnm.Print_Area" localSheetId="77">'4.10_сбыт_котельн.'!$A$1:$N$115</definedName>
    <definedName name="_xlnm.Print_Area" localSheetId="72">'4.10_сбыт_КТЭЦ'!$A$1:$N$115</definedName>
    <definedName name="_xlnm.Print_Area" localSheetId="63">'4.10_свод '!$A$1:$N$115</definedName>
    <definedName name="_xlnm.Print_Area" localSheetId="73">'4.10_свод_котельн.'!$A$1:$N$115</definedName>
    <definedName name="_xlnm.Print_Area" localSheetId="68">'4.10_свод_КТЭЦ'!$A$1:$N$115</definedName>
    <definedName name="_xlnm.Print_Area" localSheetId="66">'4.10_транзит (свод)'!$A$1:$N$115</definedName>
    <definedName name="_xlnm.Print_Area" localSheetId="76">'4.10_транзит_котельн.'!$A$1:$N$115</definedName>
    <definedName name="_xlnm.Print_Area" localSheetId="71">'4.10_транзит_КТЭЦ'!$A$1:$N$115</definedName>
    <definedName name="_xlnm.Print_Area" localSheetId="65">'4.10_транзит+сбыт (свод)'!$A$1:$N$115</definedName>
    <definedName name="_xlnm.Print_Area" localSheetId="75">'4.10_транзит+сбыт_котельн.'!$A$1:$N$115</definedName>
    <definedName name="_xlnm.Print_Area" localSheetId="70">'4.10_транзит+сбыт_КТЭЦ'!$A$1:$N$115</definedName>
    <definedName name="_xlnm.Print_Area" localSheetId="79">'4.11 (свод)'!$A$1:$I$144</definedName>
    <definedName name="_xlnm.Print_Area" localSheetId="81">'4.11_котельные'!$A$1:$J$144</definedName>
    <definedName name="_xlnm.Print_Area" localSheetId="80">'4.11_КТЭЦ'!$A$1:$I$144</definedName>
    <definedName name="_xlnm.Print_Area" localSheetId="82">'4.12 (свод)'!$A$1:$I$291</definedName>
    <definedName name="_xlnm.Print_Area" localSheetId="84">'4.12_котельные'!$A$1:$K$284</definedName>
    <definedName name="_xlnm.Print_Area" localSheetId="83">'4.12_КТЭЦ'!$A$1:$I$291</definedName>
    <definedName name="_xlnm.Print_Area" localSheetId="85">'4.13'!$A$1:$G$18</definedName>
    <definedName name="_xlnm.Print_Area" localSheetId="86">'4.14'!$A$1:$G$19</definedName>
    <definedName name="_xlnm.Print_Area" localSheetId="87">'4.15'!$A$1:$H$22</definedName>
    <definedName name="_xlnm.Print_Area" localSheetId="9">'4.2_котельные'!$A$1:$AR$29</definedName>
    <definedName name="_xlnm.Print_Area" localSheetId="8">'4.2_КТЭЦ'!$A$1:$AR$26</definedName>
    <definedName name="_xlnm.Print_Area" localSheetId="12">'4.3_котельные'!$A$1:$BF$51</definedName>
    <definedName name="_xlnm.Print_Area" localSheetId="11">'4.3_КТЭЦ'!$A$1:$BF$51</definedName>
    <definedName name="_xlnm.Print_Area" localSheetId="10">'4.3_свод'!$A$1:$BF$51</definedName>
    <definedName name="_xlnm.Print_Area" localSheetId="16">'4.3ПП_котельн.'!$A$1:$N$27</definedName>
    <definedName name="_xlnm.Print_Area" localSheetId="13">'4.3ПП_КТЭЦ'!$A$1:$N$27</definedName>
    <definedName name="_xlnm.Print_Area" localSheetId="14">'4.4'!$A$1:$G$175</definedName>
    <definedName name="_xlnm.Print_Area" localSheetId="15">'4.5'!$A$1:$R$146</definedName>
    <definedName name="_xlnm.Print_Area" localSheetId="20">'4.5 - свод'!$A$1:$X$229</definedName>
    <definedName name="_xlnm.Print_Area" localSheetId="22">'4.6_генерация (свод)'!$A$1:$M$99</definedName>
    <definedName name="_xlnm.Print_Area" localSheetId="40">'4.6_генерация_котельн.'!$A$1:$M$99</definedName>
    <definedName name="_xlnm.Print_Area" localSheetId="29">'4.6_генерация_КТЭЦ'!$A$1:$K$99</definedName>
    <definedName name="_xlnm.Print_Area" localSheetId="28">'4.6_генерация_КТЭЦ с косв.'!$A$1:$M$99</definedName>
    <definedName name="_xlnm.Print_Area" localSheetId="38">'4.6_косв.'!$A$1:$Z$95</definedName>
    <definedName name="_xlnm.Print_Area" localSheetId="39">'4.6_котельные'!$A$1:$M$99</definedName>
    <definedName name="_xlnm.Print_Area" localSheetId="27">'4.6_КТЭЦ свод'!$A$1:$K$99</definedName>
    <definedName name="_xlnm.Print_Area" localSheetId="26">'4.6_КТЭЦ свод с косв.'!$A$1:$M$99</definedName>
    <definedName name="_xlnm.Print_Area" localSheetId="25">'4.6_сбыт (свод)'!$A$1:$M$99</definedName>
    <definedName name="_xlnm.Print_Area" localSheetId="43">'4.6_сбыт_котельн.'!$A$1:$M$99</definedName>
    <definedName name="_xlnm.Print_Area" localSheetId="35">'4.6_сбыт_КТЭЦ'!$A$1:$K$99</definedName>
    <definedName name="_xlnm.Print_Area" localSheetId="34">'4.6_сбыт_КТЭЦ с косв.'!$A$1:$M$99</definedName>
    <definedName name="_xlnm.Print_Area" localSheetId="21">'4.6_свод'!$A$1:$M$99</definedName>
    <definedName name="_xlnm.Print_Area" localSheetId="24">'4.6_транзит (свод)'!$A$1:$M$99</definedName>
    <definedName name="_xlnm.Print_Area" localSheetId="42">'4.6_транзит_котельн.'!$A$1:$M$99</definedName>
    <definedName name="_xlnm.Print_Area" localSheetId="33">'4.6_транзит_КТЭЦ'!$A$1:$K$99</definedName>
    <definedName name="_xlnm.Print_Area" localSheetId="32">'4.6_транзит_КТЭЦ с косв.'!$A$1:$M$99</definedName>
    <definedName name="_xlnm.Print_Area" localSheetId="23">'4.6_транзит+сбыт (свод)'!$A$1:$M$99</definedName>
    <definedName name="_xlnm.Print_Area" localSheetId="41">'4.6_транзит+сбыт_котельн.'!$A$1:$M$99</definedName>
    <definedName name="_xlnm.Print_Area" localSheetId="31">'4.6_транзит+сбыт_КТЭЦ'!$A$1:$K$99</definedName>
    <definedName name="_xlnm.Print_Area" localSheetId="30">'4.6_транзит+сбыт_КТЭЦ с косв.'!$A$1:$M$99</definedName>
    <definedName name="_xlnm.Print_Area" localSheetId="36">'4.7'!$A$1:$J$74</definedName>
    <definedName name="_xlnm.Print_Area" localSheetId="37">'4.8'!$A$1:$N$20</definedName>
    <definedName name="_xlnm.Print_Area" localSheetId="47">'4.8 - котельн.'!$A$1:$AR$20</definedName>
    <definedName name="_xlnm.Print_Area" localSheetId="46">'4.8 - КТЭЦ'!$A$1:$AR$24</definedName>
    <definedName name="_xlnm.Print_Area" localSheetId="49">'4.9_пр-во (свод)'!$A$1:$O$72</definedName>
    <definedName name="_xlnm.Print_Area" localSheetId="59">'4.9_пр-во ККЭ'!$A$1:$O$72</definedName>
    <definedName name="_xlnm.Print_Area" localSheetId="54">'4.9_пр-во КТЭЦ'!$A$1:$O$73</definedName>
    <definedName name="_xlnm.Print_Area" localSheetId="52">'4.9_сбыт (свод)'!$A$1:$O$72</definedName>
    <definedName name="_xlnm.Print_Area" localSheetId="62">'4.9_сбыт ККЭ'!$A$1:$O$73</definedName>
    <definedName name="_xlnm.Print_Area" localSheetId="57">'4.9_сбыт КТЭЦ  '!$A$1:$O$72</definedName>
    <definedName name="_xlnm.Print_Area" localSheetId="48">'4.9_свод '!$A$1:$O$72</definedName>
    <definedName name="_xlnm.Print_Area" localSheetId="58">'4.9_свод ККЭ'!$A$1:$O$72</definedName>
    <definedName name="_xlnm.Print_Area" localSheetId="53">'4.9_свод КТЭЦ'!$A$1:$O$72</definedName>
    <definedName name="_xlnm.Print_Area" localSheetId="51">'4.9_транзит (свод)'!$A$1:$O$72</definedName>
    <definedName name="_xlnm.Print_Area" localSheetId="61">'4.9_транзит ККЭ'!$A$1:$O$72</definedName>
    <definedName name="_xlnm.Print_Area" localSheetId="56">'4.9_транзит КТЭЦ '!$A$1:$O$72</definedName>
    <definedName name="_xlnm.Print_Area" localSheetId="60">'4.9_транзит+сбыт (ККЭ)'!$A$1:$O$72</definedName>
    <definedName name="_xlnm.Print_Area" localSheetId="55">'4.9_транзит+сбыт (КТЭЦ)'!$A$1:$O$72</definedName>
    <definedName name="_xlnm.Print_Area" localSheetId="50">'4.9_транзит+сбыт (свод)'!$A$1:$O$72</definedName>
    <definedName name="_xlnm.Print_Area" localSheetId="96">'5.1_передача котельные'!$A$1:$E$36</definedName>
    <definedName name="_xlnm.Print_Area" localSheetId="93">'5.1_передача КТЭЦ'!$A$1:$E$36</definedName>
    <definedName name="_xlnm.Print_Area" localSheetId="99">'5.1_передача КТЭЦ+котельн'!$A$1:$E$36</definedName>
    <definedName name="_xlnm.Print_Area" localSheetId="95">'5.1_пр-во котельные'!$A$1:$E$36</definedName>
    <definedName name="_xlnm.Print_Area" localSheetId="92">'5.1_пр-во КТЭЦ'!$A$1:$E$36</definedName>
    <definedName name="_xlnm.Print_Area" localSheetId="98">'5.1_пр-во КТЭЦ+котельн'!$A$1:$E$36</definedName>
    <definedName name="_xlnm.Print_Area" localSheetId="94">'5.1_свод_котельные'!$A$1:$E$36</definedName>
    <definedName name="_xlnm.Print_Area" localSheetId="91">'5.1_свод_КТЭЦ'!$A$1:$E$36</definedName>
    <definedName name="_xlnm.Print_Area" localSheetId="97">'5.1_свод_КТЭЦ+котельн'!$A$1:$E$36</definedName>
    <definedName name="_xlnm.Print_Area" localSheetId="103">'5.2_передача котельные'!$A$1:$I$16</definedName>
    <definedName name="_xlnm.Print_Area" localSheetId="101">'5.2_передача КТЭЦ'!$A$1:$I$16</definedName>
    <definedName name="_xlnm.Print_Area" localSheetId="106">'5.2_передача КТЭЦ+котельн'!$A$1:$I$16</definedName>
    <definedName name="_xlnm.Print_Area" localSheetId="102">'5.2_пр-во котельные'!$A$1:$I$16</definedName>
    <definedName name="_xlnm.Print_Area" localSheetId="100">'5.2_пр-во КТЭЦ'!$A$1:$I$16</definedName>
    <definedName name="_xlnm.Print_Area" localSheetId="105">'5.2_пр-во КТЭЦ+котельн'!$A$1:$I$16</definedName>
    <definedName name="_xlnm.Print_Area" localSheetId="104">'5.2_свод КТЭЦ+котельн'!$A$1:$I$16</definedName>
    <definedName name="_xlnm.Print_Area" localSheetId="110">'5.3_котельные'!$A$1:$H$24</definedName>
    <definedName name="_xlnm.Print_Area" localSheetId="107">'5.3_КТЭЦ'!$A$1:$H$24</definedName>
    <definedName name="_xlnm.Print_Area" localSheetId="113">'5.3_КТЭЦ+котельн'!$A$1:$H$24</definedName>
    <definedName name="_xlnm.Print_Area" localSheetId="115">'5.3_КТЭЦ+котельн_пер'!$A$1:$H$24</definedName>
    <definedName name="_xlnm.Print_Area" localSheetId="114">'5.3_КТЭЦ+котельн_пр'!$A$1:$H$24</definedName>
    <definedName name="_xlnm.Print_Area" localSheetId="112">'5.3_передача котельные'!$A$1:$H$24</definedName>
    <definedName name="_xlnm.Print_Area" localSheetId="109">'5.3_передача КТЭЦ'!$A$1:$H$24</definedName>
    <definedName name="_xlnm.Print_Area" localSheetId="111">'5.3_пр-во котельные'!$A$1:$H$24</definedName>
    <definedName name="_xlnm.Print_Area" localSheetId="108">'5.3_пр-во КТЭЦ'!$A$1:$H$24</definedName>
    <definedName name="_xlnm.Print_Area" localSheetId="122">'5.4_котельные'!$A$1:$H$15</definedName>
    <definedName name="_xlnm.Print_Area" localSheetId="116">'5.4_КТЭЦ'!$A$1:$H$15</definedName>
    <definedName name="_xlnm.Print_Area" localSheetId="125">'5.4_КТЭЦ+котельн'!$A$1:$H$15</definedName>
    <definedName name="_xlnm.Print_Area" localSheetId="127">'5.4_КТЭЦ+котельн_пер'!$A$1:$H$15</definedName>
    <definedName name="_xlnm.Print_Area" localSheetId="126">'5.4_КТЭЦ+котельн_пр'!$A$1:$H$15</definedName>
    <definedName name="_xlnm.Print_Area" localSheetId="124">'5.4_передача котельные'!$A$1:$H$15</definedName>
    <definedName name="_xlnm.Print_Area" localSheetId="118">'5.4_передача КТЭЦ'!$A$1:$H$15</definedName>
    <definedName name="_xlnm.Print_Area" localSheetId="123">'5.4_пр-во котельные'!$A$1:$H$15</definedName>
    <definedName name="_xlnm.Print_Area" localSheetId="117">'5.4_пр-во КТЭЦ'!$A$1:$H$15</definedName>
    <definedName name="_xlnm.Print_Area" localSheetId="119">'5.5'!$A$1:$H$17</definedName>
    <definedName name="_xlnm.Print_Area" localSheetId="120">'5.6'!$A$1:$H$19</definedName>
    <definedName name="_xlnm.Print_Area" localSheetId="121">'5.7'!$A$1:$H$20</definedName>
    <definedName name="_xlnm.Print_Area" localSheetId="129">'5.9_котельные'!$A$1:$H$20</definedName>
    <definedName name="_xlnm.Print_Area" localSheetId="128">'5.9_КТЭЦ'!$A$1:$H$20</definedName>
    <definedName name="_xlnm.Print_Area" localSheetId="130">'5.9_КТЭЦ+котельн'!$A$1:$H$20</definedName>
    <definedName name="_xlnm.Print_Area" localSheetId="133">'6.1_генерация (котельн) '!$A$1:$K$197</definedName>
    <definedName name="_xlnm.Print_Area" localSheetId="132">'6.1_генерация (КТЭЦ)'!$A$1:$K$197</definedName>
    <definedName name="_xlnm.Print_Area" localSheetId="131">'6.1_генерация (свод)'!$A$1:$K$196</definedName>
    <definedName name="_xlnm.Print_Area" localSheetId="136">'6.2_передача (котельн)'!$A$1:$Q$29</definedName>
    <definedName name="_xlnm.Print_Area" localSheetId="135">'6.2_передача (КТЭЦ)'!$A$1:$Q$29</definedName>
    <definedName name="_xlnm.Print_Area" localSheetId="134">'6.2_передача (свод)'!$A$1:$Q$29</definedName>
    <definedName name="_xlnm.Print_Area" localSheetId="139">'6.3_потери (котельн)'!$A$1:$AK$28</definedName>
    <definedName name="_xlnm.Print_Area" localSheetId="138">'6.3_потери (КТЭЦ)'!$A$1:$AK$28</definedName>
    <definedName name="_xlnm.Print_Area" localSheetId="137">'6.3_потери (свод)'!$A$1:$AK$28</definedName>
    <definedName name="_xlnm.Print_Area" localSheetId="142">'6.4_потребителям (котельн)'!$A$1:$W$56</definedName>
    <definedName name="_xlnm.Print_Area" localSheetId="141">'6.4_потребителям (КТЭЦ)'!$A$1:$W$56</definedName>
    <definedName name="_xlnm.Print_Area" localSheetId="140">'6.4_потребителям (свод)'!$A$1:$W$56</definedName>
    <definedName name="_xlnm.Print_Area" localSheetId="145">'6.5_передача (котельн)'!$A$1:$AD$32</definedName>
    <definedName name="_xlnm.Print_Area" localSheetId="144">'6.5_передача (КТЭЦ)'!$A$1:$AD$32</definedName>
    <definedName name="_xlnm.Print_Area" localSheetId="143">'6.5_передача (свод)'!$A$1:$AD$32</definedName>
    <definedName name="_xlnm.Print_Area" localSheetId="153">'6.6_теплонос.котельн_2 контур'!$A$1:$Q$27</definedName>
    <definedName name="_xlnm.Print_Area" localSheetId="150">'6.6_теплонос.ктэц_1 контур'!$A$1:$Q$27</definedName>
    <definedName name="_xlnm.Print_Area" localSheetId="152">'6.6_теплонос.ктэц_2 контур'!$A$1:$Q$27</definedName>
    <definedName name="_xlnm.Print_Area" localSheetId="148">'6.6_теплонос.тэц-1_1 контур'!$A$1:$Q$27</definedName>
    <definedName name="_xlnm.Print_Area" localSheetId="149">'6.6_теплонос.тэц-2_1 контур'!$A$1:$Q$27</definedName>
    <definedName name="_xlnm.Print_Area" localSheetId="151">'6.7_теплонос._1 контур'!$A$1:$Q$15</definedName>
    <definedName name="_xlnm.Print_Area" localSheetId="154">'6.7_теплонос._2 контур'!$A$1:$Q$15</definedName>
    <definedName name="_xlnm.Print_Area" localSheetId="155">'6.8_ГВСоткр_1 контур'!$A$1:$Q$18</definedName>
    <definedName name="_xlnm.Print_Area" localSheetId="158">'6.8_ГВСоткр_котельн_2 контур'!$A$1:$Q$18</definedName>
    <definedName name="_xlnm.Print_Area" localSheetId="157">'6.8_ГВСоткр_КТЭЦ_2 контур'!$A$1:$Q$18</definedName>
    <definedName name="_xlnm.Print_Area" localSheetId="156">'6.8_ГВСоткр_свод_2 контур'!$A$1:$Q$18</definedName>
    <definedName name="_xlnm.Print_Area" localSheetId="146">'Вспом. расчеты_теплонос. (2016)'!$A$1:$J$67</definedName>
    <definedName name="_xlnm.Print_Area" localSheetId="147">'Вспом. расчеты_теплонос.(2017)'!$A$1:$J$67</definedName>
    <definedName name="_xlnm.Print_Area" localSheetId="89">'Исходные данные_котельн'!$A$1:$H$41</definedName>
    <definedName name="_xlnm.Print_Area" localSheetId="88">'Исходные данные_КТЭЦ'!$A$1:$H$41</definedName>
    <definedName name="_xlnm.Print_Area" localSheetId="90">'Исходные данные_КТЭЦ+котельн'!$A$1:$H$41</definedName>
    <definedName name="_xlnm.Print_Area" localSheetId="2">'Показатели ТСО 3.1. котельн.'!$A$1:$O$148</definedName>
    <definedName name="_xlnm.Print_Area" localSheetId="1">'Показатели ТСО 3.1-КТЭЦ'!$A$1:$O$43</definedName>
    <definedName name="_xlnm.Print_Area" localSheetId="159">'усл. ед. тепло'!$A$1:$H$19</definedName>
    <definedName name="первый" localSheetId="19">#REF!</definedName>
    <definedName name="первый" localSheetId="18">#REF!</definedName>
    <definedName name="первый" localSheetId="17">#REF!</definedName>
    <definedName name="первый" localSheetId="45">#REF!</definedName>
    <definedName name="первый" localSheetId="44">#REF!</definedName>
    <definedName name="первый" localSheetId="3">#REF!</definedName>
    <definedName name="первый" localSheetId="78">#REF!</definedName>
    <definedName name="первый" localSheetId="63">#REF!</definedName>
    <definedName name="первый" localSheetId="73">#REF!</definedName>
    <definedName name="первый" localSheetId="68">#REF!</definedName>
    <definedName name="первый" localSheetId="65">#REF!</definedName>
    <definedName name="первый" localSheetId="75">#REF!</definedName>
    <definedName name="первый" localSheetId="70">#REF!</definedName>
    <definedName name="первый" localSheetId="79">#REF!</definedName>
    <definedName name="первый" localSheetId="82">#REF!</definedName>
    <definedName name="первый" localSheetId="12">#REF!</definedName>
    <definedName name="первый" localSheetId="11">#REF!</definedName>
    <definedName name="первый" localSheetId="20">#REF!</definedName>
    <definedName name="первый" localSheetId="28">#REF!</definedName>
    <definedName name="первый" localSheetId="38">#REF!</definedName>
    <definedName name="первый" localSheetId="26">#REF!</definedName>
    <definedName name="первый" localSheetId="34">#REF!</definedName>
    <definedName name="первый" localSheetId="32">#REF!</definedName>
    <definedName name="первый" localSheetId="23">#REF!</definedName>
    <definedName name="первый" localSheetId="41">#REF!</definedName>
    <definedName name="первый" localSheetId="31">#REF!</definedName>
    <definedName name="первый" localSheetId="30">#REF!</definedName>
    <definedName name="первый" localSheetId="47">#REF!</definedName>
    <definedName name="первый" localSheetId="46">#REF!</definedName>
    <definedName name="первый" localSheetId="52">#REF!</definedName>
    <definedName name="первый" localSheetId="62">#REF!</definedName>
    <definedName name="первый" localSheetId="57">#REF!</definedName>
    <definedName name="первый" localSheetId="48">#REF!</definedName>
    <definedName name="первый" localSheetId="58">#REF!</definedName>
    <definedName name="первый" localSheetId="53">#REF!</definedName>
    <definedName name="первый" localSheetId="51">#REF!</definedName>
    <definedName name="первый" localSheetId="61">#REF!</definedName>
    <definedName name="первый" localSheetId="56">#REF!</definedName>
    <definedName name="первый" localSheetId="60">#REF!</definedName>
    <definedName name="первый" localSheetId="55">#REF!</definedName>
    <definedName name="первый" localSheetId="50">#REF!</definedName>
    <definedName name="первый" localSheetId="96">#REF!</definedName>
    <definedName name="первый" localSheetId="93">#REF!</definedName>
    <definedName name="первый" localSheetId="99">#REF!</definedName>
    <definedName name="первый" localSheetId="95">#REF!</definedName>
    <definedName name="первый" localSheetId="92">#REF!</definedName>
    <definedName name="первый" localSheetId="98">#REF!</definedName>
    <definedName name="первый" localSheetId="94">#REF!</definedName>
    <definedName name="первый" localSheetId="91">#REF!</definedName>
    <definedName name="первый" localSheetId="97">#REF!</definedName>
    <definedName name="первый" localSheetId="103">#REF!</definedName>
    <definedName name="первый" localSheetId="101">#REF!</definedName>
    <definedName name="первый" localSheetId="106">#REF!</definedName>
    <definedName name="первый" localSheetId="102">#REF!</definedName>
    <definedName name="первый" localSheetId="100">#REF!</definedName>
    <definedName name="первый" localSheetId="105">#REF!</definedName>
    <definedName name="первый" localSheetId="104">#REF!</definedName>
    <definedName name="первый" localSheetId="110">#REF!</definedName>
    <definedName name="первый" localSheetId="107">#REF!</definedName>
    <definedName name="первый" localSheetId="113">#REF!</definedName>
    <definedName name="первый" localSheetId="115">#REF!</definedName>
    <definedName name="первый" localSheetId="114">#REF!</definedName>
    <definedName name="первый" localSheetId="112">#REF!</definedName>
    <definedName name="первый" localSheetId="109">#REF!</definedName>
    <definedName name="первый" localSheetId="111">#REF!</definedName>
    <definedName name="первый" localSheetId="108">#REF!</definedName>
    <definedName name="первый" localSheetId="122">#REF!</definedName>
    <definedName name="первый" localSheetId="116">#REF!</definedName>
    <definedName name="первый" localSheetId="125">#REF!</definedName>
    <definedName name="первый" localSheetId="127">#REF!</definedName>
    <definedName name="первый" localSheetId="126">#REF!</definedName>
    <definedName name="первый" localSheetId="124">#REF!</definedName>
    <definedName name="первый" localSheetId="118">#REF!</definedName>
    <definedName name="первый" localSheetId="123">#REF!</definedName>
    <definedName name="первый" localSheetId="117">#REF!</definedName>
    <definedName name="первый" localSheetId="119">#REF!</definedName>
    <definedName name="первый" localSheetId="120">#REF!</definedName>
    <definedName name="первый" localSheetId="121">#REF!</definedName>
    <definedName name="первый" localSheetId="129">#REF!</definedName>
    <definedName name="первый" localSheetId="128">#REF!</definedName>
    <definedName name="первый" localSheetId="130">#REF!</definedName>
    <definedName name="первый" localSheetId="133">#REF!</definedName>
    <definedName name="первый" localSheetId="132">#REF!</definedName>
    <definedName name="первый" localSheetId="136">#REF!</definedName>
    <definedName name="первый" localSheetId="134">#REF!</definedName>
    <definedName name="первый" localSheetId="139">#REF!</definedName>
    <definedName name="первый" localSheetId="137">#REF!</definedName>
    <definedName name="первый" localSheetId="142">#REF!</definedName>
    <definedName name="первый" localSheetId="141">#REF!</definedName>
    <definedName name="первый" localSheetId="140">#REF!</definedName>
    <definedName name="первый" localSheetId="145">#REF!</definedName>
    <definedName name="первый" localSheetId="144">#REF!</definedName>
    <definedName name="первый" localSheetId="143">#REF!</definedName>
    <definedName name="первый" localSheetId="150">#REF!</definedName>
    <definedName name="первый" localSheetId="158">#REF!</definedName>
    <definedName name="первый" localSheetId="157">#REF!</definedName>
    <definedName name="первый" localSheetId="156">#REF!</definedName>
    <definedName name="первый" localSheetId="146">#REF!</definedName>
    <definedName name="первый" localSheetId="89">#REF!</definedName>
    <definedName name="первый" localSheetId="90">#REF!</definedName>
    <definedName name="первый" localSheetId="2">#REF!</definedName>
    <definedName name="первый">#REF!</definedName>
    <definedName name="ПериодРегулирования" localSheetId="45">[7]Заголовок!$B$14</definedName>
    <definedName name="ПериодРегулирования" localSheetId="44">[7]Заголовок!$B$14</definedName>
    <definedName name="ПериодРегулирования">[8]Заголовок!$B$14</definedName>
    <definedName name="план" localSheetId="19">'[3]5.2-опер.рас ПП'!план</definedName>
    <definedName name="план" localSheetId="17">'[3]5.2-опер.рас ПП'!план</definedName>
    <definedName name="план" localSheetId="45">'4. 7_котельн.'!план</definedName>
    <definedName name="план" localSheetId="44">'4. 7_КТЭЦ'!план</definedName>
    <definedName name="план" localSheetId="3">'[3]5.2-опер.рас ПП'!план</definedName>
    <definedName name="план" localSheetId="78">'[3]5.2-опер.рас ПП'!план</definedName>
    <definedName name="план" localSheetId="65">'[3]5.2-опер.рас ПП'!план</definedName>
    <definedName name="план" localSheetId="75">'[3]5.2-опер.рас ПП'!план</definedName>
    <definedName name="план" localSheetId="70">'[3]5.2-опер.рас ПП'!план</definedName>
    <definedName name="план" localSheetId="79">'[3]5.2-опер.рас ПП'!план</definedName>
    <definedName name="план" localSheetId="82">'[3]5.2-опер.рас ПП'!план</definedName>
    <definedName name="план" localSheetId="12">'[3]5.2-опер.рас ПП'!план</definedName>
    <definedName name="план" localSheetId="11">'[3]5.2-опер.рас ПП'!план</definedName>
    <definedName name="план" localSheetId="20">'[4]5.2-опер.рас ПП'!план</definedName>
    <definedName name="план" localSheetId="28">'[3]5.2-опер.рас ПП'!план</definedName>
    <definedName name="план" localSheetId="38">'[3]5.2-опер.рас ПП'!план</definedName>
    <definedName name="план" localSheetId="26">'[3]5.2-опер.рас ПП'!план</definedName>
    <definedName name="план" localSheetId="34">'[3]5.2-опер.рас ПП'!план</definedName>
    <definedName name="план" localSheetId="32">'[3]5.2-опер.рас ПП'!план</definedName>
    <definedName name="план" localSheetId="23">'[3]5.2-опер.рас ПП'!план</definedName>
    <definedName name="план" localSheetId="41">'[3]5.2-опер.рас ПП'!план</definedName>
    <definedName name="план" localSheetId="31">'[3]5.2-опер.рас ПП'!план</definedName>
    <definedName name="план" localSheetId="30">'[3]5.2-опер.рас ПП'!план</definedName>
    <definedName name="план" localSheetId="47">'[4]5.2-опер.рас ПП'!план</definedName>
    <definedName name="план" localSheetId="46">'[4]5.2-опер.рас ПП'!план</definedName>
    <definedName name="план" localSheetId="52">'[3]5.2-опер.рас ПП'!план</definedName>
    <definedName name="план" localSheetId="62">'[3]5.2-опер.рас ПП'!план</definedName>
    <definedName name="план" localSheetId="57">'[3]5.2-опер.рас ПП'!план</definedName>
    <definedName name="план" localSheetId="51">'[3]5.2-опер.рас ПП'!план</definedName>
    <definedName name="план" localSheetId="61">'[3]5.2-опер.рас ПП'!план</definedName>
    <definedName name="план" localSheetId="56">'[3]5.2-опер.рас ПП'!план</definedName>
    <definedName name="план" localSheetId="60">'[3]5.2-опер.рас ПП'!план</definedName>
    <definedName name="план" localSheetId="55">'[3]5.2-опер.рас ПП'!план</definedName>
    <definedName name="план" localSheetId="50">'[3]5.2-опер.рас ПП'!план</definedName>
    <definedName name="план" localSheetId="96">'[3]5.2-опер.рас ПП'!план</definedName>
    <definedName name="план" localSheetId="93">'[3]5.2-опер.рас ПП'!план</definedName>
    <definedName name="план" localSheetId="99">'[3]5.2-опер.рас ПП'!план</definedName>
    <definedName name="план" localSheetId="95">'[3]5.2-опер.рас ПП'!план</definedName>
    <definedName name="план" localSheetId="92">'[3]5.2-опер.рас ПП'!план</definedName>
    <definedName name="план" localSheetId="98">'[3]5.2-опер.рас ПП'!план</definedName>
    <definedName name="план" localSheetId="94">'[3]5.2-опер.рас ПП'!план</definedName>
    <definedName name="план" localSheetId="91">'[3]5.2-опер.рас ПП'!план</definedName>
    <definedName name="план" localSheetId="97">'[3]5.2-опер.рас ПП'!план</definedName>
    <definedName name="план" localSheetId="103">'[3]5.2-опер.рас ПП'!план</definedName>
    <definedName name="план" localSheetId="101">'[3]5.2-опер.рас ПП'!план</definedName>
    <definedName name="план" localSheetId="106">'[3]5.2-опер.рас ПП'!план</definedName>
    <definedName name="план" localSheetId="102">'[3]5.2-опер.рас ПП'!план</definedName>
    <definedName name="план" localSheetId="100">'[3]5.2-опер.рас ПП'!план</definedName>
    <definedName name="план" localSheetId="105">'[3]5.2-опер.рас ПП'!план</definedName>
    <definedName name="план" localSheetId="104">'[3]5.2-опер.рас ПП'!план</definedName>
    <definedName name="план" localSheetId="110">'[3]5.2-опер.рас ПП'!план</definedName>
    <definedName name="план" localSheetId="107">'[3]5.2-опер.рас ПП'!план</definedName>
    <definedName name="план" localSheetId="113">'[3]5.2-опер.рас ПП'!план</definedName>
    <definedName name="план" localSheetId="115">'[3]5.2-опер.рас ПП'!план</definedName>
    <definedName name="план" localSheetId="114">'[3]5.2-опер.рас ПП'!план</definedName>
    <definedName name="план" localSheetId="112">'[3]5.2-опер.рас ПП'!план</definedName>
    <definedName name="план" localSheetId="109">'[3]5.2-опер.рас ПП'!план</definedName>
    <definedName name="план" localSheetId="111">'[3]5.2-опер.рас ПП'!план</definedName>
    <definedName name="план" localSheetId="108">'[3]5.2-опер.рас ПП'!план</definedName>
    <definedName name="план" localSheetId="122">'[3]5.2-опер.рас ПП'!план</definedName>
    <definedName name="план" localSheetId="116">'[3]5.2-опер.рас ПП'!план</definedName>
    <definedName name="план" localSheetId="125">'[3]5.2-опер.рас ПП'!план</definedName>
    <definedName name="план" localSheetId="127">'[3]5.2-опер.рас ПП'!план</definedName>
    <definedName name="план" localSheetId="126">'[3]5.2-опер.рас ПП'!план</definedName>
    <definedName name="план" localSheetId="124">'[3]5.2-опер.рас ПП'!план</definedName>
    <definedName name="план" localSheetId="118">'[3]5.2-опер.рас ПП'!план</definedName>
    <definedName name="план" localSheetId="123">'[3]5.2-опер.рас ПП'!план</definedName>
    <definedName name="план" localSheetId="117">'[3]5.2-опер.рас ПП'!план</definedName>
    <definedName name="план" localSheetId="119">'[3]5.2-опер.рас ПП'!план</definedName>
    <definedName name="план" localSheetId="120">'[3]5.2-опер.рас ПП'!план</definedName>
    <definedName name="план" localSheetId="121">'[3]5.2-опер.рас ПП'!план</definedName>
    <definedName name="план" localSheetId="129">'[3]5.2-опер.рас ПП'!план</definedName>
    <definedName name="план" localSheetId="128">'[3]5.2-опер.рас ПП'!план</definedName>
    <definedName name="план" localSheetId="130">'[3]5.2-опер.рас ПП'!план</definedName>
    <definedName name="план" localSheetId="133">'[3]5.2-опер.рас ПП'!план</definedName>
    <definedName name="план" localSheetId="132">'[3]5.2-опер.рас ПП'!план</definedName>
    <definedName name="план" localSheetId="136">'[3]5.2-опер.рас ПП'!план</definedName>
    <definedName name="план" localSheetId="134">'[3]5.2-опер.рас ПП'!план</definedName>
    <definedName name="план" localSheetId="139">'[3]5.2-опер.рас ПП'!план</definedName>
    <definedName name="план" localSheetId="137">'[3]5.2-опер.рас ПП'!план</definedName>
    <definedName name="план" localSheetId="142">'[3]5.2-опер.рас ПП'!план</definedName>
    <definedName name="план" localSheetId="141">'[3]5.2-опер.рас ПП'!план</definedName>
    <definedName name="план" localSheetId="140">'[3]5.2-опер.рас ПП'!план</definedName>
    <definedName name="план" localSheetId="145">'[3]5.2-опер.рас ПП'!план</definedName>
    <definedName name="план" localSheetId="143">'[3]5.2-опер.рас ПП'!план</definedName>
    <definedName name="план" localSheetId="150">'[3]5.2-опер.рас ПП'!план</definedName>
    <definedName name="план" localSheetId="158">'[3]5.2-опер.рас ПП'!план</definedName>
    <definedName name="план" localSheetId="157">'[3]5.2-опер.рас ПП'!план</definedName>
    <definedName name="план" localSheetId="156">'[3]5.2-опер.рас ПП'!план</definedName>
    <definedName name="план" localSheetId="146">'[3]5.2-опер.рас ПП'!план</definedName>
    <definedName name="план" localSheetId="89">'[3]5.2-опер.рас ПП'!план</definedName>
    <definedName name="план" localSheetId="90">'[3]5.2-опер.рас ПП'!план</definedName>
    <definedName name="план" localSheetId="2">'[4]5.2-опер.рас ПП'!план</definedName>
    <definedName name="план" localSheetId="1">'[4]5.2-опер.рас ПП'!план</definedName>
    <definedName name="план">'[3]5.2-опер.рас ПП'!план</definedName>
    <definedName name="ПоследнийГод" localSheetId="45">[7]Заголовок!$B$16</definedName>
    <definedName name="ПоследнийГод" localSheetId="44">[7]Заголовок!$B$16</definedName>
    <definedName name="ПоследнийГод">[8]Заголовок!$B$16</definedName>
    <definedName name="пром." localSheetId="19">'[3]5.2-опер.рас ПП'!пром.</definedName>
    <definedName name="пром." localSheetId="17">'[3]5.2-опер.рас ПП'!пром.</definedName>
    <definedName name="пром." localSheetId="45">'4. 7_котельн.'!пром.</definedName>
    <definedName name="пром." localSheetId="44">'4. 7_КТЭЦ'!пром.</definedName>
    <definedName name="пром." localSheetId="3">'[3]5.2-опер.рас ПП'!пром.</definedName>
    <definedName name="пром." localSheetId="78">'[3]5.2-опер.рас ПП'!пром.</definedName>
    <definedName name="пром." localSheetId="65">'[3]5.2-опер.рас ПП'!пром.</definedName>
    <definedName name="пром." localSheetId="75">'[3]5.2-опер.рас ПП'!пром.</definedName>
    <definedName name="пром." localSheetId="70">'[3]5.2-опер.рас ПП'!пром.</definedName>
    <definedName name="пром." localSheetId="79">'[3]5.2-опер.рас ПП'!пром.</definedName>
    <definedName name="пром." localSheetId="82">'[3]5.2-опер.рас ПП'!пром.</definedName>
    <definedName name="пром." localSheetId="12">'[3]5.2-опер.рас ПП'!пром.</definedName>
    <definedName name="пром." localSheetId="11">'[3]5.2-опер.рас ПП'!пром.</definedName>
    <definedName name="пром." localSheetId="20">'[4]5.2-опер.рас ПП'!пром.</definedName>
    <definedName name="пром." localSheetId="28">'[3]5.2-опер.рас ПП'!пром.</definedName>
    <definedName name="пром." localSheetId="38">'[3]5.2-опер.рас ПП'!пром.</definedName>
    <definedName name="пром." localSheetId="26">'[3]5.2-опер.рас ПП'!пром.</definedName>
    <definedName name="пром." localSheetId="34">'[3]5.2-опер.рас ПП'!пром.</definedName>
    <definedName name="пром." localSheetId="32">'[3]5.2-опер.рас ПП'!пром.</definedName>
    <definedName name="пром." localSheetId="23">'[3]5.2-опер.рас ПП'!пром.</definedName>
    <definedName name="пром." localSheetId="41">'[3]5.2-опер.рас ПП'!пром.</definedName>
    <definedName name="пром." localSheetId="31">'[3]5.2-опер.рас ПП'!пром.</definedName>
    <definedName name="пром." localSheetId="30">'[3]5.2-опер.рас ПП'!пром.</definedName>
    <definedName name="пром." localSheetId="47">'[4]5.2-опер.рас ПП'!пром.</definedName>
    <definedName name="пром." localSheetId="46">'[4]5.2-опер.рас ПП'!пром.</definedName>
    <definedName name="пром." localSheetId="52">'[3]5.2-опер.рас ПП'!пром.</definedName>
    <definedName name="пром." localSheetId="62">'[3]5.2-опер.рас ПП'!пром.</definedName>
    <definedName name="пром." localSheetId="57">'[3]5.2-опер.рас ПП'!пром.</definedName>
    <definedName name="пром." localSheetId="51">'[3]5.2-опер.рас ПП'!пром.</definedName>
    <definedName name="пром." localSheetId="61">'[3]5.2-опер.рас ПП'!пром.</definedName>
    <definedName name="пром." localSheetId="56">'[3]5.2-опер.рас ПП'!пром.</definedName>
    <definedName name="пром." localSheetId="60">'[3]5.2-опер.рас ПП'!пром.</definedName>
    <definedName name="пром." localSheetId="55">'[3]5.2-опер.рас ПП'!пром.</definedName>
    <definedName name="пром." localSheetId="50">'[3]5.2-опер.рас ПП'!пром.</definedName>
    <definedName name="пром." localSheetId="96">'[3]5.2-опер.рас ПП'!пром.</definedName>
    <definedName name="пром." localSheetId="93">'[3]5.2-опер.рас ПП'!пром.</definedName>
    <definedName name="пром." localSheetId="99">'[3]5.2-опер.рас ПП'!пром.</definedName>
    <definedName name="пром." localSheetId="95">'[3]5.2-опер.рас ПП'!пром.</definedName>
    <definedName name="пром." localSheetId="92">'[3]5.2-опер.рас ПП'!пром.</definedName>
    <definedName name="пром." localSheetId="98">'[3]5.2-опер.рас ПП'!пром.</definedName>
    <definedName name="пром." localSheetId="94">'[3]5.2-опер.рас ПП'!пром.</definedName>
    <definedName name="пром." localSheetId="91">'[3]5.2-опер.рас ПП'!пром.</definedName>
    <definedName name="пром." localSheetId="97">'[3]5.2-опер.рас ПП'!пром.</definedName>
    <definedName name="пром." localSheetId="103">'[3]5.2-опер.рас ПП'!пром.</definedName>
    <definedName name="пром." localSheetId="101">'[3]5.2-опер.рас ПП'!пром.</definedName>
    <definedName name="пром." localSheetId="106">'[3]5.2-опер.рас ПП'!пром.</definedName>
    <definedName name="пром." localSheetId="102">'[3]5.2-опер.рас ПП'!пром.</definedName>
    <definedName name="пром." localSheetId="100">'[3]5.2-опер.рас ПП'!пром.</definedName>
    <definedName name="пром." localSheetId="105">'[3]5.2-опер.рас ПП'!пром.</definedName>
    <definedName name="пром." localSheetId="104">'[3]5.2-опер.рас ПП'!пром.</definedName>
    <definedName name="пром." localSheetId="110">'[3]5.2-опер.рас ПП'!пром.</definedName>
    <definedName name="пром." localSheetId="107">'[3]5.2-опер.рас ПП'!пром.</definedName>
    <definedName name="пром." localSheetId="113">'[3]5.2-опер.рас ПП'!пром.</definedName>
    <definedName name="пром." localSheetId="115">'[3]5.2-опер.рас ПП'!пром.</definedName>
    <definedName name="пром." localSheetId="114">'[3]5.2-опер.рас ПП'!пром.</definedName>
    <definedName name="пром." localSheetId="112">'[3]5.2-опер.рас ПП'!пром.</definedName>
    <definedName name="пром." localSheetId="109">'[3]5.2-опер.рас ПП'!пром.</definedName>
    <definedName name="пром." localSheetId="111">'[3]5.2-опер.рас ПП'!пром.</definedName>
    <definedName name="пром." localSheetId="108">'[3]5.2-опер.рас ПП'!пром.</definedName>
    <definedName name="пром." localSheetId="122">'[3]5.2-опер.рас ПП'!пром.</definedName>
    <definedName name="пром." localSheetId="116">'[3]5.2-опер.рас ПП'!пром.</definedName>
    <definedName name="пром." localSheetId="125">'[3]5.2-опер.рас ПП'!пром.</definedName>
    <definedName name="пром." localSheetId="127">'[3]5.2-опер.рас ПП'!пром.</definedName>
    <definedName name="пром." localSheetId="126">'[3]5.2-опер.рас ПП'!пром.</definedName>
    <definedName name="пром." localSheetId="124">'[3]5.2-опер.рас ПП'!пром.</definedName>
    <definedName name="пром." localSheetId="118">'[3]5.2-опер.рас ПП'!пром.</definedName>
    <definedName name="пром." localSheetId="123">'[3]5.2-опер.рас ПП'!пром.</definedName>
    <definedName name="пром." localSheetId="117">'[3]5.2-опер.рас ПП'!пром.</definedName>
    <definedName name="пром." localSheetId="119">'[3]5.2-опер.рас ПП'!пром.</definedName>
    <definedName name="пром." localSheetId="120">'[3]5.2-опер.рас ПП'!пром.</definedName>
    <definedName name="пром." localSheetId="121">'[3]5.2-опер.рас ПП'!пром.</definedName>
    <definedName name="пром." localSheetId="129">'[3]5.2-опер.рас ПП'!пром.</definedName>
    <definedName name="пром." localSheetId="128">'[3]5.2-опер.рас ПП'!пром.</definedName>
    <definedName name="пром." localSheetId="130">'[3]5.2-опер.рас ПП'!пром.</definedName>
    <definedName name="пром." localSheetId="133">'[3]5.2-опер.рас ПП'!пром.</definedName>
    <definedName name="пром." localSheetId="132">'[3]5.2-опер.рас ПП'!пром.</definedName>
    <definedName name="пром." localSheetId="136">'[3]5.2-опер.рас ПП'!пром.</definedName>
    <definedName name="пром." localSheetId="134">'[3]5.2-опер.рас ПП'!пром.</definedName>
    <definedName name="пром." localSheetId="139">'[3]5.2-опер.рас ПП'!пром.</definedName>
    <definedName name="пром." localSheetId="137">'[3]5.2-опер.рас ПП'!пром.</definedName>
    <definedName name="пром." localSheetId="142">'[3]5.2-опер.рас ПП'!пром.</definedName>
    <definedName name="пром." localSheetId="141">'[3]5.2-опер.рас ПП'!пром.</definedName>
    <definedName name="пром." localSheetId="140">'[3]5.2-опер.рас ПП'!пром.</definedName>
    <definedName name="пром." localSheetId="145">'[3]5.2-опер.рас ПП'!пром.</definedName>
    <definedName name="пром." localSheetId="143">'[3]5.2-опер.рас ПП'!пром.</definedName>
    <definedName name="пром." localSheetId="150">'[3]5.2-опер.рас ПП'!пром.</definedName>
    <definedName name="пром." localSheetId="158">'[3]5.2-опер.рас ПП'!пром.</definedName>
    <definedName name="пром." localSheetId="157">'[3]5.2-опер.рас ПП'!пром.</definedName>
    <definedName name="пром." localSheetId="156">'[3]5.2-опер.рас ПП'!пром.</definedName>
    <definedName name="пром." localSheetId="146">'[3]5.2-опер.рас ПП'!пром.</definedName>
    <definedName name="пром." localSheetId="89">'[3]5.2-опер.рас ПП'!пром.</definedName>
    <definedName name="пром." localSheetId="90">'[3]5.2-опер.рас ПП'!пром.</definedName>
    <definedName name="пром." localSheetId="2">'[4]5.2-опер.рас ПП'!пром.</definedName>
    <definedName name="пром." localSheetId="1">'[4]5.2-опер.рас ПП'!пром.</definedName>
    <definedName name="пром.">'[3]5.2-опер.рас ПП'!пром.</definedName>
    <definedName name="проч" localSheetId="19">'[3]5.2-опер.рас ПП'!проч</definedName>
    <definedName name="проч" localSheetId="17">'[3]5.2-опер.рас ПП'!проч</definedName>
    <definedName name="проч" localSheetId="45">'4. 7_котельн.'!проч</definedName>
    <definedName name="проч" localSheetId="44">'4. 7_КТЭЦ'!проч</definedName>
    <definedName name="проч" localSheetId="3">'[3]5.2-опер.рас ПП'!проч</definedName>
    <definedName name="проч" localSheetId="78">'[3]5.2-опер.рас ПП'!проч</definedName>
    <definedName name="проч" localSheetId="65">'[3]5.2-опер.рас ПП'!проч</definedName>
    <definedName name="проч" localSheetId="75">'[3]5.2-опер.рас ПП'!проч</definedName>
    <definedName name="проч" localSheetId="70">'[3]5.2-опер.рас ПП'!проч</definedName>
    <definedName name="проч" localSheetId="79">'[3]5.2-опер.рас ПП'!проч</definedName>
    <definedName name="проч" localSheetId="82">'[3]5.2-опер.рас ПП'!проч</definedName>
    <definedName name="проч" localSheetId="12">'[3]5.2-опер.рас ПП'!проч</definedName>
    <definedName name="проч" localSheetId="11">'[3]5.2-опер.рас ПП'!проч</definedName>
    <definedName name="проч" localSheetId="20">'[4]5.2-опер.рас ПП'!проч</definedName>
    <definedName name="проч" localSheetId="28">'[3]5.2-опер.рас ПП'!проч</definedName>
    <definedName name="проч" localSheetId="38">'[3]5.2-опер.рас ПП'!проч</definedName>
    <definedName name="проч" localSheetId="26">'[3]5.2-опер.рас ПП'!проч</definedName>
    <definedName name="проч" localSheetId="34">'[3]5.2-опер.рас ПП'!проч</definedName>
    <definedName name="проч" localSheetId="32">'[3]5.2-опер.рас ПП'!проч</definedName>
    <definedName name="проч" localSheetId="23">'[3]5.2-опер.рас ПП'!проч</definedName>
    <definedName name="проч" localSheetId="41">'[3]5.2-опер.рас ПП'!проч</definedName>
    <definedName name="проч" localSheetId="31">'[3]5.2-опер.рас ПП'!проч</definedName>
    <definedName name="проч" localSheetId="30">'[3]5.2-опер.рас ПП'!проч</definedName>
    <definedName name="проч" localSheetId="47">'[4]5.2-опер.рас ПП'!проч</definedName>
    <definedName name="проч" localSheetId="46">'[4]5.2-опер.рас ПП'!проч</definedName>
    <definedName name="проч" localSheetId="52">'[3]5.2-опер.рас ПП'!проч</definedName>
    <definedName name="проч" localSheetId="62">'[3]5.2-опер.рас ПП'!проч</definedName>
    <definedName name="проч" localSheetId="57">'[3]5.2-опер.рас ПП'!проч</definedName>
    <definedName name="проч" localSheetId="51">'[3]5.2-опер.рас ПП'!проч</definedName>
    <definedName name="проч" localSheetId="61">'[3]5.2-опер.рас ПП'!проч</definedName>
    <definedName name="проч" localSheetId="56">'[3]5.2-опер.рас ПП'!проч</definedName>
    <definedName name="проч" localSheetId="60">'[3]5.2-опер.рас ПП'!проч</definedName>
    <definedName name="проч" localSheetId="55">'[3]5.2-опер.рас ПП'!проч</definedName>
    <definedName name="проч" localSheetId="50">'[3]5.2-опер.рас ПП'!проч</definedName>
    <definedName name="проч" localSheetId="96">'[3]5.2-опер.рас ПП'!проч</definedName>
    <definedName name="проч" localSheetId="93">'[3]5.2-опер.рас ПП'!проч</definedName>
    <definedName name="проч" localSheetId="99">'[3]5.2-опер.рас ПП'!проч</definedName>
    <definedName name="проч" localSheetId="95">'[3]5.2-опер.рас ПП'!проч</definedName>
    <definedName name="проч" localSheetId="92">'[3]5.2-опер.рас ПП'!проч</definedName>
    <definedName name="проч" localSheetId="98">'[3]5.2-опер.рас ПП'!проч</definedName>
    <definedName name="проч" localSheetId="94">'[3]5.2-опер.рас ПП'!проч</definedName>
    <definedName name="проч" localSheetId="91">'[3]5.2-опер.рас ПП'!проч</definedName>
    <definedName name="проч" localSheetId="97">'[3]5.2-опер.рас ПП'!проч</definedName>
    <definedName name="проч" localSheetId="103">'[3]5.2-опер.рас ПП'!проч</definedName>
    <definedName name="проч" localSheetId="101">'[3]5.2-опер.рас ПП'!проч</definedName>
    <definedName name="проч" localSheetId="106">'[3]5.2-опер.рас ПП'!проч</definedName>
    <definedName name="проч" localSheetId="102">'[3]5.2-опер.рас ПП'!проч</definedName>
    <definedName name="проч" localSheetId="100">'[3]5.2-опер.рас ПП'!проч</definedName>
    <definedName name="проч" localSheetId="105">'[3]5.2-опер.рас ПП'!проч</definedName>
    <definedName name="проч" localSheetId="104">'[3]5.2-опер.рас ПП'!проч</definedName>
    <definedName name="проч" localSheetId="110">'[3]5.2-опер.рас ПП'!проч</definedName>
    <definedName name="проч" localSheetId="107">'[3]5.2-опер.рас ПП'!проч</definedName>
    <definedName name="проч" localSheetId="113">'[3]5.2-опер.рас ПП'!проч</definedName>
    <definedName name="проч" localSheetId="115">'[3]5.2-опер.рас ПП'!проч</definedName>
    <definedName name="проч" localSheetId="114">'[3]5.2-опер.рас ПП'!проч</definedName>
    <definedName name="проч" localSheetId="112">'[3]5.2-опер.рас ПП'!проч</definedName>
    <definedName name="проч" localSheetId="109">'[3]5.2-опер.рас ПП'!проч</definedName>
    <definedName name="проч" localSheetId="111">'[3]5.2-опер.рас ПП'!проч</definedName>
    <definedName name="проч" localSheetId="108">'[3]5.2-опер.рас ПП'!проч</definedName>
    <definedName name="проч" localSheetId="122">'[3]5.2-опер.рас ПП'!проч</definedName>
    <definedName name="проч" localSheetId="116">'[3]5.2-опер.рас ПП'!проч</definedName>
    <definedName name="проч" localSheetId="125">'[3]5.2-опер.рас ПП'!проч</definedName>
    <definedName name="проч" localSheetId="127">'[3]5.2-опер.рас ПП'!проч</definedName>
    <definedName name="проч" localSheetId="126">'[3]5.2-опер.рас ПП'!проч</definedName>
    <definedName name="проч" localSheetId="124">'[3]5.2-опер.рас ПП'!проч</definedName>
    <definedName name="проч" localSheetId="118">'[3]5.2-опер.рас ПП'!проч</definedName>
    <definedName name="проч" localSheetId="123">'[3]5.2-опер.рас ПП'!проч</definedName>
    <definedName name="проч" localSheetId="117">'[3]5.2-опер.рас ПП'!проч</definedName>
    <definedName name="проч" localSheetId="119">'[3]5.2-опер.рас ПП'!проч</definedName>
    <definedName name="проч" localSheetId="120">'[3]5.2-опер.рас ПП'!проч</definedName>
    <definedName name="проч" localSheetId="121">'[3]5.2-опер.рас ПП'!проч</definedName>
    <definedName name="проч" localSheetId="129">'[3]5.2-опер.рас ПП'!проч</definedName>
    <definedName name="проч" localSheetId="128">'[3]5.2-опер.рас ПП'!проч</definedName>
    <definedName name="проч" localSheetId="130">'[3]5.2-опер.рас ПП'!проч</definedName>
    <definedName name="проч" localSheetId="133">'[3]5.2-опер.рас ПП'!проч</definedName>
    <definedName name="проч" localSheetId="132">'[3]5.2-опер.рас ПП'!проч</definedName>
    <definedName name="проч" localSheetId="136">'[3]5.2-опер.рас ПП'!проч</definedName>
    <definedName name="проч" localSheetId="134">'[3]5.2-опер.рас ПП'!проч</definedName>
    <definedName name="проч" localSheetId="139">'[3]5.2-опер.рас ПП'!проч</definedName>
    <definedName name="проч" localSheetId="137">'[3]5.2-опер.рас ПП'!проч</definedName>
    <definedName name="проч" localSheetId="142">'[3]5.2-опер.рас ПП'!проч</definedName>
    <definedName name="проч" localSheetId="141">'[3]5.2-опер.рас ПП'!проч</definedName>
    <definedName name="проч" localSheetId="140">'[3]5.2-опер.рас ПП'!проч</definedName>
    <definedName name="проч" localSheetId="145">'[3]5.2-опер.рас ПП'!проч</definedName>
    <definedName name="проч" localSheetId="143">'[3]5.2-опер.рас ПП'!проч</definedName>
    <definedName name="проч" localSheetId="150">'[3]5.2-опер.рас ПП'!проч</definedName>
    <definedName name="проч" localSheetId="158">'[3]5.2-опер.рас ПП'!проч</definedName>
    <definedName name="проч" localSheetId="157">'[3]5.2-опер.рас ПП'!проч</definedName>
    <definedName name="проч" localSheetId="156">'[3]5.2-опер.рас ПП'!проч</definedName>
    <definedName name="проч" localSheetId="146">'[3]5.2-опер.рас ПП'!проч</definedName>
    <definedName name="проч" localSheetId="89">'[3]5.2-опер.рас ПП'!проч</definedName>
    <definedName name="проч" localSheetId="90">'[3]5.2-опер.рас ПП'!проч</definedName>
    <definedName name="проч" localSheetId="2">'[4]5.2-опер.рас ПП'!проч</definedName>
    <definedName name="проч" localSheetId="1">'[4]5.2-опер.рас ПП'!проч</definedName>
    <definedName name="проч">'[3]5.2-опер.рас ПП'!проч</definedName>
    <definedName name="проч.расх" localSheetId="19">'[3]5.2-опер.рас ПП'!проч.расх</definedName>
    <definedName name="проч.расх" localSheetId="17">'[3]5.2-опер.рас ПП'!проч.расх</definedName>
    <definedName name="проч.расх" localSheetId="45">'4. 7_котельн.'!проч.расх</definedName>
    <definedName name="проч.расх" localSheetId="44">'4. 7_КТЭЦ'!проч.расх</definedName>
    <definedName name="проч.расх" localSheetId="3">'[3]5.2-опер.рас ПП'!проч.расх</definedName>
    <definedName name="проч.расх" localSheetId="78">'[3]5.2-опер.рас ПП'!проч.расх</definedName>
    <definedName name="проч.расх" localSheetId="65">'[3]5.2-опер.рас ПП'!проч.расх</definedName>
    <definedName name="проч.расх" localSheetId="75">'[3]5.2-опер.рас ПП'!проч.расх</definedName>
    <definedName name="проч.расх" localSheetId="70">'[3]5.2-опер.рас ПП'!проч.расх</definedName>
    <definedName name="проч.расх" localSheetId="79">'[3]5.2-опер.рас ПП'!проч.расх</definedName>
    <definedName name="проч.расх" localSheetId="82">'[3]5.2-опер.рас ПП'!проч.расх</definedName>
    <definedName name="проч.расх" localSheetId="12">'[3]5.2-опер.рас ПП'!проч.расх</definedName>
    <definedName name="проч.расх" localSheetId="11">'[3]5.2-опер.рас ПП'!проч.расх</definedName>
    <definedName name="проч.расх" localSheetId="20">'[4]5.2-опер.рас ПП'!проч.расх</definedName>
    <definedName name="проч.расх" localSheetId="28">'[3]5.2-опер.рас ПП'!проч.расх</definedName>
    <definedName name="проч.расх" localSheetId="38">'[3]5.2-опер.рас ПП'!проч.расх</definedName>
    <definedName name="проч.расх" localSheetId="26">'[3]5.2-опер.рас ПП'!проч.расх</definedName>
    <definedName name="проч.расх" localSheetId="34">'[3]5.2-опер.рас ПП'!проч.расх</definedName>
    <definedName name="проч.расх" localSheetId="32">'[3]5.2-опер.рас ПП'!проч.расх</definedName>
    <definedName name="проч.расх" localSheetId="23">'[3]5.2-опер.рас ПП'!проч.расх</definedName>
    <definedName name="проч.расх" localSheetId="41">'[3]5.2-опер.рас ПП'!проч.расх</definedName>
    <definedName name="проч.расх" localSheetId="31">'[3]5.2-опер.рас ПП'!проч.расх</definedName>
    <definedName name="проч.расх" localSheetId="30">'[3]5.2-опер.рас ПП'!проч.расх</definedName>
    <definedName name="проч.расх" localSheetId="47">'[4]5.2-опер.рас ПП'!проч.расх</definedName>
    <definedName name="проч.расх" localSheetId="46">'[4]5.2-опер.рас ПП'!проч.расх</definedName>
    <definedName name="проч.расх" localSheetId="52">'[3]5.2-опер.рас ПП'!проч.расх</definedName>
    <definedName name="проч.расх" localSheetId="62">'[3]5.2-опер.рас ПП'!проч.расх</definedName>
    <definedName name="проч.расх" localSheetId="57">'[3]5.2-опер.рас ПП'!проч.расх</definedName>
    <definedName name="проч.расх" localSheetId="51">'[3]5.2-опер.рас ПП'!проч.расх</definedName>
    <definedName name="проч.расх" localSheetId="61">'[3]5.2-опер.рас ПП'!проч.расх</definedName>
    <definedName name="проч.расх" localSheetId="56">'[3]5.2-опер.рас ПП'!проч.расх</definedName>
    <definedName name="проч.расх" localSheetId="60">'[3]5.2-опер.рас ПП'!проч.расх</definedName>
    <definedName name="проч.расх" localSheetId="55">'[3]5.2-опер.рас ПП'!проч.расх</definedName>
    <definedName name="проч.расх" localSheetId="50">'[3]5.2-опер.рас ПП'!проч.расх</definedName>
    <definedName name="проч.расх" localSheetId="96">'[3]5.2-опер.рас ПП'!проч.расх</definedName>
    <definedName name="проч.расх" localSheetId="93">'[3]5.2-опер.рас ПП'!проч.расх</definedName>
    <definedName name="проч.расх" localSheetId="99">'[3]5.2-опер.рас ПП'!проч.расх</definedName>
    <definedName name="проч.расх" localSheetId="95">'[3]5.2-опер.рас ПП'!проч.расх</definedName>
    <definedName name="проч.расх" localSheetId="92">'[3]5.2-опер.рас ПП'!проч.расх</definedName>
    <definedName name="проч.расх" localSheetId="98">'[3]5.2-опер.рас ПП'!проч.расх</definedName>
    <definedName name="проч.расх" localSheetId="94">'[3]5.2-опер.рас ПП'!проч.расх</definedName>
    <definedName name="проч.расх" localSheetId="91">'[3]5.2-опер.рас ПП'!проч.расх</definedName>
    <definedName name="проч.расх" localSheetId="97">'[3]5.2-опер.рас ПП'!проч.расх</definedName>
    <definedName name="проч.расх" localSheetId="103">'[3]5.2-опер.рас ПП'!проч.расх</definedName>
    <definedName name="проч.расх" localSheetId="101">'[3]5.2-опер.рас ПП'!проч.расх</definedName>
    <definedName name="проч.расх" localSheetId="106">'[3]5.2-опер.рас ПП'!проч.расх</definedName>
    <definedName name="проч.расх" localSheetId="102">'[3]5.2-опер.рас ПП'!проч.расх</definedName>
    <definedName name="проч.расх" localSheetId="100">'[3]5.2-опер.рас ПП'!проч.расх</definedName>
    <definedName name="проч.расх" localSheetId="105">'[3]5.2-опер.рас ПП'!проч.расх</definedName>
    <definedName name="проч.расх" localSheetId="104">'[3]5.2-опер.рас ПП'!проч.расх</definedName>
    <definedName name="проч.расх" localSheetId="110">'[3]5.2-опер.рас ПП'!проч.расх</definedName>
    <definedName name="проч.расх" localSheetId="107">'[3]5.2-опер.рас ПП'!проч.расх</definedName>
    <definedName name="проч.расх" localSheetId="113">'[3]5.2-опер.рас ПП'!проч.расх</definedName>
    <definedName name="проч.расх" localSheetId="115">'[3]5.2-опер.рас ПП'!проч.расх</definedName>
    <definedName name="проч.расх" localSheetId="114">'[3]5.2-опер.рас ПП'!проч.расх</definedName>
    <definedName name="проч.расх" localSheetId="112">'[3]5.2-опер.рас ПП'!проч.расх</definedName>
    <definedName name="проч.расх" localSheetId="109">'[3]5.2-опер.рас ПП'!проч.расх</definedName>
    <definedName name="проч.расх" localSheetId="111">'[3]5.2-опер.рас ПП'!проч.расх</definedName>
    <definedName name="проч.расх" localSheetId="108">'[3]5.2-опер.рас ПП'!проч.расх</definedName>
    <definedName name="проч.расх" localSheetId="122">'[3]5.2-опер.рас ПП'!проч.расх</definedName>
    <definedName name="проч.расх" localSheetId="116">'[3]5.2-опер.рас ПП'!проч.расх</definedName>
    <definedName name="проч.расх" localSheetId="125">'[3]5.2-опер.рас ПП'!проч.расх</definedName>
    <definedName name="проч.расх" localSheetId="127">'[3]5.2-опер.рас ПП'!проч.расх</definedName>
    <definedName name="проч.расх" localSheetId="126">'[3]5.2-опер.рас ПП'!проч.расх</definedName>
    <definedName name="проч.расх" localSheetId="124">'[3]5.2-опер.рас ПП'!проч.расх</definedName>
    <definedName name="проч.расх" localSheetId="118">'[3]5.2-опер.рас ПП'!проч.расх</definedName>
    <definedName name="проч.расх" localSheetId="123">'[3]5.2-опер.рас ПП'!проч.расх</definedName>
    <definedName name="проч.расх" localSheetId="117">'[3]5.2-опер.рас ПП'!проч.расх</definedName>
    <definedName name="проч.расх" localSheetId="119">'[3]5.2-опер.рас ПП'!проч.расх</definedName>
    <definedName name="проч.расх" localSheetId="120">'[3]5.2-опер.рас ПП'!проч.расх</definedName>
    <definedName name="проч.расх" localSheetId="121">'[3]5.2-опер.рас ПП'!проч.расх</definedName>
    <definedName name="проч.расх" localSheetId="129">'[3]5.2-опер.рас ПП'!проч.расх</definedName>
    <definedName name="проч.расх" localSheetId="128">'[3]5.2-опер.рас ПП'!проч.расх</definedName>
    <definedName name="проч.расх" localSheetId="130">'[3]5.2-опер.рас ПП'!проч.расх</definedName>
    <definedName name="проч.расх" localSheetId="133">'[3]5.2-опер.рас ПП'!проч.расх</definedName>
    <definedName name="проч.расх" localSheetId="132">'[3]5.2-опер.рас ПП'!проч.расх</definedName>
    <definedName name="проч.расх" localSheetId="136">'[3]5.2-опер.рас ПП'!проч.расх</definedName>
    <definedName name="проч.расх" localSheetId="134">'[3]5.2-опер.рас ПП'!проч.расх</definedName>
    <definedName name="проч.расх" localSheetId="139">'[3]5.2-опер.рас ПП'!проч.расх</definedName>
    <definedName name="проч.расх" localSheetId="137">'[3]5.2-опер.рас ПП'!проч.расх</definedName>
    <definedName name="проч.расх" localSheetId="142">'[3]5.2-опер.рас ПП'!проч.расх</definedName>
    <definedName name="проч.расх" localSheetId="141">'[3]5.2-опер.рас ПП'!проч.расх</definedName>
    <definedName name="проч.расх" localSheetId="140">'[3]5.2-опер.рас ПП'!проч.расх</definedName>
    <definedName name="проч.расх" localSheetId="145">'[3]5.2-опер.рас ПП'!проч.расх</definedName>
    <definedName name="проч.расх" localSheetId="143">'[3]5.2-опер.рас ПП'!проч.расх</definedName>
    <definedName name="проч.расх" localSheetId="150">'[3]5.2-опер.рас ПП'!проч.расх</definedName>
    <definedName name="проч.расх" localSheetId="158">'[3]5.2-опер.рас ПП'!проч.расх</definedName>
    <definedName name="проч.расх" localSheetId="157">'[3]5.2-опер.рас ПП'!проч.расх</definedName>
    <definedName name="проч.расх" localSheetId="156">'[3]5.2-опер.рас ПП'!проч.расх</definedName>
    <definedName name="проч.расх" localSheetId="146">'[3]5.2-опер.рас ПП'!проч.расх</definedName>
    <definedName name="проч.расх" localSheetId="89">'[3]5.2-опер.рас ПП'!проч.расх</definedName>
    <definedName name="проч.расх" localSheetId="90">'[3]5.2-опер.рас ПП'!проч.расх</definedName>
    <definedName name="проч.расх" localSheetId="2">'[4]5.2-опер.рас ПП'!проч.расх</definedName>
    <definedName name="проч.расх" localSheetId="1">'[4]5.2-опер.рас ПП'!проч.расх</definedName>
    <definedName name="проч.расх">'[3]5.2-опер.рас ПП'!проч.расх</definedName>
    <definedName name="расх" localSheetId="19">'[3]5.2-опер.рас ПП'!расх</definedName>
    <definedName name="расх" localSheetId="17">'[3]5.2-опер.рас ПП'!расх</definedName>
    <definedName name="расх" localSheetId="45">'4. 7_котельн.'!расх</definedName>
    <definedName name="расх" localSheetId="44">'4. 7_КТЭЦ'!расх</definedName>
    <definedName name="расх" localSheetId="3">'[3]5.2-опер.рас ПП'!расх</definedName>
    <definedName name="расх" localSheetId="78">'[3]5.2-опер.рас ПП'!расх</definedName>
    <definedName name="расх" localSheetId="65">'[3]5.2-опер.рас ПП'!расх</definedName>
    <definedName name="расх" localSheetId="75">'[3]5.2-опер.рас ПП'!расх</definedName>
    <definedName name="расх" localSheetId="70">'[3]5.2-опер.рас ПП'!расх</definedName>
    <definedName name="расх" localSheetId="79">'[3]5.2-опер.рас ПП'!расх</definedName>
    <definedName name="расх" localSheetId="82">'[3]5.2-опер.рас ПП'!расх</definedName>
    <definedName name="расх" localSheetId="12">'[3]5.2-опер.рас ПП'!расх</definedName>
    <definedName name="расх" localSheetId="11">'[3]5.2-опер.рас ПП'!расх</definedName>
    <definedName name="расх" localSheetId="20">'[4]5.2-опер.рас ПП'!расх</definedName>
    <definedName name="расх" localSheetId="28">'[3]5.2-опер.рас ПП'!расх</definedName>
    <definedName name="расх" localSheetId="38">'[3]5.2-опер.рас ПП'!расх</definedName>
    <definedName name="расх" localSheetId="26">'[3]5.2-опер.рас ПП'!расх</definedName>
    <definedName name="расх" localSheetId="34">'[3]5.2-опер.рас ПП'!расх</definedName>
    <definedName name="расх" localSheetId="32">'[3]5.2-опер.рас ПП'!расх</definedName>
    <definedName name="расх" localSheetId="23">'[3]5.2-опер.рас ПП'!расх</definedName>
    <definedName name="расх" localSheetId="41">'[3]5.2-опер.рас ПП'!расх</definedName>
    <definedName name="расх" localSheetId="31">'[3]5.2-опер.рас ПП'!расх</definedName>
    <definedName name="расх" localSheetId="30">'[3]5.2-опер.рас ПП'!расх</definedName>
    <definedName name="расх" localSheetId="47">'[4]5.2-опер.рас ПП'!расх</definedName>
    <definedName name="расх" localSheetId="46">'[4]5.2-опер.рас ПП'!расх</definedName>
    <definedName name="расх" localSheetId="52">'[3]5.2-опер.рас ПП'!расх</definedName>
    <definedName name="расх" localSheetId="62">'[3]5.2-опер.рас ПП'!расх</definedName>
    <definedName name="расх" localSheetId="57">'[3]5.2-опер.рас ПП'!расх</definedName>
    <definedName name="расх" localSheetId="51">'[3]5.2-опер.рас ПП'!расх</definedName>
    <definedName name="расх" localSheetId="61">'[3]5.2-опер.рас ПП'!расх</definedName>
    <definedName name="расх" localSheetId="56">'[3]5.2-опер.рас ПП'!расх</definedName>
    <definedName name="расх" localSheetId="60">'[3]5.2-опер.рас ПП'!расх</definedName>
    <definedName name="расх" localSheetId="55">'[3]5.2-опер.рас ПП'!расх</definedName>
    <definedName name="расх" localSheetId="50">'[3]5.2-опер.рас ПП'!расх</definedName>
    <definedName name="расх" localSheetId="96">'[3]5.2-опер.рас ПП'!расх</definedName>
    <definedName name="расх" localSheetId="93">'[3]5.2-опер.рас ПП'!расх</definedName>
    <definedName name="расх" localSheetId="99">'[3]5.2-опер.рас ПП'!расх</definedName>
    <definedName name="расх" localSheetId="95">'[3]5.2-опер.рас ПП'!расх</definedName>
    <definedName name="расх" localSheetId="92">'[3]5.2-опер.рас ПП'!расх</definedName>
    <definedName name="расх" localSheetId="98">'[3]5.2-опер.рас ПП'!расх</definedName>
    <definedName name="расх" localSheetId="94">'[3]5.2-опер.рас ПП'!расх</definedName>
    <definedName name="расх" localSheetId="91">'[3]5.2-опер.рас ПП'!расх</definedName>
    <definedName name="расх" localSheetId="97">'[3]5.2-опер.рас ПП'!расх</definedName>
    <definedName name="расх" localSheetId="103">'[3]5.2-опер.рас ПП'!расх</definedName>
    <definedName name="расх" localSheetId="101">'[3]5.2-опер.рас ПП'!расх</definedName>
    <definedName name="расх" localSheetId="106">'[3]5.2-опер.рас ПП'!расх</definedName>
    <definedName name="расх" localSheetId="102">'[3]5.2-опер.рас ПП'!расх</definedName>
    <definedName name="расх" localSheetId="100">'[3]5.2-опер.рас ПП'!расх</definedName>
    <definedName name="расх" localSheetId="105">'[3]5.2-опер.рас ПП'!расх</definedName>
    <definedName name="расх" localSheetId="104">'[3]5.2-опер.рас ПП'!расх</definedName>
    <definedName name="расх" localSheetId="110">'[3]5.2-опер.рас ПП'!расх</definedName>
    <definedName name="расх" localSheetId="107">'[3]5.2-опер.рас ПП'!расх</definedName>
    <definedName name="расх" localSheetId="113">'[3]5.2-опер.рас ПП'!расх</definedName>
    <definedName name="расх" localSheetId="115">'[3]5.2-опер.рас ПП'!расх</definedName>
    <definedName name="расх" localSheetId="114">'[3]5.2-опер.рас ПП'!расх</definedName>
    <definedName name="расх" localSheetId="112">'[3]5.2-опер.рас ПП'!расх</definedName>
    <definedName name="расх" localSheetId="109">'[3]5.2-опер.рас ПП'!расх</definedName>
    <definedName name="расх" localSheetId="111">'[3]5.2-опер.рас ПП'!расх</definedName>
    <definedName name="расх" localSheetId="108">'[3]5.2-опер.рас ПП'!расх</definedName>
    <definedName name="расх" localSheetId="122">'[3]5.2-опер.рас ПП'!расх</definedName>
    <definedName name="расх" localSheetId="116">'[3]5.2-опер.рас ПП'!расх</definedName>
    <definedName name="расх" localSheetId="125">'[3]5.2-опер.рас ПП'!расх</definedName>
    <definedName name="расх" localSheetId="127">'[3]5.2-опер.рас ПП'!расх</definedName>
    <definedName name="расх" localSheetId="126">'[3]5.2-опер.рас ПП'!расх</definedName>
    <definedName name="расх" localSheetId="124">'[3]5.2-опер.рас ПП'!расх</definedName>
    <definedName name="расх" localSheetId="118">'[3]5.2-опер.рас ПП'!расх</definedName>
    <definedName name="расх" localSheetId="123">'[3]5.2-опер.рас ПП'!расх</definedName>
    <definedName name="расх" localSheetId="117">'[3]5.2-опер.рас ПП'!расх</definedName>
    <definedName name="расх" localSheetId="119">'[3]5.2-опер.рас ПП'!расх</definedName>
    <definedName name="расх" localSheetId="120">'[3]5.2-опер.рас ПП'!расх</definedName>
    <definedName name="расх" localSheetId="121">'[3]5.2-опер.рас ПП'!расх</definedName>
    <definedName name="расх" localSheetId="129">'[3]5.2-опер.рас ПП'!расх</definedName>
    <definedName name="расх" localSheetId="128">'[3]5.2-опер.рас ПП'!расх</definedName>
    <definedName name="расх" localSheetId="130">'[3]5.2-опер.рас ПП'!расх</definedName>
    <definedName name="расх" localSheetId="133">'[3]5.2-опер.рас ПП'!расх</definedName>
    <definedName name="расх" localSheetId="132">'[3]5.2-опер.рас ПП'!расх</definedName>
    <definedName name="расх" localSheetId="136">'[3]5.2-опер.рас ПП'!расх</definedName>
    <definedName name="расх" localSheetId="134">'[3]5.2-опер.рас ПП'!расх</definedName>
    <definedName name="расх" localSheetId="139">'[3]5.2-опер.рас ПП'!расх</definedName>
    <definedName name="расх" localSheetId="137">'[3]5.2-опер.рас ПП'!расх</definedName>
    <definedName name="расх" localSheetId="142">'[3]5.2-опер.рас ПП'!расх</definedName>
    <definedName name="расх" localSheetId="141">'[3]5.2-опер.рас ПП'!расх</definedName>
    <definedName name="расх" localSheetId="140">'[3]5.2-опер.рас ПП'!расх</definedName>
    <definedName name="расх" localSheetId="145">'[3]5.2-опер.рас ПП'!расх</definedName>
    <definedName name="расх" localSheetId="143">'[3]5.2-опер.рас ПП'!расх</definedName>
    <definedName name="расх" localSheetId="150">'[3]5.2-опер.рас ПП'!расх</definedName>
    <definedName name="расх" localSheetId="158">'[3]5.2-опер.рас ПП'!расх</definedName>
    <definedName name="расх" localSheetId="157">'[3]5.2-опер.рас ПП'!расх</definedName>
    <definedName name="расх" localSheetId="156">'[3]5.2-опер.рас ПП'!расх</definedName>
    <definedName name="расх" localSheetId="146">'[3]5.2-опер.рас ПП'!расх</definedName>
    <definedName name="расх" localSheetId="89">'[3]5.2-опер.рас ПП'!расх</definedName>
    <definedName name="расх" localSheetId="90">'[3]5.2-опер.рас ПП'!расх</definedName>
    <definedName name="расх" localSheetId="2">'[4]5.2-опер.рас ПП'!расх</definedName>
    <definedName name="расх" localSheetId="1">'[4]5.2-опер.рас ПП'!расх</definedName>
    <definedName name="расх">'[3]5.2-опер.рас ПП'!расх</definedName>
    <definedName name="РГРЭС" localSheetId="19">'[3]5.2-опер.рас ПП'!РГРЭС</definedName>
    <definedName name="РГРЭС" localSheetId="17">'[3]5.2-опер.рас ПП'!РГРЭС</definedName>
    <definedName name="РГРЭС" localSheetId="45">'4. 7_котельн.'!РГРЭС</definedName>
    <definedName name="РГРЭС" localSheetId="44">'4. 7_КТЭЦ'!РГРЭС</definedName>
    <definedName name="РГРЭС" localSheetId="3">'[3]5.2-опер.рас ПП'!РГРЭС</definedName>
    <definedName name="РГРЭС" localSheetId="78">'[3]5.2-опер.рас ПП'!РГРЭС</definedName>
    <definedName name="РГРЭС" localSheetId="65">'[3]5.2-опер.рас ПП'!РГРЭС</definedName>
    <definedName name="РГРЭС" localSheetId="75">'[3]5.2-опер.рас ПП'!РГРЭС</definedName>
    <definedName name="РГРЭС" localSheetId="70">'[3]5.2-опер.рас ПП'!РГРЭС</definedName>
    <definedName name="РГРЭС" localSheetId="79">'[3]5.2-опер.рас ПП'!РГРЭС</definedName>
    <definedName name="РГРЭС" localSheetId="82">'[3]5.2-опер.рас ПП'!РГРЭС</definedName>
    <definedName name="РГРЭС" localSheetId="12">'[3]5.2-опер.рас ПП'!РГРЭС</definedName>
    <definedName name="РГРЭС" localSheetId="11">'[3]5.2-опер.рас ПП'!РГРЭС</definedName>
    <definedName name="РГРЭС" localSheetId="20">'[4]5.2-опер.рас ПП'!РГРЭС</definedName>
    <definedName name="РГРЭС" localSheetId="28">'[3]5.2-опер.рас ПП'!РГРЭС</definedName>
    <definedName name="РГРЭС" localSheetId="38">'[3]5.2-опер.рас ПП'!РГРЭС</definedName>
    <definedName name="РГРЭС" localSheetId="26">'[3]5.2-опер.рас ПП'!РГРЭС</definedName>
    <definedName name="РГРЭС" localSheetId="34">'[3]5.2-опер.рас ПП'!РГРЭС</definedName>
    <definedName name="РГРЭС" localSheetId="32">'[3]5.2-опер.рас ПП'!РГРЭС</definedName>
    <definedName name="РГРЭС" localSheetId="23">'[3]5.2-опер.рас ПП'!РГРЭС</definedName>
    <definedName name="РГРЭС" localSheetId="41">'[3]5.2-опер.рас ПП'!РГРЭС</definedName>
    <definedName name="РГРЭС" localSheetId="31">'[3]5.2-опер.рас ПП'!РГРЭС</definedName>
    <definedName name="РГРЭС" localSheetId="30">'[3]5.2-опер.рас ПП'!РГРЭС</definedName>
    <definedName name="РГРЭС" localSheetId="47">'[4]5.2-опер.рас ПП'!РГРЭС</definedName>
    <definedName name="РГРЭС" localSheetId="46">'[4]5.2-опер.рас ПП'!РГРЭС</definedName>
    <definedName name="РГРЭС" localSheetId="52">'[3]5.2-опер.рас ПП'!РГРЭС</definedName>
    <definedName name="РГРЭС" localSheetId="62">'[3]5.2-опер.рас ПП'!РГРЭС</definedName>
    <definedName name="РГРЭС" localSheetId="57">'[3]5.2-опер.рас ПП'!РГРЭС</definedName>
    <definedName name="РГРЭС" localSheetId="51">'[3]5.2-опер.рас ПП'!РГРЭС</definedName>
    <definedName name="РГРЭС" localSheetId="61">'[3]5.2-опер.рас ПП'!РГРЭС</definedName>
    <definedName name="РГРЭС" localSheetId="56">'[3]5.2-опер.рас ПП'!РГРЭС</definedName>
    <definedName name="РГРЭС" localSheetId="60">'[3]5.2-опер.рас ПП'!РГРЭС</definedName>
    <definedName name="РГРЭС" localSheetId="55">'[3]5.2-опер.рас ПП'!РГРЭС</definedName>
    <definedName name="РГРЭС" localSheetId="50">'[3]5.2-опер.рас ПП'!РГРЭС</definedName>
    <definedName name="РГРЭС" localSheetId="96">'[3]5.2-опер.рас ПП'!РГРЭС</definedName>
    <definedName name="РГРЭС" localSheetId="93">'[3]5.2-опер.рас ПП'!РГРЭС</definedName>
    <definedName name="РГРЭС" localSheetId="99">'[3]5.2-опер.рас ПП'!РГРЭС</definedName>
    <definedName name="РГРЭС" localSheetId="95">'[3]5.2-опер.рас ПП'!РГРЭС</definedName>
    <definedName name="РГРЭС" localSheetId="92">'[3]5.2-опер.рас ПП'!РГРЭС</definedName>
    <definedName name="РГРЭС" localSheetId="98">'[3]5.2-опер.рас ПП'!РГРЭС</definedName>
    <definedName name="РГРЭС" localSheetId="94">'[3]5.2-опер.рас ПП'!РГРЭС</definedName>
    <definedName name="РГРЭС" localSheetId="91">'[3]5.2-опер.рас ПП'!РГРЭС</definedName>
    <definedName name="РГРЭС" localSheetId="97">'[3]5.2-опер.рас ПП'!РГРЭС</definedName>
    <definedName name="РГРЭС" localSheetId="103">'[3]5.2-опер.рас ПП'!РГРЭС</definedName>
    <definedName name="РГРЭС" localSheetId="101">'[3]5.2-опер.рас ПП'!РГРЭС</definedName>
    <definedName name="РГРЭС" localSheetId="106">'[3]5.2-опер.рас ПП'!РГРЭС</definedName>
    <definedName name="РГРЭС" localSheetId="102">'[3]5.2-опер.рас ПП'!РГРЭС</definedName>
    <definedName name="РГРЭС" localSheetId="100">'[3]5.2-опер.рас ПП'!РГРЭС</definedName>
    <definedName name="РГРЭС" localSheetId="105">'[3]5.2-опер.рас ПП'!РГРЭС</definedName>
    <definedName name="РГРЭС" localSheetId="104">'[3]5.2-опер.рас ПП'!РГРЭС</definedName>
    <definedName name="РГРЭС" localSheetId="110">'[3]5.2-опер.рас ПП'!РГРЭС</definedName>
    <definedName name="РГРЭС" localSheetId="107">'[3]5.2-опер.рас ПП'!РГРЭС</definedName>
    <definedName name="РГРЭС" localSheetId="113">'[3]5.2-опер.рас ПП'!РГРЭС</definedName>
    <definedName name="РГРЭС" localSheetId="115">'[3]5.2-опер.рас ПП'!РГРЭС</definedName>
    <definedName name="РГРЭС" localSheetId="114">'[3]5.2-опер.рас ПП'!РГРЭС</definedName>
    <definedName name="РГРЭС" localSheetId="112">'[3]5.2-опер.рас ПП'!РГРЭС</definedName>
    <definedName name="РГРЭС" localSheetId="109">'[3]5.2-опер.рас ПП'!РГРЭС</definedName>
    <definedName name="РГРЭС" localSheetId="111">'[3]5.2-опер.рас ПП'!РГРЭС</definedName>
    <definedName name="РГРЭС" localSheetId="108">'[3]5.2-опер.рас ПП'!РГРЭС</definedName>
    <definedName name="РГРЭС" localSheetId="122">'[3]5.2-опер.рас ПП'!РГРЭС</definedName>
    <definedName name="РГРЭС" localSheetId="116">'[3]5.2-опер.рас ПП'!РГРЭС</definedName>
    <definedName name="РГРЭС" localSheetId="125">'[3]5.2-опер.рас ПП'!РГРЭС</definedName>
    <definedName name="РГРЭС" localSheetId="127">'[3]5.2-опер.рас ПП'!РГРЭС</definedName>
    <definedName name="РГРЭС" localSheetId="126">'[3]5.2-опер.рас ПП'!РГРЭС</definedName>
    <definedName name="РГРЭС" localSheetId="124">'[3]5.2-опер.рас ПП'!РГРЭС</definedName>
    <definedName name="РГРЭС" localSheetId="118">'[3]5.2-опер.рас ПП'!РГРЭС</definedName>
    <definedName name="РГРЭС" localSheetId="123">'[3]5.2-опер.рас ПП'!РГРЭС</definedName>
    <definedName name="РГРЭС" localSheetId="117">'[3]5.2-опер.рас ПП'!РГРЭС</definedName>
    <definedName name="РГРЭС" localSheetId="119">'[3]5.2-опер.рас ПП'!РГРЭС</definedName>
    <definedName name="РГРЭС" localSheetId="120">'[3]5.2-опер.рас ПП'!РГРЭС</definedName>
    <definedName name="РГРЭС" localSheetId="121">'[3]5.2-опер.рас ПП'!РГРЭС</definedName>
    <definedName name="РГРЭС" localSheetId="129">'[3]5.2-опер.рас ПП'!РГРЭС</definedName>
    <definedName name="РГРЭС" localSheetId="128">'[3]5.2-опер.рас ПП'!РГРЭС</definedName>
    <definedName name="РГРЭС" localSheetId="130">'[3]5.2-опер.рас ПП'!РГРЭС</definedName>
    <definedName name="РГРЭС" localSheetId="133">'[3]5.2-опер.рас ПП'!РГРЭС</definedName>
    <definedName name="РГРЭС" localSheetId="132">'[3]5.2-опер.рас ПП'!РГРЭС</definedName>
    <definedName name="РГРЭС" localSheetId="136">'[3]5.2-опер.рас ПП'!РГРЭС</definedName>
    <definedName name="РГРЭС" localSheetId="134">'[3]5.2-опер.рас ПП'!РГРЭС</definedName>
    <definedName name="РГРЭС" localSheetId="139">'[3]5.2-опер.рас ПП'!РГРЭС</definedName>
    <definedName name="РГРЭС" localSheetId="137">'[3]5.2-опер.рас ПП'!РГРЭС</definedName>
    <definedName name="РГРЭС" localSheetId="142">'[3]5.2-опер.рас ПП'!РГРЭС</definedName>
    <definedName name="РГРЭС" localSheetId="141">'[3]5.2-опер.рас ПП'!РГРЭС</definedName>
    <definedName name="РГРЭС" localSheetId="140">'[3]5.2-опер.рас ПП'!РГРЭС</definedName>
    <definedName name="РГРЭС" localSheetId="145">'[3]5.2-опер.рас ПП'!РГРЭС</definedName>
    <definedName name="РГРЭС" localSheetId="143">'[3]5.2-опер.рас ПП'!РГРЭС</definedName>
    <definedName name="РГРЭС" localSheetId="150">'[3]5.2-опер.рас ПП'!РГРЭС</definedName>
    <definedName name="РГРЭС" localSheetId="158">'[3]5.2-опер.рас ПП'!РГРЭС</definedName>
    <definedName name="РГРЭС" localSheetId="157">'[3]5.2-опер.рас ПП'!РГРЭС</definedName>
    <definedName name="РГРЭС" localSheetId="156">'[3]5.2-опер.рас ПП'!РГРЭС</definedName>
    <definedName name="РГРЭС" localSheetId="146">'[3]5.2-опер.рас ПП'!РГРЭС</definedName>
    <definedName name="РГРЭС" localSheetId="89">'[3]5.2-опер.рас ПП'!РГРЭС</definedName>
    <definedName name="РГРЭС" localSheetId="90">'[3]5.2-опер.рас ПП'!РГРЭС</definedName>
    <definedName name="РГРЭС" localSheetId="2">'[4]5.2-опер.рас ПП'!РГРЭС</definedName>
    <definedName name="РГРЭС" localSheetId="1">'[4]5.2-опер.рас ПП'!РГРЭС</definedName>
    <definedName name="РГРЭС">'[3]5.2-опер.рас ПП'!РГРЭС</definedName>
    <definedName name="рем" localSheetId="19">'[3]5.2-опер.рас ПП'!рем</definedName>
    <definedName name="рем" localSheetId="17">'[3]5.2-опер.рас ПП'!рем</definedName>
    <definedName name="рем" localSheetId="45">'4. 7_котельн.'!рем</definedName>
    <definedName name="рем" localSheetId="44">'4. 7_КТЭЦ'!рем</definedName>
    <definedName name="рем" localSheetId="3">'[3]5.2-опер.рас ПП'!рем</definedName>
    <definedName name="рем" localSheetId="78">'[3]5.2-опер.рас ПП'!рем</definedName>
    <definedName name="рем" localSheetId="65">'[3]5.2-опер.рас ПП'!рем</definedName>
    <definedName name="рем" localSheetId="75">'[3]5.2-опер.рас ПП'!рем</definedName>
    <definedName name="рем" localSheetId="70">'[3]5.2-опер.рас ПП'!рем</definedName>
    <definedName name="рем" localSheetId="79">'[3]5.2-опер.рас ПП'!рем</definedName>
    <definedName name="рем" localSheetId="82">'[3]5.2-опер.рас ПП'!рем</definedName>
    <definedName name="рем" localSheetId="12">'[3]5.2-опер.рас ПП'!рем</definedName>
    <definedName name="рем" localSheetId="11">'[3]5.2-опер.рас ПП'!рем</definedName>
    <definedName name="рем" localSheetId="20">'[4]5.2-опер.рас ПП'!рем</definedName>
    <definedName name="рем" localSheetId="28">'[3]5.2-опер.рас ПП'!рем</definedName>
    <definedName name="рем" localSheetId="38">'[3]5.2-опер.рас ПП'!рем</definedName>
    <definedName name="рем" localSheetId="26">'[3]5.2-опер.рас ПП'!рем</definedName>
    <definedName name="рем" localSheetId="34">'[3]5.2-опер.рас ПП'!рем</definedName>
    <definedName name="рем" localSheetId="32">'[3]5.2-опер.рас ПП'!рем</definedName>
    <definedName name="рем" localSheetId="23">'[3]5.2-опер.рас ПП'!рем</definedName>
    <definedName name="рем" localSheetId="41">'[3]5.2-опер.рас ПП'!рем</definedName>
    <definedName name="рем" localSheetId="31">'[3]5.2-опер.рас ПП'!рем</definedName>
    <definedName name="рем" localSheetId="30">'[3]5.2-опер.рас ПП'!рем</definedName>
    <definedName name="рем" localSheetId="47">'[4]5.2-опер.рас ПП'!рем</definedName>
    <definedName name="рем" localSheetId="46">'[4]5.2-опер.рас ПП'!рем</definedName>
    <definedName name="рем" localSheetId="52">'[3]5.2-опер.рас ПП'!рем</definedName>
    <definedName name="рем" localSheetId="62">'[3]5.2-опер.рас ПП'!рем</definedName>
    <definedName name="рем" localSheetId="57">'[3]5.2-опер.рас ПП'!рем</definedName>
    <definedName name="рем" localSheetId="51">'[3]5.2-опер.рас ПП'!рем</definedName>
    <definedName name="рем" localSheetId="61">'[3]5.2-опер.рас ПП'!рем</definedName>
    <definedName name="рем" localSheetId="56">'[3]5.2-опер.рас ПП'!рем</definedName>
    <definedName name="рем" localSheetId="60">'[3]5.2-опер.рас ПП'!рем</definedName>
    <definedName name="рем" localSheetId="55">'[3]5.2-опер.рас ПП'!рем</definedName>
    <definedName name="рем" localSheetId="50">'[3]5.2-опер.рас ПП'!рем</definedName>
    <definedName name="рем" localSheetId="96">'[3]5.2-опер.рас ПП'!рем</definedName>
    <definedName name="рем" localSheetId="93">'[3]5.2-опер.рас ПП'!рем</definedName>
    <definedName name="рем" localSheetId="99">'[3]5.2-опер.рас ПП'!рем</definedName>
    <definedName name="рем" localSheetId="95">'[3]5.2-опер.рас ПП'!рем</definedName>
    <definedName name="рем" localSheetId="92">'[3]5.2-опер.рас ПП'!рем</definedName>
    <definedName name="рем" localSheetId="98">'[3]5.2-опер.рас ПП'!рем</definedName>
    <definedName name="рем" localSheetId="94">'[3]5.2-опер.рас ПП'!рем</definedName>
    <definedName name="рем" localSheetId="91">'[3]5.2-опер.рас ПП'!рем</definedName>
    <definedName name="рем" localSheetId="97">'[3]5.2-опер.рас ПП'!рем</definedName>
    <definedName name="рем" localSheetId="103">'[3]5.2-опер.рас ПП'!рем</definedName>
    <definedName name="рем" localSheetId="101">'[3]5.2-опер.рас ПП'!рем</definedName>
    <definedName name="рем" localSheetId="106">'[3]5.2-опер.рас ПП'!рем</definedName>
    <definedName name="рем" localSheetId="102">'[3]5.2-опер.рас ПП'!рем</definedName>
    <definedName name="рем" localSheetId="100">'[3]5.2-опер.рас ПП'!рем</definedName>
    <definedName name="рем" localSheetId="105">'[3]5.2-опер.рас ПП'!рем</definedName>
    <definedName name="рем" localSheetId="104">'[3]5.2-опер.рас ПП'!рем</definedName>
    <definedName name="рем" localSheetId="110">'[3]5.2-опер.рас ПП'!рем</definedName>
    <definedName name="рем" localSheetId="107">'[3]5.2-опер.рас ПП'!рем</definedName>
    <definedName name="рем" localSheetId="113">'[3]5.2-опер.рас ПП'!рем</definedName>
    <definedName name="рем" localSheetId="115">'[3]5.2-опер.рас ПП'!рем</definedName>
    <definedName name="рем" localSheetId="114">'[3]5.2-опер.рас ПП'!рем</definedName>
    <definedName name="рем" localSheetId="112">'[3]5.2-опер.рас ПП'!рем</definedName>
    <definedName name="рем" localSheetId="109">'[3]5.2-опер.рас ПП'!рем</definedName>
    <definedName name="рем" localSheetId="111">'[3]5.2-опер.рас ПП'!рем</definedName>
    <definedName name="рем" localSheetId="108">'[3]5.2-опер.рас ПП'!рем</definedName>
    <definedName name="рем" localSheetId="122">'[3]5.2-опер.рас ПП'!рем</definedName>
    <definedName name="рем" localSheetId="116">'[3]5.2-опер.рас ПП'!рем</definedName>
    <definedName name="рем" localSheetId="125">'[3]5.2-опер.рас ПП'!рем</definedName>
    <definedName name="рем" localSheetId="127">'[3]5.2-опер.рас ПП'!рем</definedName>
    <definedName name="рем" localSheetId="126">'[3]5.2-опер.рас ПП'!рем</definedName>
    <definedName name="рем" localSheetId="124">'[3]5.2-опер.рас ПП'!рем</definedName>
    <definedName name="рем" localSheetId="118">'[3]5.2-опер.рас ПП'!рем</definedName>
    <definedName name="рем" localSheetId="123">'[3]5.2-опер.рас ПП'!рем</definedName>
    <definedName name="рем" localSheetId="117">'[3]5.2-опер.рас ПП'!рем</definedName>
    <definedName name="рем" localSheetId="119">'[3]5.2-опер.рас ПП'!рем</definedName>
    <definedName name="рем" localSheetId="120">'[3]5.2-опер.рас ПП'!рем</definedName>
    <definedName name="рем" localSheetId="121">'[3]5.2-опер.рас ПП'!рем</definedName>
    <definedName name="рем" localSheetId="129">'[3]5.2-опер.рас ПП'!рем</definedName>
    <definedName name="рем" localSheetId="128">'[3]5.2-опер.рас ПП'!рем</definedName>
    <definedName name="рем" localSheetId="130">'[3]5.2-опер.рас ПП'!рем</definedName>
    <definedName name="рем" localSheetId="133">'[3]5.2-опер.рас ПП'!рем</definedName>
    <definedName name="рем" localSheetId="132">'[3]5.2-опер.рас ПП'!рем</definedName>
    <definedName name="рем" localSheetId="136">'[3]5.2-опер.рас ПП'!рем</definedName>
    <definedName name="рем" localSheetId="134">'[3]5.2-опер.рас ПП'!рем</definedName>
    <definedName name="рем" localSheetId="139">'[3]5.2-опер.рас ПП'!рем</definedName>
    <definedName name="рем" localSheetId="137">'[3]5.2-опер.рас ПП'!рем</definedName>
    <definedName name="рем" localSheetId="142">'[3]5.2-опер.рас ПП'!рем</definedName>
    <definedName name="рем" localSheetId="141">'[3]5.2-опер.рас ПП'!рем</definedName>
    <definedName name="рем" localSheetId="140">'[3]5.2-опер.рас ПП'!рем</definedName>
    <definedName name="рем" localSheetId="145">'[3]5.2-опер.рас ПП'!рем</definedName>
    <definedName name="рем" localSheetId="143">'[3]5.2-опер.рас ПП'!рем</definedName>
    <definedName name="рем" localSheetId="150">'[3]5.2-опер.рас ПП'!рем</definedName>
    <definedName name="рем" localSheetId="158">'[3]5.2-опер.рас ПП'!рем</definedName>
    <definedName name="рем" localSheetId="157">'[3]5.2-опер.рас ПП'!рем</definedName>
    <definedName name="рем" localSheetId="156">'[3]5.2-опер.рас ПП'!рем</definedName>
    <definedName name="рем" localSheetId="146">'[3]5.2-опер.рас ПП'!рем</definedName>
    <definedName name="рем" localSheetId="89">'[3]5.2-опер.рас ПП'!рем</definedName>
    <definedName name="рем" localSheetId="90">'[3]5.2-опер.рас ПП'!рем</definedName>
    <definedName name="рем" localSheetId="2">'[4]5.2-опер.рас ПП'!рем</definedName>
    <definedName name="рем" localSheetId="1">'[4]5.2-опер.рас ПП'!рем</definedName>
    <definedName name="рем">'[3]5.2-опер.рас ПП'!рем</definedName>
    <definedName name="с">#N/A</definedName>
    <definedName name="сель" localSheetId="19">'[3]5.2-опер.рас ПП'!сель</definedName>
    <definedName name="сель" localSheetId="17">'[3]5.2-опер.рас ПП'!сель</definedName>
    <definedName name="сель" localSheetId="45">'4. 7_котельн.'!сель</definedName>
    <definedName name="сель" localSheetId="44">'4. 7_КТЭЦ'!сель</definedName>
    <definedName name="сель" localSheetId="3">'[3]5.2-опер.рас ПП'!сель</definedName>
    <definedName name="сель" localSheetId="78">'[3]5.2-опер.рас ПП'!сель</definedName>
    <definedName name="сель" localSheetId="65">'[3]5.2-опер.рас ПП'!сель</definedName>
    <definedName name="сель" localSheetId="75">'[3]5.2-опер.рас ПП'!сель</definedName>
    <definedName name="сель" localSheetId="70">'[3]5.2-опер.рас ПП'!сель</definedName>
    <definedName name="сель" localSheetId="79">'[3]5.2-опер.рас ПП'!сель</definedName>
    <definedName name="сель" localSheetId="82">'[3]5.2-опер.рас ПП'!сель</definedName>
    <definedName name="сель" localSheetId="12">'[3]5.2-опер.рас ПП'!сель</definedName>
    <definedName name="сель" localSheetId="11">'[3]5.2-опер.рас ПП'!сель</definedName>
    <definedName name="сель" localSheetId="20">'[4]5.2-опер.рас ПП'!сель</definedName>
    <definedName name="сель" localSheetId="28">'[3]5.2-опер.рас ПП'!сель</definedName>
    <definedName name="сель" localSheetId="38">'[3]5.2-опер.рас ПП'!сель</definedName>
    <definedName name="сель" localSheetId="26">'[3]5.2-опер.рас ПП'!сель</definedName>
    <definedName name="сель" localSheetId="34">'[3]5.2-опер.рас ПП'!сель</definedName>
    <definedName name="сель" localSheetId="32">'[3]5.2-опер.рас ПП'!сель</definedName>
    <definedName name="сель" localSheetId="23">'[3]5.2-опер.рас ПП'!сель</definedName>
    <definedName name="сель" localSheetId="41">'[3]5.2-опер.рас ПП'!сель</definedName>
    <definedName name="сель" localSheetId="31">'[3]5.2-опер.рас ПП'!сель</definedName>
    <definedName name="сель" localSheetId="30">'[3]5.2-опер.рас ПП'!сель</definedName>
    <definedName name="сель" localSheetId="47">'[4]5.2-опер.рас ПП'!сель</definedName>
    <definedName name="сель" localSheetId="46">'[4]5.2-опер.рас ПП'!сель</definedName>
    <definedName name="сель" localSheetId="52">'[3]5.2-опер.рас ПП'!сель</definedName>
    <definedName name="сель" localSheetId="62">'[3]5.2-опер.рас ПП'!сель</definedName>
    <definedName name="сель" localSheetId="57">'[3]5.2-опер.рас ПП'!сель</definedName>
    <definedName name="сель" localSheetId="51">'[3]5.2-опер.рас ПП'!сель</definedName>
    <definedName name="сель" localSheetId="61">'[3]5.2-опер.рас ПП'!сель</definedName>
    <definedName name="сель" localSheetId="56">'[3]5.2-опер.рас ПП'!сель</definedName>
    <definedName name="сель" localSheetId="60">'[3]5.2-опер.рас ПП'!сель</definedName>
    <definedName name="сель" localSheetId="55">'[3]5.2-опер.рас ПП'!сель</definedName>
    <definedName name="сель" localSheetId="50">'[3]5.2-опер.рас ПП'!сель</definedName>
    <definedName name="сель" localSheetId="96">'[3]5.2-опер.рас ПП'!сель</definedName>
    <definedName name="сель" localSheetId="93">'[3]5.2-опер.рас ПП'!сель</definedName>
    <definedName name="сель" localSheetId="99">'[3]5.2-опер.рас ПП'!сель</definedName>
    <definedName name="сель" localSheetId="95">'[3]5.2-опер.рас ПП'!сель</definedName>
    <definedName name="сель" localSheetId="92">'[3]5.2-опер.рас ПП'!сель</definedName>
    <definedName name="сель" localSheetId="98">'[3]5.2-опер.рас ПП'!сель</definedName>
    <definedName name="сель" localSheetId="94">'[3]5.2-опер.рас ПП'!сель</definedName>
    <definedName name="сель" localSheetId="91">'[3]5.2-опер.рас ПП'!сель</definedName>
    <definedName name="сель" localSheetId="97">'[3]5.2-опер.рас ПП'!сель</definedName>
    <definedName name="сель" localSheetId="103">'[3]5.2-опер.рас ПП'!сель</definedName>
    <definedName name="сель" localSheetId="101">'[3]5.2-опер.рас ПП'!сель</definedName>
    <definedName name="сель" localSheetId="106">'[3]5.2-опер.рас ПП'!сель</definedName>
    <definedName name="сель" localSheetId="102">'[3]5.2-опер.рас ПП'!сель</definedName>
    <definedName name="сель" localSheetId="100">'[3]5.2-опер.рас ПП'!сель</definedName>
    <definedName name="сель" localSheetId="105">'[3]5.2-опер.рас ПП'!сель</definedName>
    <definedName name="сель" localSheetId="104">'[3]5.2-опер.рас ПП'!сель</definedName>
    <definedName name="сель" localSheetId="110">'[3]5.2-опер.рас ПП'!сель</definedName>
    <definedName name="сель" localSheetId="107">'[3]5.2-опер.рас ПП'!сель</definedName>
    <definedName name="сель" localSheetId="113">'[3]5.2-опер.рас ПП'!сель</definedName>
    <definedName name="сель" localSheetId="115">'[3]5.2-опер.рас ПП'!сель</definedName>
    <definedName name="сель" localSheetId="114">'[3]5.2-опер.рас ПП'!сель</definedName>
    <definedName name="сель" localSheetId="112">'[3]5.2-опер.рас ПП'!сель</definedName>
    <definedName name="сель" localSheetId="109">'[3]5.2-опер.рас ПП'!сель</definedName>
    <definedName name="сель" localSheetId="111">'[3]5.2-опер.рас ПП'!сель</definedName>
    <definedName name="сель" localSheetId="108">'[3]5.2-опер.рас ПП'!сель</definedName>
    <definedName name="сель" localSheetId="122">'[3]5.2-опер.рас ПП'!сель</definedName>
    <definedName name="сель" localSheetId="116">'[3]5.2-опер.рас ПП'!сель</definedName>
    <definedName name="сель" localSheetId="125">'[3]5.2-опер.рас ПП'!сель</definedName>
    <definedName name="сель" localSheetId="127">'[3]5.2-опер.рас ПП'!сель</definedName>
    <definedName name="сель" localSheetId="126">'[3]5.2-опер.рас ПП'!сель</definedName>
    <definedName name="сель" localSheetId="124">'[3]5.2-опер.рас ПП'!сель</definedName>
    <definedName name="сель" localSheetId="118">'[3]5.2-опер.рас ПП'!сель</definedName>
    <definedName name="сель" localSheetId="123">'[3]5.2-опер.рас ПП'!сель</definedName>
    <definedName name="сель" localSheetId="117">'[3]5.2-опер.рас ПП'!сель</definedName>
    <definedName name="сель" localSheetId="119">'[3]5.2-опер.рас ПП'!сель</definedName>
    <definedName name="сель" localSheetId="120">'[3]5.2-опер.рас ПП'!сель</definedName>
    <definedName name="сель" localSheetId="121">'[3]5.2-опер.рас ПП'!сель</definedName>
    <definedName name="сель" localSheetId="129">'[3]5.2-опер.рас ПП'!сель</definedName>
    <definedName name="сель" localSheetId="128">'[3]5.2-опер.рас ПП'!сель</definedName>
    <definedName name="сель" localSheetId="130">'[3]5.2-опер.рас ПП'!сель</definedName>
    <definedName name="сель" localSheetId="133">'[3]5.2-опер.рас ПП'!сель</definedName>
    <definedName name="сель" localSheetId="132">'[3]5.2-опер.рас ПП'!сель</definedName>
    <definedName name="сель" localSheetId="136">'[3]5.2-опер.рас ПП'!сель</definedName>
    <definedName name="сель" localSheetId="134">'[3]5.2-опер.рас ПП'!сель</definedName>
    <definedName name="сель" localSheetId="139">'[3]5.2-опер.рас ПП'!сель</definedName>
    <definedName name="сель" localSheetId="137">'[3]5.2-опер.рас ПП'!сель</definedName>
    <definedName name="сель" localSheetId="142">'[3]5.2-опер.рас ПП'!сель</definedName>
    <definedName name="сель" localSheetId="141">'[3]5.2-опер.рас ПП'!сель</definedName>
    <definedName name="сель" localSheetId="140">'[3]5.2-опер.рас ПП'!сель</definedName>
    <definedName name="сель" localSheetId="145">'[3]5.2-опер.рас ПП'!сель</definedName>
    <definedName name="сель" localSheetId="143">'[3]5.2-опер.рас ПП'!сель</definedName>
    <definedName name="сель" localSheetId="150">'[3]5.2-опер.рас ПП'!сель</definedName>
    <definedName name="сель" localSheetId="158">'[3]5.2-опер.рас ПП'!сель</definedName>
    <definedName name="сель" localSheetId="157">'[3]5.2-опер.рас ПП'!сель</definedName>
    <definedName name="сель" localSheetId="156">'[3]5.2-опер.рас ПП'!сель</definedName>
    <definedName name="сель" localSheetId="146">'[3]5.2-опер.рас ПП'!сель</definedName>
    <definedName name="сель" localSheetId="89">'[3]5.2-опер.рас ПП'!сель</definedName>
    <definedName name="сель" localSheetId="90">'[3]5.2-опер.рас ПП'!сель</definedName>
    <definedName name="сель" localSheetId="2">'[4]5.2-опер.рас ПП'!сель</definedName>
    <definedName name="сель" localSheetId="1">'[4]5.2-опер.рас ПП'!сель</definedName>
    <definedName name="сель">'[3]5.2-опер.рас ПП'!сель</definedName>
    <definedName name="сельск.хоз" localSheetId="19">'[3]5.2-опер.рас ПП'!сельск.хоз</definedName>
    <definedName name="сельск.хоз" localSheetId="17">'[3]5.2-опер.рас ПП'!сельск.хоз</definedName>
    <definedName name="сельск.хоз" localSheetId="45">'4. 7_котельн.'!сельск.хоз</definedName>
    <definedName name="сельск.хоз" localSheetId="44">'4. 7_КТЭЦ'!сельск.хоз</definedName>
    <definedName name="сельск.хоз" localSheetId="3">'[3]5.2-опер.рас ПП'!сельск.хоз</definedName>
    <definedName name="сельск.хоз" localSheetId="78">'[3]5.2-опер.рас ПП'!сельск.хоз</definedName>
    <definedName name="сельск.хоз" localSheetId="65">'[3]5.2-опер.рас ПП'!сельск.хоз</definedName>
    <definedName name="сельск.хоз" localSheetId="75">'[3]5.2-опер.рас ПП'!сельск.хоз</definedName>
    <definedName name="сельск.хоз" localSheetId="70">'[3]5.2-опер.рас ПП'!сельск.хоз</definedName>
    <definedName name="сельск.хоз" localSheetId="79">'[3]5.2-опер.рас ПП'!сельск.хоз</definedName>
    <definedName name="сельск.хоз" localSheetId="82">'[3]5.2-опер.рас ПП'!сельск.хоз</definedName>
    <definedName name="сельск.хоз" localSheetId="12">'[3]5.2-опер.рас ПП'!сельск.хоз</definedName>
    <definedName name="сельск.хоз" localSheetId="11">'[3]5.2-опер.рас ПП'!сельск.хоз</definedName>
    <definedName name="сельск.хоз" localSheetId="20">'[4]5.2-опер.рас ПП'!сельск.хоз</definedName>
    <definedName name="сельск.хоз" localSheetId="28">'[3]5.2-опер.рас ПП'!сельск.хоз</definedName>
    <definedName name="сельск.хоз" localSheetId="38">'[3]5.2-опер.рас ПП'!сельск.хоз</definedName>
    <definedName name="сельск.хоз" localSheetId="26">'[3]5.2-опер.рас ПП'!сельск.хоз</definedName>
    <definedName name="сельск.хоз" localSheetId="34">'[3]5.2-опер.рас ПП'!сельск.хоз</definedName>
    <definedName name="сельск.хоз" localSheetId="32">'[3]5.2-опер.рас ПП'!сельск.хоз</definedName>
    <definedName name="сельск.хоз" localSheetId="23">'[3]5.2-опер.рас ПП'!сельск.хоз</definedName>
    <definedName name="сельск.хоз" localSheetId="41">'[3]5.2-опер.рас ПП'!сельск.хоз</definedName>
    <definedName name="сельск.хоз" localSheetId="31">'[3]5.2-опер.рас ПП'!сельск.хоз</definedName>
    <definedName name="сельск.хоз" localSheetId="30">'[3]5.2-опер.рас ПП'!сельск.хоз</definedName>
    <definedName name="сельск.хоз" localSheetId="47">'[4]5.2-опер.рас ПП'!сельск.хоз</definedName>
    <definedName name="сельск.хоз" localSheetId="46">'[4]5.2-опер.рас ПП'!сельск.хоз</definedName>
    <definedName name="сельск.хоз" localSheetId="52">'[3]5.2-опер.рас ПП'!сельск.хоз</definedName>
    <definedName name="сельск.хоз" localSheetId="62">'[3]5.2-опер.рас ПП'!сельск.хоз</definedName>
    <definedName name="сельск.хоз" localSheetId="57">'[3]5.2-опер.рас ПП'!сельск.хоз</definedName>
    <definedName name="сельск.хоз" localSheetId="51">'[3]5.2-опер.рас ПП'!сельск.хоз</definedName>
    <definedName name="сельск.хоз" localSheetId="61">'[3]5.2-опер.рас ПП'!сельск.хоз</definedName>
    <definedName name="сельск.хоз" localSheetId="56">'[3]5.2-опер.рас ПП'!сельск.хоз</definedName>
    <definedName name="сельск.хоз" localSheetId="60">'[3]5.2-опер.рас ПП'!сельск.хоз</definedName>
    <definedName name="сельск.хоз" localSheetId="55">'[3]5.2-опер.рас ПП'!сельск.хоз</definedName>
    <definedName name="сельск.хоз" localSheetId="50">'[3]5.2-опер.рас ПП'!сельск.хоз</definedName>
    <definedName name="сельск.хоз" localSheetId="96">'[3]5.2-опер.рас ПП'!сельск.хоз</definedName>
    <definedName name="сельск.хоз" localSheetId="93">'[3]5.2-опер.рас ПП'!сельск.хоз</definedName>
    <definedName name="сельск.хоз" localSheetId="99">'[3]5.2-опер.рас ПП'!сельск.хоз</definedName>
    <definedName name="сельск.хоз" localSheetId="95">'[3]5.2-опер.рас ПП'!сельск.хоз</definedName>
    <definedName name="сельск.хоз" localSheetId="92">'[3]5.2-опер.рас ПП'!сельск.хоз</definedName>
    <definedName name="сельск.хоз" localSheetId="98">'[3]5.2-опер.рас ПП'!сельск.хоз</definedName>
    <definedName name="сельск.хоз" localSheetId="94">'[3]5.2-опер.рас ПП'!сельск.хоз</definedName>
    <definedName name="сельск.хоз" localSheetId="91">'[3]5.2-опер.рас ПП'!сельск.хоз</definedName>
    <definedName name="сельск.хоз" localSheetId="97">'[3]5.2-опер.рас ПП'!сельск.хоз</definedName>
    <definedName name="сельск.хоз" localSheetId="103">'[3]5.2-опер.рас ПП'!сельск.хоз</definedName>
    <definedName name="сельск.хоз" localSheetId="101">'[3]5.2-опер.рас ПП'!сельск.хоз</definedName>
    <definedName name="сельск.хоз" localSheetId="106">'[3]5.2-опер.рас ПП'!сельск.хоз</definedName>
    <definedName name="сельск.хоз" localSheetId="102">'[3]5.2-опер.рас ПП'!сельск.хоз</definedName>
    <definedName name="сельск.хоз" localSheetId="100">'[3]5.2-опер.рас ПП'!сельск.хоз</definedName>
    <definedName name="сельск.хоз" localSheetId="105">'[3]5.2-опер.рас ПП'!сельск.хоз</definedName>
    <definedName name="сельск.хоз" localSheetId="104">'[3]5.2-опер.рас ПП'!сельск.хоз</definedName>
    <definedName name="сельск.хоз" localSheetId="110">'[3]5.2-опер.рас ПП'!сельск.хоз</definedName>
    <definedName name="сельск.хоз" localSheetId="107">'[3]5.2-опер.рас ПП'!сельск.хоз</definedName>
    <definedName name="сельск.хоз" localSheetId="113">'[3]5.2-опер.рас ПП'!сельск.хоз</definedName>
    <definedName name="сельск.хоз" localSheetId="115">'[3]5.2-опер.рас ПП'!сельск.хоз</definedName>
    <definedName name="сельск.хоз" localSheetId="114">'[3]5.2-опер.рас ПП'!сельск.хоз</definedName>
    <definedName name="сельск.хоз" localSheetId="112">'[3]5.2-опер.рас ПП'!сельск.хоз</definedName>
    <definedName name="сельск.хоз" localSheetId="109">'[3]5.2-опер.рас ПП'!сельск.хоз</definedName>
    <definedName name="сельск.хоз" localSheetId="111">'[3]5.2-опер.рас ПП'!сельск.хоз</definedName>
    <definedName name="сельск.хоз" localSheetId="108">'[3]5.2-опер.рас ПП'!сельск.хоз</definedName>
    <definedName name="сельск.хоз" localSheetId="122">'[3]5.2-опер.рас ПП'!сельск.хоз</definedName>
    <definedName name="сельск.хоз" localSheetId="116">'[3]5.2-опер.рас ПП'!сельск.хоз</definedName>
    <definedName name="сельск.хоз" localSheetId="125">'[3]5.2-опер.рас ПП'!сельск.хоз</definedName>
    <definedName name="сельск.хоз" localSheetId="127">'[3]5.2-опер.рас ПП'!сельск.хоз</definedName>
    <definedName name="сельск.хоз" localSheetId="126">'[3]5.2-опер.рас ПП'!сельск.хоз</definedName>
    <definedName name="сельск.хоз" localSheetId="124">'[3]5.2-опер.рас ПП'!сельск.хоз</definedName>
    <definedName name="сельск.хоз" localSheetId="118">'[3]5.2-опер.рас ПП'!сельск.хоз</definedName>
    <definedName name="сельск.хоз" localSheetId="123">'[3]5.2-опер.рас ПП'!сельск.хоз</definedName>
    <definedName name="сельск.хоз" localSheetId="117">'[3]5.2-опер.рас ПП'!сельск.хоз</definedName>
    <definedName name="сельск.хоз" localSheetId="119">'[3]5.2-опер.рас ПП'!сельск.хоз</definedName>
    <definedName name="сельск.хоз" localSheetId="120">'[3]5.2-опер.рас ПП'!сельск.хоз</definedName>
    <definedName name="сельск.хоз" localSheetId="121">'[3]5.2-опер.рас ПП'!сельск.хоз</definedName>
    <definedName name="сельск.хоз" localSheetId="129">'[3]5.2-опер.рас ПП'!сельск.хоз</definedName>
    <definedName name="сельск.хоз" localSheetId="128">'[3]5.2-опер.рас ПП'!сельск.хоз</definedName>
    <definedName name="сельск.хоз" localSheetId="130">'[3]5.2-опер.рас ПП'!сельск.хоз</definedName>
    <definedName name="сельск.хоз" localSheetId="133">'[3]5.2-опер.рас ПП'!сельск.хоз</definedName>
    <definedName name="сельск.хоз" localSheetId="132">'[3]5.2-опер.рас ПП'!сельск.хоз</definedName>
    <definedName name="сельск.хоз" localSheetId="136">'[3]5.2-опер.рас ПП'!сельск.хоз</definedName>
    <definedName name="сельск.хоз" localSheetId="134">'[3]5.2-опер.рас ПП'!сельск.хоз</definedName>
    <definedName name="сельск.хоз" localSheetId="139">'[3]5.2-опер.рас ПП'!сельск.хоз</definedName>
    <definedName name="сельск.хоз" localSheetId="137">'[3]5.2-опер.рас ПП'!сельск.хоз</definedName>
    <definedName name="сельск.хоз" localSheetId="142">'[3]5.2-опер.рас ПП'!сельск.хоз</definedName>
    <definedName name="сельск.хоз" localSheetId="141">'[3]5.2-опер.рас ПП'!сельск.хоз</definedName>
    <definedName name="сельск.хоз" localSheetId="140">'[3]5.2-опер.рас ПП'!сельск.хоз</definedName>
    <definedName name="сельск.хоз" localSheetId="145">'[3]5.2-опер.рас ПП'!сельск.хоз</definedName>
    <definedName name="сельск.хоз" localSheetId="143">'[3]5.2-опер.рас ПП'!сельск.хоз</definedName>
    <definedName name="сельск.хоз" localSheetId="150">'[3]5.2-опер.рас ПП'!сельск.хоз</definedName>
    <definedName name="сельск.хоз" localSheetId="158">'[3]5.2-опер.рас ПП'!сельск.хоз</definedName>
    <definedName name="сельск.хоз" localSheetId="157">'[3]5.2-опер.рас ПП'!сельск.хоз</definedName>
    <definedName name="сельск.хоз" localSheetId="156">'[3]5.2-опер.рас ПП'!сельск.хоз</definedName>
    <definedName name="сельск.хоз" localSheetId="146">'[3]5.2-опер.рас ПП'!сельск.хоз</definedName>
    <definedName name="сельск.хоз" localSheetId="89">'[3]5.2-опер.рас ПП'!сельск.хоз</definedName>
    <definedName name="сельск.хоз" localSheetId="90">'[3]5.2-опер.рас ПП'!сельск.хоз</definedName>
    <definedName name="сельск.хоз" localSheetId="2">'[4]5.2-опер.рас ПП'!сельск.хоз</definedName>
    <definedName name="сельск.хоз" localSheetId="1">'[4]5.2-опер.рас ПП'!сельск.хоз</definedName>
    <definedName name="сельск.хоз">'[3]5.2-опер.рас ПП'!сельск.хоз</definedName>
    <definedName name="сс">#N/A</definedName>
    <definedName name="ссс" localSheetId="19">'[3]5.2-опер.рас ПП'!ссс</definedName>
    <definedName name="ссс" localSheetId="17">'[3]5.2-опер.рас ПП'!ссс</definedName>
    <definedName name="ссс" localSheetId="45">'4. 7_котельн.'!ссс</definedName>
    <definedName name="ссс" localSheetId="44">'4. 7_КТЭЦ'!ссс</definedName>
    <definedName name="ссс" localSheetId="3">'[3]5.2-опер.рас ПП'!ссс</definedName>
    <definedName name="ссс" localSheetId="78">'[3]5.2-опер.рас ПП'!ссс</definedName>
    <definedName name="ссс" localSheetId="65">'[3]5.2-опер.рас ПП'!ссс</definedName>
    <definedName name="ссс" localSheetId="75">'[3]5.2-опер.рас ПП'!ссс</definedName>
    <definedName name="ссс" localSheetId="70">'[3]5.2-опер.рас ПП'!ссс</definedName>
    <definedName name="ссс" localSheetId="79">'[3]5.2-опер.рас ПП'!ссс</definedName>
    <definedName name="ссс" localSheetId="82">'[3]5.2-опер.рас ПП'!ссс</definedName>
    <definedName name="ссс" localSheetId="12">'[3]5.2-опер.рас ПП'!ссс</definedName>
    <definedName name="ссс" localSheetId="11">'[3]5.2-опер.рас ПП'!ссс</definedName>
    <definedName name="ссс" localSheetId="20">'[4]5.2-опер.рас ПП'!ссс</definedName>
    <definedName name="ссс" localSheetId="28">'[3]5.2-опер.рас ПП'!ссс</definedName>
    <definedName name="ссс" localSheetId="38">'[3]5.2-опер.рас ПП'!ссс</definedName>
    <definedName name="ссс" localSheetId="26">'[3]5.2-опер.рас ПП'!ссс</definedName>
    <definedName name="ссс" localSheetId="34">'[3]5.2-опер.рас ПП'!ссс</definedName>
    <definedName name="ссс" localSheetId="32">'[3]5.2-опер.рас ПП'!ссс</definedName>
    <definedName name="ссс" localSheetId="23">'[3]5.2-опер.рас ПП'!ссс</definedName>
    <definedName name="ссс" localSheetId="41">'[3]5.2-опер.рас ПП'!ссс</definedName>
    <definedName name="ссс" localSheetId="31">'[3]5.2-опер.рас ПП'!ссс</definedName>
    <definedName name="ссс" localSheetId="30">'[3]5.2-опер.рас ПП'!ссс</definedName>
    <definedName name="ссс" localSheetId="47">'[4]5.2-опер.рас ПП'!ссс</definedName>
    <definedName name="ссс" localSheetId="46">'[4]5.2-опер.рас ПП'!ссс</definedName>
    <definedName name="ссс" localSheetId="52">'[3]5.2-опер.рас ПП'!ссс</definedName>
    <definedName name="ссс" localSheetId="62">'[3]5.2-опер.рас ПП'!ссс</definedName>
    <definedName name="ссс" localSheetId="57">'[3]5.2-опер.рас ПП'!ссс</definedName>
    <definedName name="ссс" localSheetId="51">'[3]5.2-опер.рас ПП'!ссс</definedName>
    <definedName name="ссс" localSheetId="61">'[3]5.2-опер.рас ПП'!ссс</definedName>
    <definedName name="ссс" localSheetId="56">'[3]5.2-опер.рас ПП'!ссс</definedName>
    <definedName name="ссс" localSheetId="60">'[3]5.2-опер.рас ПП'!ссс</definedName>
    <definedName name="ссс" localSheetId="55">'[3]5.2-опер.рас ПП'!ссс</definedName>
    <definedName name="ссс" localSheetId="50">'[3]5.2-опер.рас ПП'!ссс</definedName>
    <definedName name="ссс" localSheetId="96">'[3]5.2-опер.рас ПП'!ссс</definedName>
    <definedName name="ссс" localSheetId="93">'[3]5.2-опер.рас ПП'!ссс</definedName>
    <definedName name="ссс" localSheetId="99">'[3]5.2-опер.рас ПП'!ссс</definedName>
    <definedName name="ссс" localSheetId="95">'[3]5.2-опер.рас ПП'!ссс</definedName>
    <definedName name="ссс" localSheetId="92">'[3]5.2-опер.рас ПП'!ссс</definedName>
    <definedName name="ссс" localSheetId="98">'[3]5.2-опер.рас ПП'!ссс</definedName>
    <definedName name="ссс" localSheetId="94">'[3]5.2-опер.рас ПП'!ссс</definedName>
    <definedName name="ссс" localSheetId="91">'[3]5.2-опер.рас ПП'!ссс</definedName>
    <definedName name="ссс" localSheetId="97">'[3]5.2-опер.рас ПП'!ссс</definedName>
    <definedName name="ссс" localSheetId="103">'[3]5.2-опер.рас ПП'!ссс</definedName>
    <definedName name="ссс" localSheetId="101">'[3]5.2-опер.рас ПП'!ссс</definedName>
    <definedName name="ссс" localSheetId="106">'[3]5.2-опер.рас ПП'!ссс</definedName>
    <definedName name="ссс" localSheetId="102">'[3]5.2-опер.рас ПП'!ссс</definedName>
    <definedName name="ссс" localSheetId="100">'[3]5.2-опер.рас ПП'!ссс</definedName>
    <definedName name="ссс" localSheetId="105">'[3]5.2-опер.рас ПП'!ссс</definedName>
    <definedName name="ссс" localSheetId="104">'[3]5.2-опер.рас ПП'!ссс</definedName>
    <definedName name="ссс" localSheetId="110">'[3]5.2-опер.рас ПП'!ссс</definedName>
    <definedName name="ссс" localSheetId="107">'[3]5.2-опер.рас ПП'!ссс</definedName>
    <definedName name="ссс" localSheetId="113">'[3]5.2-опер.рас ПП'!ссс</definedName>
    <definedName name="ссс" localSheetId="115">'[3]5.2-опер.рас ПП'!ссс</definedName>
    <definedName name="ссс" localSheetId="114">'[3]5.2-опер.рас ПП'!ссс</definedName>
    <definedName name="ссс" localSheetId="112">'[3]5.2-опер.рас ПП'!ссс</definedName>
    <definedName name="ссс" localSheetId="109">'[3]5.2-опер.рас ПП'!ссс</definedName>
    <definedName name="ссс" localSheetId="111">'[3]5.2-опер.рас ПП'!ссс</definedName>
    <definedName name="ссс" localSheetId="108">'[3]5.2-опер.рас ПП'!ссс</definedName>
    <definedName name="ссс" localSheetId="122">'[3]5.2-опер.рас ПП'!ссс</definedName>
    <definedName name="ссс" localSheetId="116">'[3]5.2-опер.рас ПП'!ссс</definedName>
    <definedName name="ссс" localSheetId="125">'[3]5.2-опер.рас ПП'!ссс</definedName>
    <definedName name="ссс" localSheetId="127">'[3]5.2-опер.рас ПП'!ссс</definedName>
    <definedName name="ссс" localSheetId="126">'[3]5.2-опер.рас ПП'!ссс</definedName>
    <definedName name="ссс" localSheetId="124">'[3]5.2-опер.рас ПП'!ссс</definedName>
    <definedName name="ссс" localSheetId="118">'[3]5.2-опер.рас ПП'!ссс</definedName>
    <definedName name="ссс" localSheetId="123">'[3]5.2-опер.рас ПП'!ссс</definedName>
    <definedName name="ссс" localSheetId="117">'[3]5.2-опер.рас ПП'!ссс</definedName>
    <definedName name="ссс" localSheetId="119">'[3]5.2-опер.рас ПП'!ссс</definedName>
    <definedName name="ссс" localSheetId="120">'[3]5.2-опер.рас ПП'!ссс</definedName>
    <definedName name="ссс" localSheetId="121">'[3]5.2-опер.рас ПП'!ссс</definedName>
    <definedName name="ссс" localSheetId="129">'[3]5.2-опер.рас ПП'!ссс</definedName>
    <definedName name="ссс" localSheetId="128">'[3]5.2-опер.рас ПП'!ссс</definedName>
    <definedName name="ссс" localSheetId="130">'[3]5.2-опер.рас ПП'!ссс</definedName>
    <definedName name="ссс" localSheetId="133">'[3]5.2-опер.рас ПП'!ссс</definedName>
    <definedName name="ссс" localSheetId="132">'[3]5.2-опер.рас ПП'!ссс</definedName>
    <definedName name="ссс" localSheetId="136">'[3]5.2-опер.рас ПП'!ссс</definedName>
    <definedName name="ссс" localSheetId="134">'[3]5.2-опер.рас ПП'!ссс</definedName>
    <definedName name="ссс" localSheetId="139">'[3]5.2-опер.рас ПП'!ссс</definedName>
    <definedName name="ссс" localSheetId="137">'[3]5.2-опер.рас ПП'!ссс</definedName>
    <definedName name="ссс" localSheetId="142">'[3]5.2-опер.рас ПП'!ссс</definedName>
    <definedName name="ссс" localSheetId="141">'[3]5.2-опер.рас ПП'!ссс</definedName>
    <definedName name="ссс" localSheetId="140">'[3]5.2-опер.рас ПП'!ссс</definedName>
    <definedName name="ссс" localSheetId="145">'[3]5.2-опер.рас ПП'!ссс</definedName>
    <definedName name="ссс" localSheetId="143">'[3]5.2-опер.рас ПП'!ссс</definedName>
    <definedName name="ссс" localSheetId="150">'[3]5.2-опер.рас ПП'!ссс</definedName>
    <definedName name="ссс" localSheetId="158">'[3]5.2-опер.рас ПП'!ссс</definedName>
    <definedName name="ссс" localSheetId="157">'[3]5.2-опер.рас ПП'!ссс</definedName>
    <definedName name="ссс" localSheetId="156">'[3]5.2-опер.рас ПП'!ссс</definedName>
    <definedName name="ссс" localSheetId="146">'[3]5.2-опер.рас ПП'!ссс</definedName>
    <definedName name="ссс" localSheetId="89">'[3]5.2-опер.рас ПП'!ссс</definedName>
    <definedName name="ссс" localSheetId="90">'[3]5.2-опер.рас ПП'!ссс</definedName>
    <definedName name="ссс" localSheetId="2">'[4]5.2-опер.рас ПП'!ссс</definedName>
    <definedName name="ссс" localSheetId="1">'[4]5.2-опер.рас ПП'!ссс</definedName>
    <definedName name="ссс">'[3]5.2-опер.рас ПП'!ссс</definedName>
    <definedName name="сссс">#N/A</definedName>
    <definedName name="ссы">#N/A</definedName>
    <definedName name="СУММА" localSheetId="19">#REF!</definedName>
    <definedName name="СУММА" localSheetId="18">#REF!</definedName>
    <definedName name="СУММА" localSheetId="17">#REF!</definedName>
    <definedName name="СУММА" localSheetId="45">#REF!</definedName>
    <definedName name="СУММА" localSheetId="44">#REF!</definedName>
    <definedName name="СУММА" localSheetId="3">#REF!</definedName>
    <definedName name="СУММА" localSheetId="78">#REF!</definedName>
    <definedName name="СУММА" localSheetId="63">#REF!</definedName>
    <definedName name="СУММА" localSheetId="73">#REF!</definedName>
    <definedName name="СУММА" localSheetId="68">#REF!</definedName>
    <definedName name="СУММА" localSheetId="65">#REF!</definedName>
    <definedName name="СУММА" localSheetId="75">#REF!</definedName>
    <definedName name="СУММА" localSheetId="70">#REF!</definedName>
    <definedName name="СУММА" localSheetId="79">#REF!</definedName>
    <definedName name="СУММА" localSheetId="82">#REF!</definedName>
    <definedName name="СУММА" localSheetId="12">#REF!</definedName>
    <definedName name="СУММА" localSheetId="11">#REF!</definedName>
    <definedName name="СУММА" localSheetId="20">#REF!</definedName>
    <definedName name="СУММА" localSheetId="28">#REF!</definedName>
    <definedName name="СУММА" localSheetId="38">#REF!</definedName>
    <definedName name="СУММА" localSheetId="26">#REF!</definedName>
    <definedName name="СУММА" localSheetId="34">#REF!</definedName>
    <definedName name="СУММА" localSheetId="32">#REF!</definedName>
    <definedName name="СУММА" localSheetId="23">#REF!</definedName>
    <definedName name="СУММА" localSheetId="41">#REF!</definedName>
    <definedName name="СУММА" localSheetId="31">#REF!</definedName>
    <definedName name="СУММА" localSheetId="30">#REF!</definedName>
    <definedName name="СУММА" localSheetId="47">#REF!</definedName>
    <definedName name="СУММА" localSheetId="46">#REF!</definedName>
    <definedName name="СУММА" localSheetId="52">#REF!</definedName>
    <definedName name="СУММА" localSheetId="62">#REF!</definedName>
    <definedName name="СУММА" localSheetId="57">#REF!</definedName>
    <definedName name="СУММА" localSheetId="48">#REF!</definedName>
    <definedName name="СУММА" localSheetId="58">#REF!</definedName>
    <definedName name="СУММА" localSheetId="53">#REF!</definedName>
    <definedName name="СУММА" localSheetId="51">#REF!</definedName>
    <definedName name="СУММА" localSheetId="61">#REF!</definedName>
    <definedName name="СУММА" localSheetId="56">#REF!</definedName>
    <definedName name="СУММА" localSheetId="60">#REF!</definedName>
    <definedName name="СУММА" localSheetId="55">#REF!</definedName>
    <definedName name="СУММА" localSheetId="50">#REF!</definedName>
    <definedName name="СУММА" localSheetId="96">#REF!</definedName>
    <definedName name="СУММА" localSheetId="93">#REF!</definedName>
    <definedName name="СУММА" localSheetId="99">#REF!</definedName>
    <definedName name="СУММА" localSheetId="95">#REF!</definedName>
    <definedName name="СУММА" localSheetId="92">#REF!</definedName>
    <definedName name="СУММА" localSheetId="98">#REF!</definedName>
    <definedName name="СУММА" localSheetId="94">#REF!</definedName>
    <definedName name="СУММА" localSheetId="91">#REF!</definedName>
    <definedName name="СУММА" localSheetId="97">#REF!</definedName>
    <definedName name="СУММА" localSheetId="103">#REF!</definedName>
    <definedName name="СУММА" localSheetId="101">#REF!</definedName>
    <definedName name="СУММА" localSheetId="106">#REF!</definedName>
    <definedName name="СУММА" localSheetId="102">#REF!</definedName>
    <definedName name="СУММА" localSheetId="100">#REF!</definedName>
    <definedName name="СУММА" localSheetId="105">#REF!</definedName>
    <definedName name="СУММА" localSheetId="104">#REF!</definedName>
    <definedName name="СУММА" localSheetId="110">#REF!</definedName>
    <definedName name="СУММА" localSheetId="107">#REF!</definedName>
    <definedName name="СУММА" localSheetId="113">#REF!</definedName>
    <definedName name="СУММА" localSheetId="115">#REF!</definedName>
    <definedName name="СУММА" localSheetId="114">#REF!</definedName>
    <definedName name="СУММА" localSheetId="112">#REF!</definedName>
    <definedName name="СУММА" localSheetId="109">#REF!</definedName>
    <definedName name="СУММА" localSheetId="111">#REF!</definedName>
    <definedName name="СУММА" localSheetId="108">#REF!</definedName>
    <definedName name="СУММА" localSheetId="122">#REF!</definedName>
    <definedName name="СУММА" localSheetId="116">#REF!</definedName>
    <definedName name="СУММА" localSheetId="125">#REF!</definedName>
    <definedName name="СУММА" localSheetId="127">#REF!</definedName>
    <definedName name="СУММА" localSheetId="126">#REF!</definedName>
    <definedName name="СУММА" localSheetId="124">#REF!</definedName>
    <definedName name="СУММА" localSheetId="118">#REF!</definedName>
    <definedName name="СУММА" localSheetId="123">#REF!</definedName>
    <definedName name="СУММА" localSheetId="117">#REF!</definedName>
    <definedName name="СУММА" localSheetId="119">#REF!</definedName>
    <definedName name="СУММА" localSheetId="120">#REF!</definedName>
    <definedName name="СУММА" localSheetId="121">#REF!</definedName>
    <definedName name="СУММА" localSheetId="129">#REF!</definedName>
    <definedName name="СУММА" localSheetId="128">#REF!</definedName>
    <definedName name="СУММА" localSheetId="130">#REF!</definedName>
    <definedName name="СУММА" localSheetId="133">#REF!</definedName>
    <definedName name="СУММА" localSheetId="132">#REF!</definedName>
    <definedName name="СУММА" localSheetId="136">#REF!</definedName>
    <definedName name="СУММА" localSheetId="134">#REF!</definedName>
    <definedName name="СУММА" localSheetId="139">#REF!</definedName>
    <definedName name="СУММА" localSheetId="137">#REF!</definedName>
    <definedName name="СУММА" localSheetId="142">#REF!</definedName>
    <definedName name="СУММА" localSheetId="141">#REF!</definedName>
    <definedName name="СУММА" localSheetId="140">#REF!</definedName>
    <definedName name="СУММА" localSheetId="145">#REF!</definedName>
    <definedName name="СУММА" localSheetId="144">#REF!</definedName>
    <definedName name="СУММА" localSheetId="143">#REF!</definedName>
    <definedName name="СУММА" localSheetId="150">#REF!</definedName>
    <definedName name="СУММА" localSheetId="158">#REF!</definedName>
    <definedName name="СУММА" localSheetId="157">#REF!</definedName>
    <definedName name="СУММА" localSheetId="156">#REF!</definedName>
    <definedName name="СУММА" localSheetId="146">#REF!</definedName>
    <definedName name="СУММА" localSheetId="89">#REF!</definedName>
    <definedName name="СУММА" localSheetId="90">#REF!</definedName>
    <definedName name="СУММА" localSheetId="2">#REF!</definedName>
    <definedName name="СУММА">#REF!</definedName>
    <definedName name="тов" localSheetId="19">'[3]5.2-опер.рас ПП'!тов</definedName>
    <definedName name="тов" localSheetId="17">'[3]5.2-опер.рас ПП'!тов</definedName>
    <definedName name="тов" localSheetId="45">'4. 7_котельн.'!тов</definedName>
    <definedName name="тов" localSheetId="44">'4. 7_КТЭЦ'!тов</definedName>
    <definedName name="тов" localSheetId="3">'[3]5.2-опер.рас ПП'!тов</definedName>
    <definedName name="тов" localSheetId="78">'[3]5.2-опер.рас ПП'!тов</definedName>
    <definedName name="тов" localSheetId="65">'[3]5.2-опер.рас ПП'!тов</definedName>
    <definedName name="тов" localSheetId="75">'[3]5.2-опер.рас ПП'!тов</definedName>
    <definedName name="тов" localSheetId="70">'[3]5.2-опер.рас ПП'!тов</definedName>
    <definedName name="тов" localSheetId="79">'[3]5.2-опер.рас ПП'!тов</definedName>
    <definedName name="тов" localSheetId="82">'[3]5.2-опер.рас ПП'!тов</definedName>
    <definedName name="тов" localSheetId="12">'[3]5.2-опер.рас ПП'!тов</definedName>
    <definedName name="тов" localSheetId="11">'[3]5.2-опер.рас ПП'!тов</definedName>
    <definedName name="тов" localSheetId="20">'[4]5.2-опер.рас ПП'!тов</definedName>
    <definedName name="тов" localSheetId="28">'[3]5.2-опер.рас ПП'!тов</definedName>
    <definedName name="тов" localSheetId="38">'[3]5.2-опер.рас ПП'!тов</definedName>
    <definedName name="тов" localSheetId="26">'[3]5.2-опер.рас ПП'!тов</definedName>
    <definedName name="тов" localSheetId="34">'[3]5.2-опер.рас ПП'!тов</definedName>
    <definedName name="тов" localSheetId="32">'[3]5.2-опер.рас ПП'!тов</definedName>
    <definedName name="тов" localSheetId="23">'[3]5.2-опер.рас ПП'!тов</definedName>
    <definedName name="тов" localSheetId="41">'[3]5.2-опер.рас ПП'!тов</definedName>
    <definedName name="тов" localSheetId="31">'[3]5.2-опер.рас ПП'!тов</definedName>
    <definedName name="тов" localSheetId="30">'[3]5.2-опер.рас ПП'!тов</definedName>
    <definedName name="тов" localSheetId="47">'[4]5.2-опер.рас ПП'!тов</definedName>
    <definedName name="тов" localSheetId="46">'[4]5.2-опер.рас ПП'!тов</definedName>
    <definedName name="тов" localSheetId="52">'[3]5.2-опер.рас ПП'!тов</definedName>
    <definedName name="тов" localSheetId="62">'[3]5.2-опер.рас ПП'!тов</definedName>
    <definedName name="тов" localSheetId="57">'[3]5.2-опер.рас ПП'!тов</definedName>
    <definedName name="тов" localSheetId="51">'[3]5.2-опер.рас ПП'!тов</definedName>
    <definedName name="тов" localSheetId="61">'[3]5.2-опер.рас ПП'!тов</definedName>
    <definedName name="тов" localSheetId="56">'[3]5.2-опер.рас ПП'!тов</definedName>
    <definedName name="тов" localSheetId="60">'[3]5.2-опер.рас ПП'!тов</definedName>
    <definedName name="тов" localSheetId="55">'[3]5.2-опер.рас ПП'!тов</definedName>
    <definedName name="тов" localSheetId="50">'[3]5.2-опер.рас ПП'!тов</definedName>
    <definedName name="тов" localSheetId="96">'[3]5.2-опер.рас ПП'!тов</definedName>
    <definedName name="тов" localSheetId="93">'[3]5.2-опер.рас ПП'!тов</definedName>
    <definedName name="тов" localSheetId="99">'[3]5.2-опер.рас ПП'!тов</definedName>
    <definedName name="тов" localSheetId="95">'[3]5.2-опер.рас ПП'!тов</definedName>
    <definedName name="тов" localSheetId="92">'[3]5.2-опер.рас ПП'!тов</definedName>
    <definedName name="тов" localSheetId="98">'[3]5.2-опер.рас ПП'!тов</definedName>
    <definedName name="тов" localSheetId="94">'[3]5.2-опер.рас ПП'!тов</definedName>
    <definedName name="тов" localSheetId="91">'[3]5.2-опер.рас ПП'!тов</definedName>
    <definedName name="тов" localSheetId="97">'[3]5.2-опер.рас ПП'!тов</definedName>
    <definedName name="тов" localSheetId="103">'[3]5.2-опер.рас ПП'!тов</definedName>
    <definedName name="тов" localSheetId="101">'[3]5.2-опер.рас ПП'!тов</definedName>
    <definedName name="тов" localSheetId="106">'[3]5.2-опер.рас ПП'!тов</definedName>
    <definedName name="тов" localSheetId="102">'[3]5.2-опер.рас ПП'!тов</definedName>
    <definedName name="тов" localSheetId="100">'[3]5.2-опер.рас ПП'!тов</definedName>
    <definedName name="тов" localSheetId="105">'[3]5.2-опер.рас ПП'!тов</definedName>
    <definedName name="тов" localSheetId="104">'[3]5.2-опер.рас ПП'!тов</definedName>
    <definedName name="тов" localSheetId="110">'[3]5.2-опер.рас ПП'!тов</definedName>
    <definedName name="тов" localSheetId="107">'[3]5.2-опер.рас ПП'!тов</definedName>
    <definedName name="тов" localSheetId="113">'[3]5.2-опер.рас ПП'!тов</definedName>
    <definedName name="тов" localSheetId="115">'[3]5.2-опер.рас ПП'!тов</definedName>
    <definedName name="тов" localSheetId="114">'[3]5.2-опер.рас ПП'!тов</definedName>
    <definedName name="тов" localSheetId="112">'[3]5.2-опер.рас ПП'!тов</definedName>
    <definedName name="тов" localSheetId="109">'[3]5.2-опер.рас ПП'!тов</definedName>
    <definedName name="тов" localSheetId="111">'[3]5.2-опер.рас ПП'!тов</definedName>
    <definedName name="тов" localSheetId="108">'[3]5.2-опер.рас ПП'!тов</definedName>
    <definedName name="тов" localSheetId="122">'[3]5.2-опер.рас ПП'!тов</definedName>
    <definedName name="тов" localSheetId="116">'[3]5.2-опер.рас ПП'!тов</definedName>
    <definedName name="тов" localSheetId="125">'[3]5.2-опер.рас ПП'!тов</definedName>
    <definedName name="тов" localSheetId="127">'[3]5.2-опер.рас ПП'!тов</definedName>
    <definedName name="тов" localSheetId="126">'[3]5.2-опер.рас ПП'!тов</definedName>
    <definedName name="тов" localSheetId="124">'[3]5.2-опер.рас ПП'!тов</definedName>
    <definedName name="тов" localSheetId="118">'[3]5.2-опер.рас ПП'!тов</definedName>
    <definedName name="тов" localSheetId="123">'[3]5.2-опер.рас ПП'!тов</definedName>
    <definedName name="тов" localSheetId="117">'[3]5.2-опер.рас ПП'!тов</definedName>
    <definedName name="тов" localSheetId="119">'[3]5.2-опер.рас ПП'!тов</definedName>
    <definedName name="тов" localSheetId="120">'[3]5.2-опер.рас ПП'!тов</definedName>
    <definedName name="тов" localSheetId="121">'[3]5.2-опер.рас ПП'!тов</definedName>
    <definedName name="тов" localSheetId="129">'[3]5.2-опер.рас ПП'!тов</definedName>
    <definedName name="тов" localSheetId="128">'[3]5.2-опер.рас ПП'!тов</definedName>
    <definedName name="тов" localSheetId="130">'[3]5.2-опер.рас ПП'!тов</definedName>
    <definedName name="тов" localSheetId="133">'[3]5.2-опер.рас ПП'!тов</definedName>
    <definedName name="тов" localSheetId="132">'[3]5.2-опер.рас ПП'!тов</definedName>
    <definedName name="тов" localSheetId="136">'[3]5.2-опер.рас ПП'!тов</definedName>
    <definedName name="тов" localSheetId="134">'[3]5.2-опер.рас ПП'!тов</definedName>
    <definedName name="тов" localSheetId="139">'[3]5.2-опер.рас ПП'!тов</definedName>
    <definedName name="тов" localSheetId="137">'[3]5.2-опер.рас ПП'!тов</definedName>
    <definedName name="тов" localSheetId="142">'[3]5.2-опер.рас ПП'!тов</definedName>
    <definedName name="тов" localSheetId="141">'[3]5.2-опер.рас ПП'!тов</definedName>
    <definedName name="тов" localSheetId="140">'[3]5.2-опер.рас ПП'!тов</definedName>
    <definedName name="тов" localSheetId="145">'[3]5.2-опер.рас ПП'!тов</definedName>
    <definedName name="тов" localSheetId="143">'[3]5.2-опер.рас ПП'!тов</definedName>
    <definedName name="тов" localSheetId="150">'[3]5.2-опер.рас ПП'!тов</definedName>
    <definedName name="тов" localSheetId="158">'[3]5.2-опер.рас ПП'!тов</definedName>
    <definedName name="тов" localSheetId="157">'[3]5.2-опер.рас ПП'!тов</definedName>
    <definedName name="тов" localSheetId="156">'[3]5.2-опер.рас ПП'!тов</definedName>
    <definedName name="тов" localSheetId="146">'[3]5.2-опер.рас ПП'!тов</definedName>
    <definedName name="тов" localSheetId="89">'[3]5.2-опер.рас ПП'!тов</definedName>
    <definedName name="тов" localSheetId="90">'[3]5.2-опер.рас ПП'!тов</definedName>
    <definedName name="тов" localSheetId="2">'[4]5.2-опер.рас ПП'!тов</definedName>
    <definedName name="тов" localSheetId="1">'[4]5.2-опер.рас ПП'!тов</definedName>
    <definedName name="тов">'[3]5.2-опер.рас ПП'!тов</definedName>
    <definedName name="тома" localSheetId="19">'[3]5.2-опер.рас ПП'!тома</definedName>
    <definedName name="тома" localSheetId="17">'[3]5.2-опер.рас ПП'!тома</definedName>
    <definedName name="тома" localSheetId="45">'4. 7_котельн.'!тома</definedName>
    <definedName name="тома" localSheetId="44">'4. 7_КТЭЦ'!тома</definedName>
    <definedName name="тома" localSheetId="3">'[3]5.2-опер.рас ПП'!тома</definedName>
    <definedName name="тома" localSheetId="78">'[3]5.2-опер.рас ПП'!тома</definedName>
    <definedName name="тома" localSheetId="65">'[3]5.2-опер.рас ПП'!тома</definedName>
    <definedName name="тома" localSheetId="75">'[3]5.2-опер.рас ПП'!тома</definedName>
    <definedName name="тома" localSheetId="70">'[3]5.2-опер.рас ПП'!тома</definedName>
    <definedName name="тома" localSheetId="79">'[3]5.2-опер.рас ПП'!тома</definedName>
    <definedName name="тома" localSheetId="82">'[3]5.2-опер.рас ПП'!тома</definedName>
    <definedName name="тома" localSheetId="12">'[3]5.2-опер.рас ПП'!тома</definedName>
    <definedName name="тома" localSheetId="11">'[3]5.2-опер.рас ПП'!тома</definedName>
    <definedName name="тома" localSheetId="20">'[4]5.2-опер.рас ПП'!тома</definedName>
    <definedName name="тома" localSheetId="28">'[3]5.2-опер.рас ПП'!тома</definedName>
    <definedName name="тома" localSheetId="38">'[3]5.2-опер.рас ПП'!тома</definedName>
    <definedName name="тома" localSheetId="26">'[3]5.2-опер.рас ПП'!тома</definedName>
    <definedName name="тома" localSheetId="34">'[3]5.2-опер.рас ПП'!тома</definedName>
    <definedName name="тома" localSheetId="32">'[3]5.2-опер.рас ПП'!тома</definedName>
    <definedName name="тома" localSheetId="23">'[3]5.2-опер.рас ПП'!тома</definedName>
    <definedName name="тома" localSheetId="41">'[3]5.2-опер.рас ПП'!тома</definedName>
    <definedName name="тома" localSheetId="31">'[3]5.2-опер.рас ПП'!тома</definedName>
    <definedName name="тома" localSheetId="30">'[3]5.2-опер.рас ПП'!тома</definedName>
    <definedName name="тома" localSheetId="47">'[4]5.2-опер.рас ПП'!тома</definedName>
    <definedName name="тома" localSheetId="46">'[4]5.2-опер.рас ПП'!тома</definedName>
    <definedName name="тома" localSheetId="52">'[3]5.2-опер.рас ПП'!тома</definedName>
    <definedName name="тома" localSheetId="62">'[3]5.2-опер.рас ПП'!тома</definedName>
    <definedName name="тома" localSheetId="57">'[3]5.2-опер.рас ПП'!тома</definedName>
    <definedName name="тома" localSheetId="51">'[3]5.2-опер.рас ПП'!тома</definedName>
    <definedName name="тома" localSheetId="61">'[3]5.2-опер.рас ПП'!тома</definedName>
    <definedName name="тома" localSheetId="56">'[3]5.2-опер.рас ПП'!тома</definedName>
    <definedName name="тома" localSheetId="60">'[3]5.2-опер.рас ПП'!тома</definedName>
    <definedName name="тома" localSheetId="55">'[3]5.2-опер.рас ПП'!тома</definedName>
    <definedName name="тома" localSheetId="50">'[3]5.2-опер.рас ПП'!тома</definedName>
    <definedName name="тома" localSheetId="96">'[3]5.2-опер.рас ПП'!тома</definedName>
    <definedName name="тома" localSheetId="93">'[3]5.2-опер.рас ПП'!тома</definedName>
    <definedName name="тома" localSheetId="99">'[3]5.2-опер.рас ПП'!тома</definedName>
    <definedName name="тома" localSheetId="95">'[3]5.2-опер.рас ПП'!тома</definedName>
    <definedName name="тома" localSheetId="92">'[3]5.2-опер.рас ПП'!тома</definedName>
    <definedName name="тома" localSheetId="98">'[3]5.2-опер.рас ПП'!тома</definedName>
    <definedName name="тома" localSheetId="94">'[3]5.2-опер.рас ПП'!тома</definedName>
    <definedName name="тома" localSheetId="91">'[3]5.2-опер.рас ПП'!тома</definedName>
    <definedName name="тома" localSheetId="97">'[3]5.2-опер.рас ПП'!тома</definedName>
    <definedName name="тома" localSheetId="103">'[3]5.2-опер.рас ПП'!тома</definedName>
    <definedName name="тома" localSheetId="101">'[3]5.2-опер.рас ПП'!тома</definedName>
    <definedName name="тома" localSheetId="106">'[3]5.2-опер.рас ПП'!тома</definedName>
    <definedName name="тома" localSheetId="102">'[3]5.2-опер.рас ПП'!тома</definedName>
    <definedName name="тома" localSheetId="100">'[3]5.2-опер.рас ПП'!тома</definedName>
    <definedName name="тома" localSheetId="105">'[3]5.2-опер.рас ПП'!тома</definedName>
    <definedName name="тома" localSheetId="104">'[3]5.2-опер.рас ПП'!тома</definedName>
    <definedName name="тома" localSheetId="110">'[3]5.2-опер.рас ПП'!тома</definedName>
    <definedName name="тома" localSheetId="107">'[3]5.2-опер.рас ПП'!тома</definedName>
    <definedName name="тома" localSheetId="113">'[3]5.2-опер.рас ПП'!тома</definedName>
    <definedName name="тома" localSheetId="115">'[3]5.2-опер.рас ПП'!тома</definedName>
    <definedName name="тома" localSheetId="114">'[3]5.2-опер.рас ПП'!тома</definedName>
    <definedName name="тома" localSheetId="112">'[3]5.2-опер.рас ПП'!тома</definedName>
    <definedName name="тома" localSheetId="109">'[3]5.2-опер.рас ПП'!тома</definedName>
    <definedName name="тома" localSheetId="111">'[3]5.2-опер.рас ПП'!тома</definedName>
    <definedName name="тома" localSheetId="108">'[3]5.2-опер.рас ПП'!тома</definedName>
    <definedName name="тома" localSheetId="122">'[3]5.2-опер.рас ПП'!тома</definedName>
    <definedName name="тома" localSheetId="116">'[3]5.2-опер.рас ПП'!тома</definedName>
    <definedName name="тома" localSheetId="125">'[3]5.2-опер.рас ПП'!тома</definedName>
    <definedName name="тома" localSheetId="127">'[3]5.2-опер.рас ПП'!тома</definedName>
    <definedName name="тома" localSheetId="126">'[3]5.2-опер.рас ПП'!тома</definedName>
    <definedName name="тома" localSheetId="124">'[3]5.2-опер.рас ПП'!тома</definedName>
    <definedName name="тома" localSheetId="118">'[3]5.2-опер.рас ПП'!тома</definedName>
    <definedName name="тома" localSheetId="123">'[3]5.2-опер.рас ПП'!тома</definedName>
    <definedName name="тома" localSheetId="117">'[3]5.2-опер.рас ПП'!тома</definedName>
    <definedName name="тома" localSheetId="119">'[3]5.2-опер.рас ПП'!тома</definedName>
    <definedName name="тома" localSheetId="120">'[3]5.2-опер.рас ПП'!тома</definedName>
    <definedName name="тома" localSheetId="121">'[3]5.2-опер.рас ПП'!тома</definedName>
    <definedName name="тома" localSheetId="129">'[3]5.2-опер.рас ПП'!тома</definedName>
    <definedName name="тома" localSheetId="128">'[3]5.2-опер.рас ПП'!тома</definedName>
    <definedName name="тома" localSheetId="130">'[3]5.2-опер.рас ПП'!тома</definedName>
    <definedName name="тома" localSheetId="133">'[3]5.2-опер.рас ПП'!тома</definedName>
    <definedName name="тома" localSheetId="132">'[3]5.2-опер.рас ПП'!тома</definedName>
    <definedName name="тома" localSheetId="136">'[3]5.2-опер.рас ПП'!тома</definedName>
    <definedName name="тома" localSheetId="134">'[3]5.2-опер.рас ПП'!тома</definedName>
    <definedName name="тома" localSheetId="139">'[3]5.2-опер.рас ПП'!тома</definedName>
    <definedName name="тома" localSheetId="137">'[3]5.2-опер.рас ПП'!тома</definedName>
    <definedName name="тома" localSheetId="142">'[3]5.2-опер.рас ПП'!тома</definedName>
    <definedName name="тома" localSheetId="141">'[3]5.2-опер.рас ПП'!тома</definedName>
    <definedName name="тома" localSheetId="140">'[3]5.2-опер.рас ПП'!тома</definedName>
    <definedName name="тома" localSheetId="145">'[3]5.2-опер.рас ПП'!тома</definedName>
    <definedName name="тома" localSheetId="143">'[3]5.2-опер.рас ПП'!тома</definedName>
    <definedName name="тома" localSheetId="150">'[3]5.2-опер.рас ПП'!тома</definedName>
    <definedName name="тома" localSheetId="158">'[3]5.2-опер.рас ПП'!тома</definedName>
    <definedName name="тома" localSheetId="157">'[3]5.2-опер.рас ПП'!тома</definedName>
    <definedName name="тома" localSheetId="156">'[3]5.2-опер.рас ПП'!тома</definedName>
    <definedName name="тома" localSheetId="146">'[3]5.2-опер.рас ПП'!тома</definedName>
    <definedName name="тома" localSheetId="89">'[3]5.2-опер.рас ПП'!тома</definedName>
    <definedName name="тома" localSheetId="90">'[3]5.2-опер.рас ПП'!тома</definedName>
    <definedName name="тома" localSheetId="2">'[4]5.2-опер.рас ПП'!тома</definedName>
    <definedName name="тома" localSheetId="1">'[4]5.2-опер.рас ПП'!тома</definedName>
    <definedName name="тома">'[3]5.2-опер.рас ПП'!тома</definedName>
    <definedName name="третий" localSheetId="19">#REF!</definedName>
    <definedName name="третий" localSheetId="18">#REF!</definedName>
    <definedName name="третий" localSheetId="17">#REF!</definedName>
    <definedName name="третий" localSheetId="45">#REF!</definedName>
    <definedName name="третий" localSheetId="44">#REF!</definedName>
    <definedName name="третий" localSheetId="3">#REF!</definedName>
    <definedName name="третий" localSheetId="78">#REF!</definedName>
    <definedName name="третий" localSheetId="63">#REF!</definedName>
    <definedName name="третий" localSheetId="73">#REF!</definedName>
    <definedName name="третий" localSheetId="68">#REF!</definedName>
    <definedName name="третий" localSheetId="65">#REF!</definedName>
    <definedName name="третий" localSheetId="75">#REF!</definedName>
    <definedName name="третий" localSheetId="70">#REF!</definedName>
    <definedName name="третий" localSheetId="79">#REF!</definedName>
    <definedName name="третий" localSheetId="82">#REF!</definedName>
    <definedName name="третий" localSheetId="12">#REF!</definedName>
    <definedName name="третий" localSheetId="11">#REF!</definedName>
    <definedName name="третий" localSheetId="20">#REF!</definedName>
    <definedName name="третий" localSheetId="28">#REF!</definedName>
    <definedName name="третий" localSheetId="38">#REF!</definedName>
    <definedName name="третий" localSheetId="26">#REF!</definedName>
    <definedName name="третий" localSheetId="34">#REF!</definedName>
    <definedName name="третий" localSheetId="32">#REF!</definedName>
    <definedName name="третий" localSheetId="23">#REF!</definedName>
    <definedName name="третий" localSheetId="41">#REF!</definedName>
    <definedName name="третий" localSheetId="31">#REF!</definedName>
    <definedName name="третий" localSheetId="30">#REF!</definedName>
    <definedName name="третий" localSheetId="47">#REF!</definedName>
    <definedName name="третий" localSheetId="46">#REF!</definedName>
    <definedName name="третий" localSheetId="52">#REF!</definedName>
    <definedName name="третий" localSheetId="62">#REF!</definedName>
    <definedName name="третий" localSheetId="57">#REF!</definedName>
    <definedName name="третий" localSheetId="48">#REF!</definedName>
    <definedName name="третий" localSheetId="58">#REF!</definedName>
    <definedName name="третий" localSheetId="53">#REF!</definedName>
    <definedName name="третий" localSheetId="51">#REF!</definedName>
    <definedName name="третий" localSheetId="61">#REF!</definedName>
    <definedName name="третий" localSheetId="56">#REF!</definedName>
    <definedName name="третий" localSheetId="60">#REF!</definedName>
    <definedName name="третий" localSheetId="55">#REF!</definedName>
    <definedName name="третий" localSheetId="50">#REF!</definedName>
    <definedName name="третий" localSheetId="96">#REF!</definedName>
    <definedName name="третий" localSheetId="93">#REF!</definedName>
    <definedName name="третий" localSheetId="99">#REF!</definedName>
    <definedName name="третий" localSheetId="95">#REF!</definedName>
    <definedName name="третий" localSheetId="92">#REF!</definedName>
    <definedName name="третий" localSheetId="98">#REF!</definedName>
    <definedName name="третий" localSheetId="94">#REF!</definedName>
    <definedName name="третий" localSheetId="91">#REF!</definedName>
    <definedName name="третий" localSheetId="97">#REF!</definedName>
    <definedName name="третий" localSheetId="103">#REF!</definedName>
    <definedName name="третий" localSheetId="101">#REF!</definedName>
    <definedName name="третий" localSheetId="106">#REF!</definedName>
    <definedName name="третий" localSheetId="102">#REF!</definedName>
    <definedName name="третий" localSheetId="100">#REF!</definedName>
    <definedName name="третий" localSheetId="105">#REF!</definedName>
    <definedName name="третий" localSheetId="104">#REF!</definedName>
    <definedName name="третий" localSheetId="110">#REF!</definedName>
    <definedName name="третий" localSheetId="107">#REF!</definedName>
    <definedName name="третий" localSheetId="113">#REF!</definedName>
    <definedName name="третий" localSheetId="115">#REF!</definedName>
    <definedName name="третий" localSheetId="114">#REF!</definedName>
    <definedName name="третий" localSheetId="112">#REF!</definedName>
    <definedName name="третий" localSheetId="109">#REF!</definedName>
    <definedName name="третий" localSheetId="111">#REF!</definedName>
    <definedName name="третий" localSheetId="108">#REF!</definedName>
    <definedName name="третий" localSheetId="122">#REF!</definedName>
    <definedName name="третий" localSheetId="116">#REF!</definedName>
    <definedName name="третий" localSheetId="125">#REF!</definedName>
    <definedName name="третий" localSheetId="127">#REF!</definedName>
    <definedName name="третий" localSheetId="126">#REF!</definedName>
    <definedName name="третий" localSheetId="124">#REF!</definedName>
    <definedName name="третий" localSheetId="118">#REF!</definedName>
    <definedName name="третий" localSheetId="123">#REF!</definedName>
    <definedName name="третий" localSheetId="117">#REF!</definedName>
    <definedName name="третий" localSheetId="119">#REF!</definedName>
    <definedName name="третий" localSheetId="120">#REF!</definedName>
    <definedName name="третий" localSheetId="121">#REF!</definedName>
    <definedName name="третий" localSheetId="129">#REF!</definedName>
    <definedName name="третий" localSheetId="128">#REF!</definedName>
    <definedName name="третий" localSheetId="130">#REF!</definedName>
    <definedName name="третий" localSheetId="133">#REF!</definedName>
    <definedName name="третий" localSheetId="132">#REF!</definedName>
    <definedName name="третий" localSheetId="136">#REF!</definedName>
    <definedName name="третий" localSheetId="134">#REF!</definedName>
    <definedName name="третий" localSheetId="139">#REF!</definedName>
    <definedName name="третий" localSheetId="137">#REF!</definedName>
    <definedName name="третий" localSheetId="142">#REF!</definedName>
    <definedName name="третий" localSheetId="141">#REF!</definedName>
    <definedName name="третий" localSheetId="140">#REF!</definedName>
    <definedName name="третий" localSheetId="145">#REF!</definedName>
    <definedName name="третий" localSheetId="144">#REF!</definedName>
    <definedName name="третий" localSheetId="143">#REF!</definedName>
    <definedName name="третий" localSheetId="150">#REF!</definedName>
    <definedName name="третий" localSheetId="158">#REF!</definedName>
    <definedName name="третий" localSheetId="157">#REF!</definedName>
    <definedName name="третий" localSheetId="156">#REF!</definedName>
    <definedName name="третий" localSheetId="146">#REF!</definedName>
    <definedName name="третий" localSheetId="89">#REF!</definedName>
    <definedName name="третий" localSheetId="90">#REF!</definedName>
    <definedName name="третий" localSheetId="2">#REF!</definedName>
    <definedName name="третий">#REF!</definedName>
    <definedName name="три" localSheetId="19">'[3]5.2-опер.рас ПП'!три</definedName>
    <definedName name="три" localSheetId="17">'[3]5.2-опер.рас ПП'!три</definedName>
    <definedName name="три" localSheetId="45">'4. 7_котельн.'!три</definedName>
    <definedName name="три" localSheetId="44">'4. 7_КТЭЦ'!три</definedName>
    <definedName name="три" localSheetId="3">'[3]5.2-опер.рас ПП'!три</definedName>
    <definedName name="три" localSheetId="78">'[3]5.2-опер.рас ПП'!три</definedName>
    <definedName name="три" localSheetId="65">'[3]5.2-опер.рас ПП'!три</definedName>
    <definedName name="три" localSheetId="75">'[3]5.2-опер.рас ПП'!три</definedName>
    <definedName name="три" localSheetId="70">'[3]5.2-опер.рас ПП'!три</definedName>
    <definedName name="три" localSheetId="79">'[3]5.2-опер.рас ПП'!три</definedName>
    <definedName name="три" localSheetId="82">'[3]5.2-опер.рас ПП'!три</definedName>
    <definedName name="три" localSheetId="12">'[3]5.2-опер.рас ПП'!три</definedName>
    <definedName name="три" localSheetId="11">'[3]5.2-опер.рас ПП'!три</definedName>
    <definedName name="три" localSheetId="20">'[4]5.2-опер.рас ПП'!три</definedName>
    <definedName name="три" localSheetId="28">'[3]5.2-опер.рас ПП'!три</definedName>
    <definedName name="три" localSheetId="38">'[3]5.2-опер.рас ПП'!три</definedName>
    <definedName name="три" localSheetId="26">'[3]5.2-опер.рас ПП'!три</definedName>
    <definedName name="три" localSheetId="34">'[3]5.2-опер.рас ПП'!три</definedName>
    <definedName name="три" localSheetId="32">'[3]5.2-опер.рас ПП'!три</definedName>
    <definedName name="три" localSheetId="23">'[3]5.2-опер.рас ПП'!три</definedName>
    <definedName name="три" localSheetId="41">'[3]5.2-опер.рас ПП'!три</definedName>
    <definedName name="три" localSheetId="31">'[3]5.2-опер.рас ПП'!три</definedName>
    <definedName name="три" localSheetId="30">'[3]5.2-опер.рас ПП'!три</definedName>
    <definedName name="три" localSheetId="47">'[4]5.2-опер.рас ПП'!три</definedName>
    <definedName name="три" localSheetId="46">'[4]5.2-опер.рас ПП'!три</definedName>
    <definedName name="три" localSheetId="52">'[3]5.2-опер.рас ПП'!три</definedName>
    <definedName name="три" localSheetId="62">'[3]5.2-опер.рас ПП'!три</definedName>
    <definedName name="три" localSheetId="57">'[3]5.2-опер.рас ПП'!три</definedName>
    <definedName name="три" localSheetId="51">'[3]5.2-опер.рас ПП'!три</definedName>
    <definedName name="три" localSheetId="61">'[3]5.2-опер.рас ПП'!три</definedName>
    <definedName name="три" localSheetId="56">'[3]5.2-опер.рас ПП'!три</definedName>
    <definedName name="три" localSheetId="60">'[3]5.2-опер.рас ПП'!три</definedName>
    <definedName name="три" localSheetId="55">'[3]5.2-опер.рас ПП'!три</definedName>
    <definedName name="три" localSheetId="50">'[3]5.2-опер.рас ПП'!три</definedName>
    <definedName name="три" localSheetId="96">'[3]5.2-опер.рас ПП'!три</definedName>
    <definedName name="три" localSheetId="93">'[3]5.2-опер.рас ПП'!три</definedName>
    <definedName name="три" localSheetId="99">'[3]5.2-опер.рас ПП'!три</definedName>
    <definedName name="три" localSheetId="95">'[3]5.2-опер.рас ПП'!три</definedName>
    <definedName name="три" localSheetId="92">'[3]5.2-опер.рас ПП'!три</definedName>
    <definedName name="три" localSheetId="98">'[3]5.2-опер.рас ПП'!три</definedName>
    <definedName name="три" localSheetId="94">'[3]5.2-опер.рас ПП'!три</definedName>
    <definedName name="три" localSheetId="91">'[3]5.2-опер.рас ПП'!три</definedName>
    <definedName name="три" localSheetId="97">'[3]5.2-опер.рас ПП'!три</definedName>
    <definedName name="три" localSheetId="103">'[3]5.2-опер.рас ПП'!три</definedName>
    <definedName name="три" localSheetId="101">'[3]5.2-опер.рас ПП'!три</definedName>
    <definedName name="три" localSheetId="106">'[3]5.2-опер.рас ПП'!три</definedName>
    <definedName name="три" localSheetId="102">'[3]5.2-опер.рас ПП'!три</definedName>
    <definedName name="три" localSheetId="100">'[3]5.2-опер.рас ПП'!три</definedName>
    <definedName name="три" localSheetId="105">'[3]5.2-опер.рас ПП'!три</definedName>
    <definedName name="три" localSheetId="104">'[3]5.2-опер.рас ПП'!три</definedName>
    <definedName name="три" localSheetId="110">'[3]5.2-опер.рас ПП'!три</definedName>
    <definedName name="три" localSheetId="107">'[3]5.2-опер.рас ПП'!три</definedName>
    <definedName name="три" localSheetId="113">'[3]5.2-опер.рас ПП'!три</definedName>
    <definedName name="три" localSheetId="115">'[3]5.2-опер.рас ПП'!три</definedName>
    <definedName name="три" localSheetId="114">'[3]5.2-опер.рас ПП'!три</definedName>
    <definedName name="три" localSheetId="112">'[3]5.2-опер.рас ПП'!три</definedName>
    <definedName name="три" localSheetId="109">'[3]5.2-опер.рас ПП'!три</definedName>
    <definedName name="три" localSheetId="111">'[3]5.2-опер.рас ПП'!три</definedName>
    <definedName name="три" localSheetId="108">'[3]5.2-опер.рас ПП'!три</definedName>
    <definedName name="три" localSheetId="122">'[3]5.2-опер.рас ПП'!три</definedName>
    <definedName name="три" localSheetId="116">'[3]5.2-опер.рас ПП'!три</definedName>
    <definedName name="три" localSheetId="125">'[3]5.2-опер.рас ПП'!три</definedName>
    <definedName name="три" localSheetId="127">'[3]5.2-опер.рас ПП'!три</definedName>
    <definedName name="три" localSheetId="126">'[3]5.2-опер.рас ПП'!три</definedName>
    <definedName name="три" localSheetId="124">'[3]5.2-опер.рас ПП'!три</definedName>
    <definedName name="три" localSheetId="118">'[3]5.2-опер.рас ПП'!три</definedName>
    <definedName name="три" localSheetId="123">'[3]5.2-опер.рас ПП'!три</definedName>
    <definedName name="три" localSheetId="117">'[3]5.2-опер.рас ПП'!три</definedName>
    <definedName name="три" localSheetId="119">'[3]5.2-опер.рас ПП'!три</definedName>
    <definedName name="три" localSheetId="120">'[3]5.2-опер.рас ПП'!три</definedName>
    <definedName name="три" localSheetId="121">'[3]5.2-опер.рас ПП'!три</definedName>
    <definedName name="три" localSheetId="129">'[3]5.2-опер.рас ПП'!три</definedName>
    <definedName name="три" localSheetId="128">'[3]5.2-опер.рас ПП'!три</definedName>
    <definedName name="три" localSheetId="130">'[3]5.2-опер.рас ПП'!три</definedName>
    <definedName name="три" localSheetId="133">'[3]5.2-опер.рас ПП'!три</definedName>
    <definedName name="три" localSheetId="132">'[3]5.2-опер.рас ПП'!три</definedName>
    <definedName name="три" localSheetId="136">'[3]5.2-опер.рас ПП'!три</definedName>
    <definedName name="три" localSheetId="134">'[3]5.2-опер.рас ПП'!три</definedName>
    <definedName name="три" localSheetId="139">'[3]5.2-опер.рас ПП'!три</definedName>
    <definedName name="три" localSheetId="137">'[3]5.2-опер.рас ПП'!три</definedName>
    <definedName name="три" localSheetId="142">'[3]5.2-опер.рас ПП'!три</definedName>
    <definedName name="три" localSheetId="141">'[3]5.2-опер.рас ПП'!три</definedName>
    <definedName name="три" localSheetId="140">'[3]5.2-опер.рас ПП'!три</definedName>
    <definedName name="три" localSheetId="145">'[3]5.2-опер.рас ПП'!три</definedName>
    <definedName name="три" localSheetId="143">'[3]5.2-опер.рас ПП'!три</definedName>
    <definedName name="три" localSheetId="150">'[3]5.2-опер.рас ПП'!три</definedName>
    <definedName name="три" localSheetId="158">'[3]5.2-опер.рас ПП'!три</definedName>
    <definedName name="три" localSheetId="157">'[3]5.2-опер.рас ПП'!три</definedName>
    <definedName name="три" localSheetId="156">'[3]5.2-опер.рас ПП'!три</definedName>
    <definedName name="три" localSheetId="146">'[3]5.2-опер.рас ПП'!три</definedName>
    <definedName name="три" localSheetId="89">'[3]5.2-опер.рас ПП'!три</definedName>
    <definedName name="три" localSheetId="90">'[3]5.2-опер.рас ПП'!три</definedName>
    <definedName name="три" localSheetId="2">'[4]5.2-опер.рас ПП'!три</definedName>
    <definedName name="три" localSheetId="1">'[4]5.2-опер.рас ПП'!три</definedName>
    <definedName name="три">'[3]5.2-опер.рас ПП'!три</definedName>
    <definedName name="у">#N/A</definedName>
    <definedName name="УФ56ОТ" localSheetId="19">'[3]5.2-опер.рас ПП'!УФ56ОТ</definedName>
    <definedName name="УФ56ОТ" localSheetId="17">'[3]5.2-опер.рас ПП'!УФ56ОТ</definedName>
    <definedName name="УФ56ОТ" localSheetId="45">'4. 7_котельн.'!УФ56ОТ</definedName>
    <definedName name="УФ56ОТ" localSheetId="44">'4. 7_КТЭЦ'!УФ56ОТ</definedName>
    <definedName name="УФ56ОТ" localSheetId="3">'[3]5.2-опер.рас ПП'!УФ56ОТ</definedName>
    <definedName name="УФ56ОТ" localSheetId="78">'[3]5.2-опер.рас ПП'!УФ56ОТ</definedName>
    <definedName name="УФ56ОТ" localSheetId="65">'[3]5.2-опер.рас ПП'!УФ56ОТ</definedName>
    <definedName name="УФ56ОТ" localSheetId="75">'[3]5.2-опер.рас ПП'!УФ56ОТ</definedName>
    <definedName name="УФ56ОТ" localSheetId="70">'[3]5.2-опер.рас ПП'!УФ56ОТ</definedName>
    <definedName name="УФ56ОТ" localSheetId="79">'[3]5.2-опер.рас ПП'!УФ56ОТ</definedName>
    <definedName name="УФ56ОТ" localSheetId="82">'[3]5.2-опер.рас ПП'!УФ56ОТ</definedName>
    <definedName name="УФ56ОТ" localSheetId="12">'[3]5.2-опер.рас ПП'!УФ56ОТ</definedName>
    <definedName name="УФ56ОТ" localSheetId="11">'[3]5.2-опер.рас ПП'!УФ56ОТ</definedName>
    <definedName name="УФ56ОТ" localSheetId="20">'[4]5.2-опер.рас ПП'!УФ56ОТ</definedName>
    <definedName name="УФ56ОТ" localSheetId="28">'[3]5.2-опер.рас ПП'!УФ56ОТ</definedName>
    <definedName name="УФ56ОТ" localSheetId="38">'[3]5.2-опер.рас ПП'!УФ56ОТ</definedName>
    <definedName name="УФ56ОТ" localSheetId="26">'[3]5.2-опер.рас ПП'!УФ56ОТ</definedName>
    <definedName name="УФ56ОТ" localSheetId="34">'[3]5.2-опер.рас ПП'!УФ56ОТ</definedName>
    <definedName name="УФ56ОТ" localSheetId="32">'[3]5.2-опер.рас ПП'!УФ56ОТ</definedName>
    <definedName name="УФ56ОТ" localSheetId="23">'[3]5.2-опер.рас ПП'!УФ56ОТ</definedName>
    <definedName name="УФ56ОТ" localSheetId="41">'[3]5.2-опер.рас ПП'!УФ56ОТ</definedName>
    <definedName name="УФ56ОТ" localSheetId="31">'[3]5.2-опер.рас ПП'!УФ56ОТ</definedName>
    <definedName name="УФ56ОТ" localSheetId="30">'[3]5.2-опер.рас ПП'!УФ56ОТ</definedName>
    <definedName name="УФ56ОТ" localSheetId="47">'[4]5.2-опер.рас ПП'!УФ56ОТ</definedName>
    <definedName name="УФ56ОТ" localSheetId="46">'[4]5.2-опер.рас ПП'!УФ56ОТ</definedName>
    <definedName name="УФ56ОТ" localSheetId="52">'[3]5.2-опер.рас ПП'!УФ56ОТ</definedName>
    <definedName name="УФ56ОТ" localSheetId="62">'[3]5.2-опер.рас ПП'!УФ56ОТ</definedName>
    <definedName name="УФ56ОТ" localSheetId="57">'[3]5.2-опер.рас ПП'!УФ56ОТ</definedName>
    <definedName name="УФ56ОТ" localSheetId="51">'[3]5.2-опер.рас ПП'!УФ56ОТ</definedName>
    <definedName name="УФ56ОТ" localSheetId="61">'[3]5.2-опер.рас ПП'!УФ56ОТ</definedName>
    <definedName name="УФ56ОТ" localSheetId="56">'[3]5.2-опер.рас ПП'!УФ56ОТ</definedName>
    <definedName name="УФ56ОТ" localSheetId="60">'[3]5.2-опер.рас ПП'!УФ56ОТ</definedName>
    <definedName name="УФ56ОТ" localSheetId="55">'[3]5.2-опер.рас ПП'!УФ56ОТ</definedName>
    <definedName name="УФ56ОТ" localSheetId="50">'[3]5.2-опер.рас ПП'!УФ56ОТ</definedName>
    <definedName name="УФ56ОТ" localSheetId="96">'[3]5.2-опер.рас ПП'!УФ56ОТ</definedName>
    <definedName name="УФ56ОТ" localSheetId="93">'[3]5.2-опер.рас ПП'!УФ56ОТ</definedName>
    <definedName name="УФ56ОТ" localSheetId="99">'[3]5.2-опер.рас ПП'!УФ56ОТ</definedName>
    <definedName name="УФ56ОТ" localSheetId="95">'[3]5.2-опер.рас ПП'!УФ56ОТ</definedName>
    <definedName name="УФ56ОТ" localSheetId="92">'[3]5.2-опер.рас ПП'!УФ56ОТ</definedName>
    <definedName name="УФ56ОТ" localSheetId="98">'[3]5.2-опер.рас ПП'!УФ56ОТ</definedName>
    <definedName name="УФ56ОТ" localSheetId="94">'[3]5.2-опер.рас ПП'!УФ56ОТ</definedName>
    <definedName name="УФ56ОТ" localSheetId="91">'[3]5.2-опер.рас ПП'!УФ56ОТ</definedName>
    <definedName name="УФ56ОТ" localSheetId="97">'[3]5.2-опер.рас ПП'!УФ56ОТ</definedName>
    <definedName name="УФ56ОТ" localSheetId="103">'[3]5.2-опер.рас ПП'!УФ56ОТ</definedName>
    <definedName name="УФ56ОТ" localSheetId="101">'[3]5.2-опер.рас ПП'!УФ56ОТ</definedName>
    <definedName name="УФ56ОТ" localSheetId="106">'[3]5.2-опер.рас ПП'!УФ56ОТ</definedName>
    <definedName name="УФ56ОТ" localSheetId="102">'[3]5.2-опер.рас ПП'!УФ56ОТ</definedName>
    <definedName name="УФ56ОТ" localSheetId="100">'[3]5.2-опер.рас ПП'!УФ56ОТ</definedName>
    <definedName name="УФ56ОТ" localSheetId="105">'[3]5.2-опер.рас ПП'!УФ56ОТ</definedName>
    <definedName name="УФ56ОТ" localSheetId="104">'[3]5.2-опер.рас ПП'!УФ56ОТ</definedName>
    <definedName name="УФ56ОТ" localSheetId="110">'[3]5.2-опер.рас ПП'!УФ56ОТ</definedName>
    <definedName name="УФ56ОТ" localSheetId="107">'[3]5.2-опер.рас ПП'!УФ56ОТ</definedName>
    <definedName name="УФ56ОТ" localSheetId="113">'[3]5.2-опер.рас ПП'!УФ56ОТ</definedName>
    <definedName name="УФ56ОТ" localSheetId="115">'[3]5.2-опер.рас ПП'!УФ56ОТ</definedName>
    <definedName name="УФ56ОТ" localSheetId="114">'[3]5.2-опер.рас ПП'!УФ56ОТ</definedName>
    <definedName name="УФ56ОТ" localSheetId="112">'[3]5.2-опер.рас ПП'!УФ56ОТ</definedName>
    <definedName name="УФ56ОТ" localSheetId="109">'[3]5.2-опер.рас ПП'!УФ56ОТ</definedName>
    <definedName name="УФ56ОТ" localSheetId="111">'[3]5.2-опер.рас ПП'!УФ56ОТ</definedName>
    <definedName name="УФ56ОТ" localSheetId="108">'[3]5.2-опер.рас ПП'!УФ56ОТ</definedName>
    <definedName name="УФ56ОТ" localSheetId="122">'[3]5.2-опер.рас ПП'!УФ56ОТ</definedName>
    <definedName name="УФ56ОТ" localSheetId="116">'[3]5.2-опер.рас ПП'!УФ56ОТ</definedName>
    <definedName name="УФ56ОТ" localSheetId="125">'[3]5.2-опер.рас ПП'!УФ56ОТ</definedName>
    <definedName name="УФ56ОТ" localSheetId="127">'[3]5.2-опер.рас ПП'!УФ56ОТ</definedName>
    <definedName name="УФ56ОТ" localSheetId="126">'[3]5.2-опер.рас ПП'!УФ56ОТ</definedName>
    <definedName name="УФ56ОТ" localSheetId="124">'[3]5.2-опер.рас ПП'!УФ56ОТ</definedName>
    <definedName name="УФ56ОТ" localSheetId="118">'[3]5.2-опер.рас ПП'!УФ56ОТ</definedName>
    <definedName name="УФ56ОТ" localSheetId="123">'[3]5.2-опер.рас ПП'!УФ56ОТ</definedName>
    <definedName name="УФ56ОТ" localSheetId="117">'[3]5.2-опер.рас ПП'!УФ56ОТ</definedName>
    <definedName name="УФ56ОТ" localSheetId="119">'[3]5.2-опер.рас ПП'!УФ56ОТ</definedName>
    <definedName name="УФ56ОТ" localSheetId="120">'[3]5.2-опер.рас ПП'!УФ56ОТ</definedName>
    <definedName name="УФ56ОТ" localSheetId="121">'[3]5.2-опер.рас ПП'!УФ56ОТ</definedName>
    <definedName name="УФ56ОТ" localSheetId="129">'[3]5.2-опер.рас ПП'!УФ56ОТ</definedName>
    <definedName name="УФ56ОТ" localSheetId="128">'[3]5.2-опер.рас ПП'!УФ56ОТ</definedName>
    <definedName name="УФ56ОТ" localSheetId="130">'[3]5.2-опер.рас ПП'!УФ56ОТ</definedName>
    <definedName name="УФ56ОТ" localSheetId="133">'[3]5.2-опер.рас ПП'!УФ56ОТ</definedName>
    <definedName name="УФ56ОТ" localSheetId="132">'[3]5.2-опер.рас ПП'!УФ56ОТ</definedName>
    <definedName name="УФ56ОТ" localSheetId="136">'[3]5.2-опер.рас ПП'!УФ56ОТ</definedName>
    <definedName name="УФ56ОТ" localSheetId="134">'[3]5.2-опер.рас ПП'!УФ56ОТ</definedName>
    <definedName name="УФ56ОТ" localSheetId="139">'[3]5.2-опер.рас ПП'!УФ56ОТ</definedName>
    <definedName name="УФ56ОТ" localSheetId="137">'[3]5.2-опер.рас ПП'!УФ56ОТ</definedName>
    <definedName name="УФ56ОТ" localSheetId="142">'[3]5.2-опер.рас ПП'!УФ56ОТ</definedName>
    <definedName name="УФ56ОТ" localSheetId="141">'[3]5.2-опер.рас ПП'!УФ56ОТ</definedName>
    <definedName name="УФ56ОТ" localSheetId="140">'[3]5.2-опер.рас ПП'!УФ56ОТ</definedName>
    <definedName name="УФ56ОТ" localSheetId="145">'[3]5.2-опер.рас ПП'!УФ56ОТ</definedName>
    <definedName name="УФ56ОТ" localSheetId="143">'[3]5.2-опер.рас ПП'!УФ56ОТ</definedName>
    <definedName name="УФ56ОТ" localSheetId="150">'[3]5.2-опер.рас ПП'!УФ56ОТ</definedName>
    <definedName name="УФ56ОТ" localSheetId="158">'[3]5.2-опер.рас ПП'!УФ56ОТ</definedName>
    <definedName name="УФ56ОТ" localSheetId="157">'[3]5.2-опер.рас ПП'!УФ56ОТ</definedName>
    <definedName name="УФ56ОТ" localSheetId="156">'[3]5.2-опер.рас ПП'!УФ56ОТ</definedName>
    <definedName name="УФ56ОТ" localSheetId="146">'[3]5.2-опер.рас ПП'!УФ56ОТ</definedName>
    <definedName name="УФ56ОТ" localSheetId="89">'[3]5.2-опер.рас ПП'!УФ56ОТ</definedName>
    <definedName name="УФ56ОТ" localSheetId="90">'[3]5.2-опер.рас ПП'!УФ56ОТ</definedName>
    <definedName name="УФ56ОТ" localSheetId="2">'[4]5.2-опер.рас ПП'!УФ56ОТ</definedName>
    <definedName name="УФ56ОТ" localSheetId="1">'[4]5.2-опер.рас ПП'!УФ56ОТ</definedName>
    <definedName name="УФ56ОТ">'[3]5.2-опер.рас ПП'!УФ56ОТ</definedName>
    <definedName name="фф" localSheetId="19">'[3]5.2-опер.рас ПП'!фф</definedName>
    <definedName name="фф" localSheetId="17">'[3]5.2-опер.рас ПП'!фф</definedName>
    <definedName name="фф" localSheetId="45">'4. 7_котельн.'!фф</definedName>
    <definedName name="фф" localSheetId="44">'4. 7_КТЭЦ'!фф</definedName>
    <definedName name="фф" localSheetId="3">'[3]5.2-опер.рас ПП'!фф</definedName>
    <definedName name="фф" localSheetId="78">'[3]5.2-опер.рас ПП'!фф</definedName>
    <definedName name="фф" localSheetId="65">'[3]5.2-опер.рас ПП'!фф</definedName>
    <definedName name="фф" localSheetId="75">'[3]5.2-опер.рас ПП'!фф</definedName>
    <definedName name="фф" localSheetId="70">'[3]5.2-опер.рас ПП'!фф</definedName>
    <definedName name="фф" localSheetId="79">'[3]5.2-опер.рас ПП'!фф</definedName>
    <definedName name="фф" localSheetId="82">'[3]5.2-опер.рас ПП'!фф</definedName>
    <definedName name="фф" localSheetId="12">'[3]5.2-опер.рас ПП'!фф</definedName>
    <definedName name="фф" localSheetId="11">'[3]5.2-опер.рас ПП'!фф</definedName>
    <definedName name="фф" localSheetId="20">'[4]5.2-опер.рас ПП'!фф</definedName>
    <definedName name="фф" localSheetId="28">'[3]5.2-опер.рас ПП'!фф</definedName>
    <definedName name="фф" localSheetId="38">'[3]5.2-опер.рас ПП'!фф</definedName>
    <definedName name="фф" localSheetId="26">'[3]5.2-опер.рас ПП'!фф</definedName>
    <definedName name="фф" localSheetId="34">'[3]5.2-опер.рас ПП'!фф</definedName>
    <definedName name="фф" localSheetId="32">'[3]5.2-опер.рас ПП'!фф</definedName>
    <definedName name="фф" localSheetId="23">'[3]5.2-опер.рас ПП'!фф</definedName>
    <definedName name="фф" localSheetId="41">'[3]5.2-опер.рас ПП'!фф</definedName>
    <definedName name="фф" localSheetId="31">'[3]5.2-опер.рас ПП'!фф</definedName>
    <definedName name="фф" localSheetId="30">'[3]5.2-опер.рас ПП'!фф</definedName>
    <definedName name="фф" localSheetId="47">'[4]5.2-опер.рас ПП'!фф</definedName>
    <definedName name="фф" localSheetId="46">'[4]5.2-опер.рас ПП'!фф</definedName>
    <definedName name="фф" localSheetId="52">'[3]5.2-опер.рас ПП'!фф</definedName>
    <definedName name="фф" localSheetId="62">'[3]5.2-опер.рас ПП'!фф</definedName>
    <definedName name="фф" localSheetId="57">'[3]5.2-опер.рас ПП'!фф</definedName>
    <definedName name="фф" localSheetId="51">'[3]5.2-опер.рас ПП'!фф</definedName>
    <definedName name="фф" localSheetId="61">'[3]5.2-опер.рас ПП'!фф</definedName>
    <definedName name="фф" localSheetId="56">'[3]5.2-опер.рас ПП'!фф</definedName>
    <definedName name="фф" localSheetId="60">'[3]5.2-опер.рас ПП'!фф</definedName>
    <definedName name="фф" localSheetId="55">'[3]5.2-опер.рас ПП'!фф</definedName>
    <definedName name="фф" localSheetId="50">'[3]5.2-опер.рас ПП'!фф</definedName>
    <definedName name="фф" localSheetId="96">'[3]5.2-опер.рас ПП'!фф</definedName>
    <definedName name="фф" localSheetId="93">'[3]5.2-опер.рас ПП'!фф</definedName>
    <definedName name="фф" localSheetId="99">'[3]5.2-опер.рас ПП'!фф</definedName>
    <definedName name="фф" localSheetId="95">'[3]5.2-опер.рас ПП'!фф</definedName>
    <definedName name="фф" localSheetId="92">'[3]5.2-опер.рас ПП'!фф</definedName>
    <definedName name="фф" localSheetId="98">'[3]5.2-опер.рас ПП'!фф</definedName>
    <definedName name="фф" localSheetId="94">'[3]5.2-опер.рас ПП'!фф</definedName>
    <definedName name="фф" localSheetId="91">'[3]5.2-опер.рас ПП'!фф</definedName>
    <definedName name="фф" localSheetId="97">'[3]5.2-опер.рас ПП'!фф</definedName>
    <definedName name="фф" localSheetId="103">'[3]5.2-опер.рас ПП'!фф</definedName>
    <definedName name="фф" localSheetId="101">'[3]5.2-опер.рас ПП'!фф</definedName>
    <definedName name="фф" localSheetId="106">'[3]5.2-опер.рас ПП'!фф</definedName>
    <definedName name="фф" localSheetId="102">'[3]5.2-опер.рас ПП'!фф</definedName>
    <definedName name="фф" localSheetId="100">'[3]5.2-опер.рас ПП'!фф</definedName>
    <definedName name="фф" localSheetId="105">'[3]5.2-опер.рас ПП'!фф</definedName>
    <definedName name="фф" localSheetId="104">'[3]5.2-опер.рас ПП'!фф</definedName>
    <definedName name="фф" localSheetId="110">'[3]5.2-опер.рас ПП'!фф</definedName>
    <definedName name="фф" localSheetId="107">'[3]5.2-опер.рас ПП'!фф</definedName>
    <definedName name="фф" localSheetId="113">'[3]5.2-опер.рас ПП'!фф</definedName>
    <definedName name="фф" localSheetId="115">'[3]5.2-опер.рас ПП'!фф</definedName>
    <definedName name="фф" localSheetId="114">'[3]5.2-опер.рас ПП'!фф</definedName>
    <definedName name="фф" localSheetId="112">'[3]5.2-опер.рас ПП'!фф</definedName>
    <definedName name="фф" localSheetId="109">'[3]5.2-опер.рас ПП'!фф</definedName>
    <definedName name="фф" localSheetId="111">'[3]5.2-опер.рас ПП'!фф</definedName>
    <definedName name="фф" localSheetId="108">'[3]5.2-опер.рас ПП'!фф</definedName>
    <definedName name="фф" localSheetId="122">'[3]5.2-опер.рас ПП'!фф</definedName>
    <definedName name="фф" localSheetId="116">'[3]5.2-опер.рас ПП'!фф</definedName>
    <definedName name="фф" localSheetId="125">'[3]5.2-опер.рас ПП'!фф</definedName>
    <definedName name="фф" localSheetId="127">'[3]5.2-опер.рас ПП'!фф</definedName>
    <definedName name="фф" localSheetId="126">'[3]5.2-опер.рас ПП'!фф</definedName>
    <definedName name="фф" localSheetId="124">'[3]5.2-опер.рас ПП'!фф</definedName>
    <definedName name="фф" localSheetId="118">'[3]5.2-опер.рас ПП'!фф</definedName>
    <definedName name="фф" localSheetId="123">'[3]5.2-опер.рас ПП'!фф</definedName>
    <definedName name="фф" localSheetId="117">'[3]5.2-опер.рас ПП'!фф</definedName>
    <definedName name="фф" localSheetId="119">'[3]5.2-опер.рас ПП'!фф</definedName>
    <definedName name="фф" localSheetId="120">'[3]5.2-опер.рас ПП'!фф</definedName>
    <definedName name="фф" localSheetId="121">'[3]5.2-опер.рас ПП'!фф</definedName>
    <definedName name="фф" localSheetId="129">'[3]5.2-опер.рас ПП'!фф</definedName>
    <definedName name="фф" localSheetId="128">'[3]5.2-опер.рас ПП'!фф</definedName>
    <definedName name="фф" localSheetId="130">'[3]5.2-опер.рас ПП'!фф</definedName>
    <definedName name="фф" localSheetId="133">'[3]5.2-опер.рас ПП'!фф</definedName>
    <definedName name="фф" localSheetId="132">'[3]5.2-опер.рас ПП'!фф</definedName>
    <definedName name="фф" localSheetId="136">'[3]5.2-опер.рас ПП'!фф</definedName>
    <definedName name="фф" localSheetId="134">'[3]5.2-опер.рас ПП'!фф</definedName>
    <definedName name="фф" localSheetId="139">'[3]5.2-опер.рас ПП'!фф</definedName>
    <definedName name="фф" localSheetId="137">'[3]5.2-опер.рас ПП'!фф</definedName>
    <definedName name="фф" localSheetId="142">'[3]5.2-опер.рас ПП'!фф</definedName>
    <definedName name="фф" localSheetId="141">'[3]5.2-опер.рас ПП'!фф</definedName>
    <definedName name="фф" localSheetId="140">'[3]5.2-опер.рас ПП'!фф</definedName>
    <definedName name="фф" localSheetId="145">'[3]5.2-опер.рас ПП'!фф</definedName>
    <definedName name="фф" localSheetId="143">'[3]5.2-опер.рас ПП'!фф</definedName>
    <definedName name="фф" localSheetId="150">'[3]5.2-опер.рас ПП'!фф</definedName>
    <definedName name="фф" localSheetId="158">'[3]5.2-опер.рас ПП'!фф</definedName>
    <definedName name="фф" localSheetId="157">'[3]5.2-опер.рас ПП'!фф</definedName>
    <definedName name="фф" localSheetId="156">'[3]5.2-опер.рас ПП'!фф</definedName>
    <definedName name="фф" localSheetId="146">'[3]5.2-опер.рас ПП'!фф</definedName>
    <definedName name="фф" localSheetId="89">'[3]5.2-опер.рас ПП'!фф</definedName>
    <definedName name="фф" localSheetId="90">'[3]5.2-опер.рас ПП'!фф</definedName>
    <definedName name="фф" localSheetId="2">'[4]5.2-опер.рас ПП'!фф</definedName>
    <definedName name="фф" localSheetId="1">'[4]5.2-опер.рас ПП'!фф</definedName>
    <definedName name="фф">'[3]5.2-опер.рас ПП'!фф</definedName>
    <definedName name="ц">#N/A</definedName>
    <definedName name="цу">#N/A</definedName>
    <definedName name="четвертый" localSheetId="19">#REF!</definedName>
    <definedName name="четвертый" localSheetId="18">#REF!</definedName>
    <definedName name="четвертый" localSheetId="17">#REF!</definedName>
    <definedName name="четвертый" localSheetId="45">#REF!</definedName>
    <definedName name="четвертый" localSheetId="44">#REF!</definedName>
    <definedName name="четвертый" localSheetId="3">#REF!</definedName>
    <definedName name="четвертый" localSheetId="78">#REF!</definedName>
    <definedName name="четвертый" localSheetId="63">#REF!</definedName>
    <definedName name="четвертый" localSheetId="73">#REF!</definedName>
    <definedName name="четвертый" localSheetId="68">#REF!</definedName>
    <definedName name="четвертый" localSheetId="65">#REF!</definedName>
    <definedName name="четвертый" localSheetId="75">#REF!</definedName>
    <definedName name="четвертый" localSheetId="70">#REF!</definedName>
    <definedName name="четвертый" localSheetId="79">#REF!</definedName>
    <definedName name="четвертый" localSheetId="82">#REF!</definedName>
    <definedName name="четвертый" localSheetId="12">#REF!</definedName>
    <definedName name="четвертый" localSheetId="11">#REF!</definedName>
    <definedName name="четвертый" localSheetId="20">#REF!</definedName>
    <definedName name="четвертый" localSheetId="28">#REF!</definedName>
    <definedName name="четвертый" localSheetId="38">#REF!</definedName>
    <definedName name="четвертый" localSheetId="26">#REF!</definedName>
    <definedName name="четвертый" localSheetId="34">#REF!</definedName>
    <definedName name="четвертый" localSheetId="32">#REF!</definedName>
    <definedName name="четвертый" localSheetId="23">#REF!</definedName>
    <definedName name="четвертый" localSheetId="41">#REF!</definedName>
    <definedName name="четвертый" localSheetId="31">#REF!</definedName>
    <definedName name="четвертый" localSheetId="30">#REF!</definedName>
    <definedName name="четвертый" localSheetId="47">#REF!</definedName>
    <definedName name="четвертый" localSheetId="46">#REF!</definedName>
    <definedName name="четвертый" localSheetId="52">#REF!</definedName>
    <definedName name="четвертый" localSheetId="62">#REF!</definedName>
    <definedName name="четвертый" localSheetId="57">#REF!</definedName>
    <definedName name="четвертый" localSheetId="48">#REF!</definedName>
    <definedName name="четвертый" localSheetId="58">#REF!</definedName>
    <definedName name="четвертый" localSheetId="53">#REF!</definedName>
    <definedName name="четвертый" localSheetId="51">#REF!</definedName>
    <definedName name="четвертый" localSheetId="61">#REF!</definedName>
    <definedName name="четвертый" localSheetId="56">#REF!</definedName>
    <definedName name="четвертый" localSheetId="60">#REF!</definedName>
    <definedName name="четвертый" localSheetId="55">#REF!</definedName>
    <definedName name="четвертый" localSheetId="50">#REF!</definedName>
    <definedName name="четвертый" localSheetId="96">#REF!</definedName>
    <definedName name="четвертый" localSheetId="93">#REF!</definedName>
    <definedName name="четвертый" localSheetId="99">#REF!</definedName>
    <definedName name="четвертый" localSheetId="95">#REF!</definedName>
    <definedName name="четвертый" localSheetId="92">#REF!</definedName>
    <definedName name="четвертый" localSheetId="98">#REF!</definedName>
    <definedName name="четвертый" localSheetId="94">#REF!</definedName>
    <definedName name="четвертый" localSheetId="91">#REF!</definedName>
    <definedName name="четвертый" localSheetId="97">#REF!</definedName>
    <definedName name="четвертый" localSheetId="103">#REF!</definedName>
    <definedName name="четвертый" localSheetId="101">#REF!</definedName>
    <definedName name="четвертый" localSheetId="106">#REF!</definedName>
    <definedName name="четвертый" localSheetId="102">#REF!</definedName>
    <definedName name="четвертый" localSheetId="100">#REF!</definedName>
    <definedName name="четвертый" localSheetId="105">#REF!</definedName>
    <definedName name="четвертый" localSheetId="104">#REF!</definedName>
    <definedName name="четвертый" localSheetId="110">#REF!</definedName>
    <definedName name="четвертый" localSheetId="107">#REF!</definedName>
    <definedName name="четвертый" localSheetId="113">#REF!</definedName>
    <definedName name="четвертый" localSheetId="115">#REF!</definedName>
    <definedName name="четвертый" localSheetId="114">#REF!</definedName>
    <definedName name="четвертый" localSheetId="112">#REF!</definedName>
    <definedName name="четвертый" localSheetId="109">#REF!</definedName>
    <definedName name="четвертый" localSheetId="111">#REF!</definedName>
    <definedName name="четвертый" localSheetId="108">#REF!</definedName>
    <definedName name="четвертый" localSheetId="122">#REF!</definedName>
    <definedName name="четвертый" localSheetId="116">#REF!</definedName>
    <definedName name="четвертый" localSheetId="125">#REF!</definedName>
    <definedName name="четвертый" localSheetId="127">#REF!</definedName>
    <definedName name="четвертый" localSheetId="126">#REF!</definedName>
    <definedName name="четвертый" localSheetId="124">#REF!</definedName>
    <definedName name="четвертый" localSheetId="118">#REF!</definedName>
    <definedName name="четвертый" localSheetId="123">#REF!</definedName>
    <definedName name="четвертый" localSheetId="117">#REF!</definedName>
    <definedName name="четвертый" localSheetId="119">#REF!</definedName>
    <definedName name="четвертый" localSheetId="120">#REF!</definedName>
    <definedName name="четвертый" localSheetId="121">#REF!</definedName>
    <definedName name="четвертый" localSheetId="129">#REF!</definedName>
    <definedName name="четвертый" localSheetId="128">#REF!</definedName>
    <definedName name="четвертый" localSheetId="130">#REF!</definedName>
    <definedName name="четвертый" localSheetId="133">#REF!</definedName>
    <definedName name="четвертый" localSheetId="132">#REF!</definedName>
    <definedName name="четвертый" localSheetId="136">#REF!</definedName>
    <definedName name="четвертый" localSheetId="134">#REF!</definedName>
    <definedName name="четвертый" localSheetId="139">#REF!</definedName>
    <definedName name="четвертый" localSheetId="137">#REF!</definedName>
    <definedName name="четвертый" localSheetId="142">#REF!</definedName>
    <definedName name="четвертый" localSheetId="141">#REF!</definedName>
    <definedName name="четвертый" localSheetId="140">#REF!</definedName>
    <definedName name="четвертый" localSheetId="145">#REF!</definedName>
    <definedName name="четвертый" localSheetId="144">#REF!</definedName>
    <definedName name="четвертый" localSheetId="143">#REF!</definedName>
    <definedName name="четвертый" localSheetId="150">#REF!</definedName>
    <definedName name="четвертый" localSheetId="158">#REF!</definedName>
    <definedName name="четвертый" localSheetId="157">#REF!</definedName>
    <definedName name="четвертый" localSheetId="156">#REF!</definedName>
    <definedName name="четвертый" localSheetId="146">#REF!</definedName>
    <definedName name="четвертый" localSheetId="89">#REF!</definedName>
    <definedName name="четвертый" localSheetId="90">#REF!</definedName>
    <definedName name="четвертый" localSheetId="2">#REF!</definedName>
    <definedName name="четвертый">#REF!</definedName>
    <definedName name="щ" localSheetId="19">'[3]5.2-опер.рас ПП'!щ</definedName>
    <definedName name="щ" localSheetId="17">'[3]5.2-опер.рас ПП'!щ</definedName>
    <definedName name="щ" localSheetId="45">'4. 7_котельн.'!щ</definedName>
    <definedName name="щ" localSheetId="44">'4. 7_КТЭЦ'!щ</definedName>
    <definedName name="щ" localSheetId="3">'[3]5.2-опер.рас ПП'!щ</definedName>
    <definedName name="щ" localSheetId="78">'[3]5.2-опер.рас ПП'!щ</definedName>
    <definedName name="щ" localSheetId="65">'[3]5.2-опер.рас ПП'!щ</definedName>
    <definedName name="щ" localSheetId="75">'[3]5.2-опер.рас ПП'!щ</definedName>
    <definedName name="щ" localSheetId="70">'[3]5.2-опер.рас ПП'!щ</definedName>
    <definedName name="щ" localSheetId="79">'[3]5.2-опер.рас ПП'!щ</definedName>
    <definedName name="щ" localSheetId="82">'[3]5.2-опер.рас ПП'!щ</definedName>
    <definedName name="щ" localSheetId="12">'[3]5.2-опер.рас ПП'!щ</definedName>
    <definedName name="щ" localSheetId="11">'[3]5.2-опер.рас ПП'!щ</definedName>
    <definedName name="щ" localSheetId="20">'[4]5.2-опер.рас ПП'!щ</definedName>
    <definedName name="щ" localSheetId="28">'[3]5.2-опер.рас ПП'!щ</definedName>
    <definedName name="щ" localSheetId="38">'[3]5.2-опер.рас ПП'!щ</definedName>
    <definedName name="щ" localSheetId="26">'[3]5.2-опер.рас ПП'!щ</definedName>
    <definedName name="щ" localSheetId="34">'[3]5.2-опер.рас ПП'!щ</definedName>
    <definedName name="щ" localSheetId="32">'[3]5.2-опер.рас ПП'!щ</definedName>
    <definedName name="щ" localSheetId="23">'[3]5.2-опер.рас ПП'!щ</definedName>
    <definedName name="щ" localSheetId="41">'[3]5.2-опер.рас ПП'!щ</definedName>
    <definedName name="щ" localSheetId="31">'[3]5.2-опер.рас ПП'!щ</definedName>
    <definedName name="щ" localSheetId="30">'[3]5.2-опер.рас ПП'!щ</definedName>
    <definedName name="щ" localSheetId="47">'[4]5.2-опер.рас ПП'!щ</definedName>
    <definedName name="щ" localSheetId="46">'[4]5.2-опер.рас ПП'!щ</definedName>
    <definedName name="щ" localSheetId="52">'[3]5.2-опер.рас ПП'!щ</definedName>
    <definedName name="щ" localSheetId="62">'[3]5.2-опер.рас ПП'!щ</definedName>
    <definedName name="щ" localSheetId="57">'[3]5.2-опер.рас ПП'!щ</definedName>
    <definedName name="щ" localSheetId="51">'[3]5.2-опер.рас ПП'!щ</definedName>
    <definedName name="щ" localSheetId="61">'[3]5.2-опер.рас ПП'!щ</definedName>
    <definedName name="щ" localSheetId="56">'[3]5.2-опер.рас ПП'!щ</definedName>
    <definedName name="щ" localSheetId="60">'[3]5.2-опер.рас ПП'!щ</definedName>
    <definedName name="щ" localSheetId="55">'[3]5.2-опер.рас ПП'!щ</definedName>
    <definedName name="щ" localSheetId="50">'[3]5.2-опер.рас ПП'!щ</definedName>
    <definedName name="щ" localSheetId="96">'[3]5.2-опер.рас ПП'!щ</definedName>
    <definedName name="щ" localSheetId="93">'[3]5.2-опер.рас ПП'!щ</definedName>
    <definedName name="щ" localSheetId="99">'[3]5.2-опер.рас ПП'!щ</definedName>
    <definedName name="щ" localSheetId="95">'[3]5.2-опер.рас ПП'!щ</definedName>
    <definedName name="щ" localSheetId="92">'[3]5.2-опер.рас ПП'!щ</definedName>
    <definedName name="щ" localSheetId="98">'[3]5.2-опер.рас ПП'!щ</definedName>
    <definedName name="щ" localSheetId="94">'[3]5.2-опер.рас ПП'!щ</definedName>
    <definedName name="щ" localSheetId="91">'[3]5.2-опер.рас ПП'!щ</definedName>
    <definedName name="щ" localSheetId="97">'[3]5.2-опер.рас ПП'!щ</definedName>
    <definedName name="щ" localSheetId="103">'[3]5.2-опер.рас ПП'!щ</definedName>
    <definedName name="щ" localSheetId="101">'[3]5.2-опер.рас ПП'!щ</definedName>
    <definedName name="щ" localSheetId="106">'[3]5.2-опер.рас ПП'!щ</definedName>
    <definedName name="щ" localSheetId="102">'[3]5.2-опер.рас ПП'!щ</definedName>
    <definedName name="щ" localSheetId="100">'[3]5.2-опер.рас ПП'!щ</definedName>
    <definedName name="щ" localSheetId="105">'[3]5.2-опер.рас ПП'!щ</definedName>
    <definedName name="щ" localSheetId="104">'[3]5.2-опер.рас ПП'!щ</definedName>
    <definedName name="щ" localSheetId="110">'[3]5.2-опер.рас ПП'!щ</definedName>
    <definedName name="щ" localSheetId="107">'[3]5.2-опер.рас ПП'!щ</definedName>
    <definedName name="щ" localSheetId="113">'[3]5.2-опер.рас ПП'!щ</definedName>
    <definedName name="щ" localSheetId="115">'[3]5.2-опер.рас ПП'!щ</definedName>
    <definedName name="щ" localSheetId="114">'[3]5.2-опер.рас ПП'!щ</definedName>
    <definedName name="щ" localSheetId="112">'[3]5.2-опер.рас ПП'!щ</definedName>
    <definedName name="щ" localSheetId="109">'[3]5.2-опер.рас ПП'!щ</definedName>
    <definedName name="щ" localSheetId="111">'[3]5.2-опер.рас ПП'!щ</definedName>
    <definedName name="щ" localSheetId="108">'[3]5.2-опер.рас ПП'!щ</definedName>
    <definedName name="щ" localSheetId="122">'[3]5.2-опер.рас ПП'!щ</definedName>
    <definedName name="щ" localSheetId="116">'[3]5.2-опер.рас ПП'!щ</definedName>
    <definedName name="щ" localSheetId="125">'[3]5.2-опер.рас ПП'!щ</definedName>
    <definedName name="щ" localSheetId="127">'[3]5.2-опер.рас ПП'!щ</definedName>
    <definedName name="щ" localSheetId="126">'[3]5.2-опер.рас ПП'!щ</definedName>
    <definedName name="щ" localSheetId="124">'[3]5.2-опер.рас ПП'!щ</definedName>
    <definedName name="щ" localSheetId="118">'[3]5.2-опер.рас ПП'!щ</definedName>
    <definedName name="щ" localSheetId="123">'[3]5.2-опер.рас ПП'!щ</definedName>
    <definedName name="щ" localSheetId="117">'[3]5.2-опер.рас ПП'!щ</definedName>
    <definedName name="щ" localSheetId="119">'[3]5.2-опер.рас ПП'!щ</definedName>
    <definedName name="щ" localSheetId="120">'[3]5.2-опер.рас ПП'!щ</definedName>
    <definedName name="щ" localSheetId="121">'[3]5.2-опер.рас ПП'!щ</definedName>
    <definedName name="щ" localSheetId="129">'[3]5.2-опер.рас ПП'!щ</definedName>
    <definedName name="щ" localSheetId="128">'[3]5.2-опер.рас ПП'!щ</definedName>
    <definedName name="щ" localSheetId="130">'[3]5.2-опер.рас ПП'!щ</definedName>
    <definedName name="щ" localSheetId="133">'[3]5.2-опер.рас ПП'!щ</definedName>
    <definedName name="щ" localSheetId="132">'[3]5.2-опер.рас ПП'!щ</definedName>
    <definedName name="щ" localSheetId="136">'[3]5.2-опер.рас ПП'!щ</definedName>
    <definedName name="щ" localSheetId="134">'[3]5.2-опер.рас ПП'!щ</definedName>
    <definedName name="щ" localSheetId="139">'[3]5.2-опер.рас ПП'!щ</definedName>
    <definedName name="щ" localSheetId="137">'[3]5.2-опер.рас ПП'!щ</definedName>
    <definedName name="щ" localSheetId="142">'[3]5.2-опер.рас ПП'!щ</definedName>
    <definedName name="щ" localSheetId="141">'[3]5.2-опер.рас ПП'!щ</definedName>
    <definedName name="щ" localSheetId="140">'[3]5.2-опер.рас ПП'!щ</definedName>
    <definedName name="щ" localSheetId="145">'[3]5.2-опер.рас ПП'!щ</definedName>
    <definedName name="щ" localSheetId="143">'[3]5.2-опер.рас ПП'!щ</definedName>
    <definedName name="щ" localSheetId="150">'[3]5.2-опер.рас ПП'!щ</definedName>
    <definedName name="щ" localSheetId="158">'[3]5.2-опер.рас ПП'!щ</definedName>
    <definedName name="щ" localSheetId="157">'[3]5.2-опер.рас ПП'!щ</definedName>
    <definedName name="щ" localSheetId="156">'[3]5.2-опер.рас ПП'!щ</definedName>
    <definedName name="щ" localSheetId="146">'[3]5.2-опер.рас ПП'!щ</definedName>
    <definedName name="щ" localSheetId="89">'[3]5.2-опер.рас ПП'!щ</definedName>
    <definedName name="щ" localSheetId="90">'[3]5.2-опер.рас ПП'!щ</definedName>
    <definedName name="щ" localSheetId="2">'[4]5.2-опер.рас ПП'!щ</definedName>
    <definedName name="щ" localSheetId="1">'[4]5.2-опер.рас ПП'!щ</definedName>
    <definedName name="щ">'[3]5.2-опер.рас ПП'!щ</definedName>
    <definedName name="ыв">#N/A</definedName>
    <definedName name="ывы" localSheetId="19">'[3]5.2-опер.рас ПП'!ывы</definedName>
    <definedName name="ывы" localSheetId="17">'[3]5.2-опер.рас ПП'!ывы</definedName>
    <definedName name="ывы" localSheetId="45">'4. 7_котельн.'!ывы</definedName>
    <definedName name="ывы" localSheetId="44">'4. 7_КТЭЦ'!ывы</definedName>
    <definedName name="ывы" localSheetId="3">'[3]5.2-опер.рас ПП'!ывы</definedName>
    <definedName name="ывы" localSheetId="78">'[3]5.2-опер.рас ПП'!ывы</definedName>
    <definedName name="ывы" localSheetId="65">'[3]5.2-опер.рас ПП'!ывы</definedName>
    <definedName name="ывы" localSheetId="75">'[3]5.2-опер.рас ПП'!ывы</definedName>
    <definedName name="ывы" localSheetId="70">'[3]5.2-опер.рас ПП'!ывы</definedName>
    <definedName name="ывы" localSheetId="79">'[3]5.2-опер.рас ПП'!ывы</definedName>
    <definedName name="ывы" localSheetId="82">'[3]5.2-опер.рас ПП'!ывы</definedName>
    <definedName name="ывы" localSheetId="12">'[3]5.2-опер.рас ПП'!ывы</definedName>
    <definedName name="ывы" localSheetId="11">'[3]5.2-опер.рас ПП'!ывы</definedName>
    <definedName name="ывы" localSheetId="20">'[4]5.2-опер.рас ПП'!ывы</definedName>
    <definedName name="ывы" localSheetId="28">'[3]5.2-опер.рас ПП'!ывы</definedName>
    <definedName name="ывы" localSheetId="38">'[3]5.2-опер.рас ПП'!ывы</definedName>
    <definedName name="ывы" localSheetId="26">'[3]5.2-опер.рас ПП'!ывы</definedName>
    <definedName name="ывы" localSheetId="34">'[3]5.2-опер.рас ПП'!ывы</definedName>
    <definedName name="ывы" localSheetId="32">'[3]5.2-опер.рас ПП'!ывы</definedName>
    <definedName name="ывы" localSheetId="23">'[3]5.2-опер.рас ПП'!ывы</definedName>
    <definedName name="ывы" localSheetId="41">'[3]5.2-опер.рас ПП'!ывы</definedName>
    <definedName name="ывы" localSheetId="31">'[3]5.2-опер.рас ПП'!ывы</definedName>
    <definedName name="ывы" localSheetId="30">'[3]5.2-опер.рас ПП'!ывы</definedName>
    <definedName name="ывы" localSheetId="47">'[4]5.2-опер.рас ПП'!ывы</definedName>
    <definedName name="ывы" localSheetId="46">'[4]5.2-опер.рас ПП'!ывы</definedName>
    <definedName name="ывы" localSheetId="52">'[3]5.2-опер.рас ПП'!ывы</definedName>
    <definedName name="ывы" localSheetId="62">'[3]5.2-опер.рас ПП'!ывы</definedName>
    <definedName name="ывы" localSheetId="57">'[3]5.2-опер.рас ПП'!ывы</definedName>
    <definedName name="ывы" localSheetId="51">'[3]5.2-опер.рас ПП'!ывы</definedName>
    <definedName name="ывы" localSheetId="61">'[3]5.2-опер.рас ПП'!ывы</definedName>
    <definedName name="ывы" localSheetId="56">'[3]5.2-опер.рас ПП'!ывы</definedName>
    <definedName name="ывы" localSheetId="60">'[3]5.2-опер.рас ПП'!ывы</definedName>
    <definedName name="ывы" localSheetId="55">'[3]5.2-опер.рас ПП'!ывы</definedName>
    <definedName name="ывы" localSheetId="50">'[3]5.2-опер.рас ПП'!ывы</definedName>
    <definedName name="ывы" localSheetId="96">'[3]5.2-опер.рас ПП'!ывы</definedName>
    <definedName name="ывы" localSheetId="93">'[3]5.2-опер.рас ПП'!ывы</definedName>
    <definedName name="ывы" localSheetId="99">'[3]5.2-опер.рас ПП'!ывы</definedName>
    <definedName name="ывы" localSheetId="95">'[3]5.2-опер.рас ПП'!ывы</definedName>
    <definedName name="ывы" localSheetId="92">'[3]5.2-опер.рас ПП'!ывы</definedName>
    <definedName name="ывы" localSheetId="98">'[3]5.2-опер.рас ПП'!ывы</definedName>
    <definedName name="ывы" localSheetId="94">'[3]5.2-опер.рас ПП'!ывы</definedName>
    <definedName name="ывы" localSheetId="91">'[3]5.2-опер.рас ПП'!ывы</definedName>
    <definedName name="ывы" localSheetId="97">'[3]5.2-опер.рас ПП'!ывы</definedName>
    <definedName name="ывы" localSheetId="103">'[3]5.2-опер.рас ПП'!ывы</definedName>
    <definedName name="ывы" localSheetId="101">'[3]5.2-опер.рас ПП'!ывы</definedName>
    <definedName name="ывы" localSheetId="106">'[3]5.2-опер.рас ПП'!ывы</definedName>
    <definedName name="ывы" localSheetId="102">'[3]5.2-опер.рас ПП'!ывы</definedName>
    <definedName name="ывы" localSheetId="100">'[3]5.2-опер.рас ПП'!ывы</definedName>
    <definedName name="ывы" localSheetId="105">'[3]5.2-опер.рас ПП'!ывы</definedName>
    <definedName name="ывы" localSheetId="104">'[3]5.2-опер.рас ПП'!ывы</definedName>
    <definedName name="ывы" localSheetId="110">'[3]5.2-опер.рас ПП'!ывы</definedName>
    <definedName name="ывы" localSheetId="107">'[3]5.2-опер.рас ПП'!ывы</definedName>
    <definedName name="ывы" localSheetId="113">'[3]5.2-опер.рас ПП'!ывы</definedName>
    <definedName name="ывы" localSheetId="115">'[3]5.2-опер.рас ПП'!ывы</definedName>
    <definedName name="ывы" localSheetId="114">'[3]5.2-опер.рас ПП'!ывы</definedName>
    <definedName name="ывы" localSheetId="112">'[3]5.2-опер.рас ПП'!ывы</definedName>
    <definedName name="ывы" localSheetId="109">'[3]5.2-опер.рас ПП'!ывы</definedName>
    <definedName name="ывы" localSheetId="111">'[3]5.2-опер.рас ПП'!ывы</definedName>
    <definedName name="ывы" localSheetId="108">'[3]5.2-опер.рас ПП'!ывы</definedName>
    <definedName name="ывы" localSheetId="122">'[3]5.2-опер.рас ПП'!ывы</definedName>
    <definedName name="ывы" localSheetId="116">'[3]5.2-опер.рас ПП'!ывы</definedName>
    <definedName name="ывы" localSheetId="125">'[3]5.2-опер.рас ПП'!ывы</definedName>
    <definedName name="ывы" localSheetId="127">'[3]5.2-опер.рас ПП'!ывы</definedName>
    <definedName name="ывы" localSheetId="126">'[3]5.2-опер.рас ПП'!ывы</definedName>
    <definedName name="ывы" localSheetId="124">'[3]5.2-опер.рас ПП'!ывы</definedName>
    <definedName name="ывы" localSheetId="118">'[3]5.2-опер.рас ПП'!ывы</definedName>
    <definedName name="ывы" localSheetId="123">'[3]5.2-опер.рас ПП'!ывы</definedName>
    <definedName name="ывы" localSheetId="117">'[3]5.2-опер.рас ПП'!ывы</definedName>
    <definedName name="ывы" localSheetId="119">'[3]5.2-опер.рас ПП'!ывы</definedName>
    <definedName name="ывы" localSheetId="120">'[3]5.2-опер.рас ПП'!ывы</definedName>
    <definedName name="ывы" localSheetId="121">'[3]5.2-опер.рас ПП'!ывы</definedName>
    <definedName name="ывы" localSheetId="129">'[3]5.2-опер.рас ПП'!ывы</definedName>
    <definedName name="ывы" localSheetId="128">'[3]5.2-опер.рас ПП'!ывы</definedName>
    <definedName name="ывы" localSheetId="130">'[3]5.2-опер.рас ПП'!ывы</definedName>
    <definedName name="ывы" localSheetId="133">'[3]5.2-опер.рас ПП'!ывы</definedName>
    <definedName name="ывы" localSheetId="132">'[3]5.2-опер.рас ПП'!ывы</definedName>
    <definedName name="ывы" localSheetId="136">'[3]5.2-опер.рас ПП'!ывы</definedName>
    <definedName name="ывы" localSheetId="134">'[3]5.2-опер.рас ПП'!ывы</definedName>
    <definedName name="ывы" localSheetId="139">'[3]5.2-опер.рас ПП'!ывы</definedName>
    <definedName name="ывы" localSheetId="137">'[3]5.2-опер.рас ПП'!ывы</definedName>
    <definedName name="ывы" localSheetId="142">'[3]5.2-опер.рас ПП'!ывы</definedName>
    <definedName name="ывы" localSheetId="141">'[3]5.2-опер.рас ПП'!ывы</definedName>
    <definedName name="ывы" localSheetId="140">'[3]5.2-опер.рас ПП'!ывы</definedName>
    <definedName name="ывы" localSheetId="145">'[3]5.2-опер.рас ПП'!ывы</definedName>
    <definedName name="ывы" localSheetId="143">'[3]5.2-опер.рас ПП'!ывы</definedName>
    <definedName name="ывы" localSheetId="150">'[3]5.2-опер.рас ПП'!ывы</definedName>
    <definedName name="ывы" localSheetId="158">'[3]5.2-опер.рас ПП'!ывы</definedName>
    <definedName name="ывы" localSheetId="157">'[3]5.2-опер.рас ПП'!ывы</definedName>
    <definedName name="ывы" localSheetId="156">'[3]5.2-опер.рас ПП'!ывы</definedName>
    <definedName name="ывы" localSheetId="146">'[3]5.2-опер.рас ПП'!ывы</definedName>
    <definedName name="ывы" localSheetId="89">'[3]5.2-опер.рас ПП'!ывы</definedName>
    <definedName name="ывы" localSheetId="90">'[3]5.2-опер.рас ПП'!ывы</definedName>
    <definedName name="ывы" localSheetId="2">'[4]5.2-опер.рас ПП'!ывы</definedName>
    <definedName name="ывы" localSheetId="1">'[4]5.2-опер.рас ПП'!ывы</definedName>
    <definedName name="ывы">'[3]5.2-опер.рас ПП'!ывы</definedName>
    <definedName name="ыыыы">#N/A</definedName>
    <definedName name="Южные" localSheetId="19">'[3]5.2-опер.рас ПП'!Южные</definedName>
    <definedName name="Южные" localSheetId="17">'[3]5.2-опер.рас ПП'!Южные</definedName>
    <definedName name="Южные" localSheetId="45">'4. 7_котельн.'!Южные</definedName>
    <definedName name="Южные" localSheetId="44">'4. 7_КТЭЦ'!Южные</definedName>
    <definedName name="Южные" localSheetId="3">'[3]5.2-опер.рас ПП'!Южные</definedName>
    <definedName name="Южные" localSheetId="78">'[3]5.2-опер.рас ПП'!Южные</definedName>
    <definedName name="Южные" localSheetId="65">'[3]5.2-опер.рас ПП'!Южные</definedName>
    <definedName name="Южные" localSheetId="75">'[3]5.2-опер.рас ПП'!Южные</definedName>
    <definedName name="Южные" localSheetId="70">'[3]5.2-опер.рас ПП'!Южные</definedName>
    <definedName name="Южные" localSheetId="79">'[3]5.2-опер.рас ПП'!Южные</definedName>
    <definedName name="Южные" localSheetId="82">'[3]5.2-опер.рас ПП'!Южные</definedName>
    <definedName name="Южные" localSheetId="12">'[3]5.2-опер.рас ПП'!Южные</definedName>
    <definedName name="Южные" localSheetId="11">'[3]5.2-опер.рас ПП'!Южные</definedName>
    <definedName name="Южные" localSheetId="20">'[4]5.2-опер.рас ПП'!Южные</definedName>
    <definedName name="Южные" localSheetId="28">'[3]5.2-опер.рас ПП'!Южные</definedName>
    <definedName name="Южные" localSheetId="38">'[3]5.2-опер.рас ПП'!Южные</definedName>
    <definedName name="Южные" localSheetId="26">'[3]5.2-опер.рас ПП'!Южные</definedName>
    <definedName name="Южные" localSheetId="34">'[3]5.2-опер.рас ПП'!Южные</definedName>
    <definedName name="Южные" localSheetId="32">'[3]5.2-опер.рас ПП'!Южные</definedName>
    <definedName name="Южные" localSheetId="23">'[3]5.2-опер.рас ПП'!Южные</definedName>
    <definedName name="Южные" localSheetId="41">'[3]5.2-опер.рас ПП'!Южные</definedName>
    <definedName name="Южные" localSheetId="31">'[3]5.2-опер.рас ПП'!Южные</definedName>
    <definedName name="Южные" localSheetId="30">'[3]5.2-опер.рас ПП'!Южные</definedName>
    <definedName name="Южные" localSheetId="47">'[4]5.2-опер.рас ПП'!Южные</definedName>
    <definedName name="Южные" localSheetId="46">'[4]5.2-опер.рас ПП'!Южные</definedName>
    <definedName name="Южные" localSheetId="52">'[3]5.2-опер.рас ПП'!Южные</definedName>
    <definedName name="Южные" localSheetId="62">'[3]5.2-опер.рас ПП'!Южные</definedName>
    <definedName name="Южные" localSheetId="57">'[3]5.2-опер.рас ПП'!Южные</definedName>
    <definedName name="Южные" localSheetId="51">'[3]5.2-опер.рас ПП'!Южные</definedName>
    <definedName name="Южные" localSheetId="61">'[3]5.2-опер.рас ПП'!Южные</definedName>
    <definedName name="Южные" localSheetId="56">'[3]5.2-опер.рас ПП'!Южные</definedName>
    <definedName name="Южные" localSheetId="60">'[3]5.2-опер.рас ПП'!Южные</definedName>
    <definedName name="Южные" localSheetId="55">'[3]5.2-опер.рас ПП'!Южные</definedName>
    <definedName name="Южные" localSheetId="50">'[3]5.2-опер.рас ПП'!Южные</definedName>
    <definedName name="Южные" localSheetId="96">'[3]5.2-опер.рас ПП'!Южные</definedName>
    <definedName name="Южные" localSheetId="93">'[3]5.2-опер.рас ПП'!Южные</definedName>
    <definedName name="Южные" localSheetId="99">'[3]5.2-опер.рас ПП'!Южные</definedName>
    <definedName name="Южные" localSheetId="95">'[3]5.2-опер.рас ПП'!Южные</definedName>
    <definedName name="Южные" localSheetId="92">'[3]5.2-опер.рас ПП'!Южные</definedName>
    <definedName name="Южные" localSheetId="98">'[3]5.2-опер.рас ПП'!Южные</definedName>
    <definedName name="Южные" localSheetId="94">'[3]5.2-опер.рас ПП'!Южные</definedName>
    <definedName name="Южные" localSheetId="91">'[3]5.2-опер.рас ПП'!Южные</definedName>
    <definedName name="Южные" localSheetId="97">'[3]5.2-опер.рас ПП'!Южные</definedName>
    <definedName name="Южные" localSheetId="103">'[3]5.2-опер.рас ПП'!Южные</definedName>
    <definedName name="Южные" localSheetId="101">'[3]5.2-опер.рас ПП'!Южные</definedName>
    <definedName name="Южные" localSheetId="106">'[3]5.2-опер.рас ПП'!Южные</definedName>
    <definedName name="Южные" localSheetId="102">'[3]5.2-опер.рас ПП'!Южные</definedName>
    <definedName name="Южные" localSheetId="100">'[3]5.2-опер.рас ПП'!Южные</definedName>
    <definedName name="Южные" localSheetId="105">'[3]5.2-опер.рас ПП'!Южные</definedName>
    <definedName name="Южные" localSheetId="104">'[3]5.2-опер.рас ПП'!Южные</definedName>
    <definedName name="Южные" localSheetId="110">'[3]5.2-опер.рас ПП'!Южные</definedName>
    <definedName name="Южные" localSheetId="107">'[3]5.2-опер.рас ПП'!Южные</definedName>
    <definedName name="Южные" localSheetId="113">'[3]5.2-опер.рас ПП'!Южные</definedName>
    <definedName name="Южные" localSheetId="115">'[3]5.2-опер.рас ПП'!Южные</definedName>
    <definedName name="Южные" localSheetId="114">'[3]5.2-опер.рас ПП'!Южные</definedName>
    <definedName name="Южные" localSheetId="112">'[3]5.2-опер.рас ПП'!Южные</definedName>
    <definedName name="Южные" localSheetId="109">'[3]5.2-опер.рас ПП'!Южные</definedName>
    <definedName name="Южные" localSheetId="111">'[3]5.2-опер.рас ПП'!Южные</definedName>
    <definedName name="Южные" localSheetId="108">'[3]5.2-опер.рас ПП'!Южные</definedName>
    <definedName name="Южные" localSheetId="122">'[3]5.2-опер.рас ПП'!Южные</definedName>
    <definedName name="Южные" localSheetId="116">'[3]5.2-опер.рас ПП'!Южные</definedName>
    <definedName name="Южные" localSheetId="125">'[3]5.2-опер.рас ПП'!Южные</definedName>
    <definedName name="Южные" localSheetId="127">'[3]5.2-опер.рас ПП'!Южные</definedName>
    <definedName name="Южные" localSheetId="126">'[3]5.2-опер.рас ПП'!Южные</definedName>
    <definedName name="Южные" localSheetId="124">'[3]5.2-опер.рас ПП'!Южные</definedName>
    <definedName name="Южные" localSheetId="118">'[3]5.2-опер.рас ПП'!Южные</definedName>
    <definedName name="Южные" localSheetId="123">'[3]5.2-опер.рас ПП'!Южные</definedName>
    <definedName name="Южные" localSheetId="117">'[3]5.2-опер.рас ПП'!Южные</definedName>
    <definedName name="Южные" localSheetId="119">'[3]5.2-опер.рас ПП'!Южные</definedName>
    <definedName name="Южные" localSheetId="120">'[3]5.2-опер.рас ПП'!Южные</definedName>
    <definedName name="Южные" localSheetId="121">'[3]5.2-опер.рас ПП'!Южные</definedName>
    <definedName name="Южные" localSheetId="129">'[3]5.2-опер.рас ПП'!Южные</definedName>
    <definedName name="Южные" localSheetId="128">'[3]5.2-опер.рас ПП'!Южные</definedName>
    <definedName name="Южные" localSheetId="130">'[3]5.2-опер.рас ПП'!Южные</definedName>
    <definedName name="Южные" localSheetId="133">'[3]5.2-опер.рас ПП'!Южные</definedName>
    <definedName name="Южные" localSheetId="132">'[3]5.2-опер.рас ПП'!Южные</definedName>
    <definedName name="Южные" localSheetId="136">'[3]5.2-опер.рас ПП'!Южные</definedName>
    <definedName name="Южные" localSheetId="134">'[3]5.2-опер.рас ПП'!Южные</definedName>
    <definedName name="Южные" localSheetId="139">'[3]5.2-опер.рас ПП'!Южные</definedName>
    <definedName name="Южные" localSheetId="137">'[3]5.2-опер.рас ПП'!Южные</definedName>
    <definedName name="Южные" localSheetId="142">'[3]5.2-опер.рас ПП'!Южные</definedName>
    <definedName name="Южные" localSheetId="141">'[3]5.2-опер.рас ПП'!Южные</definedName>
    <definedName name="Южные" localSheetId="140">'[3]5.2-опер.рас ПП'!Южные</definedName>
    <definedName name="Южные" localSheetId="145">'[3]5.2-опер.рас ПП'!Южные</definedName>
    <definedName name="Южные" localSheetId="143">'[3]5.2-опер.рас ПП'!Южные</definedName>
    <definedName name="Южные" localSheetId="150">'[3]5.2-опер.рас ПП'!Южные</definedName>
    <definedName name="Южные" localSheetId="158">'[3]5.2-опер.рас ПП'!Южные</definedName>
    <definedName name="Южные" localSheetId="157">'[3]5.2-опер.рас ПП'!Южные</definedName>
    <definedName name="Южные" localSheetId="156">'[3]5.2-опер.рас ПП'!Южные</definedName>
    <definedName name="Южные" localSheetId="146">'[3]5.2-опер.рас ПП'!Южные</definedName>
    <definedName name="Южные" localSheetId="89">'[3]5.2-опер.рас ПП'!Южные</definedName>
    <definedName name="Южные" localSheetId="90">'[3]5.2-опер.рас ПП'!Южные</definedName>
    <definedName name="Южные" localSheetId="2">'[4]5.2-опер.рас ПП'!Южные</definedName>
    <definedName name="Южные" localSheetId="1">'[4]5.2-опер.рас ПП'!Южные</definedName>
    <definedName name="Южные">'[3]5.2-опер.рас ПП'!Южные</definedName>
  </definedNames>
  <calcPr calcId="145621"/>
</workbook>
</file>

<file path=xl/calcChain.xml><?xml version="1.0" encoding="utf-8"?>
<calcChain xmlns="http://schemas.openxmlformats.org/spreadsheetml/2006/main">
  <c r="F21" i="194" l="1"/>
  <c r="N104" i="176"/>
  <c r="K105" i="176"/>
  <c r="J105" i="176"/>
  <c r="K104" i="176"/>
  <c r="H104" i="173"/>
  <c r="X26" i="58" l="1"/>
  <c r="Y29" i="174" l="1"/>
  <c r="Z29" i="174"/>
  <c r="S29" i="174"/>
  <c r="T29" i="174" s="1"/>
  <c r="M29" i="174"/>
  <c r="N29" i="174"/>
  <c r="Y28" i="174"/>
  <c r="Z28" i="174" s="1"/>
  <c r="S28" i="174"/>
  <c r="T28" i="174" s="1"/>
  <c r="M28" i="174"/>
  <c r="N28" i="174" s="1"/>
  <c r="E17" i="203" l="1"/>
  <c r="F12" i="203"/>
  <c r="E12" i="203"/>
  <c r="F12" i="202"/>
  <c r="E12" i="202"/>
  <c r="F12" i="215"/>
  <c r="E12" i="215"/>
  <c r="D35" i="199"/>
  <c r="D35" i="201"/>
  <c r="D35" i="129"/>
  <c r="D35" i="200"/>
  <c r="W53" i="174" l="1"/>
  <c r="W50" i="174"/>
  <c r="W49" i="174"/>
  <c r="W48" i="174"/>
  <c r="W47" i="174"/>
  <c r="W45" i="174" s="1"/>
  <c r="W46" i="174"/>
  <c r="W43" i="174"/>
  <c r="W42" i="174"/>
  <c r="W41" i="174"/>
  <c r="W40" i="174"/>
  <c r="W39" i="174"/>
  <c r="W38" i="174"/>
  <c r="W37" i="174"/>
  <c r="W36" i="174"/>
  <c r="W35" i="174"/>
  <c r="W34" i="174"/>
  <c r="W32" i="174"/>
  <c r="Q53" i="174"/>
  <c r="Q50" i="174"/>
  <c r="Q49" i="174"/>
  <c r="Q48" i="174"/>
  <c r="Q47" i="174"/>
  <c r="Q46" i="174"/>
  <c r="Q43" i="174"/>
  <c r="Q42" i="174"/>
  <c r="Q41" i="174"/>
  <c r="Q40" i="174"/>
  <c r="Q39" i="174"/>
  <c r="Q38" i="174"/>
  <c r="Q37" i="174"/>
  <c r="Q36" i="174"/>
  <c r="Q35" i="174"/>
  <c r="Q34" i="174"/>
  <c r="Q32" i="174"/>
  <c r="K53" i="174"/>
  <c r="K50" i="174"/>
  <c r="K49" i="174"/>
  <c r="K48" i="174"/>
  <c r="K47" i="174"/>
  <c r="K46" i="174"/>
  <c r="K43" i="174"/>
  <c r="K42" i="174"/>
  <c r="K41" i="174"/>
  <c r="K40" i="174"/>
  <c r="K39" i="174"/>
  <c r="K38" i="174"/>
  <c r="K37" i="174"/>
  <c r="K36" i="174"/>
  <c r="K35" i="174"/>
  <c r="K34" i="174"/>
  <c r="K32" i="174"/>
  <c r="Q45" i="174" l="1"/>
  <c r="K45" i="174"/>
  <c r="P24" i="157" l="1"/>
  <c r="P25" i="157" s="1"/>
  <c r="P26" i="157" s="1"/>
  <c r="Q24" i="157"/>
  <c r="Q24" i="156"/>
  <c r="P24" i="156"/>
  <c r="F22" i="214"/>
  <c r="F23" i="214"/>
  <c r="F19" i="214"/>
  <c r="G8" i="214"/>
  <c r="H18" i="214"/>
  <c r="H15" i="214" s="1"/>
  <c r="F14" i="214"/>
  <c r="F13" i="214"/>
  <c r="F18" i="214"/>
  <c r="F15" i="214" s="1"/>
  <c r="F11" i="214"/>
  <c r="F9" i="214"/>
  <c r="F8" i="214"/>
  <c r="E18" i="214"/>
  <c r="D18" i="214"/>
  <c r="D15" i="214" s="1"/>
  <c r="D7" i="214" s="1"/>
  <c r="E15" i="214"/>
  <c r="E7" i="214"/>
  <c r="I65" i="184"/>
  <c r="H65" i="184"/>
  <c r="E65" i="184"/>
  <c r="D65" i="184"/>
  <c r="D49" i="184"/>
  <c r="I37" i="184"/>
  <c r="E37" i="184"/>
  <c r="I17" i="184"/>
  <c r="E17" i="184"/>
  <c r="Q25" i="157" l="1"/>
  <c r="Q26" i="157" s="1"/>
  <c r="O24" i="157"/>
  <c r="O25" i="157" s="1"/>
  <c r="O26" i="157" s="1"/>
  <c r="P25" i="156"/>
  <c r="P26" i="156" s="1"/>
  <c r="Q25" i="156"/>
  <c r="Q26" i="156" s="1"/>
  <c r="O24" i="64"/>
  <c r="O25" i="64" s="1"/>
  <c r="O26" i="64" s="1"/>
  <c r="H7" i="214"/>
  <c r="F7" i="214"/>
  <c r="F24" i="214" s="1"/>
  <c r="F25" i="214" s="1"/>
  <c r="F26" i="214" s="1"/>
  <c r="D23" i="214"/>
  <c r="D24" i="214" s="1"/>
  <c r="D25" i="214" s="1"/>
  <c r="D26" i="214" s="1"/>
  <c r="E23" i="214"/>
  <c r="E24" i="214" s="1"/>
  <c r="E25" i="214" s="1"/>
  <c r="E26" i="214" s="1"/>
  <c r="Q14" i="158" l="1"/>
  <c r="Q24" i="214"/>
  <c r="Q25" i="214" s="1"/>
  <c r="Q26" i="214" s="1"/>
  <c r="O24" i="214"/>
  <c r="O25" i="214" s="1"/>
  <c r="O26" i="214" s="1"/>
  <c r="P14" i="158"/>
  <c r="P24" i="64"/>
  <c r="P25" i="64" s="1"/>
  <c r="P26" i="64" s="1"/>
  <c r="P24" i="214"/>
  <c r="P25" i="214" s="1"/>
  <c r="P26" i="214" s="1"/>
  <c r="Q24" i="64"/>
  <c r="Q25" i="64" s="1"/>
  <c r="Q26" i="64" s="1"/>
  <c r="Q24" i="63"/>
  <c r="Q25" i="63" s="1"/>
  <c r="Q26" i="63" s="1"/>
  <c r="P24" i="63"/>
  <c r="P25" i="63" s="1"/>
  <c r="P26" i="63" s="1"/>
  <c r="O24" i="63"/>
  <c r="O25" i="63" s="1"/>
  <c r="O26" i="63" s="1"/>
  <c r="O14" i="65" s="1"/>
  <c r="H23" i="214"/>
  <c r="H24" i="214" s="1"/>
  <c r="H26" i="214" s="1"/>
  <c r="P14" i="65" l="1"/>
  <c r="Q14" i="65"/>
  <c r="P74" i="174" l="1"/>
  <c r="F92" i="109" l="1"/>
  <c r="G92" i="109"/>
  <c r="H92" i="109"/>
  <c r="I92" i="109"/>
  <c r="J92" i="109"/>
  <c r="F93" i="109"/>
  <c r="G93" i="109"/>
  <c r="H93" i="109"/>
  <c r="I93" i="109"/>
  <c r="J93" i="109"/>
  <c r="F94" i="109"/>
  <c r="G94" i="109"/>
  <c r="H94" i="109"/>
  <c r="I94" i="109"/>
  <c r="J94" i="109"/>
  <c r="F95" i="109"/>
  <c r="G95" i="109"/>
  <c r="H95" i="109"/>
  <c r="I95" i="109"/>
  <c r="J95" i="109"/>
  <c r="F96" i="109"/>
  <c r="G96" i="109"/>
  <c r="H96" i="109"/>
  <c r="I96" i="109"/>
  <c r="J96" i="109"/>
  <c r="C110" i="111"/>
  <c r="D110" i="111"/>
  <c r="E110" i="111"/>
  <c r="F110" i="111"/>
  <c r="G110" i="111"/>
  <c r="H110" i="111"/>
  <c r="I110" i="111"/>
  <c r="J110" i="111"/>
  <c r="K110" i="111"/>
  <c r="B110" i="111"/>
  <c r="J175" i="111"/>
  <c r="J255" i="111"/>
  <c r="Z25" i="174" l="1"/>
  <c r="X25" i="174"/>
  <c r="Y25" i="174"/>
  <c r="V25" i="174"/>
  <c r="T25" i="174"/>
  <c r="R25" i="174"/>
  <c r="S25" i="174"/>
  <c r="P25" i="174"/>
  <c r="N25" i="174"/>
  <c r="L25" i="174"/>
  <c r="M25" i="174"/>
  <c r="J25" i="174"/>
  <c r="D25" i="174"/>
  <c r="Z63" i="174" l="1"/>
  <c r="Y63" i="174"/>
  <c r="X63" i="174"/>
  <c r="T63" i="174"/>
  <c r="S63" i="174"/>
  <c r="R63" i="174"/>
  <c r="N63" i="174"/>
  <c r="M63" i="174"/>
  <c r="L63" i="174"/>
  <c r="Z31" i="174" l="1"/>
  <c r="Y31" i="174"/>
  <c r="X31" i="174"/>
  <c r="W31" i="174"/>
  <c r="V31" i="174"/>
  <c r="T31" i="174"/>
  <c r="S31" i="174"/>
  <c r="R31" i="174"/>
  <c r="Q31" i="174"/>
  <c r="P31" i="174"/>
  <c r="N31" i="174"/>
  <c r="M31" i="174"/>
  <c r="L31" i="174"/>
  <c r="J31" i="174"/>
  <c r="N18" i="174" l="1"/>
  <c r="N16" i="174"/>
  <c r="R22" i="127"/>
  <c r="M18" i="174" l="1"/>
  <c r="M16" i="174"/>
  <c r="L18" i="174"/>
  <c r="L16" i="174"/>
  <c r="G16" i="166"/>
  <c r="H16" i="166"/>
  <c r="K18" i="174" l="1"/>
  <c r="K16" i="174"/>
  <c r="F16" i="166" l="1"/>
  <c r="G111" i="212" l="1"/>
  <c r="H111" i="212" l="1"/>
  <c r="E106" i="212"/>
  <c r="E101" i="212" s="1"/>
  <c r="G97" i="212"/>
  <c r="G113" i="212" s="1"/>
  <c r="G95" i="212"/>
  <c r="E95" i="212"/>
  <c r="G94" i="212"/>
  <c r="E94" i="212"/>
  <c r="G93" i="212"/>
  <c r="E93" i="212"/>
  <c r="G92" i="212"/>
  <c r="E92" i="212"/>
  <c r="G91" i="212"/>
  <c r="E91" i="212"/>
  <c r="G90" i="212"/>
  <c r="E90" i="212"/>
  <c r="G89" i="212"/>
  <c r="E89" i="212"/>
  <c r="G88" i="212"/>
  <c r="E88" i="212"/>
  <c r="G87" i="212"/>
  <c r="E87" i="212"/>
  <c r="G86" i="212"/>
  <c r="G85" i="212"/>
  <c r="E85" i="212"/>
  <c r="G84" i="212"/>
  <c r="E84" i="212"/>
  <c r="G83" i="212"/>
  <c r="E83" i="212"/>
  <c r="H82" i="212"/>
  <c r="F82" i="212"/>
  <c r="D82" i="212"/>
  <c r="E71" i="212"/>
  <c r="G67" i="212"/>
  <c r="E67" i="212"/>
  <c r="H56" i="212"/>
  <c r="H52" i="212"/>
  <c r="G52" i="212"/>
  <c r="F52" i="212"/>
  <c r="E52" i="212"/>
  <c r="E41" i="212"/>
  <c r="G37" i="212"/>
  <c r="F37" i="212"/>
  <c r="E37" i="212"/>
  <c r="H22" i="212"/>
  <c r="G22" i="212"/>
  <c r="F22" i="212"/>
  <c r="E22" i="212"/>
  <c r="D22" i="212"/>
  <c r="E11" i="212"/>
  <c r="G7" i="212"/>
  <c r="E7" i="212"/>
  <c r="A2" i="212"/>
  <c r="G82" i="212" l="1"/>
  <c r="E97" i="212"/>
  <c r="E82" i="212" s="1"/>
  <c r="E86" i="212"/>
  <c r="O107" i="183" l="1"/>
  <c r="N107" i="183"/>
  <c r="M107" i="183"/>
  <c r="L107" i="183"/>
  <c r="K107" i="183"/>
  <c r="J107" i="183"/>
  <c r="I107" i="183"/>
  <c r="O101" i="183"/>
  <c r="N101" i="183"/>
  <c r="N100" i="183" s="1"/>
  <c r="M101" i="183"/>
  <c r="M100" i="183" s="1"/>
  <c r="L101" i="183"/>
  <c r="L100" i="183" s="1"/>
  <c r="K101" i="183"/>
  <c r="J101" i="183"/>
  <c r="J100" i="183" s="1"/>
  <c r="I101" i="183"/>
  <c r="I100" i="183" s="1"/>
  <c r="O100" i="183"/>
  <c r="K100" i="183"/>
  <c r="O94" i="183"/>
  <c r="N94" i="183"/>
  <c r="M94" i="183"/>
  <c r="L94" i="183"/>
  <c r="K94" i="183"/>
  <c r="J94" i="183"/>
  <c r="I94" i="183"/>
  <c r="O86" i="183"/>
  <c r="N86" i="183"/>
  <c r="M86" i="183"/>
  <c r="L86" i="183"/>
  <c r="K86" i="183"/>
  <c r="J86" i="183"/>
  <c r="I86" i="183"/>
  <c r="O80" i="183"/>
  <c r="N80" i="183"/>
  <c r="N79" i="183" s="1"/>
  <c r="M80" i="183"/>
  <c r="M79" i="183" s="1"/>
  <c r="L80" i="183"/>
  <c r="L79" i="183" s="1"/>
  <c r="K80" i="183"/>
  <c r="J80" i="183"/>
  <c r="J79" i="183" s="1"/>
  <c r="I80" i="183"/>
  <c r="I79" i="183" s="1"/>
  <c r="O79" i="183"/>
  <c r="K79" i="183"/>
  <c r="O73" i="183"/>
  <c r="N73" i="183"/>
  <c r="M73" i="183"/>
  <c r="L73" i="183"/>
  <c r="K73" i="183"/>
  <c r="J73" i="183"/>
  <c r="I73" i="183"/>
  <c r="O65" i="183"/>
  <c r="N65" i="183"/>
  <c r="N58" i="183" s="1"/>
  <c r="M65" i="183"/>
  <c r="L65" i="183"/>
  <c r="K65" i="183"/>
  <c r="J65" i="183"/>
  <c r="J58" i="183" s="1"/>
  <c r="I65" i="183"/>
  <c r="O59" i="183"/>
  <c r="N59" i="183"/>
  <c r="M59" i="183"/>
  <c r="M58" i="183" s="1"/>
  <c r="L59" i="183"/>
  <c r="L58" i="183" s="1"/>
  <c r="K59" i="183"/>
  <c r="J59" i="183"/>
  <c r="I59" i="183"/>
  <c r="I58" i="183" s="1"/>
  <c r="O58" i="183"/>
  <c r="K58" i="183"/>
  <c r="O52" i="183"/>
  <c r="N52" i="183"/>
  <c r="M52" i="183"/>
  <c r="L52" i="183"/>
  <c r="K52" i="183"/>
  <c r="J52" i="183"/>
  <c r="I52" i="183"/>
  <c r="O44" i="183"/>
  <c r="N44" i="183"/>
  <c r="M44" i="183"/>
  <c r="L44" i="183"/>
  <c r="K44" i="183"/>
  <c r="J44" i="183"/>
  <c r="I44" i="183"/>
  <c r="O38" i="183"/>
  <c r="N38" i="183"/>
  <c r="N37" i="183" s="1"/>
  <c r="M38" i="183"/>
  <c r="M37" i="183" s="1"/>
  <c r="L38" i="183"/>
  <c r="L37" i="183" s="1"/>
  <c r="K38" i="183"/>
  <c r="J38" i="183"/>
  <c r="J37" i="183" s="1"/>
  <c r="I38" i="183"/>
  <c r="I37" i="183" s="1"/>
  <c r="O37" i="183"/>
  <c r="K37" i="183"/>
  <c r="O31" i="183"/>
  <c r="N31" i="183"/>
  <c r="M31" i="183"/>
  <c r="L31" i="183"/>
  <c r="K31" i="183"/>
  <c r="J31" i="183"/>
  <c r="I31" i="183"/>
  <c r="G107" i="183"/>
  <c r="G101" i="183"/>
  <c r="G100" i="183"/>
  <c r="G93" i="183" s="1"/>
  <c r="G94" i="183"/>
  <c r="G86" i="183"/>
  <c r="G79" i="183" s="1"/>
  <c r="G72" i="183" s="1"/>
  <c r="G80" i="183"/>
  <c r="G73" i="183"/>
  <c r="G65" i="183"/>
  <c r="G59" i="183"/>
  <c r="G58" i="183"/>
  <c r="G52" i="183"/>
  <c r="G44" i="183"/>
  <c r="G38" i="183"/>
  <c r="G37" i="183"/>
  <c r="G30" i="183" s="1"/>
  <c r="G31" i="183"/>
  <c r="G117" i="183"/>
  <c r="G125" i="183"/>
  <c r="G51" i="183" l="1"/>
  <c r="G9" i="183"/>
  <c r="AJ9" i="73" l="1"/>
  <c r="AK9" i="73" s="1"/>
  <c r="AL9" i="73" s="1"/>
  <c r="AM9" i="73" s="1"/>
  <c r="AN9" i="73" s="1"/>
  <c r="AO9" i="73" s="1"/>
  <c r="AP9" i="73" s="1"/>
  <c r="AQ9" i="73" s="1"/>
  <c r="AR9" i="73" s="1"/>
  <c r="F53" i="174" l="1"/>
  <c r="G53" i="174"/>
  <c r="H53" i="174"/>
  <c r="F54" i="174"/>
  <c r="G54" i="174"/>
  <c r="H54" i="174"/>
  <c r="E53" i="174"/>
  <c r="E54" i="174"/>
  <c r="D45" i="174"/>
  <c r="W24" i="174" l="1"/>
  <c r="Q24" i="174"/>
  <c r="K24" i="174"/>
  <c r="G14" i="211" l="1"/>
  <c r="E14" i="211"/>
  <c r="C14" i="211"/>
  <c r="G14" i="210"/>
  <c r="E14" i="210"/>
  <c r="C14" i="210"/>
  <c r="G20" i="209"/>
  <c r="G23" i="209" s="1"/>
  <c r="E20" i="209"/>
  <c r="E23" i="209" s="1"/>
  <c r="C20" i="209"/>
  <c r="C23" i="209" s="1"/>
  <c r="C12" i="209"/>
  <c r="C23" i="208"/>
  <c r="C20" i="208"/>
  <c r="G20" i="208"/>
  <c r="G23" i="208" s="1"/>
  <c r="E20" i="208"/>
  <c r="E23" i="208" s="1"/>
  <c r="C12" i="208"/>
  <c r="J118" i="111" l="1"/>
  <c r="J8" i="111"/>
  <c r="K238" i="112"/>
  <c r="J238" i="112"/>
  <c r="J184" i="112"/>
  <c r="J62" i="112"/>
  <c r="J54" i="112"/>
  <c r="J8" i="112"/>
  <c r="J255" i="14"/>
  <c r="J175" i="14"/>
  <c r="J118" i="14"/>
  <c r="J8" i="14"/>
  <c r="K255" i="14"/>
  <c r="K255" i="111"/>
  <c r="K175" i="14"/>
  <c r="K184" i="112"/>
  <c r="K175" i="111"/>
  <c r="K118" i="14"/>
  <c r="K118" i="111"/>
  <c r="K8" i="14"/>
  <c r="K62" i="112"/>
  <c r="K8" i="112"/>
  <c r="K54" i="112" s="1"/>
  <c r="K8" i="111"/>
  <c r="A110" i="109"/>
  <c r="A74" i="109"/>
  <c r="A38" i="109"/>
  <c r="K137" i="13"/>
  <c r="J137" i="13"/>
  <c r="K125" i="13"/>
  <c r="J125" i="13"/>
  <c r="K116" i="13"/>
  <c r="K138" i="13" s="1"/>
  <c r="J116" i="13"/>
  <c r="J138" i="13" s="1"/>
  <c r="J138" i="109" s="1"/>
  <c r="J141" i="109" s="1"/>
  <c r="J137" i="110"/>
  <c r="J125" i="110"/>
  <c r="J116" i="110"/>
  <c r="J136" i="109"/>
  <c r="J135" i="109"/>
  <c r="J134" i="109"/>
  <c r="J133" i="109"/>
  <c r="J127" i="109"/>
  <c r="J118" i="109"/>
  <c r="J101" i="13"/>
  <c r="J89" i="13"/>
  <c r="J80" i="13"/>
  <c r="J101" i="110"/>
  <c r="J89" i="110"/>
  <c r="J80" i="110"/>
  <c r="J100" i="109"/>
  <c r="J99" i="109"/>
  <c r="J27" i="109" s="1"/>
  <c r="J98" i="109"/>
  <c r="J97" i="109"/>
  <c r="J91" i="109"/>
  <c r="J82" i="109"/>
  <c r="J65" i="13"/>
  <c r="J53" i="13"/>
  <c r="J44" i="13"/>
  <c r="J65" i="110"/>
  <c r="J53" i="110"/>
  <c r="J17" i="110" s="1"/>
  <c r="J44" i="110"/>
  <c r="J64" i="109"/>
  <c r="J63" i="109"/>
  <c r="J62" i="109"/>
  <c r="J26" i="109" s="1"/>
  <c r="J61" i="109"/>
  <c r="J55" i="109"/>
  <c r="J46" i="109"/>
  <c r="J35" i="13"/>
  <c r="J34" i="13"/>
  <c r="J33" i="13"/>
  <c r="J32" i="13"/>
  <c r="J31" i="13"/>
  <c r="J28" i="13"/>
  <c r="J27" i="13"/>
  <c r="J26" i="13"/>
  <c r="J25" i="13"/>
  <c r="J24" i="13"/>
  <c r="J23" i="13"/>
  <c r="J22" i="13"/>
  <c r="J21" i="13"/>
  <c r="J20" i="13"/>
  <c r="J19" i="13"/>
  <c r="J18" i="13"/>
  <c r="J16" i="13"/>
  <c r="J15" i="13"/>
  <c r="J14" i="13"/>
  <c r="J13" i="13"/>
  <c r="J12" i="13"/>
  <c r="J11" i="13"/>
  <c r="J10" i="13"/>
  <c r="J9" i="13"/>
  <c r="J35" i="110"/>
  <c r="J34" i="110"/>
  <c r="J33" i="110"/>
  <c r="J32" i="110"/>
  <c r="J31" i="110"/>
  <c r="J30" i="110"/>
  <c r="J29" i="110"/>
  <c r="J28" i="110"/>
  <c r="J27" i="110"/>
  <c r="J26" i="110"/>
  <c r="J25" i="110"/>
  <c r="J24" i="110"/>
  <c r="J23" i="110"/>
  <c r="J22" i="110"/>
  <c r="J21" i="110"/>
  <c r="J20" i="110"/>
  <c r="J19" i="110"/>
  <c r="J18" i="110"/>
  <c r="J16" i="110"/>
  <c r="J15" i="110"/>
  <c r="J14" i="110"/>
  <c r="J13" i="110"/>
  <c r="J12" i="110"/>
  <c r="J11" i="110"/>
  <c r="J10" i="110"/>
  <c r="J9" i="110"/>
  <c r="J35" i="109"/>
  <c r="J34" i="109"/>
  <c r="J32" i="109"/>
  <c r="J31" i="109"/>
  <c r="J24" i="109"/>
  <c r="J23" i="109"/>
  <c r="J22" i="109"/>
  <c r="J21" i="109"/>
  <c r="J20" i="109"/>
  <c r="J18" i="109"/>
  <c r="J16" i="109"/>
  <c r="J15" i="109"/>
  <c r="J14" i="109"/>
  <c r="J13" i="109"/>
  <c r="J12" i="109"/>
  <c r="J11" i="109"/>
  <c r="J9" i="109"/>
  <c r="P102" i="177"/>
  <c r="O102" i="177"/>
  <c r="N102" i="177"/>
  <c r="P101" i="177"/>
  <c r="O101" i="177"/>
  <c r="N101" i="177"/>
  <c r="J10" i="109" l="1"/>
  <c r="J8" i="13"/>
  <c r="J102" i="13"/>
  <c r="J102" i="109" s="1"/>
  <c r="J105" i="109" s="1"/>
  <c r="J66" i="13"/>
  <c r="J125" i="109"/>
  <c r="J65" i="109"/>
  <c r="J137" i="109"/>
  <c r="J80" i="109"/>
  <c r="J89" i="109"/>
  <c r="J116" i="109"/>
  <c r="J110" i="14"/>
  <c r="K110" i="14"/>
  <c r="J19" i="109"/>
  <c r="J101" i="109"/>
  <c r="J25" i="109"/>
  <c r="J8" i="110"/>
  <c r="J17" i="13"/>
  <c r="J29" i="109"/>
  <c r="J28" i="109"/>
  <c r="J66" i="109"/>
  <c r="J44" i="109"/>
  <c r="J53" i="109"/>
  <c r="J29" i="13"/>
  <c r="T15" i="174"/>
  <c r="H34" i="174"/>
  <c r="H35" i="174"/>
  <c r="H38" i="174"/>
  <c r="H39" i="174"/>
  <c r="H42" i="174"/>
  <c r="H43" i="174"/>
  <c r="T45" i="174"/>
  <c r="H48" i="174"/>
  <c r="H49" i="174"/>
  <c r="T61" i="174"/>
  <c r="H74" i="174"/>
  <c r="T78" i="174"/>
  <c r="T83" i="174" s="1"/>
  <c r="T85" i="174"/>
  <c r="T88" i="174"/>
  <c r="N15" i="174"/>
  <c r="H28" i="174"/>
  <c r="H25" i="174" s="1"/>
  <c r="H46" i="174"/>
  <c r="H50" i="174"/>
  <c r="N61" i="174"/>
  <c r="N71" i="174"/>
  <c r="N67" i="174" s="1"/>
  <c r="N78" i="174"/>
  <c r="N83" i="174" s="1"/>
  <c r="N85" i="174"/>
  <c r="N84" i="174" s="1"/>
  <c r="N88" i="174"/>
  <c r="H8" i="174"/>
  <c r="H9" i="174"/>
  <c r="H10" i="174"/>
  <c r="H11" i="174"/>
  <c r="H12" i="174"/>
  <c r="H13" i="174"/>
  <c r="H14" i="174"/>
  <c r="H16" i="174"/>
  <c r="H17" i="174"/>
  <c r="H18" i="174"/>
  <c r="H19" i="174"/>
  <c r="H20" i="174"/>
  <c r="H21" i="174"/>
  <c r="H23" i="174"/>
  <c r="H24" i="174"/>
  <c r="H27" i="174"/>
  <c r="H30" i="174"/>
  <c r="H32" i="174"/>
  <c r="H33" i="174"/>
  <c r="H36" i="174"/>
  <c r="H37" i="174"/>
  <c r="H40" i="174"/>
  <c r="H41" i="174"/>
  <c r="H44" i="174"/>
  <c r="H47" i="174"/>
  <c r="H51" i="174"/>
  <c r="H52" i="174"/>
  <c r="H55" i="174"/>
  <c r="H56" i="174"/>
  <c r="H57" i="174"/>
  <c r="H58" i="174"/>
  <c r="H60" i="174"/>
  <c r="H62" i="174"/>
  <c r="H63" i="174"/>
  <c r="H64" i="174"/>
  <c r="H65" i="174"/>
  <c r="H66" i="174"/>
  <c r="H68" i="174"/>
  <c r="H69" i="174"/>
  <c r="H70" i="174"/>
  <c r="H72" i="174"/>
  <c r="H73" i="174"/>
  <c r="H75" i="174"/>
  <c r="H79" i="174"/>
  <c r="H80" i="174"/>
  <c r="H81" i="174"/>
  <c r="H82" i="174"/>
  <c r="H85" i="174"/>
  <c r="H84" i="174" s="1"/>
  <c r="H88" i="174"/>
  <c r="Z15" i="174"/>
  <c r="Z45" i="174"/>
  <c r="Z61" i="174"/>
  <c r="Z71" i="174"/>
  <c r="Z67" i="174" s="1"/>
  <c r="Z78" i="174"/>
  <c r="Z83" i="174" s="1"/>
  <c r="Z85" i="174"/>
  <c r="Z88" i="174"/>
  <c r="P100" i="85"/>
  <c r="O100" i="85"/>
  <c r="N100" i="85"/>
  <c r="H21" i="193"/>
  <c r="Z84" i="174" l="1"/>
  <c r="T84" i="174"/>
  <c r="J8" i="109"/>
  <c r="J30" i="13"/>
  <c r="J17" i="109"/>
  <c r="H31" i="174"/>
  <c r="H45" i="174"/>
  <c r="H21" i="134"/>
  <c r="H21" i="208"/>
  <c r="H59" i="174"/>
  <c r="H15" i="174"/>
  <c r="J69" i="109"/>
  <c r="J33" i="109" s="1"/>
  <c r="J30" i="109"/>
  <c r="T71" i="174"/>
  <c r="T67" i="174" s="1"/>
  <c r="N45" i="174"/>
  <c r="H78" i="174"/>
  <c r="H83" i="174" s="1"/>
  <c r="H61" i="174"/>
  <c r="H71" i="174"/>
  <c r="H67" i="174" s="1"/>
  <c r="Q67" i="104"/>
  <c r="P67" i="104"/>
  <c r="O67" i="104"/>
  <c r="Q52" i="104"/>
  <c r="P52" i="104"/>
  <c r="O52" i="104"/>
  <c r="Q37" i="104"/>
  <c r="P37" i="104"/>
  <c r="O37" i="104"/>
  <c r="Q22" i="104"/>
  <c r="P22" i="104"/>
  <c r="O22" i="104"/>
  <c r="Q7" i="104"/>
  <c r="P7" i="104"/>
  <c r="O7" i="104"/>
  <c r="Q82" i="36"/>
  <c r="P82" i="36"/>
  <c r="O82" i="36"/>
  <c r="Q19" i="123"/>
  <c r="P18" i="123"/>
  <c r="O16" i="123"/>
  <c r="P14" i="123"/>
  <c r="Q11" i="123"/>
  <c r="P11" i="123"/>
  <c r="O11" i="123"/>
  <c r="Q9" i="123"/>
  <c r="Q14" i="123" s="1"/>
  <c r="Q18" i="123" s="1"/>
  <c r="P9" i="123"/>
  <c r="O9" i="123"/>
  <c r="O14" i="123" s="1"/>
  <c r="O18" i="123" s="1"/>
  <c r="H29" i="174" l="1"/>
  <c r="H21" i="194"/>
  <c r="H21" i="192"/>
  <c r="O82" i="104"/>
  <c r="H20" i="194"/>
  <c r="P82" i="104"/>
  <c r="Q82" i="104"/>
  <c r="P19" i="123"/>
  <c r="P16" i="123"/>
  <c r="O19" i="123"/>
  <c r="Q16" i="123"/>
  <c r="H21" i="135" l="1"/>
  <c r="H21" i="133"/>
  <c r="H20" i="193"/>
  <c r="H20" i="192"/>
  <c r="H20" i="134"/>
  <c r="H20" i="208"/>
  <c r="H23" i="208" s="1"/>
  <c r="H21" i="209"/>
  <c r="H21" i="204"/>
  <c r="H20" i="135" l="1"/>
  <c r="H20" i="133"/>
  <c r="H20" i="209" l="1"/>
  <c r="H23" i="209" s="1"/>
  <c r="H20" i="204"/>
  <c r="W9" i="73" l="1"/>
  <c r="X9" i="73" s="1"/>
  <c r="Y9" i="73" s="1"/>
  <c r="Z9" i="73" s="1"/>
  <c r="AA9" i="73" s="1"/>
  <c r="AB9" i="73" s="1"/>
  <c r="AC9" i="73" s="1"/>
  <c r="AD9" i="73" s="1"/>
  <c r="AE9" i="73" s="1"/>
  <c r="AF9" i="73" s="1"/>
  <c r="AG9" i="73" s="1"/>
  <c r="AH9" i="73" s="1"/>
  <c r="AI9" i="73" s="1"/>
  <c r="I147" i="183"/>
  <c r="I140" i="183"/>
  <c r="I125" i="183"/>
  <c r="I117" i="183"/>
  <c r="L147" i="183"/>
  <c r="K147" i="183"/>
  <c r="J147" i="183"/>
  <c r="L140" i="183"/>
  <c r="K140" i="183"/>
  <c r="J140" i="183"/>
  <c r="L125" i="183"/>
  <c r="K125" i="183"/>
  <c r="J125" i="183"/>
  <c r="L117" i="183"/>
  <c r="K117" i="183"/>
  <c r="J117" i="183"/>
  <c r="I93" i="183"/>
  <c r="J93" i="183"/>
  <c r="J9" i="183" s="1"/>
  <c r="K93" i="183"/>
  <c r="L93" i="183"/>
  <c r="I72" i="183"/>
  <c r="J72" i="183"/>
  <c r="K72" i="183"/>
  <c r="L72" i="183"/>
  <c r="I51" i="183"/>
  <c r="J51" i="183"/>
  <c r="K51" i="183"/>
  <c r="L51" i="183"/>
  <c r="H30" i="183"/>
  <c r="H9" i="183" s="1"/>
  <c r="I30" i="183"/>
  <c r="J30" i="183"/>
  <c r="K30" i="183"/>
  <c r="K9" i="183" s="1"/>
  <c r="L30" i="183"/>
  <c r="L9" i="183" l="1"/>
  <c r="I9" i="183"/>
  <c r="O24" i="156"/>
  <c r="O25" i="156" s="1"/>
  <c r="O26" i="156" s="1"/>
  <c r="O14" i="158" l="1"/>
  <c r="P13" i="123" l="1"/>
  <c r="O13" i="123"/>
  <c r="Q13" i="123" l="1"/>
  <c r="J14" i="158"/>
  <c r="K24" i="156" l="1"/>
  <c r="K25" i="156" s="1"/>
  <c r="K26" i="156" s="1"/>
  <c r="F114" i="146"/>
  <c r="F112" i="146"/>
  <c r="F111" i="146"/>
  <c r="D114" i="146"/>
  <c r="D112" i="146"/>
  <c r="D111" i="146"/>
  <c r="F114" i="145"/>
  <c r="F112" i="145"/>
  <c r="F111" i="145"/>
  <c r="H118" i="109"/>
  <c r="H127" i="109"/>
  <c r="H137" i="109" s="1"/>
  <c r="H133" i="109"/>
  <c r="H134" i="109"/>
  <c r="H135" i="109"/>
  <c r="H136" i="109"/>
  <c r="H28" i="109" s="1"/>
  <c r="H82" i="109"/>
  <c r="H91" i="109"/>
  <c r="H97" i="109"/>
  <c r="H98" i="109"/>
  <c r="H99" i="109"/>
  <c r="H100" i="109"/>
  <c r="H46" i="109"/>
  <c r="H55" i="109"/>
  <c r="H61" i="109"/>
  <c r="H62" i="109"/>
  <c r="H63" i="109"/>
  <c r="H65" i="109" s="1"/>
  <c r="H64" i="109"/>
  <c r="H9" i="109"/>
  <c r="H11" i="109"/>
  <c r="H12" i="109"/>
  <c r="H13" i="109"/>
  <c r="H14" i="109"/>
  <c r="H15" i="109"/>
  <c r="H16" i="109"/>
  <c r="H18" i="109"/>
  <c r="H20" i="109"/>
  <c r="H21" i="109"/>
  <c r="H22" i="109"/>
  <c r="H23" i="109"/>
  <c r="H24" i="109"/>
  <c r="H26" i="109"/>
  <c r="H31" i="109"/>
  <c r="H32" i="109"/>
  <c r="H34" i="109"/>
  <c r="H35" i="109"/>
  <c r="H116" i="110"/>
  <c r="H125" i="110"/>
  <c r="H137" i="110"/>
  <c r="H80" i="110"/>
  <c r="H89" i="110"/>
  <c r="H101" i="110"/>
  <c r="H44" i="110"/>
  <c r="H53" i="110"/>
  <c r="H17" i="110" s="1"/>
  <c r="H65" i="110"/>
  <c r="H9" i="110"/>
  <c r="H10" i="110"/>
  <c r="H11" i="110"/>
  <c r="H12" i="110"/>
  <c r="H13" i="110"/>
  <c r="H14" i="110"/>
  <c r="H15" i="110"/>
  <c r="H16" i="110"/>
  <c r="H18" i="110"/>
  <c r="H19" i="110"/>
  <c r="H20" i="110"/>
  <c r="H21" i="110"/>
  <c r="H22" i="110"/>
  <c r="H23" i="110"/>
  <c r="H24" i="110"/>
  <c r="H25" i="110"/>
  <c r="H26" i="110"/>
  <c r="H27" i="110"/>
  <c r="H28" i="110"/>
  <c r="H30" i="110"/>
  <c r="H31" i="110"/>
  <c r="H32" i="110"/>
  <c r="H33" i="110"/>
  <c r="H34" i="110"/>
  <c r="H35" i="110"/>
  <c r="H116" i="13"/>
  <c r="H125" i="13"/>
  <c r="H125" i="109" s="1"/>
  <c r="H137" i="13"/>
  <c r="H80" i="13"/>
  <c r="H89" i="13"/>
  <c r="H101" i="13"/>
  <c r="H44" i="13"/>
  <c r="H53" i="13"/>
  <c r="H65" i="13"/>
  <c r="H9" i="13"/>
  <c r="H10" i="13"/>
  <c r="H11" i="13"/>
  <c r="H12" i="13"/>
  <c r="H13" i="13"/>
  <c r="H14" i="13"/>
  <c r="H15" i="13"/>
  <c r="H16" i="13"/>
  <c r="H18" i="13"/>
  <c r="H19" i="13"/>
  <c r="H20" i="13"/>
  <c r="H21" i="13"/>
  <c r="H22" i="13"/>
  <c r="H23" i="13"/>
  <c r="H24" i="13"/>
  <c r="H25" i="13"/>
  <c r="H26" i="13"/>
  <c r="H27" i="13"/>
  <c r="H28" i="13"/>
  <c r="H31" i="13"/>
  <c r="H32" i="13"/>
  <c r="H33" i="13"/>
  <c r="H34" i="13"/>
  <c r="H35" i="13"/>
  <c r="H138" i="13" l="1"/>
  <c r="H138" i="109" s="1"/>
  <c r="H141" i="109" s="1"/>
  <c r="H17" i="13"/>
  <c r="H101" i="109"/>
  <c r="H80" i="109"/>
  <c r="H53" i="109"/>
  <c r="H102" i="13"/>
  <c r="H102" i="109" s="1"/>
  <c r="H105" i="109" s="1"/>
  <c r="H29" i="110"/>
  <c r="H10" i="109"/>
  <c r="H27" i="109"/>
  <c r="H66" i="13"/>
  <c r="H66" i="109" s="1"/>
  <c r="H69" i="109" s="1"/>
  <c r="H89" i="109"/>
  <c r="H116" i="109"/>
  <c r="H8" i="109" s="1"/>
  <c r="H44" i="109"/>
  <c r="H14" i="211"/>
  <c r="H29" i="109"/>
  <c r="H25" i="109"/>
  <c r="H19" i="109"/>
  <c r="H8" i="110"/>
  <c r="H8" i="13"/>
  <c r="H29" i="13"/>
  <c r="I101" i="81"/>
  <c r="J101" i="81"/>
  <c r="I102" i="81"/>
  <c r="J102" i="81"/>
  <c r="I101" i="177"/>
  <c r="J101" i="177"/>
  <c r="I102" i="177"/>
  <c r="J102" i="177"/>
  <c r="I100" i="85"/>
  <c r="J100" i="85"/>
  <c r="D21" i="193"/>
  <c r="J7" i="104"/>
  <c r="K7" i="104"/>
  <c r="J22" i="104"/>
  <c r="K22" i="104"/>
  <c r="J37" i="104"/>
  <c r="K37" i="104"/>
  <c r="J52" i="104"/>
  <c r="K52" i="104"/>
  <c r="J67" i="104"/>
  <c r="K67" i="104"/>
  <c r="J82" i="104"/>
  <c r="K82" i="36"/>
  <c r="K24" i="157"/>
  <c r="K25" i="157" s="1"/>
  <c r="K26" i="157" s="1"/>
  <c r="F8" i="174"/>
  <c r="F9" i="174"/>
  <c r="F10" i="174"/>
  <c r="F11" i="174"/>
  <c r="F12" i="174"/>
  <c r="F13" i="174"/>
  <c r="F14" i="174"/>
  <c r="F16" i="174"/>
  <c r="F17" i="174"/>
  <c r="F18" i="174"/>
  <c r="F19" i="174"/>
  <c r="F20" i="174"/>
  <c r="F21" i="174"/>
  <c r="F22" i="174"/>
  <c r="F23" i="174"/>
  <c r="F24" i="174"/>
  <c r="F27" i="174"/>
  <c r="F28" i="174"/>
  <c r="F25" i="174" s="1"/>
  <c r="F30" i="174"/>
  <c r="F32" i="174"/>
  <c r="F33" i="174"/>
  <c r="F34" i="174"/>
  <c r="F35" i="174"/>
  <c r="F36" i="174"/>
  <c r="F37" i="174"/>
  <c r="F38" i="174"/>
  <c r="F39" i="174"/>
  <c r="F40" i="174"/>
  <c r="F41" i="174"/>
  <c r="F42" i="174"/>
  <c r="F43" i="174"/>
  <c r="F44" i="174"/>
  <c r="F46" i="174"/>
  <c r="F47" i="174"/>
  <c r="F48" i="174"/>
  <c r="F49" i="174"/>
  <c r="F50" i="174"/>
  <c r="F51" i="174"/>
  <c r="F52" i="174"/>
  <c r="F55" i="174"/>
  <c r="F56" i="174"/>
  <c r="F57" i="174"/>
  <c r="F58" i="174"/>
  <c r="F59" i="174"/>
  <c r="F60" i="174"/>
  <c r="F62" i="174"/>
  <c r="F63" i="174"/>
  <c r="F64" i="174"/>
  <c r="F65" i="174"/>
  <c r="F66" i="174"/>
  <c r="F68" i="174"/>
  <c r="F69" i="174"/>
  <c r="F70" i="174"/>
  <c r="F72" i="174"/>
  <c r="F73" i="174"/>
  <c r="F74" i="174"/>
  <c r="F75" i="174"/>
  <c r="F79" i="174"/>
  <c r="F80" i="174"/>
  <c r="F81" i="174"/>
  <c r="F82" i="174"/>
  <c r="F85" i="174"/>
  <c r="F84" i="174" s="1"/>
  <c r="F88" i="174"/>
  <c r="W29" i="174"/>
  <c r="W25" i="174" s="1"/>
  <c r="X15" i="174"/>
  <c r="W15" i="174"/>
  <c r="X88" i="174"/>
  <c r="W88" i="174"/>
  <c r="X85" i="174"/>
  <c r="W85" i="174"/>
  <c r="W84" i="174" s="1"/>
  <c r="X78" i="174"/>
  <c r="X83" i="174" s="1"/>
  <c r="W78" i="174"/>
  <c r="W83" i="174" s="1"/>
  <c r="X71" i="174"/>
  <c r="X67" i="174" s="1"/>
  <c r="W71" i="174"/>
  <c r="W67" i="174" s="1"/>
  <c r="X61" i="174"/>
  <c r="W61" i="174"/>
  <c r="R88" i="174"/>
  <c r="Q88" i="174"/>
  <c r="R85" i="174"/>
  <c r="Q85" i="174"/>
  <c r="Q84" i="174" s="1"/>
  <c r="Q83" i="174"/>
  <c r="R78" i="174"/>
  <c r="R83" i="174" s="1"/>
  <c r="Q78" i="174"/>
  <c r="R71" i="174"/>
  <c r="R67" i="174" s="1"/>
  <c r="Q71" i="174"/>
  <c r="Q67" i="174" s="1"/>
  <c r="R61" i="174"/>
  <c r="Q61" i="174"/>
  <c r="R15" i="174"/>
  <c r="Q15" i="174"/>
  <c r="L15" i="174"/>
  <c r="L45" i="174"/>
  <c r="L61" i="174"/>
  <c r="L71" i="174"/>
  <c r="L67" i="174" s="1"/>
  <c r="L78" i="174"/>
  <c r="L83" i="174"/>
  <c r="L85" i="174"/>
  <c r="L88" i="174"/>
  <c r="L84" i="174" s="1"/>
  <c r="X84" i="174" l="1"/>
  <c r="R84" i="174"/>
  <c r="D21" i="134"/>
  <c r="F71" i="174"/>
  <c r="F67" i="174" s="1"/>
  <c r="H17" i="109"/>
  <c r="H33" i="109"/>
  <c r="H30" i="109"/>
  <c r="H30" i="13"/>
  <c r="F31" i="174"/>
  <c r="F45" i="174"/>
  <c r="R7" i="174"/>
  <c r="R91" i="174" s="1"/>
  <c r="R93" i="174" s="1"/>
  <c r="F15" i="174"/>
  <c r="L7" i="174"/>
  <c r="L91" i="174" s="1"/>
  <c r="L93" i="174" s="1"/>
  <c r="K82" i="104"/>
  <c r="J82" i="36"/>
  <c r="K14" i="158"/>
  <c r="F29" i="174"/>
  <c r="F61" i="174"/>
  <c r="F78" i="174"/>
  <c r="F83" i="174" s="1"/>
  <c r="X7" i="174"/>
  <c r="X91" i="174" s="1"/>
  <c r="X93" i="174" s="1"/>
  <c r="W7" i="174"/>
  <c r="D21" i="208" l="1"/>
  <c r="D21" i="194"/>
  <c r="F7" i="174"/>
  <c r="F91" i="174" s="1"/>
  <c r="F93" i="174" s="1"/>
  <c r="D21" i="192"/>
  <c r="D20" i="208" l="1"/>
  <c r="D23" i="208" s="1"/>
  <c r="D20" i="209" l="1"/>
  <c r="F133" i="144"/>
  <c r="F133" i="146"/>
  <c r="F131" i="145"/>
  <c r="D112" i="145"/>
  <c r="W9" i="4"/>
  <c r="X9" i="4" s="1"/>
  <c r="Y9" i="4" s="1"/>
  <c r="Z9" i="4" s="1"/>
  <c r="AA9" i="4" s="1"/>
  <c r="AB9" i="4" s="1"/>
  <c r="AC9" i="4" s="1"/>
  <c r="AD9" i="4" s="1"/>
  <c r="AE9" i="4" s="1"/>
  <c r="AF9" i="4" s="1"/>
  <c r="AG9" i="4" s="1"/>
  <c r="AH9" i="4" s="1"/>
  <c r="AI9" i="4" s="1"/>
  <c r="AJ9" i="4" s="1"/>
  <c r="AK9" i="4" s="1"/>
  <c r="AL9" i="4" s="1"/>
  <c r="AM9" i="4" s="1"/>
  <c r="AN9" i="4" s="1"/>
  <c r="AO9" i="4" s="1"/>
  <c r="AP9" i="4" s="1"/>
  <c r="AQ9" i="4" s="1"/>
  <c r="AR9" i="4" s="1"/>
  <c r="D131" i="145"/>
  <c r="D133" i="146" l="1"/>
  <c r="D131" i="146"/>
  <c r="F131" i="146"/>
  <c r="G10" i="147"/>
  <c r="R9" i="150" s="1"/>
  <c r="R8" i="150" s="1"/>
  <c r="G8" i="149"/>
  <c r="H111" i="146"/>
  <c r="F112" i="144"/>
  <c r="F114" i="144"/>
  <c r="G10" i="148"/>
  <c r="D131" i="144"/>
  <c r="D112" i="144"/>
  <c r="D111" i="144"/>
  <c r="D114" i="145"/>
  <c r="O147" i="183"/>
  <c r="N147" i="183"/>
  <c r="M147" i="183"/>
  <c r="O140" i="183"/>
  <c r="N140" i="183"/>
  <c r="M140" i="183"/>
  <c r="O125" i="183"/>
  <c r="N125" i="183"/>
  <c r="M125" i="183"/>
  <c r="O117" i="183"/>
  <c r="N117" i="183"/>
  <c r="M117" i="183"/>
  <c r="D130" i="146" l="1"/>
  <c r="O24" i="163"/>
  <c r="D14" i="211"/>
  <c r="G10" i="149"/>
  <c r="O24" i="165" s="1"/>
  <c r="O24" i="164"/>
  <c r="R9" i="151"/>
  <c r="R8" i="151" s="1"/>
  <c r="G12" i="148"/>
  <c r="F130" i="146"/>
  <c r="F133" i="145"/>
  <c r="G12" i="147"/>
  <c r="F130" i="145"/>
  <c r="O22" i="163"/>
  <c r="O8" i="163" s="1"/>
  <c r="O10" i="163"/>
  <c r="G8" i="148"/>
  <c r="C111" i="146"/>
  <c r="H114" i="146"/>
  <c r="J111" i="146"/>
  <c r="F131" i="144"/>
  <c r="D111" i="145"/>
  <c r="O30" i="183"/>
  <c r="M51" i="183"/>
  <c r="N93" i="183"/>
  <c r="N51" i="183"/>
  <c r="O93" i="183"/>
  <c r="M30" i="183"/>
  <c r="O51" i="183"/>
  <c r="N72" i="183"/>
  <c r="N30" i="183"/>
  <c r="O72" i="183"/>
  <c r="M93" i="183"/>
  <c r="M72" i="183"/>
  <c r="F150" i="183"/>
  <c r="D114" i="144" l="1"/>
  <c r="G15" i="149"/>
  <c r="Q24" i="165" s="1"/>
  <c r="P24" i="164"/>
  <c r="S9" i="151"/>
  <c r="S8" i="151" s="1"/>
  <c r="O22" i="164"/>
  <c r="O8" i="164" s="1"/>
  <c r="O10" i="164"/>
  <c r="S9" i="150"/>
  <c r="S8" i="150" s="1"/>
  <c r="P24" i="163"/>
  <c r="G18" i="148"/>
  <c r="G15" i="148"/>
  <c r="H112" i="146"/>
  <c r="J112" i="146" s="1"/>
  <c r="U19" i="151" s="1"/>
  <c r="J114" i="146"/>
  <c r="C112" i="146"/>
  <c r="C114" i="146" s="1"/>
  <c r="I111" i="146"/>
  <c r="K111" i="146"/>
  <c r="R9" i="162"/>
  <c r="R8" i="162" s="1"/>
  <c r="F111" i="144"/>
  <c r="G12" i="149"/>
  <c r="F130" i="144"/>
  <c r="O10" i="165"/>
  <c r="O22" i="165"/>
  <c r="O8" i="165" s="1"/>
  <c r="M9" i="183"/>
  <c r="N9" i="183"/>
  <c r="O9" i="183"/>
  <c r="CO29" i="70"/>
  <c r="G17" i="149" l="1"/>
  <c r="M19" i="155" s="1"/>
  <c r="M17" i="155" s="1"/>
  <c r="L19" i="155"/>
  <c r="L17" i="155" s="1"/>
  <c r="P10" i="164"/>
  <c r="P22" i="164"/>
  <c r="P8" i="164" s="1"/>
  <c r="P10" i="163"/>
  <c r="P22" i="163"/>
  <c r="P8" i="163" s="1"/>
  <c r="G17" i="148"/>
  <c r="M19" i="154" s="1"/>
  <c r="M17" i="154" s="1"/>
  <c r="Q24" i="164"/>
  <c r="L19" i="154"/>
  <c r="L17" i="154" s="1"/>
  <c r="N19" i="154"/>
  <c r="N17" i="154" s="1"/>
  <c r="R24" i="164"/>
  <c r="I114" i="146"/>
  <c r="K114" i="146"/>
  <c r="I112" i="146"/>
  <c r="T19" i="151" s="1"/>
  <c r="K112" i="146"/>
  <c r="V19" i="151" s="1"/>
  <c r="U26" i="151"/>
  <c r="M11" i="154" s="1"/>
  <c r="U18" i="151"/>
  <c r="U25" i="151" s="1"/>
  <c r="Q10" i="165"/>
  <c r="Q22" i="165"/>
  <c r="Q8" i="165" s="1"/>
  <c r="P24" i="165"/>
  <c r="S9" i="162"/>
  <c r="S8" i="162" s="1"/>
  <c r="G18" i="149"/>
  <c r="F78" i="126"/>
  <c r="Q22" i="164" l="1"/>
  <c r="Q8" i="164" s="1"/>
  <c r="Q10" i="164"/>
  <c r="R10" i="164"/>
  <c r="R22" i="164"/>
  <c r="R8" i="164" s="1"/>
  <c r="V26" i="151"/>
  <c r="N11" i="154" s="1"/>
  <c r="V18" i="151"/>
  <c r="V25" i="151" s="1"/>
  <c r="T26" i="151"/>
  <c r="L11" i="154" s="1"/>
  <c r="T18" i="151"/>
  <c r="T25" i="151" s="1"/>
  <c r="M32" i="154"/>
  <c r="M8" i="154"/>
  <c r="N19" i="155"/>
  <c r="N17" i="155" s="1"/>
  <c r="R24" i="165"/>
  <c r="P22" i="165"/>
  <c r="P8" i="165" s="1"/>
  <c r="P10" i="165"/>
  <c r="L32" i="154" l="1"/>
  <c r="L8" i="154"/>
  <c r="N32" i="154"/>
  <c r="N8" i="154"/>
  <c r="R22" i="165"/>
  <c r="R8" i="165" s="1"/>
  <c r="R10" i="165"/>
  <c r="G19" i="64" l="1"/>
  <c r="G19" i="214" l="1"/>
  <c r="G19" i="63"/>
  <c r="J65" i="207" l="1"/>
  <c r="J37" i="207"/>
  <c r="F155" i="207"/>
  <c r="I139" i="207"/>
  <c r="I128" i="207"/>
  <c r="I126" i="207"/>
  <c r="I125" i="207"/>
  <c r="I121" i="207"/>
  <c r="I117" i="207"/>
  <c r="I111" i="207"/>
  <c r="G111" i="207"/>
  <c r="G110" i="207"/>
  <c r="I110" i="207" s="1"/>
  <c r="G109" i="207"/>
  <c r="I109" i="207" s="1"/>
  <c r="G108" i="207"/>
  <c r="I108" i="207" s="1"/>
  <c r="G107" i="207"/>
  <c r="I107" i="207" s="1"/>
  <c r="G106" i="207"/>
  <c r="I106" i="207" s="1"/>
  <c r="G105" i="207"/>
  <c r="I105" i="207" s="1"/>
  <c r="G104" i="207"/>
  <c r="I104" i="207" s="1"/>
  <c r="G103" i="207"/>
  <c r="I103" i="207" s="1"/>
  <c r="G102" i="207"/>
  <c r="I102" i="207" s="1"/>
  <c r="G101" i="207"/>
  <c r="I101" i="207" s="1"/>
  <c r="G100" i="207"/>
  <c r="I100" i="207" s="1"/>
  <c r="G99" i="207"/>
  <c r="I99" i="207" s="1"/>
  <c r="G98" i="207"/>
  <c r="I98" i="207" s="1"/>
  <c r="F93" i="207"/>
  <c r="I92" i="207"/>
  <c r="I91" i="207"/>
  <c r="I90" i="207"/>
  <c r="I89" i="207"/>
  <c r="G83" i="207"/>
  <c r="I83" i="207" s="1"/>
  <c r="G82" i="207"/>
  <c r="I82" i="207" s="1"/>
  <c r="G81" i="207"/>
  <c r="I81" i="207" s="1"/>
  <c r="G80" i="207"/>
  <c r="I80" i="207" s="1"/>
  <c r="G79" i="207"/>
  <c r="I79" i="207" s="1"/>
  <c r="G78" i="207"/>
  <c r="I78" i="207" s="1"/>
  <c r="G77" i="207"/>
  <c r="I77" i="207" s="1"/>
  <c r="G76" i="207"/>
  <c r="I76" i="207" s="1"/>
  <c r="G75" i="207"/>
  <c r="I75" i="207" s="1"/>
  <c r="G74" i="207"/>
  <c r="I74" i="207" s="1"/>
  <c r="G73" i="207"/>
  <c r="I73" i="207" s="1"/>
  <c r="G72" i="207"/>
  <c r="I72" i="207" s="1"/>
  <c r="F65" i="207"/>
  <c r="F37" i="207"/>
  <c r="I93" i="207" l="1"/>
  <c r="G14" i="63" s="1"/>
  <c r="I155" i="207"/>
  <c r="G14" i="64" s="1"/>
  <c r="I112" i="207"/>
  <c r="G13" i="64" s="1"/>
  <c r="I84" i="207"/>
  <c r="G13" i="63" s="1"/>
  <c r="G13" i="214" l="1"/>
  <c r="G14" i="214"/>
  <c r="H67" i="207"/>
  <c r="D67" i="207"/>
  <c r="I58" i="207"/>
  <c r="J58" i="207" s="1"/>
  <c r="E58" i="207"/>
  <c r="F58" i="207" s="1"/>
  <c r="H47" i="207"/>
  <c r="H49" i="207" s="1"/>
  <c r="H51" i="207" s="1"/>
  <c r="G22" i="64" s="1"/>
  <c r="D47" i="207"/>
  <c r="D49" i="207" s="1"/>
  <c r="D51" i="207" s="1"/>
  <c r="G22" i="63" s="1"/>
  <c r="I45" i="207"/>
  <c r="J45" i="207" s="1"/>
  <c r="E45" i="207"/>
  <c r="F45" i="207" s="1"/>
  <c r="I44" i="207"/>
  <c r="J44" i="207" s="1"/>
  <c r="E44" i="207"/>
  <c r="F44" i="207" s="1"/>
  <c r="I43" i="207"/>
  <c r="J43" i="207" s="1"/>
  <c r="E43" i="207"/>
  <c r="F43" i="207" s="1"/>
  <c r="E42" i="207"/>
  <c r="I34" i="207"/>
  <c r="J34" i="207" s="1"/>
  <c r="E34" i="207"/>
  <c r="F34" i="207" s="1"/>
  <c r="G28" i="207"/>
  <c r="H28" i="207" s="1"/>
  <c r="C28" i="207"/>
  <c r="D28" i="207" s="1"/>
  <c r="G25" i="207"/>
  <c r="H25" i="207" s="1"/>
  <c r="C25" i="207"/>
  <c r="D25" i="207" s="1"/>
  <c r="I22" i="207"/>
  <c r="E22" i="207"/>
  <c r="M20" i="207"/>
  <c r="M21" i="207" s="1"/>
  <c r="H20" i="207"/>
  <c r="I20" i="207" s="1"/>
  <c r="D20" i="207"/>
  <c r="F20" i="207" s="1"/>
  <c r="I18" i="207"/>
  <c r="E18" i="207"/>
  <c r="J17" i="207"/>
  <c r="J18" i="207" s="1"/>
  <c r="F17" i="207"/>
  <c r="M15" i="207"/>
  <c r="M14" i="207" s="1"/>
  <c r="G22" i="214" l="1"/>
  <c r="F22" i="207"/>
  <c r="G8" i="63"/>
  <c r="J47" i="207"/>
  <c r="E67" i="207"/>
  <c r="F67" i="207" s="1"/>
  <c r="E47" i="207"/>
  <c r="E49" i="207" s="1"/>
  <c r="E51" i="207" s="1"/>
  <c r="I21" i="207"/>
  <c r="E25" i="207"/>
  <c r="E26" i="207" s="1"/>
  <c r="F25" i="207"/>
  <c r="F28" i="207"/>
  <c r="E28" i="207"/>
  <c r="E27" i="207" s="1"/>
  <c r="J49" i="207"/>
  <c r="H18" i="207"/>
  <c r="D22" i="207"/>
  <c r="F21" i="207"/>
  <c r="I25" i="207"/>
  <c r="I26" i="207" s="1"/>
  <c r="J25" i="207"/>
  <c r="J26" i="207" s="1"/>
  <c r="J28" i="207"/>
  <c r="J27" i="207" s="1"/>
  <c r="I28" i="207"/>
  <c r="I27" i="207" s="1"/>
  <c r="J51" i="207"/>
  <c r="F18" i="207"/>
  <c r="D18" i="207" s="1"/>
  <c r="E20" i="207"/>
  <c r="J20" i="207"/>
  <c r="J24" i="207" s="1"/>
  <c r="J22" i="207"/>
  <c r="I47" i="207"/>
  <c r="I49" i="207" s="1"/>
  <c r="I51" i="207" s="1"/>
  <c r="I67" i="207"/>
  <c r="J67" i="207" s="1"/>
  <c r="F42" i="207"/>
  <c r="F47" i="207" s="1"/>
  <c r="F49" i="207" s="1"/>
  <c r="F51" i="207" s="1"/>
  <c r="H26" i="207" l="1"/>
  <c r="J21" i="207"/>
  <c r="J19" i="207" s="1"/>
  <c r="E21" i="207"/>
  <c r="E24" i="207"/>
  <c r="H27" i="207"/>
  <c r="G9" i="64" s="1"/>
  <c r="H22" i="207"/>
  <c r="F26" i="207"/>
  <c r="F24" i="207" s="1"/>
  <c r="F19" i="207" s="1"/>
  <c r="F27" i="207"/>
  <c r="D27" i="207" s="1"/>
  <c r="I24" i="207"/>
  <c r="H24" i="207" s="1"/>
  <c r="G9" i="214" l="1"/>
  <c r="D26" i="207"/>
  <c r="K27" i="207"/>
  <c r="G9" i="63"/>
  <c r="H21" i="207"/>
  <c r="E19" i="207"/>
  <c r="D19" i="207" s="1"/>
  <c r="G11" i="63" s="1"/>
  <c r="K24" i="63" s="1"/>
  <c r="K25" i="63" s="1"/>
  <c r="K26" i="63" s="1"/>
  <c r="D21" i="207"/>
  <c r="I19" i="207"/>
  <c r="H19" i="207" s="1"/>
  <c r="G11" i="64" s="1"/>
  <c r="D24" i="207"/>
  <c r="G11" i="214" l="1"/>
  <c r="K19" i="207"/>
  <c r="F155" i="184" l="1"/>
  <c r="I139" i="184"/>
  <c r="I128" i="184"/>
  <c r="I126" i="184"/>
  <c r="I125" i="184"/>
  <c r="I121" i="184"/>
  <c r="I117" i="184"/>
  <c r="I111" i="184"/>
  <c r="I110" i="184"/>
  <c r="I109" i="184"/>
  <c r="I108" i="184"/>
  <c r="I107" i="184"/>
  <c r="I106" i="184"/>
  <c r="I105" i="184"/>
  <c r="I104" i="184"/>
  <c r="I103" i="184"/>
  <c r="I102" i="184"/>
  <c r="I101" i="184"/>
  <c r="I100" i="184"/>
  <c r="I99" i="184"/>
  <c r="I98" i="184"/>
  <c r="F93" i="184"/>
  <c r="I92" i="184"/>
  <c r="I91" i="184"/>
  <c r="I90" i="184"/>
  <c r="I89" i="184"/>
  <c r="I83" i="184"/>
  <c r="I82" i="184"/>
  <c r="I81" i="184"/>
  <c r="I80" i="184"/>
  <c r="I79" i="184"/>
  <c r="I78" i="184"/>
  <c r="I77" i="184"/>
  <c r="I76" i="184"/>
  <c r="I75" i="184"/>
  <c r="I74" i="184"/>
  <c r="I73" i="184"/>
  <c r="I72" i="184"/>
  <c r="I84" i="184" l="1"/>
  <c r="I93" i="184"/>
  <c r="I155" i="184"/>
  <c r="I112" i="184"/>
  <c r="J65" i="184" l="1"/>
  <c r="J37" i="184"/>
  <c r="J17" i="184"/>
  <c r="M20" i="184"/>
  <c r="M21" i="184" s="1"/>
  <c r="F65" i="184"/>
  <c r="F37" i="184"/>
  <c r="F17" i="184"/>
  <c r="M15" i="184"/>
  <c r="M14" i="184" s="1"/>
  <c r="K24" i="64" l="1"/>
  <c r="K25" i="64" s="1"/>
  <c r="K26" i="64" s="1"/>
  <c r="K14" i="65" s="1"/>
  <c r="K24" i="214"/>
  <c r="K25" i="214" s="1"/>
  <c r="K26" i="214" s="1"/>
  <c r="L40" i="185"/>
  <c r="L39" i="185"/>
  <c r="H34" i="185"/>
  <c r="F34" i="185"/>
  <c r="H23" i="186"/>
  <c r="F23" i="186"/>
  <c r="H23" i="185"/>
  <c r="F23" i="185"/>
  <c r="I65" i="13" l="1"/>
  <c r="G65" i="13"/>
  <c r="I53" i="13"/>
  <c r="G53" i="13"/>
  <c r="I44" i="13"/>
  <c r="I66" i="13" s="1"/>
  <c r="G44" i="13"/>
  <c r="I137" i="13"/>
  <c r="G137" i="13"/>
  <c r="I125" i="13"/>
  <c r="G125" i="13"/>
  <c r="I116" i="13"/>
  <c r="I138" i="13" s="1"/>
  <c r="G116" i="13"/>
  <c r="F137" i="13"/>
  <c r="F125" i="13"/>
  <c r="F116" i="13"/>
  <c r="I101" i="13"/>
  <c r="I89" i="13"/>
  <c r="I80" i="13"/>
  <c r="G101" i="13"/>
  <c r="G89" i="13"/>
  <c r="G80" i="13"/>
  <c r="F138" i="13" l="1"/>
  <c r="G138" i="13"/>
  <c r="G66" i="13"/>
  <c r="I102" i="13"/>
  <c r="G102" i="13"/>
  <c r="H17" i="186"/>
  <c r="F17" i="186"/>
  <c r="F14" i="166"/>
  <c r="G14" i="166"/>
  <c r="H14" i="166"/>
  <c r="E16" i="166"/>
  <c r="E14" i="166" s="1"/>
  <c r="H16" i="186" l="1"/>
  <c r="F16" i="186"/>
  <c r="H16" i="185"/>
  <c r="F16" i="185"/>
  <c r="H10" i="185" l="1"/>
  <c r="F10" i="185"/>
  <c r="J24" i="174" l="1"/>
  <c r="V24" i="174" l="1"/>
  <c r="P24" i="174"/>
  <c r="D134" i="109" l="1"/>
  <c r="E134" i="109"/>
  <c r="F134" i="109"/>
  <c r="G134" i="109"/>
  <c r="I134" i="109"/>
  <c r="D135" i="109"/>
  <c r="E135" i="109"/>
  <c r="F135" i="109"/>
  <c r="G135" i="109"/>
  <c r="I135" i="109"/>
  <c r="I133" i="109"/>
  <c r="G133" i="109"/>
  <c r="F133" i="109"/>
  <c r="E133" i="109"/>
  <c r="D133" i="109"/>
  <c r="D98" i="109"/>
  <c r="E98" i="109"/>
  <c r="F98" i="109"/>
  <c r="G98" i="109"/>
  <c r="I98" i="109"/>
  <c r="D99" i="109"/>
  <c r="E99" i="109"/>
  <c r="F99" i="109"/>
  <c r="G99" i="109"/>
  <c r="I99" i="109"/>
  <c r="I97" i="109"/>
  <c r="G97" i="109"/>
  <c r="F97" i="109"/>
  <c r="E97" i="109"/>
  <c r="D97" i="109"/>
  <c r="D62" i="109"/>
  <c r="E62" i="109"/>
  <c r="F62" i="109"/>
  <c r="G62" i="109"/>
  <c r="I62" i="109"/>
  <c r="D63" i="109"/>
  <c r="E63" i="109"/>
  <c r="F63" i="109"/>
  <c r="G63" i="109"/>
  <c r="I63" i="109"/>
  <c r="I61" i="109"/>
  <c r="G61" i="109"/>
  <c r="F61" i="109"/>
  <c r="E61" i="109"/>
  <c r="D61" i="109"/>
  <c r="I255" i="111" l="1"/>
  <c r="H255" i="111"/>
  <c r="G255" i="111"/>
  <c r="F255" i="111"/>
  <c r="E255" i="111"/>
  <c r="D255" i="111"/>
  <c r="C255" i="111"/>
  <c r="B255" i="111"/>
  <c r="I175" i="111"/>
  <c r="H175" i="111"/>
  <c r="G175" i="111"/>
  <c r="F175" i="111"/>
  <c r="E175" i="111"/>
  <c r="D175" i="111"/>
  <c r="C175" i="111"/>
  <c r="B175" i="111"/>
  <c r="I118" i="111"/>
  <c r="H118" i="111"/>
  <c r="G118" i="111"/>
  <c r="F118" i="111"/>
  <c r="E118" i="111"/>
  <c r="D118" i="111"/>
  <c r="C118" i="111"/>
  <c r="B118" i="111"/>
  <c r="I8" i="111"/>
  <c r="H8" i="111"/>
  <c r="G8" i="111"/>
  <c r="F8" i="111"/>
  <c r="E8" i="111"/>
  <c r="D8" i="111"/>
  <c r="C8" i="111"/>
  <c r="B8" i="111"/>
  <c r="V74" i="174" l="1"/>
  <c r="J74" i="174"/>
  <c r="I151" i="124" l="1"/>
  <c r="H151" i="124"/>
  <c r="G151" i="124"/>
  <c r="I150" i="124"/>
  <c r="H150" i="124"/>
  <c r="G150" i="124"/>
  <c r="Q149" i="124"/>
  <c r="P149" i="124"/>
  <c r="R149" i="124" s="1"/>
  <c r="I149" i="124"/>
  <c r="H149" i="124"/>
  <c r="G149" i="124"/>
  <c r="I148" i="124"/>
  <c r="H148" i="124"/>
  <c r="G148" i="124"/>
  <c r="I147" i="124"/>
  <c r="H147" i="124"/>
  <c r="G147" i="124"/>
  <c r="P147" i="124"/>
  <c r="O146" i="124"/>
  <c r="P146" i="124" s="1"/>
  <c r="I146" i="124"/>
  <c r="H146" i="124"/>
  <c r="G146" i="124"/>
  <c r="Q145" i="124"/>
  <c r="O145" i="124"/>
  <c r="R145" i="124" s="1"/>
  <c r="I145" i="124"/>
  <c r="H145" i="124"/>
  <c r="G145" i="124"/>
  <c r="R144" i="124"/>
  <c r="Q144" i="124"/>
  <c r="P144" i="124"/>
  <c r="S144" i="124" s="1"/>
  <c r="I144" i="124"/>
  <c r="H144" i="124"/>
  <c r="G144" i="124"/>
  <c r="O143" i="124"/>
  <c r="I143" i="124"/>
  <c r="H143" i="124"/>
  <c r="G143" i="124"/>
  <c r="F143" i="124"/>
  <c r="Q141" i="124"/>
  <c r="O140" i="124"/>
  <c r="P140" i="124" s="1"/>
  <c r="I140" i="124"/>
  <c r="H140" i="124"/>
  <c r="G140" i="124"/>
  <c r="I138" i="124"/>
  <c r="H138" i="124"/>
  <c r="G138" i="124"/>
  <c r="I137" i="124"/>
  <c r="H137" i="124"/>
  <c r="G137" i="124"/>
  <c r="Q136" i="124"/>
  <c r="P136" i="124"/>
  <c r="R136" i="124" s="1"/>
  <c r="S136" i="124" s="1"/>
  <c r="I136" i="124"/>
  <c r="H136" i="124"/>
  <c r="G136" i="124"/>
  <c r="O135" i="124"/>
  <c r="P135" i="124" s="1"/>
  <c r="I135" i="124"/>
  <c r="H135" i="124"/>
  <c r="G135" i="124"/>
  <c r="I134" i="124"/>
  <c r="H134" i="124"/>
  <c r="G134" i="124"/>
  <c r="P134" i="124"/>
  <c r="P133" i="124"/>
  <c r="I133" i="124"/>
  <c r="H133" i="124"/>
  <c r="G133" i="124"/>
  <c r="Q132" i="124"/>
  <c r="O132" i="124"/>
  <c r="R132" i="124" s="1"/>
  <c r="I132" i="124"/>
  <c r="H132" i="124"/>
  <c r="G132" i="124"/>
  <c r="R131" i="124"/>
  <c r="Q131" i="124"/>
  <c r="P131" i="124"/>
  <c r="I131" i="124"/>
  <c r="H131" i="124"/>
  <c r="G131" i="124"/>
  <c r="I130" i="124"/>
  <c r="H130" i="124"/>
  <c r="G130" i="124"/>
  <c r="F130" i="124"/>
  <c r="S128" i="124"/>
  <c r="Q128" i="124"/>
  <c r="I127" i="124"/>
  <c r="H127" i="124"/>
  <c r="G127" i="124"/>
  <c r="Q130" i="124" l="1"/>
  <c r="F138" i="124"/>
  <c r="Q143" i="124"/>
  <c r="Q151" i="124" s="1"/>
  <c r="P132" i="124"/>
  <c r="S132" i="124" s="1"/>
  <c r="S149" i="124"/>
  <c r="Q138" i="124"/>
  <c r="O148" i="124"/>
  <c r="P148" i="124" s="1"/>
  <c r="F151" i="124"/>
  <c r="S131" i="124"/>
  <c r="P145" i="124"/>
  <c r="P127" i="124"/>
  <c r="S130" i="124" l="1"/>
  <c r="R130" i="124" s="1"/>
  <c r="P130" i="124"/>
  <c r="O130" i="124" s="1"/>
  <c r="P143" i="124"/>
  <c r="P151" i="124" s="1"/>
  <c r="O151" i="124" s="1"/>
  <c r="S145" i="124"/>
  <c r="S143" i="124" s="1"/>
  <c r="R143" i="124" s="1"/>
  <c r="D146" i="124"/>
  <c r="P138" i="124" l="1"/>
  <c r="O138" i="124" s="1"/>
  <c r="W35" i="124"/>
  <c r="W43" i="124"/>
  <c r="W42" i="124"/>
  <c r="W41" i="124"/>
  <c r="V50" i="174" l="1"/>
  <c r="V49" i="174"/>
  <c r="V48" i="174"/>
  <c r="V47" i="174"/>
  <c r="V46" i="174"/>
  <c r="V43" i="174"/>
  <c r="V42" i="174"/>
  <c r="V41" i="174"/>
  <c r="V40" i="174"/>
  <c r="V39" i="174"/>
  <c r="V38" i="174"/>
  <c r="V37" i="174"/>
  <c r="V36" i="174"/>
  <c r="V35" i="174"/>
  <c r="V34" i="174"/>
  <c r="V33" i="174"/>
  <c r="V32" i="174"/>
  <c r="P50" i="174"/>
  <c r="P49" i="174"/>
  <c r="P48" i="174"/>
  <c r="P47" i="174"/>
  <c r="P46" i="174"/>
  <c r="P43" i="174"/>
  <c r="P42" i="174"/>
  <c r="P41" i="174"/>
  <c r="P40" i="174"/>
  <c r="P39" i="174"/>
  <c r="P38" i="174"/>
  <c r="P37" i="174"/>
  <c r="P36" i="174"/>
  <c r="P35" i="174"/>
  <c r="P34" i="174"/>
  <c r="P33" i="174"/>
  <c r="P32" i="174"/>
  <c r="J50" i="174"/>
  <c r="J49" i="174"/>
  <c r="J48" i="174"/>
  <c r="J47" i="174"/>
  <c r="J46" i="174"/>
  <c r="J43" i="174"/>
  <c r="J42" i="174"/>
  <c r="J41" i="174"/>
  <c r="J40" i="174"/>
  <c r="J39" i="174"/>
  <c r="J38" i="174"/>
  <c r="J37" i="174"/>
  <c r="J36" i="174"/>
  <c r="J35" i="174"/>
  <c r="J34" i="174"/>
  <c r="J33" i="174"/>
  <c r="J32" i="174"/>
  <c r="E45" i="88" l="1"/>
  <c r="E31" i="88" s="1"/>
  <c r="C45" i="88"/>
  <c r="E45" i="87"/>
  <c r="E31" i="87" s="1"/>
  <c r="C45" i="87"/>
  <c r="C45" i="86"/>
  <c r="D55" i="171" l="1"/>
  <c r="C55" i="171"/>
  <c r="E55" i="176"/>
  <c r="C55" i="176"/>
  <c r="D55" i="175"/>
  <c r="E55" i="172"/>
  <c r="D55" i="172"/>
  <c r="C55" i="172"/>
  <c r="E55" i="173"/>
  <c r="D55" i="173"/>
  <c r="C55" i="173"/>
  <c r="E45" i="175"/>
  <c r="E31" i="175" s="1"/>
  <c r="C45" i="175"/>
  <c r="J45" i="174"/>
  <c r="J29" i="174" s="1"/>
  <c r="K31" i="174"/>
  <c r="M45" i="174"/>
  <c r="P45" i="174"/>
  <c r="S45" i="174"/>
  <c r="V45" i="174"/>
  <c r="Y45" i="174"/>
  <c r="C45" i="28"/>
  <c r="Q29" i="174" l="1"/>
  <c r="P29" i="174"/>
  <c r="V29" i="174"/>
  <c r="D55" i="176"/>
  <c r="D55" i="177" s="1"/>
  <c r="C55" i="177"/>
  <c r="E55" i="177"/>
  <c r="Q25" i="174" l="1"/>
  <c r="Q7" i="174" s="1"/>
  <c r="Q91" i="174" s="1"/>
  <c r="Q93" i="174" s="1"/>
  <c r="G147" i="183" l="1"/>
  <c r="G140" i="183"/>
  <c r="D147" i="183"/>
  <c r="E125" i="183"/>
  <c r="E140" i="183"/>
  <c r="E147" i="183"/>
  <c r="E117" i="183"/>
  <c r="E107" i="183"/>
  <c r="E101" i="183"/>
  <c r="E94" i="183"/>
  <c r="E86" i="183"/>
  <c r="E80" i="183"/>
  <c r="E73" i="183"/>
  <c r="E65" i="183"/>
  <c r="E59" i="183"/>
  <c r="E52" i="183"/>
  <c r="E44" i="183"/>
  <c r="E38" i="183"/>
  <c r="E31" i="183"/>
  <c r="E37" i="183" l="1"/>
  <c r="G150" i="183"/>
  <c r="E150" i="183"/>
  <c r="E79" i="183"/>
  <c r="E72" i="183" s="1"/>
  <c r="E30" i="183"/>
  <c r="E58" i="183"/>
  <c r="E51" i="183" s="1"/>
  <c r="E100" i="183"/>
  <c r="E93" i="183" s="1"/>
  <c r="E38" i="57"/>
  <c r="E31" i="57"/>
  <c r="E17" i="57"/>
  <c r="E16" i="57" s="1"/>
  <c r="E10" i="57"/>
  <c r="E9" i="57" l="1"/>
  <c r="E9" i="183"/>
  <c r="DJ29" i="70"/>
  <c r="CY29" i="70"/>
  <c r="BH29" i="69" l="1"/>
  <c r="CN29" i="70"/>
  <c r="H5" i="186" l="1"/>
  <c r="F5" i="186" l="1"/>
  <c r="CO29" i="69" l="1"/>
  <c r="F39" i="185" l="1"/>
  <c r="H39" i="185"/>
  <c r="F5" i="185" l="1"/>
  <c r="H5" i="185" l="1"/>
  <c r="D35" i="185" l="1"/>
  <c r="D34" i="185"/>
  <c r="D33" i="185"/>
  <c r="D32" i="185"/>
  <c r="D31" i="185"/>
  <c r="D30" i="185"/>
  <c r="D29" i="185"/>
  <c r="D28" i="185"/>
  <c r="D26" i="185"/>
  <c r="D25" i="185"/>
  <c r="D24" i="185"/>
  <c r="D23" i="185"/>
  <c r="D22" i="185"/>
  <c r="D21" i="185"/>
  <c r="D20" i="185"/>
  <c r="D18" i="185"/>
  <c r="D17" i="185"/>
  <c r="D16" i="185"/>
  <c r="D15" i="185"/>
  <c r="D14" i="185"/>
  <c r="D13" i="185"/>
  <c r="N11" i="123" l="1"/>
  <c r="M11" i="123"/>
  <c r="L11" i="123"/>
  <c r="I11" i="123"/>
  <c r="H11" i="123"/>
  <c r="G11" i="123"/>
  <c r="F11" i="123"/>
  <c r="E11" i="123"/>
  <c r="N9" i="123"/>
  <c r="N14" i="123" s="1"/>
  <c r="M9" i="123"/>
  <c r="M14" i="123" s="1"/>
  <c r="L9" i="123"/>
  <c r="L14" i="123" s="1"/>
  <c r="I9" i="123"/>
  <c r="I14" i="123" s="1"/>
  <c r="H9" i="123"/>
  <c r="H14" i="123" s="1"/>
  <c r="G9" i="123"/>
  <c r="G14" i="123" s="1"/>
  <c r="F9" i="123"/>
  <c r="F14" i="123" s="1"/>
  <c r="E9" i="123"/>
  <c r="E14" i="123" s="1"/>
  <c r="H19" i="123" l="1"/>
  <c r="H18" i="123"/>
  <c r="H16" i="123"/>
  <c r="N19" i="123"/>
  <c r="N18" i="123"/>
  <c r="N16" i="123"/>
  <c r="E19" i="123"/>
  <c r="E18" i="123"/>
  <c r="E16" i="123"/>
  <c r="I19" i="123"/>
  <c r="I18" i="123"/>
  <c r="I16" i="123"/>
  <c r="F19" i="123"/>
  <c r="F18" i="123"/>
  <c r="F16" i="123"/>
  <c r="L19" i="123"/>
  <c r="L18" i="123"/>
  <c r="L16" i="123"/>
  <c r="G18" i="123"/>
  <c r="G16" i="123"/>
  <c r="G19" i="123"/>
  <c r="M19" i="123"/>
  <c r="M18" i="123"/>
  <c r="M16" i="123"/>
  <c r="H12" i="215" l="1"/>
  <c r="I12" i="215"/>
  <c r="E6" i="198"/>
  <c r="D6" i="198"/>
  <c r="D6" i="186"/>
  <c r="D6" i="185"/>
  <c r="G18" i="166"/>
  <c r="G19" i="166" s="1"/>
  <c r="H18" i="166"/>
  <c r="H19" i="166" s="1"/>
  <c r="G3" i="166"/>
  <c r="H3" i="166"/>
  <c r="E18" i="166"/>
  <c r="E19" i="166" s="1"/>
  <c r="D14" i="166"/>
  <c r="D18" i="166" s="1"/>
  <c r="D19" i="166" s="1"/>
  <c r="C14" i="166"/>
  <c r="C18" i="166" s="1"/>
  <c r="C19" i="166" s="1"/>
  <c r="E3" i="166"/>
  <c r="E7" i="166" s="1"/>
  <c r="E8" i="166" s="1"/>
  <c r="D3" i="166"/>
  <c r="D7" i="166" s="1"/>
  <c r="D8" i="166" s="1"/>
  <c r="C3" i="166"/>
  <c r="C7" i="166" s="1"/>
  <c r="C8" i="166" s="1"/>
  <c r="H14" i="159"/>
  <c r="H14" i="25"/>
  <c r="H12" i="65"/>
  <c r="H9" i="65"/>
  <c r="H21" i="157"/>
  <c r="H12" i="158" s="1"/>
  <c r="H15" i="157"/>
  <c r="H21" i="156"/>
  <c r="H9" i="158" s="1"/>
  <c r="H15" i="156"/>
  <c r="H8" i="156"/>
  <c r="H7" i="156" s="1"/>
  <c r="H24" i="156" s="1"/>
  <c r="H25" i="156" s="1"/>
  <c r="H26" i="156" s="1"/>
  <c r="G102" i="171" s="1"/>
  <c r="G102" i="177" s="1"/>
  <c r="H18" i="63"/>
  <c r="H15" i="63" s="1"/>
  <c r="H7" i="63" s="1"/>
  <c r="H23" i="63" s="1"/>
  <c r="H24" i="63" s="1"/>
  <c r="H25" i="63" s="1"/>
  <c r="H26" i="63" s="1"/>
  <c r="H8" i="65" s="1"/>
  <c r="H18" i="64"/>
  <c r="H15" i="64" s="1"/>
  <c r="H7" i="64" s="1"/>
  <c r="D95" i="146"/>
  <c r="D92" i="146"/>
  <c r="D95" i="145"/>
  <c r="D93" i="145"/>
  <c r="D92" i="145"/>
  <c r="H13" i="158" l="1"/>
  <c r="I24" i="156"/>
  <c r="I25" i="156" s="1"/>
  <c r="I26" i="156" s="1"/>
  <c r="H8" i="159"/>
  <c r="H8" i="161"/>
  <c r="H8" i="158"/>
  <c r="I24" i="64"/>
  <c r="I25" i="64" s="1"/>
  <c r="I26" i="64" s="1"/>
  <c r="H7" i="166"/>
  <c r="H8" i="166" s="1"/>
  <c r="H23" i="64"/>
  <c r="H24" i="64" s="1"/>
  <c r="H25" i="64" s="1"/>
  <c r="H26" i="64" s="1"/>
  <c r="H11" i="65" s="1"/>
  <c r="H13" i="65"/>
  <c r="G7" i="166"/>
  <c r="G8" i="166" s="1"/>
  <c r="I24" i="63"/>
  <c r="I25" i="63" s="1"/>
  <c r="I26" i="63" s="1"/>
  <c r="G9" i="109"/>
  <c r="G11" i="109"/>
  <c r="G12" i="109"/>
  <c r="G13" i="109"/>
  <c r="G14" i="109"/>
  <c r="G15" i="109"/>
  <c r="G16" i="109"/>
  <c r="G18" i="109"/>
  <c r="G20" i="109"/>
  <c r="G21" i="109"/>
  <c r="G22" i="109"/>
  <c r="G23" i="109"/>
  <c r="G24" i="109"/>
  <c r="G25" i="109"/>
  <c r="G26" i="109"/>
  <c r="G27" i="109"/>
  <c r="G31" i="109"/>
  <c r="G34" i="109"/>
  <c r="G35" i="109"/>
  <c r="G46" i="109"/>
  <c r="G55" i="109"/>
  <c r="G64" i="109"/>
  <c r="G66" i="109"/>
  <c r="G69" i="109" s="1"/>
  <c r="G82" i="109"/>
  <c r="G91" i="109"/>
  <c r="G100" i="109"/>
  <c r="G118" i="109"/>
  <c r="G127" i="109"/>
  <c r="G136" i="109"/>
  <c r="G138" i="109"/>
  <c r="G141" i="109" s="1"/>
  <c r="G9" i="110"/>
  <c r="G10" i="110"/>
  <c r="G11" i="110"/>
  <c r="G12" i="110"/>
  <c r="G13" i="110"/>
  <c r="G14" i="110"/>
  <c r="G15" i="110"/>
  <c r="G16" i="110"/>
  <c r="G18" i="110"/>
  <c r="G19" i="110"/>
  <c r="G20" i="110"/>
  <c r="G21" i="110"/>
  <c r="G22" i="110"/>
  <c r="G23" i="110"/>
  <c r="G24" i="110"/>
  <c r="G25" i="110"/>
  <c r="G26" i="110"/>
  <c r="G27" i="110"/>
  <c r="G28" i="110"/>
  <c r="G30" i="110"/>
  <c r="G31" i="110"/>
  <c r="G32" i="110"/>
  <c r="G33" i="110"/>
  <c r="G34" i="110"/>
  <c r="G35" i="110"/>
  <c r="G44" i="110"/>
  <c r="G44" i="109" s="1"/>
  <c r="G53" i="110"/>
  <c r="G65" i="110"/>
  <c r="G80" i="110"/>
  <c r="G89" i="110"/>
  <c r="G101" i="110"/>
  <c r="G137" i="110"/>
  <c r="G116" i="110"/>
  <c r="G125" i="110"/>
  <c r="G125" i="109" s="1"/>
  <c r="G53" i="109"/>
  <c r="G80" i="109"/>
  <c r="G89" i="109"/>
  <c r="G30" i="13"/>
  <c r="G116" i="109"/>
  <c r="G9" i="13"/>
  <c r="G10" i="13"/>
  <c r="G11" i="13"/>
  <c r="G12" i="13"/>
  <c r="G13" i="13"/>
  <c r="G14" i="13"/>
  <c r="G15" i="13"/>
  <c r="G16" i="13"/>
  <c r="G18" i="13"/>
  <c r="G19" i="13"/>
  <c r="G20" i="13"/>
  <c r="G21" i="13"/>
  <c r="G22" i="13"/>
  <c r="G23" i="13"/>
  <c r="G24" i="13"/>
  <c r="G25" i="13"/>
  <c r="G26" i="13"/>
  <c r="G27" i="13"/>
  <c r="G28" i="13"/>
  <c r="G31" i="13"/>
  <c r="G32" i="13"/>
  <c r="G33" i="13"/>
  <c r="G34" i="13"/>
  <c r="G35" i="13"/>
  <c r="H7" i="104"/>
  <c r="I7" i="104"/>
  <c r="H22" i="104"/>
  <c r="I22" i="104"/>
  <c r="H37" i="104"/>
  <c r="I37" i="104"/>
  <c r="H52" i="104"/>
  <c r="I52" i="104"/>
  <c r="H67" i="104"/>
  <c r="I67" i="104"/>
  <c r="H82" i="36"/>
  <c r="I24" i="214" l="1"/>
  <c r="I25" i="214" s="1"/>
  <c r="I26" i="214" s="1"/>
  <c r="G17" i="110"/>
  <c r="G29" i="110"/>
  <c r="G8" i="110"/>
  <c r="H102" i="171"/>
  <c r="H102" i="177" s="1"/>
  <c r="I82" i="36"/>
  <c r="G28" i="109"/>
  <c r="G101" i="109"/>
  <c r="G137" i="109"/>
  <c r="H14" i="65"/>
  <c r="H9" i="25"/>
  <c r="I14" i="65"/>
  <c r="G102" i="109"/>
  <c r="G19" i="109"/>
  <c r="G29" i="13"/>
  <c r="G17" i="109"/>
  <c r="G8" i="109"/>
  <c r="G10" i="109"/>
  <c r="G65" i="109"/>
  <c r="G17" i="13"/>
  <c r="G8" i="13"/>
  <c r="I82" i="104"/>
  <c r="H82" i="104"/>
  <c r="H8" i="25" l="1"/>
  <c r="G101" i="171"/>
  <c r="G101" i="177" s="1"/>
  <c r="G101" i="82" s="1"/>
  <c r="G101" i="81" s="1"/>
  <c r="H101" i="171"/>
  <c r="H101" i="177" s="1"/>
  <c r="H101" i="82" s="1"/>
  <c r="H101" i="81" s="1"/>
  <c r="G30" i="109"/>
  <c r="G105" i="109"/>
  <c r="G33" i="109" s="1"/>
  <c r="G32" i="109"/>
  <c r="G29" i="109"/>
  <c r="G102" i="82"/>
  <c r="G102" i="81" s="1"/>
  <c r="H102" i="82"/>
  <c r="H102" i="81" s="1"/>
  <c r="D11" i="198"/>
  <c r="D10" i="198"/>
  <c r="D21" i="198"/>
  <c r="D22" i="198"/>
  <c r="D25" i="198" l="1"/>
  <c r="D16" i="198"/>
  <c r="D24" i="198"/>
  <c r="D28" i="198"/>
  <c r="D13" i="198"/>
  <c r="D14" i="198"/>
  <c r="C45" i="30" l="1"/>
  <c r="E45" i="30"/>
  <c r="E31" i="30" s="1"/>
  <c r="C45" i="29"/>
  <c r="E45" i="29"/>
  <c r="E31" i="29" s="1"/>
  <c r="D16" i="186"/>
  <c r="D20" i="186"/>
  <c r="D21" i="186"/>
  <c r="D18" i="186"/>
  <c r="D24" i="186"/>
  <c r="D25" i="186"/>
  <c r="D22" i="186"/>
  <c r="D30" i="186"/>
  <c r="D31" i="186"/>
  <c r="D32" i="186"/>
  <c r="D29" i="186"/>
  <c r="D28" i="186"/>
  <c r="D34" i="186"/>
  <c r="D35" i="198"/>
  <c r="E8" i="174"/>
  <c r="E9" i="174"/>
  <c r="E10" i="174"/>
  <c r="E11" i="174"/>
  <c r="E12" i="174"/>
  <c r="E13" i="174"/>
  <c r="E14" i="174"/>
  <c r="E16" i="174"/>
  <c r="E17" i="174"/>
  <c r="E18" i="174"/>
  <c r="E19" i="174"/>
  <c r="E20" i="174"/>
  <c r="E21" i="174"/>
  <c r="E22" i="174"/>
  <c r="E23" i="174"/>
  <c r="E27" i="174"/>
  <c r="E28" i="174"/>
  <c r="E30" i="174"/>
  <c r="E32" i="174"/>
  <c r="E33" i="174"/>
  <c r="E34" i="174"/>
  <c r="E35" i="174"/>
  <c r="E36" i="174"/>
  <c r="E37" i="174"/>
  <c r="E38" i="174"/>
  <c r="E39" i="174"/>
  <c r="E40" i="174"/>
  <c r="E41" i="174"/>
  <c r="E42" i="174"/>
  <c r="E43" i="174"/>
  <c r="E44" i="174"/>
  <c r="E46" i="174"/>
  <c r="E47" i="174"/>
  <c r="E48" i="174"/>
  <c r="E49" i="174"/>
  <c r="E50" i="174"/>
  <c r="E51" i="174"/>
  <c r="E52" i="174"/>
  <c r="E55" i="174"/>
  <c r="E56" i="174"/>
  <c r="E57" i="174"/>
  <c r="E58" i="174"/>
  <c r="E59" i="174"/>
  <c r="E60" i="174"/>
  <c r="E62" i="174"/>
  <c r="E63" i="174"/>
  <c r="E64" i="174"/>
  <c r="E65" i="174"/>
  <c r="E66" i="174"/>
  <c r="E68" i="174"/>
  <c r="E69" i="174"/>
  <c r="E70" i="174"/>
  <c r="E72" i="174"/>
  <c r="E73" i="174"/>
  <c r="E74" i="174"/>
  <c r="E75" i="174"/>
  <c r="E79" i="174"/>
  <c r="E80" i="174"/>
  <c r="E81" i="174"/>
  <c r="E82" i="174"/>
  <c r="E85" i="174"/>
  <c r="E88" i="174"/>
  <c r="Y88" i="174"/>
  <c r="V88" i="174"/>
  <c r="Y85" i="174"/>
  <c r="V85" i="174"/>
  <c r="Y78" i="174"/>
  <c r="Y83" i="174" s="1"/>
  <c r="V78" i="174"/>
  <c r="V83" i="174" s="1"/>
  <c r="Y71" i="174"/>
  <c r="Y67" i="174" s="1"/>
  <c r="V71" i="174"/>
  <c r="V67" i="174" s="1"/>
  <c r="Y61" i="174"/>
  <c r="V61" i="174"/>
  <c r="Y15" i="174"/>
  <c r="V15" i="174"/>
  <c r="S88" i="174"/>
  <c r="P88" i="174"/>
  <c r="S85" i="174"/>
  <c r="P85" i="174"/>
  <c r="S78" i="174"/>
  <c r="S83" i="174" s="1"/>
  <c r="P78" i="174"/>
  <c r="P83" i="174" s="1"/>
  <c r="S71" i="174"/>
  <c r="S67" i="174" s="1"/>
  <c r="P71" i="174"/>
  <c r="P67" i="174" s="1"/>
  <c r="S61" i="174"/>
  <c r="P61" i="174"/>
  <c r="S15" i="174"/>
  <c r="P15" i="174"/>
  <c r="K88" i="174"/>
  <c r="K85" i="174"/>
  <c r="K78" i="174"/>
  <c r="K83" i="174" s="1"/>
  <c r="K71" i="174"/>
  <c r="K67" i="174" s="1"/>
  <c r="K61" i="174"/>
  <c r="K29" i="174"/>
  <c r="K25" i="174" s="1"/>
  <c r="E24" i="174"/>
  <c r="K15" i="174"/>
  <c r="I24" i="157"/>
  <c r="I25" i="157" s="1"/>
  <c r="I26" i="157" s="1"/>
  <c r="H8" i="157"/>
  <c r="H7" i="157" s="1"/>
  <c r="H24" i="157" s="1"/>
  <c r="H25" i="157" s="1"/>
  <c r="H26" i="157" s="1"/>
  <c r="E45" i="174" l="1"/>
  <c r="E31" i="174" s="1"/>
  <c r="E29" i="174" s="1"/>
  <c r="E25" i="174" s="1"/>
  <c r="S7" i="174"/>
  <c r="Y7" i="174"/>
  <c r="D33" i="186"/>
  <c r="D17" i="186"/>
  <c r="Y84" i="174"/>
  <c r="E84" i="174"/>
  <c r="G102" i="85"/>
  <c r="G100" i="86"/>
  <c r="G100" i="85" s="1"/>
  <c r="K84" i="174"/>
  <c r="H100" i="86"/>
  <c r="H100" i="85" s="1"/>
  <c r="H102" i="85"/>
  <c r="D15" i="186"/>
  <c r="D13" i="186"/>
  <c r="D14" i="186"/>
  <c r="D33" i="198"/>
  <c r="P84" i="174"/>
  <c r="S84" i="174"/>
  <c r="V84" i="174"/>
  <c r="D35" i="186"/>
  <c r="D23" i="186"/>
  <c r="E78" i="174"/>
  <c r="E83" i="174" s="1"/>
  <c r="E71" i="174"/>
  <c r="E67" i="174" s="1"/>
  <c r="V7" i="174"/>
  <c r="V91" i="174" s="1"/>
  <c r="V93" i="174" s="1"/>
  <c r="P7" i="174"/>
  <c r="E61" i="174"/>
  <c r="E15" i="174"/>
  <c r="W91" i="174"/>
  <c r="W93" i="174" s="1"/>
  <c r="I14" i="158"/>
  <c r="I13" i="123"/>
  <c r="H11" i="158"/>
  <c r="H14" i="158" s="1"/>
  <c r="H8" i="160"/>
  <c r="D15" i="198"/>
  <c r="K7" i="174"/>
  <c r="K91" i="174" s="1"/>
  <c r="K93" i="174" s="1"/>
  <c r="F95" i="144"/>
  <c r="DK29" i="3"/>
  <c r="DJ29" i="3" s="1"/>
  <c r="CZ29" i="3"/>
  <c r="F95" i="146"/>
  <c r="F95" i="145"/>
  <c r="D26" i="186" l="1"/>
  <c r="Y91" i="174"/>
  <c r="Y93" i="174" s="1"/>
  <c r="CY29" i="3"/>
  <c r="CO29" i="3"/>
  <c r="CN29" i="3" s="1"/>
  <c r="P91" i="174"/>
  <c r="P93" i="174" s="1"/>
  <c r="D5" i="186"/>
  <c r="S91" i="174"/>
  <c r="S93" i="174" s="1"/>
  <c r="E7" i="174"/>
  <c r="E91" i="174" s="1"/>
  <c r="E93" i="174" s="1"/>
  <c r="F93" i="146"/>
  <c r="F93" i="145"/>
  <c r="D93" i="146"/>
  <c r="F73" i="144"/>
  <c r="F73" i="146"/>
  <c r="F73" i="145"/>
  <c r="F12" i="147" l="1"/>
  <c r="D5" i="185"/>
  <c r="F12" i="148"/>
  <c r="F92" i="146"/>
  <c r="F10" i="149"/>
  <c r="D92" i="144"/>
  <c r="D93" i="144"/>
  <c r="D95" i="144"/>
  <c r="D17" i="198"/>
  <c r="D12" i="198" l="1"/>
  <c r="F92" i="145"/>
  <c r="D73" i="145"/>
  <c r="F8" i="148"/>
  <c r="F18" i="148" s="1"/>
  <c r="F10" i="148"/>
  <c r="F93" i="144"/>
  <c r="L24" i="164"/>
  <c r="N9" i="151"/>
  <c r="N8" i="151" s="1"/>
  <c r="N9" i="150"/>
  <c r="N8" i="150" s="1"/>
  <c r="L24" i="163"/>
  <c r="F10" i="147"/>
  <c r="F12" i="149"/>
  <c r="F92" i="144"/>
  <c r="K24" i="165"/>
  <c r="M9" i="162"/>
  <c r="M8" i="162" s="1"/>
  <c r="D39" i="198"/>
  <c r="D5" i="198" l="1"/>
  <c r="D73" i="144"/>
  <c r="D73" i="146"/>
  <c r="F15" i="148"/>
  <c r="I19" i="154" s="1"/>
  <c r="I17" i="154" s="1"/>
  <c r="K19" i="154"/>
  <c r="K17" i="154" s="1"/>
  <c r="N24" i="164"/>
  <c r="N22" i="164" s="1"/>
  <c r="N8" i="164" s="1"/>
  <c r="M9" i="151"/>
  <c r="M8" i="151" s="1"/>
  <c r="K24" i="164"/>
  <c r="K22" i="164" s="1"/>
  <c r="K8" i="164" s="1"/>
  <c r="L10" i="164"/>
  <c r="L22" i="164"/>
  <c r="L8" i="164" s="1"/>
  <c r="K22" i="165"/>
  <c r="K8" i="165" s="1"/>
  <c r="K10" i="165"/>
  <c r="K24" i="163"/>
  <c r="M9" i="150"/>
  <c r="M8" i="150" s="1"/>
  <c r="L10" i="163"/>
  <c r="L22" i="163"/>
  <c r="L8" i="163" s="1"/>
  <c r="L24" i="165"/>
  <c r="N9" i="162"/>
  <c r="N8" i="162" s="1"/>
  <c r="H13" i="123" l="1"/>
  <c r="F17" i="148"/>
  <c r="J19" i="154" s="1"/>
  <c r="J17" i="154" s="1"/>
  <c r="M24" i="164"/>
  <c r="M22" i="164" s="1"/>
  <c r="M8" i="164" s="1"/>
  <c r="N10" i="164"/>
  <c r="K10" i="164"/>
  <c r="L10" i="165"/>
  <c r="L22" i="165"/>
  <c r="L8" i="165" s="1"/>
  <c r="K22" i="163"/>
  <c r="K8" i="163" s="1"/>
  <c r="K10" i="163"/>
  <c r="F37" i="198"/>
  <c r="G37" i="198"/>
  <c r="H37" i="198"/>
  <c r="H104" i="175" l="1"/>
  <c r="H104" i="172"/>
  <c r="H104" i="176"/>
  <c r="H105" i="176"/>
  <c r="H104" i="179"/>
  <c r="M10" i="164"/>
  <c r="F8" i="147"/>
  <c r="F18" i="147" s="1"/>
  <c r="AB95" i="126"/>
  <c r="F8" i="149" l="1"/>
  <c r="F15" i="149" s="1"/>
  <c r="F15" i="147"/>
  <c r="I19" i="153" s="1"/>
  <c r="I17" i="153" s="1"/>
  <c r="K19" i="153"/>
  <c r="K17" i="153" s="1"/>
  <c r="N24" i="163"/>
  <c r="F18" i="149"/>
  <c r="G14" i="205"/>
  <c r="E14" i="205"/>
  <c r="C14" i="205"/>
  <c r="G20" i="204"/>
  <c r="G23" i="204" s="1"/>
  <c r="E20" i="204"/>
  <c r="E23" i="204" s="1"/>
  <c r="C12" i="204"/>
  <c r="C20" i="204" s="1"/>
  <c r="C23" i="204" s="1"/>
  <c r="F17" i="147" l="1"/>
  <c r="J19" i="153" s="1"/>
  <c r="J17" i="153" s="1"/>
  <c r="M24" i="163"/>
  <c r="M10" i="163" s="1"/>
  <c r="F17" i="149"/>
  <c r="J19" i="155" s="1"/>
  <c r="J17" i="155" s="1"/>
  <c r="I19" i="155"/>
  <c r="I17" i="155" s="1"/>
  <c r="M24" i="165"/>
  <c r="N24" i="165"/>
  <c r="K19" i="155"/>
  <c r="K17" i="155" s="1"/>
  <c r="N10" i="163"/>
  <c r="N22" i="163"/>
  <c r="N8" i="163" s="1"/>
  <c r="M22" i="163" l="1"/>
  <c r="M8" i="163" s="1"/>
  <c r="M10" i="165"/>
  <c r="M22" i="165"/>
  <c r="M8" i="165" s="1"/>
  <c r="N22" i="165"/>
  <c r="N8" i="165" s="1"/>
  <c r="N10" i="165"/>
  <c r="F29" i="198" l="1"/>
  <c r="H29" i="198"/>
  <c r="F32" i="198"/>
  <c r="H32" i="198"/>
  <c r="F21" i="198"/>
  <c r="H21" i="198"/>
  <c r="H20" i="198"/>
  <c r="F20" i="198"/>
  <c r="H17" i="198"/>
  <c r="H7" i="198"/>
  <c r="F7" i="198"/>
  <c r="H5" i="198"/>
  <c r="H4" i="198" s="1"/>
  <c r="F5" i="198"/>
  <c r="F4" i="198" s="1"/>
  <c r="E54" i="198"/>
  <c r="D54" i="198"/>
  <c r="E53" i="198"/>
  <c r="D53" i="198"/>
  <c r="E50" i="198"/>
  <c r="D50" i="198"/>
  <c r="E49" i="198"/>
  <c r="D49" i="198"/>
  <c r="K48" i="198"/>
  <c r="E47" i="198"/>
  <c r="D47" i="198"/>
  <c r="E46" i="198"/>
  <c r="D46" i="198"/>
  <c r="D45" i="198"/>
  <c r="E44" i="198"/>
  <c r="D44" i="198"/>
  <c r="E43" i="198"/>
  <c r="D43" i="198"/>
  <c r="D42" i="198"/>
  <c r="A36" i="198"/>
  <c r="A42" i="198" s="1"/>
  <c r="A43" i="198" s="1"/>
  <c r="A44" i="198" s="1"/>
  <c r="A45" i="198" s="1"/>
  <c r="A46" i="198" s="1"/>
  <c r="A47" i="198" s="1"/>
  <c r="A48" i="198" s="1"/>
  <c r="A49" i="198" s="1"/>
  <c r="A50" i="198" s="1"/>
  <c r="A51" i="198" s="1"/>
  <c r="A52" i="198" s="1"/>
  <c r="A53" i="198" s="1"/>
  <c r="A54" i="198" s="1"/>
  <c r="I35" i="198"/>
  <c r="G27" i="198"/>
  <c r="G19" i="198"/>
  <c r="I11" i="198"/>
  <c r="I10" i="198"/>
  <c r="I9" i="198"/>
  <c r="G9" i="198"/>
  <c r="D9" i="198"/>
  <c r="I8" i="198"/>
  <c r="G8" i="198"/>
  <c r="I7" i="198"/>
  <c r="I36" i="198" s="1"/>
  <c r="A7" i="198"/>
  <c r="A8" i="198" s="1"/>
  <c r="A9" i="198" s="1"/>
  <c r="A10" i="198" s="1"/>
  <c r="A11" i="198" s="1"/>
  <c r="A12" i="198" s="1"/>
  <c r="A13" i="198" s="1"/>
  <c r="A14" i="198" s="1"/>
  <c r="A15" i="198" s="1"/>
  <c r="A16" i="198" s="1"/>
  <c r="A17" i="198" s="1"/>
  <c r="A18" i="198" s="1"/>
  <c r="D8" i="198"/>
  <c r="I4" i="198"/>
  <c r="G4" i="198"/>
  <c r="F17" i="198"/>
  <c r="G36" i="198" l="1"/>
  <c r="G38" i="198" s="1"/>
  <c r="H4" i="185"/>
  <c r="F23" i="198" l="1"/>
  <c r="H23" i="198"/>
  <c r="G19" i="185"/>
  <c r="G19" i="186"/>
  <c r="H14" i="197" l="1"/>
  <c r="G14" i="197"/>
  <c r="E14" i="197"/>
  <c r="C14" i="197"/>
  <c r="G14" i="196"/>
  <c r="E14" i="196"/>
  <c r="C14" i="196"/>
  <c r="G14" i="195"/>
  <c r="E14" i="195"/>
  <c r="C14" i="195"/>
  <c r="G20" i="194" l="1"/>
  <c r="G23" i="194" s="1"/>
  <c r="E20" i="194"/>
  <c r="E23" i="194" s="1"/>
  <c r="C12" i="194"/>
  <c r="C20" i="194" s="1"/>
  <c r="C23" i="194" s="1"/>
  <c r="G20" i="193"/>
  <c r="G23" i="193" s="1"/>
  <c r="E20" i="193"/>
  <c r="E23" i="193" s="1"/>
  <c r="C12" i="193"/>
  <c r="C20" i="193" s="1"/>
  <c r="C23" i="193" s="1"/>
  <c r="G20" i="192"/>
  <c r="G23" i="192" s="1"/>
  <c r="E20" i="192"/>
  <c r="E23" i="192" s="1"/>
  <c r="C12" i="192"/>
  <c r="C20" i="192" s="1"/>
  <c r="C23" i="192" s="1"/>
  <c r="D20" i="193" l="1"/>
  <c r="D23" i="193" s="1"/>
  <c r="I12" i="191"/>
  <c r="I21" i="191" s="1"/>
  <c r="H12" i="191" l="1"/>
  <c r="H21" i="191" s="1"/>
  <c r="C24" i="189" l="1"/>
  <c r="C13" i="189"/>
  <c r="C24" i="188"/>
  <c r="C13" i="188"/>
  <c r="C35" i="188" s="1"/>
  <c r="C24" i="187"/>
  <c r="C13" i="187"/>
  <c r="C35" i="187" s="1"/>
  <c r="C35" i="189" l="1"/>
  <c r="E6" i="186" l="1"/>
  <c r="E8" i="186" s="1"/>
  <c r="D8" i="186"/>
  <c r="E54" i="186"/>
  <c r="D54" i="186"/>
  <c r="E53" i="186"/>
  <c r="D53" i="186"/>
  <c r="E50" i="186"/>
  <c r="D50" i="186"/>
  <c r="E49" i="186"/>
  <c r="D49" i="186"/>
  <c r="K48" i="186"/>
  <c r="E47" i="186"/>
  <c r="D47" i="186"/>
  <c r="E46" i="186"/>
  <c r="D46" i="186"/>
  <c r="D45" i="186"/>
  <c r="E44" i="186"/>
  <c r="D44" i="186"/>
  <c r="E43" i="186"/>
  <c r="D43" i="186"/>
  <c r="D42" i="186"/>
  <c r="A36" i="186"/>
  <c r="A42" i="186" s="1"/>
  <c r="A43" i="186" s="1"/>
  <c r="A44" i="186" s="1"/>
  <c r="A45" i="186" s="1"/>
  <c r="A46" i="186" s="1"/>
  <c r="A47" i="186" s="1"/>
  <c r="A48" i="186" s="1"/>
  <c r="A49" i="186" s="1"/>
  <c r="A50" i="186" s="1"/>
  <c r="A51" i="186" s="1"/>
  <c r="A52" i="186" s="1"/>
  <c r="A53" i="186" s="1"/>
  <c r="A54" i="186" s="1"/>
  <c r="I35" i="186"/>
  <c r="I11" i="186"/>
  <c r="I10" i="186"/>
  <c r="I9" i="186"/>
  <c r="G9" i="186"/>
  <c r="E9" i="186"/>
  <c r="D9" i="186"/>
  <c r="I8" i="186"/>
  <c r="G8" i="186"/>
  <c r="I7" i="186"/>
  <c r="A7" i="186"/>
  <c r="A8" i="186" s="1"/>
  <c r="A9" i="186" s="1"/>
  <c r="A10" i="186" s="1"/>
  <c r="A11" i="186" s="1"/>
  <c r="A12" i="186" s="1"/>
  <c r="A13" i="186" s="1"/>
  <c r="A14" i="186" s="1"/>
  <c r="A15" i="186" s="1"/>
  <c r="A16" i="186" s="1"/>
  <c r="A17" i="186" s="1"/>
  <c r="A18" i="186" s="1"/>
  <c r="I4" i="186"/>
  <c r="H4" i="186"/>
  <c r="G4" i="186"/>
  <c r="F4" i="186"/>
  <c r="I36" i="186" l="1"/>
  <c r="F4" i="185" l="1"/>
  <c r="G4" i="185"/>
  <c r="E6" i="185"/>
  <c r="E8" i="185" s="1"/>
  <c r="E54" i="185"/>
  <c r="D54" i="185"/>
  <c r="E53" i="185"/>
  <c r="D53" i="185"/>
  <c r="E50" i="185"/>
  <c r="D50" i="185"/>
  <c r="E49" i="185"/>
  <c r="D49" i="185"/>
  <c r="K48" i="185"/>
  <c r="E47" i="185"/>
  <c r="D47" i="185"/>
  <c r="E46" i="185"/>
  <c r="D46" i="185"/>
  <c r="D45" i="185"/>
  <c r="E44" i="185"/>
  <c r="D44" i="185"/>
  <c r="E43" i="185"/>
  <c r="D43" i="185"/>
  <c r="D42" i="185"/>
  <c r="A36" i="185"/>
  <c r="A42" i="185" s="1"/>
  <c r="A43" i="185" s="1"/>
  <c r="A44" i="185" s="1"/>
  <c r="A45" i="185" s="1"/>
  <c r="A46" i="185" s="1"/>
  <c r="A47" i="185" s="1"/>
  <c r="A48" i="185" s="1"/>
  <c r="A49" i="185" s="1"/>
  <c r="A50" i="185" s="1"/>
  <c r="A51" i="185" s="1"/>
  <c r="A52" i="185" s="1"/>
  <c r="A53" i="185" s="1"/>
  <c r="A54" i="185" s="1"/>
  <c r="I35" i="185"/>
  <c r="G35" i="185"/>
  <c r="G27" i="185" s="1"/>
  <c r="I11" i="185"/>
  <c r="I10" i="185"/>
  <c r="I9" i="185"/>
  <c r="G9" i="185"/>
  <c r="E9" i="185"/>
  <c r="D9" i="185"/>
  <c r="I8" i="185"/>
  <c r="G8" i="185"/>
  <c r="I7" i="185"/>
  <c r="A7" i="185"/>
  <c r="A8" i="185" s="1"/>
  <c r="A9" i="185" s="1"/>
  <c r="A10" i="185" s="1"/>
  <c r="A11" i="185" s="1"/>
  <c r="A12" i="185" s="1"/>
  <c r="A13" i="185" s="1"/>
  <c r="A14" i="185" s="1"/>
  <c r="A15" i="185" s="1"/>
  <c r="A16" i="185" s="1"/>
  <c r="A17" i="185" s="1"/>
  <c r="A18" i="185" s="1"/>
  <c r="I4" i="185"/>
  <c r="G36" i="185" l="1"/>
  <c r="G38" i="185" s="1"/>
  <c r="I36" i="185"/>
  <c r="D8" i="185"/>
  <c r="D41" i="30" l="1"/>
  <c r="G28" i="73" l="1"/>
  <c r="D96" i="81" l="1"/>
  <c r="C102" i="81"/>
  <c r="E102" i="171" l="1"/>
  <c r="E102" i="8" s="1"/>
  <c r="E102" i="28"/>
  <c r="E100" i="85"/>
  <c r="E102" i="177" l="1"/>
  <c r="E102" i="82" s="1"/>
  <c r="E102" i="81" s="1"/>
  <c r="D100" i="86" l="1"/>
  <c r="D100" i="85" s="1"/>
  <c r="D82" i="30" l="1"/>
  <c r="D82" i="29"/>
  <c r="D82" i="28"/>
  <c r="D81" i="30" l="1"/>
  <c r="G21" i="157" l="1"/>
  <c r="F21" i="157"/>
  <c r="H67" i="184"/>
  <c r="I67" i="184" s="1"/>
  <c r="J67" i="184" s="1"/>
  <c r="D67" i="184"/>
  <c r="I58" i="184"/>
  <c r="J58" i="184" s="1"/>
  <c r="E58" i="184"/>
  <c r="F58" i="184" s="1"/>
  <c r="I45" i="184"/>
  <c r="J45" i="184" s="1"/>
  <c r="I44" i="184"/>
  <c r="J44" i="184" s="1"/>
  <c r="I43" i="184"/>
  <c r="J43" i="184" s="1"/>
  <c r="H47" i="184"/>
  <c r="H49" i="184" s="1"/>
  <c r="H51" i="184" s="1"/>
  <c r="I34" i="184"/>
  <c r="J34" i="184" s="1"/>
  <c r="E34" i="184"/>
  <c r="F34" i="184" s="1"/>
  <c r="D47" i="184"/>
  <c r="D51" i="184" s="1"/>
  <c r="E45" i="184"/>
  <c r="F45" i="184" s="1"/>
  <c r="E44" i="184"/>
  <c r="F44" i="184" s="1"/>
  <c r="E43" i="184"/>
  <c r="F43" i="184" s="1"/>
  <c r="E42" i="184"/>
  <c r="F42" i="184" s="1"/>
  <c r="C25" i="184"/>
  <c r="D25" i="184" s="1"/>
  <c r="G28" i="184"/>
  <c r="H28" i="184" s="1"/>
  <c r="C28" i="184"/>
  <c r="D28" i="184" s="1"/>
  <c r="G25" i="184"/>
  <c r="H25" i="184" s="1"/>
  <c r="I22" i="184"/>
  <c r="F22" i="184"/>
  <c r="H20" i="184"/>
  <c r="J20" i="184" s="1"/>
  <c r="D20" i="184"/>
  <c r="E20" i="184" s="1"/>
  <c r="I18" i="184"/>
  <c r="J22" i="184"/>
  <c r="F18" i="184"/>
  <c r="E22" i="184"/>
  <c r="G8" i="156"/>
  <c r="F21" i="156"/>
  <c r="E67" i="184" l="1"/>
  <c r="F67" i="184" s="1"/>
  <c r="E47" i="184"/>
  <c r="E49" i="184" s="1"/>
  <c r="E51" i="184" s="1"/>
  <c r="F47" i="184"/>
  <c r="F49" i="184" s="1"/>
  <c r="F51" i="184" s="1"/>
  <c r="I47" i="184"/>
  <c r="I49" i="184" s="1"/>
  <c r="I51" i="184" s="1"/>
  <c r="J47" i="184"/>
  <c r="J49" i="184" s="1"/>
  <c r="J51" i="184" s="1"/>
  <c r="F20" i="184"/>
  <c r="F21" i="184" s="1"/>
  <c r="E21" i="184"/>
  <c r="D22" i="184"/>
  <c r="J21" i="184"/>
  <c r="H22" i="184"/>
  <c r="F28" i="184"/>
  <c r="F27" i="184" s="1"/>
  <c r="E28" i="184"/>
  <c r="F25" i="184"/>
  <c r="F26" i="184" s="1"/>
  <c r="E25" i="184"/>
  <c r="I28" i="184"/>
  <c r="I27" i="184" s="1"/>
  <c r="J28" i="184"/>
  <c r="J25" i="184"/>
  <c r="I25" i="184"/>
  <c r="I26" i="184" s="1"/>
  <c r="E18" i="184"/>
  <c r="D18" i="184" s="1"/>
  <c r="J18" i="184"/>
  <c r="H18" i="184" s="1"/>
  <c r="I20" i="184"/>
  <c r="F24" i="184" l="1"/>
  <c r="F19" i="184" s="1"/>
  <c r="E26" i="184"/>
  <c r="D26" i="184" s="1"/>
  <c r="I21" i="184"/>
  <c r="I24" i="184"/>
  <c r="D21" i="184"/>
  <c r="E27" i="184"/>
  <c r="J26" i="184"/>
  <c r="J24" i="184" s="1"/>
  <c r="J19" i="184" s="1"/>
  <c r="J27" i="184"/>
  <c r="H27" i="184" s="1"/>
  <c r="D27" i="184" l="1"/>
  <c r="E24" i="184"/>
  <c r="H21" i="184"/>
  <c r="I19" i="184"/>
  <c r="H26" i="184"/>
  <c r="H24" i="184"/>
  <c r="K27" i="184" l="1"/>
  <c r="H19" i="184"/>
  <c r="D24" i="184"/>
  <c r="E19" i="184"/>
  <c r="D19" i="184" l="1"/>
  <c r="M24" i="214" l="1"/>
  <c r="M25" i="214" s="1"/>
  <c r="M26" i="214" s="1"/>
  <c r="K19" i="184"/>
  <c r="L24" i="214" l="1"/>
  <c r="L25" i="214" s="1"/>
  <c r="L26" i="214" s="1"/>
  <c r="N24" i="214" l="1"/>
  <c r="N25" i="214" s="1"/>
  <c r="N26" i="214" s="1"/>
  <c r="G55" i="174"/>
  <c r="D55" i="174"/>
  <c r="C55" i="174"/>
  <c r="C25" i="86"/>
  <c r="D8" i="87" l="1"/>
  <c r="D8" i="86"/>
  <c r="D8" i="29"/>
  <c r="E8" i="179" l="1"/>
  <c r="C8" i="86"/>
  <c r="D140" i="183" l="1"/>
  <c r="D134" i="183"/>
  <c r="D125" i="183" s="1"/>
  <c r="D117" i="183"/>
  <c r="D107" i="183"/>
  <c r="D101" i="183"/>
  <c r="D100" i="183" s="1"/>
  <c r="D94" i="183"/>
  <c r="D86" i="183"/>
  <c r="D80" i="183"/>
  <c r="D73" i="183"/>
  <c r="D65" i="183"/>
  <c r="D59" i="183"/>
  <c r="D52" i="183"/>
  <c r="D44" i="183"/>
  <c r="D38" i="183"/>
  <c r="D37" i="183" s="1"/>
  <c r="D31" i="183"/>
  <c r="A2" i="183"/>
  <c r="A2" i="70" s="1"/>
  <c r="A110" i="110" l="1"/>
  <c r="A74" i="110"/>
  <c r="A38" i="110"/>
  <c r="D150" i="183"/>
  <c r="D58" i="183"/>
  <c r="D51" i="183" s="1"/>
  <c r="D79" i="183"/>
  <c r="D72" i="183" s="1"/>
  <c r="D93" i="183"/>
  <c r="D30" i="183"/>
  <c r="A2" i="110"/>
  <c r="A2" i="120"/>
  <c r="A2" i="85"/>
  <c r="A232" i="112" l="1"/>
  <c r="A178" i="112"/>
  <c r="A56" i="112"/>
  <c r="D9" i="183"/>
  <c r="I12" i="202"/>
  <c r="I21" i="202" s="1"/>
  <c r="H12" i="202"/>
  <c r="H21" i="202" s="1"/>
  <c r="P7" i="30" l="1"/>
  <c r="AB3" i="174" s="1"/>
  <c r="P7" i="28"/>
  <c r="P7" i="29"/>
  <c r="R7" i="88"/>
  <c r="R7" i="86"/>
  <c r="R7" i="87"/>
  <c r="O7" i="30"/>
  <c r="AA3" i="174" s="1"/>
  <c r="O7" i="28"/>
  <c r="O7" i="29"/>
  <c r="Q7" i="87"/>
  <c r="Q7" i="88"/>
  <c r="Q7" i="86"/>
  <c r="I12" i="190"/>
  <c r="I21" i="190" s="1"/>
  <c r="H12" i="190"/>
  <c r="H21" i="190" s="1"/>
  <c r="C52" i="178"/>
  <c r="D52" i="178"/>
  <c r="E52" i="178"/>
  <c r="C52" i="173"/>
  <c r="D52" i="173"/>
  <c r="E52" i="173"/>
  <c r="C52" i="176"/>
  <c r="C52" i="179" s="1"/>
  <c r="E52" i="176"/>
  <c r="D52" i="175"/>
  <c r="C52" i="172"/>
  <c r="D52" i="172"/>
  <c r="E52" i="172"/>
  <c r="C52" i="171"/>
  <c r="D52" i="171"/>
  <c r="C52" i="174"/>
  <c r="D52" i="174"/>
  <c r="G52" i="174"/>
  <c r="T22" i="174" l="1"/>
  <c r="T7" i="174" s="1"/>
  <c r="T91" i="174" s="1"/>
  <c r="T93" i="174" s="1"/>
  <c r="Z22" i="174"/>
  <c r="Z7" i="174" s="1"/>
  <c r="Z91" i="174" s="1"/>
  <c r="Z93" i="174" s="1"/>
  <c r="N22" i="174"/>
  <c r="E52" i="177"/>
  <c r="C52" i="177"/>
  <c r="E52" i="179"/>
  <c r="D52" i="176"/>
  <c r="D52" i="177" s="1"/>
  <c r="H22" i="174" l="1"/>
  <c r="H7" i="174" s="1"/>
  <c r="H91" i="174" s="1"/>
  <c r="H93" i="174" s="1"/>
  <c r="N7" i="174"/>
  <c r="N91" i="174" s="1"/>
  <c r="N93" i="174" s="1"/>
  <c r="N105" i="176"/>
  <c r="N104" i="172"/>
  <c r="D52" i="179"/>
  <c r="D74" i="30"/>
  <c r="D74" i="88" l="1"/>
  <c r="D74" i="87"/>
  <c r="D74" i="86"/>
  <c r="D74" i="29"/>
  <c r="D74" i="28"/>
  <c r="D16" i="127" l="1"/>
  <c r="F16" i="127"/>
  <c r="G16" i="127"/>
  <c r="I16" i="127"/>
  <c r="J16" i="127"/>
  <c r="C16" i="127"/>
  <c r="K17" i="127"/>
  <c r="K16" i="127" s="1"/>
  <c r="H17" i="127"/>
  <c r="H16" i="127" s="1"/>
  <c r="E17" i="127"/>
  <c r="E16" i="127" s="1"/>
  <c r="C42" i="8" l="1"/>
  <c r="E42" i="8"/>
  <c r="D53" i="94" l="1"/>
  <c r="E53" i="94"/>
  <c r="E34" i="95"/>
  <c r="E34" i="96"/>
  <c r="D53" i="95"/>
  <c r="E53" i="95"/>
  <c r="D53" i="96"/>
  <c r="E53" i="96"/>
  <c r="F53" i="96"/>
  <c r="D53" i="97"/>
  <c r="E53" i="97"/>
  <c r="D50" i="169"/>
  <c r="E50" i="169"/>
  <c r="F50" i="169"/>
  <c r="D51" i="169"/>
  <c r="E51" i="169"/>
  <c r="F51" i="169"/>
  <c r="D52" i="169"/>
  <c r="E52" i="169"/>
  <c r="F52" i="169"/>
  <c r="D53" i="169"/>
  <c r="E53" i="169"/>
  <c r="F53" i="169"/>
  <c r="F49" i="169"/>
  <c r="E49" i="169"/>
  <c r="D49" i="169"/>
  <c r="D47" i="169"/>
  <c r="E47" i="169"/>
  <c r="F47" i="169"/>
  <c r="E48" i="100"/>
  <c r="F48" i="100"/>
  <c r="D48" i="100"/>
  <c r="E22" i="100"/>
  <c r="E18" i="100"/>
  <c r="E13" i="100"/>
  <c r="E10" i="100"/>
  <c r="E48" i="99"/>
  <c r="F48" i="99"/>
  <c r="D48" i="99"/>
  <c r="E22" i="99"/>
  <c r="E18" i="99"/>
  <c r="E13" i="99"/>
  <c r="E10" i="99"/>
  <c r="E48" i="98"/>
  <c r="D48" i="98"/>
  <c r="E22" i="98"/>
  <c r="E18" i="98"/>
  <c r="E13" i="98"/>
  <c r="E10" i="98"/>
  <c r="D53" i="59"/>
  <c r="E53" i="59"/>
  <c r="D50" i="168"/>
  <c r="E50" i="168"/>
  <c r="F50" i="168"/>
  <c r="D51" i="168"/>
  <c r="E51" i="168"/>
  <c r="F51" i="168"/>
  <c r="D52" i="168"/>
  <c r="E52" i="168"/>
  <c r="F52" i="168"/>
  <c r="D53" i="168"/>
  <c r="E53" i="168"/>
  <c r="F53" i="168"/>
  <c r="F49" i="168"/>
  <c r="E49" i="168"/>
  <c r="D49" i="168"/>
  <c r="D47" i="168"/>
  <c r="E47" i="168"/>
  <c r="F47" i="168"/>
  <c r="E48" i="61"/>
  <c r="E48" i="62"/>
  <c r="F48" i="62"/>
  <c r="D48" i="62"/>
  <c r="E22" i="62"/>
  <c r="E18" i="62"/>
  <c r="E13" i="62"/>
  <c r="E10" i="62"/>
  <c r="F48" i="61"/>
  <c r="D48" i="61"/>
  <c r="E22" i="61"/>
  <c r="E18" i="61"/>
  <c r="E13" i="61"/>
  <c r="E10" i="61"/>
  <c r="E48" i="60"/>
  <c r="D48" i="60"/>
  <c r="E22" i="60"/>
  <c r="E18" i="60"/>
  <c r="E13" i="60"/>
  <c r="E10" i="60"/>
  <c r="E53" i="167" l="1"/>
  <c r="E53" i="93"/>
  <c r="D48" i="169"/>
  <c r="E48" i="169"/>
  <c r="F48" i="169"/>
  <c r="D53" i="167"/>
  <c r="D53" i="93"/>
  <c r="F48" i="168"/>
  <c r="D48" i="168"/>
  <c r="E25" i="100"/>
  <c r="E31" i="100" s="1"/>
  <c r="E25" i="99"/>
  <c r="E31" i="99" s="1"/>
  <c r="E25" i="98"/>
  <c r="E31" i="98" s="1"/>
  <c r="E48" i="168"/>
  <c r="E25" i="62"/>
  <c r="E31" i="62" s="1"/>
  <c r="E25" i="61"/>
  <c r="E28" i="61" s="1"/>
  <c r="E28" i="62" l="1"/>
  <c r="E43" i="62" s="1"/>
  <c r="E44" i="62" s="1"/>
  <c r="E28" i="100"/>
  <c r="E28" i="99"/>
  <c r="E43" i="99" s="1"/>
  <c r="E44" i="99" s="1"/>
  <c r="E28" i="98"/>
  <c r="E31" i="61"/>
  <c r="E45" i="99" l="1"/>
  <c r="E55" i="99"/>
  <c r="E45" i="62"/>
  <c r="E55" i="62"/>
  <c r="E43" i="61"/>
  <c r="E43" i="100"/>
  <c r="E44" i="100" s="1"/>
  <c r="E43" i="98"/>
  <c r="E44" i="98" s="1"/>
  <c r="E44" i="61"/>
  <c r="E55" i="61" l="1"/>
  <c r="E45" i="61"/>
  <c r="E45" i="98"/>
  <c r="E55" i="98"/>
  <c r="E55" i="100"/>
  <c r="E55" i="169" s="1"/>
  <c r="E45" i="100"/>
  <c r="E45" i="96" s="1"/>
  <c r="E45" i="169"/>
  <c r="E55" i="96" l="1"/>
  <c r="E45" i="95"/>
  <c r="E45" i="167" s="1"/>
  <c r="E45" i="168"/>
  <c r="E45" i="97"/>
  <c r="E55" i="95"/>
  <c r="E55" i="167" s="1"/>
  <c r="E55" i="168"/>
  <c r="E98" i="102" l="1"/>
  <c r="E100" i="102"/>
  <c r="E102" i="102"/>
  <c r="E103" i="102"/>
  <c r="E104" i="102"/>
  <c r="E107" i="102"/>
  <c r="E108" i="102"/>
  <c r="E110" i="102"/>
  <c r="E68" i="102"/>
  <c r="E70" i="102"/>
  <c r="E72" i="102"/>
  <c r="E73" i="102"/>
  <c r="E74" i="102"/>
  <c r="E77" i="102"/>
  <c r="E78" i="102"/>
  <c r="E79" i="102"/>
  <c r="E80" i="102"/>
  <c r="E53" i="102"/>
  <c r="E54" i="102"/>
  <c r="E55" i="102"/>
  <c r="E57" i="102"/>
  <c r="E58" i="102"/>
  <c r="E59" i="102"/>
  <c r="E62" i="102"/>
  <c r="E63" i="102"/>
  <c r="E65" i="102"/>
  <c r="E38" i="102"/>
  <c r="E39" i="102"/>
  <c r="E40" i="102"/>
  <c r="E42" i="102"/>
  <c r="E43" i="102"/>
  <c r="E44" i="102"/>
  <c r="E45" i="102"/>
  <c r="E47" i="102"/>
  <c r="E48" i="102"/>
  <c r="E50" i="102"/>
  <c r="E23" i="102"/>
  <c r="E24" i="102"/>
  <c r="E25" i="102"/>
  <c r="E26" i="102"/>
  <c r="E27" i="102"/>
  <c r="E28" i="102"/>
  <c r="E29" i="102"/>
  <c r="E30" i="102"/>
  <c r="E31" i="102"/>
  <c r="E32" i="102"/>
  <c r="E33" i="102"/>
  <c r="E34" i="102"/>
  <c r="E35" i="102"/>
  <c r="E8" i="102"/>
  <c r="E9" i="102"/>
  <c r="E10" i="102"/>
  <c r="E12" i="102"/>
  <c r="E13" i="102"/>
  <c r="E14" i="102"/>
  <c r="E17" i="102"/>
  <c r="E18" i="102"/>
  <c r="E20" i="102"/>
  <c r="E98" i="103"/>
  <c r="E100" i="103"/>
  <c r="E102" i="103"/>
  <c r="E103" i="103"/>
  <c r="E104" i="103"/>
  <c r="E105" i="103"/>
  <c r="E106" i="103"/>
  <c r="E107" i="103"/>
  <c r="E108" i="103"/>
  <c r="E109" i="103"/>
  <c r="E110" i="103"/>
  <c r="E68" i="103"/>
  <c r="E69" i="103"/>
  <c r="E70" i="103"/>
  <c r="E72" i="103"/>
  <c r="E73" i="103"/>
  <c r="E74" i="103"/>
  <c r="E89" i="103" s="1"/>
  <c r="E75" i="103"/>
  <c r="E76" i="103"/>
  <c r="E77" i="103"/>
  <c r="E78" i="103"/>
  <c r="E79" i="103"/>
  <c r="E80" i="103"/>
  <c r="E53" i="103"/>
  <c r="E54" i="103"/>
  <c r="E55" i="103"/>
  <c r="E57" i="103"/>
  <c r="E58" i="103"/>
  <c r="E59" i="103"/>
  <c r="E60" i="103"/>
  <c r="E61" i="103"/>
  <c r="E62" i="103"/>
  <c r="E63" i="103"/>
  <c r="E64" i="103"/>
  <c r="E65" i="103"/>
  <c r="E38" i="103"/>
  <c r="E39" i="103"/>
  <c r="E40" i="103"/>
  <c r="E42" i="103"/>
  <c r="E43" i="103"/>
  <c r="E44" i="103"/>
  <c r="E45" i="103"/>
  <c r="E46" i="103"/>
  <c r="E47" i="103"/>
  <c r="E48" i="103"/>
  <c r="E49" i="103"/>
  <c r="E50" i="103"/>
  <c r="E23" i="103"/>
  <c r="E24" i="103"/>
  <c r="E25" i="103"/>
  <c r="E26" i="103"/>
  <c r="E27" i="103"/>
  <c r="E28" i="103"/>
  <c r="E29" i="103"/>
  <c r="E30" i="103"/>
  <c r="E31" i="103"/>
  <c r="E32" i="103"/>
  <c r="E33" i="103"/>
  <c r="E34" i="103"/>
  <c r="E35" i="103"/>
  <c r="E8" i="103"/>
  <c r="E9" i="103"/>
  <c r="E10" i="103"/>
  <c r="E12" i="103"/>
  <c r="E13" i="103"/>
  <c r="E14" i="103"/>
  <c r="E15" i="103"/>
  <c r="E16" i="103"/>
  <c r="E17" i="103"/>
  <c r="E18" i="103"/>
  <c r="E19" i="103"/>
  <c r="E20" i="103"/>
  <c r="E98" i="104"/>
  <c r="E99" i="104"/>
  <c r="E100" i="104"/>
  <c r="E102" i="104"/>
  <c r="E103" i="104"/>
  <c r="E104" i="104"/>
  <c r="E105" i="104"/>
  <c r="E106" i="104"/>
  <c r="E107" i="104"/>
  <c r="E108" i="104"/>
  <c r="E109" i="104"/>
  <c r="E110" i="104"/>
  <c r="E98" i="105"/>
  <c r="E100" i="105"/>
  <c r="E102" i="105"/>
  <c r="E103" i="105"/>
  <c r="E104" i="105"/>
  <c r="E107" i="105"/>
  <c r="E108" i="105"/>
  <c r="E110" i="105"/>
  <c r="E68" i="105"/>
  <c r="E70" i="105"/>
  <c r="E72" i="105"/>
  <c r="E73" i="105"/>
  <c r="E74" i="105"/>
  <c r="E77" i="105"/>
  <c r="E78" i="105"/>
  <c r="E79" i="105"/>
  <c r="E80" i="105"/>
  <c r="E53" i="105"/>
  <c r="E54" i="105"/>
  <c r="E55" i="105"/>
  <c r="E57" i="105"/>
  <c r="E58" i="105"/>
  <c r="E59" i="105"/>
  <c r="E62" i="105"/>
  <c r="E63" i="105"/>
  <c r="E65" i="105"/>
  <c r="E38" i="105"/>
  <c r="E39" i="105"/>
  <c r="E40" i="105"/>
  <c r="E42" i="105"/>
  <c r="E43" i="105"/>
  <c r="E44" i="105"/>
  <c r="E45" i="105"/>
  <c r="E47" i="105"/>
  <c r="E48" i="105"/>
  <c r="E50" i="105"/>
  <c r="E23" i="105"/>
  <c r="E24" i="105"/>
  <c r="E25" i="105"/>
  <c r="E26" i="105"/>
  <c r="E27" i="105"/>
  <c r="E28" i="105"/>
  <c r="E29" i="105"/>
  <c r="E30" i="105"/>
  <c r="E31" i="105"/>
  <c r="E32" i="105"/>
  <c r="E33" i="105"/>
  <c r="E34" i="105"/>
  <c r="E35" i="105"/>
  <c r="E8" i="105"/>
  <c r="E9" i="105"/>
  <c r="E10" i="105"/>
  <c r="E12" i="105"/>
  <c r="E13" i="105"/>
  <c r="E14" i="105"/>
  <c r="E17" i="105"/>
  <c r="E18" i="105"/>
  <c r="E20" i="105"/>
  <c r="E98" i="181"/>
  <c r="E99" i="181"/>
  <c r="E100" i="181"/>
  <c r="E102" i="181"/>
  <c r="E103" i="181"/>
  <c r="E104" i="181"/>
  <c r="E105" i="181"/>
  <c r="E106" i="181"/>
  <c r="E107" i="181"/>
  <c r="E108" i="181"/>
  <c r="E109" i="181"/>
  <c r="E110" i="181"/>
  <c r="E68" i="181"/>
  <c r="E69" i="181"/>
  <c r="E70" i="181"/>
  <c r="E72" i="181"/>
  <c r="E73" i="181"/>
  <c r="E74" i="181"/>
  <c r="E75" i="181"/>
  <c r="E90" i="181" s="1"/>
  <c r="E76" i="181"/>
  <c r="E77" i="181"/>
  <c r="E78" i="181"/>
  <c r="E79" i="181"/>
  <c r="E80" i="181"/>
  <c r="E53" i="181"/>
  <c r="E54" i="181"/>
  <c r="E55" i="181"/>
  <c r="E57" i="181"/>
  <c r="E58" i="181"/>
  <c r="E59" i="181"/>
  <c r="E60" i="181"/>
  <c r="E61" i="181"/>
  <c r="E62" i="181"/>
  <c r="E63" i="181"/>
  <c r="E64" i="181"/>
  <c r="E65" i="181"/>
  <c r="E38" i="181"/>
  <c r="E39" i="181"/>
  <c r="E40" i="181"/>
  <c r="E42" i="181"/>
  <c r="E43" i="181"/>
  <c r="E44" i="181"/>
  <c r="E45" i="181"/>
  <c r="E46" i="181"/>
  <c r="E47" i="181"/>
  <c r="E48" i="181"/>
  <c r="E49" i="181"/>
  <c r="E50" i="181"/>
  <c r="E23" i="181"/>
  <c r="E24" i="181"/>
  <c r="E25" i="181"/>
  <c r="E26" i="181"/>
  <c r="E27" i="181"/>
  <c r="E28" i="181"/>
  <c r="E29" i="181"/>
  <c r="E30" i="181"/>
  <c r="E31" i="181"/>
  <c r="E32" i="181"/>
  <c r="E33" i="181"/>
  <c r="E34" i="181"/>
  <c r="E35" i="181"/>
  <c r="E8" i="181"/>
  <c r="E9" i="181"/>
  <c r="E10" i="181"/>
  <c r="E12" i="181"/>
  <c r="E13" i="181"/>
  <c r="E14" i="181"/>
  <c r="E15" i="181"/>
  <c r="E16" i="181"/>
  <c r="E17" i="181"/>
  <c r="E18" i="181"/>
  <c r="E19" i="181"/>
  <c r="E20" i="181"/>
  <c r="E101" i="108"/>
  <c r="E97" i="108"/>
  <c r="E98" i="180"/>
  <c r="E100" i="180"/>
  <c r="E102" i="180"/>
  <c r="E103" i="180"/>
  <c r="E104" i="180"/>
  <c r="E105" i="180"/>
  <c r="E106" i="180"/>
  <c r="E107" i="180"/>
  <c r="E108" i="180"/>
  <c r="E109" i="180"/>
  <c r="E110" i="180"/>
  <c r="E68" i="180"/>
  <c r="E68" i="182" s="1"/>
  <c r="E68" i="101" s="1"/>
  <c r="E69" i="180"/>
  <c r="E69" i="182" s="1"/>
  <c r="E70" i="180"/>
  <c r="E72" i="180"/>
  <c r="E73" i="180"/>
  <c r="E74" i="180"/>
  <c r="E74" i="182" s="1"/>
  <c r="E75" i="180"/>
  <c r="E76" i="180"/>
  <c r="E77" i="180"/>
  <c r="E77" i="182" s="1"/>
  <c r="E78" i="180"/>
  <c r="E78" i="182" s="1"/>
  <c r="E79" i="180"/>
  <c r="E80" i="180"/>
  <c r="E53" i="180"/>
  <c r="E53" i="182" s="1"/>
  <c r="E54" i="180"/>
  <c r="E54" i="182" s="1"/>
  <c r="E55" i="180"/>
  <c r="E56" i="180"/>
  <c r="E57" i="180"/>
  <c r="E58" i="180"/>
  <c r="E58" i="182" s="1"/>
  <c r="E59" i="180"/>
  <c r="E60" i="180"/>
  <c r="E61" i="180"/>
  <c r="E62" i="180"/>
  <c r="E62" i="182" s="1"/>
  <c r="E63" i="180"/>
  <c r="E64" i="180"/>
  <c r="E65" i="180"/>
  <c r="E38" i="180"/>
  <c r="E38" i="182" s="1"/>
  <c r="E39" i="180"/>
  <c r="E40" i="180"/>
  <c r="E42" i="180"/>
  <c r="E43" i="180"/>
  <c r="E43" i="182" s="1"/>
  <c r="E44" i="180"/>
  <c r="E45" i="180"/>
  <c r="E46" i="180"/>
  <c r="E47" i="180"/>
  <c r="E47" i="182" s="1"/>
  <c r="E47" i="101" s="1"/>
  <c r="E48" i="180"/>
  <c r="E49" i="180"/>
  <c r="E50" i="180"/>
  <c r="E24" i="180"/>
  <c r="E24" i="182" s="1"/>
  <c r="E24" i="101" s="1"/>
  <c r="E25" i="180"/>
  <c r="E26" i="180"/>
  <c r="E27" i="180"/>
  <c r="E27" i="182" s="1"/>
  <c r="E28" i="180"/>
  <c r="E28" i="182" s="1"/>
  <c r="E29" i="180"/>
  <c r="E30" i="180"/>
  <c r="E31" i="180"/>
  <c r="E31" i="182" s="1"/>
  <c r="E32" i="180"/>
  <c r="E32" i="182" s="1"/>
  <c r="E32" i="101" s="1"/>
  <c r="E33" i="180"/>
  <c r="E34" i="180"/>
  <c r="E35" i="180"/>
  <c r="E35" i="182" s="1"/>
  <c r="E23" i="180"/>
  <c r="E23" i="182" s="1"/>
  <c r="E8" i="180"/>
  <c r="E9" i="180"/>
  <c r="E9" i="182" s="1"/>
  <c r="E10" i="180"/>
  <c r="E12" i="180"/>
  <c r="E13" i="180"/>
  <c r="E14" i="180"/>
  <c r="E14" i="182" s="1"/>
  <c r="E15" i="180"/>
  <c r="E16" i="180"/>
  <c r="E17" i="180"/>
  <c r="E18" i="180"/>
  <c r="E18" i="182" s="1"/>
  <c r="E19" i="180"/>
  <c r="E20" i="180"/>
  <c r="E92" i="181" l="1"/>
  <c r="E50" i="182"/>
  <c r="E50" i="101" s="1"/>
  <c r="E46" i="182"/>
  <c r="E42" i="182"/>
  <c r="E42" i="101" s="1"/>
  <c r="E61" i="182"/>
  <c r="E34" i="182"/>
  <c r="E34" i="101" s="1"/>
  <c r="E30" i="182"/>
  <c r="E30" i="101" s="1"/>
  <c r="E26" i="182"/>
  <c r="E26" i="101" s="1"/>
  <c r="E94" i="180"/>
  <c r="E17" i="182"/>
  <c r="E17" i="101" s="1"/>
  <c r="E13" i="182"/>
  <c r="E13" i="101" s="1"/>
  <c r="E8" i="182"/>
  <c r="E8" i="101" s="1"/>
  <c r="E98" i="182"/>
  <c r="E83" i="182" s="1"/>
  <c r="E60" i="182"/>
  <c r="E76" i="182"/>
  <c r="E94" i="103"/>
  <c r="E88" i="102"/>
  <c r="E100" i="182"/>
  <c r="E100" i="101" s="1"/>
  <c r="E20" i="182"/>
  <c r="E20" i="101" s="1"/>
  <c r="E12" i="182"/>
  <c r="E12" i="101" s="1"/>
  <c r="E89" i="102"/>
  <c r="E89" i="105"/>
  <c r="E90" i="103"/>
  <c r="E16" i="182"/>
  <c r="E19" i="182"/>
  <c r="E10" i="182"/>
  <c r="E10" i="101" s="1"/>
  <c r="E83" i="181"/>
  <c r="E95" i="105"/>
  <c r="E93" i="102"/>
  <c r="E92" i="103"/>
  <c r="E92" i="102"/>
  <c r="E92" i="180"/>
  <c r="E103" i="182"/>
  <c r="E103" i="101" s="1"/>
  <c r="E88" i="180"/>
  <c r="E91" i="181"/>
  <c r="E88" i="103"/>
  <c r="E85" i="102"/>
  <c r="E31" i="101"/>
  <c r="E80" i="182"/>
  <c r="E80" i="101" s="1"/>
  <c r="E72" i="182"/>
  <c r="E72" i="101" s="1"/>
  <c r="E15" i="182"/>
  <c r="E83" i="105"/>
  <c r="E91" i="103"/>
  <c r="E40" i="182"/>
  <c r="E40" i="101" s="1"/>
  <c r="E64" i="182"/>
  <c r="E79" i="182"/>
  <c r="E79" i="101" s="1"/>
  <c r="E75" i="182"/>
  <c r="E70" i="182"/>
  <c r="E70" i="101" s="1"/>
  <c r="E109" i="182"/>
  <c r="E105" i="182"/>
  <c r="E89" i="181"/>
  <c r="E94" i="181"/>
  <c r="E95" i="103"/>
  <c r="E87" i="103"/>
  <c r="E33" i="182"/>
  <c r="E33" i="101" s="1"/>
  <c r="E29" i="182"/>
  <c r="E29" i="101" s="1"/>
  <c r="E25" i="182"/>
  <c r="E25" i="101" s="1"/>
  <c r="E48" i="182"/>
  <c r="E48" i="101" s="1"/>
  <c r="E44" i="182"/>
  <c r="E39" i="182"/>
  <c r="E39" i="101" s="1"/>
  <c r="E63" i="182"/>
  <c r="E63" i="101" s="1"/>
  <c r="E59" i="182"/>
  <c r="E59" i="101" s="1"/>
  <c r="E55" i="182"/>
  <c r="E55" i="101" s="1"/>
  <c r="E65" i="182"/>
  <c r="E65" i="101" s="1"/>
  <c r="E107" i="182"/>
  <c r="E107" i="101" s="1"/>
  <c r="E93" i="103"/>
  <c r="E83" i="103"/>
  <c r="E92" i="182"/>
  <c r="E110" i="182"/>
  <c r="E95" i="182" s="1"/>
  <c r="E95" i="180"/>
  <c r="E106" i="182"/>
  <c r="E91" i="182" s="1"/>
  <c r="E91" i="180"/>
  <c r="E102" i="182"/>
  <c r="E87" i="180"/>
  <c r="E92" i="105"/>
  <c r="E93" i="180"/>
  <c r="E104" i="182"/>
  <c r="E89" i="182" s="1"/>
  <c r="E89" i="180"/>
  <c r="E108" i="182"/>
  <c r="E93" i="182" s="1"/>
  <c r="E44" i="101"/>
  <c r="E43" i="101"/>
  <c r="E87" i="102"/>
  <c r="E49" i="182"/>
  <c r="E45" i="182"/>
  <c r="E45" i="101" s="1"/>
  <c r="E57" i="182"/>
  <c r="E57" i="101" s="1"/>
  <c r="E73" i="182"/>
  <c r="E98" i="101"/>
  <c r="E83" i="101" s="1"/>
  <c r="E90" i="180"/>
  <c r="E83" i="180"/>
  <c r="E9" i="101"/>
  <c r="E23" i="101"/>
  <c r="E28" i="101"/>
  <c r="E62" i="101"/>
  <c r="E53" i="101"/>
  <c r="E35" i="101"/>
  <c r="E27" i="101"/>
  <c r="E38" i="101"/>
  <c r="E78" i="101"/>
  <c r="E74" i="101"/>
  <c r="E95" i="102"/>
  <c r="E18" i="101"/>
  <c r="E14" i="101"/>
  <c r="E58" i="101"/>
  <c r="E54" i="101"/>
  <c r="E77" i="101"/>
  <c r="E73" i="101"/>
  <c r="E83" i="102"/>
  <c r="E83" i="107"/>
  <c r="E89" i="107"/>
  <c r="E90" i="107"/>
  <c r="E91" i="107"/>
  <c r="E92" i="107"/>
  <c r="E94" i="107"/>
  <c r="E101" i="107"/>
  <c r="E71" i="107"/>
  <c r="E56" i="107"/>
  <c r="E41" i="107"/>
  <c r="E22" i="107"/>
  <c r="E22" i="181" s="1"/>
  <c r="E11" i="107"/>
  <c r="E83" i="106"/>
  <c r="E89" i="106"/>
  <c r="E92" i="106"/>
  <c r="E95" i="106"/>
  <c r="E109" i="106"/>
  <c r="E106" i="106"/>
  <c r="E106" i="105" s="1"/>
  <c r="E105" i="106"/>
  <c r="E99" i="106"/>
  <c r="E76" i="106"/>
  <c r="E75" i="106"/>
  <c r="E69" i="106"/>
  <c r="F41" i="106"/>
  <c r="F37" i="106" s="1"/>
  <c r="D41" i="106"/>
  <c r="E64" i="106"/>
  <c r="E61" i="106"/>
  <c r="E60" i="106"/>
  <c r="E49" i="106"/>
  <c r="E46" i="106"/>
  <c r="F22" i="106"/>
  <c r="D22" i="106"/>
  <c r="E22" i="106"/>
  <c r="E19" i="106"/>
  <c r="E16" i="106"/>
  <c r="E15" i="106"/>
  <c r="E100" i="50"/>
  <c r="E102" i="50"/>
  <c r="E103" i="50"/>
  <c r="E104" i="50"/>
  <c r="E105" i="50"/>
  <c r="E107" i="50"/>
  <c r="E108" i="50"/>
  <c r="E109" i="50"/>
  <c r="E110" i="50"/>
  <c r="E98" i="50"/>
  <c r="E69" i="50"/>
  <c r="E70" i="50"/>
  <c r="E72" i="50"/>
  <c r="E73" i="50"/>
  <c r="E74" i="50"/>
  <c r="E75" i="50"/>
  <c r="E76" i="50"/>
  <c r="E77" i="50"/>
  <c r="E78" i="50"/>
  <c r="E79" i="50"/>
  <c r="E80" i="50"/>
  <c r="E68" i="50"/>
  <c r="E54" i="50"/>
  <c r="E55" i="50"/>
  <c r="E56" i="50"/>
  <c r="E57" i="50"/>
  <c r="E58" i="50"/>
  <c r="E59" i="50"/>
  <c r="E60" i="50"/>
  <c r="E61" i="50"/>
  <c r="E62" i="50"/>
  <c r="E63" i="50"/>
  <c r="E64" i="50"/>
  <c r="E65" i="50"/>
  <c r="E53" i="50"/>
  <c r="E39" i="50"/>
  <c r="E40" i="50"/>
  <c r="E42" i="50"/>
  <c r="E43" i="50"/>
  <c r="E44" i="50"/>
  <c r="E45" i="50"/>
  <c r="E46" i="50"/>
  <c r="E47" i="50"/>
  <c r="E48" i="50"/>
  <c r="E49" i="50"/>
  <c r="E50" i="50"/>
  <c r="E38" i="50"/>
  <c r="E24" i="50"/>
  <c r="E25" i="50"/>
  <c r="E26" i="50"/>
  <c r="E27" i="50"/>
  <c r="E28" i="50"/>
  <c r="E29" i="50"/>
  <c r="E30" i="50"/>
  <c r="E31" i="50"/>
  <c r="E32" i="50"/>
  <c r="E33" i="50"/>
  <c r="E34" i="50"/>
  <c r="E35" i="50"/>
  <c r="E23" i="50"/>
  <c r="E9" i="50"/>
  <c r="E10" i="50"/>
  <c r="E12" i="50"/>
  <c r="E13" i="50"/>
  <c r="E14" i="50"/>
  <c r="E15" i="50"/>
  <c r="E16" i="50"/>
  <c r="E17" i="50"/>
  <c r="E18" i="50"/>
  <c r="E19" i="50"/>
  <c r="E20" i="50"/>
  <c r="E8" i="50"/>
  <c r="E101" i="36"/>
  <c r="E101" i="104" s="1"/>
  <c r="E97" i="36"/>
  <c r="E83" i="35"/>
  <c r="E87" i="35"/>
  <c r="E88" i="35"/>
  <c r="E89" i="35"/>
  <c r="E90" i="35"/>
  <c r="E91" i="35"/>
  <c r="E92" i="35"/>
  <c r="E93" i="35"/>
  <c r="E94" i="35"/>
  <c r="E95" i="35"/>
  <c r="E101" i="35"/>
  <c r="E99" i="35"/>
  <c r="F67" i="35"/>
  <c r="E71" i="35"/>
  <c r="F52" i="35"/>
  <c r="E52" i="35"/>
  <c r="D52" i="35"/>
  <c r="E41" i="35"/>
  <c r="F22" i="35"/>
  <c r="D22" i="35"/>
  <c r="E22" i="35"/>
  <c r="E22" i="180" s="1"/>
  <c r="E11" i="35"/>
  <c r="E106" i="12"/>
  <c r="E106" i="50" s="1"/>
  <c r="E95" i="12"/>
  <c r="E94" i="12"/>
  <c r="E93" i="12"/>
  <c r="E92" i="12"/>
  <c r="E90" i="12"/>
  <c r="E89" i="12"/>
  <c r="E88" i="12"/>
  <c r="E87" i="12"/>
  <c r="E85" i="12"/>
  <c r="E84" i="12"/>
  <c r="E83" i="12"/>
  <c r="E71" i="12"/>
  <c r="E71" i="50" s="1"/>
  <c r="F52" i="12"/>
  <c r="E52" i="12"/>
  <c r="F37" i="12"/>
  <c r="E41" i="12"/>
  <c r="E41" i="50" s="1"/>
  <c r="F22" i="12"/>
  <c r="D22" i="12"/>
  <c r="E22" i="12"/>
  <c r="E11" i="12"/>
  <c r="E11" i="50" s="1"/>
  <c r="E71" i="106" l="1"/>
  <c r="E71" i="105" s="1"/>
  <c r="E86" i="107"/>
  <c r="E86" i="35"/>
  <c r="E88" i="182"/>
  <c r="E84" i="106"/>
  <c r="E87" i="182"/>
  <c r="E56" i="106"/>
  <c r="E94" i="182"/>
  <c r="E83" i="50"/>
  <c r="E92" i="50"/>
  <c r="E88" i="50"/>
  <c r="E93" i="50"/>
  <c r="E89" i="50"/>
  <c r="E108" i="101"/>
  <c r="E93" i="101" s="1"/>
  <c r="E88" i="101"/>
  <c r="E85" i="101"/>
  <c r="E95" i="50"/>
  <c r="E91" i="50"/>
  <c r="E87" i="50"/>
  <c r="E102" i="101"/>
  <c r="E87" i="101" s="1"/>
  <c r="E94" i="50"/>
  <c r="E90" i="50"/>
  <c r="E85" i="50"/>
  <c r="E90" i="182"/>
  <c r="E52" i="106"/>
  <c r="E56" i="102"/>
  <c r="E56" i="105"/>
  <c r="E37" i="107"/>
  <c r="E41" i="181"/>
  <c r="E67" i="12"/>
  <c r="E71" i="102"/>
  <c r="E49" i="102"/>
  <c r="E49" i="101" s="1"/>
  <c r="E49" i="105"/>
  <c r="E64" i="102"/>
  <c r="E64" i="101" s="1"/>
  <c r="E64" i="105"/>
  <c r="E67" i="106"/>
  <c r="E69" i="102"/>
  <c r="E69" i="101" s="1"/>
  <c r="E69" i="105"/>
  <c r="E110" i="101"/>
  <c r="E95" i="101" s="1"/>
  <c r="E99" i="180"/>
  <c r="E99" i="103"/>
  <c r="E84" i="103" s="1"/>
  <c r="E84" i="35"/>
  <c r="E11" i="106"/>
  <c r="E16" i="102"/>
  <c r="E16" i="101" s="1"/>
  <c r="E16" i="105"/>
  <c r="E99" i="102"/>
  <c r="E99" i="105"/>
  <c r="E109" i="102"/>
  <c r="E109" i="105"/>
  <c r="E94" i="105" s="1"/>
  <c r="E94" i="106"/>
  <c r="E7" i="107"/>
  <c r="E11" i="181"/>
  <c r="E67" i="107"/>
  <c r="E71" i="181"/>
  <c r="E46" i="102"/>
  <c r="E46" i="101" s="1"/>
  <c r="E46" i="105"/>
  <c r="E61" i="102"/>
  <c r="E61" i="101" s="1"/>
  <c r="E61" i="105"/>
  <c r="E76" i="102"/>
  <c r="E76" i="101" s="1"/>
  <c r="E76" i="105"/>
  <c r="E91" i="105" s="1"/>
  <c r="E105" i="102"/>
  <c r="E105" i="105"/>
  <c r="E91" i="106"/>
  <c r="E15" i="102"/>
  <c r="E15" i="101" s="1"/>
  <c r="E15" i="105"/>
  <c r="E90" i="106"/>
  <c r="E52" i="107"/>
  <c r="E56" i="103"/>
  <c r="E56" i="181"/>
  <c r="E56" i="182" s="1"/>
  <c r="E7" i="12"/>
  <c r="E37" i="12"/>
  <c r="E101" i="12"/>
  <c r="E106" i="102"/>
  <c r="E7" i="35"/>
  <c r="E11" i="103"/>
  <c r="E11" i="180"/>
  <c r="E37" i="35"/>
  <c r="E41" i="180"/>
  <c r="E41" i="103"/>
  <c r="E67" i="35"/>
  <c r="E71" i="103"/>
  <c r="E71" i="180"/>
  <c r="E71" i="182" s="1"/>
  <c r="E97" i="35"/>
  <c r="E101" i="103"/>
  <c r="E101" i="180"/>
  <c r="E99" i="50"/>
  <c r="E84" i="50" s="1"/>
  <c r="E19" i="102"/>
  <c r="E19" i="101" s="1"/>
  <c r="E19" i="105"/>
  <c r="E41" i="106"/>
  <c r="E60" i="102"/>
  <c r="E60" i="101" s="1"/>
  <c r="E60" i="105"/>
  <c r="E75" i="102"/>
  <c r="E75" i="101" s="1"/>
  <c r="E75" i="105"/>
  <c r="E101" i="106"/>
  <c r="E97" i="107"/>
  <c r="E101" i="181"/>
  <c r="E104" i="101"/>
  <c r="E89" i="101" s="1"/>
  <c r="E92" i="101"/>
  <c r="E91" i="12"/>
  <c r="E41" i="182" l="1"/>
  <c r="E11" i="182"/>
  <c r="E86" i="181"/>
  <c r="E86" i="103"/>
  <c r="E84" i="105"/>
  <c r="E101" i="105"/>
  <c r="E86" i="105" s="1"/>
  <c r="E86" i="106"/>
  <c r="E101" i="102"/>
  <c r="E101" i="50"/>
  <c r="E86" i="50" s="1"/>
  <c r="E101" i="182"/>
  <c r="E86" i="182" s="1"/>
  <c r="E86" i="180"/>
  <c r="E94" i="102"/>
  <c r="E109" i="101"/>
  <c r="E94" i="101" s="1"/>
  <c r="E86" i="12"/>
  <c r="E41" i="105"/>
  <c r="E37" i="106"/>
  <c r="E56" i="101"/>
  <c r="E90" i="102"/>
  <c r="E105" i="101"/>
  <c r="E90" i="101" s="1"/>
  <c r="E7" i="106"/>
  <c r="E11" i="105"/>
  <c r="E97" i="106"/>
  <c r="E84" i="180"/>
  <c r="E99" i="182"/>
  <c r="E84" i="182" s="1"/>
  <c r="E97" i="12"/>
  <c r="E91" i="102"/>
  <c r="E106" i="101"/>
  <c r="E91" i="101" s="1"/>
  <c r="E41" i="102"/>
  <c r="E41" i="101" s="1"/>
  <c r="E11" i="102"/>
  <c r="E11" i="101" s="1"/>
  <c r="E90" i="105"/>
  <c r="E84" i="102"/>
  <c r="E71" i="101"/>
  <c r="E99" i="101" l="1"/>
  <c r="E84" i="101" s="1"/>
  <c r="E86" i="102"/>
  <c r="E101" i="101"/>
  <c r="E86" i="101" s="1"/>
  <c r="C42" i="178" l="1"/>
  <c r="C42" i="85" s="1"/>
  <c r="E42" i="178"/>
  <c r="E42" i="85" s="1"/>
  <c r="C42" i="173"/>
  <c r="C42" i="84" s="1"/>
  <c r="E42" i="173"/>
  <c r="E42" i="84" s="1"/>
  <c r="C42" i="172"/>
  <c r="C42" i="83" s="1"/>
  <c r="E42" i="172"/>
  <c r="E42" i="83" s="1"/>
  <c r="C42" i="176"/>
  <c r="E42" i="176"/>
  <c r="C42" i="171"/>
  <c r="C42" i="82" s="1"/>
  <c r="C42" i="179" l="1"/>
  <c r="C42" i="81" s="1"/>
  <c r="E42" i="177"/>
  <c r="E42" i="179"/>
  <c r="C42" i="177"/>
  <c r="G42" i="174" l="1"/>
  <c r="D50" i="88"/>
  <c r="D49" i="88"/>
  <c r="D48" i="88"/>
  <c r="D46" i="88"/>
  <c r="D43" i="88"/>
  <c r="D42" i="88"/>
  <c r="D41" i="88"/>
  <c r="D40" i="88"/>
  <c r="D39" i="88"/>
  <c r="D38" i="88"/>
  <c r="D37" i="88"/>
  <c r="D36" i="88"/>
  <c r="D35" i="88"/>
  <c r="D34" i="88"/>
  <c r="D32" i="88"/>
  <c r="D50" i="87"/>
  <c r="D49" i="87"/>
  <c r="D48" i="87"/>
  <c r="D46" i="87"/>
  <c r="D43" i="87"/>
  <c r="D42" i="87"/>
  <c r="D41" i="87"/>
  <c r="D40" i="87"/>
  <c r="D39" i="87"/>
  <c r="D38" i="87"/>
  <c r="D37" i="87"/>
  <c r="D36" i="87"/>
  <c r="D35" i="87"/>
  <c r="D34" i="87"/>
  <c r="D32" i="87"/>
  <c r="D50" i="86"/>
  <c r="D49" i="86"/>
  <c r="D48" i="86"/>
  <c r="D46" i="86"/>
  <c r="D43" i="86"/>
  <c r="D42" i="86"/>
  <c r="D41" i="86"/>
  <c r="D40" i="86"/>
  <c r="D39" i="86"/>
  <c r="D38" i="86"/>
  <c r="D37" i="86"/>
  <c r="D36" i="86"/>
  <c r="D35" i="86"/>
  <c r="D34" i="86"/>
  <c r="D32" i="86"/>
  <c r="D50" i="30"/>
  <c r="D49" i="30"/>
  <c r="D48" i="30"/>
  <c r="D47" i="30"/>
  <c r="D46" i="30"/>
  <c r="D43" i="30"/>
  <c r="D42" i="30"/>
  <c r="D40" i="30"/>
  <c r="D39" i="30"/>
  <c r="D38" i="30"/>
  <c r="D37" i="30"/>
  <c r="D36" i="30"/>
  <c r="D35" i="30"/>
  <c r="D34" i="30"/>
  <c r="D33" i="30"/>
  <c r="D32" i="30"/>
  <c r="D50" i="29"/>
  <c r="D49" i="29"/>
  <c r="D48" i="29"/>
  <c r="D47" i="29"/>
  <c r="D46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50" i="28"/>
  <c r="D49" i="28"/>
  <c r="D48" i="28"/>
  <c r="D47" i="28"/>
  <c r="D46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U50" i="174"/>
  <c r="U49" i="174"/>
  <c r="U48" i="174"/>
  <c r="U47" i="174"/>
  <c r="U46" i="174"/>
  <c r="U43" i="174"/>
  <c r="U42" i="174"/>
  <c r="U41" i="174"/>
  <c r="U40" i="174"/>
  <c r="U39" i="174"/>
  <c r="U38" i="174"/>
  <c r="U37" i="174"/>
  <c r="U36" i="174"/>
  <c r="U35" i="174"/>
  <c r="U34" i="174"/>
  <c r="U33" i="174"/>
  <c r="U32" i="174"/>
  <c r="O50" i="174"/>
  <c r="O49" i="174"/>
  <c r="O48" i="174"/>
  <c r="O47" i="174"/>
  <c r="O46" i="174"/>
  <c r="O43" i="174"/>
  <c r="O42" i="174"/>
  <c r="O41" i="174"/>
  <c r="O40" i="174"/>
  <c r="O39" i="174"/>
  <c r="O38" i="174"/>
  <c r="O37" i="174"/>
  <c r="O36" i="174"/>
  <c r="O35" i="174"/>
  <c r="O34" i="174"/>
  <c r="O33" i="174"/>
  <c r="O32" i="174"/>
  <c r="I50" i="174"/>
  <c r="I49" i="174"/>
  <c r="I48" i="174"/>
  <c r="I47" i="174"/>
  <c r="I46" i="174"/>
  <c r="I45" i="174" s="1"/>
  <c r="I43" i="174"/>
  <c r="I42" i="174"/>
  <c r="I41" i="174"/>
  <c r="I40" i="174"/>
  <c r="I39" i="174"/>
  <c r="I38" i="174"/>
  <c r="I37" i="174"/>
  <c r="I36" i="174"/>
  <c r="I35" i="174"/>
  <c r="I34" i="174"/>
  <c r="I33" i="174"/>
  <c r="I32" i="174"/>
  <c r="D65" i="28"/>
  <c r="D8" i="28"/>
  <c r="D45" i="29" l="1"/>
  <c r="U45" i="174"/>
  <c r="D45" i="87"/>
  <c r="D45" i="88"/>
  <c r="D45" i="30"/>
  <c r="D45" i="86"/>
  <c r="O45" i="174"/>
  <c r="D45" i="28"/>
  <c r="C42" i="174"/>
  <c r="D42" i="173"/>
  <c r="D42" i="84" s="1"/>
  <c r="D42" i="171"/>
  <c r="D42" i="82" s="1"/>
  <c r="D42" i="174"/>
  <c r="D42" i="172"/>
  <c r="D42" i="175"/>
  <c r="D42" i="8" s="1"/>
  <c r="D42" i="178"/>
  <c r="D42" i="85" s="1"/>
  <c r="D42" i="83" l="1"/>
  <c r="D42" i="176"/>
  <c r="D42" i="177" l="1"/>
  <c r="D42" i="179"/>
  <c r="D42" i="81" s="1"/>
  <c r="D24" i="87"/>
  <c r="D17" i="87" l="1"/>
  <c r="D24" i="86"/>
  <c r="D17" i="86"/>
  <c r="D24" i="30"/>
  <c r="D24" i="29"/>
  <c r="D17" i="29"/>
  <c r="D24" i="28"/>
  <c r="D17" i="28"/>
  <c r="E198" i="117"/>
  <c r="E198" i="123" s="1"/>
  <c r="U24" i="174"/>
  <c r="O24" i="174"/>
  <c r="I24" i="174"/>
  <c r="F82" i="182" l="1"/>
  <c r="F22" i="182"/>
  <c r="E22" i="182"/>
  <c r="D22" i="182"/>
  <c r="F97" i="181"/>
  <c r="F111" i="181" s="1"/>
  <c r="F113" i="181" s="1"/>
  <c r="E97" i="181"/>
  <c r="E111" i="181" s="1"/>
  <c r="E113" i="181" s="1"/>
  <c r="D97" i="181"/>
  <c r="D111" i="181" s="1"/>
  <c r="F67" i="181"/>
  <c r="E67" i="181"/>
  <c r="D67" i="181"/>
  <c r="F52" i="181"/>
  <c r="E52" i="181"/>
  <c r="D52" i="181"/>
  <c r="F37" i="181"/>
  <c r="E37" i="181"/>
  <c r="D37" i="181"/>
  <c r="E7" i="181"/>
  <c r="F7" i="181"/>
  <c r="D7" i="181"/>
  <c r="F111" i="180"/>
  <c r="F113" i="180" s="1"/>
  <c r="E111" i="180"/>
  <c r="E113" i="180" s="1"/>
  <c r="D111" i="180"/>
  <c r="F97" i="180"/>
  <c r="E97" i="180"/>
  <c r="D97" i="180"/>
  <c r="F67" i="180"/>
  <c r="E67" i="180"/>
  <c r="D67" i="180"/>
  <c r="F52" i="180"/>
  <c r="E52" i="180"/>
  <c r="D52" i="180"/>
  <c r="E37" i="180"/>
  <c r="F37" i="180"/>
  <c r="D37" i="180"/>
  <c r="E7" i="180"/>
  <c r="F7" i="180"/>
  <c r="D7" i="180"/>
  <c r="A2" i="180"/>
  <c r="D37" i="182" l="1"/>
  <c r="E52" i="182"/>
  <c r="F37" i="182"/>
  <c r="D82" i="180"/>
  <c r="F52" i="182"/>
  <c r="D7" i="182"/>
  <c r="E37" i="182"/>
  <c r="D67" i="182"/>
  <c r="D97" i="182"/>
  <c r="D52" i="182"/>
  <c r="D111" i="182"/>
  <c r="E67" i="182"/>
  <c r="E7" i="182"/>
  <c r="E82" i="181"/>
  <c r="E111" i="182"/>
  <c r="E113" i="182" s="1"/>
  <c r="E97" i="182"/>
  <c r="E82" i="180"/>
  <c r="D82" i="181"/>
  <c r="D82" i="182" l="1"/>
  <c r="E82" i="182"/>
  <c r="D14" i="30"/>
  <c r="D14" i="29"/>
  <c r="D14" i="28"/>
  <c r="E29" i="179"/>
  <c r="C35" i="201" l="1"/>
  <c r="E25" i="179"/>
  <c r="D92" i="82" l="1"/>
  <c r="D76" i="82"/>
  <c r="D76" i="81" s="1"/>
  <c r="D77" i="82"/>
  <c r="D77" i="81" s="1"/>
  <c r="D52" i="82"/>
  <c r="D52" i="81" s="1"/>
  <c r="D53" i="82"/>
  <c r="D53" i="81" s="1"/>
  <c r="D54" i="82"/>
  <c r="D54" i="81" s="1"/>
  <c r="D55" i="82"/>
  <c r="D55" i="81" s="1"/>
  <c r="C94" i="82"/>
  <c r="C95" i="82"/>
  <c r="C92" i="82"/>
  <c r="C76" i="82"/>
  <c r="C76" i="81" s="1"/>
  <c r="C77" i="82"/>
  <c r="C77" i="81" s="1"/>
  <c r="C52" i="82"/>
  <c r="C52" i="81" s="1"/>
  <c r="C53" i="82"/>
  <c r="C53" i="81" s="1"/>
  <c r="C54" i="82"/>
  <c r="C54" i="81" s="1"/>
  <c r="C55" i="82"/>
  <c r="C55" i="81" s="1"/>
  <c r="D92" i="179"/>
  <c r="E92" i="179"/>
  <c r="D94" i="179"/>
  <c r="E94" i="179"/>
  <c r="D95" i="179"/>
  <c r="E95" i="179"/>
  <c r="C94" i="179"/>
  <c r="C95" i="179"/>
  <c r="C92" i="179"/>
  <c r="D92" i="83"/>
  <c r="E92" i="83"/>
  <c r="D94" i="83"/>
  <c r="E94" i="83"/>
  <c r="D95" i="83"/>
  <c r="E95" i="83"/>
  <c r="C94" i="83"/>
  <c r="C95" i="83"/>
  <c r="C92" i="83"/>
  <c r="D76" i="83"/>
  <c r="E76" i="83"/>
  <c r="D77" i="83"/>
  <c r="E77" i="83"/>
  <c r="D52" i="83"/>
  <c r="E52" i="83"/>
  <c r="D53" i="83"/>
  <c r="E53" i="83"/>
  <c r="D54" i="83"/>
  <c r="E54" i="83"/>
  <c r="D55" i="83"/>
  <c r="E55" i="83"/>
  <c r="C76" i="83"/>
  <c r="C77" i="83"/>
  <c r="C52" i="83"/>
  <c r="C53" i="83"/>
  <c r="C54" i="83"/>
  <c r="C55" i="83"/>
  <c r="D92" i="84"/>
  <c r="E92" i="84"/>
  <c r="D94" i="84"/>
  <c r="E94" i="84"/>
  <c r="D95" i="84"/>
  <c r="E95" i="84"/>
  <c r="C94" i="84"/>
  <c r="C95" i="84"/>
  <c r="C92" i="84"/>
  <c r="D76" i="84"/>
  <c r="E76" i="84"/>
  <c r="D77" i="84"/>
  <c r="E77" i="84"/>
  <c r="D52" i="84"/>
  <c r="E52" i="84"/>
  <c r="D53" i="84"/>
  <c r="E53" i="84"/>
  <c r="D54" i="84"/>
  <c r="E54" i="84"/>
  <c r="D55" i="84"/>
  <c r="E55" i="84"/>
  <c r="C76" i="84"/>
  <c r="C77" i="84"/>
  <c r="C52" i="84"/>
  <c r="C53" i="84"/>
  <c r="C54" i="84"/>
  <c r="C55" i="84"/>
  <c r="C27" i="85"/>
  <c r="C80" i="178"/>
  <c r="C80" i="85" s="1"/>
  <c r="C74" i="178"/>
  <c r="C74" i="85" s="1"/>
  <c r="C24" i="178"/>
  <c r="C8" i="178"/>
  <c r="C24" i="86"/>
  <c r="D76" i="85"/>
  <c r="E76" i="85"/>
  <c r="D77" i="85"/>
  <c r="E77" i="85"/>
  <c r="D52" i="85"/>
  <c r="E52" i="85"/>
  <c r="D53" i="85"/>
  <c r="E53" i="85"/>
  <c r="D54" i="85"/>
  <c r="E54" i="85"/>
  <c r="D55" i="85"/>
  <c r="E55" i="85"/>
  <c r="C29" i="85"/>
  <c r="C76" i="85"/>
  <c r="C77" i="85"/>
  <c r="C69" i="85"/>
  <c r="C62" i="85"/>
  <c r="C57" i="85"/>
  <c r="C58" i="85"/>
  <c r="C59" i="85"/>
  <c r="C60" i="85"/>
  <c r="C52" i="85"/>
  <c r="C53" i="85"/>
  <c r="C54" i="85"/>
  <c r="C55" i="85"/>
  <c r="C17" i="85"/>
  <c r="C18" i="85"/>
  <c r="C20" i="85"/>
  <c r="C21" i="85"/>
  <c r="C22" i="85"/>
  <c r="C16" i="85"/>
  <c r="C9" i="85"/>
  <c r="C11" i="85"/>
  <c r="C14" i="85"/>
  <c r="D89" i="178"/>
  <c r="D89" i="85" s="1"/>
  <c r="E89" i="178"/>
  <c r="D90" i="178"/>
  <c r="E90" i="178"/>
  <c r="E90" i="85" s="1"/>
  <c r="D86" i="178"/>
  <c r="E86" i="178"/>
  <c r="E86" i="85" s="1"/>
  <c r="D87" i="178"/>
  <c r="D87" i="85" s="1"/>
  <c r="E87" i="178"/>
  <c r="E87" i="85" s="1"/>
  <c r="D79" i="178"/>
  <c r="D79" i="85" s="1"/>
  <c r="E79" i="178"/>
  <c r="E29" i="186"/>
  <c r="D80" i="178"/>
  <c r="E80" i="178"/>
  <c r="E80" i="85" s="1"/>
  <c r="E28" i="186"/>
  <c r="F28" i="186" s="1"/>
  <c r="H28" i="186" s="1"/>
  <c r="D81" i="178"/>
  <c r="D81" i="85" s="1"/>
  <c r="E81" i="178"/>
  <c r="E81" i="85" s="1"/>
  <c r="E34" i="186"/>
  <c r="D82" i="178"/>
  <c r="D82" i="85" s="1"/>
  <c r="E82" i="178"/>
  <c r="E82" i="85" s="1"/>
  <c r="D72" i="178"/>
  <c r="D72" i="85" s="1"/>
  <c r="E72" i="178"/>
  <c r="D73" i="178"/>
  <c r="E73" i="178"/>
  <c r="E73" i="85" s="1"/>
  <c r="D74" i="178"/>
  <c r="D74" i="85" s="1"/>
  <c r="E74" i="178"/>
  <c r="E74" i="85" s="1"/>
  <c r="D75" i="178"/>
  <c r="D75" i="85" s="1"/>
  <c r="E75" i="178"/>
  <c r="E75" i="85" s="1"/>
  <c r="D68" i="178"/>
  <c r="D68" i="85" s="1"/>
  <c r="E68" i="178"/>
  <c r="E68" i="85" s="1"/>
  <c r="D69" i="178"/>
  <c r="D69" i="85" s="1"/>
  <c r="E69" i="178"/>
  <c r="E69" i="85" s="1"/>
  <c r="D70" i="178"/>
  <c r="D70" i="85" s="1"/>
  <c r="E70" i="178"/>
  <c r="E70" i="85" s="1"/>
  <c r="D62" i="178"/>
  <c r="D62" i="85" s="1"/>
  <c r="E62" i="178"/>
  <c r="D63" i="178"/>
  <c r="E63" i="178"/>
  <c r="E63" i="85" s="1"/>
  <c r="D64" i="178"/>
  <c r="D64" i="85" s="1"/>
  <c r="E64" i="178"/>
  <c r="E64" i="85" s="1"/>
  <c r="D65" i="178"/>
  <c r="D65" i="85" s="1"/>
  <c r="E65" i="178"/>
  <c r="E65" i="85" s="1"/>
  <c r="D66" i="178"/>
  <c r="D66" i="85" s="1"/>
  <c r="E66" i="178"/>
  <c r="E66" i="85" s="1"/>
  <c r="D56" i="178"/>
  <c r="D56" i="85" s="1"/>
  <c r="E56" i="178"/>
  <c r="E56" i="85" s="1"/>
  <c r="D57" i="178"/>
  <c r="D57" i="85" s="1"/>
  <c r="E57" i="178"/>
  <c r="E57" i="85" s="1"/>
  <c r="D58" i="178"/>
  <c r="D58" i="85" s="1"/>
  <c r="E58" i="178"/>
  <c r="E58" i="85" s="1"/>
  <c r="D59" i="178"/>
  <c r="D59" i="85" s="1"/>
  <c r="E59" i="178"/>
  <c r="E59" i="85" s="1"/>
  <c r="D60" i="178"/>
  <c r="D60" i="85" s="1"/>
  <c r="E60" i="178"/>
  <c r="E60" i="85" s="1"/>
  <c r="D46" i="178"/>
  <c r="E46" i="178"/>
  <c r="D47" i="178"/>
  <c r="E47" i="178"/>
  <c r="E47" i="85" s="1"/>
  <c r="D48" i="178"/>
  <c r="D48" i="85" s="1"/>
  <c r="E48" i="178"/>
  <c r="E48" i="85" s="1"/>
  <c r="D49" i="178"/>
  <c r="D49" i="85" s="1"/>
  <c r="E49" i="178"/>
  <c r="E49" i="85" s="1"/>
  <c r="D50" i="178"/>
  <c r="D50" i="85" s="1"/>
  <c r="E50" i="178"/>
  <c r="E50" i="85" s="1"/>
  <c r="D51" i="178"/>
  <c r="D51" i="85" s="1"/>
  <c r="E51" i="178"/>
  <c r="E51" i="85" s="1"/>
  <c r="D32" i="178"/>
  <c r="D32" i="85" s="1"/>
  <c r="E32" i="178"/>
  <c r="D33" i="178"/>
  <c r="D33" i="85" s="1"/>
  <c r="E33" i="178"/>
  <c r="E33" i="85" s="1"/>
  <c r="D34" i="178"/>
  <c r="D34" i="85" s="1"/>
  <c r="E34" i="178"/>
  <c r="E34" i="85" s="1"/>
  <c r="D35" i="178"/>
  <c r="D35" i="85" s="1"/>
  <c r="E35" i="178"/>
  <c r="E35" i="85" s="1"/>
  <c r="D36" i="178"/>
  <c r="D36" i="85" s="1"/>
  <c r="E36" i="178"/>
  <c r="E36" i="85" s="1"/>
  <c r="D37" i="178"/>
  <c r="D37" i="85" s="1"/>
  <c r="E37" i="178"/>
  <c r="E37" i="85" s="1"/>
  <c r="D38" i="178"/>
  <c r="D38" i="85" s="1"/>
  <c r="E38" i="178"/>
  <c r="E38" i="85" s="1"/>
  <c r="D39" i="178"/>
  <c r="D39" i="85" s="1"/>
  <c r="E39" i="178"/>
  <c r="E39" i="85" s="1"/>
  <c r="D40" i="178"/>
  <c r="D40" i="85" s="1"/>
  <c r="E40" i="178"/>
  <c r="E40" i="85" s="1"/>
  <c r="D41" i="178"/>
  <c r="D41" i="85" s="1"/>
  <c r="E41" i="178"/>
  <c r="E41" i="85" s="1"/>
  <c r="D43" i="178"/>
  <c r="D43" i="85" s="1"/>
  <c r="E43" i="178"/>
  <c r="E43" i="85" s="1"/>
  <c r="D44" i="178"/>
  <c r="D44" i="85" s="1"/>
  <c r="E44" i="178"/>
  <c r="E44" i="85" s="1"/>
  <c r="D30" i="178"/>
  <c r="D30" i="85" s="1"/>
  <c r="E30" i="178"/>
  <c r="D27" i="178"/>
  <c r="E27" i="178"/>
  <c r="D28" i="178"/>
  <c r="D28" i="85" s="1"/>
  <c r="E28" i="178"/>
  <c r="E28" i="85" s="1"/>
  <c r="D16" i="178"/>
  <c r="D16" i="85" s="1"/>
  <c r="E16" i="178"/>
  <c r="D17" i="178"/>
  <c r="D17" i="85" s="1"/>
  <c r="E17" i="178"/>
  <c r="E17" i="85" s="1"/>
  <c r="D18" i="178"/>
  <c r="D18" i="85" s="1"/>
  <c r="E18" i="178"/>
  <c r="E18" i="85" s="1"/>
  <c r="D19" i="178"/>
  <c r="E19" i="178"/>
  <c r="E19" i="85" s="1"/>
  <c r="D20" i="178"/>
  <c r="D20" i="85" s="1"/>
  <c r="E20" i="178"/>
  <c r="E20" i="85" s="1"/>
  <c r="D21" i="178"/>
  <c r="D21" i="85" s="1"/>
  <c r="E21" i="178"/>
  <c r="E21" i="85" s="1"/>
  <c r="D22" i="178"/>
  <c r="D22" i="85" s="1"/>
  <c r="E22" i="178"/>
  <c r="E22" i="85" s="1"/>
  <c r="D23" i="178"/>
  <c r="D23" i="85" s="1"/>
  <c r="E23" i="178"/>
  <c r="E23" i="85" s="1"/>
  <c r="D24" i="178"/>
  <c r="D24" i="85" s="1"/>
  <c r="E24" i="178"/>
  <c r="E24" i="85" s="1"/>
  <c r="D8" i="178"/>
  <c r="D8" i="85" s="1"/>
  <c r="E8" i="178"/>
  <c r="E8" i="85" s="1"/>
  <c r="D9" i="178"/>
  <c r="D9" i="85" s="1"/>
  <c r="E9" i="178"/>
  <c r="E9" i="85" s="1"/>
  <c r="D10" i="178"/>
  <c r="E10" i="178"/>
  <c r="E10" i="85" s="1"/>
  <c r="D11" i="178"/>
  <c r="E11" i="178"/>
  <c r="E11" i="85" s="1"/>
  <c r="D12" i="178"/>
  <c r="E12" i="178"/>
  <c r="E12" i="85" s="1"/>
  <c r="D13" i="178"/>
  <c r="D13" i="85" s="1"/>
  <c r="E13" i="178"/>
  <c r="E13" i="85" s="1"/>
  <c r="E14" i="178"/>
  <c r="E14" i="85" s="1"/>
  <c r="C90" i="178"/>
  <c r="C89" i="178"/>
  <c r="C89" i="85" s="1"/>
  <c r="C87" i="178"/>
  <c r="C87" i="85" s="1"/>
  <c r="C86" i="178"/>
  <c r="C81" i="178"/>
  <c r="C81" i="85" s="1"/>
  <c r="C82" i="178"/>
  <c r="C82" i="85" s="1"/>
  <c r="C79" i="178"/>
  <c r="C79" i="85" s="1"/>
  <c r="C73" i="178"/>
  <c r="C73" i="85" s="1"/>
  <c r="C75" i="178"/>
  <c r="C75" i="85" s="1"/>
  <c r="C72" i="178"/>
  <c r="C70" i="178"/>
  <c r="C70" i="85" s="1"/>
  <c r="C68" i="178"/>
  <c r="C68" i="85" s="1"/>
  <c r="C63" i="178"/>
  <c r="C63" i="85" s="1"/>
  <c r="C64" i="178"/>
  <c r="C64" i="85" s="1"/>
  <c r="C65" i="178"/>
  <c r="C65" i="85" s="1"/>
  <c r="C66" i="178"/>
  <c r="C66" i="85" s="1"/>
  <c r="C56" i="178"/>
  <c r="C56" i="85" s="1"/>
  <c r="C47" i="178"/>
  <c r="C47" i="85" s="1"/>
  <c r="C48" i="178"/>
  <c r="C48" i="85" s="1"/>
  <c r="C49" i="178"/>
  <c r="C49" i="85" s="1"/>
  <c r="C50" i="178"/>
  <c r="C50" i="85" s="1"/>
  <c r="C51" i="178"/>
  <c r="C51" i="85" s="1"/>
  <c r="C46" i="178"/>
  <c r="C33" i="178"/>
  <c r="C33" i="85" s="1"/>
  <c r="C34" i="178"/>
  <c r="C34" i="85" s="1"/>
  <c r="C35" i="178"/>
  <c r="C35" i="85" s="1"/>
  <c r="C36" i="178"/>
  <c r="C36" i="85" s="1"/>
  <c r="C37" i="178"/>
  <c r="C37" i="85" s="1"/>
  <c r="C38" i="178"/>
  <c r="C38" i="85" s="1"/>
  <c r="C39" i="178"/>
  <c r="C39" i="85" s="1"/>
  <c r="C40" i="178"/>
  <c r="C40" i="85" s="1"/>
  <c r="C41" i="178"/>
  <c r="C41" i="85" s="1"/>
  <c r="C43" i="178"/>
  <c r="C43" i="85" s="1"/>
  <c r="C44" i="178"/>
  <c r="C44" i="85" s="1"/>
  <c r="C32" i="178"/>
  <c r="C32" i="85" s="1"/>
  <c r="C30" i="178"/>
  <c r="C30" i="85" s="1"/>
  <c r="C28" i="178"/>
  <c r="C19" i="178"/>
  <c r="C19" i="85" s="1"/>
  <c r="C23" i="178"/>
  <c r="C23" i="85" s="1"/>
  <c r="C10" i="178"/>
  <c r="C12" i="85"/>
  <c r="C13" i="178"/>
  <c r="C13" i="85" s="1"/>
  <c r="A2" i="177"/>
  <c r="E89" i="8"/>
  <c r="E90" i="8"/>
  <c r="E86" i="8"/>
  <c r="E87" i="8"/>
  <c r="E79" i="8"/>
  <c r="E80" i="8"/>
  <c r="E81" i="8"/>
  <c r="E82" i="8"/>
  <c r="E72" i="8"/>
  <c r="E73" i="8"/>
  <c r="E74" i="8"/>
  <c r="E75" i="8"/>
  <c r="D76" i="8"/>
  <c r="E76" i="8"/>
  <c r="D77" i="8"/>
  <c r="E77" i="8"/>
  <c r="E68" i="8"/>
  <c r="E69" i="8"/>
  <c r="E70" i="8"/>
  <c r="E62" i="8"/>
  <c r="E63" i="8"/>
  <c r="E64" i="8"/>
  <c r="E65" i="8"/>
  <c r="E66" i="8"/>
  <c r="E56" i="8"/>
  <c r="E57" i="8"/>
  <c r="E58" i="8"/>
  <c r="E59" i="8"/>
  <c r="E60" i="8"/>
  <c r="E46" i="8"/>
  <c r="E47" i="8"/>
  <c r="E48" i="8"/>
  <c r="E49" i="8"/>
  <c r="E50" i="8"/>
  <c r="E51" i="8"/>
  <c r="D52" i="8"/>
  <c r="E52" i="8"/>
  <c r="D53" i="8"/>
  <c r="E53" i="8"/>
  <c r="D54" i="8"/>
  <c r="E54" i="8"/>
  <c r="D55" i="8"/>
  <c r="E55" i="8"/>
  <c r="E32" i="8"/>
  <c r="E33" i="8"/>
  <c r="E34" i="8"/>
  <c r="E35" i="8"/>
  <c r="E36" i="8"/>
  <c r="E37" i="8"/>
  <c r="E38" i="8"/>
  <c r="E39" i="8"/>
  <c r="E40" i="8"/>
  <c r="E41" i="8"/>
  <c r="E43" i="8"/>
  <c r="E44" i="8"/>
  <c r="E30" i="8"/>
  <c r="E27" i="8"/>
  <c r="E28" i="8"/>
  <c r="E17" i="8"/>
  <c r="E18" i="8"/>
  <c r="E19" i="8"/>
  <c r="E20" i="8"/>
  <c r="E21" i="8"/>
  <c r="E22" i="8"/>
  <c r="E23" i="8"/>
  <c r="E24" i="8"/>
  <c r="E8" i="8"/>
  <c r="E9" i="8"/>
  <c r="E11" i="8"/>
  <c r="E12" i="8"/>
  <c r="E13" i="8"/>
  <c r="E14" i="8"/>
  <c r="C90" i="8"/>
  <c r="C89" i="8"/>
  <c r="C87" i="8"/>
  <c r="C86" i="8"/>
  <c r="C81" i="8"/>
  <c r="C79" i="8"/>
  <c r="C73" i="8"/>
  <c r="C75" i="8"/>
  <c r="C76" i="8"/>
  <c r="C77" i="8"/>
  <c r="C72" i="8"/>
  <c r="C69" i="8"/>
  <c r="C70" i="8"/>
  <c r="C68" i="8"/>
  <c r="C63" i="8"/>
  <c r="C64" i="8"/>
  <c r="C65" i="8"/>
  <c r="C66" i="8"/>
  <c r="C62" i="8"/>
  <c r="C57" i="8"/>
  <c r="C58" i="8"/>
  <c r="C59" i="8"/>
  <c r="C60" i="8"/>
  <c r="C56" i="8"/>
  <c r="C47" i="8"/>
  <c r="C48" i="8"/>
  <c r="C49" i="8"/>
  <c r="C50" i="8"/>
  <c r="C51" i="8"/>
  <c r="C52" i="8"/>
  <c r="C53" i="8"/>
  <c r="C54" i="8"/>
  <c r="C55" i="8"/>
  <c r="C46" i="8"/>
  <c r="C33" i="8"/>
  <c r="C34" i="8"/>
  <c r="C35" i="8"/>
  <c r="C36" i="8"/>
  <c r="C37" i="8"/>
  <c r="C38" i="8"/>
  <c r="C39" i="8"/>
  <c r="C40" i="8"/>
  <c r="C41" i="8"/>
  <c r="C43" i="8"/>
  <c r="C44" i="8"/>
  <c r="C32" i="8"/>
  <c r="C30" i="8"/>
  <c r="C28" i="8"/>
  <c r="C27" i="8"/>
  <c r="C17" i="8"/>
  <c r="C18" i="8"/>
  <c r="C19" i="8"/>
  <c r="C20" i="8"/>
  <c r="C21" i="8"/>
  <c r="C22" i="8"/>
  <c r="C23" i="8"/>
  <c r="C16" i="8"/>
  <c r="C9" i="8"/>
  <c r="C11" i="8"/>
  <c r="C12" i="8"/>
  <c r="C13" i="8"/>
  <c r="C14" i="8"/>
  <c r="E90" i="176"/>
  <c r="E89" i="176"/>
  <c r="E87" i="176"/>
  <c r="E86" i="176"/>
  <c r="E82" i="176"/>
  <c r="E81" i="176"/>
  <c r="E80" i="176"/>
  <c r="E79" i="176"/>
  <c r="E75" i="176"/>
  <c r="E74" i="176"/>
  <c r="E73" i="176"/>
  <c r="E72" i="176"/>
  <c r="E70" i="176"/>
  <c r="E69" i="176"/>
  <c r="E68" i="176"/>
  <c r="E66" i="176"/>
  <c r="E65" i="176"/>
  <c r="E64" i="176"/>
  <c r="E63" i="176"/>
  <c r="E62" i="176"/>
  <c r="E60" i="176"/>
  <c r="E59" i="176"/>
  <c r="E58" i="176"/>
  <c r="E57" i="176"/>
  <c r="E56" i="176"/>
  <c r="E51" i="176"/>
  <c r="E50" i="176"/>
  <c r="E49" i="176"/>
  <c r="E48" i="176"/>
  <c r="E47" i="176"/>
  <c r="E46" i="176"/>
  <c r="E44" i="176"/>
  <c r="E43" i="176"/>
  <c r="E41" i="176"/>
  <c r="E40" i="176"/>
  <c r="E39" i="176"/>
  <c r="E38" i="176"/>
  <c r="E37" i="176"/>
  <c r="E36" i="176"/>
  <c r="E35" i="176"/>
  <c r="E34" i="176"/>
  <c r="E33" i="176"/>
  <c r="E32" i="176"/>
  <c r="E30" i="176"/>
  <c r="E28" i="176"/>
  <c r="E27" i="176"/>
  <c r="E24" i="176"/>
  <c r="E23" i="176"/>
  <c r="E22" i="176"/>
  <c r="E21" i="176"/>
  <c r="E20" i="176"/>
  <c r="E19" i="176"/>
  <c r="E18" i="176"/>
  <c r="E17" i="176"/>
  <c r="E16" i="176"/>
  <c r="E14" i="176"/>
  <c r="E13" i="176"/>
  <c r="E12" i="176"/>
  <c r="E11" i="176"/>
  <c r="E10" i="176"/>
  <c r="E9" i="176"/>
  <c r="E8" i="176"/>
  <c r="C90" i="176"/>
  <c r="C89" i="176"/>
  <c r="C87" i="176"/>
  <c r="C86" i="176"/>
  <c r="C81" i="176"/>
  <c r="C79" i="176"/>
  <c r="C73" i="176"/>
  <c r="C75" i="176"/>
  <c r="C72" i="176"/>
  <c r="C69" i="176"/>
  <c r="C69" i="179" s="1"/>
  <c r="C70" i="176"/>
  <c r="C68" i="176"/>
  <c r="C63" i="176"/>
  <c r="C64" i="176"/>
  <c r="C65" i="176"/>
  <c r="C66" i="176"/>
  <c r="C62" i="176"/>
  <c r="C62" i="179" s="1"/>
  <c r="C57" i="176"/>
  <c r="C57" i="179" s="1"/>
  <c r="C58" i="176"/>
  <c r="C58" i="179" s="1"/>
  <c r="C59" i="176"/>
  <c r="C59" i="179" s="1"/>
  <c r="C60" i="176"/>
  <c r="C60" i="179" s="1"/>
  <c r="C56" i="176"/>
  <c r="C28" i="176"/>
  <c r="C27" i="176"/>
  <c r="C17" i="176"/>
  <c r="C17" i="179" s="1"/>
  <c r="C18" i="176"/>
  <c r="C18" i="179" s="1"/>
  <c r="C19" i="176"/>
  <c r="C20" i="176"/>
  <c r="C20" i="179" s="1"/>
  <c r="C21" i="176"/>
  <c r="C21" i="179" s="1"/>
  <c r="C22" i="176"/>
  <c r="C22" i="179" s="1"/>
  <c r="C23" i="176"/>
  <c r="C16" i="176"/>
  <c r="C16" i="179" s="1"/>
  <c r="C9" i="176"/>
  <c r="C9" i="179" s="1"/>
  <c r="C10" i="176"/>
  <c r="C11" i="176"/>
  <c r="C11" i="179" s="1"/>
  <c r="C12" i="176"/>
  <c r="C12" i="179" s="1"/>
  <c r="C13" i="176"/>
  <c r="C14" i="176"/>
  <c r="C14" i="179" s="1"/>
  <c r="E85" i="175"/>
  <c r="E78" i="175"/>
  <c r="E83" i="175" s="1"/>
  <c r="E71" i="175"/>
  <c r="E67" i="175" s="1"/>
  <c r="E15" i="175"/>
  <c r="D90" i="175"/>
  <c r="D90" i="8" s="1"/>
  <c r="D89" i="175"/>
  <c r="D87" i="175"/>
  <c r="D86" i="175"/>
  <c r="D86" i="8" s="1"/>
  <c r="D80" i="175"/>
  <c r="D80" i="8" s="1"/>
  <c r="D81" i="175"/>
  <c r="D82" i="175"/>
  <c r="D82" i="8" s="1"/>
  <c r="D79" i="175"/>
  <c r="D79" i="8" s="1"/>
  <c r="D73" i="175"/>
  <c r="D73" i="8" s="1"/>
  <c r="D74" i="175"/>
  <c r="D74" i="8" s="1"/>
  <c r="D75" i="175"/>
  <c r="D75" i="8" s="1"/>
  <c r="D72" i="175"/>
  <c r="D72" i="8" s="1"/>
  <c r="D69" i="175"/>
  <c r="D69" i="8" s="1"/>
  <c r="D70" i="175"/>
  <c r="D70" i="8" s="1"/>
  <c r="D65" i="175"/>
  <c r="D65" i="8" s="1"/>
  <c r="D66" i="175"/>
  <c r="D66" i="8" s="1"/>
  <c r="D68" i="175"/>
  <c r="D68" i="8" s="1"/>
  <c r="D63" i="175"/>
  <c r="D63" i="8" s="1"/>
  <c r="D64" i="175"/>
  <c r="D64" i="8" s="1"/>
  <c r="D62" i="175"/>
  <c r="D62" i="8" s="1"/>
  <c r="D57" i="175"/>
  <c r="D57" i="8" s="1"/>
  <c r="D58" i="175"/>
  <c r="D58" i="8" s="1"/>
  <c r="D59" i="175"/>
  <c r="D59" i="8" s="1"/>
  <c r="D60" i="175"/>
  <c r="D60" i="8" s="1"/>
  <c r="D56" i="175"/>
  <c r="D56" i="8" s="1"/>
  <c r="D47" i="175"/>
  <c r="D48" i="175"/>
  <c r="D48" i="8" s="1"/>
  <c r="D49" i="175"/>
  <c r="D49" i="8" s="1"/>
  <c r="D50" i="175"/>
  <c r="D50" i="8" s="1"/>
  <c r="D51" i="175"/>
  <c r="D51" i="8" s="1"/>
  <c r="D46" i="175"/>
  <c r="D33" i="175"/>
  <c r="D33" i="8" s="1"/>
  <c r="D34" i="175"/>
  <c r="D34" i="8" s="1"/>
  <c r="D35" i="175"/>
  <c r="D35" i="8" s="1"/>
  <c r="D36" i="175"/>
  <c r="D36" i="8" s="1"/>
  <c r="D37" i="175"/>
  <c r="D37" i="8" s="1"/>
  <c r="D38" i="175"/>
  <c r="D38" i="8" s="1"/>
  <c r="D39" i="175"/>
  <c r="D39" i="8" s="1"/>
  <c r="D40" i="175"/>
  <c r="D40" i="8" s="1"/>
  <c r="D41" i="175"/>
  <c r="D41" i="8" s="1"/>
  <c r="D43" i="175"/>
  <c r="D43" i="8" s="1"/>
  <c r="D44" i="175"/>
  <c r="D44" i="8" s="1"/>
  <c r="D32" i="175"/>
  <c r="D32" i="8" s="1"/>
  <c r="D30" i="175"/>
  <c r="D30" i="8" s="1"/>
  <c r="D28" i="175"/>
  <c r="D28" i="8" s="1"/>
  <c r="D27" i="175"/>
  <c r="D27" i="8" s="1"/>
  <c r="D17" i="175"/>
  <c r="D17" i="8" s="1"/>
  <c r="D18" i="175"/>
  <c r="D18" i="8" s="1"/>
  <c r="D19" i="175"/>
  <c r="D19" i="8" s="1"/>
  <c r="D20" i="175"/>
  <c r="D20" i="8" s="1"/>
  <c r="D21" i="175"/>
  <c r="D21" i="8" s="1"/>
  <c r="D22" i="175"/>
  <c r="D22" i="8" s="1"/>
  <c r="D23" i="175"/>
  <c r="D23" i="8" s="1"/>
  <c r="D24" i="175"/>
  <c r="D24" i="8" s="1"/>
  <c r="D16" i="175"/>
  <c r="D16" i="8" s="1"/>
  <c r="D9" i="175"/>
  <c r="D9" i="8" s="1"/>
  <c r="D10" i="175"/>
  <c r="D12" i="175"/>
  <c r="D13" i="175"/>
  <c r="D13" i="8" s="1"/>
  <c r="D14" i="175"/>
  <c r="D14" i="8" s="1"/>
  <c r="D8" i="175"/>
  <c r="D8" i="8" s="1"/>
  <c r="C51" i="176"/>
  <c r="C50" i="176"/>
  <c r="C49" i="176"/>
  <c r="C48" i="176"/>
  <c r="C47" i="176"/>
  <c r="C46" i="176"/>
  <c r="C44" i="176"/>
  <c r="C43" i="176"/>
  <c r="C41" i="176"/>
  <c r="C40" i="176"/>
  <c r="C39" i="176"/>
  <c r="C38" i="176"/>
  <c r="C37" i="176"/>
  <c r="C36" i="176"/>
  <c r="C35" i="176"/>
  <c r="C34" i="176"/>
  <c r="C33" i="176"/>
  <c r="C32" i="176"/>
  <c r="C30" i="176"/>
  <c r="A2" i="176"/>
  <c r="C82" i="175"/>
  <c r="C80" i="175"/>
  <c r="C80" i="8" s="1"/>
  <c r="C74" i="175"/>
  <c r="C74" i="176" s="1"/>
  <c r="C29" i="175"/>
  <c r="C25" i="175" s="1"/>
  <c r="C24" i="175"/>
  <c r="C24" i="176" s="1"/>
  <c r="C8" i="175"/>
  <c r="C8" i="176" s="1"/>
  <c r="E88" i="175"/>
  <c r="C88" i="175"/>
  <c r="C85" i="175"/>
  <c r="E61" i="175"/>
  <c r="C61" i="175"/>
  <c r="C31" i="175"/>
  <c r="C15" i="175"/>
  <c r="A2" i="175"/>
  <c r="C24" i="85" l="1"/>
  <c r="E32" i="85"/>
  <c r="E45" i="178"/>
  <c r="E31" i="178" s="1"/>
  <c r="E29" i="178" s="1"/>
  <c r="E25" i="178" s="1"/>
  <c r="D45" i="175"/>
  <c r="D31" i="175" s="1"/>
  <c r="E45" i="176"/>
  <c r="E31" i="176" s="1"/>
  <c r="C45" i="176"/>
  <c r="C31" i="176" s="1"/>
  <c r="C73" i="179"/>
  <c r="C45" i="8"/>
  <c r="F34" i="186"/>
  <c r="F34" i="198" s="1"/>
  <c r="E45" i="8"/>
  <c r="E31" i="8" s="1"/>
  <c r="C74" i="179"/>
  <c r="C10" i="179"/>
  <c r="C66" i="179"/>
  <c r="C68" i="179"/>
  <c r="C80" i="176"/>
  <c r="C80" i="179" s="1"/>
  <c r="E21" i="186"/>
  <c r="E33" i="186"/>
  <c r="F33" i="186" s="1"/>
  <c r="H33" i="186" s="1"/>
  <c r="C71" i="175"/>
  <c r="C67" i="175" s="1"/>
  <c r="E27" i="85"/>
  <c r="D27" i="85"/>
  <c r="C27" i="179"/>
  <c r="E73" i="179"/>
  <c r="C28" i="85"/>
  <c r="C25" i="178"/>
  <c r="C46" i="85"/>
  <c r="C45" i="178"/>
  <c r="C31" i="178" s="1"/>
  <c r="D46" i="85"/>
  <c r="D45" i="178"/>
  <c r="D31" i="178" s="1"/>
  <c r="D46" i="8"/>
  <c r="D88" i="175"/>
  <c r="C28" i="179"/>
  <c r="E17" i="179"/>
  <c r="E21" i="179"/>
  <c r="E89" i="179"/>
  <c r="C30" i="179"/>
  <c r="C49" i="179"/>
  <c r="C33" i="179"/>
  <c r="C37" i="179"/>
  <c r="C41" i="179"/>
  <c r="E30" i="179"/>
  <c r="E75" i="179"/>
  <c r="E56" i="179"/>
  <c r="E82" i="179"/>
  <c r="C8" i="179"/>
  <c r="C51" i="179"/>
  <c r="E33" i="179"/>
  <c r="E41" i="179"/>
  <c r="E51" i="179"/>
  <c r="C13" i="179"/>
  <c r="C64" i="179"/>
  <c r="E65" i="179"/>
  <c r="E61" i="179" s="1"/>
  <c r="E85" i="178"/>
  <c r="C47" i="179"/>
  <c r="E37" i="179"/>
  <c r="E47" i="179"/>
  <c r="E81" i="179"/>
  <c r="C35" i="179"/>
  <c r="C39" i="179"/>
  <c r="C44" i="179"/>
  <c r="C63" i="179"/>
  <c r="C72" i="179"/>
  <c r="C81" i="179"/>
  <c r="C89" i="179"/>
  <c r="E10" i="179"/>
  <c r="E19" i="179"/>
  <c r="E15" i="179" s="1"/>
  <c r="E35" i="179"/>
  <c r="E39" i="179"/>
  <c r="E44" i="179"/>
  <c r="E49" i="179"/>
  <c r="D85" i="178"/>
  <c r="C32" i="179"/>
  <c r="C40" i="179"/>
  <c r="C46" i="179"/>
  <c r="C50" i="179"/>
  <c r="C56" i="179"/>
  <c r="C79" i="179"/>
  <c r="E9" i="179"/>
  <c r="E13" i="179"/>
  <c r="E48" i="179"/>
  <c r="E70" i="179"/>
  <c r="E30" i="85"/>
  <c r="C34" i="179"/>
  <c r="C38" i="179"/>
  <c r="C43" i="179"/>
  <c r="C71" i="176"/>
  <c r="C67" i="176" s="1"/>
  <c r="C24" i="179"/>
  <c r="C75" i="179"/>
  <c r="E32" i="179"/>
  <c r="E68" i="179"/>
  <c r="E87" i="179"/>
  <c r="C95" i="81"/>
  <c r="E15" i="176"/>
  <c r="C82" i="176"/>
  <c r="C82" i="179" s="1"/>
  <c r="C78" i="175"/>
  <c r="C83" i="175" s="1"/>
  <c r="D71" i="8"/>
  <c r="D61" i="175"/>
  <c r="D85" i="175"/>
  <c r="D87" i="8"/>
  <c r="E90" i="179"/>
  <c r="E88" i="176"/>
  <c r="C7" i="175"/>
  <c r="C29" i="176"/>
  <c r="C29" i="179" s="1"/>
  <c r="D78" i="175"/>
  <c r="D83" i="175" s="1"/>
  <c r="E61" i="176"/>
  <c r="C74" i="8"/>
  <c r="C71" i="8" s="1"/>
  <c r="D47" i="8"/>
  <c r="C84" i="175"/>
  <c r="D15" i="175"/>
  <c r="D81" i="8"/>
  <c r="D89" i="8"/>
  <c r="C86" i="85"/>
  <c r="C85" i="178"/>
  <c r="E46" i="85"/>
  <c r="E45" i="85" s="1"/>
  <c r="C86" i="179"/>
  <c r="E36" i="179"/>
  <c r="C8" i="85"/>
  <c r="C48" i="179"/>
  <c r="C23" i="179"/>
  <c r="C15" i="176"/>
  <c r="C19" i="179"/>
  <c r="C15" i="179" s="1"/>
  <c r="C87" i="179"/>
  <c r="E46" i="179"/>
  <c r="E50" i="179"/>
  <c r="E71" i="176"/>
  <c r="E67" i="176" s="1"/>
  <c r="E78" i="176"/>
  <c r="E83" i="176" s="1"/>
  <c r="E85" i="176"/>
  <c r="E86" i="179"/>
  <c r="C61" i="178"/>
  <c r="C72" i="85"/>
  <c r="C71" i="178"/>
  <c r="C67" i="178" s="1"/>
  <c r="D86" i="85"/>
  <c r="C88" i="176"/>
  <c r="C90" i="179"/>
  <c r="E40" i="179"/>
  <c r="C36" i="179"/>
  <c r="C61" i="176"/>
  <c r="C70" i="179"/>
  <c r="E34" i="179"/>
  <c r="E38" i="179"/>
  <c r="E43" i="179"/>
  <c r="D15" i="178"/>
  <c r="D19" i="85"/>
  <c r="E61" i="178"/>
  <c r="E62" i="85"/>
  <c r="D71" i="178"/>
  <c r="D67" i="178" s="1"/>
  <c r="C65" i="179"/>
  <c r="E15" i="178"/>
  <c r="C88" i="178"/>
  <c r="C90" i="85"/>
  <c r="D47" i="85"/>
  <c r="D61" i="178"/>
  <c r="D63" i="85"/>
  <c r="D78" i="178"/>
  <c r="D83" i="178" s="1"/>
  <c r="D88" i="178"/>
  <c r="D73" i="85"/>
  <c r="D80" i="85"/>
  <c r="D90" i="85"/>
  <c r="E71" i="178"/>
  <c r="E67" i="178" s="1"/>
  <c r="E78" i="178"/>
  <c r="E83" i="178" s="1"/>
  <c r="E88" i="178"/>
  <c r="E72" i="85"/>
  <c r="E79" i="85"/>
  <c r="E89" i="85"/>
  <c r="C94" i="81"/>
  <c r="C92" i="81"/>
  <c r="D92" i="81"/>
  <c r="C78" i="178"/>
  <c r="C83" i="178" s="1"/>
  <c r="C15" i="178"/>
  <c r="E71" i="8"/>
  <c r="C85" i="176"/>
  <c r="E84" i="175"/>
  <c r="E103" i="175"/>
  <c r="E29" i="175"/>
  <c r="E25" i="175" s="1"/>
  <c r="D71" i="175"/>
  <c r="D67" i="175" s="1"/>
  <c r="E31" i="85" l="1"/>
  <c r="E45" i="179"/>
  <c r="E31" i="179" s="1"/>
  <c r="E32" i="186"/>
  <c r="E30" i="186"/>
  <c r="E18" i="186"/>
  <c r="F18" i="186" s="1"/>
  <c r="H18" i="186" s="1"/>
  <c r="E20" i="186"/>
  <c r="E22" i="186"/>
  <c r="F22" i="186" s="1"/>
  <c r="H22" i="186" s="1"/>
  <c r="E16" i="186"/>
  <c r="C88" i="179"/>
  <c r="E71" i="179"/>
  <c r="E67" i="179" s="1"/>
  <c r="D45" i="8"/>
  <c r="C103" i="175"/>
  <c r="C25" i="179"/>
  <c r="E24" i="186"/>
  <c r="D20" i="194"/>
  <c r="D23" i="194" s="1"/>
  <c r="C25" i="85"/>
  <c r="F35" i="186"/>
  <c r="E13" i="186"/>
  <c r="E31" i="186"/>
  <c r="E25" i="186"/>
  <c r="E15" i="186"/>
  <c r="C45" i="85"/>
  <c r="D84" i="178"/>
  <c r="E88" i="179"/>
  <c r="C84" i="178"/>
  <c r="D84" i="175"/>
  <c r="E7" i="179"/>
  <c r="C71" i="179"/>
  <c r="C67" i="179" s="1"/>
  <c r="E78" i="179"/>
  <c r="D45" i="85"/>
  <c r="C25" i="176"/>
  <c r="C7" i="176" s="1"/>
  <c r="C45" i="179"/>
  <c r="C31" i="179" s="1"/>
  <c r="C78" i="176"/>
  <c r="C83" i="176" s="1"/>
  <c r="C83" i="179" s="1"/>
  <c r="C91" i="175"/>
  <c r="C93" i="175" s="1"/>
  <c r="C99" i="175" s="1"/>
  <c r="D103" i="175"/>
  <c r="C78" i="179"/>
  <c r="E84" i="178"/>
  <c r="C61" i="179"/>
  <c r="D103" i="178"/>
  <c r="K103" i="178"/>
  <c r="F103" i="178"/>
  <c r="C7" i="178"/>
  <c r="L103" i="178"/>
  <c r="E85" i="179"/>
  <c r="E103" i="176"/>
  <c r="E7" i="175"/>
  <c r="E91" i="175" s="1"/>
  <c r="E93" i="175" s="1"/>
  <c r="E29" i="176"/>
  <c r="E25" i="176" s="1"/>
  <c r="E29" i="8"/>
  <c r="E25" i="8" s="1"/>
  <c r="E84" i="176"/>
  <c r="C85" i="179"/>
  <c r="C84" i="176"/>
  <c r="K103" i="175"/>
  <c r="E7" i="178"/>
  <c r="E29" i="85"/>
  <c r="E25" i="85" s="1"/>
  <c r="E103" i="178"/>
  <c r="C103" i="178"/>
  <c r="C7" i="179" l="1"/>
  <c r="E84" i="179"/>
  <c r="C84" i="179"/>
  <c r="C91" i="179" s="1"/>
  <c r="E103" i="179"/>
  <c r="C91" i="178"/>
  <c r="C93" i="178" s="1"/>
  <c r="C99" i="178" s="1"/>
  <c r="C91" i="176"/>
  <c r="C93" i="176" s="1"/>
  <c r="C99" i="176" s="1"/>
  <c r="E7" i="176"/>
  <c r="E91" i="176" s="1"/>
  <c r="E93" i="176" s="1"/>
  <c r="C103" i="176"/>
  <c r="E91" i="179"/>
  <c r="E93" i="179" s="1"/>
  <c r="E91" i="178"/>
  <c r="E93" i="178" s="1"/>
  <c r="C103" i="179"/>
  <c r="C93" i="179" l="1"/>
  <c r="C8" i="28"/>
  <c r="C24" i="28"/>
  <c r="C24" i="8" s="1"/>
  <c r="C82" i="28"/>
  <c r="C82" i="8" s="1"/>
  <c r="C29" i="28"/>
  <c r="C29" i="8" l="1"/>
  <c r="C25" i="8" s="1"/>
  <c r="C25" i="28"/>
  <c r="C8" i="8"/>
  <c r="C29" i="171"/>
  <c r="C29" i="177" s="1"/>
  <c r="E29" i="177"/>
  <c r="C15" i="28"/>
  <c r="D90" i="173"/>
  <c r="D90" i="84" s="1"/>
  <c r="D89" i="173"/>
  <c r="D89" i="84" s="1"/>
  <c r="D87" i="173"/>
  <c r="D87" i="84" s="1"/>
  <c r="D86" i="173"/>
  <c r="D86" i="84" s="1"/>
  <c r="D80" i="173"/>
  <c r="D80" i="84" s="1"/>
  <c r="D81" i="173"/>
  <c r="D81" i="84" s="1"/>
  <c r="D82" i="173"/>
  <c r="D82" i="84" s="1"/>
  <c r="D79" i="173"/>
  <c r="D79" i="84" s="1"/>
  <c r="D73" i="173"/>
  <c r="D73" i="84" s="1"/>
  <c r="D74" i="173"/>
  <c r="D74" i="84" s="1"/>
  <c r="D75" i="84"/>
  <c r="D72" i="173"/>
  <c r="D72" i="84" s="1"/>
  <c r="D69" i="173"/>
  <c r="D69" i="84" s="1"/>
  <c r="D70" i="173"/>
  <c r="D70" i="84" s="1"/>
  <c r="D68" i="173"/>
  <c r="D68" i="84" s="1"/>
  <c r="D63" i="173"/>
  <c r="D63" i="84" s="1"/>
  <c r="D64" i="173"/>
  <c r="D64" i="84" s="1"/>
  <c r="D65" i="173"/>
  <c r="D65" i="84" s="1"/>
  <c r="D66" i="173"/>
  <c r="D66" i="84" s="1"/>
  <c r="D62" i="173"/>
  <c r="D62" i="84" s="1"/>
  <c r="D57" i="173"/>
  <c r="D57" i="84" s="1"/>
  <c r="D58" i="173"/>
  <c r="D58" i="84" s="1"/>
  <c r="D59" i="173"/>
  <c r="D59" i="84" s="1"/>
  <c r="D60" i="173"/>
  <c r="D60" i="84" s="1"/>
  <c r="D56" i="173"/>
  <c r="D56" i="84" s="1"/>
  <c r="D47" i="173"/>
  <c r="D47" i="84" s="1"/>
  <c r="D48" i="173"/>
  <c r="D48" i="84" s="1"/>
  <c r="D49" i="173"/>
  <c r="D49" i="84" s="1"/>
  <c r="D50" i="173"/>
  <c r="D50" i="84" s="1"/>
  <c r="D51" i="173"/>
  <c r="D51" i="84" s="1"/>
  <c r="D46" i="173"/>
  <c r="D33" i="173"/>
  <c r="D33" i="84" s="1"/>
  <c r="D34" i="173"/>
  <c r="D34" i="84" s="1"/>
  <c r="D35" i="173"/>
  <c r="D35" i="84" s="1"/>
  <c r="D36" i="173"/>
  <c r="D36" i="84" s="1"/>
  <c r="D37" i="173"/>
  <c r="D37" i="84" s="1"/>
  <c r="D38" i="173"/>
  <c r="D38" i="84" s="1"/>
  <c r="D39" i="173"/>
  <c r="D39" i="84" s="1"/>
  <c r="D40" i="173"/>
  <c r="D40" i="84" s="1"/>
  <c r="D41" i="173"/>
  <c r="D41" i="84" s="1"/>
  <c r="D43" i="173"/>
  <c r="D43" i="84" s="1"/>
  <c r="D44" i="173"/>
  <c r="D44" i="84" s="1"/>
  <c r="D32" i="173"/>
  <c r="D32" i="84" s="1"/>
  <c r="D30" i="173"/>
  <c r="D28" i="173"/>
  <c r="D28" i="84" s="1"/>
  <c r="D27" i="173"/>
  <c r="D27" i="84" s="1"/>
  <c r="D17" i="173"/>
  <c r="D17" i="84" s="1"/>
  <c r="D18" i="173"/>
  <c r="D18" i="84" s="1"/>
  <c r="D19" i="173"/>
  <c r="D19" i="84" s="1"/>
  <c r="D20" i="173"/>
  <c r="D21" i="173"/>
  <c r="D21" i="84" s="1"/>
  <c r="D22" i="173"/>
  <c r="D22" i="84" s="1"/>
  <c r="D23" i="173"/>
  <c r="D23" i="84" s="1"/>
  <c r="D24" i="173"/>
  <c r="D24" i="84" s="1"/>
  <c r="D16" i="173"/>
  <c r="D16" i="84" s="1"/>
  <c r="D9" i="173"/>
  <c r="D9" i="84" s="1"/>
  <c r="D10" i="173"/>
  <c r="D10" i="84" s="1"/>
  <c r="D11" i="173"/>
  <c r="D11" i="84" s="1"/>
  <c r="D12" i="173"/>
  <c r="D12" i="84" s="1"/>
  <c r="D13" i="173"/>
  <c r="D13" i="84" s="1"/>
  <c r="D14" i="173"/>
  <c r="D8" i="173"/>
  <c r="E90" i="173"/>
  <c r="E90" i="84" s="1"/>
  <c r="E89" i="173"/>
  <c r="E87" i="173"/>
  <c r="E87" i="84" s="1"/>
  <c r="E86" i="173"/>
  <c r="E86" i="84" s="1"/>
  <c r="E82" i="173"/>
  <c r="E82" i="84" s="1"/>
  <c r="E81" i="173"/>
  <c r="E81" i="84" s="1"/>
  <c r="E80" i="173"/>
  <c r="E80" i="84" s="1"/>
  <c r="E79" i="173"/>
  <c r="E79" i="84" s="1"/>
  <c r="E75" i="84"/>
  <c r="E74" i="173"/>
  <c r="E74" i="84" s="1"/>
  <c r="E73" i="173"/>
  <c r="E73" i="84" s="1"/>
  <c r="E72" i="173"/>
  <c r="E72" i="84" s="1"/>
  <c r="E70" i="173"/>
  <c r="E70" i="84" s="1"/>
  <c r="E69" i="173"/>
  <c r="E69" i="84" s="1"/>
  <c r="E68" i="173"/>
  <c r="E68" i="84" s="1"/>
  <c r="E66" i="173"/>
  <c r="E66" i="84" s="1"/>
  <c r="E65" i="173"/>
  <c r="E65" i="84" s="1"/>
  <c r="E64" i="173"/>
  <c r="E64" i="84" s="1"/>
  <c r="E63" i="173"/>
  <c r="E63" i="84" s="1"/>
  <c r="E62" i="173"/>
  <c r="E62" i="84" s="1"/>
  <c r="E60" i="173"/>
  <c r="E60" i="84" s="1"/>
  <c r="E59" i="173"/>
  <c r="E59" i="84" s="1"/>
  <c r="E58" i="173"/>
  <c r="E58" i="84" s="1"/>
  <c r="E57" i="173"/>
  <c r="E57" i="84" s="1"/>
  <c r="E56" i="173"/>
  <c r="E56" i="84" s="1"/>
  <c r="E51" i="173"/>
  <c r="E51" i="84" s="1"/>
  <c r="E50" i="173"/>
  <c r="E50" i="84" s="1"/>
  <c r="E49" i="173"/>
  <c r="E49" i="84" s="1"/>
  <c r="E48" i="173"/>
  <c r="E48" i="84" s="1"/>
  <c r="E47" i="173"/>
  <c r="E47" i="84" s="1"/>
  <c r="E46" i="173"/>
  <c r="E44" i="173"/>
  <c r="E44" i="84" s="1"/>
  <c r="E43" i="173"/>
  <c r="E43" i="84" s="1"/>
  <c r="E41" i="173"/>
  <c r="E41" i="84" s="1"/>
  <c r="E40" i="173"/>
  <c r="E40" i="84" s="1"/>
  <c r="E39" i="173"/>
  <c r="E39" i="84" s="1"/>
  <c r="E38" i="173"/>
  <c r="E38" i="84" s="1"/>
  <c r="E37" i="173"/>
  <c r="E37" i="84" s="1"/>
  <c r="E36" i="173"/>
  <c r="E36" i="84" s="1"/>
  <c r="E35" i="173"/>
  <c r="E35" i="84" s="1"/>
  <c r="E34" i="173"/>
  <c r="E34" i="84" s="1"/>
  <c r="E33" i="173"/>
  <c r="E33" i="84" s="1"/>
  <c r="E32" i="173"/>
  <c r="E30" i="173"/>
  <c r="E28" i="173"/>
  <c r="E28" i="84" s="1"/>
  <c r="E27" i="173"/>
  <c r="E24" i="173"/>
  <c r="E24" i="84" s="1"/>
  <c r="E23" i="173"/>
  <c r="E23" i="84" s="1"/>
  <c r="E22" i="173"/>
  <c r="E22" i="84" s="1"/>
  <c r="E21" i="173"/>
  <c r="E21" i="84" s="1"/>
  <c r="E20" i="173"/>
  <c r="E20" i="84" s="1"/>
  <c r="E19" i="173"/>
  <c r="E19" i="84" s="1"/>
  <c r="E18" i="173"/>
  <c r="E18" i="84" s="1"/>
  <c r="E17" i="173"/>
  <c r="E17" i="84" s="1"/>
  <c r="E16" i="173"/>
  <c r="E16" i="84" s="1"/>
  <c r="E14" i="173"/>
  <c r="E14" i="84" s="1"/>
  <c r="E13" i="173"/>
  <c r="E13" i="84" s="1"/>
  <c r="E12" i="173"/>
  <c r="E12" i="84" s="1"/>
  <c r="E11" i="173"/>
  <c r="E11" i="84" s="1"/>
  <c r="E10" i="173"/>
  <c r="E10" i="84" s="1"/>
  <c r="E9" i="173"/>
  <c r="E9" i="84" s="1"/>
  <c r="E8" i="173"/>
  <c r="C90" i="173"/>
  <c r="C90" i="84" s="1"/>
  <c r="C89" i="173"/>
  <c r="C89" i="84" s="1"/>
  <c r="C87" i="173"/>
  <c r="C87" i="84" s="1"/>
  <c r="C86" i="173"/>
  <c r="C86" i="84" s="1"/>
  <c r="C80" i="173"/>
  <c r="C80" i="84" s="1"/>
  <c r="C81" i="173"/>
  <c r="C81" i="84" s="1"/>
  <c r="C82" i="173"/>
  <c r="C82" i="84" s="1"/>
  <c r="C79" i="173"/>
  <c r="C79" i="84" s="1"/>
  <c r="C73" i="173"/>
  <c r="C73" i="84" s="1"/>
  <c r="C74" i="173"/>
  <c r="C74" i="84" s="1"/>
  <c r="C75" i="84"/>
  <c r="C72" i="173"/>
  <c r="C72" i="84" s="1"/>
  <c r="C69" i="173"/>
  <c r="C69" i="84" s="1"/>
  <c r="C70" i="173"/>
  <c r="C70" i="84" s="1"/>
  <c r="C68" i="173"/>
  <c r="C68" i="84" s="1"/>
  <c r="C63" i="173"/>
  <c r="C63" i="84" s="1"/>
  <c r="C64" i="173"/>
  <c r="C64" i="84" s="1"/>
  <c r="C65" i="173"/>
  <c r="C65" i="84" s="1"/>
  <c r="C66" i="173"/>
  <c r="C66" i="84" s="1"/>
  <c r="C62" i="173"/>
  <c r="C62" i="84" s="1"/>
  <c r="C57" i="173"/>
  <c r="C57" i="84" s="1"/>
  <c r="C58" i="173"/>
  <c r="C58" i="84" s="1"/>
  <c r="C59" i="173"/>
  <c r="C59" i="84" s="1"/>
  <c r="C60" i="173"/>
  <c r="C60" i="84" s="1"/>
  <c r="C56" i="173"/>
  <c r="C56" i="84" s="1"/>
  <c r="C47" i="173"/>
  <c r="C47" i="84" s="1"/>
  <c r="C48" i="173"/>
  <c r="C48" i="84" s="1"/>
  <c r="C49" i="173"/>
  <c r="C49" i="84" s="1"/>
  <c r="C50" i="173"/>
  <c r="C50" i="84" s="1"/>
  <c r="C51" i="173"/>
  <c r="C51" i="84" s="1"/>
  <c r="C46" i="173"/>
  <c r="C33" i="173"/>
  <c r="C33" i="84" s="1"/>
  <c r="C34" i="173"/>
  <c r="C34" i="84" s="1"/>
  <c r="C35" i="173"/>
  <c r="C35" i="84" s="1"/>
  <c r="C36" i="173"/>
  <c r="C36" i="84" s="1"/>
  <c r="C37" i="173"/>
  <c r="C37" i="84" s="1"/>
  <c r="C38" i="173"/>
  <c r="C38" i="84" s="1"/>
  <c r="C39" i="173"/>
  <c r="C39" i="84" s="1"/>
  <c r="C40" i="173"/>
  <c r="C40" i="84" s="1"/>
  <c r="C41" i="173"/>
  <c r="C41" i="84" s="1"/>
  <c r="C43" i="173"/>
  <c r="C43" i="84" s="1"/>
  <c r="C44" i="173"/>
  <c r="C44" i="84" s="1"/>
  <c r="C32" i="173"/>
  <c r="C32" i="84" s="1"/>
  <c r="C30" i="173"/>
  <c r="C28" i="173"/>
  <c r="C28" i="84" s="1"/>
  <c r="C27" i="173"/>
  <c r="C27" i="84" s="1"/>
  <c r="C17" i="173"/>
  <c r="C17" i="84" s="1"/>
  <c r="C18" i="173"/>
  <c r="C18" i="84" s="1"/>
  <c r="C19" i="173"/>
  <c r="C19" i="84" s="1"/>
  <c r="C20" i="173"/>
  <c r="C20" i="84" s="1"/>
  <c r="C21" i="173"/>
  <c r="C21" i="84" s="1"/>
  <c r="C22" i="173"/>
  <c r="C22" i="84" s="1"/>
  <c r="C23" i="173"/>
  <c r="C23" i="84" s="1"/>
  <c r="C24" i="173"/>
  <c r="C24" i="84" s="1"/>
  <c r="C16" i="173"/>
  <c r="C16" i="84" s="1"/>
  <c r="C9" i="173"/>
  <c r="C9" i="84" s="1"/>
  <c r="C10" i="173"/>
  <c r="C10" i="84" s="1"/>
  <c r="C11" i="173"/>
  <c r="C11" i="84" s="1"/>
  <c r="C12" i="173"/>
  <c r="C12" i="84" s="1"/>
  <c r="C13" i="173"/>
  <c r="C13" i="84" s="1"/>
  <c r="C14" i="173"/>
  <c r="C14" i="84" s="1"/>
  <c r="C8" i="173"/>
  <c r="D90" i="172"/>
  <c r="D89" i="172"/>
  <c r="D87" i="172"/>
  <c r="D86" i="172"/>
  <c r="D80" i="172"/>
  <c r="D81" i="172"/>
  <c r="D82" i="172"/>
  <c r="D79" i="172"/>
  <c r="D73" i="172"/>
  <c r="D74" i="172"/>
  <c r="D75" i="172"/>
  <c r="D72" i="172"/>
  <c r="D69" i="172"/>
  <c r="D70" i="172"/>
  <c r="D68" i="172"/>
  <c r="D63" i="172"/>
  <c r="D64" i="172"/>
  <c r="D65" i="172"/>
  <c r="D66" i="172"/>
  <c r="D62" i="172"/>
  <c r="D57" i="172"/>
  <c r="D58" i="172"/>
  <c r="D59" i="172"/>
  <c r="D60" i="172"/>
  <c r="D56" i="172"/>
  <c r="D47" i="172"/>
  <c r="D48" i="172"/>
  <c r="D49" i="172"/>
  <c r="D50" i="172"/>
  <c r="D51" i="172"/>
  <c r="D46" i="172"/>
  <c r="D33" i="172"/>
  <c r="D34" i="172"/>
  <c r="D35" i="172"/>
  <c r="D36" i="172"/>
  <c r="D37" i="172"/>
  <c r="D38" i="172"/>
  <c r="D39" i="172"/>
  <c r="D40" i="172"/>
  <c r="D41" i="172"/>
  <c r="D43" i="172"/>
  <c r="D44" i="172"/>
  <c r="D32" i="172"/>
  <c r="D30" i="172"/>
  <c r="D28" i="172"/>
  <c r="D27" i="172"/>
  <c r="D17" i="172"/>
  <c r="D18" i="172"/>
  <c r="D19" i="172"/>
  <c r="D20" i="172"/>
  <c r="D21" i="172"/>
  <c r="D22" i="172"/>
  <c r="D23" i="172"/>
  <c r="D24" i="172"/>
  <c r="D16" i="172"/>
  <c r="D9" i="172"/>
  <c r="D10" i="172"/>
  <c r="D12" i="172"/>
  <c r="D13" i="172"/>
  <c r="D14" i="172"/>
  <c r="D8" i="172"/>
  <c r="E90" i="172"/>
  <c r="E90" i="83" s="1"/>
  <c r="E89" i="172"/>
  <c r="E89" i="83" s="1"/>
  <c r="E87" i="172"/>
  <c r="E86" i="172"/>
  <c r="E86" i="83" s="1"/>
  <c r="E82" i="172"/>
  <c r="E82" i="83" s="1"/>
  <c r="E81" i="172"/>
  <c r="E81" i="83" s="1"/>
  <c r="E80" i="172"/>
  <c r="E80" i="83" s="1"/>
  <c r="E79" i="172"/>
  <c r="E79" i="83" s="1"/>
  <c r="E75" i="172"/>
  <c r="E75" i="83" s="1"/>
  <c r="E74" i="172"/>
  <c r="E74" i="83" s="1"/>
  <c r="E73" i="172"/>
  <c r="E73" i="83" s="1"/>
  <c r="E72" i="172"/>
  <c r="E72" i="83" s="1"/>
  <c r="E70" i="172"/>
  <c r="E70" i="83" s="1"/>
  <c r="E69" i="172"/>
  <c r="E69" i="83" s="1"/>
  <c r="E68" i="172"/>
  <c r="E68" i="83" s="1"/>
  <c r="E66" i="172"/>
  <c r="E66" i="83" s="1"/>
  <c r="E65" i="172"/>
  <c r="E65" i="83" s="1"/>
  <c r="E64" i="172"/>
  <c r="E64" i="83" s="1"/>
  <c r="E63" i="172"/>
  <c r="E63" i="83" s="1"/>
  <c r="E62" i="172"/>
  <c r="E62" i="83" s="1"/>
  <c r="E60" i="172"/>
  <c r="E60" i="83" s="1"/>
  <c r="E59" i="172"/>
  <c r="E59" i="83" s="1"/>
  <c r="E58" i="172"/>
  <c r="E58" i="83" s="1"/>
  <c r="E57" i="172"/>
  <c r="E57" i="83" s="1"/>
  <c r="E56" i="172"/>
  <c r="E56" i="83" s="1"/>
  <c r="E51" i="172"/>
  <c r="E51" i="83" s="1"/>
  <c r="E50" i="172"/>
  <c r="E50" i="83" s="1"/>
  <c r="E49" i="172"/>
  <c r="E49" i="83" s="1"/>
  <c r="E48" i="172"/>
  <c r="E48" i="83" s="1"/>
  <c r="E47" i="172"/>
  <c r="E47" i="83" s="1"/>
  <c r="E46" i="172"/>
  <c r="E44" i="172"/>
  <c r="E44" i="83" s="1"/>
  <c r="E43" i="172"/>
  <c r="E43" i="83" s="1"/>
  <c r="E41" i="172"/>
  <c r="E41" i="83" s="1"/>
  <c r="E40" i="172"/>
  <c r="E40" i="83" s="1"/>
  <c r="E39" i="172"/>
  <c r="E39" i="83" s="1"/>
  <c r="E38" i="172"/>
  <c r="E38" i="83" s="1"/>
  <c r="E37" i="172"/>
  <c r="E37" i="83" s="1"/>
  <c r="E36" i="172"/>
  <c r="E36" i="83" s="1"/>
  <c r="E35" i="172"/>
  <c r="E35" i="83" s="1"/>
  <c r="E34" i="172"/>
  <c r="E34" i="83" s="1"/>
  <c r="E33" i="172"/>
  <c r="E33" i="83" s="1"/>
  <c r="E32" i="172"/>
  <c r="E30" i="172"/>
  <c r="E28" i="172"/>
  <c r="E28" i="83" s="1"/>
  <c r="E27" i="172"/>
  <c r="E24" i="172"/>
  <c r="E24" i="83" s="1"/>
  <c r="E23" i="172"/>
  <c r="E23" i="83" s="1"/>
  <c r="E22" i="172"/>
  <c r="E22" i="83" s="1"/>
  <c r="E21" i="172"/>
  <c r="E21" i="83" s="1"/>
  <c r="E20" i="172"/>
  <c r="E20" i="83" s="1"/>
  <c r="E19" i="172"/>
  <c r="E19" i="83" s="1"/>
  <c r="E18" i="172"/>
  <c r="E18" i="83" s="1"/>
  <c r="E17" i="172"/>
  <c r="E17" i="83" s="1"/>
  <c r="E16" i="172"/>
  <c r="E16" i="83" s="1"/>
  <c r="E14" i="172"/>
  <c r="E14" i="83" s="1"/>
  <c r="E13" i="172"/>
  <c r="E13" i="83" s="1"/>
  <c r="E12" i="172"/>
  <c r="E12" i="83" s="1"/>
  <c r="E11" i="172"/>
  <c r="E11" i="83" s="1"/>
  <c r="E10" i="172"/>
  <c r="E10" i="83" s="1"/>
  <c r="E9" i="172"/>
  <c r="E9" i="83" s="1"/>
  <c r="E8" i="172"/>
  <c r="C90" i="172"/>
  <c r="C90" i="83" s="1"/>
  <c r="C89" i="172"/>
  <c r="C89" i="83" s="1"/>
  <c r="C87" i="172"/>
  <c r="C87" i="83" s="1"/>
  <c r="C86" i="172"/>
  <c r="C86" i="83" s="1"/>
  <c r="C80" i="172"/>
  <c r="C80" i="83" s="1"/>
  <c r="C81" i="172"/>
  <c r="C81" i="83" s="1"/>
  <c r="C82" i="172"/>
  <c r="C82" i="83" s="1"/>
  <c r="C79" i="172"/>
  <c r="C79" i="83" s="1"/>
  <c r="C73" i="172"/>
  <c r="C73" i="83" s="1"/>
  <c r="C74" i="172"/>
  <c r="C74" i="83" s="1"/>
  <c r="C75" i="172"/>
  <c r="C75" i="83" s="1"/>
  <c r="C72" i="172"/>
  <c r="C72" i="83" s="1"/>
  <c r="C69" i="172"/>
  <c r="C69" i="83" s="1"/>
  <c r="C70" i="172"/>
  <c r="C70" i="83" s="1"/>
  <c r="C68" i="172"/>
  <c r="C68" i="83" s="1"/>
  <c r="C63" i="172"/>
  <c r="C63" i="83" s="1"/>
  <c r="C64" i="172"/>
  <c r="C64" i="83" s="1"/>
  <c r="C65" i="172"/>
  <c r="C65" i="83" s="1"/>
  <c r="C66" i="172"/>
  <c r="C66" i="83" s="1"/>
  <c r="C62" i="172"/>
  <c r="C62" i="83" s="1"/>
  <c r="C57" i="172"/>
  <c r="C57" i="83" s="1"/>
  <c r="C58" i="172"/>
  <c r="C58" i="83" s="1"/>
  <c r="C59" i="172"/>
  <c r="C59" i="83" s="1"/>
  <c r="C60" i="172"/>
  <c r="C60" i="83" s="1"/>
  <c r="C56" i="172"/>
  <c r="C56" i="83" s="1"/>
  <c r="C47" i="172"/>
  <c r="C47" i="83" s="1"/>
  <c r="C48" i="172"/>
  <c r="C48" i="83" s="1"/>
  <c r="C49" i="172"/>
  <c r="C49" i="83" s="1"/>
  <c r="C50" i="172"/>
  <c r="C50" i="83" s="1"/>
  <c r="C51" i="172"/>
  <c r="C51" i="83" s="1"/>
  <c r="C46" i="172"/>
  <c r="C33" i="172"/>
  <c r="C33" i="83" s="1"/>
  <c r="C34" i="172"/>
  <c r="C34" i="83" s="1"/>
  <c r="C35" i="172"/>
  <c r="C35" i="83" s="1"/>
  <c r="C36" i="172"/>
  <c r="C36" i="83" s="1"/>
  <c r="C37" i="172"/>
  <c r="C37" i="83" s="1"/>
  <c r="C38" i="172"/>
  <c r="C38" i="83" s="1"/>
  <c r="C39" i="172"/>
  <c r="C39" i="83" s="1"/>
  <c r="C40" i="172"/>
  <c r="C40" i="83" s="1"/>
  <c r="C41" i="172"/>
  <c r="C41" i="83" s="1"/>
  <c r="C43" i="172"/>
  <c r="C43" i="83" s="1"/>
  <c r="C44" i="172"/>
  <c r="C44" i="83" s="1"/>
  <c r="C32" i="172"/>
  <c r="C32" i="83" s="1"/>
  <c r="C30" i="172"/>
  <c r="C28" i="172"/>
  <c r="C28" i="83" s="1"/>
  <c r="C27" i="172"/>
  <c r="C27" i="83" s="1"/>
  <c r="C17" i="172"/>
  <c r="C17" i="83" s="1"/>
  <c r="C18" i="172"/>
  <c r="C18" i="83" s="1"/>
  <c r="C19" i="172"/>
  <c r="C19" i="83" s="1"/>
  <c r="C20" i="172"/>
  <c r="C20" i="83" s="1"/>
  <c r="C21" i="172"/>
  <c r="C21" i="83" s="1"/>
  <c r="C22" i="172"/>
  <c r="C22" i="83" s="1"/>
  <c r="C23" i="172"/>
  <c r="C23" i="83" s="1"/>
  <c r="C24" i="172"/>
  <c r="C24" i="83" s="1"/>
  <c r="C16" i="172"/>
  <c r="C16" i="83" s="1"/>
  <c r="C9" i="172"/>
  <c r="C9" i="83" s="1"/>
  <c r="C10" i="172"/>
  <c r="C10" i="83" s="1"/>
  <c r="C11" i="172"/>
  <c r="C11" i="83" s="1"/>
  <c r="C12" i="172"/>
  <c r="C13" i="172"/>
  <c r="C13" i="83" s="1"/>
  <c r="C14" i="172"/>
  <c r="C14" i="83" s="1"/>
  <c r="C8" i="172"/>
  <c r="C8" i="83" s="1"/>
  <c r="D90" i="171"/>
  <c r="D89" i="171"/>
  <c r="D87" i="171"/>
  <c r="D86" i="171"/>
  <c r="D80" i="171"/>
  <c r="D81" i="171"/>
  <c r="D82" i="171"/>
  <c r="D79" i="171"/>
  <c r="D73" i="171"/>
  <c r="D74" i="171"/>
  <c r="D75" i="171"/>
  <c r="D72" i="171"/>
  <c r="D69" i="171"/>
  <c r="D70" i="171"/>
  <c r="D68" i="171"/>
  <c r="D63" i="171"/>
  <c r="D64" i="171"/>
  <c r="D65" i="171"/>
  <c r="D66" i="171"/>
  <c r="D62" i="171"/>
  <c r="D57" i="171"/>
  <c r="D58" i="171"/>
  <c r="D59" i="171"/>
  <c r="D60" i="171"/>
  <c r="D56" i="171"/>
  <c r="D47" i="171"/>
  <c r="D48" i="171"/>
  <c r="D49" i="171"/>
  <c r="D50" i="171"/>
  <c r="D51" i="171"/>
  <c r="D46" i="171"/>
  <c r="D33" i="171"/>
  <c r="D34" i="171"/>
  <c r="D35" i="171"/>
  <c r="D36" i="171"/>
  <c r="D37" i="171"/>
  <c r="D38" i="171"/>
  <c r="D39" i="171"/>
  <c r="D40" i="171"/>
  <c r="D41" i="171"/>
  <c r="D43" i="171"/>
  <c r="D44" i="171"/>
  <c r="D32" i="171"/>
  <c r="D28" i="171"/>
  <c r="D30" i="171"/>
  <c r="D27" i="171"/>
  <c r="D23" i="171"/>
  <c r="D24" i="171"/>
  <c r="D22" i="171"/>
  <c r="D21" i="171"/>
  <c r="D19" i="171"/>
  <c r="D20" i="171"/>
  <c r="D18" i="171"/>
  <c r="D17" i="171"/>
  <c r="D16" i="171"/>
  <c r="E27" i="84" l="1"/>
  <c r="E32" i="84"/>
  <c r="E32" i="83"/>
  <c r="E27" i="83"/>
  <c r="C45" i="172"/>
  <c r="E45" i="173"/>
  <c r="E31" i="173" s="1"/>
  <c r="E29" i="173" s="1"/>
  <c r="E25" i="173" s="1"/>
  <c r="D45" i="172"/>
  <c r="C45" i="173"/>
  <c r="E45" i="172"/>
  <c r="E31" i="172" s="1"/>
  <c r="E29" i="172" s="1"/>
  <c r="E25" i="172" s="1"/>
  <c r="D45" i="171"/>
  <c r="D45" i="173"/>
  <c r="E46" i="84"/>
  <c r="E45" i="84" s="1"/>
  <c r="C46" i="84"/>
  <c r="C45" i="84" s="1"/>
  <c r="E46" i="83"/>
  <c r="E45" i="83" s="1"/>
  <c r="C46" i="83"/>
  <c r="C45" i="83" s="1"/>
  <c r="D46" i="84"/>
  <c r="D45" i="84" s="1"/>
  <c r="D20" i="84"/>
  <c r="C30" i="83"/>
  <c r="E88" i="172"/>
  <c r="E30" i="84"/>
  <c r="C29" i="82"/>
  <c r="C29" i="81" s="1"/>
  <c r="E30" i="83"/>
  <c r="C30" i="84"/>
  <c r="D30" i="84"/>
  <c r="D18" i="82"/>
  <c r="D30" i="82"/>
  <c r="D38" i="82"/>
  <c r="D56" i="82"/>
  <c r="D64" i="82"/>
  <c r="D73" i="82"/>
  <c r="D90" i="82"/>
  <c r="D10" i="83"/>
  <c r="D10" i="176"/>
  <c r="D10" i="179" s="1"/>
  <c r="D19" i="83"/>
  <c r="D19" i="176"/>
  <c r="D19" i="179" s="1"/>
  <c r="D43" i="83"/>
  <c r="D43" i="176"/>
  <c r="D43" i="179" s="1"/>
  <c r="D50" i="83"/>
  <c r="D50" i="176"/>
  <c r="D50" i="179" s="1"/>
  <c r="D57" i="83"/>
  <c r="D57" i="176"/>
  <c r="D57" i="179" s="1"/>
  <c r="D69" i="83"/>
  <c r="D69" i="176"/>
  <c r="D69" i="179" s="1"/>
  <c r="D80" i="83"/>
  <c r="D80" i="176"/>
  <c r="D80" i="179" s="1"/>
  <c r="C8" i="84"/>
  <c r="D24" i="82"/>
  <c r="D41" i="82"/>
  <c r="D33" i="82"/>
  <c r="D60" i="82"/>
  <c r="D63" i="82"/>
  <c r="D79" i="82"/>
  <c r="D9" i="83"/>
  <c r="D9" i="176"/>
  <c r="D9" i="179" s="1"/>
  <c r="D18" i="83"/>
  <c r="D18" i="176"/>
  <c r="D18" i="177" s="1"/>
  <c r="D30" i="83"/>
  <c r="D30" i="176"/>
  <c r="D33" i="83"/>
  <c r="D33" i="176"/>
  <c r="D33" i="179" s="1"/>
  <c r="D60" i="83"/>
  <c r="D60" i="176"/>
  <c r="D60" i="179" s="1"/>
  <c r="D63" i="83"/>
  <c r="D63" i="176"/>
  <c r="D63" i="179" s="1"/>
  <c r="D72" i="83"/>
  <c r="D72" i="176"/>
  <c r="D86" i="83"/>
  <c r="D86" i="176"/>
  <c r="D86" i="177" s="1"/>
  <c r="D17" i="82"/>
  <c r="D21" i="82"/>
  <c r="D27" i="82"/>
  <c r="D44" i="82"/>
  <c r="D39" i="82"/>
  <c r="D35" i="82"/>
  <c r="D51" i="82"/>
  <c r="D47" i="82"/>
  <c r="D58" i="82"/>
  <c r="D65" i="82"/>
  <c r="D70" i="82"/>
  <c r="D74" i="82"/>
  <c r="D81" i="82"/>
  <c r="D89" i="82"/>
  <c r="E85" i="172"/>
  <c r="E87" i="83"/>
  <c r="D8" i="83"/>
  <c r="D8" i="176"/>
  <c r="D8" i="179" s="1"/>
  <c r="D24" i="83"/>
  <c r="D24" i="176"/>
  <c r="D24" i="179" s="1"/>
  <c r="D20" i="83"/>
  <c r="D20" i="176"/>
  <c r="D20" i="179" s="1"/>
  <c r="D27" i="83"/>
  <c r="D27" i="176"/>
  <c r="D27" i="179" s="1"/>
  <c r="D44" i="83"/>
  <c r="D44" i="176"/>
  <c r="D44" i="179" s="1"/>
  <c r="D39" i="83"/>
  <c r="D39" i="176"/>
  <c r="D39" i="179" s="1"/>
  <c r="D35" i="83"/>
  <c r="D35" i="176"/>
  <c r="D35" i="179" s="1"/>
  <c r="D51" i="83"/>
  <c r="D51" i="176"/>
  <c r="D51" i="179" s="1"/>
  <c r="D47" i="83"/>
  <c r="D47" i="176"/>
  <c r="D47" i="177" s="1"/>
  <c r="D58" i="83"/>
  <c r="D58" i="176"/>
  <c r="D58" i="179" s="1"/>
  <c r="D65" i="83"/>
  <c r="D65" i="176"/>
  <c r="D65" i="179" s="1"/>
  <c r="D70" i="83"/>
  <c r="D70" i="176"/>
  <c r="D70" i="179" s="1"/>
  <c r="D74" i="83"/>
  <c r="D74" i="176"/>
  <c r="D74" i="179" s="1"/>
  <c r="D81" i="83"/>
  <c r="D81" i="176"/>
  <c r="D81" i="177" s="1"/>
  <c r="D89" i="83"/>
  <c r="D89" i="176"/>
  <c r="D89" i="177" s="1"/>
  <c r="D22" i="82"/>
  <c r="D43" i="82"/>
  <c r="D34" i="82"/>
  <c r="D50" i="82"/>
  <c r="D57" i="82"/>
  <c r="D69" i="82"/>
  <c r="D80" i="82"/>
  <c r="E8" i="83"/>
  <c r="D14" i="176"/>
  <c r="D23" i="83"/>
  <c r="D23" i="176"/>
  <c r="D23" i="179" s="1"/>
  <c r="D28" i="83"/>
  <c r="D28" i="176"/>
  <c r="D28" i="179" s="1"/>
  <c r="D38" i="83"/>
  <c r="D38" i="176"/>
  <c r="D38" i="179" s="1"/>
  <c r="D34" i="83"/>
  <c r="D34" i="176"/>
  <c r="D34" i="179" s="1"/>
  <c r="D56" i="176"/>
  <c r="D56" i="179" s="1"/>
  <c r="D56" i="83"/>
  <c r="D64" i="83"/>
  <c r="D64" i="176"/>
  <c r="D64" i="179" s="1"/>
  <c r="D73" i="83"/>
  <c r="D73" i="176"/>
  <c r="D73" i="179" s="1"/>
  <c r="D90" i="83"/>
  <c r="D90" i="176"/>
  <c r="D90" i="179" s="1"/>
  <c r="D8" i="84"/>
  <c r="D20" i="82"/>
  <c r="D28" i="82"/>
  <c r="D37" i="82"/>
  <c r="D49" i="82"/>
  <c r="D62" i="82"/>
  <c r="D72" i="82"/>
  <c r="D86" i="82"/>
  <c r="C12" i="83"/>
  <c r="D13" i="83"/>
  <c r="D13" i="176"/>
  <c r="D13" i="179" s="1"/>
  <c r="D22" i="83"/>
  <c r="D22" i="176"/>
  <c r="D22" i="179" s="1"/>
  <c r="D41" i="83"/>
  <c r="D41" i="176"/>
  <c r="D41" i="179" s="1"/>
  <c r="D37" i="176"/>
  <c r="D37" i="179" s="1"/>
  <c r="D37" i="83"/>
  <c r="D49" i="83"/>
  <c r="D49" i="176"/>
  <c r="D49" i="179" s="1"/>
  <c r="D62" i="83"/>
  <c r="D62" i="176"/>
  <c r="D62" i="177" s="1"/>
  <c r="D79" i="83"/>
  <c r="D79" i="176"/>
  <c r="D79" i="179" s="1"/>
  <c r="D16" i="82"/>
  <c r="D19" i="82"/>
  <c r="D23" i="82"/>
  <c r="D32" i="82"/>
  <c r="D40" i="82"/>
  <c r="D36" i="82"/>
  <c r="D46" i="82"/>
  <c r="D48" i="82"/>
  <c r="D59" i="82"/>
  <c r="D66" i="82"/>
  <c r="D68" i="82"/>
  <c r="D75" i="82"/>
  <c r="D82" i="82"/>
  <c r="D87" i="82"/>
  <c r="D12" i="83"/>
  <c r="D12" i="176"/>
  <c r="D12" i="179" s="1"/>
  <c r="D16" i="83"/>
  <c r="D16" i="176"/>
  <c r="D16" i="179" s="1"/>
  <c r="D21" i="83"/>
  <c r="D21" i="176"/>
  <c r="D21" i="179" s="1"/>
  <c r="D17" i="83"/>
  <c r="D17" i="176"/>
  <c r="D17" i="179" s="1"/>
  <c r="D32" i="83"/>
  <c r="D32" i="176"/>
  <c r="D40" i="83"/>
  <c r="D40" i="176"/>
  <c r="D40" i="179" s="1"/>
  <c r="D36" i="83"/>
  <c r="D36" i="176"/>
  <c r="D36" i="179" s="1"/>
  <c r="D46" i="176"/>
  <c r="D46" i="83"/>
  <c r="D48" i="83"/>
  <c r="D48" i="176"/>
  <c r="D48" i="179" s="1"/>
  <c r="D59" i="83"/>
  <c r="D59" i="176"/>
  <c r="D59" i="179" s="1"/>
  <c r="D66" i="83"/>
  <c r="D66" i="176"/>
  <c r="D66" i="179" s="1"/>
  <c r="D68" i="83"/>
  <c r="D68" i="176"/>
  <c r="D68" i="177" s="1"/>
  <c r="D75" i="83"/>
  <c r="D75" i="176"/>
  <c r="D75" i="179" s="1"/>
  <c r="D82" i="176"/>
  <c r="D82" i="179" s="1"/>
  <c r="D82" i="83"/>
  <c r="D87" i="83"/>
  <c r="D87" i="176"/>
  <c r="D87" i="179" s="1"/>
  <c r="E8" i="84"/>
  <c r="E88" i="173"/>
  <c r="E89" i="84"/>
  <c r="E85" i="173"/>
  <c r="E61" i="173"/>
  <c r="E15" i="173"/>
  <c r="E71" i="173"/>
  <c r="E67" i="173" s="1"/>
  <c r="E78" i="173"/>
  <c r="E83" i="173" s="1"/>
  <c r="E61" i="172"/>
  <c r="E15" i="172"/>
  <c r="E71" i="172"/>
  <c r="E67" i="172" s="1"/>
  <c r="E78" i="172"/>
  <c r="E83" i="172" s="1"/>
  <c r="E31" i="84" l="1"/>
  <c r="E31" i="83"/>
  <c r="D45" i="176"/>
  <c r="D31" i="176" s="1"/>
  <c r="D45" i="83"/>
  <c r="D46" i="179"/>
  <c r="D45" i="82"/>
  <c r="D57" i="177"/>
  <c r="E84" i="172"/>
  <c r="D80" i="177"/>
  <c r="D80" i="81"/>
  <c r="D43" i="177"/>
  <c r="D43" i="81"/>
  <c r="D30" i="179"/>
  <c r="D30" i="81" s="1"/>
  <c r="D57" i="81"/>
  <c r="D20" i="177"/>
  <c r="D28" i="81"/>
  <c r="D69" i="81"/>
  <c r="D74" i="177"/>
  <c r="D65" i="177"/>
  <c r="D59" i="177"/>
  <c r="D63" i="177"/>
  <c r="D73" i="81"/>
  <c r="D82" i="81"/>
  <c r="D46" i="177"/>
  <c r="D40" i="81"/>
  <c r="D19" i="81"/>
  <c r="D50" i="81"/>
  <c r="D22" i="177"/>
  <c r="D33" i="177"/>
  <c r="D24" i="81"/>
  <c r="D38" i="177"/>
  <c r="D16" i="81"/>
  <c r="D33" i="81"/>
  <c r="D59" i="81"/>
  <c r="D23" i="177"/>
  <c r="D37" i="177"/>
  <c r="D63" i="81"/>
  <c r="D82" i="177"/>
  <c r="D40" i="177"/>
  <c r="D23" i="81"/>
  <c r="D35" i="177"/>
  <c r="D24" i="177"/>
  <c r="E7" i="173"/>
  <c r="D56" i="81"/>
  <c r="E84" i="173"/>
  <c r="D34" i="177"/>
  <c r="D89" i="179"/>
  <c r="D88" i="179" s="1"/>
  <c r="D88" i="176"/>
  <c r="D65" i="81"/>
  <c r="D44" i="81"/>
  <c r="D90" i="177"/>
  <c r="D88" i="177" s="1"/>
  <c r="D64" i="177"/>
  <c r="D68" i="179"/>
  <c r="D87" i="177"/>
  <c r="D85" i="177" s="1"/>
  <c r="D75" i="177"/>
  <c r="D66" i="177"/>
  <c r="D48" i="177"/>
  <c r="D36" i="177"/>
  <c r="D16" i="177"/>
  <c r="D62" i="179"/>
  <c r="D61" i="179" s="1"/>
  <c r="D61" i="176"/>
  <c r="D37" i="81"/>
  <c r="D20" i="81"/>
  <c r="D34" i="81"/>
  <c r="D22" i="81"/>
  <c r="D70" i="177"/>
  <c r="D58" i="177"/>
  <c r="D51" i="177"/>
  <c r="D39" i="177"/>
  <c r="D27" i="177"/>
  <c r="D17" i="177"/>
  <c r="D79" i="177"/>
  <c r="D60" i="177"/>
  <c r="D41" i="177"/>
  <c r="D90" i="81"/>
  <c r="D64" i="81"/>
  <c r="D38" i="81"/>
  <c r="D32" i="179"/>
  <c r="D32" i="81" s="1"/>
  <c r="D49" i="81"/>
  <c r="D21" i="177"/>
  <c r="D47" i="179"/>
  <c r="D47" i="81" s="1"/>
  <c r="D74" i="81"/>
  <c r="D35" i="81"/>
  <c r="D21" i="81"/>
  <c r="D72" i="179"/>
  <c r="D71" i="179" s="1"/>
  <c r="D71" i="176"/>
  <c r="D67" i="176" s="1"/>
  <c r="E7" i="172"/>
  <c r="E34" i="185"/>
  <c r="D87" i="81"/>
  <c r="D75" i="81"/>
  <c r="D66" i="81"/>
  <c r="D48" i="81"/>
  <c r="D36" i="81"/>
  <c r="D32" i="177"/>
  <c r="D19" i="177"/>
  <c r="D72" i="177"/>
  <c r="D49" i="177"/>
  <c r="D28" i="177"/>
  <c r="D69" i="177"/>
  <c r="D50" i="177"/>
  <c r="D78" i="176"/>
  <c r="D83" i="176" s="1"/>
  <c r="D83" i="179" s="1"/>
  <c r="D81" i="179"/>
  <c r="D78" i="179" s="1"/>
  <c r="D70" i="81"/>
  <c r="D58" i="81"/>
  <c r="D51" i="81"/>
  <c r="D39" i="81"/>
  <c r="D27" i="81"/>
  <c r="D17" i="81"/>
  <c r="D86" i="179"/>
  <c r="D85" i="179" s="1"/>
  <c r="D85" i="176"/>
  <c r="D15" i="176"/>
  <c r="D18" i="179"/>
  <c r="D18" i="81" s="1"/>
  <c r="D79" i="81"/>
  <c r="D60" i="81"/>
  <c r="D41" i="81"/>
  <c r="D73" i="177"/>
  <c r="D56" i="177"/>
  <c r="D30" i="177"/>
  <c r="F20" i="135" l="1"/>
  <c r="E33" i="185"/>
  <c r="F33" i="185" s="1"/>
  <c r="H33" i="185" s="1"/>
  <c r="E20" i="185"/>
  <c r="E20" i="198" s="1"/>
  <c r="E32" i="185"/>
  <c r="E32" i="198" s="1"/>
  <c r="E25" i="185"/>
  <c r="E25" i="198" s="1"/>
  <c r="E18" i="185"/>
  <c r="F18" i="185" s="1"/>
  <c r="H18" i="185" s="1"/>
  <c r="E15" i="185"/>
  <c r="E15" i="198" s="1"/>
  <c r="E22" i="185"/>
  <c r="F22" i="185" s="1"/>
  <c r="H22" i="185" s="1"/>
  <c r="E34" i="198"/>
  <c r="E21" i="185"/>
  <c r="E21" i="198" s="1"/>
  <c r="E14" i="185"/>
  <c r="E13" i="185"/>
  <c r="E13" i="198" s="1"/>
  <c r="E17" i="185"/>
  <c r="E30" i="185"/>
  <c r="E28" i="185"/>
  <c r="F28" i="185" s="1"/>
  <c r="H28" i="185" s="1"/>
  <c r="E29" i="185"/>
  <c r="E29" i="198" s="1"/>
  <c r="E24" i="185"/>
  <c r="E24" i="198" s="1"/>
  <c r="E16" i="185"/>
  <c r="E31" i="185"/>
  <c r="D45" i="179"/>
  <c r="D31" i="179" s="1"/>
  <c r="D46" i="81"/>
  <c r="D78" i="177"/>
  <c r="D83" i="177" s="1"/>
  <c r="D103" i="176"/>
  <c r="D84" i="177"/>
  <c r="D62" i="81"/>
  <c r="D84" i="176"/>
  <c r="D15" i="179"/>
  <c r="F20" i="133"/>
  <c r="D71" i="177"/>
  <c r="D67" i="177" s="1"/>
  <c r="D89" i="81"/>
  <c r="D61" i="177"/>
  <c r="D72" i="81"/>
  <c r="D84" i="179"/>
  <c r="D86" i="81"/>
  <c r="F21" i="133"/>
  <c r="D15" i="177"/>
  <c r="D67" i="179"/>
  <c r="D103" i="179" s="1"/>
  <c r="D68" i="81"/>
  <c r="D81" i="81"/>
  <c r="F21" i="209" l="1"/>
  <c r="F21" i="135"/>
  <c r="K103" i="176"/>
  <c r="L103" i="179"/>
  <c r="E33" i="198"/>
  <c r="E28" i="198"/>
  <c r="E22" i="198"/>
  <c r="E31" i="198"/>
  <c r="E16" i="198"/>
  <c r="F30" i="198"/>
  <c r="E30" i="198"/>
  <c r="E18" i="198"/>
  <c r="E23" i="185"/>
  <c r="E12" i="185"/>
  <c r="D31" i="177"/>
  <c r="D45" i="81"/>
  <c r="D103" i="177"/>
  <c r="E37" i="185" l="1"/>
  <c r="K103" i="179"/>
  <c r="L103" i="176"/>
  <c r="F35" i="185"/>
  <c r="F35" i="198" s="1"/>
  <c r="H30" i="198"/>
  <c r="F22" i="198"/>
  <c r="F18" i="198"/>
  <c r="F33" i="198"/>
  <c r="H33" i="198"/>
  <c r="F28" i="198"/>
  <c r="K103" i="177"/>
  <c r="E35" i="185"/>
  <c r="M103" i="176" l="1"/>
  <c r="H28" i="198"/>
  <c r="H22" i="198"/>
  <c r="H35" i="185"/>
  <c r="H18" i="198"/>
  <c r="E27" i="185"/>
  <c r="D13" i="171" l="1"/>
  <c r="D14" i="171"/>
  <c r="D9" i="171"/>
  <c r="D8" i="171"/>
  <c r="C90" i="171"/>
  <c r="C89" i="171"/>
  <c r="C87" i="171"/>
  <c r="C86" i="171"/>
  <c r="C80" i="171"/>
  <c r="C81" i="171"/>
  <c r="C82" i="171"/>
  <c r="C79" i="171"/>
  <c r="C73" i="171"/>
  <c r="C74" i="171"/>
  <c r="C75" i="171"/>
  <c r="C72" i="171"/>
  <c r="C69" i="171"/>
  <c r="C70" i="171"/>
  <c r="C68" i="171"/>
  <c r="C63" i="171"/>
  <c r="C64" i="171"/>
  <c r="C65" i="171"/>
  <c r="C66" i="171"/>
  <c r="C62" i="171"/>
  <c r="C57" i="171"/>
  <c r="C58" i="171"/>
  <c r="C59" i="171"/>
  <c r="C60" i="171"/>
  <c r="C56" i="171"/>
  <c r="C47" i="171"/>
  <c r="C48" i="171"/>
  <c r="C49" i="171"/>
  <c r="C50" i="171"/>
  <c r="C51" i="171"/>
  <c r="C46" i="171"/>
  <c r="C33" i="171"/>
  <c r="C34" i="171"/>
  <c r="C35" i="171"/>
  <c r="C36" i="171"/>
  <c r="C37" i="171"/>
  <c r="C38" i="171"/>
  <c r="C39" i="171"/>
  <c r="C40" i="171"/>
  <c r="C41" i="171"/>
  <c r="C43" i="171"/>
  <c r="C44" i="171"/>
  <c r="C32" i="171"/>
  <c r="C30" i="171"/>
  <c r="C28" i="171"/>
  <c r="C27" i="171"/>
  <c r="C17" i="171"/>
  <c r="C18" i="171"/>
  <c r="C19" i="171"/>
  <c r="C20" i="171"/>
  <c r="C21" i="171"/>
  <c r="C22" i="171"/>
  <c r="C23" i="171"/>
  <c r="C24" i="171"/>
  <c r="C16" i="171"/>
  <c r="C12" i="171"/>
  <c r="C13" i="171"/>
  <c r="C14" i="171"/>
  <c r="C11" i="171"/>
  <c r="C9" i="171"/>
  <c r="C8" i="171"/>
  <c r="C45" i="171" l="1"/>
  <c r="C25" i="171"/>
  <c r="C13" i="177"/>
  <c r="C13" i="82"/>
  <c r="C13" i="81" s="1"/>
  <c r="C23" i="82"/>
  <c r="C23" i="81" s="1"/>
  <c r="C23" i="177"/>
  <c r="E23" i="177"/>
  <c r="E19" i="177"/>
  <c r="C30" i="82"/>
  <c r="C30" i="81" s="1"/>
  <c r="C30" i="177"/>
  <c r="C38" i="82"/>
  <c r="C38" i="81" s="1"/>
  <c r="C38" i="177"/>
  <c r="C50" i="82"/>
  <c r="C50" i="81" s="1"/>
  <c r="C50" i="177"/>
  <c r="E38" i="177"/>
  <c r="E51" i="177"/>
  <c r="C59" i="177"/>
  <c r="C59" i="82"/>
  <c r="C59" i="81" s="1"/>
  <c r="C62" i="82"/>
  <c r="C62" i="81" s="1"/>
  <c r="C62" i="177"/>
  <c r="C69" i="82"/>
  <c r="C69" i="81" s="1"/>
  <c r="C69" i="177"/>
  <c r="E75" i="177"/>
  <c r="C86" i="177"/>
  <c r="C86" i="82"/>
  <c r="C86" i="81" s="1"/>
  <c r="C89" i="82"/>
  <c r="C89" i="81" s="1"/>
  <c r="C89" i="177"/>
  <c r="D13" i="82"/>
  <c r="D13" i="81" s="1"/>
  <c r="D13" i="177"/>
  <c r="C12" i="82"/>
  <c r="C12" i="81" s="1"/>
  <c r="C12" i="177"/>
  <c r="C22" i="82"/>
  <c r="C22" i="81" s="1"/>
  <c r="C22" i="177"/>
  <c r="E30" i="177"/>
  <c r="C37" i="82"/>
  <c r="C37" i="81" s="1"/>
  <c r="C37" i="177"/>
  <c r="C49" i="82"/>
  <c r="C49" i="81" s="1"/>
  <c r="C49" i="177"/>
  <c r="E37" i="177"/>
  <c r="E50" i="177"/>
  <c r="C58" i="82"/>
  <c r="C58" i="81" s="1"/>
  <c r="C58" i="177"/>
  <c r="C66" i="82"/>
  <c r="C66" i="81" s="1"/>
  <c r="C66" i="177"/>
  <c r="C75" i="82"/>
  <c r="C75" i="81" s="1"/>
  <c r="C75" i="177"/>
  <c r="C82" i="82"/>
  <c r="C82" i="81" s="1"/>
  <c r="C82" i="177"/>
  <c r="D9" i="82"/>
  <c r="D9" i="81" s="1"/>
  <c r="D9" i="177"/>
  <c r="C8" i="82"/>
  <c r="C8" i="177"/>
  <c r="C11" i="82"/>
  <c r="C11" i="81" s="1"/>
  <c r="C11" i="177"/>
  <c r="C16" i="82"/>
  <c r="C16" i="81" s="1"/>
  <c r="C16" i="177"/>
  <c r="C15" i="171"/>
  <c r="C21" i="82"/>
  <c r="C21" i="81" s="1"/>
  <c r="C21" i="177"/>
  <c r="C17" i="82"/>
  <c r="C17" i="81" s="1"/>
  <c r="C17" i="177"/>
  <c r="E21" i="177"/>
  <c r="E17" i="177"/>
  <c r="C32" i="82"/>
  <c r="C32" i="81" s="1"/>
  <c r="C32" i="177"/>
  <c r="C40" i="82"/>
  <c r="C40" i="81" s="1"/>
  <c r="C40" i="177"/>
  <c r="C36" i="82"/>
  <c r="C36" i="81" s="1"/>
  <c r="C36" i="177"/>
  <c r="C46" i="82"/>
  <c r="C46" i="177"/>
  <c r="C48" i="82"/>
  <c r="C48" i="81" s="1"/>
  <c r="C48" i="177"/>
  <c r="E40" i="177"/>
  <c r="E36" i="177"/>
  <c r="E32" i="177"/>
  <c r="E49" i="177"/>
  <c r="C56" i="82"/>
  <c r="C56" i="81" s="1"/>
  <c r="C56" i="177"/>
  <c r="C57" i="82"/>
  <c r="C57" i="81" s="1"/>
  <c r="C57" i="177"/>
  <c r="E57" i="177"/>
  <c r="C65" i="82"/>
  <c r="C65" i="81" s="1"/>
  <c r="C65" i="177"/>
  <c r="C68" i="82"/>
  <c r="C68" i="81" s="1"/>
  <c r="C68" i="177"/>
  <c r="E69" i="177"/>
  <c r="C74" i="82"/>
  <c r="C74" i="81" s="1"/>
  <c r="C74" i="177"/>
  <c r="C81" i="82"/>
  <c r="C81" i="81" s="1"/>
  <c r="C81" i="177"/>
  <c r="E87" i="177"/>
  <c r="E90" i="177"/>
  <c r="E9" i="177"/>
  <c r="C19" i="82"/>
  <c r="C19" i="81" s="1"/>
  <c r="C19" i="177"/>
  <c r="C27" i="82"/>
  <c r="C27" i="177"/>
  <c r="C43" i="82"/>
  <c r="C43" i="81" s="1"/>
  <c r="C43" i="177"/>
  <c r="C34" i="82"/>
  <c r="C34" i="81" s="1"/>
  <c r="C34" i="177"/>
  <c r="E43" i="177"/>
  <c r="E34" i="177"/>
  <c r="E47" i="177"/>
  <c r="C63" i="82"/>
  <c r="C63" i="81" s="1"/>
  <c r="C63" i="177"/>
  <c r="C72" i="82"/>
  <c r="C72" i="81" s="1"/>
  <c r="C72" i="177"/>
  <c r="C79" i="82"/>
  <c r="C79" i="81" s="1"/>
  <c r="C79" i="177"/>
  <c r="D8" i="82"/>
  <c r="D8" i="81" s="1"/>
  <c r="D8" i="177"/>
  <c r="E8" i="177"/>
  <c r="E11" i="177"/>
  <c r="C18" i="82"/>
  <c r="C18" i="81" s="1"/>
  <c r="C18" i="177"/>
  <c r="C28" i="82"/>
  <c r="C28" i="81" s="1"/>
  <c r="C28" i="177"/>
  <c r="C41" i="82"/>
  <c r="C41" i="81" s="1"/>
  <c r="C41" i="177"/>
  <c r="C33" i="82"/>
  <c r="C33" i="81" s="1"/>
  <c r="C33" i="177"/>
  <c r="E41" i="177"/>
  <c r="E33" i="177"/>
  <c r="E46" i="177"/>
  <c r="E70" i="177"/>
  <c r="E81" i="177"/>
  <c r="C87" i="82"/>
  <c r="C87" i="81" s="1"/>
  <c r="C87" i="177"/>
  <c r="C90" i="82"/>
  <c r="C90" i="81" s="1"/>
  <c r="C90" i="177"/>
  <c r="C9" i="82"/>
  <c r="C9" i="81" s="1"/>
  <c r="C9" i="177"/>
  <c r="C14" i="82"/>
  <c r="C14" i="81" s="1"/>
  <c r="C14" i="177"/>
  <c r="E13" i="177"/>
  <c r="C24" i="82"/>
  <c r="C24" i="81" s="1"/>
  <c r="C24" i="177"/>
  <c r="C20" i="82"/>
  <c r="C20" i="81" s="1"/>
  <c r="C20" i="177"/>
  <c r="C44" i="82"/>
  <c r="C44" i="81" s="1"/>
  <c r="C39" i="82"/>
  <c r="C39" i="81" s="1"/>
  <c r="C39" i="177"/>
  <c r="C35" i="82"/>
  <c r="C35" i="81" s="1"/>
  <c r="C35" i="177"/>
  <c r="C51" i="82"/>
  <c r="C51" i="81" s="1"/>
  <c r="C51" i="177"/>
  <c r="C47" i="82"/>
  <c r="C47" i="81" s="1"/>
  <c r="C47" i="177"/>
  <c r="E39" i="177"/>
  <c r="E35" i="177"/>
  <c r="E48" i="177"/>
  <c r="C60" i="82"/>
  <c r="C60" i="81" s="1"/>
  <c r="C60" i="177"/>
  <c r="C64" i="82"/>
  <c r="C64" i="81" s="1"/>
  <c r="C64" i="177"/>
  <c r="C70" i="177"/>
  <c r="C70" i="82"/>
  <c r="C70" i="81" s="1"/>
  <c r="E68" i="177"/>
  <c r="C73" i="82"/>
  <c r="C73" i="81" s="1"/>
  <c r="C73" i="177"/>
  <c r="E72" i="177"/>
  <c r="C80" i="82"/>
  <c r="C80" i="81" s="1"/>
  <c r="C80" i="177"/>
  <c r="E79" i="177"/>
  <c r="D14" i="177"/>
  <c r="E89" i="177"/>
  <c r="E86" i="177"/>
  <c r="E80" i="177"/>
  <c r="E82" i="177"/>
  <c r="E74" i="177"/>
  <c r="E73" i="177"/>
  <c r="E66" i="177"/>
  <c r="E65" i="177"/>
  <c r="E64" i="177"/>
  <c r="E63" i="177"/>
  <c r="E62" i="177"/>
  <c r="E60" i="177"/>
  <c r="E59" i="177"/>
  <c r="E58" i="177"/>
  <c r="E56" i="177"/>
  <c r="E28" i="177"/>
  <c r="E27" i="177"/>
  <c r="E24" i="177"/>
  <c r="E22" i="177"/>
  <c r="E20" i="177"/>
  <c r="E18" i="177"/>
  <c r="E14" i="177"/>
  <c r="E12" i="177"/>
  <c r="D79" i="174"/>
  <c r="G79" i="174"/>
  <c r="D80" i="174"/>
  <c r="G80" i="174"/>
  <c r="D81" i="174"/>
  <c r="G81" i="174"/>
  <c r="D82" i="174"/>
  <c r="G82" i="174"/>
  <c r="C80" i="174"/>
  <c r="C81" i="174"/>
  <c r="C82" i="174"/>
  <c r="C79" i="174"/>
  <c r="D72" i="174"/>
  <c r="G72" i="174"/>
  <c r="D73" i="174"/>
  <c r="G73" i="174"/>
  <c r="D74" i="174"/>
  <c r="G74" i="174"/>
  <c r="D75" i="174"/>
  <c r="G75" i="174"/>
  <c r="C73" i="174"/>
  <c r="C74" i="174"/>
  <c r="C75" i="174"/>
  <c r="C72" i="174"/>
  <c r="D68" i="174"/>
  <c r="G68" i="174"/>
  <c r="D69" i="174"/>
  <c r="G69" i="174"/>
  <c r="D70" i="174"/>
  <c r="G70" i="174"/>
  <c r="C69" i="174"/>
  <c r="C70" i="174"/>
  <c r="C68" i="174"/>
  <c r="D62" i="174"/>
  <c r="G62" i="174"/>
  <c r="D63" i="174"/>
  <c r="G63" i="174"/>
  <c r="D64" i="174"/>
  <c r="G64" i="174"/>
  <c r="D65" i="174"/>
  <c r="G65" i="174"/>
  <c r="D66" i="174"/>
  <c r="G66" i="174"/>
  <c r="C63" i="174"/>
  <c r="C64" i="174"/>
  <c r="C65" i="174"/>
  <c r="C66" i="174"/>
  <c r="C62" i="174"/>
  <c r="D56" i="174"/>
  <c r="G56" i="174"/>
  <c r="D57" i="174"/>
  <c r="G57" i="174"/>
  <c r="D58" i="174"/>
  <c r="G58" i="174"/>
  <c r="D59" i="174"/>
  <c r="G59" i="174"/>
  <c r="D60" i="174"/>
  <c r="G60" i="174"/>
  <c r="C57" i="174"/>
  <c r="C58" i="174"/>
  <c r="C59" i="174"/>
  <c r="C60" i="174"/>
  <c r="C56" i="174"/>
  <c r="D46" i="174"/>
  <c r="G46" i="174"/>
  <c r="D47" i="174"/>
  <c r="G47" i="174"/>
  <c r="D48" i="174"/>
  <c r="G48" i="174"/>
  <c r="D49" i="174"/>
  <c r="G49" i="174"/>
  <c r="D50" i="174"/>
  <c r="G50" i="174"/>
  <c r="D51" i="174"/>
  <c r="G51" i="174"/>
  <c r="C47" i="174"/>
  <c r="C48" i="174"/>
  <c r="C49" i="174"/>
  <c r="C50" i="174"/>
  <c r="C51" i="174"/>
  <c r="C46" i="174"/>
  <c r="D32" i="174"/>
  <c r="G32" i="174"/>
  <c r="D33" i="174"/>
  <c r="G33" i="174"/>
  <c r="D34" i="174"/>
  <c r="G34" i="174"/>
  <c r="D35" i="174"/>
  <c r="G35" i="174"/>
  <c r="D36" i="174"/>
  <c r="G36" i="174"/>
  <c r="D37" i="174"/>
  <c r="G37" i="174"/>
  <c r="D38" i="174"/>
  <c r="G38" i="174"/>
  <c r="D39" i="174"/>
  <c r="G39" i="174"/>
  <c r="D40" i="174"/>
  <c r="G40" i="174"/>
  <c r="D41" i="174"/>
  <c r="G41" i="174"/>
  <c r="D43" i="174"/>
  <c r="G43" i="174"/>
  <c r="G31" i="174" s="1"/>
  <c r="D44" i="174"/>
  <c r="G44" i="174"/>
  <c r="C33" i="174"/>
  <c r="C34" i="174"/>
  <c r="C35" i="174"/>
  <c r="C36" i="174"/>
  <c r="C37" i="174"/>
  <c r="C38" i="174"/>
  <c r="C39" i="174"/>
  <c r="C40" i="174"/>
  <c r="C41" i="174"/>
  <c r="C43" i="174"/>
  <c r="C44" i="174"/>
  <c r="C32" i="174"/>
  <c r="D30" i="174"/>
  <c r="G30" i="174"/>
  <c r="C30" i="174"/>
  <c r="D27" i="174"/>
  <c r="G27" i="174"/>
  <c r="D28" i="174"/>
  <c r="G28" i="174"/>
  <c r="G25" i="174" s="1"/>
  <c r="C28" i="174"/>
  <c r="C27" i="174"/>
  <c r="D16" i="174"/>
  <c r="G16" i="174"/>
  <c r="D17" i="174"/>
  <c r="G17" i="174"/>
  <c r="D18" i="174"/>
  <c r="G18" i="174"/>
  <c r="D19" i="174"/>
  <c r="G19" i="174"/>
  <c r="D20" i="174"/>
  <c r="G20" i="174"/>
  <c r="D21" i="174"/>
  <c r="G21" i="174"/>
  <c r="D22" i="174"/>
  <c r="G22" i="174"/>
  <c r="D23" i="174"/>
  <c r="G23" i="174"/>
  <c r="D24" i="174"/>
  <c r="G24" i="174"/>
  <c r="C17" i="174"/>
  <c r="C18" i="174"/>
  <c r="C19" i="174"/>
  <c r="C20" i="174"/>
  <c r="C21" i="174"/>
  <c r="C22" i="174"/>
  <c r="C23" i="174"/>
  <c r="C24" i="174"/>
  <c r="C16" i="174"/>
  <c r="D8" i="174"/>
  <c r="G8" i="174"/>
  <c r="D9" i="174"/>
  <c r="G9" i="174"/>
  <c r="D10" i="174"/>
  <c r="G10" i="174"/>
  <c r="D11" i="174"/>
  <c r="G11" i="174"/>
  <c r="D12" i="174"/>
  <c r="G12" i="174"/>
  <c r="D13" i="174"/>
  <c r="G13" i="174"/>
  <c r="D14" i="174"/>
  <c r="G14" i="174"/>
  <c r="C9" i="174"/>
  <c r="C10" i="174"/>
  <c r="C11" i="174"/>
  <c r="C12" i="174"/>
  <c r="C13" i="174"/>
  <c r="C14" i="174"/>
  <c r="C8" i="174"/>
  <c r="U85" i="174"/>
  <c r="U88" i="174"/>
  <c r="U97" i="174"/>
  <c r="V97" i="174"/>
  <c r="Y97" i="174"/>
  <c r="U78" i="174"/>
  <c r="U83" i="174" s="1"/>
  <c r="U71" i="174"/>
  <c r="U67" i="174" s="1"/>
  <c r="U61" i="174"/>
  <c r="U31" i="174"/>
  <c r="U29" i="174" s="1"/>
  <c r="U25" i="174" s="1"/>
  <c r="U15" i="174"/>
  <c r="O88" i="174"/>
  <c r="M88" i="174"/>
  <c r="J88" i="174"/>
  <c r="I88" i="174"/>
  <c r="G88" i="174"/>
  <c r="D88" i="174"/>
  <c r="C88" i="174"/>
  <c r="O85" i="174"/>
  <c r="M85" i="174"/>
  <c r="J85" i="174"/>
  <c r="I85" i="174"/>
  <c r="G85" i="174"/>
  <c r="D85" i="174"/>
  <c r="C85" i="174"/>
  <c r="O78" i="174"/>
  <c r="O83" i="174" s="1"/>
  <c r="M78" i="174"/>
  <c r="M83" i="174" s="1"/>
  <c r="J78" i="174"/>
  <c r="J83" i="174" s="1"/>
  <c r="I78" i="174"/>
  <c r="I83" i="174" s="1"/>
  <c r="O71" i="174"/>
  <c r="O67" i="174" s="1"/>
  <c r="M71" i="174"/>
  <c r="M67" i="174" s="1"/>
  <c r="J71" i="174"/>
  <c r="J67" i="174" s="1"/>
  <c r="I71" i="174"/>
  <c r="I67" i="174" s="1"/>
  <c r="O61" i="174"/>
  <c r="M61" i="174"/>
  <c r="J61" i="174"/>
  <c r="I61" i="174"/>
  <c r="O31" i="174"/>
  <c r="I31" i="174"/>
  <c r="O15" i="174"/>
  <c r="M15" i="174"/>
  <c r="J15" i="174"/>
  <c r="I15" i="174"/>
  <c r="A2" i="174"/>
  <c r="D88" i="173"/>
  <c r="C88" i="173"/>
  <c r="D85" i="173"/>
  <c r="C85" i="173"/>
  <c r="D78" i="173"/>
  <c r="D83" i="173" s="1"/>
  <c r="C78" i="173"/>
  <c r="C83" i="173" s="1"/>
  <c r="D71" i="173"/>
  <c r="D67" i="173" s="1"/>
  <c r="C71" i="173"/>
  <c r="C67" i="173" s="1"/>
  <c r="E103" i="173"/>
  <c r="D61" i="173"/>
  <c r="C61" i="173"/>
  <c r="E91" i="173"/>
  <c r="E93" i="173" s="1"/>
  <c r="D31" i="173"/>
  <c r="C31" i="173"/>
  <c r="C29" i="173" s="1"/>
  <c r="C25" i="173" s="1"/>
  <c r="D15" i="173"/>
  <c r="C15" i="173"/>
  <c r="A2" i="173"/>
  <c r="D88" i="172"/>
  <c r="C88" i="172"/>
  <c r="D85" i="172"/>
  <c r="C85" i="172"/>
  <c r="D78" i="172"/>
  <c r="D83" i="172" s="1"/>
  <c r="C78" i="172"/>
  <c r="C83" i="172" s="1"/>
  <c r="E103" i="172"/>
  <c r="D71" i="172"/>
  <c r="D67" i="172" s="1"/>
  <c r="C71" i="172"/>
  <c r="C67" i="172" s="1"/>
  <c r="D61" i="172"/>
  <c r="C61" i="172"/>
  <c r="D31" i="172"/>
  <c r="C31" i="172"/>
  <c r="C29" i="172" s="1"/>
  <c r="C25" i="172" s="1"/>
  <c r="D15" i="172"/>
  <c r="C15" i="172"/>
  <c r="A2" i="172"/>
  <c r="D88" i="171"/>
  <c r="C88" i="171"/>
  <c r="D85" i="171"/>
  <c r="C85" i="171"/>
  <c r="F21" i="134"/>
  <c r="D78" i="171"/>
  <c r="D83" i="171" s="1"/>
  <c r="C78" i="171"/>
  <c r="C83" i="171" s="1"/>
  <c r="D71" i="171"/>
  <c r="D67" i="171" s="1"/>
  <c r="C71" i="171"/>
  <c r="C67" i="171" s="1"/>
  <c r="F20" i="134"/>
  <c r="D61" i="171"/>
  <c r="C61" i="171"/>
  <c r="D31" i="171"/>
  <c r="D15" i="171"/>
  <c r="A2" i="171"/>
  <c r="D31" i="174" l="1"/>
  <c r="G45" i="174"/>
  <c r="G84" i="174"/>
  <c r="O84" i="174"/>
  <c r="E25" i="177"/>
  <c r="C25" i="177"/>
  <c r="C27" i="81"/>
  <c r="C25" i="81" s="1"/>
  <c r="C25" i="82"/>
  <c r="C45" i="174"/>
  <c r="C31" i="174" s="1"/>
  <c r="C46" i="81"/>
  <c r="C45" i="81" s="1"/>
  <c r="C45" i="82"/>
  <c r="D84" i="174"/>
  <c r="M84" i="174"/>
  <c r="I29" i="174"/>
  <c r="I25" i="174" s="1"/>
  <c r="O29" i="174"/>
  <c r="O25" i="174" s="1"/>
  <c r="G78" i="174"/>
  <c r="G83" i="174" s="1"/>
  <c r="D71" i="174"/>
  <c r="D67" i="174" s="1"/>
  <c r="G15" i="174"/>
  <c r="G61" i="174"/>
  <c r="D61" i="174"/>
  <c r="D15" i="174"/>
  <c r="U7" i="174"/>
  <c r="I84" i="174"/>
  <c r="C61" i="174"/>
  <c r="C78" i="174"/>
  <c r="C83" i="174" s="1"/>
  <c r="C84" i="174"/>
  <c r="J84" i="174"/>
  <c r="C71" i="174"/>
  <c r="C67" i="174" s="1"/>
  <c r="D78" i="174"/>
  <c r="D83" i="174" s="1"/>
  <c r="I103" i="174"/>
  <c r="M103" i="174"/>
  <c r="U84" i="174"/>
  <c r="G71" i="174"/>
  <c r="G67" i="174" s="1"/>
  <c r="C85" i="177"/>
  <c r="E85" i="177"/>
  <c r="C78" i="177"/>
  <c r="C83" i="177" s="1"/>
  <c r="C31" i="171"/>
  <c r="K103" i="173"/>
  <c r="D84" i="173"/>
  <c r="C61" i="177"/>
  <c r="C71" i="177"/>
  <c r="C88" i="177"/>
  <c r="C15" i="177"/>
  <c r="C7" i="172"/>
  <c r="C7" i="173"/>
  <c r="E61" i="177"/>
  <c r="E88" i="177"/>
  <c r="C8" i="81"/>
  <c r="E78" i="177"/>
  <c r="E83" i="177" s="1"/>
  <c r="E71" i="177"/>
  <c r="E67" i="177" s="1"/>
  <c r="F103" i="173"/>
  <c r="C103" i="173"/>
  <c r="M103" i="173"/>
  <c r="D103" i="173"/>
  <c r="C84" i="173"/>
  <c r="K103" i="172"/>
  <c r="M103" i="172"/>
  <c r="D84" i="172"/>
  <c r="C84" i="172"/>
  <c r="C103" i="172"/>
  <c r="K103" i="171"/>
  <c r="F103" i="171"/>
  <c r="D84" i="171"/>
  <c r="C84" i="171"/>
  <c r="E103" i="171"/>
  <c r="C103" i="171"/>
  <c r="C15" i="174"/>
  <c r="O103" i="174"/>
  <c r="J103" i="174"/>
  <c r="D103" i="172"/>
  <c r="E91" i="172"/>
  <c r="E93" i="172" s="1"/>
  <c r="D103" i="171"/>
  <c r="D19" i="185" l="1"/>
  <c r="D27" i="185"/>
  <c r="U91" i="174"/>
  <c r="U93" i="174" s="1"/>
  <c r="U99" i="174" s="1"/>
  <c r="C67" i="177"/>
  <c r="C103" i="177" s="1"/>
  <c r="C31" i="177"/>
  <c r="E103" i="177"/>
  <c r="J7" i="174"/>
  <c r="J91" i="174" s="1"/>
  <c r="J93" i="174" s="1"/>
  <c r="Y99" i="174"/>
  <c r="V99" i="174"/>
  <c r="M7" i="174"/>
  <c r="M91" i="174" s="1"/>
  <c r="M93" i="174" s="1"/>
  <c r="C29" i="174"/>
  <c r="C25" i="174" s="1"/>
  <c r="C7" i="174" s="1"/>
  <c r="C91" i="174" s="1"/>
  <c r="C93" i="174" s="1"/>
  <c r="C103" i="174"/>
  <c r="I7" i="174"/>
  <c r="I91" i="174" s="1"/>
  <c r="I93" i="174" s="1"/>
  <c r="O7" i="174"/>
  <c r="O91" i="174" s="1"/>
  <c r="O93" i="174" s="1"/>
  <c r="G103" i="174"/>
  <c r="D103" i="174"/>
  <c r="G29" i="174"/>
  <c r="D29" i="174"/>
  <c r="C84" i="177"/>
  <c r="L103" i="173"/>
  <c r="C91" i="172"/>
  <c r="C93" i="172" s="1"/>
  <c r="C91" i="173"/>
  <c r="C93" i="173" s="1"/>
  <c r="E84" i="177"/>
  <c r="L103" i="172"/>
  <c r="D7" i="174" l="1"/>
  <c r="D91" i="174" s="1"/>
  <c r="D93" i="174" s="1"/>
  <c r="G7" i="174"/>
  <c r="G91" i="174" s="1"/>
  <c r="G93" i="174" s="1"/>
  <c r="F111" i="50"/>
  <c r="F114" i="50" s="1"/>
  <c r="E111" i="50"/>
  <c r="E114" i="50" s="1"/>
  <c r="D111" i="50"/>
  <c r="D114" i="50" s="1"/>
  <c r="E111" i="106"/>
  <c r="D14" i="86" s="1"/>
  <c r="F111" i="106"/>
  <c r="F111" i="102" s="1"/>
  <c r="D111" i="106"/>
  <c r="D111" i="102" s="1"/>
  <c r="D111" i="101" s="1"/>
  <c r="E111" i="107"/>
  <c r="D14" i="87" s="1"/>
  <c r="F111" i="107"/>
  <c r="D111" i="107"/>
  <c r="D111" i="103" s="1"/>
  <c r="D113" i="103" s="1"/>
  <c r="E111" i="108"/>
  <c r="D14" i="88" s="1"/>
  <c r="D14" i="84" s="1"/>
  <c r="F111" i="108"/>
  <c r="F111" i="104" s="1"/>
  <c r="F113" i="104" s="1"/>
  <c r="D111" i="108"/>
  <c r="D111" i="104" s="1"/>
  <c r="D113" i="104" s="1"/>
  <c r="E82" i="107"/>
  <c r="E82" i="106"/>
  <c r="E97" i="105"/>
  <c r="F97" i="105"/>
  <c r="E67" i="105"/>
  <c r="F67" i="105"/>
  <c r="E52" i="105"/>
  <c r="F52" i="105"/>
  <c r="E37" i="105"/>
  <c r="F37" i="105"/>
  <c r="E22" i="105"/>
  <c r="F22" i="105"/>
  <c r="E7" i="105"/>
  <c r="F7" i="105"/>
  <c r="M82" i="36"/>
  <c r="G82" i="36"/>
  <c r="E82" i="36"/>
  <c r="E82" i="35"/>
  <c r="E82" i="12"/>
  <c r="E97" i="50"/>
  <c r="F97" i="50"/>
  <c r="E67" i="50"/>
  <c r="F67" i="50"/>
  <c r="E52" i="50"/>
  <c r="F52" i="50"/>
  <c r="E37" i="50"/>
  <c r="F37" i="50"/>
  <c r="E22" i="50"/>
  <c r="F22" i="50"/>
  <c r="E7" i="50"/>
  <c r="F7" i="50"/>
  <c r="E97" i="104"/>
  <c r="F97" i="104"/>
  <c r="E67" i="104"/>
  <c r="F67" i="104"/>
  <c r="G67" i="104"/>
  <c r="L67" i="104"/>
  <c r="M67" i="104"/>
  <c r="N67" i="104"/>
  <c r="E52" i="104"/>
  <c r="F52" i="104"/>
  <c r="G52" i="104"/>
  <c r="L52" i="104"/>
  <c r="M52" i="104"/>
  <c r="N52" i="104"/>
  <c r="E37" i="104"/>
  <c r="F37" i="104"/>
  <c r="G37" i="104"/>
  <c r="L37" i="104"/>
  <c r="M37" i="104"/>
  <c r="N37" i="104"/>
  <c r="E22" i="104"/>
  <c r="F22" i="104"/>
  <c r="G22" i="104"/>
  <c r="L22" i="104"/>
  <c r="M22" i="104"/>
  <c r="N22" i="104"/>
  <c r="E7" i="104"/>
  <c r="F7" i="104"/>
  <c r="G7" i="104"/>
  <c r="L7" i="104"/>
  <c r="M7" i="104"/>
  <c r="N7" i="104"/>
  <c r="E97" i="103"/>
  <c r="F97" i="103"/>
  <c r="E67" i="103"/>
  <c r="F67" i="103"/>
  <c r="E52" i="103"/>
  <c r="F52" i="103"/>
  <c r="E37" i="103"/>
  <c r="F37" i="103"/>
  <c r="E22" i="103"/>
  <c r="F22" i="103"/>
  <c r="E7" i="103"/>
  <c r="F7" i="103"/>
  <c r="E97" i="102"/>
  <c r="E97" i="101" s="1"/>
  <c r="F97" i="102"/>
  <c r="E67" i="102"/>
  <c r="E67" i="101" s="1"/>
  <c r="F67" i="102"/>
  <c r="E52" i="102"/>
  <c r="E52" i="101" s="1"/>
  <c r="F52" i="102"/>
  <c r="E37" i="102"/>
  <c r="E37" i="101" s="1"/>
  <c r="F37" i="102"/>
  <c r="E22" i="102"/>
  <c r="E22" i="101" s="1"/>
  <c r="F22" i="102"/>
  <c r="E7" i="102"/>
  <c r="E7" i="101" s="1"/>
  <c r="F7" i="102"/>
  <c r="E46" i="169"/>
  <c r="F46" i="169"/>
  <c r="D46" i="169"/>
  <c r="F19" i="169"/>
  <c r="E19" i="169"/>
  <c r="D19" i="169"/>
  <c r="E17" i="169"/>
  <c r="F17" i="169"/>
  <c r="D17" i="169"/>
  <c r="F15" i="169"/>
  <c r="F33" i="169" s="1"/>
  <c r="E15" i="169"/>
  <c r="E43" i="169" s="1"/>
  <c r="D15" i="169"/>
  <c r="D27" i="169" s="1"/>
  <c r="F12" i="169"/>
  <c r="E12" i="169"/>
  <c r="D12" i="169"/>
  <c r="F10" i="169"/>
  <c r="E10" i="169"/>
  <c r="D10" i="169"/>
  <c r="E8" i="169"/>
  <c r="F8" i="169"/>
  <c r="D8" i="169"/>
  <c r="A2" i="169"/>
  <c r="F59" i="169"/>
  <c r="E59" i="169"/>
  <c r="D59" i="169"/>
  <c r="F58" i="169"/>
  <c r="E58" i="169"/>
  <c r="D58" i="169"/>
  <c r="E46" i="168"/>
  <c r="F46" i="168"/>
  <c r="D46" i="168"/>
  <c r="E19" i="168"/>
  <c r="F19" i="168"/>
  <c r="D19" i="168"/>
  <c r="E17" i="168"/>
  <c r="F17" i="168"/>
  <c r="D17" i="168"/>
  <c r="F15" i="168"/>
  <c r="F37" i="168" s="1"/>
  <c r="E15" i="168"/>
  <c r="D15" i="168"/>
  <c r="D39" i="168" s="1"/>
  <c r="F12" i="168"/>
  <c r="E12" i="168"/>
  <c r="D12" i="168"/>
  <c r="F10" i="168"/>
  <c r="E10" i="168"/>
  <c r="D10" i="168"/>
  <c r="E8" i="168"/>
  <c r="F8" i="168"/>
  <c r="D8" i="168"/>
  <c r="F59" i="168"/>
  <c r="E59" i="168"/>
  <c r="D59" i="168"/>
  <c r="F58" i="168"/>
  <c r="E58" i="168"/>
  <c r="D58" i="168"/>
  <c r="E59" i="167"/>
  <c r="D59" i="167"/>
  <c r="E58" i="167"/>
  <c r="D58" i="167"/>
  <c r="E19" i="167"/>
  <c r="D19" i="167"/>
  <c r="E17" i="167"/>
  <c r="D17" i="167"/>
  <c r="F18" i="168" l="1"/>
  <c r="D13" i="169"/>
  <c r="D111" i="105"/>
  <c r="D13" i="168"/>
  <c r="F21" i="168"/>
  <c r="D18" i="167"/>
  <c r="E28" i="169"/>
  <c r="D20" i="168"/>
  <c r="D34" i="168"/>
  <c r="E13" i="169"/>
  <c r="F20" i="168"/>
  <c r="F34" i="168"/>
  <c r="F40" i="168"/>
  <c r="E18" i="169"/>
  <c r="D39" i="169"/>
  <c r="E21" i="169"/>
  <c r="E39" i="168"/>
  <c r="E31" i="168"/>
  <c r="D21" i="168"/>
  <c r="D40" i="168"/>
  <c r="E25" i="169"/>
  <c r="F13" i="168"/>
  <c r="D37" i="168"/>
  <c r="E20" i="169"/>
  <c r="E37" i="169"/>
  <c r="E40" i="169"/>
  <c r="E31" i="169"/>
  <c r="E34" i="169"/>
  <c r="E18" i="167"/>
  <c r="E22" i="168"/>
  <c r="E24" i="168"/>
  <c r="E36" i="168"/>
  <c r="E30" i="168"/>
  <c r="E43" i="168"/>
  <c r="E27" i="168"/>
  <c r="D40" i="169"/>
  <c r="D34" i="169"/>
  <c r="D37" i="169"/>
  <c r="D21" i="169"/>
  <c r="D20" i="169"/>
  <c r="F18" i="169"/>
  <c r="F24" i="169"/>
  <c r="D33" i="169"/>
  <c r="F36" i="169"/>
  <c r="E40" i="168"/>
  <c r="E34" i="168"/>
  <c r="E28" i="168"/>
  <c r="E21" i="168"/>
  <c r="E37" i="168"/>
  <c r="E25" i="168"/>
  <c r="E33" i="168"/>
  <c r="D30" i="169"/>
  <c r="F37" i="169"/>
  <c r="F21" i="169"/>
  <c r="F20" i="169"/>
  <c r="F40" i="169"/>
  <c r="F34" i="169"/>
  <c r="F30" i="169"/>
  <c r="D24" i="169"/>
  <c r="F27" i="169"/>
  <c r="D36" i="169"/>
  <c r="F39" i="169"/>
  <c r="D24" i="168"/>
  <c r="F27" i="168"/>
  <c r="D30" i="168"/>
  <c r="F33" i="168"/>
  <c r="D36" i="168"/>
  <c r="F39" i="168"/>
  <c r="E22" i="169"/>
  <c r="E27" i="169"/>
  <c r="E33" i="169"/>
  <c r="E39" i="169"/>
  <c r="F24" i="168"/>
  <c r="D27" i="168"/>
  <c r="F30" i="168"/>
  <c r="D33" i="168"/>
  <c r="F36" i="168"/>
  <c r="E24" i="169"/>
  <c r="E30" i="169"/>
  <c r="E36" i="169"/>
  <c r="E82" i="103"/>
  <c r="E111" i="104"/>
  <c r="E113" i="104" s="1"/>
  <c r="D14" i="178"/>
  <c r="D14" i="85" s="1"/>
  <c r="D14" i="83"/>
  <c r="E111" i="103"/>
  <c r="E113" i="103" s="1"/>
  <c r="D14" i="82"/>
  <c r="E111" i="102"/>
  <c r="E111" i="105"/>
  <c r="E113" i="105" s="1"/>
  <c r="E82" i="50"/>
  <c r="F111" i="105"/>
  <c r="F113" i="105" s="1"/>
  <c r="E82" i="102"/>
  <c r="F82" i="102"/>
  <c r="M82" i="104"/>
  <c r="E82" i="104"/>
  <c r="G82" i="104"/>
  <c r="F82" i="50"/>
  <c r="N82" i="104"/>
  <c r="F82" i="104"/>
  <c r="E82" i="105"/>
  <c r="L82" i="104"/>
  <c r="E82" i="101"/>
  <c r="D18" i="169"/>
  <c r="F13" i="169"/>
  <c r="E18" i="168"/>
  <c r="D18" i="168"/>
  <c r="E13" i="168"/>
  <c r="E111" i="101" l="1"/>
  <c r="E113" i="101" s="1"/>
  <c r="E113" i="102"/>
  <c r="E44" i="168"/>
  <c r="D14" i="179"/>
  <c r="E44" i="169"/>
  <c r="F20" i="194" l="1"/>
  <c r="E17" i="186"/>
  <c r="E17" i="198" s="1"/>
  <c r="F20" i="209"/>
  <c r="F23" i="209" s="1"/>
  <c r="D14" i="81"/>
  <c r="D46" i="95"/>
  <c r="AH94" i="126" l="1"/>
  <c r="AE94" i="126"/>
  <c r="AB94" i="126"/>
  <c r="AH101" i="126"/>
  <c r="AE101" i="126"/>
  <c r="AB101" i="126"/>
  <c r="AH103" i="126" l="1"/>
  <c r="AE103" i="126"/>
  <c r="AB103" i="126"/>
  <c r="O96" i="126"/>
  <c r="AK107" i="126"/>
  <c r="AJ107" i="126"/>
  <c r="AG107" i="126"/>
  <c r="AD107" i="126"/>
  <c r="M83" i="126"/>
  <c r="AM107" i="126" l="1"/>
  <c r="AL107" i="126" l="1"/>
  <c r="O80" i="66" l="1"/>
  <c r="AH104" i="66" l="1"/>
  <c r="AH94" i="66" s="1"/>
  <c r="AE104" i="66"/>
  <c r="AE94" i="66" s="1"/>
  <c r="AB104" i="66" l="1"/>
  <c r="AB94" i="66" s="1"/>
  <c r="AD106" i="66"/>
  <c r="AK107" i="66"/>
  <c r="AJ107" i="66"/>
  <c r="AG107" i="66"/>
  <c r="AD107" i="66"/>
  <c r="AH105" i="66"/>
  <c r="AH103" i="66" s="1"/>
  <c r="AE105" i="66"/>
  <c r="AE103" i="66" s="1"/>
  <c r="AB105" i="66"/>
  <c r="AM107" i="66" l="1"/>
  <c r="AL107" i="66" s="1"/>
  <c r="AB103" i="66"/>
  <c r="E132" i="123" l="1"/>
  <c r="E148" i="123"/>
  <c r="E146" i="123" s="1"/>
  <c r="E142" i="123"/>
  <c r="R43" i="124"/>
  <c r="R42" i="124"/>
  <c r="Q44" i="124"/>
  <c r="E132" i="120"/>
  <c r="E101" i="120"/>
  <c r="R41" i="124"/>
  <c r="E203" i="117"/>
  <c r="E203" i="123" s="1"/>
  <c r="E202" i="117"/>
  <c r="E199" i="117"/>
  <c r="E199" i="123" s="1"/>
  <c r="Q40" i="124"/>
  <c r="Q39" i="124"/>
  <c r="S40" i="124"/>
  <c r="S39" i="124"/>
  <c r="R36" i="124"/>
  <c r="R37" i="124"/>
  <c r="S35" i="124"/>
  <c r="E101" i="117"/>
  <c r="E97" i="117"/>
  <c r="E93" i="117"/>
  <c r="E92" i="117"/>
  <c r="E90" i="117"/>
  <c r="E76" i="117" s="1"/>
  <c r="E89" i="117"/>
  <c r="E75" i="117" s="1"/>
  <c r="E56" i="117"/>
  <c r="E53" i="117"/>
  <c r="E52" i="117"/>
  <c r="E51" i="117"/>
  <c r="E39" i="117" s="1"/>
  <c r="E50" i="117"/>
  <c r="E38" i="117" s="1"/>
  <c r="E49" i="117"/>
  <c r="E37" i="117" s="1"/>
  <c r="E197" i="117" l="1"/>
  <c r="E201" i="117"/>
  <c r="E202" i="123"/>
  <c r="F18" i="166" l="1"/>
  <c r="F19" i="166" s="1"/>
  <c r="B14" i="166"/>
  <c r="B18" i="166" s="1"/>
  <c r="B19" i="166" s="1"/>
  <c r="F3" i="166"/>
  <c r="B3" i="166"/>
  <c r="B7" i="166" s="1"/>
  <c r="B8" i="166" s="1"/>
  <c r="H12" i="203" l="1"/>
  <c r="H21" i="203" s="1"/>
  <c r="I12" i="203"/>
  <c r="I21" i="203" s="1"/>
  <c r="F7" i="166"/>
  <c r="F8" i="166" s="1"/>
  <c r="H20" i="127"/>
  <c r="D95" i="86" s="1"/>
  <c r="G19" i="127"/>
  <c r="F19" i="127"/>
  <c r="H18" i="127"/>
  <c r="D94" i="86" s="1"/>
  <c r="H15" i="127"/>
  <c r="H14" i="127"/>
  <c r="H12" i="127" s="1"/>
  <c r="F12" i="127"/>
  <c r="F11" i="127" s="1"/>
  <c r="F9" i="127" s="1"/>
  <c r="C12" i="127"/>
  <c r="C11" i="127" s="1"/>
  <c r="G21" i="156"/>
  <c r="N27" i="58"/>
  <c r="K24" i="58"/>
  <c r="K23" i="58"/>
  <c r="F8" i="156" s="1"/>
  <c r="K22" i="58"/>
  <c r="K21" i="58" s="1"/>
  <c r="J21" i="58"/>
  <c r="I21" i="58"/>
  <c r="I9" i="58" s="1"/>
  <c r="K20" i="58"/>
  <c r="K19" i="58"/>
  <c r="K16" i="58"/>
  <c r="J13" i="58"/>
  <c r="D13" i="58"/>
  <c r="H24" i="58"/>
  <c r="F24" i="58"/>
  <c r="H23" i="58"/>
  <c r="G23" i="58" s="1"/>
  <c r="F23" i="58"/>
  <c r="H22" i="58"/>
  <c r="F22" i="58"/>
  <c r="H20" i="58"/>
  <c r="F20" i="58"/>
  <c r="H19" i="58"/>
  <c r="G19" i="58" s="1"/>
  <c r="F19" i="58"/>
  <c r="H18" i="58"/>
  <c r="F18" i="58"/>
  <c r="F17" i="58"/>
  <c r="G17" i="58" s="1"/>
  <c r="H14" i="58"/>
  <c r="F14" i="58"/>
  <c r="G14" i="58" s="1"/>
  <c r="G13" i="58"/>
  <c r="H12" i="58"/>
  <c r="F12" i="58"/>
  <c r="G11" i="58"/>
  <c r="E16" i="58"/>
  <c r="E19" i="58"/>
  <c r="E20" i="58"/>
  <c r="C21" i="58"/>
  <c r="C9" i="58" s="1"/>
  <c r="D21" i="58"/>
  <c r="E22" i="58"/>
  <c r="E21" i="58" s="1"/>
  <c r="E23" i="58"/>
  <c r="E24" i="58"/>
  <c r="H16" i="58" l="1"/>
  <c r="G18" i="58"/>
  <c r="E9" i="58"/>
  <c r="D9" i="58" s="1"/>
  <c r="G21" i="58"/>
  <c r="D102" i="28"/>
  <c r="D102" i="171" s="1"/>
  <c r="D95" i="171"/>
  <c r="D95" i="28"/>
  <c r="G24" i="58"/>
  <c r="H19" i="127"/>
  <c r="D95" i="85"/>
  <c r="G20" i="58"/>
  <c r="D94" i="85"/>
  <c r="D12" i="86"/>
  <c r="G22" i="58"/>
  <c r="H21" i="58"/>
  <c r="D12" i="28" s="1"/>
  <c r="D94" i="171"/>
  <c r="D94" i="28"/>
  <c r="K9" i="58"/>
  <c r="J9" i="58" s="1"/>
  <c r="G12" i="127"/>
  <c r="H11" i="127"/>
  <c r="G12" i="58"/>
  <c r="F21" i="58"/>
  <c r="F16" i="58"/>
  <c r="G16" i="58" s="1"/>
  <c r="H9" i="127" l="1"/>
  <c r="D12" i="8"/>
  <c r="D12" i="171"/>
  <c r="D12" i="177" s="1"/>
  <c r="D102" i="8"/>
  <c r="D102" i="177"/>
  <c r="D102" i="82" s="1"/>
  <c r="D102" i="81" s="1"/>
  <c r="H9" i="58"/>
  <c r="L25" i="156"/>
  <c r="D94" i="177"/>
  <c r="D94" i="82"/>
  <c r="D94" i="81" s="1"/>
  <c r="D95" i="177"/>
  <c r="D95" i="82"/>
  <c r="D95" i="81" s="1"/>
  <c r="D12" i="85"/>
  <c r="G11" i="127"/>
  <c r="G9" i="127"/>
  <c r="F9" i="58"/>
  <c r="F26" i="73"/>
  <c r="G27" i="73"/>
  <c r="D12" i="82" l="1"/>
  <c r="D12" i="81" s="1"/>
  <c r="G9" i="58"/>
  <c r="M100" i="178"/>
  <c r="F100" i="178"/>
  <c r="F29" i="73" l="1"/>
  <c r="F28" i="73"/>
  <c r="F27" i="73"/>
  <c r="I23" i="73"/>
  <c r="F23" i="73"/>
  <c r="C23" i="73"/>
  <c r="I22" i="73"/>
  <c r="F22" i="73"/>
  <c r="C22" i="73"/>
  <c r="I21" i="73"/>
  <c r="C21" i="73"/>
  <c r="F19" i="73"/>
  <c r="C19" i="73"/>
  <c r="K10" i="73"/>
  <c r="K20" i="73" s="1"/>
  <c r="K25" i="73" s="1"/>
  <c r="J10" i="73"/>
  <c r="J20" i="73" s="1"/>
  <c r="H10" i="73"/>
  <c r="H20" i="73" s="1"/>
  <c r="H25" i="73" s="1"/>
  <c r="E10" i="73"/>
  <c r="E20" i="73" s="1"/>
  <c r="E25" i="73" s="1"/>
  <c r="D10" i="73"/>
  <c r="D20" i="73" s="1"/>
  <c r="I23" i="4"/>
  <c r="I22" i="4"/>
  <c r="C23" i="4"/>
  <c r="C22" i="4"/>
  <c r="J10" i="4"/>
  <c r="J20" i="4" s="1"/>
  <c r="J25" i="4" s="1"/>
  <c r="K10" i="4"/>
  <c r="K20" i="4" s="1"/>
  <c r="K25" i="4" s="1"/>
  <c r="I12" i="4"/>
  <c r="I10" i="4" s="1"/>
  <c r="I20" i="4" s="1"/>
  <c r="I21" i="4"/>
  <c r="F19" i="4"/>
  <c r="G29" i="4"/>
  <c r="F29" i="4" s="1"/>
  <c r="G28" i="4"/>
  <c r="F28" i="4" s="1"/>
  <c r="G27" i="4"/>
  <c r="F27" i="4" s="1"/>
  <c r="G26" i="4"/>
  <c r="G23" i="4"/>
  <c r="F23" i="4" s="1"/>
  <c r="G22" i="4"/>
  <c r="F22" i="4" s="1"/>
  <c r="O14" i="70"/>
  <c r="O19" i="3"/>
  <c r="G25" i="4" l="1"/>
  <c r="G21" i="4"/>
  <c r="I25" i="4"/>
  <c r="F26" i="4"/>
  <c r="D25" i="73"/>
  <c r="D14" i="73"/>
  <c r="C14" i="73" s="1"/>
  <c r="C10" i="73" s="1"/>
  <c r="C20" i="73" s="1"/>
  <c r="C25" i="73" s="1"/>
  <c r="C100" i="178" s="1"/>
  <c r="J25" i="73"/>
  <c r="J14" i="73"/>
  <c r="I14" i="73" s="1"/>
  <c r="I10" i="73" s="1"/>
  <c r="I20" i="73" s="1"/>
  <c r="I25" i="73" s="1"/>
  <c r="E100" i="178" s="1"/>
  <c r="G25" i="73"/>
  <c r="F25" i="73" s="1"/>
  <c r="D100" i="178" s="1"/>
  <c r="G10" i="4"/>
  <c r="L100" i="179" l="1"/>
  <c r="L100" i="176"/>
  <c r="L100" i="172"/>
  <c r="K100" i="178"/>
  <c r="L100" i="178"/>
  <c r="E100" i="179"/>
  <c r="E100" i="176"/>
  <c r="E100" i="175"/>
  <c r="E100" i="172"/>
  <c r="M100" i="179"/>
  <c r="M100" i="176"/>
  <c r="M100" i="172"/>
  <c r="G20" i="73"/>
  <c r="G10" i="73"/>
  <c r="F21" i="73"/>
  <c r="F100" i="175" l="1"/>
  <c r="G14" i="73"/>
  <c r="F14" i="73" s="1"/>
  <c r="F10" i="73" s="1"/>
  <c r="F20" i="73" s="1"/>
  <c r="F100" i="176" l="1"/>
  <c r="F100" i="172"/>
  <c r="F100" i="179"/>
  <c r="A2" i="149" l="1"/>
  <c r="A2" i="165" s="1"/>
  <c r="A2" i="161" l="1"/>
  <c r="A2" i="159"/>
  <c r="G12" i="158" l="1"/>
  <c r="F12" i="158"/>
  <c r="E21" i="157"/>
  <c r="E12" i="158" s="1"/>
  <c r="D21" i="157"/>
  <c r="D12" i="158" s="1"/>
  <c r="G9" i="158"/>
  <c r="F9" i="158"/>
  <c r="E21" i="156"/>
  <c r="E9" i="158" s="1"/>
  <c r="D21" i="156"/>
  <c r="D9" i="158" s="1"/>
  <c r="E12" i="65"/>
  <c r="F12" i="65"/>
  <c r="G12" i="65"/>
  <c r="D12" i="65"/>
  <c r="E9" i="65"/>
  <c r="F9" i="65"/>
  <c r="G9" i="65"/>
  <c r="D9" i="65"/>
  <c r="E13" i="65" l="1"/>
  <c r="E9" i="25" s="1"/>
  <c r="D13" i="65"/>
  <c r="D9" i="25" s="1"/>
  <c r="G13" i="65"/>
  <c r="G9" i="25" s="1"/>
  <c r="F13" i="65"/>
  <c r="F9" i="25" s="1"/>
  <c r="F13" i="158"/>
  <c r="G13" i="158"/>
  <c r="E13" i="158"/>
  <c r="D13" i="158"/>
  <c r="E8" i="157" l="1"/>
  <c r="E18" i="157" s="1"/>
  <c r="E15" i="157" s="1"/>
  <c r="E7" i="157" l="1"/>
  <c r="E23" i="157" s="1"/>
  <c r="E24" i="157" s="1"/>
  <c r="E25" i="157" s="1"/>
  <c r="E26" i="157" s="1"/>
  <c r="E11" i="158" l="1"/>
  <c r="E8" i="160"/>
  <c r="G18" i="64"/>
  <c r="F15" i="64"/>
  <c r="F7" i="64" s="1"/>
  <c r="E18" i="64"/>
  <c r="E15" i="64" s="1"/>
  <c r="E7" i="64" s="1"/>
  <c r="D18" i="64"/>
  <c r="D15" i="64"/>
  <c r="D7" i="64" s="1"/>
  <c r="D18" i="63"/>
  <c r="D15" i="63" s="1"/>
  <c r="D7" i="63" s="1"/>
  <c r="F15" i="63"/>
  <c r="F7" i="63" s="1"/>
  <c r="G18" i="63"/>
  <c r="G15" i="63" s="1"/>
  <c r="G7" i="63" s="1"/>
  <c r="A2" i="155"/>
  <c r="G15" i="64" l="1"/>
  <c r="G7" i="64" s="1"/>
  <c r="G18" i="214"/>
  <c r="G15" i="214" s="1"/>
  <c r="G7" i="214" s="1"/>
  <c r="L24" i="63"/>
  <c r="L25" i="63" s="1"/>
  <c r="L26" i="63" s="1"/>
  <c r="D23" i="63"/>
  <c r="D24" i="63" s="1"/>
  <c r="D25" i="63" s="1"/>
  <c r="D26" i="63" s="1"/>
  <c r="D8" i="65" s="1"/>
  <c r="G23" i="63"/>
  <c r="G24" i="63" s="1"/>
  <c r="G25" i="63" s="1"/>
  <c r="G26" i="63" s="1"/>
  <c r="G8" i="65" s="1"/>
  <c r="F24" i="63"/>
  <c r="F25" i="63" s="1"/>
  <c r="F26" i="63" s="1"/>
  <c r="F8" i="65" s="1"/>
  <c r="D23" i="64"/>
  <c r="D24" i="64" s="1"/>
  <c r="D25" i="64" s="1"/>
  <c r="D26" i="64" s="1"/>
  <c r="D11" i="65" s="1"/>
  <c r="F24" i="64"/>
  <c r="G23" i="64"/>
  <c r="G24" i="64" s="1"/>
  <c r="G25" i="64" s="1"/>
  <c r="G26" i="64" s="1"/>
  <c r="G11" i="65" s="1"/>
  <c r="E23" i="64"/>
  <c r="E24" i="64" s="1"/>
  <c r="E25" i="64" s="1"/>
  <c r="E26" i="64" s="1"/>
  <c r="E11" i="65" s="1"/>
  <c r="G23" i="214" l="1"/>
  <c r="G24" i="214" s="1"/>
  <c r="G25" i="214" s="1"/>
  <c r="G26" i="214" s="1"/>
  <c r="F25" i="64"/>
  <c r="F26" i="64" s="1"/>
  <c r="F11" i="65" s="1"/>
  <c r="F14" i="65" s="1"/>
  <c r="D14" i="65"/>
  <c r="D8" i="25" s="1"/>
  <c r="G14" i="65"/>
  <c r="F8" i="25" l="1"/>
  <c r="E101" i="28"/>
  <c r="E101" i="171"/>
  <c r="G8" i="25"/>
  <c r="F101" i="171"/>
  <c r="F101" i="28"/>
  <c r="H20" i="146"/>
  <c r="H19" i="146" s="1"/>
  <c r="F20" i="146"/>
  <c r="F19" i="146" s="1"/>
  <c r="D20" i="146"/>
  <c r="D19" i="146" s="1"/>
  <c r="C20" i="146"/>
  <c r="C19" i="146" s="1"/>
  <c r="H20" i="145"/>
  <c r="F20" i="145"/>
  <c r="F19" i="145" s="1"/>
  <c r="D20" i="145"/>
  <c r="D19" i="145" s="1"/>
  <c r="C20" i="145"/>
  <c r="A2" i="144"/>
  <c r="E101" i="177" l="1"/>
  <c r="E101" i="82" s="1"/>
  <c r="E101" i="81" s="1"/>
  <c r="E101" i="8"/>
  <c r="F101" i="177"/>
  <c r="F101" i="82" s="1"/>
  <c r="F101" i="81" s="1"/>
  <c r="F101" i="8"/>
  <c r="J20" i="145"/>
  <c r="J19" i="145" s="1"/>
  <c r="K20" i="145"/>
  <c r="K19" i="145" s="1"/>
  <c r="J20" i="146"/>
  <c r="J19" i="146" s="1"/>
  <c r="K20" i="146"/>
  <c r="K19" i="146" s="1"/>
  <c r="I20" i="146"/>
  <c r="I19" i="146" s="1"/>
  <c r="H19" i="145"/>
  <c r="I20" i="145"/>
  <c r="I19" i="145" s="1"/>
  <c r="C19" i="145"/>
  <c r="H20" i="144"/>
  <c r="H19" i="144" s="1"/>
  <c r="F20" i="144"/>
  <c r="F19" i="144" s="1"/>
  <c r="D20" i="144"/>
  <c r="D19" i="144" s="1"/>
  <c r="C20" i="144"/>
  <c r="C19" i="144" s="1"/>
  <c r="G16" i="141"/>
  <c r="H13" i="141"/>
  <c r="G13" i="141"/>
  <c r="F13" i="141"/>
  <c r="F14" i="141" s="1"/>
  <c r="A2" i="141"/>
  <c r="G15" i="140"/>
  <c r="H12" i="140"/>
  <c r="H13" i="140" s="1"/>
  <c r="H16" i="140" s="1"/>
  <c r="G12" i="140"/>
  <c r="G13" i="140" s="1"/>
  <c r="G16" i="140" s="1"/>
  <c r="F12" i="140"/>
  <c r="F13" i="140" s="1"/>
  <c r="A2" i="140"/>
  <c r="G13" i="139"/>
  <c r="H10" i="139"/>
  <c r="G10" i="139"/>
  <c r="F10" i="139"/>
  <c r="E10" i="139"/>
  <c r="E11" i="139" s="1"/>
  <c r="D10" i="139"/>
  <c r="D11" i="139" s="1"/>
  <c r="A2" i="139"/>
  <c r="H14" i="138"/>
  <c r="H16" i="211" s="1"/>
  <c r="G14" i="138"/>
  <c r="E14" i="138"/>
  <c r="C14" i="138"/>
  <c r="G14" i="137"/>
  <c r="E14" i="137"/>
  <c r="C14" i="137"/>
  <c r="G14" i="136"/>
  <c r="E14" i="136"/>
  <c r="C14" i="136"/>
  <c r="G20" i="135"/>
  <c r="G23" i="135" s="1"/>
  <c r="E20" i="135"/>
  <c r="E23" i="135" s="1"/>
  <c r="C12" i="135"/>
  <c r="C20" i="135" s="1"/>
  <c r="C23" i="135" s="1"/>
  <c r="G20" i="134"/>
  <c r="G23" i="134" s="1"/>
  <c r="E20" i="134"/>
  <c r="E23" i="134" s="1"/>
  <c r="C12" i="134"/>
  <c r="C20" i="134" s="1"/>
  <c r="C23" i="134" s="1"/>
  <c r="G20" i="133"/>
  <c r="G23" i="133" s="1"/>
  <c r="E20" i="133"/>
  <c r="E23" i="133" s="1"/>
  <c r="C12" i="133"/>
  <c r="C20" i="133" s="1"/>
  <c r="C23" i="133" s="1"/>
  <c r="I12" i="132"/>
  <c r="I21" i="132" s="1"/>
  <c r="H12" i="132"/>
  <c r="H21" i="132" s="1"/>
  <c r="I12" i="131"/>
  <c r="I21" i="131" s="1"/>
  <c r="H12" i="131"/>
  <c r="H21" i="131" s="1"/>
  <c r="C24" i="130"/>
  <c r="C54" i="112"/>
  <c r="D54" i="112"/>
  <c r="E54" i="112"/>
  <c r="C8" i="14"/>
  <c r="D8" i="14"/>
  <c r="E8" i="14"/>
  <c r="C118" i="14"/>
  <c r="D118" i="14"/>
  <c r="E118" i="14"/>
  <c r="C175" i="14"/>
  <c r="D175" i="14"/>
  <c r="E175" i="14"/>
  <c r="C255" i="14"/>
  <c r="D255" i="14"/>
  <c r="E255" i="14"/>
  <c r="I65" i="110"/>
  <c r="F65" i="110"/>
  <c r="E65" i="110"/>
  <c r="D65" i="110"/>
  <c r="I53" i="110"/>
  <c r="F53" i="110"/>
  <c r="E53" i="110"/>
  <c r="D53" i="110"/>
  <c r="I44" i="110"/>
  <c r="F44" i="110"/>
  <c r="E44" i="110"/>
  <c r="D44" i="110"/>
  <c r="I101" i="110"/>
  <c r="F101" i="110"/>
  <c r="E101" i="110"/>
  <c r="D101" i="110"/>
  <c r="I89" i="110"/>
  <c r="F89" i="110"/>
  <c r="E89" i="110"/>
  <c r="D89" i="110"/>
  <c r="I80" i="110"/>
  <c r="F80" i="110"/>
  <c r="E80" i="110"/>
  <c r="D80" i="110"/>
  <c r="I137" i="110"/>
  <c r="F137" i="110"/>
  <c r="E137" i="110"/>
  <c r="E29" i="110" s="1"/>
  <c r="D137" i="110"/>
  <c r="I125" i="110"/>
  <c r="F125" i="110"/>
  <c r="F125" i="109" s="1"/>
  <c r="E125" i="110"/>
  <c r="E17" i="110" s="1"/>
  <c r="D125" i="110"/>
  <c r="I116" i="110"/>
  <c r="F116" i="110"/>
  <c r="F116" i="109" s="1"/>
  <c r="E116" i="110"/>
  <c r="D116" i="110"/>
  <c r="F65" i="13"/>
  <c r="E65" i="13"/>
  <c r="D65" i="13"/>
  <c r="I53" i="109"/>
  <c r="F53" i="13"/>
  <c r="E53" i="13"/>
  <c r="E53" i="109" s="1"/>
  <c r="D53" i="13"/>
  <c r="F44" i="13"/>
  <c r="E44" i="13"/>
  <c r="E44" i="109" s="1"/>
  <c r="D44" i="13"/>
  <c r="F101" i="13"/>
  <c r="E101" i="13"/>
  <c r="D101" i="13"/>
  <c r="I89" i="109"/>
  <c r="F89" i="13"/>
  <c r="E89" i="13"/>
  <c r="E89" i="109" s="1"/>
  <c r="D89" i="13"/>
  <c r="I80" i="109"/>
  <c r="F80" i="13"/>
  <c r="E80" i="13"/>
  <c r="E80" i="109" s="1"/>
  <c r="D80" i="13"/>
  <c r="E125" i="13"/>
  <c r="D125" i="13"/>
  <c r="D17" i="13" s="1"/>
  <c r="E116" i="13"/>
  <c r="D116" i="13"/>
  <c r="D9" i="109"/>
  <c r="E9" i="109"/>
  <c r="D11" i="109"/>
  <c r="E11" i="109"/>
  <c r="D12" i="109"/>
  <c r="E12" i="109"/>
  <c r="D13" i="109"/>
  <c r="E13" i="109"/>
  <c r="D14" i="109"/>
  <c r="E14" i="109"/>
  <c r="D15" i="109"/>
  <c r="E15" i="109"/>
  <c r="D16" i="109"/>
  <c r="E16" i="109"/>
  <c r="D18" i="109"/>
  <c r="E18" i="109"/>
  <c r="D20" i="109"/>
  <c r="E20" i="109"/>
  <c r="D21" i="109"/>
  <c r="E21" i="109"/>
  <c r="D22" i="109"/>
  <c r="E22" i="109"/>
  <c r="D23" i="109"/>
  <c r="E23" i="109"/>
  <c r="D24" i="109"/>
  <c r="E24" i="109"/>
  <c r="D25" i="109"/>
  <c r="E25" i="109"/>
  <c r="D26" i="109"/>
  <c r="E26" i="109"/>
  <c r="D27" i="109"/>
  <c r="E27" i="109"/>
  <c r="D31" i="109"/>
  <c r="E31" i="109"/>
  <c r="D34" i="109"/>
  <c r="E34" i="109"/>
  <c r="D35" i="109"/>
  <c r="E35" i="109"/>
  <c r="I66" i="109"/>
  <c r="I69" i="109" s="1"/>
  <c r="E66" i="109"/>
  <c r="E69" i="109" s="1"/>
  <c r="D66" i="109"/>
  <c r="D69" i="109" s="1"/>
  <c r="I64" i="109"/>
  <c r="F64" i="109"/>
  <c r="E64" i="109"/>
  <c r="D64" i="109"/>
  <c r="I55" i="109"/>
  <c r="I65" i="109" s="1"/>
  <c r="F55" i="109"/>
  <c r="F65" i="109" s="1"/>
  <c r="E55" i="109"/>
  <c r="E65" i="109" s="1"/>
  <c r="E32" i="109" s="1"/>
  <c r="D55" i="109"/>
  <c r="D65" i="109" s="1"/>
  <c r="D32" i="109" s="1"/>
  <c r="I46" i="109"/>
  <c r="F46" i="109"/>
  <c r="E46" i="109"/>
  <c r="D46" i="109"/>
  <c r="I44" i="109"/>
  <c r="E102" i="109"/>
  <c r="E105" i="109" s="1"/>
  <c r="D102" i="109"/>
  <c r="D105" i="109" s="1"/>
  <c r="I100" i="109"/>
  <c r="F100" i="109"/>
  <c r="E100" i="109"/>
  <c r="D100" i="109"/>
  <c r="I91" i="109"/>
  <c r="I101" i="109" s="1"/>
  <c r="F91" i="109"/>
  <c r="F101" i="109" s="1"/>
  <c r="E91" i="109"/>
  <c r="E101" i="109" s="1"/>
  <c r="D91" i="109"/>
  <c r="D101" i="109" s="1"/>
  <c r="I82" i="109"/>
  <c r="F82" i="109"/>
  <c r="E82" i="109"/>
  <c r="D82" i="109"/>
  <c r="I118" i="109"/>
  <c r="F118" i="109"/>
  <c r="E118" i="109"/>
  <c r="D118" i="109"/>
  <c r="I127" i="109"/>
  <c r="F127" i="109"/>
  <c r="E127" i="109"/>
  <c r="D127" i="109"/>
  <c r="I138" i="109"/>
  <c r="I141" i="109" s="1"/>
  <c r="F138" i="109"/>
  <c r="F141" i="109" s="1"/>
  <c r="E138" i="109"/>
  <c r="E141" i="109" s="1"/>
  <c r="D138" i="109"/>
  <c r="D141" i="109" s="1"/>
  <c r="E136" i="109"/>
  <c r="F136" i="109"/>
  <c r="I136" i="109"/>
  <c r="D136" i="109"/>
  <c r="I10" i="13"/>
  <c r="D9" i="13"/>
  <c r="E9" i="13"/>
  <c r="D10" i="13"/>
  <c r="E10" i="13"/>
  <c r="D11" i="13"/>
  <c r="E11" i="13"/>
  <c r="D12" i="13"/>
  <c r="E12" i="13"/>
  <c r="D13" i="13"/>
  <c r="E13" i="13"/>
  <c r="D14" i="13"/>
  <c r="E14" i="13"/>
  <c r="D15" i="13"/>
  <c r="E15" i="13"/>
  <c r="D16" i="13"/>
  <c r="E16" i="13"/>
  <c r="D18" i="13"/>
  <c r="E18" i="13"/>
  <c r="D19" i="13"/>
  <c r="E19" i="13"/>
  <c r="D20" i="13"/>
  <c r="E20" i="13"/>
  <c r="D21" i="13"/>
  <c r="E21" i="13"/>
  <c r="D22" i="13"/>
  <c r="E22" i="13"/>
  <c r="D23" i="13"/>
  <c r="E23" i="13"/>
  <c r="D24" i="13"/>
  <c r="E24" i="13"/>
  <c r="D25" i="13"/>
  <c r="E25" i="13"/>
  <c r="D26" i="13"/>
  <c r="E26" i="13"/>
  <c r="D27" i="13"/>
  <c r="E27" i="13"/>
  <c r="D28" i="13"/>
  <c r="E28" i="13"/>
  <c r="D30" i="13"/>
  <c r="E30" i="13"/>
  <c r="D31" i="13"/>
  <c r="E31" i="13"/>
  <c r="D32" i="13"/>
  <c r="E32" i="13"/>
  <c r="D33" i="13"/>
  <c r="E33" i="13"/>
  <c r="D34" i="13"/>
  <c r="E34" i="13"/>
  <c r="D35" i="13"/>
  <c r="E35" i="13"/>
  <c r="E8" i="110"/>
  <c r="D9" i="110"/>
  <c r="E9" i="110"/>
  <c r="D10" i="110"/>
  <c r="E10" i="110"/>
  <c r="D11" i="110"/>
  <c r="E11" i="110"/>
  <c r="D12" i="110"/>
  <c r="E12" i="110"/>
  <c r="D13" i="110"/>
  <c r="E13" i="110"/>
  <c r="D14" i="110"/>
  <c r="E14" i="110"/>
  <c r="D15" i="110"/>
  <c r="E15" i="110"/>
  <c r="D16" i="110"/>
  <c r="E16" i="110"/>
  <c r="D18" i="110"/>
  <c r="E18" i="110"/>
  <c r="D19" i="110"/>
  <c r="E19" i="110"/>
  <c r="D20" i="110"/>
  <c r="E20" i="110"/>
  <c r="D21" i="110"/>
  <c r="E21" i="110"/>
  <c r="D22" i="110"/>
  <c r="E22" i="110"/>
  <c r="D23" i="110"/>
  <c r="E23" i="110"/>
  <c r="D24" i="110"/>
  <c r="E24" i="110"/>
  <c r="D25" i="110"/>
  <c r="E25" i="110"/>
  <c r="D26" i="110"/>
  <c r="E26" i="110"/>
  <c r="D27" i="110"/>
  <c r="E27" i="110"/>
  <c r="D28" i="110"/>
  <c r="E28" i="110"/>
  <c r="D30" i="110"/>
  <c r="E30" i="110"/>
  <c r="D31" i="110"/>
  <c r="E31" i="110"/>
  <c r="D32" i="110"/>
  <c r="E32" i="110"/>
  <c r="D33" i="110"/>
  <c r="E33" i="110"/>
  <c r="D34" i="110"/>
  <c r="E34" i="110"/>
  <c r="D35" i="110"/>
  <c r="E35" i="110"/>
  <c r="D137" i="13"/>
  <c r="E137" i="13"/>
  <c r="C118" i="13"/>
  <c r="D33" i="109" l="1"/>
  <c r="D8" i="13"/>
  <c r="F53" i="109"/>
  <c r="H14" i="141"/>
  <c r="H17" i="141" s="1"/>
  <c r="E33" i="109"/>
  <c r="D116" i="109"/>
  <c r="F89" i="109"/>
  <c r="F80" i="109"/>
  <c r="F102" i="13"/>
  <c r="D29" i="13"/>
  <c r="F44" i="109"/>
  <c r="F66" i="13"/>
  <c r="F66" i="109" s="1"/>
  <c r="F69" i="109" s="1"/>
  <c r="I102" i="109"/>
  <c r="I105" i="109" s="1"/>
  <c r="I8" i="13"/>
  <c r="E17" i="13"/>
  <c r="E116" i="109"/>
  <c r="D17" i="110"/>
  <c r="E29" i="13"/>
  <c r="H11" i="139"/>
  <c r="H14" i="139" s="1"/>
  <c r="D29" i="110"/>
  <c r="E125" i="109"/>
  <c r="E17" i="109" s="1"/>
  <c r="I116" i="109"/>
  <c r="I8" i="109" s="1"/>
  <c r="G11" i="139"/>
  <c r="G14" i="139" s="1"/>
  <c r="D110" i="14"/>
  <c r="C110" i="14"/>
  <c r="E110" i="14"/>
  <c r="D137" i="109"/>
  <c r="D29" i="109" s="1"/>
  <c r="D89" i="109"/>
  <c r="D80" i="109"/>
  <c r="D10" i="109"/>
  <c r="D44" i="109"/>
  <c r="C24" i="129"/>
  <c r="C13" i="129" s="1"/>
  <c r="C35" i="129" s="1"/>
  <c r="C13" i="130"/>
  <c r="C35" i="130" s="1"/>
  <c r="D20" i="135"/>
  <c r="C24" i="128"/>
  <c r="C13" i="128" s="1"/>
  <c r="C35" i="128" s="1"/>
  <c r="I20" i="144"/>
  <c r="I19" i="144" s="1"/>
  <c r="J20" i="144"/>
  <c r="J19" i="144" s="1"/>
  <c r="K20" i="144"/>
  <c r="K19" i="144" s="1"/>
  <c r="H18" i="140"/>
  <c r="D20" i="134"/>
  <c r="D23" i="134" s="1"/>
  <c r="F11" i="139"/>
  <c r="F14" i="139" s="1"/>
  <c r="H16" i="139" s="1"/>
  <c r="G14" i="141"/>
  <c r="G17" i="141" s="1"/>
  <c r="I10" i="109"/>
  <c r="D53" i="109"/>
  <c r="D8" i="110"/>
  <c r="D28" i="109"/>
  <c r="D30" i="109"/>
  <c r="E28" i="109"/>
  <c r="E30" i="109"/>
  <c r="E137" i="109"/>
  <c r="E29" i="109" s="1"/>
  <c r="I125" i="109"/>
  <c r="E8" i="13"/>
  <c r="D19" i="109"/>
  <c r="E19" i="109"/>
  <c r="E8" i="109"/>
  <c r="E10" i="109"/>
  <c r="D125" i="109"/>
  <c r="D8" i="109" l="1"/>
  <c r="F102" i="109"/>
  <c r="F105" i="109" s="1"/>
  <c r="H19" i="141"/>
  <c r="D17" i="109"/>
  <c r="D20" i="133"/>
  <c r="H23" i="194" l="1"/>
  <c r="F23" i="194"/>
  <c r="F23" i="135"/>
  <c r="F26" i="209" s="1"/>
  <c r="D97" i="104" l="1"/>
  <c r="D67" i="104"/>
  <c r="D52" i="104"/>
  <c r="D37" i="104"/>
  <c r="D22" i="104"/>
  <c r="D7" i="104"/>
  <c r="D97" i="103"/>
  <c r="D67" i="103"/>
  <c r="D52" i="103"/>
  <c r="D37" i="103"/>
  <c r="D22" i="103"/>
  <c r="D7" i="103"/>
  <c r="D97" i="102"/>
  <c r="D97" i="101" s="1"/>
  <c r="D67" i="102"/>
  <c r="D67" i="101" s="1"/>
  <c r="D52" i="102"/>
  <c r="D52" i="101" s="1"/>
  <c r="D37" i="102"/>
  <c r="D37" i="101" s="1"/>
  <c r="D22" i="102"/>
  <c r="D22" i="101" s="1"/>
  <c r="D7" i="102"/>
  <c r="D7" i="101" s="1"/>
  <c r="F103" i="172" l="1"/>
  <c r="F103" i="175"/>
  <c r="F23" i="134"/>
  <c r="H23" i="193"/>
  <c r="H26" i="192" s="1"/>
  <c r="F82" i="36"/>
  <c r="L82" i="36"/>
  <c r="F82" i="106"/>
  <c r="F82" i="12"/>
  <c r="E14" i="93"/>
  <c r="F26" i="133" l="1"/>
  <c r="F103" i="177"/>
  <c r="H23" i="134"/>
  <c r="F23" i="133"/>
  <c r="F82" i="105"/>
  <c r="D58" i="96"/>
  <c r="E58" i="96"/>
  <c r="F58" i="96"/>
  <c r="D59" i="96"/>
  <c r="E59" i="96"/>
  <c r="F59" i="96"/>
  <c r="E49" i="96"/>
  <c r="F49" i="96"/>
  <c r="E50" i="96"/>
  <c r="F50" i="96"/>
  <c r="E51" i="96"/>
  <c r="F51" i="96"/>
  <c r="E52" i="96"/>
  <c r="F52" i="96"/>
  <c r="D50" i="96"/>
  <c r="D51" i="96"/>
  <c r="D52" i="96"/>
  <c r="D49" i="96"/>
  <c r="D47" i="96"/>
  <c r="E47" i="96"/>
  <c r="F47" i="96"/>
  <c r="E46" i="96"/>
  <c r="F46" i="96"/>
  <c r="D46" i="96"/>
  <c r="D46" i="167" s="1"/>
  <c r="E8" i="96"/>
  <c r="F8" i="96"/>
  <c r="E10" i="96"/>
  <c r="F10" i="96"/>
  <c r="E12" i="96"/>
  <c r="F12" i="96"/>
  <c r="E15" i="96"/>
  <c r="E21" i="96" s="1"/>
  <c r="F15" i="96"/>
  <c r="E17" i="96"/>
  <c r="F17" i="96"/>
  <c r="E19" i="96"/>
  <c r="F19" i="96"/>
  <c r="D19" i="96"/>
  <c r="D17" i="96"/>
  <c r="D15" i="96"/>
  <c r="D34" i="96" s="1"/>
  <c r="D12" i="96"/>
  <c r="D10" i="96"/>
  <c r="D8" i="96"/>
  <c r="D58" i="95"/>
  <c r="E58" i="95"/>
  <c r="D59" i="95"/>
  <c r="E59" i="95"/>
  <c r="D50" i="95"/>
  <c r="E50" i="95"/>
  <c r="D51" i="95"/>
  <c r="E51" i="95"/>
  <c r="D52" i="95"/>
  <c r="D52" i="167" s="1"/>
  <c r="E52" i="95"/>
  <c r="E52" i="167" s="1"/>
  <c r="E49" i="95"/>
  <c r="D49" i="95"/>
  <c r="D47" i="95"/>
  <c r="E47" i="95"/>
  <c r="E46" i="95"/>
  <c r="E8" i="95"/>
  <c r="E10" i="95"/>
  <c r="E12" i="95"/>
  <c r="E15" i="95"/>
  <c r="E17" i="95"/>
  <c r="E19" i="95"/>
  <c r="D19" i="95"/>
  <c r="D17" i="95"/>
  <c r="D15" i="95"/>
  <c r="D12" i="95"/>
  <c r="D10" i="95"/>
  <c r="D10" i="167" s="1"/>
  <c r="D8" i="95"/>
  <c r="D58" i="94"/>
  <c r="E58" i="94"/>
  <c r="D59" i="94"/>
  <c r="E59" i="94"/>
  <c r="D50" i="94"/>
  <c r="E50" i="94"/>
  <c r="D51" i="94"/>
  <c r="E51" i="94"/>
  <c r="D52" i="94"/>
  <c r="E52" i="94"/>
  <c r="E49" i="94"/>
  <c r="E47" i="94"/>
  <c r="D47" i="94"/>
  <c r="D49" i="94"/>
  <c r="E46" i="94"/>
  <c r="D46" i="94"/>
  <c r="E19" i="94"/>
  <c r="E19" i="93" s="1"/>
  <c r="D19" i="94"/>
  <c r="E17" i="94"/>
  <c r="E17" i="93" s="1"/>
  <c r="D17" i="94"/>
  <c r="E8" i="94"/>
  <c r="E10" i="94"/>
  <c r="E12" i="94"/>
  <c r="E13" i="94" s="1"/>
  <c r="E15" i="94"/>
  <c r="D15" i="94"/>
  <c r="D12" i="94"/>
  <c r="D8" i="94"/>
  <c r="D10" i="94"/>
  <c r="D59" i="97"/>
  <c r="E59" i="97"/>
  <c r="D58" i="97"/>
  <c r="E58" i="97"/>
  <c r="E8" i="97"/>
  <c r="E10" i="97"/>
  <c r="E12" i="97"/>
  <c r="E14" i="97"/>
  <c r="E15" i="97"/>
  <c r="E37" i="97" s="1"/>
  <c r="E17" i="97"/>
  <c r="E19" i="97"/>
  <c r="E46" i="97"/>
  <c r="E49" i="97"/>
  <c r="E50" i="97"/>
  <c r="E51" i="97"/>
  <c r="E52" i="97"/>
  <c r="D58" i="59"/>
  <c r="E58" i="59"/>
  <c r="D59" i="59"/>
  <c r="E59" i="59"/>
  <c r="E8" i="59"/>
  <c r="E10" i="59"/>
  <c r="E12" i="59"/>
  <c r="E14" i="59"/>
  <c r="E15" i="59"/>
  <c r="E42" i="59" s="1"/>
  <c r="E17" i="59"/>
  <c r="E19" i="59"/>
  <c r="E46" i="59"/>
  <c r="E49" i="59"/>
  <c r="E50" i="59"/>
  <c r="E51" i="59"/>
  <c r="E52" i="59"/>
  <c r="F22" i="100"/>
  <c r="F25" i="100" s="1"/>
  <c r="D22" i="100"/>
  <c r="D18" i="100"/>
  <c r="D13" i="100"/>
  <c r="F22" i="99"/>
  <c r="D22" i="99"/>
  <c r="D18" i="99"/>
  <c r="D13" i="99"/>
  <c r="D22" i="98"/>
  <c r="E18" i="97"/>
  <c r="D18" i="98"/>
  <c r="D13" i="98"/>
  <c r="F22" i="62"/>
  <c r="F25" i="62" s="1"/>
  <c r="D22" i="62"/>
  <c r="D25" i="62" s="1"/>
  <c r="D18" i="62"/>
  <c r="D13" i="62"/>
  <c r="F22" i="61"/>
  <c r="D22" i="61"/>
  <c r="D18" i="61"/>
  <c r="D13" i="61"/>
  <c r="D18" i="60"/>
  <c r="D22" i="60"/>
  <c r="E18" i="59"/>
  <c r="H26" i="208" l="1"/>
  <c r="F103" i="179"/>
  <c r="E46" i="93"/>
  <c r="E46" i="167"/>
  <c r="F103" i="176"/>
  <c r="D48" i="94"/>
  <c r="E51" i="167"/>
  <c r="E10" i="167"/>
  <c r="D51" i="167"/>
  <c r="E22" i="97"/>
  <c r="E47" i="167"/>
  <c r="E50" i="167"/>
  <c r="E48" i="97"/>
  <c r="E48" i="94"/>
  <c r="F16" i="198"/>
  <c r="E49" i="167"/>
  <c r="E48" i="95"/>
  <c r="F22" i="168"/>
  <c r="E48" i="96"/>
  <c r="D22" i="169"/>
  <c r="D47" i="167"/>
  <c r="D50" i="167"/>
  <c r="F18" i="96"/>
  <c r="H23" i="133"/>
  <c r="D22" i="168"/>
  <c r="E24" i="95"/>
  <c r="F48" i="96"/>
  <c r="E48" i="59"/>
  <c r="D48" i="96"/>
  <c r="F25" i="61"/>
  <c r="F25" i="168" s="1"/>
  <c r="F22" i="169"/>
  <c r="D49" i="167"/>
  <c r="D48" i="95"/>
  <c r="E18" i="96"/>
  <c r="E40" i="95"/>
  <c r="E18" i="95"/>
  <c r="E8" i="167"/>
  <c r="D30" i="94"/>
  <c r="D15" i="167"/>
  <c r="E13" i="95"/>
  <c r="E12" i="167"/>
  <c r="E36" i="96"/>
  <c r="E58" i="93"/>
  <c r="E22" i="96"/>
  <c r="D8" i="167"/>
  <c r="E30" i="95"/>
  <c r="E15" i="167"/>
  <c r="E34" i="167" s="1"/>
  <c r="E21" i="95"/>
  <c r="E36" i="95"/>
  <c r="D39" i="95"/>
  <c r="E40" i="96"/>
  <c r="E21" i="97"/>
  <c r="D46" i="93"/>
  <c r="D12" i="167"/>
  <c r="D25" i="98"/>
  <c r="D28" i="98" s="1"/>
  <c r="D18" i="94"/>
  <c r="D27" i="94"/>
  <c r="D36" i="94"/>
  <c r="D22" i="94"/>
  <c r="D40" i="94"/>
  <c r="E40" i="94"/>
  <c r="E34" i="94"/>
  <c r="E39" i="94"/>
  <c r="E33" i="94"/>
  <c r="E36" i="94"/>
  <c r="E27" i="94"/>
  <c r="E21" i="94"/>
  <c r="E20" i="94"/>
  <c r="E37" i="94"/>
  <c r="E24" i="94"/>
  <c r="D37" i="95"/>
  <c r="D21" i="95"/>
  <c r="D20" i="95"/>
  <c r="D36" i="95"/>
  <c r="D30" i="95"/>
  <c r="D24" i="95"/>
  <c r="D33" i="95"/>
  <c r="D34" i="95"/>
  <c r="D34" i="167" s="1"/>
  <c r="D40" i="95"/>
  <c r="F39" i="96"/>
  <c r="F24" i="96"/>
  <c r="F20" i="96"/>
  <c r="F21" i="96"/>
  <c r="F37" i="96"/>
  <c r="F30" i="96"/>
  <c r="F36" i="96"/>
  <c r="D25" i="99"/>
  <c r="D27" i="95"/>
  <c r="D22" i="95"/>
  <c r="D25" i="61"/>
  <c r="D25" i="168" s="1"/>
  <c r="F28" i="62"/>
  <c r="F22" i="96"/>
  <c r="E30" i="94"/>
  <c r="E25" i="60"/>
  <c r="E22" i="94"/>
  <c r="D31" i="62"/>
  <c r="D28" i="62"/>
  <c r="D25" i="100"/>
  <c r="D31" i="100" s="1"/>
  <c r="E34" i="97"/>
  <c r="E42" i="97"/>
  <c r="E36" i="97"/>
  <c r="E30" i="97"/>
  <c r="E39" i="97"/>
  <c r="E33" i="97"/>
  <c r="E27" i="97"/>
  <c r="E40" i="97"/>
  <c r="E24" i="97"/>
  <c r="E20" i="97"/>
  <c r="E33" i="96"/>
  <c r="E27" i="96"/>
  <c r="E59" i="93"/>
  <c r="D58" i="93"/>
  <c r="F25" i="99"/>
  <c r="F28" i="100"/>
  <c r="E13" i="97"/>
  <c r="D21" i="94"/>
  <c r="D24" i="94"/>
  <c r="E12" i="93"/>
  <c r="E8" i="93"/>
  <c r="D52" i="93"/>
  <c r="E24" i="96"/>
  <c r="E22" i="95"/>
  <c r="D39" i="94"/>
  <c r="D33" i="94"/>
  <c r="D37" i="94"/>
  <c r="E18" i="94"/>
  <c r="E18" i="93" s="1"/>
  <c r="D20" i="94"/>
  <c r="D34" i="94"/>
  <c r="E39" i="95"/>
  <c r="E33" i="95"/>
  <c r="E27" i="95"/>
  <c r="E37" i="95"/>
  <c r="E20" i="95"/>
  <c r="D37" i="96"/>
  <c r="D40" i="96"/>
  <c r="E30" i="96"/>
  <c r="D49" i="93"/>
  <c r="E52" i="93"/>
  <c r="E10" i="93"/>
  <c r="D47" i="93"/>
  <c r="D50" i="93"/>
  <c r="E51" i="93"/>
  <c r="E49" i="93"/>
  <c r="E47" i="93"/>
  <c r="D51" i="93"/>
  <c r="D59" i="93"/>
  <c r="E50" i="93"/>
  <c r="D27" i="96"/>
  <c r="D33" i="96"/>
  <c r="D39" i="96"/>
  <c r="E15" i="93"/>
  <c r="E13" i="96"/>
  <c r="E20" i="96"/>
  <c r="D22" i="96"/>
  <c r="D24" i="96"/>
  <c r="F27" i="96"/>
  <c r="D30" i="96"/>
  <c r="F33" i="96"/>
  <c r="D36" i="96"/>
  <c r="E37" i="96"/>
  <c r="F13" i="96"/>
  <c r="D20" i="96"/>
  <c r="D21" i="96"/>
  <c r="F25" i="96"/>
  <c r="F34" i="96"/>
  <c r="E39" i="96"/>
  <c r="F40" i="96"/>
  <c r="E20" i="59"/>
  <c r="E22" i="59"/>
  <c r="E39" i="59"/>
  <c r="E24" i="59"/>
  <c r="E36" i="59"/>
  <c r="E34" i="59"/>
  <c r="E30" i="59"/>
  <c r="E13" i="59"/>
  <c r="E21" i="59"/>
  <c r="E27" i="59"/>
  <c r="E33" i="59"/>
  <c r="F31" i="100"/>
  <c r="F31" i="99"/>
  <c r="E25" i="97"/>
  <c r="F31" i="62"/>
  <c r="E31" i="96"/>
  <c r="K20" i="127"/>
  <c r="K19" i="127" s="1"/>
  <c r="E20" i="127"/>
  <c r="E19" i="127" s="1"/>
  <c r="J19" i="127"/>
  <c r="I19" i="127"/>
  <c r="D19" i="127"/>
  <c r="C19" i="127"/>
  <c r="K18" i="127"/>
  <c r="F8" i="157" s="1"/>
  <c r="E18" i="127"/>
  <c r="D8" i="157" s="1"/>
  <c r="D18" i="157" s="1"/>
  <c r="D15" i="157" s="1"/>
  <c r="D7" i="157" s="1"/>
  <c r="D23" i="157" s="1"/>
  <c r="D24" i="157" s="1"/>
  <c r="D25" i="157" s="1"/>
  <c r="D26" i="157" s="1"/>
  <c r="K15" i="127"/>
  <c r="E15" i="127"/>
  <c r="K14" i="127"/>
  <c r="K12" i="127" s="1"/>
  <c r="K11" i="127" s="1"/>
  <c r="E14" i="127"/>
  <c r="I12" i="127"/>
  <c r="D8" i="156"/>
  <c r="D18" i="156" s="1"/>
  <c r="D15" i="156" s="1"/>
  <c r="D7" i="156" s="1"/>
  <c r="D23" i="156" s="1"/>
  <c r="D24" i="156" s="1"/>
  <c r="D25" i="156" s="1"/>
  <c r="D26" i="156" s="1"/>
  <c r="N24" i="156"/>
  <c r="N25" i="156" s="1"/>
  <c r="M24" i="156"/>
  <c r="M25" i="156" s="1"/>
  <c r="M26" i="156" s="1"/>
  <c r="L102" i="171" s="1"/>
  <c r="L102" i="177" s="1"/>
  <c r="L102" i="82" s="1"/>
  <c r="L102" i="81" s="1"/>
  <c r="E8" i="156"/>
  <c r="N26" i="156" l="1"/>
  <c r="F28" i="61"/>
  <c r="F28" i="168" s="1"/>
  <c r="D48" i="167"/>
  <c r="F31" i="61"/>
  <c r="F31" i="169"/>
  <c r="F43" i="100"/>
  <c r="D43" i="62"/>
  <c r="E33" i="167"/>
  <c r="E40" i="167"/>
  <c r="E21" i="167"/>
  <c r="E48" i="167"/>
  <c r="D30" i="167"/>
  <c r="E20" i="167"/>
  <c r="D27" i="167"/>
  <c r="E24" i="167"/>
  <c r="D21" i="167"/>
  <c r="H16" i="198"/>
  <c r="D44" i="62"/>
  <c r="F25" i="169"/>
  <c r="E28" i="60"/>
  <c r="E31" i="60"/>
  <c r="D33" i="167"/>
  <c r="D20" i="167"/>
  <c r="D13" i="167"/>
  <c r="E48" i="93"/>
  <c r="F28" i="96"/>
  <c r="D48" i="93"/>
  <c r="D22" i="167"/>
  <c r="D25" i="169"/>
  <c r="D24" i="167"/>
  <c r="D31" i="99"/>
  <c r="D31" i="169" s="1"/>
  <c r="I11" i="127"/>
  <c r="J11" i="127" s="1"/>
  <c r="N24" i="157"/>
  <c r="N25" i="157" s="1"/>
  <c r="N26" i="157" s="1"/>
  <c r="G8" i="157"/>
  <c r="G15" i="157" s="1"/>
  <c r="G7" i="157" s="1"/>
  <c r="G24" i="157" s="1"/>
  <c r="G25" i="157" s="1"/>
  <c r="G26" i="157" s="1"/>
  <c r="F100" i="86" s="1"/>
  <c r="F100" i="85" s="1"/>
  <c r="F15" i="157"/>
  <c r="F7" i="157" s="1"/>
  <c r="M24" i="157"/>
  <c r="M25" i="157" s="1"/>
  <c r="M26" i="157" s="1"/>
  <c r="L102" i="85" s="1"/>
  <c r="E13" i="167"/>
  <c r="E33" i="93"/>
  <c r="D12" i="186"/>
  <c r="D36" i="167"/>
  <c r="D40" i="167"/>
  <c r="D37" i="167"/>
  <c r="E36" i="167"/>
  <c r="D39" i="167"/>
  <c r="E22" i="167"/>
  <c r="E39" i="167"/>
  <c r="E37" i="167"/>
  <c r="E27" i="167"/>
  <c r="E30" i="167"/>
  <c r="E20" i="93"/>
  <c r="E37" i="93"/>
  <c r="E39" i="93"/>
  <c r="E13" i="93"/>
  <c r="E22" i="93"/>
  <c r="E24" i="93"/>
  <c r="E27" i="93"/>
  <c r="E34" i="93"/>
  <c r="E40" i="93"/>
  <c r="D31" i="96"/>
  <c r="D31" i="98"/>
  <c r="E12" i="127"/>
  <c r="C9" i="127"/>
  <c r="D11" i="158"/>
  <c r="D8" i="160"/>
  <c r="D8" i="158"/>
  <c r="D8" i="159"/>
  <c r="E18" i="156"/>
  <c r="E15" i="156" s="1"/>
  <c r="E7" i="156" s="1"/>
  <c r="E23" i="156" s="1"/>
  <c r="E24" i="156" s="1"/>
  <c r="E25" i="156" s="1"/>
  <c r="E26" i="156" s="1"/>
  <c r="G15" i="156"/>
  <c r="G7" i="156" s="1"/>
  <c r="F15" i="156"/>
  <c r="F7" i="156" s="1"/>
  <c r="F24" i="156" s="1"/>
  <c r="F25" i="156" s="1"/>
  <c r="E57" i="99"/>
  <c r="E31" i="95"/>
  <c r="E31" i="167" s="1"/>
  <c r="E25" i="95"/>
  <c r="D31" i="61"/>
  <c r="D28" i="61"/>
  <c r="D28" i="168" s="1"/>
  <c r="E31" i="97"/>
  <c r="E25" i="94"/>
  <c r="D28" i="99"/>
  <c r="D25" i="95"/>
  <c r="F44" i="100"/>
  <c r="E25" i="96"/>
  <c r="F31" i="96"/>
  <c r="E25" i="59"/>
  <c r="E42" i="93"/>
  <c r="F28" i="99"/>
  <c r="D28" i="100"/>
  <c r="D28" i="96" s="1"/>
  <c r="D25" i="96"/>
  <c r="E30" i="93"/>
  <c r="E21" i="93"/>
  <c r="E36" i="93"/>
  <c r="F43" i="62"/>
  <c r="E28" i="96"/>
  <c r="E43" i="95"/>
  <c r="E28" i="95"/>
  <c r="J12" i="127"/>
  <c r="F31" i="168" l="1"/>
  <c r="F43" i="61"/>
  <c r="F43" i="168" s="1"/>
  <c r="F44" i="168" s="1"/>
  <c r="E43" i="60"/>
  <c r="E44" i="60" s="1"/>
  <c r="M102" i="171"/>
  <c r="M102" i="177" s="1"/>
  <c r="M102" i="82" s="1"/>
  <c r="M102" i="81" s="1"/>
  <c r="F43" i="96"/>
  <c r="F44" i="96" s="1"/>
  <c r="M100" i="86"/>
  <c r="M100" i="85" s="1"/>
  <c r="M102" i="85"/>
  <c r="D55" i="62"/>
  <c r="D45" i="62"/>
  <c r="F55" i="100"/>
  <c r="F45" i="100"/>
  <c r="D43" i="61"/>
  <c r="D43" i="168" s="1"/>
  <c r="D43" i="100"/>
  <c r="D43" i="96" s="1"/>
  <c r="D44" i="96" s="1"/>
  <c r="F28" i="169"/>
  <c r="E14" i="186"/>
  <c r="E14" i="198" s="1"/>
  <c r="D28" i="169"/>
  <c r="D43" i="99"/>
  <c r="D43" i="98"/>
  <c r="D44" i="98" s="1"/>
  <c r="F43" i="99"/>
  <c r="D31" i="95"/>
  <c r="D31" i="167" s="1"/>
  <c r="D31" i="168"/>
  <c r="D44" i="168" s="1"/>
  <c r="L24" i="157"/>
  <c r="L25" i="157"/>
  <c r="M14" i="158"/>
  <c r="L100" i="86"/>
  <c r="L100" i="85" s="1"/>
  <c r="I9" i="127"/>
  <c r="F24" i="157"/>
  <c r="F25" i="157" s="1"/>
  <c r="E44" i="95"/>
  <c r="E28" i="167"/>
  <c r="D25" i="167"/>
  <c r="E25" i="167"/>
  <c r="G11" i="158"/>
  <c r="G8" i="160"/>
  <c r="D14" i="158"/>
  <c r="D12" i="127"/>
  <c r="E11" i="127"/>
  <c r="D11" i="127" s="1"/>
  <c r="F8" i="158"/>
  <c r="F8" i="159"/>
  <c r="F8" i="161"/>
  <c r="E8" i="159"/>
  <c r="E8" i="158"/>
  <c r="E14" i="158" s="1"/>
  <c r="G24" i="156"/>
  <c r="G25" i="156" s="1"/>
  <c r="L24" i="156"/>
  <c r="L26" i="156" s="1"/>
  <c r="F44" i="61"/>
  <c r="E25" i="93"/>
  <c r="E28" i="94"/>
  <c r="E28" i="59"/>
  <c r="E28" i="97"/>
  <c r="D28" i="95"/>
  <c r="D28" i="167" s="1"/>
  <c r="F44" i="62"/>
  <c r="D44" i="99"/>
  <c r="F57" i="100"/>
  <c r="E31" i="94"/>
  <c r="E31" i="93" s="1"/>
  <c r="E31" i="59"/>
  <c r="E43" i="96"/>
  <c r="E44" i="96" s="1"/>
  <c r="K9" i="127"/>
  <c r="N14" i="158" l="1"/>
  <c r="D43" i="169"/>
  <c r="D44" i="169" s="1"/>
  <c r="F55" i="61"/>
  <c r="F45" i="61"/>
  <c r="E55" i="60"/>
  <c r="E45" i="60"/>
  <c r="D45" i="99"/>
  <c r="D55" i="99"/>
  <c r="F55" i="62"/>
  <c r="F55" i="96" s="1"/>
  <c r="F45" i="62"/>
  <c r="F45" i="96" s="1"/>
  <c r="D55" i="98"/>
  <c r="D57" i="98" s="1"/>
  <c r="D45" i="98"/>
  <c r="E43" i="94"/>
  <c r="E44" i="94" s="1"/>
  <c r="E16" i="85"/>
  <c r="G26" i="156"/>
  <c r="F44" i="99"/>
  <c r="F43" i="169"/>
  <c r="F44" i="169" s="1"/>
  <c r="L26" i="157"/>
  <c r="E57" i="100"/>
  <c r="E57" i="169" s="1"/>
  <c r="K102" i="171"/>
  <c r="K102" i="28"/>
  <c r="E9" i="127"/>
  <c r="D9" i="127" s="1"/>
  <c r="J9" i="127"/>
  <c r="F11" i="158"/>
  <c r="F8" i="160"/>
  <c r="D57" i="62"/>
  <c r="E43" i="167"/>
  <c r="E44" i="167" s="1"/>
  <c r="D44" i="100"/>
  <c r="F57" i="61"/>
  <c r="D57" i="99"/>
  <c r="E43" i="97"/>
  <c r="E44" i="97" s="1"/>
  <c r="E57" i="61"/>
  <c r="E43" i="59"/>
  <c r="E44" i="59" s="1"/>
  <c r="F57" i="62"/>
  <c r="F57" i="96" s="1"/>
  <c r="D43" i="95"/>
  <c r="D43" i="167" s="1"/>
  <c r="D44" i="167" s="1"/>
  <c r="D44" i="61"/>
  <c r="E28" i="93"/>
  <c r="E43" i="93"/>
  <c r="E16" i="177" l="1"/>
  <c r="E15" i="177" s="1"/>
  <c r="K100" i="86"/>
  <c r="K100" i="85" s="1"/>
  <c r="K102" i="85"/>
  <c r="E16" i="8"/>
  <c r="D55" i="61"/>
  <c r="D45" i="61"/>
  <c r="D45" i="100"/>
  <c r="D45" i="96" s="1"/>
  <c r="D55" i="100"/>
  <c r="D55" i="96" s="1"/>
  <c r="E45" i="94"/>
  <c r="E45" i="93" s="1"/>
  <c r="E45" i="59"/>
  <c r="F45" i="168"/>
  <c r="F55" i="99"/>
  <c r="F55" i="169" s="1"/>
  <c r="F45" i="99"/>
  <c r="F45" i="169" s="1"/>
  <c r="D55" i="169"/>
  <c r="E55" i="94"/>
  <c r="E55" i="93" s="1"/>
  <c r="E55" i="59"/>
  <c r="F55" i="168"/>
  <c r="E10" i="186"/>
  <c r="L14" i="158"/>
  <c r="F102" i="28"/>
  <c r="F102" i="171"/>
  <c r="G8" i="161"/>
  <c r="G8" i="159"/>
  <c r="G8" i="158"/>
  <c r="G14" i="158" s="1"/>
  <c r="K102" i="8"/>
  <c r="K102" i="177"/>
  <c r="K102" i="82" s="1"/>
  <c r="K102" i="81" s="1"/>
  <c r="D57" i="100"/>
  <c r="D57" i="96" s="1"/>
  <c r="F57" i="168"/>
  <c r="E57" i="95"/>
  <c r="E57" i="60"/>
  <c r="E44" i="93"/>
  <c r="E57" i="62"/>
  <c r="E57" i="96" s="1"/>
  <c r="E55" i="97"/>
  <c r="D57" i="61"/>
  <c r="D57" i="95" s="1"/>
  <c r="D57" i="167" s="1"/>
  <c r="D45" i="169" l="1"/>
  <c r="D45" i="97"/>
  <c r="D57" i="169"/>
  <c r="D55" i="97"/>
  <c r="E57" i="167"/>
  <c r="F57" i="99"/>
  <c r="D45" i="95"/>
  <c r="D45" i="167" s="1"/>
  <c r="D45" i="168"/>
  <c r="E57" i="168"/>
  <c r="D55" i="95"/>
  <c r="D55" i="167" s="1"/>
  <c r="D55" i="168"/>
  <c r="F10" i="198"/>
  <c r="F102" i="177"/>
  <c r="F102" i="82" s="1"/>
  <c r="F102" i="81" s="1"/>
  <c r="F102" i="8"/>
  <c r="D57" i="97"/>
  <c r="D57" i="168"/>
  <c r="E57" i="59"/>
  <c r="E57" i="98"/>
  <c r="E57" i="97" s="1"/>
  <c r="AK106" i="126"/>
  <c r="F106" i="126" s="1"/>
  <c r="AJ106" i="126"/>
  <c r="AG106" i="126"/>
  <c r="AD106" i="126"/>
  <c r="AK105" i="126"/>
  <c r="F105" i="126" s="1"/>
  <c r="AJ105" i="126"/>
  <c r="AG105" i="126"/>
  <c r="AD105" i="126"/>
  <c r="AK104" i="126"/>
  <c r="AJ104" i="126"/>
  <c r="AG104" i="126"/>
  <c r="AD104" i="126"/>
  <c r="AD103" i="126" s="1"/>
  <c r="AC103" i="126" s="1"/>
  <c r="C104" i="126"/>
  <c r="V103" i="126"/>
  <c r="Q103" i="126"/>
  <c r="S103" i="126" s="1"/>
  <c r="C103" i="126"/>
  <c r="AK102" i="126"/>
  <c r="F102" i="126" s="1"/>
  <c r="AJ102" i="126"/>
  <c r="AG102" i="126"/>
  <c r="AD102" i="126"/>
  <c r="AK101" i="126"/>
  <c r="F101" i="126" s="1"/>
  <c r="AK100" i="126"/>
  <c r="F100" i="126" s="1"/>
  <c r="AJ100" i="126"/>
  <c r="AG100" i="126"/>
  <c r="AD100" i="126"/>
  <c r="AK99" i="126"/>
  <c r="AJ99" i="126"/>
  <c r="AG99" i="126"/>
  <c r="AD99" i="126"/>
  <c r="AH98" i="126"/>
  <c r="AE98" i="126"/>
  <c r="AB98" i="126"/>
  <c r="V98" i="126"/>
  <c r="Q98" i="126"/>
  <c r="C98" i="126"/>
  <c r="AH97" i="126"/>
  <c r="AE97" i="126"/>
  <c r="AB97" i="126"/>
  <c r="E97" i="126"/>
  <c r="AK96" i="126"/>
  <c r="AJ96" i="126"/>
  <c r="AG96" i="126"/>
  <c r="AD96" i="126"/>
  <c r="AK95" i="126"/>
  <c r="F95" i="126" s="1"/>
  <c r="AJ95" i="126"/>
  <c r="AG95" i="126"/>
  <c r="AG101" i="126" s="1"/>
  <c r="AF101" i="126" s="1"/>
  <c r="AD101" i="126"/>
  <c r="C93" i="126"/>
  <c r="O91" i="126"/>
  <c r="O90" i="126"/>
  <c r="M79" i="126"/>
  <c r="C89" i="126"/>
  <c r="C88" i="126"/>
  <c r="O87" i="126"/>
  <c r="O86" i="126"/>
  <c r="O85" i="126"/>
  <c r="O84" i="126"/>
  <c r="O83" i="126"/>
  <c r="J83" i="126"/>
  <c r="F83" i="126"/>
  <c r="C83" i="126"/>
  <c r="E82" i="126"/>
  <c r="J79" i="126"/>
  <c r="C78" i="126"/>
  <c r="M75" i="126"/>
  <c r="O75" i="126" s="1"/>
  <c r="M74" i="126"/>
  <c r="O74" i="126" s="1"/>
  <c r="M73" i="126"/>
  <c r="O73" i="126" s="1"/>
  <c r="M72" i="126"/>
  <c r="O72" i="126" s="1"/>
  <c r="F70" i="126"/>
  <c r="M69" i="126"/>
  <c r="O69" i="126" s="1"/>
  <c r="C69" i="126"/>
  <c r="D69" i="126" s="1"/>
  <c r="X68" i="126"/>
  <c r="I67" i="126" s="1"/>
  <c r="V68" i="126"/>
  <c r="S68" i="126"/>
  <c r="M68" i="126"/>
  <c r="O68" i="126" s="1"/>
  <c r="C68" i="126"/>
  <c r="D68" i="126" s="1"/>
  <c r="W67" i="126"/>
  <c r="W69" i="126" s="1"/>
  <c r="F67" i="126" s="1"/>
  <c r="V67" i="126"/>
  <c r="S67" i="126"/>
  <c r="Y67" i="126" s="1"/>
  <c r="C67" i="126"/>
  <c r="M64" i="126"/>
  <c r="O64" i="126" s="1"/>
  <c r="I62" i="126"/>
  <c r="F62" i="126"/>
  <c r="C62" i="126"/>
  <c r="M59" i="126"/>
  <c r="O59" i="126" s="1"/>
  <c r="M58" i="126"/>
  <c r="O58" i="126" s="1"/>
  <c r="M57" i="126"/>
  <c r="O57" i="126" s="1"/>
  <c r="M56" i="126"/>
  <c r="O56" i="126" s="1"/>
  <c r="M55" i="126"/>
  <c r="O55" i="126" s="1"/>
  <c r="F54" i="126"/>
  <c r="M54" i="126" s="1"/>
  <c r="O54" i="126" s="1"/>
  <c r="M53" i="126"/>
  <c r="O53" i="126" s="1"/>
  <c r="M52" i="126"/>
  <c r="O52" i="126" s="1"/>
  <c r="M51" i="126"/>
  <c r="O51" i="126" s="1"/>
  <c r="M50" i="126"/>
  <c r="O50" i="126" s="1"/>
  <c r="F49" i="126"/>
  <c r="M39" i="126"/>
  <c r="M37" i="126" s="1"/>
  <c r="O37" i="126" s="1"/>
  <c r="F37" i="126"/>
  <c r="F36" i="126"/>
  <c r="M36" i="126" s="1"/>
  <c r="O36" i="126" s="1"/>
  <c r="F35" i="126"/>
  <c r="M34" i="126"/>
  <c r="O34" i="126" s="1"/>
  <c r="C29" i="126"/>
  <c r="O26" i="126"/>
  <c r="O25" i="126"/>
  <c r="O24" i="126"/>
  <c r="O22" i="126"/>
  <c r="O21" i="126"/>
  <c r="O20" i="126"/>
  <c r="O19" i="126"/>
  <c r="O18" i="126"/>
  <c r="M17" i="126"/>
  <c r="O17" i="126" s="1"/>
  <c r="F17" i="126"/>
  <c r="AK105" i="66"/>
  <c r="F105" i="66" s="1"/>
  <c r="AK106" i="66"/>
  <c r="F106" i="66" s="1"/>
  <c r="AK104" i="66"/>
  <c r="F104" i="66" s="1"/>
  <c r="AK100" i="66"/>
  <c r="F100" i="66" s="1"/>
  <c r="AK101" i="66"/>
  <c r="F101" i="66" s="1"/>
  <c r="AK102" i="66"/>
  <c r="F102" i="66" s="1"/>
  <c r="AK99" i="66"/>
  <c r="F99" i="66" s="1"/>
  <c r="AH97" i="66"/>
  <c r="AK95" i="66"/>
  <c r="AK96" i="66"/>
  <c r="AK94" i="66"/>
  <c r="F94" i="66" s="1"/>
  <c r="AJ106" i="66"/>
  <c r="AJ104" i="66"/>
  <c r="AJ102" i="66"/>
  <c r="AJ100" i="66"/>
  <c r="AJ99" i="66"/>
  <c r="AH98" i="66"/>
  <c r="AG106" i="66"/>
  <c r="AG104" i="66"/>
  <c r="AG102" i="66"/>
  <c r="AG100" i="66"/>
  <c r="AG99" i="66"/>
  <c r="AE98" i="66"/>
  <c r="AB98" i="66"/>
  <c r="AE97" i="66"/>
  <c r="AB97" i="66"/>
  <c r="AD104" i="66"/>
  <c r="AD102" i="66"/>
  <c r="AD100" i="66"/>
  <c r="AD99" i="66"/>
  <c r="AM99" i="66" s="1"/>
  <c r="M99" i="66" s="1"/>
  <c r="O99" i="66" s="1"/>
  <c r="AJ96" i="66"/>
  <c r="AG96" i="66"/>
  <c r="AD96" i="66"/>
  <c r="AJ95" i="66"/>
  <c r="AG95" i="66"/>
  <c r="AG105" i="66" s="1"/>
  <c r="AF105" i="66" s="1"/>
  <c r="AD95" i="66"/>
  <c r="O91" i="66"/>
  <c r="O90" i="66"/>
  <c r="C89" i="66"/>
  <c r="C88" i="66"/>
  <c r="D88" i="66" s="1"/>
  <c r="O87" i="66"/>
  <c r="O86" i="66"/>
  <c r="O85" i="66"/>
  <c r="O84" i="66"/>
  <c r="M83" i="66"/>
  <c r="J83" i="66"/>
  <c r="F83" i="66"/>
  <c r="C83" i="66"/>
  <c r="E82" i="66"/>
  <c r="J79" i="66"/>
  <c r="C78" i="66"/>
  <c r="C104" i="66"/>
  <c r="C103" i="66"/>
  <c r="C98" i="66"/>
  <c r="E97" i="66"/>
  <c r="C93" i="66"/>
  <c r="F30" i="126" l="1"/>
  <c r="D78" i="126"/>
  <c r="D62" i="126"/>
  <c r="Y103" i="126"/>
  <c r="W103" i="126"/>
  <c r="X103" i="126" s="1"/>
  <c r="F57" i="169"/>
  <c r="H10" i="198"/>
  <c r="AG103" i="126"/>
  <c r="AF103" i="126" s="1"/>
  <c r="AJ103" i="126"/>
  <c r="AI103" i="126" s="1"/>
  <c r="AG94" i="126"/>
  <c r="AF94" i="126" s="1"/>
  <c r="F95" i="66"/>
  <c r="AC101" i="126"/>
  <c r="O39" i="126"/>
  <c r="AJ94" i="126"/>
  <c r="AI94" i="126" s="1"/>
  <c r="D83" i="66"/>
  <c r="F29" i="126"/>
  <c r="AK94" i="126"/>
  <c r="AG103" i="66"/>
  <c r="AF103" i="66" s="1"/>
  <c r="AM95" i="66"/>
  <c r="AJ105" i="66"/>
  <c r="AI105" i="66" s="1"/>
  <c r="F104" i="126"/>
  <c r="D104" i="126" s="1"/>
  <c r="AK103" i="126"/>
  <c r="AM101" i="66"/>
  <c r="M101" i="66" s="1"/>
  <c r="AD105" i="66"/>
  <c r="AD103" i="66" s="1"/>
  <c r="AC103" i="66" s="1"/>
  <c r="D83" i="126"/>
  <c r="AJ101" i="126"/>
  <c r="AI101" i="126" s="1"/>
  <c r="AD94" i="126"/>
  <c r="AC94" i="126" s="1"/>
  <c r="F99" i="126"/>
  <c r="AM95" i="126"/>
  <c r="AL95" i="126" s="1"/>
  <c r="AM96" i="126"/>
  <c r="AL96" i="126" s="1"/>
  <c r="AM102" i="126"/>
  <c r="M102" i="126" s="1"/>
  <c r="O102" i="126" s="1"/>
  <c r="AM105" i="126"/>
  <c r="M105" i="126" s="1"/>
  <c r="O105" i="126" s="1"/>
  <c r="AM106" i="126"/>
  <c r="M106" i="126" s="1"/>
  <c r="I106" i="126" s="1"/>
  <c r="AM104" i="126"/>
  <c r="M49" i="126"/>
  <c r="O49" i="126" s="1"/>
  <c r="AD98" i="126"/>
  <c r="AC98" i="126" s="1"/>
  <c r="AG98" i="126"/>
  <c r="AF98" i="126" s="1"/>
  <c r="AM100" i="126"/>
  <c r="AM100" i="66"/>
  <c r="AL100" i="66" s="1"/>
  <c r="I100" i="66" s="1"/>
  <c r="AJ98" i="66"/>
  <c r="AI98" i="66" s="1"/>
  <c r="AD94" i="66"/>
  <c r="AC94" i="66" s="1"/>
  <c r="AK103" i="66"/>
  <c r="F103" i="66" s="1"/>
  <c r="D103" i="66" s="1"/>
  <c r="AG98" i="66"/>
  <c r="AF98" i="66" s="1"/>
  <c r="AG94" i="66"/>
  <c r="AF94" i="66" s="1"/>
  <c r="AJ94" i="66"/>
  <c r="AI94" i="66" s="1"/>
  <c r="AM102" i="66"/>
  <c r="AL102" i="66" s="1"/>
  <c r="I102" i="66" s="1"/>
  <c r="AM106" i="66"/>
  <c r="M106" i="66" s="1"/>
  <c r="I106" i="66" s="1"/>
  <c r="AM104" i="66"/>
  <c r="AL104" i="66" s="1"/>
  <c r="I104" i="66" s="1"/>
  <c r="D104" i="66"/>
  <c r="AM96" i="66"/>
  <c r="O96" i="66" s="1"/>
  <c r="AK98" i="66"/>
  <c r="F98" i="66" s="1"/>
  <c r="AD98" i="66"/>
  <c r="AC98" i="66" s="1"/>
  <c r="AK97" i="66"/>
  <c r="E57" i="94"/>
  <c r="E57" i="93" s="1"/>
  <c r="D67" i="126"/>
  <c r="X67" i="126"/>
  <c r="J67" i="126" s="1"/>
  <c r="Y69" i="126"/>
  <c r="M67" i="126" s="1"/>
  <c r="O67" i="126" s="1"/>
  <c r="M35" i="126"/>
  <c r="O79" i="126"/>
  <c r="D89" i="126"/>
  <c r="AM99" i="126"/>
  <c r="S98" i="126"/>
  <c r="Y98" i="126" s="1"/>
  <c r="W98" i="126"/>
  <c r="M78" i="126"/>
  <c r="O78" i="126" s="1"/>
  <c r="M88" i="126"/>
  <c r="O88" i="126" s="1"/>
  <c r="O89" i="126"/>
  <c r="AK98" i="126"/>
  <c r="F98" i="126" s="1"/>
  <c r="D88" i="126"/>
  <c r="AL99" i="66"/>
  <c r="I99" i="66" s="1"/>
  <c r="D89" i="66"/>
  <c r="F78" i="66"/>
  <c r="D78" i="66" s="1"/>
  <c r="M88" i="66"/>
  <c r="O83" i="66"/>
  <c r="F93" i="66" l="1"/>
  <c r="D93" i="66" s="1"/>
  <c r="G95" i="66"/>
  <c r="W104" i="126"/>
  <c r="AJ103" i="66"/>
  <c r="AI103" i="66" s="1"/>
  <c r="AM101" i="126"/>
  <c r="M101" i="126" s="1"/>
  <c r="O101" i="126" s="1"/>
  <c r="AG97" i="126"/>
  <c r="AF97" i="126" s="1"/>
  <c r="AD97" i="126"/>
  <c r="AC97" i="126" s="1"/>
  <c r="AM94" i="126"/>
  <c r="AM97" i="126" s="1"/>
  <c r="AJ97" i="126"/>
  <c r="AI97" i="126" s="1"/>
  <c r="AL101" i="66"/>
  <c r="I101" i="66" s="1"/>
  <c r="M104" i="126"/>
  <c r="O104" i="126" s="1"/>
  <c r="AM103" i="126"/>
  <c r="AL103" i="126" s="1"/>
  <c r="AD97" i="66"/>
  <c r="AC97" i="66" s="1"/>
  <c r="M100" i="66"/>
  <c r="O100" i="66" s="1"/>
  <c r="O106" i="126"/>
  <c r="AL96" i="66"/>
  <c r="AJ97" i="66"/>
  <c r="AI97" i="66" s="1"/>
  <c r="AJ98" i="126"/>
  <c r="AI98" i="126" s="1"/>
  <c r="AC105" i="66"/>
  <c r="AM105" i="66"/>
  <c r="AM103" i="66" s="1"/>
  <c r="AL103" i="66" s="1"/>
  <c r="AL102" i="126"/>
  <c r="I102" i="126" s="1"/>
  <c r="F94" i="126"/>
  <c r="F93" i="126" s="1"/>
  <c r="D93" i="126" s="1"/>
  <c r="AK97" i="126"/>
  <c r="M99" i="126"/>
  <c r="O99" i="126" s="1"/>
  <c r="M95" i="126"/>
  <c r="AL106" i="126"/>
  <c r="AL105" i="126"/>
  <c r="I105" i="126" s="1"/>
  <c r="AL100" i="126"/>
  <c r="I100" i="126" s="1"/>
  <c r="M100" i="126"/>
  <c r="O100" i="126" s="1"/>
  <c r="AL104" i="126"/>
  <c r="I104" i="126" s="1"/>
  <c r="F103" i="126"/>
  <c r="D103" i="126" s="1"/>
  <c r="AG97" i="66"/>
  <c r="AF97" i="66" s="1"/>
  <c r="AM98" i="66"/>
  <c r="AL98" i="66" s="1"/>
  <c r="M102" i="66"/>
  <c r="O102" i="66" s="1"/>
  <c r="M104" i="66"/>
  <c r="O104" i="66" s="1"/>
  <c r="AM94" i="66"/>
  <c r="M94" i="66" s="1"/>
  <c r="O94" i="66" s="1"/>
  <c r="O106" i="66"/>
  <c r="AL106" i="66"/>
  <c r="M95" i="66"/>
  <c r="I95" i="66" s="1"/>
  <c r="AN98" i="66"/>
  <c r="AN96" i="66" s="1"/>
  <c r="D98" i="66"/>
  <c r="O101" i="66"/>
  <c r="Y104" i="126"/>
  <c r="X98" i="126"/>
  <c r="M30" i="126"/>
  <c r="O35" i="126"/>
  <c r="O33" i="126" s="1"/>
  <c r="AL99" i="126"/>
  <c r="I99" i="126" s="1"/>
  <c r="M29" i="126"/>
  <c r="O29" i="126" s="1"/>
  <c r="J71" i="126"/>
  <c r="M71" i="126" s="1"/>
  <c r="J63" i="126"/>
  <c r="AN98" i="126"/>
  <c r="D98" i="126"/>
  <c r="AN210" i="66"/>
  <c r="AN208" i="66" s="1"/>
  <c r="AN130" i="66"/>
  <c r="AN128" i="66" s="1"/>
  <c r="AN114" i="66"/>
  <c r="AN112" i="66" s="1"/>
  <c r="AL95" i="66"/>
  <c r="M79" i="66"/>
  <c r="M78" i="66" s="1"/>
  <c r="O78" i="66" s="1"/>
  <c r="O89" i="66"/>
  <c r="O88" i="66"/>
  <c r="AL101" i="126" l="1"/>
  <c r="I101" i="126" s="1"/>
  <c r="AM98" i="126"/>
  <c r="AL94" i="126"/>
  <c r="M103" i="126"/>
  <c r="O103" i="126" s="1"/>
  <c r="AL94" i="66"/>
  <c r="I94" i="66" s="1"/>
  <c r="E8" i="148"/>
  <c r="J94" i="126"/>
  <c r="J98" i="126"/>
  <c r="M105" i="66"/>
  <c r="AL105" i="66"/>
  <c r="I105" i="66" s="1"/>
  <c r="AN96" i="126"/>
  <c r="I94" i="126"/>
  <c r="M94" i="126"/>
  <c r="O94" i="126" s="1"/>
  <c r="D11" i="86" s="1"/>
  <c r="D11" i="85" s="1"/>
  <c r="O95" i="126"/>
  <c r="I95" i="126"/>
  <c r="M98" i="126"/>
  <c r="O98" i="126" s="1"/>
  <c r="AN115" i="66"/>
  <c r="O79" i="66"/>
  <c r="M98" i="66"/>
  <c r="O98" i="66" s="1"/>
  <c r="D11" i="28" s="1"/>
  <c r="D11" i="171" s="1"/>
  <c r="AN99" i="66"/>
  <c r="O95" i="66"/>
  <c r="AM97" i="66"/>
  <c r="AL97" i="66" s="1"/>
  <c r="M93" i="66"/>
  <c r="M63" i="126"/>
  <c r="J62" i="126"/>
  <c r="AL97" i="126"/>
  <c r="M70" i="126"/>
  <c r="O70" i="126" s="1"/>
  <c r="O71" i="126"/>
  <c r="AN99" i="126"/>
  <c r="AN97" i="126" s="1"/>
  <c r="AL98" i="126"/>
  <c r="H11" i="186" l="1"/>
  <c r="O93" i="66"/>
  <c r="I93" i="66"/>
  <c r="F11" i="186"/>
  <c r="AN131" i="66"/>
  <c r="AN129" i="66" s="1"/>
  <c r="D11" i="82"/>
  <c r="O105" i="66"/>
  <c r="M103" i="66"/>
  <c r="O103" i="66" s="1"/>
  <c r="D11" i="29" s="1"/>
  <c r="M93" i="126"/>
  <c r="O93" i="126" s="1"/>
  <c r="AN97" i="66"/>
  <c r="AN113" i="66"/>
  <c r="M62" i="126"/>
  <c r="O62" i="126" s="1"/>
  <c r="O63" i="126"/>
  <c r="F14" i="197" l="1"/>
  <c r="D11" i="175"/>
  <c r="D11" i="8" s="1"/>
  <c r="D11" i="172"/>
  <c r="D31" i="88"/>
  <c r="D29" i="88" s="1"/>
  <c r="D25" i="88" s="1"/>
  <c r="E29" i="88"/>
  <c r="E25" i="88" s="1"/>
  <c r="C31" i="88"/>
  <c r="C29" i="88" s="1"/>
  <c r="C25" i="88" s="1"/>
  <c r="C31" i="87"/>
  <c r="C29" i="87" s="1"/>
  <c r="C25" i="87" s="1"/>
  <c r="D31" i="86"/>
  <c r="D29" i="86" s="1"/>
  <c r="D25" i="86" s="1"/>
  <c r="C31" i="86"/>
  <c r="D31" i="30"/>
  <c r="C31" i="30"/>
  <c r="D31" i="29"/>
  <c r="C31" i="29"/>
  <c r="D31" i="28"/>
  <c r="D29" i="28" s="1"/>
  <c r="D25" i="28" s="1"/>
  <c r="C31" i="28"/>
  <c r="E29" i="87"/>
  <c r="E25" i="87" s="1"/>
  <c r="D31" i="87"/>
  <c r="D29" i="87" s="1"/>
  <c r="E11" i="186" l="1"/>
  <c r="D11" i="176"/>
  <c r="D11" i="83"/>
  <c r="E29" i="84"/>
  <c r="E25" i="84" s="1"/>
  <c r="D29" i="178"/>
  <c r="D29" i="85" s="1"/>
  <c r="D25" i="87"/>
  <c r="D25" i="178"/>
  <c r="D7" i="178" s="1"/>
  <c r="D91" i="178" s="1"/>
  <c r="D93" i="178" s="1"/>
  <c r="D8" i="148" s="1"/>
  <c r="D29" i="30"/>
  <c r="E29" i="30"/>
  <c r="E25" i="30" s="1"/>
  <c r="C29" i="30"/>
  <c r="C25" i="30" s="1"/>
  <c r="E29" i="29"/>
  <c r="E25" i="29" s="1"/>
  <c r="C29" i="29"/>
  <c r="C25" i="29" s="1"/>
  <c r="D29" i="29"/>
  <c r="D25" i="29" s="1"/>
  <c r="D29" i="171"/>
  <c r="D25" i="171" s="1"/>
  <c r="C29" i="84"/>
  <c r="C25" i="84" s="1"/>
  <c r="C29" i="83"/>
  <c r="C25" i="83" s="1"/>
  <c r="E29" i="83"/>
  <c r="E25" i="83" s="1"/>
  <c r="D31" i="8"/>
  <c r="D31" i="82"/>
  <c r="C31" i="82"/>
  <c r="D31" i="83"/>
  <c r="C31" i="8"/>
  <c r="C31" i="85"/>
  <c r="D31" i="85"/>
  <c r="C31" i="84"/>
  <c r="D31" i="84"/>
  <c r="C100" i="86"/>
  <c r="M100" i="87"/>
  <c r="L100" i="87"/>
  <c r="K100" i="87"/>
  <c r="F100" i="87"/>
  <c r="E100" i="87"/>
  <c r="D100" i="87"/>
  <c r="C100" i="87"/>
  <c r="F11" i="185" l="1"/>
  <c r="H11" i="185"/>
  <c r="I8" i="148"/>
  <c r="H8" i="148"/>
  <c r="AN211" i="66"/>
  <c r="D11" i="177"/>
  <c r="D11" i="179"/>
  <c r="D11" i="81" s="1"/>
  <c r="E8" i="147"/>
  <c r="E8" i="149"/>
  <c r="D25" i="85"/>
  <c r="D29" i="173"/>
  <c r="D25" i="173" s="1"/>
  <c r="D7" i="173" s="1"/>
  <c r="D91" i="173" s="1"/>
  <c r="D93" i="173" s="1"/>
  <c r="D25" i="30"/>
  <c r="D29" i="175"/>
  <c r="D25" i="175" s="1"/>
  <c r="D29" i="172"/>
  <c r="D25" i="172" s="1"/>
  <c r="D29" i="82"/>
  <c r="D25" i="82" s="1"/>
  <c r="F100" i="29"/>
  <c r="E100" i="29"/>
  <c r="E94" i="85"/>
  <c r="E95" i="85"/>
  <c r="D94" i="8"/>
  <c r="E94" i="8"/>
  <c r="D95" i="8"/>
  <c r="E95" i="8"/>
  <c r="D92" i="8"/>
  <c r="E92" i="8"/>
  <c r="E15" i="29"/>
  <c r="D15" i="29"/>
  <c r="C15" i="29"/>
  <c r="E15" i="30"/>
  <c r="D15" i="30"/>
  <c r="C15" i="30"/>
  <c r="D15" i="86"/>
  <c r="C15" i="86"/>
  <c r="E15" i="87"/>
  <c r="D15" i="87"/>
  <c r="C15" i="87"/>
  <c r="E15" i="88"/>
  <c r="D15" i="88"/>
  <c r="C15" i="88"/>
  <c r="D15" i="28"/>
  <c r="E88" i="30"/>
  <c r="D88" i="30"/>
  <c r="C88" i="30"/>
  <c r="E85" i="30"/>
  <c r="D85" i="30"/>
  <c r="C85" i="30"/>
  <c r="E78" i="30"/>
  <c r="E83" i="30" s="1"/>
  <c r="D78" i="30"/>
  <c r="D83" i="30" s="1"/>
  <c r="C78" i="30"/>
  <c r="C83" i="30" s="1"/>
  <c r="E71" i="30"/>
  <c r="E67" i="30" s="1"/>
  <c r="D71" i="30"/>
  <c r="D67" i="30" s="1"/>
  <c r="C71" i="30"/>
  <c r="C67" i="30" s="1"/>
  <c r="E61" i="30"/>
  <c r="D61" i="30"/>
  <c r="C61" i="30"/>
  <c r="D88" i="86"/>
  <c r="C88" i="86"/>
  <c r="D85" i="86"/>
  <c r="C85" i="86"/>
  <c r="F21" i="193"/>
  <c r="D78" i="86"/>
  <c r="D83" i="86" s="1"/>
  <c r="C78" i="86"/>
  <c r="C83" i="86" s="1"/>
  <c r="D71" i="86"/>
  <c r="D67" i="86" s="1"/>
  <c r="C71" i="86"/>
  <c r="C67" i="86" s="1"/>
  <c r="F20" i="193"/>
  <c r="D61" i="86"/>
  <c r="C61" i="86"/>
  <c r="E88" i="87"/>
  <c r="D88" i="87"/>
  <c r="C88" i="87"/>
  <c r="E85" i="87"/>
  <c r="D85" i="87"/>
  <c r="C85" i="87"/>
  <c r="E78" i="87"/>
  <c r="D78" i="87"/>
  <c r="D83" i="87" s="1"/>
  <c r="D83" i="83" s="1"/>
  <c r="C78" i="87"/>
  <c r="C83" i="87" s="1"/>
  <c r="C83" i="83" s="1"/>
  <c r="E71" i="87"/>
  <c r="E67" i="87" s="1"/>
  <c r="D71" i="87"/>
  <c r="D67" i="87" s="1"/>
  <c r="C71" i="87"/>
  <c r="C67" i="87" s="1"/>
  <c r="E61" i="87"/>
  <c r="D61" i="87"/>
  <c r="C61" i="87"/>
  <c r="E88" i="88"/>
  <c r="D88" i="88"/>
  <c r="C88" i="88"/>
  <c r="E85" i="88"/>
  <c r="D85" i="88"/>
  <c r="C85" i="88"/>
  <c r="K103" i="84"/>
  <c r="E78" i="88"/>
  <c r="D78" i="88"/>
  <c r="D83" i="88" s="1"/>
  <c r="D83" i="84" s="1"/>
  <c r="C78" i="88"/>
  <c r="C83" i="88" s="1"/>
  <c r="C83" i="84" s="1"/>
  <c r="E71" i="88"/>
  <c r="E67" i="88" s="1"/>
  <c r="D71" i="88"/>
  <c r="D67" i="88" s="1"/>
  <c r="C71" i="88"/>
  <c r="C67" i="88" s="1"/>
  <c r="E61" i="88"/>
  <c r="D61" i="88"/>
  <c r="C61" i="88"/>
  <c r="E88" i="29"/>
  <c r="D88" i="29"/>
  <c r="C88" i="29"/>
  <c r="E85" i="29"/>
  <c r="D85" i="29"/>
  <c r="C85" i="29"/>
  <c r="E78" i="29"/>
  <c r="E83" i="29" s="1"/>
  <c r="D78" i="29"/>
  <c r="D83" i="29" s="1"/>
  <c r="C78" i="29"/>
  <c r="C83" i="29" s="1"/>
  <c r="E71" i="29"/>
  <c r="E67" i="29" s="1"/>
  <c r="D71" i="29"/>
  <c r="D67" i="29" s="1"/>
  <c r="C71" i="29"/>
  <c r="C67" i="29" s="1"/>
  <c r="E61" i="29"/>
  <c r="D61" i="29"/>
  <c r="C61" i="29"/>
  <c r="D85" i="28"/>
  <c r="D88" i="28"/>
  <c r="C88" i="28"/>
  <c r="C85" i="28"/>
  <c r="D78" i="28"/>
  <c r="D83" i="28" s="1"/>
  <c r="D83" i="8" s="1"/>
  <c r="E83" i="8"/>
  <c r="D71" i="28"/>
  <c r="D61" i="28"/>
  <c r="E103" i="29" l="1"/>
  <c r="F23" i="193"/>
  <c r="L103" i="84"/>
  <c r="C103" i="30"/>
  <c r="E84" i="30"/>
  <c r="C84" i="86"/>
  <c r="C103" i="88"/>
  <c r="E84" i="87"/>
  <c r="E83" i="88"/>
  <c r="E83" i="84" s="1"/>
  <c r="E83" i="87"/>
  <c r="E103" i="87" s="1"/>
  <c r="K103" i="88"/>
  <c r="F11" i="198"/>
  <c r="H11" i="198"/>
  <c r="E84" i="88"/>
  <c r="AN209" i="66"/>
  <c r="D84" i="29"/>
  <c r="C103" i="87"/>
  <c r="E7" i="87"/>
  <c r="E91" i="87" s="1"/>
  <c r="E93" i="87" s="1"/>
  <c r="E7" i="29"/>
  <c r="D29" i="84"/>
  <c r="D25" i="84" s="1"/>
  <c r="D31" i="81"/>
  <c r="C31" i="81"/>
  <c r="C84" i="88"/>
  <c r="C84" i="29"/>
  <c r="C84" i="28"/>
  <c r="E84" i="29"/>
  <c r="K103" i="30"/>
  <c r="K103" i="29"/>
  <c r="F103" i="28"/>
  <c r="D7" i="175"/>
  <c r="D91" i="175" s="1"/>
  <c r="D93" i="175" s="1"/>
  <c r="D29" i="8"/>
  <c r="D25" i="8" s="1"/>
  <c r="D29" i="176"/>
  <c r="D25" i="176" s="1"/>
  <c r="D7" i="172"/>
  <c r="D91" i="172" s="1"/>
  <c r="D93" i="172" s="1"/>
  <c r="D29" i="83"/>
  <c r="D25" i="83" s="1"/>
  <c r="D7" i="87"/>
  <c r="C7" i="30"/>
  <c r="F103" i="29"/>
  <c r="F103" i="30"/>
  <c r="E7" i="30"/>
  <c r="D7" i="29"/>
  <c r="D7" i="30"/>
  <c r="C7" i="29"/>
  <c r="F103" i="86"/>
  <c r="D83" i="85"/>
  <c r="D83" i="82"/>
  <c r="D83" i="81" s="1"/>
  <c r="L103" i="87"/>
  <c r="F103" i="88"/>
  <c r="C83" i="85"/>
  <c r="C83" i="82"/>
  <c r="C83" i="81" s="1"/>
  <c r="K103" i="86"/>
  <c r="D84" i="88"/>
  <c r="D84" i="86"/>
  <c r="D7" i="88"/>
  <c r="F21" i="192"/>
  <c r="D84" i="87"/>
  <c r="C7" i="88"/>
  <c r="C91" i="88" s="1"/>
  <c r="C93" i="88" s="1"/>
  <c r="D103" i="88"/>
  <c r="L103" i="88"/>
  <c r="C84" i="87"/>
  <c r="D103" i="86"/>
  <c r="E7" i="88"/>
  <c r="C7" i="87"/>
  <c r="E83" i="85"/>
  <c r="D27" i="186" s="1"/>
  <c r="E103" i="28"/>
  <c r="D84" i="30"/>
  <c r="C84" i="30"/>
  <c r="D103" i="29"/>
  <c r="E67" i="8"/>
  <c r="D67" i="28"/>
  <c r="D103" i="28" s="1"/>
  <c r="D84" i="28"/>
  <c r="K103" i="28"/>
  <c r="C31" i="83"/>
  <c r="E88" i="8"/>
  <c r="D15" i="83"/>
  <c r="C15" i="84"/>
  <c r="C85" i="84"/>
  <c r="D15" i="85"/>
  <c r="C88" i="83"/>
  <c r="E85" i="83"/>
  <c r="C61" i="84"/>
  <c r="E85" i="84"/>
  <c r="E85" i="85"/>
  <c r="E78" i="85"/>
  <c r="D85" i="8"/>
  <c r="D88" i="8"/>
  <c r="E12" i="186"/>
  <c r="E12" i="198" s="1"/>
  <c r="E88" i="83"/>
  <c r="D85" i="84"/>
  <c r="D88" i="84"/>
  <c r="D78" i="83"/>
  <c r="E15" i="8"/>
  <c r="E15" i="85"/>
  <c r="D78" i="8"/>
  <c r="D71" i="83"/>
  <c r="D67" i="83" s="1"/>
  <c r="D61" i="84"/>
  <c r="E85" i="8"/>
  <c r="D71" i="85"/>
  <c r="D67" i="85" s="1"/>
  <c r="C85" i="83"/>
  <c r="E61" i="83"/>
  <c r="D85" i="83"/>
  <c r="D88" i="83"/>
  <c r="E15" i="83"/>
  <c r="E71" i="83"/>
  <c r="E67" i="83" s="1"/>
  <c r="E78" i="83"/>
  <c r="D61" i="85"/>
  <c r="D88" i="82"/>
  <c r="E71" i="85"/>
  <c r="E67" i="85" s="1"/>
  <c r="E15" i="84"/>
  <c r="E71" i="84"/>
  <c r="E67" i="84" s="1"/>
  <c r="E78" i="84"/>
  <c r="D61" i="8"/>
  <c r="D85" i="82"/>
  <c r="C15" i="8"/>
  <c r="D15" i="8"/>
  <c r="D67" i="8"/>
  <c r="E78" i="8"/>
  <c r="D78" i="85"/>
  <c r="D85" i="85"/>
  <c r="D88" i="85"/>
  <c r="E61" i="8"/>
  <c r="E61" i="85"/>
  <c r="D19" i="186" s="1"/>
  <c r="E88" i="85"/>
  <c r="C15" i="82"/>
  <c r="C61" i="82"/>
  <c r="D15" i="82"/>
  <c r="D61" i="83"/>
  <c r="C85" i="82"/>
  <c r="D15" i="84"/>
  <c r="D71" i="84"/>
  <c r="D67" i="84" s="1"/>
  <c r="C88" i="84"/>
  <c r="E61" i="84"/>
  <c r="E88" i="84"/>
  <c r="C15" i="83"/>
  <c r="D78" i="84"/>
  <c r="C61" i="83"/>
  <c r="C71" i="83"/>
  <c r="F20" i="208"/>
  <c r="D71" i="82"/>
  <c r="D67" i="82" s="1"/>
  <c r="D61" i="82"/>
  <c r="C88" i="82"/>
  <c r="D78" i="82"/>
  <c r="C15" i="85"/>
  <c r="C88" i="85"/>
  <c r="C88" i="8"/>
  <c r="E103" i="30"/>
  <c r="D103" i="30"/>
  <c r="D103" i="87"/>
  <c r="C103" i="86"/>
  <c r="C103" i="29"/>
  <c r="E103" i="86"/>
  <c r="C91" i="29" l="1"/>
  <c r="C93" i="29" s="1"/>
  <c r="E91" i="30"/>
  <c r="E93" i="30" s="1"/>
  <c r="F26" i="192"/>
  <c r="F26" i="208"/>
  <c r="F21" i="204"/>
  <c r="F21" i="208"/>
  <c r="F23" i="208" s="1"/>
  <c r="M103" i="84"/>
  <c r="K103" i="87"/>
  <c r="E103" i="88"/>
  <c r="F103" i="87"/>
  <c r="D91" i="88"/>
  <c r="D93" i="88" s="1"/>
  <c r="D93" i="84" s="1"/>
  <c r="E35" i="188"/>
  <c r="E83" i="83"/>
  <c r="E103" i="83" s="1"/>
  <c r="D91" i="87"/>
  <c r="D93" i="87" s="1"/>
  <c r="D93" i="83" s="1"/>
  <c r="E35" i="189"/>
  <c r="E91" i="29"/>
  <c r="E93" i="29" s="1"/>
  <c r="E26" i="186"/>
  <c r="F14" i="138"/>
  <c r="F16" i="211" s="1"/>
  <c r="E91" i="88"/>
  <c r="E93" i="88" s="1"/>
  <c r="E93" i="84" s="1"/>
  <c r="E35" i="186"/>
  <c r="E35" i="198" s="1"/>
  <c r="E35" i="187"/>
  <c r="D91" i="29"/>
  <c r="D93" i="29" s="1"/>
  <c r="C91" i="30"/>
  <c r="C93" i="30" s="1"/>
  <c r="M103" i="88"/>
  <c r="C91" i="87"/>
  <c r="C93" i="87" s="1"/>
  <c r="D7" i="176"/>
  <c r="D91" i="176" s="1"/>
  <c r="D93" i="176" s="1"/>
  <c r="D29" i="179"/>
  <c r="D25" i="179" s="1"/>
  <c r="D29" i="177"/>
  <c r="E7" i="85"/>
  <c r="D7" i="84"/>
  <c r="D91" i="30"/>
  <c r="D93" i="30" s="1"/>
  <c r="C93" i="84"/>
  <c r="G34" i="186"/>
  <c r="G35" i="186" s="1"/>
  <c r="G27" i="186" s="1"/>
  <c r="G36" i="186" s="1"/>
  <c r="G38" i="186" s="1"/>
  <c r="E93" i="83"/>
  <c r="E7" i="84"/>
  <c r="E7" i="83"/>
  <c r="D7" i="83"/>
  <c r="C7" i="83"/>
  <c r="C7" i="84"/>
  <c r="E84" i="8"/>
  <c r="C84" i="83"/>
  <c r="E84" i="83"/>
  <c r="C84" i="84"/>
  <c r="D84" i="82"/>
  <c r="D103" i="83"/>
  <c r="F103" i="84"/>
  <c r="E84" i="85"/>
  <c r="D71" i="81"/>
  <c r="D67" i="81" s="1"/>
  <c r="C88" i="81"/>
  <c r="F103" i="83"/>
  <c r="E103" i="84"/>
  <c r="E103" i="85"/>
  <c r="D84" i="84"/>
  <c r="D103" i="8"/>
  <c r="F103" i="85"/>
  <c r="D61" i="81"/>
  <c r="F103" i="8"/>
  <c r="E84" i="84"/>
  <c r="D84" i="85"/>
  <c r="D78" i="81"/>
  <c r="E103" i="8"/>
  <c r="D85" i="81"/>
  <c r="D84" i="8"/>
  <c r="D84" i="83"/>
  <c r="D103" i="82"/>
  <c r="D103" i="84"/>
  <c r="C15" i="81"/>
  <c r="D103" i="85"/>
  <c r="F103" i="82"/>
  <c r="C84" i="82"/>
  <c r="D88" i="81"/>
  <c r="D15" i="81"/>
  <c r="K103" i="82"/>
  <c r="E103" i="82"/>
  <c r="K103" i="8"/>
  <c r="F20" i="204"/>
  <c r="K104" i="172" l="1"/>
  <c r="M103" i="87"/>
  <c r="F23" i="204"/>
  <c r="E27" i="198"/>
  <c r="E27" i="186"/>
  <c r="F14" i="211"/>
  <c r="D25" i="177"/>
  <c r="K103" i="81"/>
  <c r="C93" i="83"/>
  <c r="D7" i="179"/>
  <c r="D91" i="179" s="1"/>
  <c r="D29" i="81"/>
  <c r="D25" i="81" s="1"/>
  <c r="D8" i="147"/>
  <c r="D93" i="179"/>
  <c r="J8" i="148"/>
  <c r="M103" i="178"/>
  <c r="E91" i="83"/>
  <c r="D91" i="83"/>
  <c r="E91" i="84"/>
  <c r="D84" i="81"/>
  <c r="D103" i="81"/>
  <c r="D91" i="84"/>
  <c r="F103" i="81"/>
  <c r="E103" i="81"/>
  <c r="L16" i="191" l="1"/>
  <c r="E35" i="200"/>
  <c r="E35" i="129"/>
  <c r="E11" i="185"/>
  <c r="E11" i="198" s="1"/>
  <c r="D14" i="197"/>
  <c r="D14" i="138"/>
  <c r="D8" i="149"/>
  <c r="H17" i="190" l="1"/>
  <c r="L16" i="190"/>
  <c r="I17" i="190"/>
  <c r="H17" i="191"/>
  <c r="M103" i="179"/>
  <c r="F31" i="186" l="1"/>
  <c r="F31" i="185"/>
  <c r="F14" i="186"/>
  <c r="F26" i="186"/>
  <c r="F25" i="186"/>
  <c r="F24" i="186"/>
  <c r="F13" i="186"/>
  <c r="F15" i="186"/>
  <c r="I17" i="191"/>
  <c r="H15" i="186" s="1"/>
  <c r="E168" i="117"/>
  <c r="E168" i="123" s="1"/>
  <c r="D167" i="117"/>
  <c r="D108" i="117"/>
  <c r="D109" i="117"/>
  <c r="F19" i="186" l="1"/>
  <c r="D144" i="117"/>
  <c r="D109" i="123"/>
  <c r="D143" i="117"/>
  <c r="D108" i="123"/>
  <c r="D168" i="117"/>
  <c r="D199" i="117" s="1"/>
  <c r="D199" i="123" s="1"/>
  <c r="D167" i="123"/>
  <c r="F31" i="198"/>
  <c r="F27" i="198" s="1"/>
  <c r="H31" i="185"/>
  <c r="F27" i="185"/>
  <c r="H26" i="186"/>
  <c r="H13" i="186"/>
  <c r="H25" i="186"/>
  <c r="H24" i="186"/>
  <c r="H14" i="186"/>
  <c r="F27" i="186"/>
  <c r="H31" i="186"/>
  <c r="H17" i="131"/>
  <c r="D182" i="117"/>
  <c r="D182" i="123" s="1"/>
  <c r="D198" i="117"/>
  <c r="H19" i="186" l="1"/>
  <c r="D183" i="117"/>
  <c r="D183" i="123" s="1"/>
  <c r="D168" i="123"/>
  <c r="H31" i="198"/>
  <c r="H27" i="185"/>
  <c r="I17" i="131"/>
  <c r="H17" i="202"/>
  <c r="D197" i="117"/>
  <c r="D198" i="123"/>
  <c r="D100" i="123"/>
  <c r="D99" i="123"/>
  <c r="D98" i="123"/>
  <c r="D96" i="123"/>
  <c r="D95" i="123"/>
  <c r="D144" i="123" s="1"/>
  <c r="D94" i="123"/>
  <c r="D143" i="123" s="1"/>
  <c r="E66" i="123"/>
  <c r="E67" i="123"/>
  <c r="E68" i="123"/>
  <c r="E70" i="123"/>
  <c r="E71" i="123"/>
  <c r="E72" i="123"/>
  <c r="E73" i="123"/>
  <c r="D73" i="123"/>
  <c r="D72" i="123"/>
  <c r="D71" i="123"/>
  <c r="D70" i="123"/>
  <c r="D68" i="123"/>
  <c r="D67" i="123"/>
  <c r="D66" i="123"/>
  <c r="E61" i="123"/>
  <c r="D62" i="123"/>
  <c r="D61" i="123"/>
  <c r="I17" i="202" l="1"/>
  <c r="D84" i="123"/>
  <c r="D82" i="123"/>
  <c r="D81" i="123"/>
  <c r="D86" i="123"/>
  <c r="D80" i="123"/>
  <c r="D85" i="123"/>
  <c r="D170" i="120"/>
  <c r="D173" i="123" s="1"/>
  <c r="D14" i="70"/>
  <c r="D113" i="117"/>
  <c r="D113" i="123" s="1"/>
  <c r="D112" i="117"/>
  <c r="D172" i="117"/>
  <c r="D172" i="123" s="1"/>
  <c r="D171" i="117"/>
  <c r="D171" i="123" s="1"/>
  <c r="E99" i="123"/>
  <c r="E89" i="123"/>
  <c r="E75" i="123" s="1"/>
  <c r="D90" i="117"/>
  <c r="D90" i="123" s="1"/>
  <c r="D76" i="123" s="1"/>
  <c r="D89" i="117"/>
  <c r="D89" i="123" s="1"/>
  <c r="D75" i="123" s="1"/>
  <c r="D147" i="117" l="1"/>
  <c r="D112" i="123"/>
  <c r="D147" i="123" s="1"/>
  <c r="D148" i="123"/>
  <c r="D148" i="117"/>
  <c r="D146" i="117" s="1"/>
  <c r="D88" i="117"/>
  <c r="D186" i="117"/>
  <c r="D186" i="123" s="1"/>
  <c r="E95" i="123"/>
  <c r="E85" i="123"/>
  <c r="E94" i="123"/>
  <c r="E98" i="123"/>
  <c r="D202" i="117"/>
  <c r="D202" i="123" s="1"/>
  <c r="D203" i="117"/>
  <c r="D203" i="123" s="1"/>
  <c r="E69" i="117"/>
  <c r="E69" i="123" s="1"/>
  <c r="E65" i="117"/>
  <c r="E32" i="117"/>
  <c r="E29" i="117"/>
  <c r="E63" i="117"/>
  <c r="E112" i="117"/>
  <c r="E113" i="117"/>
  <c r="E108" i="117"/>
  <c r="E109" i="117"/>
  <c r="D187" i="117" l="1"/>
  <c r="D187" i="123" s="1"/>
  <c r="E143" i="117"/>
  <c r="E108" i="123"/>
  <c r="E144" i="117"/>
  <c r="E183" i="117" s="1"/>
  <c r="E183" i="123" s="1"/>
  <c r="E109" i="123"/>
  <c r="E147" i="117"/>
  <c r="E112" i="123"/>
  <c r="E148" i="117"/>
  <c r="E113" i="123"/>
  <c r="D185" i="117"/>
  <c r="E81" i="123"/>
  <c r="E80" i="123"/>
  <c r="E84" i="123"/>
  <c r="D201" i="117"/>
  <c r="E60" i="117"/>
  <c r="E62" i="123"/>
  <c r="D51" i="117"/>
  <c r="D50" i="117"/>
  <c r="D49" i="117"/>
  <c r="E146" i="117" l="1"/>
  <c r="D48" i="117"/>
  <c r="E90" i="123"/>
  <c r="E76" i="123" s="1"/>
  <c r="E88" i="117"/>
  <c r="D60" i="117" l="1"/>
  <c r="D24" i="117"/>
  <c r="E24" i="117" l="1"/>
  <c r="D166" i="120"/>
  <c r="D169" i="123" s="1"/>
  <c r="D164" i="120"/>
  <c r="D177" i="117"/>
  <c r="D177" i="123" s="1"/>
  <c r="D170" i="117"/>
  <c r="D166" i="117"/>
  <c r="D164" i="123" l="1"/>
  <c r="O39" i="124" l="1"/>
  <c r="R39" i="124" s="1"/>
  <c r="O40" i="124"/>
  <c r="R40" i="124" s="1"/>
  <c r="O41" i="124"/>
  <c r="O42" i="124"/>
  <c r="O43" i="124"/>
  <c r="O44" i="124"/>
  <c r="C36" i="124"/>
  <c r="D36" i="124"/>
  <c r="E36" i="124"/>
  <c r="E164" i="120"/>
  <c r="E164" i="123" s="1"/>
  <c r="R44" i="124"/>
  <c r="E177" i="117"/>
  <c r="E177" i="123" s="1"/>
  <c r="P38" i="124"/>
  <c r="P46" i="124" s="1"/>
  <c r="O35" i="124"/>
  <c r="F38" i="124"/>
  <c r="C42" i="124"/>
  <c r="D42" i="124"/>
  <c r="E42" i="124"/>
  <c r="C43" i="124"/>
  <c r="D43" i="124"/>
  <c r="E43" i="124"/>
  <c r="E41" i="124"/>
  <c r="D41" i="124"/>
  <c r="C41" i="124"/>
  <c r="E35" i="124"/>
  <c r="D35" i="124"/>
  <c r="C35" i="124"/>
  <c r="U20" i="124"/>
  <c r="T20" i="124"/>
  <c r="R38" i="124" l="1"/>
  <c r="E170" i="117" s="1"/>
  <c r="F46" i="124"/>
  <c r="E170" i="120"/>
  <c r="E173" i="123" s="1"/>
  <c r="O38" i="124"/>
  <c r="E166" i="120"/>
  <c r="E181" i="120" l="1"/>
  <c r="E184" i="123" s="1"/>
  <c r="E169" i="123"/>
  <c r="E167" i="117"/>
  <c r="E167" i="123" s="1"/>
  <c r="E171" i="117"/>
  <c r="E171" i="123" s="1"/>
  <c r="E182" i="117" l="1"/>
  <c r="E182" i="123" s="1"/>
  <c r="E181" i="123" s="1"/>
  <c r="E172" i="117"/>
  <c r="E172" i="123" s="1"/>
  <c r="E186" i="117"/>
  <c r="E186" i="123" s="1"/>
  <c r="I46" i="124"/>
  <c r="H46" i="124"/>
  <c r="G46" i="124"/>
  <c r="C33" i="124"/>
  <c r="E33" i="124"/>
  <c r="F33" i="124"/>
  <c r="G33" i="124"/>
  <c r="H33" i="124"/>
  <c r="I33" i="124"/>
  <c r="P33" i="124"/>
  <c r="O33" i="124" s="1"/>
  <c r="Q33" i="124"/>
  <c r="S33" i="124"/>
  <c r="V33" i="124"/>
  <c r="X33" i="124"/>
  <c r="W33" i="124" s="1"/>
  <c r="X20" i="124"/>
  <c r="V20" i="124"/>
  <c r="W20" i="124" s="1"/>
  <c r="S20" i="124"/>
  <c r="Q20" i="124"/>
  <c r="R20" i="124" s="1"/>
  <c r="P20" i="124"/>
  <c r="I20" i="124"/>
  <c r="H20" i="124"/>
  <c r="G20" i="124"/>
  <c r="F20" i="124"/>
  <c r="O20" i="124" s="1"/>
  <c r="E20" i="124"/>
  <c r="D20" i="124" s="1"/>
  <c r="C20" i="124"/>
  <c r="I19" i="124"/>
  <c r="H19" i="124"/>
  <c r="G19" i="124"/>
  <c r="I18" i="124"/>
  <c r="H18" i="124"/>
  <c r="G18" i="124"/>
  <c r="I17" i="124"/>
  <c r="H17" i="124"/>
  <c r="G17" i="124"/>
  <c r="I16" i="124"/>
  <c r="H16" i="124"/>
  <c r="G16" i="124"/>
  <c r="I15" i="124"/>
  <c r="H15" i="124"/>
  <c r="G15" i="124"/>
  <c r="I14" i="124"/>
  <c r="H14" i="124"/>
  <c r="G14" i="124"/>
  <c r="I13" i="124"/>
  <c r="H13" i="124"/>
  <c r="G13" i="124"/>
  <c r="I12" i="124"/>
  <c r="H12" i="124"/>
  <c r="G12" i="124"/>
  <c r="I11" i="124"/>
  <c r="H11" i="124"/>
  <c r="G11" i="124"/>
  <c r="I10" i="124"/>
  <c r="H10" i="124"/>
  <c r="G10" i="124"/>
  <c r="I9" i="124"/>
  <c r="H9" i="124"/>
  <c r="G9" i="124"/>
  <c r="D33" i="124" l="1"/>
  <c r="R33" i="124"/>
  <c r="E187" i="117"/>
  <c r="O46" i="124"/>
  <c r="E185" i="117" l="1"/>
  <c r="E187" i="123"/>
  <c r="I32" i="124"/>
  <c r="H32" i="124"/>
  <c r="G32" i="124"/>
  <c r="I31" i="124"/>
  <c r="H31" i="124"/>
  <c r="G31" i="124"/>
  <c r="I30" i="124"/>
  <c r="H30" i="124"/>
  <c r="G30" i="124"/>
  <c r="I29" i="124"/>
  <c r="H29" i="124"/>
  <c r="G29" i="124"/>
  <c r="I28" i="124"/>
  <c r="H28" i="124"/>
  <c r="G28" i="124"/>
  <c r="I27" i="124"/>
  <c r="H27" i="124"/>
  <c r="G27" i="124"/>
  <c r="I26" i="124"/>
  <c r="H26" i="124"/>
  <c r="G26" i="124"/>
  <c r="I25" i="124"/>
  <c r="H25" i="124"/>
  <c r="G25" i="124"/>
  <c r="I24" i="124"/>
  <c r="H24" i="124"/>
  <c r="G24" i="124"/>
  <c r="I23" i="124"/>
  <c r="H23" i="124"/>
  <c r="G23" i="124"/>
  <c r="I22" i="124"/>
  <c r="H22" i="124"/>
  <c r="G22" i="124"/>
  <c r="I45" i="124"/>
  <c r="H45" i="124"/>
  <c r="G45" i="124"/>
  <c r="I44" i="124"/>
  <c r="H44" i="124"/>
  <c r="G44" i="124"/>
  <c r="I43" i="124"/>
  <c r="H43" i="124"/>
  <c r="G43" i="124"/>
  <c r="I42" i="124"/>
  <c r="H42" i="124"/>
  <c r="G42" i="124"/>
  <c r="I41" i="124"/>
  <c r="H41" i="124"/>
  <c r="G41" i="124"/>
  <c r="I40" i="124"/>
  <c r="H40" i="124"/>
  <c r="G40" i="124"/>
  <c r="I39" i="124"/>
  <c r="H39" i="124"/>
  <c r="G39" i="124"/>
  <c r="I38" i="124"/>
  <c r="H38" i="124"/>
  <c r="G38" i="124"/>
  <c r="I37" i="124"/>
  <c r="H37" i="124"/>
  <c r="G37" i="124"/>
  <c r="I36" i="124"/>
  <c r="H36" i="124"/>
  <c r="G36" i="124"/>
  <c r="I35" i="124"/>
  <c r="H35" i="124"/>
  <c r="G35" i="124"/>
  <c r="X7" i="124"/>
  <c r="C46" i="124" l="1"/>
  <c r="E46" i="124" l="1"/>
  <c r="D46" i="124" s="1"/>
  <c r="E64" i="123" l="1"/>
  <c r="E65" i="123"/>
  <c r="D65" i="123"/>
  <c r="D69" i="123"/>
  <c r="D64" i="123"/>
  <c r="D12" i="3"/>
  <c r="D276" i="123"/>
  <c r="E241" i="123"/>
  <c r="D241" i="123"/>
  <c r="R191" i="123"/>
  <c r="R190" i="123"/>
  <c r="R189" i="123"/>
  <c r="R180" i="123"/>
  <c r="E276" i="123"/>
  <c r="E269" i="123"/>
  <c r="D269" i="123"/>
  <c r="B6" i="123"/>
  <c r="C6" i="123" s="1"/>
  <c r="D101" i="120"/>
  <c r="D111" i="120"/>
  <c r="D114" i="123" s="1"/>
  <c r="D107" i="120"/>
  <c r="D110" i="123" s="1"/>
  <c r="D149" i="123" l="1"/>
  <c r="D146" i="123" s="1"/>
  <c r="D111" i="123"/>
  <c r="D107" i="123"/>
  <c r="D145" i="123"/>
  <c r="D142" i="123" s="1"/>
  <c r="D118" i="120"/>
  <c r="D88" i="120"/>
  <c r="D91" i="123" s="1"/>
  <c r="D105" i="120"/>
  <c r="D105" i="123" s="1"/>
  <c r="E101" i="123" l="1"/>
  <c r="D97" i="123"/>
  <c r="D101" i="117"/>
  <c r="D101" i="123" s="1"/>
  <c r="D92" i="117"/>
  <c r="E105" i="117"/>
  <c r="D52" i="117"/>
  <c r="D105" i="117" l="1"/>
  <c r="E87" i="123"/>
  <c r="D92" i="123"/>
  <c r="E107" i="117"/>
  <c r="E111" i="117"/>
  <c r="D118" i="117"/>
  <c r="D118" i="123" s="1"/>
  <c r="D153" i="123" s="1"/>
  <c r="D93" i="123"/>
  <c r="D79" i="123" s="1"/>
  <c r="D111" i="117"/>
  <c r="D83" i="123"/>
  <c r="D107" i="117"/>
  <c r="D240" i="117"/>
  <c r="E245" i="117"/>
  <c r="D245" i="117"/>
  <c r="E240" i="117"/>
  <c r="E118" i="117"/>
  <c r="D241" i="117"/>
  <c r="E241" i="117"/>
  <c r="E153" i="117" l="1"/>
  <c r="E118" i="123"/>
  <c r="E166" i="123"/>
  <c r="D88" i="123"/>
  <c r="D120" i="123" s="1"/>
  <c r="D104" i="117"/>
  <c r="D78" i="123"/>
  <c r="D140" i="123"/>
  <c r="D87" i="123"/>
  <c r="E235" i="123"/>
  <c r="E245" i="123" s="1"/>
  <c r="D235" i="123"/>
  <c r="D245" i="123" s="1"/>
  <c r="E228" i="123" l="1"/>
  <c r="E238" i="123" s="1"/>
  <c r="D228" i="123"/>
  <c r="D102" i="123"/>
  <c r="D103" i="123" s="1"/>
  <c r="D104" i="123"/>
  <c r="D124" i="123" s="1"/>
  <c r="E230" i="123"/>
  <c r="D230" i="123"/>
  <c r="D238" i="123" l="1"/>
  <c r="D125" i="123"/>
  <c r="D122" i="123"/>
  <c r="D129" i="123"/>
  <c r="E240" i="123"/>
  <c r="E237" i="123" s="1"/>
  <c r="E227" i="123"/>
  <c r="E236" i="123" s="1"/>
  <c r="D240" i="123"/>
  <c r="D227" i="123"/>
  <c r="D236" i="123" s="1"/>
  <c r="D237" i="123" l="1"/>
  <c r="D121" i="123"/>
  <c r="D36" i="117" l="1"/>
  <c r="E11" i="117"/>
  <c r="E9" i="117"/>
  <c r="E14" i="117" s="1"/>
  <c r="E18" i="117" s="1"/>
  <c r="E19" i="117" l="1"/>
  <c r="E16" i="117"/>
  <c r="E241" i="120" l="1"/>
  <c r="D241" i="120"/>
  <c r="R191" i="120"/>
  <c r="R190" i="120"/>
  <c r="R189" i="120"/>
  <c r="R180" i="120"/>
  <c r="D276" i="120"/>
  <c r="D272" i="120"/>
  <c r="D271" i="120"/>
  <c r="D269" i="120"/>
  <c r="E235" i="120"/>
  <c r="E245" i="120" s="1"/>
  <c r="E118" i="120"/>
  <c r="D235" i="120"/>
  <c r="D245" i="120" s="1"/>
  <c r="D146" i="120"/>
  <c r="D142" i="120"/>
  <c r="D181" i="120" s="1"/>
  <c r="D184" i="123" s="1"/>
  <c r="D181" i="123" s="1"/>
  <c r="D166" i="123" s="1"/>
  <c r="D271" i="123" s="1"/>
  <c r="D104" i="120"/>
  <c r="D125" i="120" s="1"/>
  <c r="B6" i="120"/>
  <c r="C6" i="120" s="1"/>
  <c r="A2" i="117"/>
  <c r="D142" i="117"/>
  <c r="D181" i="117" s="1"/>
  <c r="D23" i="117"/>
  <c r="D272" i="117"/>
  <c r="R191" i="117"/>
  <c r="R190" i="117"/>
  <c r="R189" i="117"/>
  <c r="R180" i="117"/>
  <c r="Q38" i="124"/>
  <c r="S38" i="124" s="1"/>
  <c r="E142" i="117"/>
  <c r="Q35" i="124" s="1"/>
  <c r="B6" i="117"/>
  <c r="C6" i="117" s="1"/>
  <c r="R35" i="124" l="1"/>
  <c r="E166" i="117" s="1"/>
  <c r="D228" i="117"/>
  <c r="D247" i="117" s="1"/>
  <c r="D276" i="117"/>
  <c r="D208" i="117"/>
  <c r="E235" i="117"/>
  <c r="D269" i="117"/>
  <c r="R153" i="120"/>
  <c r="D129" i="120"/>
  <c r="D192" i="120"/>
  <c r="D208" i="120" s="1"/>
  <c r="D185" i="120"/>
  <c r="D271" i="117"/>
  <c r="D179" i="117"/>
  <c r="D230" i="120"/>
  <c r="D197" i="120"/>
  <c r="D140" i="120"/>
  <c r="D179" i="120" s="1"/>
  <c r="D179" i="123" s="1"/>
  <c r="D122" i="120"/>
  <c r="D124" i="120"/>
  <c r="D22" i="117"/>
  <c r="E104" i="117"/>
  <c r="E122" i="117" s="1"/>
  <c r="D230" i="117"/>
  <c r="D249" i="117" s="1"/>
  <c r="E230" i="117"/>
  <c r="D208" i="123" l="1"/>
  <c r="D254" i="123" s="1"/>
  <c r="D200" i="123"/>
  <c r="D197" i="123"/>
  <c r="D249" i="123" s="1"/>
  <c r="D260" i="123" s="1"/>
  <c r="D201" i="120"/>
  <c r="D188" i="123"/>
  <c r="D185" i="123" s="1"/>
  <c r="D170" i="123" s="1"/>
  <c r="D272" i="123" s="1"/>
  <c r="D250" i="117"/>
  <c r="D261" i="117" s="1"/>
  <c r="D260" i="117"/>
  <c r="D121" i="120"/>
  <c r="E124" i="117"/>
  <c r="D228" i="120"/>
  <c r="D227" i="120" s="1"/>
  <c r="D236" i="120" s="1"/>
  <c r="D254" i="120" s="1"/>
  <c r="D265" i="120" s="1"/>
  <c r="D240" i="120"/>
  <c r="D249" i="120"/>
  <c r="E129" i="117"/>
  <c r="E228" i="117"/>
  <c r="E247" i="117" s="1"/>
  <c r="R140" i="117"/>
  <c r="D237" i="117"/>
  <c r="D236" i="117" s="1"/>
  <c r="E125" i="117"/>
  <c r="I48" i="113"/>
  <c r="I46" i="113" s="1"/>
  <c r="G48" i="113"/>
  <c r="G46" i="113" s="1"/>
  <c r="E48" i="113"/>
  <c r="E46" i="113" s="1"/>
  <c r="C48" i="113"/>
  <c r="C46" i="113" s="1"/>
  <c r="I42" i="113"/>
  <c r="G42" i="113"/>
  <c r="E42" i="113"/>
  <c r="C42" i="113"/>
  <c r="I31" i="113"/>
  <c r="G31" i="113"/>
  <c r="E31" i="113"/>
  <c r="C31" i="113"/>
  <c r="I20" i="113"/>
  <c r="G20" i="113"/>
  <c r="E20" i="113"/>
  <c r="C20" i="113"/>
  <c r="I46" i="116"/>
  <c r="G46" i="116"/>
  <c r="E46" i="116"/>
  <c r="C46" i="116"/>
  <c r="I46" i="114"/>
  <c r="G46" i="114"/>
  <c r="E46" i="114"/>
  <c r="C46" i="114"/>
  <c r="D250" i="120" l="1"/>
  <c r="D261" i="120" s="1"/>
  <c r="D204" i="123"/>
  <c r="D201" i="123" s="1"/>
  <c r="D250" i="123" s="1"/>
  <c r="D261" i="123" s="1"/>
  <c r="D265" i="123"/>
  <c r="E272" i="117"/>
  <c r="E250" i="117"/>
  <c r="E208" i="117"/>
  <c r="D178" i="120"/>
  <c r="D193" i="120" s="1"/>
  <c r="D195" i="120"/>
  <c r="D260" i="120"/>
  <c r="D238" i="120"/>
  <c r="D237" i="120" s="1"/>
  <c r="E121" i="117"/>
  <c r="E237" i="117"/>
  <c r="E236" i="117" s="1"/>
  <c r="A2" i="114"/>
  <c r="A2" i="113"/>
  <c r="J41" i="116"/>
  <c r="I41" i="116"/>
  <c r="H41" i="116"/>
  <c r="G41" i="116"/>
  <c r="F41" i="116"/>
  <c r="E41" i="116"/>
  <c r="D41" i="116"/>
  <c r="C41" i="116"/>
  <c r="J30" i="116"/>
  <c r="I30" i="116"/>
  <c r="H30" i="116"/>
  <c r="G30" i="116"/>
  <c r="F30" i="116"/>
  <c r="E30" i="116"/>
  <c r="D30" i="116"/>
  <c r="C30" i="116"/>
  <c r="J19" i="116"/>
  <c r="I19" i="116"/>
  <c r="H19" i="116"/>
  <c r="G19" i="116"/>
  <c r="F19" i="116"/>
  <c r="E19" i="116"/>
  <c r="D19" i="116"/>
  <c r="C19" i="116"/>
  <c r="J18" i="116"/>
  <c r="I18" i="116"/>
  <c r="H18" i="116"/>
  <c r="G18" i="116"/>
  <c r="F18" i="116"/>
  <c r="E18" i="116"/>
  <c r="D18" i="116"/>
  <c r="C18" i="116"/>
  <c r="J17" i="116"/>
  <c r="I17" i="116"/>
  <c r="H17" i="116"/>
  <c r="G17" i="116"/>
  <c r="F17" i="116"/>
  <c r="E17" i="116"/>
  <c r="D17" i="116"/>
  <c r="C17" i="116"/>
  <c r="J16" i="116"/>
  <c r="I16" i="116"/>
  <c r="H16" i="116"/>
  <c r="G16" i="116"/>
  <c r="F16" i="116"/>
  <c r="E16" i="116"/>
  <c r="D16" i="116"/>
  <c r="C16" i="116"/>
  <c r="F194" i="146"/>
  <c r="F173" i="146"/>
  <c r="F152" i="146"/>
  <c r="F58" i="146"/>
  <c r="J15" i="116"/>
  <c r="I15" i="116"/>
  <c r="H15" i="116"/>
  <c r="G15" i="116"/>
  <c r="F15" i="116"/>
  <c r="E15" i="116"/>
  <c r="D15" i="116"/>
  <c r="C15" i="116"/>
  <c r="J14" i="116"/>
  <c r="I14" i="116"/>
  <c r="H14" i="116"/>
  <c r="G14" i="116"/>
  <c r="F14" i="116"/>
  <c r="E14" i="116"/>
  <c r="D14" i="116"/>
  <c r="C14" i="116"/>
  <c r="J13" i="116"/>
  <c r="I13" i="116"/>
  <c r="H13" i="116"/>
  <c r="G13" i="116"/>
  <c r="F13" i="116"/>
  <c r="E13" i="116"/>
  <c r="D13" i="116"/>
  <c r="C13" i="116"/>
  <c r="F192" i="146"/>
  <c r="F171" i="146"/>
  <c r="F56" i="146"/>
  <c r="J9" i="116"/>
  <c r="I9" i="116"/>
  <c r="H9" i="116"/>
  <c r="G9" i="116"/>
  <c r="F38" i="146" s="1"/>
  <c r="F9" i="116"/>
  <c r="E9" i="116"/>
  <c r="E8" i="116" s="1"/>
  <c r="D9" i="116"/>
  <c r="C9" i="116"/>
  <c r="J41" i="114"/>
  <c r="I41" i="114"/>
  <c r="H41" i="114"/>
  <c r="G41" i="114"/>
  <c r="F41" i="114"/>
  <c r="E41" i="114"/>
  <c r="D41" i="114"/>
  <c r="C41" i="114"/>
  <c r="J30" i="114"/>
  <c r="I30" i="114"/>
  <c r="H30" i="114"/>
  <c r="G30" i="114"/>
  <c r="F30" i="114"/>
  <c r="E30" i="114"/>
  <c r="D30" i="114"/>
  <c r="C30" i="114"/>
  <c r="J19" i="114"/>
  <c r="I19" i="114"/>
  <c r="H19" i="114"/>
  <c r="G19" i="114"/>
  <c r="F19" i="114"/>
  <c r="E19" i="114"/>
  <c r="D19" i="114"/>
  <c r="C19" i="114"/>
  <c r="J18" i="114"/>
  <c r="I18" i="114"/>
  <c r="H18" i="114"/>
  <c r="G18" i="114"/>
  <c r="F18" i="114"/>
  <c r="E18" i="114"/>
  <c r="D18" i="114"/>
  <c r="C18" i="114"/>
  <c r="J17" i="114"/>
  <c r="I17" i="114"/>
  <c r="H17" i="114"/>
  <c r="G17" i="114"/>
  <c r="F17" i="114"/>
  <c r="E17" i="114"/>
  <c r="D17" i="114"/>
  <c r="C17" i="114"/>
  <c r="J16" i="114"/>
  <c r="I16" i="114"/>
  <c r="H16" i="114"/>
  <c r="G16" i="114"/>
  <c r="F16" i="114"/>
  <c r="E16" i="114"/>
  <c r="D16" i="114"/>
  <c r="C16" i="114"/>
  <c r="F194" i="145"/>
  <c r="F173" i="145"/>
  <c r="F152" i="145"/>
  <c r="J15" i="114"/>
  <c r="I15" i="114"/>
  <c r="H15" i="114"/>
  <c r="G15" i="114"/>
  <c r="F15" i="114"/>
  <c r="E15" i="114"/>
  <c r="D15" i="114"/>
  <c r="C15" i="114"/>
  <c r="J14" i="114"/>
  <c r="I14" i="114"/>
  <c r="H14" i="114"/>
  <c r="G14" i="114"/>
  <c r="F14" i="114"/>
  <c r="E14" i="114"/>
  <c r="D14" i="114"/>
  <c r="C14" i="114"/>
  <c r="J13" i="114"/>
  <c r="I13" i="114"/>
  <c r="H13" i="114"/>
  <c r="G13" i="114"/>
  <c r="F40" i="145" s="1"/>
  <c r="F13" i="114"/>
  <c r="E13" i="114"/>
  <c r="D13" i="114"/>
  <c r="C13" i="114"/>
  <c r="F56" i="145"/>
  <c r="J9" i="114"/>
  <c r="I9" i="114"/>
  <c r="H9" i="114"/>
  <c r="G9" i="114"/>
  <c r="F38" i="145" s="1"/>
  <c r="F9" i="114"/>
  <c r="E9" i="114"/>
  <c r="D9" i="114"/>
  <c r="C9" i="114"/>
  <c r="J41" i="113"/>
  <c r="I41" i="113"/>
  <c r="H41" i="113"/>
  <c r="G41" i="113"/>
  <c r="F41" i="113"/>
  <c r="E41" i="113"/>
  <c r="D41" i="113"/>
  <c r="C41" i="113"/>
  <c r="J30" i="113"/>
  <c r="I30" i="113"/>
  <c r="H30" i="113"/>
  <c r="G30" i="113"/>
  <c r="F30" i="113"/>
  <c r="E30" i="113"/>
  <c r="D30" i="113"/>
  <c r="C30" i="113"/>
  <c r="J19" i="113"/>
  <c r="I19" i="113"/>
  <c r="H19" i="113"/>
  <c r="G19" i="113"/>
  <c r="F19" i="113"/>
  <c r="E19" i="113"/>
  <c r="D19" i="113"/>
  <c r="C19" i="113"/>
  <c r="J18" i="113"/>
  <c r="I18" i="113"/>
  <c r="H18" i="113"/>
  <c r="G18" i="113"/>
  <c r="F18" i="113"/>
  <c r="E18" i="113"/>
  <c r="D18" i="113"/>
  <c r="C18" i="113"/>
  <c r="J17" i="113"/>
  <c r="I17" i="113"/>
  <c r="H17" i="113"/>
  <c r="G17" i="113"/>
  <c r="F17" i="113"/>
  <c r="E17" i="113"/>
  <c r="D17" i="113"/>
  <c r="C17" i="113"/>
  <c r="J16" i="113"/>
  <c r="I16" i="113"/>
  <c r="H16" i="113"/>
  <c r="G16" i="113"/>
  <c r="F16" i="113"/>
  <c r="E16" i="113"/>
  <c r="D16" i="113"/>
  <c r="C16" i="113"/>
  <c r="F193" i="144"/>
  <c r="F172" i="144"/>
  <c r="J15" i="113"/>
  <c r="I15" i="113"/>
  <c r="H15" i="113"/>
  <c r="G15" i="113"/>
  <c r="F15" i="113"/>
  <c r="E15" i="113"/>
  <c r="D15" i="113"/>
  <c r="C15" i="113"/>
  <c r="J14" i="113"/>
  <c r="I14" i="113"/>
  <c r="H14" i="113"/>
  <c r="G14" i="113"/>
  <c r="F14" i="113"/>
  <c r="E14" i="113"/>
  <c r="D14" i="113"/>
  <c r="C14" i="113"/>
  <c r="J13" i="113"/>
  <c r="I13" i="113"/>
  <c r="H13" i="113"/>
  <c r="G13" i="113"/>
  <c r="F40" i="144" s="1"/>
  <c r="F13" i="113"/>
  <c r="E13" i="113"/>
  <c r="D13" i="113"/>
  <c r="C13" i="113"/>
  <c r="F56" i="144"/>
  <c r="J9" i="113"/>
  <c r="I9" i="113"/>
  <c r="H9" i="113"/>
  <c r="G9" i="113"/>
  <c r="F9" i="113"/>
  <c r="E9" i="113"/>
  <c r="D9" i="113"/>
  <c r="C9" i="113"/>
  <c r="F151" i="144" l="1"/>
  <c r="E133" i="124"/>
  <c r="F8" i="116"/>
  <c r="J8" i="116"/>
  <c r="C127" i="124"/>
  <c r="D194" i="120"/>
  <c r="D195" i="123"/>
  <c r="J8" i="113"/>
  <c r="F8" i="114"/>
  <c r="E8" i="114"/>
  <c r="C97" i="174" s="1"/>
  <c r="C99" i="174" s="1"/>
  <c r="D8" i="116"/>
  <c r="H8" i="114"/>
  <c r="K97" i="174"/>
  <c r="K99" i="174" s="1"/>
  <c r="P97" i="174"/>
  <c r="P99" i="174" s="1"/>
  <c r="J8" i="114"/>
  <c r="E8" i="113"/>
  <c r="C97" i="83" s="1"/>
  <c r="D8" i="113"/>
  <c r="H8" i="113"/>
  <c r="C8" i="114"/>
  <c r="S97" i="174"/>
  <c r="S99" i="174" s="1"/>
  <c r="C8" i="116"/>
  <c r="C97" i="88"/>
  <c r="C99" i="88" s="1"/>
  <c r="C97" i="85"/>
  <c r="C97" i="87"/>
  <c r="C99" i="87" s="1"/>
  <c r="F8" i="113"/>
  <c r="E97" i="178"/>
  <c r="E99" i="178" s="1"/>
  <c r="E97" i="85"/>
  <c r="E97" i="87"/>
  <c r="E99" i="87" s="1"/>
  <c r="E97" i="88"/>
  <c r="E99" i="88" s="1"/>
  <c r="E12" i="148"/>
  <c r="H8" i="116"/>
  <c r="I8" i="114"/>
  <c r="D97" i="175" s="1"/>
  <c r="D99" i="175" s="1"/>
  <c r="E97" i="179"/>
  <c r="E99" i="179" s="1"/>
  <c r="E97" i="83"/>
  <c r="E99" i="83" s="1"/>
  <c r="E97" i="84"/>
  <c r="E99" i="84" s="1"/>
  <c r="G8" i="116"/>
  <c r="F37" i="146" s="1"/>
  <c r="F40" i="146"/>
  <c r="I8" i="116"/>
  <c r="D97" i="178" s="1"/>
  <c r="D99" i="178" s="1"/>
  <c r="J10" i="148"/>
  <c r="I10" i="148"/>
  <c r="H10" i="148"/>
  <c r="E39" i="186"/>
  <c r="F39" i="186" s="1"/>
  <c r="F150" i="146"/>
  <c r="E10" i="148"/>
  <c r="D97" i="88"/>
  <c r="D99" i="88" s="1"/>
  <c r="D97" i="85"/>
  <c r="I8" i="113"/>
  <c r="D10" i="149" s="1"/>
  <c r="G8" i="113"/>
  <c r="F38" i="144"/>
  <c r="G8" i="114"/>
  <c r="D133" i="124"/>
  <c r="E272" i="120"/>
  <c r="D247" i="120"/>
  <c r="D258" i="120" s="1"/>
  <c r="E276" i="120"/>
  <c r="E192" i="120"/>
  <c r="E208" i="120" s="1"/>
  <c r="E208" i="123" s="1"/>
  <c r="E254" i="123" s="1"/>
  <c r="E265" i="123" s="1"/>
  <c r="E276" i="117"/>
  <c r="E192" i="117"/>
  <c r="E192" i="123" s="1"/>
  <c r="E261" i="117"/>
  <c r="C8" i="113"/>
  <c r="D8" i="114"/>
  <c r="C133" i="124" l="1"/>
  <c r="V133" i="124" s="1"/>
  <c r="C146" i="124" s="1"/>
  <c r="V146" i="124" s="1"/>
  <c r="C97" i="30"/>
  <c r="C99" i="30" s="1"/>
  <c r="C97" i="172"/>
  <c r="C99" i="172" s="1"/>
  <c r="C97" i="179"/>
  <c r="C99" i="179" s="1"/>
  <c r="C97" i="173"/>
  <c r="C99" i="173" s="1"/>
  <c r="C97" i="29"/>
  <c r="C99" i="29" s="1"/>
  <c r="C97" i="177"/>
  <c r="C97" i="8"/>
  <c r="V127" i="124"/>
  <c r="D247" i="123"/>
  <c r="D194" i="123"/>
  <c r="D193" i="123" s="1"/>
  <c r="F55" i="146"/>
  <c r="D97" i="29"/>
  <c r="D99" i="29" s="1"/>
  <c r="E10" i="147"/>
  <c r="H9" i="150" s="1"/>
  <c r="H8" i="150" s="1"/>
  <c r="I97" i="174"/>
  <c r="I99" i="174" s="1"/>
  <c r="D97" i="87"/>
  <c r="D99" i="87" s="1"/>
  <c r="D97" i="173"/>
  <c r="D99" i="173" s="1"/>
  <c r="G39" i="186"/>
  <c r="C97" i="81"/>
  <c r="C97" i="84"/>
  <c r="E10" i="149"/>
  <c r="G24" i="165" s="1"/>
  <c r="D97" i="8"/>
  <c r="E97" i="176"/>
  <c r="E99" i="176" s="1"/>
  <c r="E97" i="175"/>
  <c r="E99" i="175" s="1"/>
  <c r="E97" i="177"/>
  <c r="G97" i="174"/>
  <c r="G99" i="174" s="1"/>
  <c r="E97" i="172"/>
  <c r="E99" i="172" s="1"/>
  <c r="E97" i="173"/>
  <c r="E99" i="173" s="1"/>
  <c r="E97" i="29"/>
  <c r="E99" i="29" s="1"/>
  <c r="E97" i="30"/>
  <c r="E99" i="30" s="1"/>
  <c r="E97" i="8"/>
  <c r="D10" i="147"/>
  <c r="C24" i="163" s="1"/>
  <c r="D97" i="174"/>
  <c r="D99" i="174" s="1"/>
  <c r="D97" i="176"/>
  <c r="D99" i="176" s="1"/>
  <c r="H34" i="186"/>
  <c r="D97" i="177"/>
  <c r="D97" i="30"/>
  <c r="D99" i="30" s="1"/>
  <c r="D97" i="172"/>
  <c r="D99" i="172" s="1"/>
  <c r="J10" i="149"/>
  <c r="AG9" i="162" s="1"/>
  <c r="AG8" i="162" s="1"/>
  <c r="D12" i="148"/>
  <c r="D24" i="164" s="1"/>
  <c r="D10" i="148"/>
  <c r="D15" i="148" s="1"/>
  <c r="O97" i="174"/>
  <c r="O99" i="174" s="1"/>
  <c r="J10" i="147"/>
  <c r="J97" i="174"/>
  <c r="J99" i="174" s="1"/>
  <c r="H10" i="149"/>
  <c r="S24" i="165" s="1"/>
  <c r="M97" i="174"/>
  <c r="M99" i="174" s="1"/>
  <c r="E39" i="198"/>
  <c r="D97" i="81"/>
  <c r="D97" i="179"/>
  <c r="D99" i="179" s="1"/>
  <c r="AA24" i="164"/>
  <c r="AG9" i="151"/>
  <c r="AG8" i="151" s="1"/>
  <c r="J15" i="148"/>
  <c r="J12" i="148"/>
  <c r="F191" i="146"/>
  <c r="S24" i="164"/>
  <c r="W9" i="151"/>
  <c r="W8" i="151" s="1"/>
  <c r="H15" i="148"/>
  <c r="W24" i="164"/>
  <c r="AB9" i="151"/>
  <c r="AB8" i="151" s="1"/>
  <c r="I15" i="148"/>
  <c r="I12" i="148"/>
  <c r="F170" i="146"/>
  <c r="H12" i="148"/>
  <c r="F149" i="146"/>
  <c r="G24" i="164"/>
  <c r="H9" i="151"/>
  <c r="H8" i="151" s="1"/>
  <c r="E15" i="148"/>
  <c r="H24" i="164"/>
  <c r="I9" i="151"/>
  <c r="I8" i="151" s="1"/>
  <c r="E18" i="148"/>
  <c r="D97" i="84"/>
  <c r="D99" i="84" s="1"/>
  <c r="D97" i="83"/>
  <c r="D99" i="83" s="1"/>
  <c r="H10" i="147"/>
  <c r="I10" i="147"/>
  <c r="C24" i="165"/>
  <c r="C9" i="162"/>
  <c r="C8" i="162" s="1"/>
  <c r="D15" i="149"/>
  <c r="D12" i="147"/>
  <c r="F37" i="145"/>
  <c r="D12" i="149"/>
  <c r="F37" i="144"/>
  <c r="E271" i="123"/>
  <c r="D246" i="120"/>
  <c r="E254" i="117"/>
  <c r="E265" i="117" s="1"/>
  <c r="E271" i="120"/>
  <c r="E271" i="117"/>
  <c r="E181" i="117"/>
  <c r="E249" i="117" s="1"/>
  <c r="C19" i="4"/>
  <c r="H10" i="4"/>
  <c r="H20" i="4" s="1"/>
  <c r="H25" i="4" s="1"/>
  <c r="E10" i="4"/>
  <c r="E20" i="4" s="1"/>
  <c r="E25" i="4" s="1"/>
  <c r="C21" i="4"/>
  <c r="F21" i="4"/>
  <c r="C12" i="4"/>
  <c r="C10" i="4" s="1"/>
  <c r="D10" i="4"/>
  <c r="D20" i="4" s="1"/>
  <c r="D25" i="4" s="1"/>
  <c r="U27" i="69"/>
  <c r="O27" i="69"/>
  <c r="U26" i="69"/>
  <c r="S26" i="69"/>
  <c r="O26" i="69"/>
  <c r="U24" i="69"/>
  <c r="S24" i="69"/>
  <c r="O24" i="69"/>
  <c r="U23" i="69"/>
  <c r="O23" i="69"/>
  <c r="U19" i="69"/>
  <c r="O19" i="69"/>
  <c r="U15" i="69"/>
  <c r="O15" i="69"/>
  <c r="U14" i="69"/>
  <c r="O14" i="69"/>
  <c r="U12" i="69"/>
  <c r="O12" i="69"/>
  <c r="D27" i="69"/>
  <c r="J27" i="69"/>
  <c r="J26" i="69"/>
  <c r="H26" i="69"/>
  <c r="D26" i="69"/>
  <c r="D24" i="69"/>
  <c r="H24" i="69"/>
  <c r="J24" i="69"/>
  <c r="J23" i="69"/>
  <c r="D23" i="69"/>
  <c r="J19" i="69"/>
  <c r="D19" i="69"/>
  <c r="D12" i="69"/>
  <c r="J12" i="69"/>
  <c r="D14" i="69"/>
  <c r="J14" i="69"/>
  <c r="D15" i="69"/>
  <c r="J15" i="69"/>
  <c r="H19" i="3"/>
  <c r="C19" i="3" s="1"/>
  <c r="S19" i="3"/>
  <c r="N19" i="3" s="1"/>
  <c r="E21" i="117" s="1"/>
  <c r="H27" i="70"/>
  <c r="C27" i="70" s="1"/>
  <c r="C26" i="70"/>
  <c r="H25" i="70"/>
  <c r="C24" i="70"/>
  <c r="H23" i="70"/>
  <c r="H21" i="70" s="1"/>
  <c r="C23" i="70"/>
  <c r="J21" i="70"/>
  <c r="D21" i="70"/>
  <c r="C19" i="70"/>
  <c r="D21" i="120" s="1"/>
  <c r="D21" i="123" s="1"/>
  <c r="H15" i="70"/>
  <c r="C15" i="70" s="1"/>
  <c r="C15" i="69" s="1"/>
  <c r="H14" i="70"/>
  <c r="H14" i="69" s="1"/>
  <c r="H12" i="70"/>
  <c r="C12" i="70" s="1"/>
  <c r="J10" i="70"/>
  <c r="J20" i="70" s="1"/>
  <c r="D10" i="70"/>
  <c r="D20" i="70" s="1"/>
  <c r="D56" i="145"/>
  <c r="H27" i="3"/>
  <c r="C27" i="3" s="1"/>
  <c r="C26" i="3"/>
  <c r="C26" i="69" s="1"/>
  <c r="C24" i="3"/>
  <c r="H23" i="3"/>
  <c r="C23" i="3" s="1"/>
  <c r="J21" i="3"/>
  <c r="D21" i="3"/>
  <c r="H12" i="3"/>
  <c r="H10" i="3" s="1"/>
  <c r="J10" i="3"/>
  <c r="J20" i="3" s="1"/>
  <c r="D10" i="3"/>
  <c r="D20" i="3" s="1"/>
  <c r="R133" i="124" l="1"/>
  <c r="S133" i="124" s="1"/>
  <c r="X133" i="124" s="1"/>
  <c r="E146" i="124" s="1"/>
  <c r="R146" i="124" s="1"/>
  <c r="S146" i="124" s="1"/>
  <c r="I10" i="149"/>
  <c r="AB9" i="162" s="1"/>
  <c r="AB8" i="162" s="1"/>
  <c r="C21" i="70"/>
  <c r="J28" i="3"/>
  <c r="J28" i="70"/>
  <c r="C14" i="70"/>
  <c r="C14" i="69" s="1"/>
  <c r="C24" i="69"/>
  <c r="C19" i="69"/>
  <c r="C140" i="124"/>
  <c r="C27" i="69"/>
  <c r="D258" i="123"/>
  <c r="D246" i="123"/>
  <c r="E15" i="147"/>
  <c r="I24" i="163" s="1"/>
  <c r="G24" i="163"/>
  <c r="G22" i="163" s="1"/>
  <c r="G8" i="163" s="1"/>
  <c r="D18" i="148"/>
  <c r="E19" i="154" s="1"/>
  <c r="E17" i="154" s="1"/>
  <c r="D9" i="151"/>
  <c r="D8" i="151" s="1"/>
  <c r="E15" i="149"/>
  <c r="I24" i="165" s="1"/>
  <c r="H39" i="186"/>
  <c r="G40" i="186"/>
  <c r="AA24" i="165"/>
  <c r="AA10" i="165" s="1"/>
  <c r="H9" i="162"/>
  <c r="H8" i="162" s="1"/>
  <c r="AG9" i="150"/>
  <c r="AG8" i="150" s="1"/>
  <c r="AA24" i="163"/>
  <c r="AA22" i="163" s="1"/>
  <c r="AA8" i="163" s="1"/>
  <c r="E39" i="185"/>
  <c r="U21" i="69"/>
  <c r="J10" i="69"/>
  <c r="J20" i="69" s="1"/>
  <c r="J21" i="69"/>
  <c r="C23" i="69"/>
  <c r="C21" i="3"/>
  <c r="H15" i="69"/>
  <c r="H27" i="69"/>
  <c r="D4" i="186"/>
  <c r="D21" i="69"/>
  <c r="S19" i="69"/>
  <c r="D15" i="147"/>
  <c r="D17" i="147" s="1"/>
  <c r="D19" i="153" s="1"/>
  <c r="D17" i="153" s="1"/>
  <c r="D150" i="146"/>
  <c r="H12" i="69"/>
  <c r="H19" i="69"/>
  <c r="C20" i="4"/>
  <c r="C25" i="4" s="1"/>
  <c r="C9" i="150"/>
  <c r="C8" i="150" s="1"/>
  <c r="C9" i="151"/>
  <c r="C8" i="151" s="1"/>
  <c r="H21" i="3"/>
  <c r="H10" i="70"/>
  <c r="H20" i="70" s="1"/>
  <c r="H28" i="70" s="1"/>
  <c r="H23" i="69"/>
  <c r="H21" i="69" s="1"/>
  <c r="O21" i="69"/>
  <c r="C24" i="164"/>
  <c r="C22" i="164" s="1"/>
  <c r="C8" i="164" s="1"/>
  <c r="E10" i="177"/>
  <c r="E7" i="177" s="1"/>
  <c r="E91" i="177" s="1"/>
  <c r="E93" i="177" s="1"/>
  <c r="E99" i="177" s="1"/>
  <c r="F14" i="159" s="1"/>
  <c r="D7" i="185"/>
  <c r="D36" i="185" s="1"/>
  <c r="D38" i="185" s="1"/>
  <c r="D40" i="185" s="1"/>
  <c r="W9" i="162"/>
  <c r="W8" i="162" s="1"/>
  <c r="D256" i="120"/>
  <c r="D257" i="120"/>
  <c r="J17" i="148"/>
  <c r="V19" i="154" s="1"/>
  <c r="V17" i="154" s="1"/>
  <c r="U19" i="154"/>
  <c r="U17" i="154" s="1"/>
  <c r="AC24" i="164"/>
  <c r="AA22" i="164"/>
  <c r="AA8" i="164" s="1"/>
  <c r="AA10" i="164"/>
  <c r="AB24" i="164"/>
  <c r="AH9" i="151"/>
  <c r="AH8" i="151" s="1"/>
  <c r="J18" i="148"/>
  <c r="H17" i="148"/>
  <c r="P19" i="154" s="1"/>
  <c r="P17" i="154" s="1"/>
  <c r="U24" i="164"/>
  <c r="O19" i="154"/>
  <c r="O17" i="154" s="1"/>
  <c r="I17" i="148"/>
  <c r="S19" i="154" s="1"/>
  <c r="S17" i="154" s="1"/>
  <c r="R19" i="154"/>
  <c r="R17" i="154" s="1"/>
  <c r="Y24" i="164"/>
  <c r="W22" i="164"/>
  <c r="W8" i="164" s="1"/>
  <c r="W10" i="164"/>
  <c r="S22" i="164"/>
  <c r="S8" i="164" s="1"/>
  <c r="S10" i="164"/>
  <c r="X24" i="164"/>
  <c r="AC9" i="151"/>
  <c r="AC8" i="151" s="1"/>
  <c r="I18" i="148"/>
  <c r="T24" i="164"/>
  <c r="X9" i="151"/>
  <c r="X8" i="151" s="1"/>
  <c r="H18" i="148"/>
  <c r="E17" i="148"/>
  <c r="G19" i="154" s="1"/>
  <c r="G17" i="154" s="1"/>
  <c r="F19" i="154"/>
  <c r="F17" i="154" s="1"/>
  <c r="I24" i="164"/>
  <c r="G22" i="164"/>
  <c r="G8" i="164" s="1"/>
  <c r="G10" i="164"/>
  <c r="H19" i="154"/>
  <c r="H17" i="154" s="1"/>
  <c r="J24" i="164"/>
  <c r="H10" i="164"/>
  <c r="H22" i="164"/>
  <c r="H8" i="164" s="1"/>
  <c r="D17" i="148"/>
  <c r="D19" i="154" s="1"/>
  <c r="D17" i="154" s="1"/>
  <c r="C19" i="154"/>
  <c r="C17" i="154" s="1"/>
  <c r="E24" i="164"/>
  <c r="D22" i="164"/>
  <c r="D8" i="164" s="1"/>
  <c r="D10" i="164"/>
  <c r="W24" i="163"/>
  <c r="AB9" i="150"/>
  <c r="AB8" i="150" s="1"/>
  <c r="S22" i="165"/>
  <c r="S8" i="165" s="1"/>
  <c r="S10" i="165"/>
  <c r="S24" i="163"/>
  <c r="W9" i="150"/>
  <c r="W8" i="150" s="1"/>
  <c r="G10" i="165"/>
  <c r="G22" i="165"/>
  <c r="G8" i="165" s="1"/>
  <c r="C10" i="165"/>
  <c r="C22" i="165"/>
  <c r="C8" i="165" s="1"/>
  <c r="C10" i="163"/>
  <c r="C22" i="163"/>
  <c r="C8" i="163" s="1"/>
  <c r="D17" i="149"/>
  <c r="D19" i="155" s="1"/>
  <c r="D17" i="155" s="1"/>
  <c r="C19" i="155"/>
  <c r="C17" i="155" s="1"/>
  <c r="E24" i="165"/>
  <c r="D24" i="165"/>
  <c r="D9" i="162"/>
  <c r="D8" i="162" s="1"/>
  <c r="D18" i="149"/>
  <c r="D24" i="163"/>
  <c r="D9" i="150"/>
  <c r="D8" i="150" s="1"/>
  <c r="D18" i="147"/>
  <c r="D194" i="146"/>
  <c r="D192" i="146"/>
  <c r="D173" i="146"/>
  <c r="D171" i="146"/>
  <c r="D58" i="146"/>
  <c r="D56" i="146"/>
  <c r="U10" i="69"/>
  <c r="U20" i="69" s="1"/>
  <c r="O10" i="69"/>
  <c r="O20" i="69" s="1"/>
  <c r="D172" i="144"/>
  <c r="D10" i="69"/>
  <c r="D20" i="69" s="1"/>
  <c r="E260" i="117"/>
  <c r="C10" i="70"/>
  <c r="D28" i="70"/>
  <c r="D25" i="70"/>
  <c r="C25" i="70" s="1"/>
  <c r="J25" i="3"/>
  <c r="H25" i="3" s="1"/>
  <c r="H20" i="3"/>
  <c r="D25" i="3"/>
  <c r="D28" i="3"/>
  <c r="C12" i="3"/>
  <c r="I238" i="112"/>
  <c r="H238" i="112"/>
  <c r="G238" i="112"/>
  <c r="F238" i="112"/>
  <c r="B238" i="112"/>
  <c r="I184" i="112"/>
  <c r="H184" i="112"/>
  <c r="G184" i="112"/>
  <c r="F184" i="112"/>
  <c r="B184" i="112"/>
  <c r="I62" i="112"/>
  <c r="H62" i="112"/>
  <c r="G62" i="112"/>
  <c r="F62" i="112"/>
  <c r="B62" i="112"/>
  <c r="I8" i="112"/>
  <c r="I54" i="112" s="1"/>
  <c r="H8" i="112"/>
  <c r="H54" i="112" s="1"/>
  <c r="G8" i="112"/>
  <c r="G54" i="112" s="1"/>
  <c r="F8" i="112"/>
  <c r="F54" i="112" s="1"/>
  <c r="B8" i="112"/>
  <c r="B54" i="112" s="1"/>
  <c r="A2" i="109"/>
  <c r="F29" i="110"/>
  <c r="F32" i="110"/>
  <c r="I29" i="110"/>
  <c r="F10" i="110"/>
  <c r="I35" i="110"/>
  <c r="F35" i="110"/>
  <c r="I34" i="110"/>
  <c r="F34" i="110"/>
  <c r="I33" i="110"/>
  <c r="F33" i="110"/>
  <c r="I32" i="110"/>
  <c r="I31" i="110"/>
  <c r="F31" i="110"/>
  <c r="I30" i="110"/>
  <c r="F30" i="110"/>
  <c r="I28" i="110"/>
  <c r="F28" i="110"/>
  <c r="I27" i="110"/>
  <c r="F27" i="110"/>
  <c r="I26" i="110"/>
  <c r="F26" i="110"/>
  <c r="I25" i="110"/>
  <c r="F25" i="110"/>
  <c r="I24" i="110"/>
  <c r="F24" i="110"/>
  <c r="I23" i="110"/>
  <c r="F23" i="110"/>
  <c r="I22" i="110"/>
  <c r="F22" i="110"/>
  <c r="I21" i="110"/>
  <c r="F21" i="110"/>
  <c r="I20" i="110"/>
  <c r="F20" i="110"/>
  <c r="I19" i="110"/>
  <c r="F19" i="110"/>
  <c r="I18" i="110"/>
  <c r="F18" i="110"/>
  <c r="I17" i="110"/>
  <c r="F17" i="110"/>
  <c r="I16" i="110"/>
  <c r="F16" i="110"/>
  <c r="I15" i="110"/>
  <c r="F15" i="110"/>
  <c r="I14" i="110"/>
  <c r="F14" i="110"/>
  <c r="I13" i="110"/>
  <c r="F13" i="110"/>
  <c r="I12" i="110"/>
  <c r="F12" i="110"/>
  <c r="I11" i="110"/>
  <c r="F11" i="110"/>
  <c r="I10" i="110"/>
  <c r="I9" i="110"/>
  <c r="F9" i="110"/>
  <c r="I8" i="110"/>
  <c r="F8" i="110"/>
  <c r="I137" i="109"/>
  <c r="I29" i="109" s="1"/>
  <c r="F137" i="109"/>
  <c r="F29" i="109" s="1"/>
  <c r="I32" i="109"/>
  <c r="I35" i="109"/>
  <c r="F35" i="109"/>
  <c r="I34" i="109"/>
  <c r="F34" i="109"/>
  <c r="I33" i="109"/>
  <c r="F33" i="109"/>
  <c r="I31" i="109"/>
  <c r="F31" i="109"/>
  <c r="I30" i="109"/>
  <c r="F30" i="109"/>
  <c r="I28" i="109"/>
  <c r="F28" i="109"/>
  <c r="I27" i="109"/>
  <c r="F27" i="109"/>
  <c r="I26" i="109"/>
  <c r="F26" i="109"/>
  <c r="I25" i="109"/>
  <c r="F25" i="109"/>
  <c r="I24" i="109"/>
  <c r="F24" i="109"/>
  <c r="I23" i="109"/>
  <c r="F23" i="109"/>
  <c r="I22" i="109"/>
  <c r="F22" i="109"/>
  <c r="I21" i="109"/>
  <c r="F21" i="109"/>
  <c r="I20" i="109"/>
  <c r="F20" i="109"/>
  <c r="I19" i="109"/>
  <c r="F19" i="109"/>
  <c r="I18" i="109"/>
  <c r="F18" i="109"/>
  <c r="I17" i="109"/>
  <c r="F17" i="109"/>
  <c r="I16" i="109"/>
  <c r="F16" i="109"/>
  <c r="I15" i="109"/>
  <c r="F15" i="109"/>
  <c r="I14" i="109"/>
  <c r="F14" i="109"/>
  <c r="I13" i="109"/>
  <c r="F13" i="109"/>
  <c r="I12" i="109"/>
  <c r="F12" i="109"/>
  <c r="I11" i="109"/>
  <c r="F11" i="109"/>
  <c r="F10" i="109"/>
  <c r="I9" i="109"/>
  <c r="F9" i="109"/>
  <c r="F8" i="109"/>
  <c r="D82" i="108"/>
  <c r="D82" i="107"/>
  <c r="D82" i="106"/>
  <c r="D97" i="105"/>
  <c r="D67" i="105"/>
  <c r="D52" i="105"/>
  <c r="D37" i="105"/>
  <c r="D22" i="105"/>
  <c r="D7" i="105"/>
  <c r="A2" i="35"/>
  <c r="A2" i="12"/>
  <c r="A2" i="50"/>
  <c r="D82" i="104"/>
  <c r="D82" i="103"/>
  <c r="D82" i="102"/>
  <c r="A2" i="101"/>
  <c r="A2" i="93"/>
  <c r="D10" i="97"/>
  <c r="D52" i="97"/>
  <c r="D51" i="97"/>
  <c r="D50" i="97"/>
  <c r="D49" i="97"/>
  <c r="D46" i="97"/>
  <c r="D19" i="97"/>
  <c r="D18" i="97"/>
  <c r="D17" i="97"/>
  <c r="D15" i="97"/>
  <c r="D42" i="97" s="1"/>
  <c r="D14" i="97"/>
  <c r="D12" i="97"/>
  <c r="D8" i="97"/>
  <c r="D18" i="96"/>
  <c r="D13" i="96"/>
  <c r="D10" i="93"/>
  <c r="D18" i="95"/>
  <c r="D13" i="95"/>
  <c r="D13" i="94"/>
  <c r="D19" i="93"/>
  <c r="D18" i="93"/>
  <c r="D17" i="93"/>
  <c r="D15" i="93"/>
  <c r="D14" i="93"/>
  <c r="D12" i="93"/>
  <c r="D8" i="93"/>
  <c r="C95" i="85"/>
  <c r="C94" i="85"/>
  <c r="C92" i="85"/>
  <c r="A2" i="81"/>
  <c r="C78" i="84"/>
  <c r="C71" i="84"/>
  <c r="C67" i="84" s="1"/>
  <c r="K103" i="83"/>
  <c r="C78" i="83"/>
  <c r="C67" i="83"/>
  <c r="C78" i="82"/>
  <c r="C71" i="82"/>
  <c r="M16" i="76"/>
  <c r="K16" i="76"/>
  <c r="I16" i="76"/>
  <c r="G16" i="76"/>
  <c r="E16" i="76"/>
  <c r="C16" i="76"/>
  <c r="M8" i="76"/>
  <c r="K8" i="76"/>
  <c r="I8" i="76"/>
  <c r="G8" i="76"/>
  <c r="E8" i="76"/>
  <c r="C8" i="76"/>
  <c r="A2" i="76"/>
  <c r="D194" i="145"/>
  <c r="D173" i="145"/>
  <c r="D171" i="145"/>
  <c r="U27" i="71"/>
  <c r="S27" i="71" s="1"/>
  <c r="M27" i="71"/>
  <c r="K27" i="71" s="1"/>
  <c r="E27" i="71"/>
  <c r="D27" i="71"/>
  <c r="S26" i="71"/>
  <c r="K26" i="71"/>
  <c r="C26" i="71"/>
  <c r="U25" i="71"/>
  <c r="M25" i="71"/>
  <c r="E25" i="71"/>
  <c r="S24" i="71"/>
  <c r="K24" i="71"/>
  <c r="D24" i="71"/>
  <c r="C24" i="71" s="1"/>
  <c r="U23" i="71"/>
  <c r="S23" i="71" s="1"/>
  <c r="M23" i="71"/>
  <c r="K23" i="71" s="1"/>
  <c r="K21" i="71" s="1"/>
  <c r="E23" i="71"/>
  <c r="D23" i="71"/>
  <c r="C23" i="71" s="1"/>
  <c r="W21" i="71"/>
  <c r="T21" i="71"/>
  <c r="O21" i="71"/>
  <c r="L21" i="71"/>
  <c r="G21" i="71"/>
  <c r="E21" i="71"/>
  <c r="S19" i="71"/>
  <c r="K19" i="71"/>
  <c r="D19" i="71"/>
  <c r="C19" i="71" s="1"/>
  <c r="U15" i="71"/>
  <c r="S15" i="71" s="1"/>
  <c r="M15" i="71"/>
  <c r="K15" i="71" s="1"/>
  <c r="E15" i="71"/>
  <c r="D15" i="71"/>
  <c r="U14" i="71"/>
  <c r="S14" i="71" s="1"/>
  <c r="M14" i="71"/>
  <c r="K14" i="71" s="1"/>
  <c r="E14" i="71"/>
  <c r="D14" i="71"/>
  <c r="U12" i="71"/>
  <c r="S12" i="71" s="1"/>
  <c r="M12" i="71"/>
  <c r="K12" i="71" s="1"/>
  <c r="E12" i="71"/>
  <c r="C12" i="71" s="1"/>
  <c r="W10" i="71"/>
  <c r="W20" i="71" s="1"/>
  <c r="W28" i="71" s="1"/>
  <c r="T10" i="71"/>
  <c r="T20" i="71" s="1"/>
  <c r="O10" i="71"/>
  <c r="O20" i="71" s="1"/>
  <c r="L10" i="71"/>
  <c r="L20" i="71" s="1"/>
  <c r="G10" i="71"/>
  <c r="G20" i="71" s="1"/>
  <c r="G28" i="71" s="1"/>
  <c r="A2" i="71"/>
  <c r="S27" i="70"/>
  <c r="N27" i="70" s="1"/>
  <c r="N26" i="70"/>
  <c r="S25" i="70"/>
  <c r="N24" i="70"/>
  <c r="S23" i="70"/>
  <c r="N23" i="70" s="1"/>
  <c r="U21" i="70"/>
  <c r="O21" i="70"/>
  <c r="N19" i="70"/>
  <c r="E21" i="120" s="1"/>
  <c r="E21" i="123" s="1"/>
  <c r="S15" i="70"/>
  <c r="S14" i="70"/>
  <c r="S12" i="70"/>
  <c r="N12" i="70" s="1"/>
  <c r="U10" i="70"/>
  <c r="U20" i="70" s="1"/>
  <c r="O10" i="70"/>
  <c r="O20" i="70" s="1"/>
  <c r="W24" i="165" l="1"/>
  <c r="W10" i="165" s="1"/>
  <c r="A2" i="111"/>
  <c r="A112" i="111"/>
  <c r="A249" i="111"/>
  <c r="A169" i="111"/>
  <c r="C21" i="69"/>
  <c r="L28" i="71"/>
  <c r="S21" i="71"/>
  <c r="C27" i="71"/>
  <c r="H28" i="3"/>
  <c r="D4" i="185"/>
  <c r="T28" i="71"/>
  <c r="C15" i="71"/>
  <c r="K10" i="71"/>
  <c r="K20" i="71" s="1"/>
  <c r="U21" i="71"/>
  <c r="C25" i="3"/>
  <c r="D193" i="144"/>
  <c r="V140" i="124"/>
  <c r="X146" i="124"/>
  <c r="D257" i="123"/>
  <c r="D256" i="123"/>
  <c r="D267" i="123" s="1"/>
  <c r="F19" i="153"/>
  <c r="F17" i="153" s="1"/>
  <c r="E17" i="147"/>
  <c r="G19" i="153" s="1"/>
  <c r="G17" i="153" s="1"/>
  <c r="G10" i="163"/>
  <c r="E17" i="149"/>
  <c r="G19" i="155" s="1"/>
  <c r="G17" i="155" s="1"/>
  <c r="F24" i="164"/>
  <c r="F10" i="164" s="1"/>
  <c r="F19" i="155"/>
  <c r="F17" i="155" s="1"/>
  <c r="AA22" i="165"/>
  <c r="AA8" i="165" s="1"/>
  <c r="C10" i="164"/>
  <c r="H34" i="198"/>
  <c r="H35" i="186"/>
  <c r="H27" i="186" s="1"/>
  <c r="AA10" i="163"/>
  <c r="W22" i="165"/>
  <c r="W8" i="165" s="1"/>
  <c r="G39" i="185"/>
  <c r="F39" i="198"/>
  <c r="J28" i="69"/>
  <c r="J25" i="69"/>
  <c r="H25" i="69" s="1"/>
  <c r="U28" i="69"/>
  <c r="D25" i="69"/>
  <c r="O28" i="69"/>
  <c r="D56" i="144"/>
  <c r="D149" i="144"/>
  <c r="D4" i="198"/>
  <c r="A2" i="103"/>
  <c r="A2" i="182"/>
  <c r="E24" i="163"/>
  <c r="E22" i="163" s="1"/>
  <c r="E8" i="163" s="1"/>
  <c r="D38" i="146"/>
  <c r="O28" i="70"/>
  <c r="N15" i="70"/>
  <c r="N15" i="69" s="1"/>
  <c r="S15" i="69"/>
  <c r="D10" i="71"/>
  <c r="D20" i="71" s="1"/>
  <c r="O28" i="71"/>
  <c r="C14" i="71"/>
  <c r="C10" i="71" s="1"/>
  <c r="C20" i="71" s="1"/>
  <c r="S10" i="71"/>
  <c r="S20" i="71" s="1"/>
  <c r="T25" i="71"/>
  <c r="S25" i="71" s="1"/>
  <c r="D20" i="120"/>
  <c r="C20" i="70"/>
  <c r="C97" i="86" s="1"/>
  <c r="D191" i="144"/>
  <c r="E5" i="186"/>
  <c r="E4" i="186" s="1"/>
  <c r="C19" i="153"/>
  <c r="C17" i="153" s="1"/>
  <c r="C100" i="176"/>
  <c r="C100" i="175"/>
  <c r="C100" i="179"/>
  <c r="C100" i="174"/>
  <c r="C100" i="172"/>
  <c r="C100" i="29"/>
  <c r="S21" i="70"/>
  <c r="D40" i="146"/>
  <c r="U28" i="70"/>
  <c r="E10" i="71"/>
  <c r="E20" i="71" s="1"/>
  <c r="E28" i="71" s="1"/>
  <c r="M10" i="71"/>
  <c r="M20" i="71" s="1"/>
  <c r="C21" i="71"/>
  <c r="D48" i="97"/>
  <c r="H10" i="69"/>
  <c r="H20" i="69" s="1"/>
  <c r="H28" i="69" s="1"/>
  <c r="A2" i="96"/>
  <c r="A2" i="167"/>
  <c r="D33" i="93"/>
  <c r="D30" i="93"/>
  <c r="A2" i="104"/>
  <c r="A2" i="102"/>
  <c r="C10" i="86"/>
  <c r="AC22" i="164"/>
  <c r="AC8" i="164" s="1"/>
  <c r="AC10" i="164"/>
  <c r="W19" i="154"/>
  <c r="W17" i="154" s="1"/>
  <c r="AD24" i="164"/>
  <c r="AB10" i="164"/>
  <c r="AB22" i="164"/>
  <c r="AB8" i="164" s="1"/>
  <c r="Y22" i="164"/>
  <c r="Y8" i="164" s="1"/>
  <c r="Y10" i="164"/>
  <c r="U10" i="164"/>
  <c r="U22" i="164"/>
  <c r="U8" i="164" s="1"/>
  <c r="X10" i="164"/>
  <c r="X22" i="164"/>
  <c r="X8" i="164" s="1"/>
  <c r="T19" i="154"/>
  <c r="T17" i="154" s="1"/>
  <c r="Z24" i="164"/>
  <c r="T10" i="164"/>
  <c r="T22" i="164"/>
  <c r="T8" i="164" s="1"/>
  <c r="V24" i="164"/>
  <c r="Q19" i="154"/>
  <c r="Q17" i="154" s="1"/>
  <c r="I10" i="164"/>
  <c r="I22" i="164"/>
  <c r="I8" i="164" s="1"/>
  <c r="J22" i="164"/>
  <c r="J8" i="164" s="1"/>
  <c r="J10" i="164"/>
  <c r="E22" i="164"/>
  <c r="E8" i="164" s="1"/>
  <c r="E10" i="164"/>
  <c r="S10" i="163"/>
  <c r="S22" i="163"/>
  <c r="S8" i="163" s="1"/>
  <c r="W10" i="163"/>
  <c r="W22" i="163"/>
  <c r="W8" i="163" s="1"/>
  <c r="I22" i="165"/>
  <c r="I8" i="165" s="1"/>
  <c r="I10" i="165"/>
  <c r="I10" i="163"/>
  <c r="I22" i="163"/>
  <c r="I8" i="163" s="1"/>
  <c r="E10" i="165"/>
  <c r="E22" i="165"/>
  <c r="E8" i="165" s="1"/>
  <c r="D22" i="165"/>
  <c r="D8" i="165" s="1"/>
  <c r="D10" i="165"/>
  <c r="D10" i="163"/>
  <c r="D22" i="163"/>
  <c r="D8" i="163" s="1"/>
  <c r="E19" i="153"/>
  <c r="E17" i="153" s="1"/>
  <c r="F24" i="163"/>
  <c r="E19" i="155"/>
  <c r="E17" i="155" s="1"/>
  <c r="F24" i="165"/>
  <c r="M100" i="83"/>
  <c r="F100" i="84"/>
  <c r="F100" i="83"/>
  <c r="F100" i="81"/>
  <c r="C100" i="83"/>
  <c r="C100" i="84"/>
  <c r="D152" i="146"/>
  <c r="D191" i="146"/>
  <c r="D170" i="146"/>
  <c r="D170" i="144"/>
  <c r="N21" i="70"/>
  <c r="N19" i="69"/>
  <c r="D40" i="144"/>
  <c r="N14" i="70"/>
  <c r="S14" i="69"/>
  <c r="D192" i="145"/>
  <c r="O25" i="69"/>
  <c r="D38" i="144"/>
  <c r="U25" i="69"/>
  <c r="S25" i="69" s="1"/>
  <c r="D82" i="105"/>
  <c r="A2" i="94"/>
  <c r="A2" i="95"/>
  <c r="D82" i="101"/>
  <c r="D36" i="93"/>
  <c r="D20" i="93"/>
  <c r="D22" i="93"/>
  <c r="D39" i="93"/>
  <c r="D24" i="93"/>
  <c r="D42" i="93"/>
  <c r="D13" i="93"/>
  <c r="C71" i="85"/>
  <c r="C61" i="81"/>
  <c r="C78" i="81"/>
  <c r="C85" i="81"/>
  <c r="C84" i="81" s="1"/>
  <c r="C61" i="85"/>
  <c r="A2" i="82"/>
  <c r="A2" i="83"/>
  <c r="A2" i="179" s="1"/>
  <c r="A2" i="84"/>
  <c r="C103" i="84"/>
  <c r="C91" i="84"/>
  <c r="C99" i="84" s="1"/>
  <c r="C103" i="83"/>
  <c r="C91" i="83"/>
  <c r="C99" i="83" s="1"/>
  <c r="C67" i="82"/>
  <c r="F20" i="192"/>
  <c r="F23" i="192" s="1"/>
  <c r="C85" i="85"/>
  <c r="C84" i="85" s="1"/>
  <c r="C78" i="85"/>
  <c r="C71" i="81"/>
  <c r="A2" i="178"/>
  <c r="A2" i="112"/>
  <c r="D28" i="69"/>
  <c r="C10" i="3"/>
  <c r="C20" i="3" s="1"/>
  <c r="C12" i="69"/>
  <c r="C10" i="69" s="1"/>
  <c r="C20" i="69" s="1"/>
  <c r="C97" i="82" s="1"/>
  <c r="E269" i="117"/>
  <c r="E179" i="117"/>
  <c r="E269" i="120"/>
  <c r="C28" i="70"/>
  <c r="C28" i="3"/>
  <c r="F32" i="109"/>
  <c r="D13" i="97"/>
  <c r="D20" i="97"/>
  <c r="D21" i="97"/>
  <c r="D22" i="97"/>
  <c r="D24" i="97"/>
  <c r="D27" i="97"/>
  <c r="D30" i="97"/>
  <c r="D33" i="97"/>
  <c r="D34" i="97"/>
  <c r="D36" i="97"/>
  <c r="D37" i="97"/>
  <c r="D39" i="97"/>
  <c r="D40" i="97"/>
  <c r="D21" i="93"/>
  <c r="D27" i="93"/>
  <c r="O25" i="70"/>
  <c r="N25" i="70" s="1"/>
  <c r="L25" i="71"/>
  <c r="K25" i="71" s="1"/>
  <c r="D21" i="71"/>
  <c r="U10" i="71"/>
  <c r="U20" i="71" s="1"/>
  <c r="M21" i="71"/>
  <c r="M28" i="71" s="1"/>
  <c r="K28" i="71" s="1"/>
  <c r="S10" i="70"/>
  <c r="F26" i="204" l="1"/>
  <c r="D28" i="71"/>
  <c r="C28" i="71" s="1"/>
  <c r="U28" i="71"/>
  <c r="S28" i="71" s="1"/>
  <c r="D25" i="71"/>
  <c r="C25" i="71" s="1"/>
  <c r="N10" i="70"/>
  <c r="D151" i="144"/>
  <c r="F22" i="164"/>
  <c r="F8" i="164" s="1"/>
  <c r="H23" i="192"/>
  <c r="H35" i="198"/>
  <c r="H23" i="204" s="1"/>
  <c r="E10" i="163"/>
  <c r="G39" i="198"/>
  <c r="G40" i="198" s="1"/>
  <c r="G40" i="185"/>
  <c r="C25" i="69"/>
  <c r="C28" i="69"/>
  <c r="D169" i="144"/>
  <c r="N20" i="70"/>
  <c r="E20" i="120"/>
  <c r="E60" i="120" s="1"/>
  <c r="C97" i="171"/>
  <c r="C97" i="28"/>
  <c r="D20" i="192"/>
  <c r="E23" i="186"/>
  <c r="C67" i="85"/>
  <c r="C67" i="81"/>
  <c r="K103" i="85"/>
  <c r="C10" i="85"/>
  <c r="C7" i="85" s="1"/>
  <c r="C7" i="86"/>
  <c r="C91" i="86" s="1"/>
  <c r="C93" i="86" s="1"/>
  <c r="E91" i="85"/>
  <c r="E93" i="85" s="1"/>
  <c r="E99" i="85" s="1"/>
  <c r="F14" i="160" s="1"/>
  <c r="AD10" i="164"/>
  <c r="AD22" i="164"/>
  <c r="AD8" i="164" s="1"/>
  <c r="Z22" i="164"/>
  <c r="Z8" i="164" s="1"/>
  <c r="Z10" i="164"/>
  <c r="V22" i="164"/>
  <c r="V8" i="164" s="1"/>
  <c r="V10" i="164"/>
  <c r="F10" i="163"/>
  <c r="F22" i="163"/>
  <c r="F8" i="163" s="1"/>
  <c r="F10" i="165"/>
  <c r="F22" i="165"/>
  <c r="F8" i="165" s="1"/>
  <c r="E100" i="84"/>
  <c r="E100" i="83"/>
  <c r="E100" i="81"/>
  <c r="D149" i="146"/>
  <c r="D55" i="146"/>
  <c r="N25" i="69"/>
  <c r="S20" i="70"/>
  <c r="S28" i="70" s="1"/>
  <c r="N28" i="70" s="1"/>
  <c r="N14" i="69"/>
  <c r="D37" i="146"/>
  <c r="D97" i="86"/>
  <c r="A2" i="154"/>
  <c r="A2" i="151"/>
  <c r="A2" i="148"/>
  <c r="A2" i="164" s="1"/>
  <c r="A2" i="146"/>
  <c r="A2" i="127"/>
  <c r="A2" i="126"/>
  <c r="D20" i="123"/>
  <c r="D60" i="120"/>
  <c r="D63" i="123" s="1"/>
  <c r="D23" i="120"/>
  <c r="D22" i="120"/>
  <c r="A2" i="73"/>
  <c r="A2" i="157" s="1"/>
  <c r="A2" i="160" s="1"/>
  <c r="A2" i="116"/>
  <c r="A2" i="105"/>
  <c r="A2" i="181" s="1"/>
  <c r="E178" i="117"/>
  <c r="D25" i="97"/>
  <c r="D31" i="97"/>
  <c r="D44" i="95"/>
  <c r="A2" i="86"/>
  <c r="A2" i="88"/>
  <c r="A2" i="87"/>
  <c r="H26" i="204" l="1"/>
  <c r="E37" i="186"/>
  <c r="E37" i="198" s="1"/>
  <c r="C91" i="85"/>
  <c r="C93" i="85" s="1"/>
  <c r="C99" i="85" s="1"/>
  <c r="D14" i="160" s="1"/>
  <c r="F13" i="123"/>
  <c r="H27" i="198"/>
  <c r="I39" i="185"/>
  <c r="H39" i="198"/>
  <c r="E23" i="120"/>
  <c r="D148" i="144"/>
  <c r="D190" i="144"/>
  <c r="E19" i="186"/>
  <c r="E23" i="198"/>
  <c r="E63" i="123"/>
  <c r="D23" i="192"/>
  <c r="E22" i="120"/>
  <c r="L103" i="86"/>
  <c r="C99" i="86"/>
  <c r="L100" i="83"/>
  <c r="K100" i="83"/>
  <c r="D191" i="145"/>
  <c r="N13" i="123"/>
  <c r="M13" i="123"/>
  <c r="D170" i="145"/>
  <c r="C103" i="85"/>
  <c r="M103" i="83"/>
  <c r="L103" i="83"/>
  <c r="D77" i="123"/>
  <c r="D60" i="123"/>
  <c r="D74" i="123" s="1"/>
  <c r="D102" i="120"/>
  <c r="D103" i="120" s="1"/>
  <c r="D120" i="120"/>
  <c r="D267" i="120" s="1"/>
  <c r="D23" i="123"/>
  <c r="D22" i="123"/>
  <c r="A2" i="108"/>
  <c r="A2" i="106"/>
  <c r="A2" i="107"/>
  <c r="E194" i="117"/>
  <c r="E193" i="117" s="1"/>
  <c r="E256" i="117" s="1"/>
  <c r="D28" i="97"/>
  <c r="D43" i="97"/>
  <c r="D20" i="204" l="1"/>
  <c r="E60" i="123"/>
  <c r="M103" i="86"/>
  <c r="D10" i="28"/>
  <c r="D10" i="8" s="1"/>
  <c r="D7" i="8" s="1"/>
  <c r="D91" i="8" s="1"/>
  <c r="D93" i="8" s="1"/>
  <c r="D99" i="8" s="1"/>
  <c r="D10" i="171"/>
  <c r="D10" i="177"/>
  <c r="D7" i="177" s="1"/>
  <c r="D91" i="177" s="1"/>
  <c r="D93" i="177" s="1"/>
  <c r="D99" i="177" s="1"/>
  <c r="D44" i="97"/>
  <c r="E246" i="117"/>
  <c r="E257" i="117" s="1"/>
  <c r="D7" i="28" l="1"/>
  <c r="D91" i="28" s="1"/>
  <c r="D93" i="28" s="1"/>
  <c r="L103" i="85"/>
  <c r="E14" i="159"/>
  <c r="E14" i="25"/>
  <c r="H37" i="145"/>
  <c r="H40" i="145" s="1"/>
  <c r="H38" i="145" s="1"/>
  <c r="D7" i="171"/>
  <c r="D91" i="171" s="1"/>
  <c r="D93" i="171" s="1"/>
  <c r="C37" i="145" l="1"/>
  <c r="M103" i="85" l="1"/>
  <c r="K37" i="145"/>
  <c r="C38" i="145"/>
  <c r="K38" i="145" l="1"/>
  <c r="G19" i="150" s="1"/>
  <c r="C40" i="145"/>
  <c r="K40" i="145" s="1"/>
  <c r="G18" i="150" l="1"/>
  <c r="G25" i="150" s="1"/>
  <c r="G26" i="150"/>
  <c r="E11" i="153" s="1"/>
  <c r="H73" i="146" l="1"/>
  <c r="E8" i="153"/>
  <c r="E32" i="153"/>
  <c r="A2" i="57"/>
  <c r="H14" i="160" l="1"/>
  <c r="D7" i="186"/>
  <c r="C73" i="146"/>
  <c r="J73" i="146"/>
  <c r="V103" i="66"/>
  <c r="Q103" i="66"/>
  <c r="S103" i="66" s="1"/>
  <c r="V98" i="66"/>
  <c r="Q98" i="66"/>
  <c r="W98" i="66" s="1"/>
  <c r="M75" i="66"/>
  <c r="O75" i="66" s="1"/>
  <c r="M74" i="66"/>
  <c r="O74" i="66" s="1"/>
  <c r="M73" i="66"/>
  <c r="O73" i="66" s="1"/>
  <c r="M72" i="66"/>
  <c r="O72" i="66" s="1"/>
  <c r="F70" i="66"/>
  <c r="M69" i="66"/>
  <c r="O69" i="66" s="1"/>
  <c r="C69" i="66"/>
  <c r="D69" i="66" s="1"/>
  <c r="X68" i="66"/>
  <c r="I67" i="66" s="1"/>
  <c r="V68" i="66"/>
  <c r="S68" i="66"/>
  <c r="M68" i="66"/>
  <c r="O68" i="66" s="1"/>
  <c r="C68" i="66"/>
  <c r="D68" i="66" s="1"/>
  <c r="W67" i="66"/>
  <c r="W69" i="66" s="1"/>
  <c r="F67" i="66" s="1"/>
  <c r="V67" i="66"/>
  <c r="S67" i="66"/>
  <c r="C67" i="66"/>
  <c r="M64" i="66"/>
  <c r="O64" i="66" s="1"/>
  <c r="I62" i="66"/>
  <c r="F62" i="66"/>
  <c r="C62" i="66"/>
  <c r="M59" i="66"/>
  <c r="O59" i="66" s="1"/>
  <c r="M58" i="66"/>
  <c r="O58" i="66" s="1"/>
  <c r="M57" i="66"/>
  <c r="O57" i="66" s="1"/>
  <c r="M56" i="66"/>
  <c r="O56" i="66" s="1"/>
  <c r="M55" i="66"/>
  <c r="O55" i="66" s="1"/>
  <c r="F54" i="66"/>
  <c r="M54" i="66" s="1"/>
  <c r="O54" i="66" s="1"/>
  <c r="M53" i="66"/>
  <c r="O53" i="66" s="1"/>
  <c r="M52" i="66"/>
  <c r="O52" i="66" s="1"/>
  <c r="M51" i="66"/>
  <c r="O51" i="66" s="1"/>
  <c r="M50" i="66"/>
  <c r="O50" i="66" s="1"/>
  <c r="F49" i="66"/>
  <c r="M39" i="66"/>
  <c r="O39" i="66" s="1"/>
  <c r="F37" i="66"/>
  <c r="F36" i="66"/>
  <c r="M36" i="66" s="1"/>
  <c r="O36" i="66" s="1"/>
  <c r="F35" i="66"/>
  <c r="M34" i="66"/>
  <c r="O34" i="66" s="1"/>
  <c r="C29" i="66"/>
  <c r="O26" i="66"/>
  <c r="O25" i="66"/>
  <c r="O24" i="66"/>
  <c r="O22" i="66"/>
  <c r="O21" i="66"/>
  <c r="O20" i="66"/>
  <c r="O19" i="66"/>
  <c r="O18" i="66"/>
  <c r="M17" i="66"/>
  <c r="O17" i="66" s="1"/>
  <c r="F17" i="66"/>
  <c r="I73" i="146" l="1"/>
  <c r="K73" i="146"/>
  <c r="Y103" i="66"/>
  <c r="D62" i="66"/>
  <c r="W103" i="66"/>
  <c r="W104" i="66" s="1"/>
  <c r="F30" i="66"/>
  <c r="Y67" i="66"/>
  <c r="Y69" i="66" s="1"/>
  <c r="M67" i="66" s="1"/>
  <c r="O67" i="66" s="1"/>
  <c r="M49" i="66"/>
  <c r="O49" i="66" s="1"/>
  <c r="D67" i="66"/>
  <c r="F29" i="66"/>
  <c r="M35" i="66"/>
  <c r="S98" i="66"/>
  <c r="Y98" i="66" s="1"/>
  <c r="M37" i="66"/>
  <c r="O37" i="66" s="1"/>
  <c r="X103" i="66" l="1"/>
  <c r="X67" i="66"/>
  <c r="J67" i="66" s="1"/>
  <c r="J63" i="66" s="1"/>
  <c r="Y104" i="66"/>
  <c r="X98" i="66"/>
  <c r="O35" i="66"/>
  <c r="O33" i="66" s="1"/>
  <c r="M29" i="66"/>
  <c r="O29" i="66" s="1"/>
  <c r="M30" i="66"/>
  <c r="J71" i="66" l="1"/>
  <c r="M71" i="66" s="1"/>
  <c r="O71" i="66" s="1"/>
  <c r="J98" i="66"/>
  <c r="J94" i="66"/>
  <c r="M70" i="66"/>
  <c r="O70" i="66" s="1"/>
  <c r="J62" i="66"/>
  <c r="M63" i="66"/>
  <c r="M62" i="66" l="1"/>
  <c r="O62" i="66" s="1"/>
  <c r="O63" i="66"/>
  <c r="R179" i="117" l="1"/>
  <c r="R247" i="117"/>
  <c r="M24" i="63" l="1"/>
  <c r="M25" i="63" s="1"/>
  <c r="M26" i="63" s="1"/>
  <c r="E18" i="63"/>
  <c r="E15" i="63" s="1"/>
  <c r="E7" i="63" s="1"/>
  <c r="N24" i="64" l="1"/>
  <c r="N25" i="64" s="1"/>
  <c r="N26" i="64" s="1"/>
  <c r="M24" i="64"/>
  <c r="M25" i="64" s="1"/>
  <c r="M26" i="64" s="1"/>
  <c r="N24" i="63"/>
  <c r="N25" i="63" s="1"/>
  <c r="N26" i="63" s="1"/>
  <c r="E23" i="63"/>
  <c r="E24" i="63" s="1"/>
  <c r="E25" i="63" s="1"/>
  <c r="E26" i="63" s="1"/>
  <c r="E8" i="65" s="1"/>
  <c r="E14" i="65" s="1"/>
  <c r="E8" i="25" s="1"/>
  <c r="M14" i="65" l="1"/>
  <c r="L24" i="64"/>
  <c r="L25" i="64" s="1"/>
  <c r="L26" i="64" s="1"/>
  <c r="N14" i="65"/>
  <c r="M101" i="171" l="1"/>
  <c r="M101" i="177" s="1"/>
  <c r="M101" i="82" s="1"/>
  <c r="M101" i="81" s="1"/>
  <c r="L101" i="171"/>
  <c r="L101" i="177" s="1"/>
  <c r="L101" i="82" s="1"/>
  <c r="L101" i="81" s="1"/>
  <c r="L14" i="65"/>
  <c r="A2" i="62"/>
  <c r="A2" i="61"/>
  <c r="A2" i="168" s="1"/>
  <c r="A2" i="60"/>
  <c r="D13" i="60"/>
  <c r="D25" i="60"/>
  <c r="A2" i="59"/>
  <c r="D8" i="59"/>
  <c r="D10" i="59"/>
  <c r="D12" i="59"/>
  <c r="D14" i="59"/>
  <c r="D15" i="59"/>
  <c r="D17" i="59"/>
  <c r="D18" i="59"/>
  <c r="D19" i="59"/>
  <c r="D46" i="59"/>
  <c r="D49" i="59"/>
  <c r="D50" i="59"/>
  <c r="D51" i="59"/>
  <c r="D52" i="59"/>
  <c r="D13" i="59" l="1"/>
  <c r="D48" i="59"/>
  <c r="D28" i="60"/>
  <c r="D28" i="94" s="1"/>
  <c r="D28" i="93" s="1"/>
  <c r="K101" i="171"/>
  <c r="K101" i="28"/>
  <c r="L16" i="65"/>
  <c r="D31" i="60"/>
  <c r="D31" i="94" s="1"/>
  <c r="D31" i="93" s="1"/>
  <c r="D25" i="94"/>
  <c r="D22" i="59"/>
  <c r="D34" i="59"/>
  <c r="D24" i="59"/>
  <c r="D42" i="59"/>
  <c r="D21" i="59"/>
  <c r="D33" i="59"/>
  <c r="D39" i="59"/>
  <c r="D30" i="59"/>
  <c r="D36" i="59"/>
  <c r="D27" i="59"/>
  <c r="D28" i="59"/>
  <c r="D25" i="59"/>
  <c r="D20" i="59"/>
  <c r="K101" i="8" l="1"/>
  <c r="K101" i="177"/>
  <c r="K101" i="82" s="1"/>
  <c r="K101" i="81" s="1"/>
  <c r="D25" i="93"/>
  <c r="D43" i="94"/>
  <c r="D31" i="59"/>
  <c r="D43" i="60"/>
  <c r="D43" i="93"/>
  <c r="D44" i="93" l="1"/>
  <c r="D43" i="59"/>
  <c r="D44" i="59" s="1"/>
  <c r="D44" i="60"/>
  <c r="D44" i="94"/>
  <c r="D55" i="60" l="1"/>
  <c r="D45" i="60"/>
  <c r="D57" i="60"/>
  <c r="F118" i="14"/>
  <c r="D45" i="59" l="1"/>
  <c r="D45" i="94"/>
  <c r="D45" i="93" s="1"/>
  <c r="D55" i="94"/>
  <c r="D55" i="93" s="1"/>
  <c r="D55" i="59"/>
  <c r="D57" i="94"/>
  <c r="D57" i="93" s="1"/>
  <c r="D57" i="59"/>
  <c r="C85" i="8"/>
  <c r="C84" i="8" s="1"/>
  <c r="F28" i="13"/>
  <c r="I28" i="13"/>
  <c r="F9" i="13"/>
  <c r="I9" i="13"/>
  <c r="F11" i="13"/>
  <c r="I11" i="13"/>
  <c r="F12" i="13"/>
  <c r="I12" i="13"/>
  <c r="F13" i="13"/>
  <c r="I13" i="13"/>
  <c r="F14" i="13"/>
  <c r="I14" i="13"/>
  <c r="F15" i="13"/>
  <c r="I15" i="13"/>
  <c r="F16" i="13"/>
  <c r="I16" i="13"/>
  <c r="F17" i="13"/>
  <c r="I17" i="13"/>
  <c r="F18" i="13"/>
  <c r="I18" i="13"/>
  <c r="F19" i="13"/>
  <c r="I19" i="13"/>
  <c r="F20" i="13"/>
  <c r="I20" i="13"/>
  <c r="F21" i="13"/>
  <c r="I21" i="13"/>
  <c r="F22" i="13"/>
  <c r="I22" i="13"/>
  <c r="F23" i="13"/>
  <c r="I23" i="13"/>
  <c r="F24" i="13"/>
  <c r="I24" i="13"/>
  <c r="F25" i="13"/>
  <c r="I25" i="13"/>
  <c r="F26" i="13"/>
  <c r="I26" i="13"/>
  <c r="F27" i="13"/>
  <c r="I27" i="13"/>
  <c r="F30" i="13"/>
  <c r="I30" i="13"/>
  <c r="F31" i="13"/>
  <c r="I31" i="13"/>
  <c r="I32" i="13"/>
  <c r="F33" i="13"/>
  <c r="I33" i="13"/>
  <c r="F34" i="13"/>
  <c r="I34" i="13"/>
  <c r="F35" i="13"/>
  <c r="I35" i="13"/>
  <c r="F8" i="13"/>
  <c r="F10" i="13" l="1"/>
  <c r="F29" i="13"/>
  <c r="F32" i="13"/>
  <c r="I29" i="13"/>
  <c r="N82" i="36"/>
  <c r="D82" i="36"/>
  <c r="D82" i="35"/>
  <c r="D82" i="12"/>
  <c r="D22" i="50"/>
  <c r="D37" i="50"/>
  <c r="D52" i="50"/>
  <c r="D67" i="50"/>
  <c r="D97" i="50"/>
  <c r="D7" i="50"/>
  <c r="D82" i="50" l="1"/>
  <c r="C71" i="28" l="1"/>
  <c r="C67" i="28" s="1"/>
  <c r="A110" i="13" l="1"/>
  <c r="A74" i="13"/>
  <c r="A38" i="13"/>
  <c r="U27" i="39"/>
  <c r="S27" i="39" s="1"/>
  <c r="S26" i="39"/>
  <c r="S24" i="39"/>
  <c r="U23" i="39"/>
  <c r="S23" i="39" s="1"/>
  <c r="W21" i="39"/>
  <c r="U21" i="39"/>
  <c r="T21" i="39"/>
  <c r="S19" i="39"/>
  <c r="U12" i="39"/>
  <c r="S12" i="39" s="1"/>
  <c r="S10" i="39" s="1"/>
  <c r="W10" i="39"/>
  <c r="W20" i="39" s="1"/>
  <c r="T10" i="39"/>
  <c r="T20" i="39" s="1"/>
  <c r="M27" i="39"/>
  <c r="K27" i="39" s="1"/>
  <c r="K26" i="39"/>
  <c r="K24" i="39"/>
  <c r="M23" i="39"/>
  <c r="K23" i="39" s="1"/>
  <c r="O21" i="39"/>
  <c r="L21" i="39"/>
  <c r="K19" i="39"/>
  <c r="M12" i="39"/>
  <c r="K12" i="39" s="1"/>
  <c r="K10" i="39" s="1"/>
  <c r="O10" i="39"/>
  <c r="O20" i="39" s="1"/>
  <c r="L10" i="39"/>
  <c r="L20" i="39" s="1"/>
  <c r="E27" i="39"/>
  <c r="C27" i="39" s="1"/>
  <c r="C26" i="39"/>
  <c r="C24" i="39"/>
  <c r="E23" i="39"/>
  <c r="C23" i="39" s="1"/>
  <c r="G21" i="39"/>
  <c r="D21" i="39"/>
  <c r="C19" i="39"/>
  <c r="E12" i="39"/>
  <c r="C12" i="39" s="1"/>
  <c r="C10" i="39" s="1"/>
  <c r="G10" i="39"/>
  <c r="G20" i="39" s="1"/>
  <c r="G28" i="39" s="1"/>
  <c r="D10" i="39"/>
  <c r="D20" i="39" s="1"/>
  <c r="D28" i="39" s="1"/>
  <c r="M10" i="27"/>
  <c r="K10" i="27"/>
  <c r="E16" i="27"/>
  <c r="C16" i="27"/>
  <c r="E8" i="27"/>
  <c r="C8" i="27"/>
  <c r="S12" i="3"/>
  <c r="U10" i="3"/>
  <c r="N26" i="3"/>
  <c r="N26" i="69" s="1"/>
  <c r="N24" i="3"/>
  <c r="N24" i="69" s="1"/>
  <c r="S23" i="3"/>
  <c r="S27" i="3"/>
  <c r="C20" i="39" l="1"/>
  <c r="C21" i="39"/>
  <c r="E5" i="185"/>
  <c r="N27" i="3"/>
  <c r="N27" i="69" s="1"/>
  <c r="S27" i="69"/>
  <c r="M21" i="39"/>
  <c r="E21" i="39"/>
  <c r="N23" i="3"/>
  <c r="N23" i="69" s="1"/>
  <c r="N21" i="69" s="1"/>
  <c r="S23" i="69"/>
  <c r="S21" i="69" s="1"/>
  <c r="S21" i="39"/>
  <c r="D152" i="145"/>
  <c r="S10" i="3"/>
  <c r="S20" i="3" s="1"/>
  <c r="S12" i="69"/>
  <c r="S10" i="69" s="1"/>
  <c r="S20" i="69" s="1"/>
  <c r="O28" i="39"/>
  <c r="M10" i="39"/>
  <c r="M20" i="39" s="1"/>
  <c r="M28" i="39" s="1"/>
  <c r="U10" i="39"/>
  <c r="U20" i="39" s="1"/>
  <c r="U28" i="39" s="1"/>
  <c r="W28" i="39"/>
  <c r="K20" i="39"/>
  <c r="S20" i="39"/>
  <c r="T28" i="39"/>
  <c r="L28" i="39"/>
  <c r="K28" i="39" s="1"/>
  <c r="K21" i="39"/>
  <c r="T25" i="39"/>
  <c r="W25" i="39"/>
  <c r="U25" i="39" s="1"/>
  <c r="L25" i="39"/>
  <c r="O25" i="39"/>
  <c r="M25" i="39" s="1"/>
  <c r="D25" i="39"/>
  <c r="G25" i="39"/>
  <c r="E25" i="39" s="1"/>
  <c r="E10" i="39"/>
  <c r="E20" i="39" s="1"/>
  <c r="O10" i="3"/>
  <c r="O20" i="3" s="1"/>
  <c r="D38" i="145" s="1"/>
  <c r="N12" i="3"/>
  <c r="E28" i="39" l="1"/>
  <c r="C28" i="39" s="1"/>
  <c r="K25" i="39"/>
  <c r="E4" i="185"/>
  <c r="E5" i="198"/>
  <c r="E4" i="198" s="1"/>
  <c r="S28" i="39"/>
  <c r="S28" i="69"/>
  <c r="N28" i="69" s="1"/>
  <c r="J38" i="145"/>
  <c r="F19" i="150" s="1"/>
  <c r="I38" i="145"/>
  <c r="E19" i="150" s="1"/>
  <c r="N10" i="3"/>
  <c r="E20" i="117" s="1"/>
  <c r="N12" i="69"/>
  <c r="N10" i="69" s="1"/>
  <c r="N20" i="69" s="1"/>
  <c r="C25" i="39"/>
  <c r="S25" i="39"/>
  <c r="L13" i="123" l="1"/>
  <c r="K100" i="179"/>
  <c r="K100" i="176"/>
  <c r="K100" i="175"/>
  <c r="K100" i="172"/>
  <c r="K100" i="29"/>
  <c r="D37" i="144"/>
  <c r="D97" i="82"/>
  <c r="E13" i="117"/>
  <c r="E20" i="123"/>
  <c r="E13" i="123" s="1"/>
  <c r="E18" i="150"/>
  <c r="E25" i="150" s="1"/>
  <c r="E26" i="150"/>
  <c r="C11" i="153" s="1"/>
  <c r="F18" i="150"/>
  <c r="F25" i="150" s="1"/>
  <c r="F26" i="150"/>
  <c r="D11" i="153" s="1"/>
  <c r="G8" i="27"/>
  <c r="G16" i="27"/>
  <c r="I16" i="27"/>
  <c r="K16" i="27"/>
  <c r="M16" i="27"/>
  <c r="I8" i="27"/>
  <c r="K8" i="27"/>
  <c r="M8" i="27"/>
  <c r="D8" i="153" l="1"/>
  <c r="D32" i="153"/>
  <c r="E23" i="123"/>
  <c r="E22" i="123"/>
  <c r="C32" i="153"/>
  <c r="C8" i="153"/>
  <c r="C61" i="28"/>
  <c r="C78" i="28"/>
  <c r="C92" i="8"/>
  <c r="C94" i="8"/>
  <c r="C95" i="8"/>
  <c r="C83" i="28" l="1"/>
  <c r="C83" i="8" s="1"/>
  <c r="C61" i="8"/>
  <c r="C78" i="8"/>
  <c r="C67" i="8"/>
  <c r="C103" i="28" l="1"/>
  <c r="C103" i="81"/>
  <c r="C103" i="82"/>
  <c r="C103" i="8" l="1"/>
  <c r="A2" i="39" l="1"/>
  <c r="O21" i="3"/>
  <c r="O28" i="3" s="1"/>
  <c r="S21" i="3"/>
  <c r="S28" i="3" s="1"/>
  <c r="U21" i="3"/>
  <c r="N21" i="3"/>
  <c r="U20" i="3"/>
  <c r="D40" i="145" s="1"/>
  <c r="N20" i="3"/>
  <c r="D97" i="171" s="1"/>
  <c r="D99" i="171" s="1"/>
  <c r="D150" i="145" l="1"/>
  <c r="J40" i="145"/>
  <c r="I40" i="145"/>
  <c r="D37" i="145"/>
  <c r="D97" i="28"/>
  <c r="D99" i="28" s="1"/>
  <c r="U28" i="3"/>
  <c r="N28" i="3"/>
  <c r="O25" i="3"/>
  <c r="U25" i="3"/>
  <c r="S25" i="3" s="1"/>
  <c r="L103" i="177" l="1"/>
  <c r="D149" i="145"/>
  <c r="I37" i="145"/>
  <c r="J37" i="145"/>
  <c r="N25" i="3"/>
  <c r="A2" i="4"/>
  <c r="A2" i="156" s="1"/>
  <c r="A2" i="3"/>
  <c r="A2" i="25"/>
  <c r="A2" i="17"/>
  <c r="A2" i="16"/>
  <c r="A2" i="15"/>
  <c r="A2" i="13"/>
  <c r="A2" i="36"/>
  <c r="A2" i="10"/>
  <c r="A2" i="9"/>
  <c r="A2" i="30"/>
  <c r="A2" i="29"/>
  <c r="A2" i="28"/>
  <c r="A2" i="8"/>
  <c r="A2" i="7"/>
  <c r="A2" i="6"/>
  <c r="A2" i="27"/>
  <c r="I255" i="14"/>
  <c r="H255" i="14"/>
  <c r="G255" i="14"/>
  <c r="F255" i="14"/>
  <c r="B255" i="14"/>
  <c r="I175" i="14"/>
  <c r="H175" i="14"/>
  <c r="G175" i="14"/>
  <c r="F175" i="14"/>
  <c r="B175" i="14"/>
  <c r="I118" i="14"/>
  <c r="H118" i="14"/>
  <c r="G118" i="14"/>
  <c r="B118" i="14"/>
  <c r="F8" i="14"/>
  <c r="G8" i="14"/>
  <c r="H8" i="14"/>
  <c r="I8" i="14"/>
  <c r="B8" i="14"/>
  <c r="A2" i="14" l="1"/>
  <c r="A249" i="14"/>
  <c r="A169" i="14"/>
  <c r="A112" i="14"/>
  <c r="M103" i="177"/>
  <c r="M103" i="171"/>
  <c r="A2" i="162"/>
  <c r="A2" i="153"/>
  <c r="A2" i="150"/>
  <c r="A2" i="147"/>
  <c r="A2" i="163" s="1"/>
  <c r="A2" i="145"/>
  <c r="A2" i="66"/>
  <c r="A2" i="58"/>
  <c r="H110" i="14"/>
  <c r="F110" i="14"/>
  <c r="G110" i="14"/>
  <c r="B110" i="14"/>
  <c r="I110" i="14"/>
  <c r="L103" i="171" l="1"/>
  <c r="M103" i="81"/>
  <c r="M103" i="82"/>
  <c r="E22" i="117"/>
  <c r="E23" i="117"/>
  <c r="D153" i="117"/>
  <c r="L103" i="82" l="1"/>
  <c r="D192" i="117"/>
  <c r="D235" i="117"/>
  <c r="D129" i="117"/>
  <c r="D122" i="117"/>
  <c r="D194" i="117"/>
  <c r="D193" i="117" s="1"/>
  <c r="D256" i="117" s="1"/>
  <c r="C10" i="177" s="1"/>
  <c r="C7" i="177" s="1"/>
  <c r="C91" i="177" s="1"/>
  <c r="C93" i="177" s="1"/>
  <c r="C99" i="177" s="1"/>
  <c r="R153" i="117"/>
  <c r="D124" i="117"/>
  <c r="D125" i="117"/>
  <c r="L103" i="81" l="1"/>
  <c r="D178" i="117"/>
  <c r="D192" i="123"/>
  <c r="D178" i="123" s="1"/>
  <c r="D14" i="25"/>
  <c r="D14" i="159"/>
  <c r="C10" i="28"/>
  <c r="D254" i="117"/>
  <c r="D121" i="117"/>
  <c r="C10" i="171" l="1"/>
  <c r="C10" i="8"/>
  <c r="C7" i="8" s="1"/>
  <c r="C91" i="8" s="1"/>
  <c r="C93" i="8" s="1"/>
  <c r="C99" i="8" s="1"/>
  <c r="C7" i="28"/>
  <c r="C91" i="28" s="1"/>
  <c r="C93" i="28" s="1"/>
  <c r="C99" i="28" s="1"/>
  <c r="D265" i="117"/>
  <c r="D246" i="117"/>
  <c r="D257" i="117" s="1"/>
  <c r="D120" i="117"/>
  <c r="D267" i="117" s="1"/>
  <c r="D102" i="117"/>
  <c r="D103" i="117" s="1"/>
  <c r="D74" i="117"/>
  <c r="C7" i="171" l="1"/>
  <c r="C91" i="171" s="1"/>
  <c r="C93" i="171" s="1"/>
  <c r="C10" i="82"/>
  <c r="E74" i="117"/>
  <c r="E120" i="117"/>
  <c r="E267" i="117" s="1"/>
  <c r="C10" i="81" l="1"/>
  <c r="C7" i="81" s="1"/>
  <c r="C91" i="81" s="1"/>
  <c r="C7" i="82"/>
  <c r="C91" i="82" s="1"/>
  <c r="C99" i="171"/>
  <c r="C93" i="82"/>
  <c r="C93" i="81" l="1"/>
  <c r="C99" i="81" s="1"/>
  <c r="D14" i="161" s="1"/>
  <c r="C99" i="82"/>
  <c r="G20" i="4" l="1"/>
  <c r="G12" i="4" s="1"/>
  <c r="F12" i="4" l="1"/>
  <c r="F10" i="4" l="1"/>
  <c r="F20" i="4" s="1"/>
  <c r="F25" i="4" l="1"/>
  <c r="D100" i="175" l="1"/>
  <c r="D100" i="176"/>
  <c r="D100" i="179"/>
  <c r="D100" i="172"/>
  <c r="D100" i="81"/>
  <c r="D100" i="84"/>
  <c r="D100" i="83"/>
  <c r="D100" i="29"/>
  <c r="E48" i="117"/>
  <c r="E102" i="117" l="1"/>
  <c r="E103" i="117" s="1"/>
  <c r="E36" i="117"/>
  <c r="E127" i="124" l="1"/>
  <c r="D127" i="124"/>
  <c r="R127" i="124" l="1"/>
  <c r="U127" i="124" l="1"/>
  <c r="R128" i="124"/>
  <c r="U140" i="124" l="1"/>
  <c r="X127" i="124"/>
  <c r="E140" i="124" l="1"/>
  <c r="W127" i="124"/>
  <c r="D140" i="124" s="1"/>
  <c r="R142" i="117" l="1"/>
  <c r="R140" i="124"/>
  <c r="S140" i="124" l="1"/>
  <c r="R141" i="124"/>
  <c r="H111" i="145" l="1"/>
  <c r="S141" i="124"/>
  <c r="X140" i="124"/>
  <c r="H114" i="145" l="1"/>
  <c r="J111" i="145"/>
  <c r="W140" i="124"/>
  <c r="X151" i="124"/>
  <c r="H111" i="144" l="1"/>
  <c r="H112" i="145"/>
  <c r="J112" i="145" s="1"/>
  <c r="U19" i="150" s="1"/>
  <c r="J114" i="145"/>
  <c r="U26" i="150" l="1"/>
  <c r="M11" i="153" s="1"/>
  <c r="U18" i="150"/>
  <c r="U25" i="150" s="1"/>
  <c r="J111" i="144"/>
  <c r="H114" i="144"/>
  <c r="J114" i="144" s="1"/>
  <c r="H112" i="144" l="1"/>
  <c r="J112" i="144" s="1"/>
  <c r="U19" i="162" s="1"/>
  <c r="M8" i="153"/>
  <c r="U18" i="162" l="1"/>
  <c r="U25" i="162" s="1"/>
  <c r="U26" i="162"/>
  <c r="M11" i="155" s="1"/>
  <c r="M32" i="155" l="1"/>
  <c r="M8" i="155"/>
  <c r="R254" i="117" l="1"/>
  <c r="R185" i="117" l="1"/>
  <c r="S44" i="124" l="1"/>
  <c r="E228" i="120"/>
  <c r="E238" i="120" l="1"/>
  <c r="E179" i="120"/>
  <c r="E179" i="123" s="1"/>
  <c r="E197" i="120"/>
  <c r="E230" i="120"/>
  <c r="E185" i="120"/>
  <c r="E200" i="123" l="1"/>
  <c r="E197" i="123"/>
  <c r="E249" i="123" s="1"/>
  <c r="E201" i="120"/>
  <c r="E188" i="123"/>
  <c r="E185" i="123" s="1"/>
  <c r="E170" i="123" s="1"/>
  <c r="E272" i="123" s="1"/>
  <c r="E249" i="120"/>
  <c r="E178" i="120"/>
  <c r="E193" i="120" s="1"/>
  <c r="E195" i="120"/>
  <c r="E195" i="123" s="1"/>
  <c r="Q46" i="124"/>
  <c r="E240" i="120"/>
  <c r="E237" i="120" s="1"/>
  <c r="E227" i="120"/>
  <c r="E236" i="120" s="1"/>
  <c r="E254" i="120" s="1"/>
  <c r="E178" i="123" l="1"/>
  <c r="E247" i="123"/>
  <c r="E250" i="120"/>
  <c r="E204" i="123"/>
  <c r="E201" i="123" s="1"/>
  <c r="E250" i="123" s="1"/>
  <c r="E265" i="120"/>
  <c r="V46" i="124"/>
  <c r="S46" i="124"/>
  <c r="R46" i="124" s="1"/>
  <c r="E194" i="120"/>
  <c r="E247" i="120"/>
  <c r="E194" i="123" l="1"/>
  <c r="E193" i="123" s="1"/>
  <c r="E246" i="123"/>
  <c r="X46" i="124"/>
  <c r="W46" i="124" s="1"/>
  <c r="E246" i="120"/>
  <c r="E135" i="124" l="1"/>
  <c r="D135" i="124"/>
  <c r="C135" i="124"/>
  <c r="V135" i="124" s="1"/>
  <c r="E256" i="123"/>
  <c r="E256" i="120"/>
  <c r="D134" i="124" l="1"/>
  <c r="R135" i="124"/>
  <c r="S135" i="124" s="1"/>
  <c r="S138" i="124" s="1"/>
  <c r="R138" i="124" s="1"/>
  <c r="C134" i="124"/>
  <c r="C148" i="124"/>
  <c r="V148" i="124" s="1"/>
  <c r="D10" i="86"/>
  <c r="E134" i="124" l="1"/>
  <c r="W148" i="124"/>
  <c r="X135" i="124"/>
  <c r="E148" i="124" s="1"/>
  <c r="R148" i="124" s="1"/>
  <c r="S148" i="124" s="1"/>
  <c r="S151" i="124" s="1"/>
  <c r="R151" i="124" s="1"/>
  <c r="V134" i="124"/>
  <c r="V138" i="124" s="1"/>
  <c r="C138" i="124"/>
  <c r="D10" i="82"/>
  <c r="D10" i="81" s="1"/>
  <c r="D10" i="85"/>
  <c r="D7" i="85" s="1"/>
  <c r="D91" i="85" s="1"/>
  <c r="D93" i="85" s="1"/>
  <c r="D99" i="85" s="1"/>
  <c r="E14" i="160" s="1"/>
  <c r="D7" i="86"/>
  <c r="D91" i="86" s="1"/>
  <c r="D93" i="86" s="1"/>
  <c r="D93" i="82" s="1"/>
  <c r="D93" i="81" s="1"/>
  <c r="H37" i="146"/>
  <c r="E138" i="124" l="1"/>
  <c r="X134" i="124"/>
  <c r="E147" i="124" s="1"/>
  <c r="E151" i="124" s="1"/>
  <c r="D138" i="124"/>
  <c r="R134" i="124"/>
  <c r="W135" i="124"/>
  <c r="D148" i="124" s="1"/>
  <c r="X138" i="124"/>
  <c r="W138" i="124" s="1"/>
  <c r="W134" i="124"/>
  <c r="D147" i="124" s="1"/>
  <c r="C147" i="124"/>
  <c r="D7" i="82"/>
  <c r="D91" i="82" s="1"/>
  <c r="D99" i="86"/>
  <c r="C37" i="146"/>
  <c r="H40" i="146"/>
  <c r="J40" i="146" s="1"/>
  <c r="J37" i="146"/>
  <c r="H37" i="144"/>
  <c r="V147" i="124" l="1"/>
  <c r="C151" i="124"/>
  <c r="D151" i="124" s="1"/>
  <c r="R147" i="124"/>
  <c r="H38" i="146"/>
  <c r="J38" i="146" s="1"/>
  <c r="F19" i="151" s="1"/>
  <c r="F18" i="151" s="1"/>
  <c r="F25" i="151" s="1"/>
  <c r="D7" i="81"/>
  <c r="D91" i="81" s="1"/>
  <c r="D99" i="81" s="1"/>
  <c r="E14" i="161" s="1"/>
  <c r="K37" i="146"/>
  <c r="I37" i="146"/>
  <c r="C38" i="146"/>
  <c r="J37" i="144"/>
  <c r="H40" i="144"/>
  <c r="J40" i="144" s="1"/>
  <c r="C37" i="144"/>
  <c r="D99" i="82"/>
  <c r="W147" i="124" l="1"/>
  <c r="V151" i="124"/>
  <c r="W151" i="124" s="1"/>
  <c r="F26" i="151"/>
  <c r="D11" i="154" s="1"/>
  <c r="D32" i="154" s="1"/>
  <c r="K37" i="144"/>
  <c r="C38" i="144"/>
  <c r="C40" i="144" s="1"/>
  <c r="I37" i="144"/>
  <c r="K38" i="146"/>
  <c r="G19" i="151" s="1"/>
  <c r="I38" i="146"/>
  <c r="E19" i="151" s="1"/>
  <c r="C40" i="146"/>
  <c r="H38" i="144"/>
  <c r="J38" i="144" s="1"/>
  <c r="F19" i="162" s="1"/>
  <c r="D8" i="154" l="1"/>
  <c r="G18" i="151"/>
  <c r="G25" i="151" s="1"/>
  <c r="G26" i="151"/>
  <c r="E11" i="154" s="1"/>
  <c r="F26" i="162"/>
  <c r="D11" i="155" s="1"/>
  <c r="F18" i="162"/>
  <c r="F25" i="162" s="1"/>
  <c r="E26" i="151"/>
  <c r="C11" i="154" s="1"/>
  <c r="E18" i="151"/>
  <c r="E25" i="151" s="1"/>
  <c r="I38" i="144"/>
  <c r="E19" i="162" s="1"/>
  <c r="K38" i="144"/>
  <c r="G19" i="162" s="1"/>
  <c r="K40" i="146"/>
  <c r="I40" i="146"/>
  <c r="I40" i="144"/>
  <c r="K40" i="144"/>
  <c r="G26" i="162" l="1"/>
  <c r="E11" i="155" s="1"/>
  <c r="G18" i="162"/>
  <c r="G25" i="162" s="1"/>
  <c r="E32" i="154"/>
  <c r="E8" i="154"/>
  <c r="E26" i="162"/>
  <c r="C11" i="155" s="1"/>
  <c r="E18" i="162"/>
  <c r="E25" i="162" s="1"/>
  <c r="C8" i="154"/>
  <c r="C32" i="154"/>
  <c r="D8" i="155"/>
  <c r="D32" i="155"/>
  <c r="H55" i="146" l="1"/>
  <c r="E32" i="155"/>
  <c r="E8" i="155"/>
  <c r="C32" i="155"/>
  <c r="C8" i="155"/>
  <c r="H130" i="146" l="1"/>
  <c r="J104" i="85"/>
  <c r="G14" i="160"/>
  <c r="D36" i="186"/>
  <c r="D38" i="186" s="1"/>
  <c r="D40" i="186" s="1"/>
  <c r="J55" i="146"/>
  <c r="H58" i="146"/>
  <c r="J58" i="146" s="1"/>
  <c r="C55" i="146"/>
  <c r="C130" i="146" l="1"/>
  <c r="H133" i="146"/>
  <c r="J130" i="146"/>
  <c r="H56" i="146"/>
  <c r="J56" i="146" s="1"/>
  <c r="K19" i="151" s="1"/>
  <c r="I55" i="146"/>
  <c r="C56" i="146"/>
  <c r="C58" i="146" s="1"/>
  <c r="K55" i="146"/>
  <c r="I130" i="146" l="1"/>
  <c r="K130" i="146"/>
  <c r="C131" i="146"/>
  <c r="H131" i="146"/>
  <c r="J131" i="146" s="1"/>
  <c r="J133" i="146"/>
  <c r="K26" i="151"/>
  <c r="G11" i="154" s="1"/>
  <c r="K18" i="151"/>
  <c r="K25" i="151" s="1"/>
  <c r="I56" i="146"/>
  <c r="J19" i="151" s="1"/>
  <c r="K56" i="146"/>
  <c r="L19" i="151" s="1"/>
  <c r="I58" i="146"/>
  <c r="K58" i="146"/>
  <c r="I131" i="146" l="1"/>
  <c r="K131" i="146"/>
  <c r="C133" i="146"/>
  <c r="R249" i="120"/>
  <c r="R181" i="120"/>
  <c r="L18" i="151"/>
  <c r="L25" i="151" s="1"/>
  <c r="L26" i="151"/>
  <c r="H11" i="154" s="1"/>
  <c r="G8" i="154"/>
  <c r="G32" i="154"/>
  <c r="J18" i="151"/>
  <c r="J25" i="151" s="1"/>
  <c r="J26" i="151"/>
  <c r="F11" i="154" s="1"/>
  <c r="K133" i="146" l="1"/>
  <c r="I133" i="146"/>
  <c r="F32" i="154"/>
  <c r="F8" i="154"/>
  <c r="H8" i="154"/>
  <c r="H32" i="154"/>
  <c r="H57" i="154" s="1"/>
  <c r="R247" i="120" l="1"/>
  <c r="R179" i="120" l="1"/>
  <c r="R179" i="123"/>
  <c r="E10" i="8" l="1"/>
  <c r="E7" i="8" s="1"/>
  <c r="E91" i="8" s="1"/>
  <c r="E93" i="8" s="1"/>
  <c r="E99" i="8" s="1"/>
  <c r="F14" i="161" l="1"/>
  <c r="F58" i="145"/>
  <c r="F58" i="144"/>
  <c r="E12" i="149" l="1"/>
  <c r="F55" i="144"/>
  <c r="E12" i="147"/>
  <c r="F55" i="145"/>
  <c r="H24" i="163" l="1"/>
  <c r="E18" i="147"/>
  <c r="I9" i="150"/>
  <c r="I8" i="150" s="1"/>
  <c r="E18" i="149"/>
  <c r="I9" i="162"/>
  <c r="I8" i="162" s="1"/>
  <c r="H24" i="165"/>
  <c r="H22" i="165" l="1"/>
  <c r="H8" i="165" s="1"/>
  <c r="H10" i="165"/>
  <c r="H19" i="153"/>
  <c r="H17" i="153" s="1"/>
  <c r="J24" i="163"/>
  <c r="H19" i="155"/>
  <c r="H17" i="155" s="1"/>
  <c r="J24" i="165"/>
  <c r="H10" i="163"/>
  <c r="H22" i="163"/>
  <c r="H8" i="163" s="1"/>
  <c r="J10" i="163" l="1"/>
  <c r="J22" i="163"/>
  <c r="J8" i="163" s="1"/>
  <c r="J10" i="165"/>
  <c r="J22" i="165"/>
  <c r="J8" i="165" s="1"/>
  <c r="H14" i="196" l="1"/>
  <c r="H17" i="195" s="1"/>
  <c r="R140" i="120"/>
  <c r="R146" i="120"/>
  <c r="R142" i="120"/>
  <c r="D37" i="198"/>
  <c r="H73" i="145"/>
  <c r="N104" i="85" l="1"/>
  <c r="H14" i="195"/>
  <c r="H18" i="143" s="1"/>
  <c r="D7" i="198"/>
  <c r="J73" i="145"/>
  <c r="H20" i="143" l="1"/>
  <c r="H22" i="143"/>
  <c r="H73" i="144"/>
  <c r="J73" i="144" s="1"/>
  <c r="D20" i="198" l="1"/>
  <c r="D32" i="198"/>
  <c r="D34" i="198"/>
  <c r="D31" i="198" l="1"/>
  <c r="D26" i="198"/>
  <c r="D30" i="198"/>
  <c r="D29" i="198" l="1"/>
  <c r="D27" i="198" s="1"/>
  <c r="C35" i="199" l="1"/>
  <c r="C35" i="200"/>
  <c r="D18" i="198" l="1"/>
  <c r="C73" i="145" l="1"/>
  <c r="D23" i="198" l="1"/>
  <c r="D19" i="198" s="1"/>
  <c r="D36" i="198" s="1"/>
  <c r="D38" i="198" s="1"/>
  <c r="D40" i="198" s="1"/>
  <c r="K73" i="145"/>
  <c r="I73" i="145"/>
  <c r="C73" i="144"/>
  <c r="H14" i="161"/>
  <c r="K73" i="144" l="1"/>
  <c r="I73" i="144"/>
  <c r="E10" i="185" l="1"/>
  <c r="E10" i="198" l="1"/>
  <c r="D58" i="144" l="1"/>
  <c r="D58" i="145"/>
  <c r="R74" i="117" l="1"/>
  <c r="R75" i="117" s="1"/>
  <c r="AJ30" i="3"/>
  <c r="D55" i="145"/>
  <c r="D55" i="144" l="1"/>
  <c r="G13" i="123"/>
  <c r="G14" i="25" l="1"/>
  <c r="H55" i="145"/>
  <c r="C55" i="145" l="1"/>
  <c r="G14" i="159"/>
  <c r="J55" i="145"/>
  <c r="H58" i="145"/>
  <c r="J58" i="145" s="1"/>
  <c r="H55" i="144" l="1"/>
  <c r="J55" i="144" s="1"/>
  <c r="I55" i="145"/>
  <c r="K55" i="145"/>
  <c r="C56" i="145"/>
  <c r="H56" i="145"/>
  <c r="J56" i="145" s="1"/>
  <c r="K19" i="150" s="1"/>
  <c r="C55" i="144" l="1"/>
  <c r="C56" i="144" s="1"/>
  <c r="G14" i="161"/>
  <c r="H58" i="144"/>
  <c r="J58" i="144" s="1"/>
  <c r="K56" i="145"/>
  <c r="L19" i="150" s="1"/>
  <c r="I56" i="145"/>
  <c r="J19" i="150" s="1"/>
  <c r="R257" i="117"/>
  <c r="K18" i="150"/>
  <c r="K25" i="150" s="1"/>
  <c r="K26" i="150"/>
  <c r="G11" i="153" s="1"/>
  <c r="C58" i="145"/>
  <c r="K55" i="144" l="1"/>
  <c r="I55" i="144"/>
  <c r="H56" i="144"/>
  <c r="J56" i="144" s="1"/>
  <c r="K19" i="162" s="1"/>
  <c r="K18" i="162" s="1"/>
  <c r="K25" i="162" s="1"/>
  <c r="G32" i="153"/>
  <c r="G8" i="153"/>
  <c r="L18" i="150"/>
  <c r="L25" i="150" s="1"/>
  <c r="L26" i="150"/>
  <c r="H11" i="153" s="1"/>
  <c r="I56" i="144"/>
  <c r="J19" i="162" s="1"/>
  <c r="J18" i="150"/>
  <c r="J25" i="150" s="1"/>
  <c r="J26" i="150"/>
  <c r="F11" i="153" s="1"/>
  <c r="K58" i="145"/>
  <c r="I58" i="145"/>
  <c r="C58" i="144"/>
  <c r="K56" i="144" l="1"/>
  <c r="L19" i="162" s="1"/>
  <c r="L26" i="162" s="1"/>
  <c r="H11" i="155" s="1"/>
  <c r="K26" i="162"/>
  <c r="G11" i="155" s="1"/>
  <c r="F8" i="153"/>
  <c r="F32" i="153"/>
  <c r="I58" i="144"/>
  <c r="K58" i="144"/>
  <c r="H8" i="153"/>
  <c r="H32" i="153"/>
  <c r="H57" i="153" s="1"/>
  <c r="J18" i="162"/>
  <c r="J25" i="162" s="1"/>
  <c r="J26" i="162"/>
  <c r="F11" i="155" s="1"/>
  <c r="L18" i="162" l="1"/>
  <c r="L25" i="162" s="1"/>
  <c r="G8" i="155"/>
  <c r="G32" i="155"/>
  <c r="F8" i="155"/>
  <c r="F32" i="155"/>
  <c r="H8" i="155"/>
  <c r="H32" i="155"/>
  <c r="H57" i="155" l="1"/>
  <c r="R146" i="117"/>
  <c r="R139" i="117" s="1"/>
  <c r="R250" i="117" l="1"/>
  <c r="H104" i="171" l="1"/>
  <c r="J104" i="171"/>
  <c r="H130" i="145"/>
  <c r="D14" i="210"/>
  <c r="H92" i="145"/>
  <c r="H104" i="177" l="1"/>
  <c r="J104" i="82"/>
  <c r="C130" i="145"/>
  <c r="H133" i="145"/>
  <c r="C92" i="145"/>
  <c r="H95" i="145"/>
  <c r="J95" i="145" s="1"/>
  <c r="J92" i="145"/>
  <c r="H131" i="145" l="1"/>
  <c r="J131" i="145" s="1"/>
  <c r="C130" i="144"/>
  <c r="H130" i="144"/>
  <c r="C131" i="145"/>
  <c r="C133" i="145" s="1"/>
  <c r="K130" i="145"/>
  <c r="H93" i="145"/>
  <c r="J93" i="145" s="1"/>
  <c r="P19" i="150" s="1"/>
  <c r="P18" i="150" s="1"/>
  <c r="P25" i="150" s="1"/>
  <c r="C93" i="145"/>
  <c r="I92" i="145"/>
  <c r="K92" i="145"/>
  <c r="K133" i="145" l="1"/>
  <c r="C131" i="144"/>
  <c r="C133" i="144" s="1"/>
  <c r="K130" i="144"/>
  <c r="H133" i="144"/>
  <c r="K131" i="145"/>
  <c r="I131" i="145"/>
  <c r="P26" i="150"/>
  <c r="J11" i="153" s="1"/>
  <c r="J8" i="153" s="1"/>
  <c r="I93" i="145"/>
  <c r="O19" i="150" s="1"/>
  <c r="K93" i="145"/>
  <c r="Q19" i="150" s="1"/>
  <c r="C95" i="145"/>
  <c r="I131" i="144" l="1"/>
  <c r="K133" i="144"/>
  <c r="H131" i="144"/>
  <c r="J131" i="144" s="1"/>
  <c r="J32" i="153"/>
  <c r="I95" i="145"/>
  <c r="K95" i="145"/>
  <c r="Q18" i="150"/>
  <c r="Q25" i="150" s="1"/>
  <c r="Q26" i="150"/>
  <c r="K11" i="153" s="1"/>
  <c r="O18" i="150"/>
  <c r="O25" i="150" s="1"/>
  <c r="O26" i="150"/>
  <c r="I11" i="153" s="1"/>
  <c r="K131" i="144" l="1"/>
  <c r="I8" i="153"/>
  <c r="I32" i="153"/>
  <c r="K8" i="153"/>
  <c r="K32" i="153"/>
  <c r="R146" i="123" l="1"/>
  <c r="R142" i="123" l="1"/>
  <c r="R140" i="123"/>
  <c r="R249" i="123" l="1"/>
  <c r="R254" i="123"/>
  <c r="R247" i="123"/>
  <c r="R185" i="120" l="1"/>
  <c r="R185" i="123" l="1"/>
  <c r="H191" i="146" l="1"/>
  <c r="C191" i="146" l="1"/>
  <c r="D14" i="196"/>
  <c r="J191" i="146"/>
  <c r="H194" i="146"/>
  <c r="J194" i="146" s="1"/>
  <c r="H192" i="146" l="1"/>
  <c r="J192" i="146" s="1"/>
  <c r="AJ19" i="151" s="1"/>
  <c r="AJ26" i="151" s="1"/>
  <c r="V11" i="154" s="1"/>
  <c r="D14" i="195"/>
  <c r="D18" i="143" s="1"/>
  <c r="D20" i="143" s="1"/>
  <c r="K191" i="146"/>
  <c r="C192" i="146"/>
  <c r="I191" i="146"/>
  <c r="AJ18" i="151" l="1"/>
  <c r="AJ25" i="151" s="1"/>
  <c r="K192" i="146"/>
  <c r="AK19" i="151" s="1"/>
  <c r="I192" i="146"/>
  <c r="AI19" i="151" s="1"/>
  <c r="C194" i="146"/>
  <c r="V32" i="154"/>
  <c r="V8" i="154"/>
  <c r="I194" i="146" l="1"/>
  <c r="K194" i="146"/>
  <c r="AI18" i="151"/>
  <c r="AI25" i="151" s="1"/>
  <c r="AI26" i="151"/>
  <c r="U11" i="154" s="1"/>
  <c r="AK26" i="151"/>
  <c r="W11" i="154" s="1"/>
  <c r="AK18" i="151"/>
  <c r="AK25" i="151" s="1"/>
  <c r="U32" i="154" l="1"/>
  <c r="U8" i="154"/>
  <c r="W32" i="154"/>
  <c r="W8" i="154"/>
  <c r="R250" i="120" l="1"/>
  <c r="R250" i="123" l="1"/>
  <c r="R246" i="123" l="1"/>
  <c r="H92" i="146" l="1"/>
  <c r="H104" i="85" l="1"/>
  <c r="H104" i="82"/>
  <c r="H104" i="81"/>
  <c r="C92" i="146"/>
  <c r="J92" i="146"/>
  <c r="H95" i="146"/>
  <c r="J95" i="146" s="1"/>
  <c r="C92" i="144" l="1"/>
  <c r="H93" i="146"/>
  <c r="J93" i="146" s="1"/>
  <c r="P19" i="151" s="1"/>
  <c r="C93" i="146"/>
  <c r="I92" i="146"/>
  <c r="K92" i="146"/>
  <c r="H92" i="144"/>
  <c r="P18" i="151" l="1"/>
  <c r="P25" i="151" s="1"/>
  <c r="P26" i="151"/>
  <c r="J11" i="154" s="1"/>
  <c r="K92" i="144"/>
  <c r="I92" i="144"/>
  <c r="C93" i="144"/>
  <c r="C95" i="144" s="1"/>
  <c r="K93" i="146"/>
  <c r="Q19" i="151" s="1"/>
  <c r="I93" i="146"/>
  <c r="O19" i="151" s="1"/>
  <c r="H95" i="144"/>
  <c r="J95" i="144" s="1"/>
  <c r="J92" i="144"/>
  <c r="C95" i="146"/>
  <c r="K95" i="146" l="1"/>
  <c r="I95" i="146"/>
  <c r="Q18" i="151"/>
  <c r="Q25" i="151" s="1"/>
  <c r="Q26" i="151"/>
  <c r="K11" i="154" s="1"/>
  <c r="H93" i="144"/>
  <c r="J93" i="144" s="1"/>
  <c r="P19" i="162" s="1"/>
  <c r="I93" i="144"/>
  <c r="O19" i="162" s="1"/>
  <c r="J32" i="154"/>
  <c r="J8" i="154"/>
  <c r="O26" i="151"/>
  <c r="I11" i="154" s="1"/>
  <c r="O18" i="151"/>
  <c r="O25" i="151" s="1"/>
  <c r="K95" i="144"/>
  <c r="I95" i="144"/>
  <c r="K32" i="154" l="1"/>
  <c r="K8" i="154"/>
  <c r="O26" i="162"/>
  <c r="I11" i="155" s="1"/>
  <c r="O18" i="162"/>
  <c r="O25" i="162" s="1"/>
  <c r="I8" i="154"/>
  <c r="I32" i="154"/>
  <c r="K93" i="144"/>
  <c r="Q19" i="162" s="1"/>
  <c r="P18" i="162"/>
  <c r="P25" i="162" s="1"/>
  <c r="P26" i="162"/>
  <c r="J11" i="155" s="1"/>
  <c r="Q18" i="162" l="1"/>
  <c r="Q25" i="162" s="1"/>
  <c r="Q26" i="162"/>
  <c r="K11" i="155" s="1"/>
  <c r="I8" i="155"/>
  <c r="I32" i="155"/>
  <c r="J8" i="155"/>
  <c r="J32" i="155"/>
  <c r="K8" i="155" l="1"/>
  <c r="K32" i="155"/>
  <c r="E93" i="123"/>
  <c r="E79" i="123" s="1"/>
  <c r="E92" i="123"/>
  <c r="E78" i="123" s="1"/>
  <c r="E88" i="120"/>
  <c r="E100" i="123"/>
  <c r="E86" i="123" s="1"/>
  <c r="E96" i="123"/>
  <c r="E82" i="123" s="1"/>
  <c r="E111" i="120"/>
  <c r="E261" i="120" s="1"/>
  <c r="E97" i="123"/>
  <c r="E83" i="123" s="1"/>
  <c r="E107" i="120"/>
  <c r="E133" i="120" s="1"/>
  <c r="E105" i="120"/>
  <c r="E131" i="120" s="1"/>
  <c r="E134" i="120" l="1"/>
  <c r="E110" i="123"/>
  <c r="E107" i="123" s="1"/>
  <c r="E133" i="123" s="1"/>
  <c r="E114" i="123"/>
  <c r="E111" i="123" s="1"/>
  <c r="E134" i="123" s="1"/>
  <c r="E260" i="120"/>
  <c r="E91" i="123"/>
  <c r="E77" i="123" s="1"/>
  <c r="E104" i="120"/>
  <c r="E88" i="123"/>
  <c r="E102" i="120"/>
  <c r="E103" i="120" s="1"/>
  <c r="E105" i="123"/>
  <c r="E258" i="120"/>
  <c r="E74" i="120"/>
  <c r="E120" i="120"/>
  <c r="E267" i="120" s="1"/>
  <c r="E260" i="123" l="1"/>
  <c r="E261" i="123"/>
  <c r="E102" i="123"/>
  <c r="E103" i="123" s="1"/>
  <c r="E120" i="123"/>
  <c r="E267" i="123" s="1"/>
  <c r="E74" i="123"/>
  <c r="E257" i="120"/>
  <c r="E129" i="120"/>
  <c r="E124" i="120"/>
  <c r="E125" i="120"/>
  <c r="E258" i="123"/>
  <c r="E104" i="123"/>
  <c r="E122" i="123" s="1"/>
  <c r="E131" i="123"/>
  <c r="E122" i="120"/>
  <c r="E129" i="123" l="1"/>
  <c r="E257" i="123"/>
  <c r="E125" i="123"/>
  <c r="E124" i="123"/>
  <c r="E121" i="120"/>
  <c r="E121" i="123" l="1"/>
  <c r="H170" i="145" l="1"/>
  <c r="J170" i="145" l="1"/>
  <c r="R249" i="117" l="1"/>
  <c r="R246" i="117" s="1"/>
  <c r="R181" i="117"/>
  <c r="C170" i="145" l="1"/>
  <c r="E7" i="185"/>
  <c r="I170" i="145" l="1"/>
  <c r="F14" i="136" l="1"/>
  <c r="F14" i="137"/>
  <c r="R181" i="123"/>
  <c r="H191" i="145"/>
  <c r="F17" i="136" l="1"/>
  <c r="D14" i="136"/>
  <c r="J191" i="145"/>
  <c r="H190" i="144"/>
  <c r="H149" i="145"/>
  <c r="K104" i="177"/>
  <c r="D14" i="137"/>
  <c r="K104" i="171" l="1"/>
  <c r="C149" i="145"/>
  <c r="J149" i="145"/>
  <c r="J190" i="144"/>
  <c r="C191" i="145" l="1"/>
  <c r="D14" i="205"/>
  <c r="I149" i="145"/>
  <c r="C190" i="144" l="1"/>
  <c r="I191" i="145"/>
  <c r="I190" i="144" l="1"/>
  <c r="F170" i="144" l="1"/>
  <c r="F150" i="145" l="1"/>
  <c r="F171" i="145"/>
  <c r="H12" i="147"/>
  <c r="T24" i="163" s="1"/>
  <c r="F192" i="145"/>
  <c r="X9" i="150" l="1"/>
  <c r="X8" i="150" s="1"/>
  <c r="F149" i="145"/>
  <c r="K149" i="145" s="1"/>
  <c r="I12" i="147"/>
  <c r="F169" i="144"/>
  <c r="I12" i="149"/>
  <c r="J12" i="147"/>
  <c r="F191" i="145"/>
  <c r="T10" i="163"/>
  <c r="T22" i="163"/>
  <c r="T8" i="163" s="1"/>
  <c r="F170" i="145" l="1"/>
  <c r="C171" i="145" s="1"/>
  <c r="I171" i="145" s="1"/>
  <c r="AD19" i="150" s="1"/>
  <c r="C150" i="145"/>
  <c r="I150" i="145" s="1"/>
  <c r="Y19" i="150" s="1"/>
  <c r="H152" i="145"/>
  <c r="J152" i="145" s="1"/>
  <c r="F191" i="144"/>
  <c r="F149" i="144"/>
  <c r="AC9" i="150"/>
  <c r="AC8" i="150" s="1"/>
  <c r="X24" i="163"/>
  <c r="AC9" i="162"/>
  <c r="AC8" i="162" s="1"/>
  <c r="X24" i="165"/>
  <c r="AB24" i="163"/>
  <c r="AH9" i="150"/>
  <c r="AH8" i="150" s="1"/>
  <c r="H194" i="145"/>
  <c r="K191" i="145"/>
  <c r="C192" i="145"/>
  <c r="H14" i="136" l="1"/>
  <c r="H173" i="145"/>
  <c r="H171" i="145" s="1"/>
  <c r="K170" i="145"/>
  <c r="C152" i="145"/>
  <c r="I152" i="145" s="1"/>
  <c r="C173" i="145"/>
  <c r="I173" i="145" s="1"/>
  <c r="H150" i="145"/>
  <c r="J150" i="145" s="1"/>
  <c r="Z19" i="150" s="1"/>
  <c r="Z26" i="150" s="1"/>
  <c r="P11" i="153" s="1"/>
  <c r="J12" i="149"/>
  <c r="F190" i="144"/>
  <c r="Y26" i="150"/>
  <c r="O11" i="153" s="1"/>
  <c r="Y18" i="150"/>
  <c r="Y25" i="150" s="1"/>
  <c r="AB10" i="163"/>
  <c r="AB22" i="163"/>
  <c r="AB8" i="163" s="1"/>
  <c r="H12" i="149"/>
  <c r="F148" i="144"/>
  <c r="X22" i="165"/>
  <c r="X8" i="165" s="1"/>
  <c r="X10" i="165"/>
  <c r="AD18" i="150"/>
  <c r="AD25" i="150" s="1"/>
  <c r="AD26" i="150"/>
  <c r="R11" i="153" s="1"/>
  <c r="I192" i="145"/>
  <c r="AI19" i="150" s="1"/>
  <c r="C194" i="145"/>
  <c r="H192" i="145"/>
  <c r="J192" i="145" s="1"/>
  <c r="AJ19" i="150" s="1"/>
  <c r="J194" i="145"/>
  <c r="X22" i="163"/>
  <c r="X8" i="163" s="1"/>
  <c r="X10" i="163"/>
  <c r="J173" i="145" l="1"/>
  <c r="H16" i="205"/>
  <c r="N104" i="171"/>
  <c r="K152" i="145"/>
  <c r="Z18" i="150"/>
  <c r="Z25" i="150" s="1"/>
  <c r="K173" i="145"/>
  <c r="N104" i="82"/>
  <c r="H14" i="137"/>
  <c r="K150" i="145"/>
  <c r="AA19" i="150" s="1"/>
  <c r="AA26" i="150" s="1"/>
  <c r="Q11" i="153" s="1"/>
  <c r="L150" i="145"/>
  <c r="C191" i="144"/>
  <c r="H193" i="144"/>
  <c r="K190" i="144"/>
  <c r="AH9" i="162"/>
  <c r="AH8" i="162" s="1"/>
  <c r="AB24" i="165"/>
  <c r="K192" i="145"/>
  <c r="AK19" i="150" s="1"/>
  <c r="AI18" i="150"/>
  <c r="AI25" i="150" s="1"/>
  <c r="AI26" i="150"/>
  <c r="U11" i="153" s="1"/>
  <c r="X9" i="162"/>
  <c r="X8" i="162" s="1"/>
  <c r="T24" i="165"/>
  <c r="J171" i="145"/>
  <c r="AE19" i="150" s="1"/>
  <c r="K171" i="145"/>
  <c r="AF19" i="150" s="1"/>
  <c r="AJ26" i="150"/>
  <c r="V11" i="153" s="1"/>
  <c r="AJ18" i="150"/>
  <c r="AJ25" i="150" s="1"/>
  <c r="R8" i="153"/>
  <c r="P8" i="153"/>
  <c r="K194" i="145"/>
  <c r="I194" i="145"/>
  <c r="O8" i="153"/>
  <c r="H16" i="210" l="1"/>
  <c r="H17" i="136"/>
  <c r="AA18" i="150"/>
  <c r="AA25" i="150" s="1"/>
  <c r="H14" i="210"/>
  <c r="H17" i="205" s="1"/>
  <c r="AB22" i="165"/>
  <c r="AB8" i="165" s="1"/>
  <c r="AB10" i="165"/>
  <c r="H191" i="144"/>
  <c r="J191" i="144" s="1"/>
  <c r="AJ19" i="162" s="1"/>
  <c r="J193" i="144"/>
  <c r="I191" i="144"/>
  <c r="AI19" i="162" s="1"/>
  <c r="C193" i="144"/>
  <c r="AE26" i="150"/>
  <c r="S11" i="153" s="1"/>
  <c r="AE18" i="150"/>
  <c r="AE25" i="150" s="1"/>
  <c r="Q8" i="153"/>
  <c r="V8" i="153"/>
  <c r="AK26" i="150"/>
  <c r="W11" i="153" s="1"/>
  <c r="AK18" i="150"/>
  <c r="AK25" i="150" s="1"/>
  <c r="U8" i="153"/>
  <c r="T10" i="165"/>
  <c r="T22" i="165"/>
  <c r="T8" i="165" s="1"/>
  <c r="AF26" i="150"/>
  <c r="T11" i="153" s="1"/>
  <c r="AF18" i="150"/>
  <c r="AF25" i="150" s="1"/>
  <c r="H14" i="205" l="1"/>
  <c r="I193" i="144"/>
  <c r="K193" i="144"/>
  <c r="AI18" i="162"/>
  <c r="AI25" i="162" s="1"/>
  <c r="AI26" i="162"/>
  <c r="U11" i="155" s="1"/>
  <c r="AJ26" i="162"/>
  <c r="V11" i="155" s="1"/>
  <c r="AJ18" i="162"/>
  <c r="AJ25" i="162" s="1"/>
  <c r="K191" i="144"/>
  <c r="AK19" i="162" s="1"/>
  <c r="T8" i="153"/>
  <c r="W8" i="153"/>
  <c r="S8" i="153"/>
  <c r="U8" i="155" l="1"/>
  <c r="AK26" i="162"/>
  <c r="W11" i="155" s="1"/>
  <c r="AK18" i="162"/>
  <c r="AK25" i="162" s="1"/>
  <c r="V8" i="155"/>
  <c r="W8" i="155" l="1"/>
  <c r="R153" i="123" l="1"/>
  <c r="R192" i="117" l="1"/>
  <c r="R192" i="123" l="1"/>
  <c r="R192" i="120" l="1"/>
  <c r="R254" i="120" l="1"/>
  <c r="R246" i="120" l="1"/>
  <c r="H170" i="146" l="1"/>
  <c r="C170" i="146" l="1"/>
  <c r="F14" i="196"/>
  <c r="H149" i="146"/>
  <c r="H169" i="144"/>
  <c r="H173" i="146"/>
  <c r="J173" i="146" s="1"/>
  <c r="J170" i="146"/>
  <c r="F17" i="195" l="1"/>
  <c r="F16" i="210"/>
  <c r="K104" i="82"/>
  <c r="K104" i="85"/>
  <c r="H171" i="146"/>
  <c r="J171" i="146" s="1"/>
  <c r="AE19" i="151" s="1"/>
  <c r="J149" i="146"/>
  <c r="H152" i="146"/>
  <c r="J152" i="146" s="1"/>
  <c r="C169" i="144"/>
  <c r="F14" i="195"/>
  <c r="E7" i="186"/>
  <c r="C171" i="146"/>
  <c r="C173" i="146" s="1"/>
  <c r="K170" i="146"/>
  <c r="I170" i="146"/>
  <c r="F14" i="210"/>
  <c r="F17" i="205" s="1"/>
  <c r="J169" i="144"/>
  <c r="H172" i="144"/>
  <c r="J172" i="144" s="1"/>
  <c r="C149" i="146"/>
  <c r="F16" i="205" l="1"/>
  <c r="C150" i="146"/>
  <c r="C152" i="146" s="1"/>
  <c r="K149" i="146"/>
  <c r="I149" i="146"/>
  <c r="E36" i="186"/>
  <c r="E7" i="198"/>
  <c r="H170" i="144"/>
  <c r="J170" i="144" s="1"/>
  <c r="AE19" i="162" s="1"/>
  <c r="H150" i="146"/>
  <c r="J150" i="146" s="1"/>
  <c r="Z19" i="151" s="1"/>
  <c r="K173" i="146"/>
  <c r="I173" i="146"/>
  <c r="F14" i="205"/>
  <c r="H148" i="144"/>
  <c r="C148" i="144"/>
  <c r="I171" i="146"/>
  <c r="AD19" i="151" s="1"/>
  <c r="K171" i="146"/>
  <c r="AF19" i="151" s="1"/>
  <c r="I169" i="144"/>
  <c r="K169" i="144"/>
  <c r="C170" i="144"/>
  <c r="C172" i="144" s="1"/>
  <c r="AE26" i="151"/>
  <c r="S11" i="154" s="1"/>
  <c r="AE18" i="151"/>
  <c r="AE25" i="151" s="1"/>
  <c r="F18" i="143" l="1"/>
  <c r="K172" i="144"/>
  <c r="I172" i="144"/>
  <c r="I148" i="144"/>
  <c r="C149" i="144"/>
  <c r="K148" i="144"/>
  <c r="J148" i="144"/>
  <c r="H151" i="144"/>
  <c r="J151" i="144" s="1"/>
  <c r="AF18" i="151"/>
  <c r="AF25" i="151" s="1"/>
  <c r="AF26" i="151"/>
  <c r="T11" i="154" s="1"/>
  <c r="Z26" i="151"/>
  <c r="P11" i="154" s="1"/>
  <c r="Z18" i="151"/>
  <c r="Z25" i="151" s="1"/>
  <c r="I152" i="146"/>
  <c r="K152" i="146"/>
  <c r="S8" i="154"/>
  <c r="S32" i="154"/>
  <c r="I170" i="144"/>
  <c r="AD19" i="162" s="1"/>
  <c r="K170" i="144"/>
  <c r="AF19" i="162" s="1"/>
  <c r="AD26" i="151"/>
  <c r="R11" i="154" s="1"/>
  <c r="AD18" i="151"/>
  <c r="AD25" i="151" s="1"/>
  <c r="AE18" i="162"/>
  <c r="AE25" i="162" s="1"/>
  <c r="AE26" i="162"/>
  <c r="S11" i="155" s="1"/>
  <c r="E57" i="186"/>
  <c r="K47" i="186"/>
  <c r="K49" i="186" s="1"/>
  <c r="E38" i="186"/>
  <c r="E40" i="186" s="1"/>
  <c r="I150" i="146"/>
  <c r="Y19" i="151" s="1"/>
  <c r="L150" i="146"/>
  <c r="K150" i="146"/>
  <c r="AA19" i="151" s="1"/>
  <c r="F20" i="143" l="1"/>
  <c r="F22" i="143"/>
  <c r="Y26" i="151"/>
  <c r="O11" i="154" s="1"/>
  <c r="Y18" i="151"/>
  <c r="Y25" i="151" s="1"/>
  <c r="AA18" i="151"/>
  <c r="AA25" i="151" s="1"/>
  <c r="AA26" i="151"/>
  <c r="Q11" i="154" s="1"/>
  <c r="I149" i="144"/>
  <c r="Y19" i="162" s="1"/>
  <c r="R32" i="154"/>
  <c r="R8" i="154"/>
  <c r="P32" i="154"/>
  <c r="P8" i="154"/>
  <c r="T8" i="154"/>
  <c r="T32" i="154"/>
  <c r="S8" i="155"/>
  <c r="AF18" i="162"/>
  <c r="AF25" i="162" s="1"/>
  <c r="AF26" i="162"/>
  <c r="T11" i="155" s="1"/>
  <c r="E41" i="186"/>
  <c r="AD18" i="162"/>
  <c r="AD25" i="162" s="1"/>
  <c r="AD26" i="162"/>
  <c r="R11" i="155" s="1"/>
  <c r="H149" i="144"/>
  <c r="J149" i="144" s="1"/>
  <c r="Z19" i="162" s="1"/>
  <c r="C151" i="144"/>
  <c r="K149" i="144" l="1"/>
  <c r="AA19" i="162" s="1"/>
  <c r="AA26" i="162" s="1"/>
  <c r="Q11" i="155" s="1"/>
  <c r="K151" i="144"/>
  <c r="I151" i="144"/>
  <c r="R8" i="155"/>
  <c r="Z26" i="162"/>
  <c r="P11" i="155" s="1"/>
  <c r="Z18" i="162"/>
  <c r="Z25" i="162" s="1"/>
  <c r="L149" i="144"/>
  <c r="Q8" i="154"/>
  <c r="Q32" i="154"/>
  <c r="T8" i="155"/>
  <c r="Y18" i="162"/>
  <c r="Y25" i="162" s="1"/>
  <c r="Y26" i="162"/>
  <c r="O11" i="155" s="1"/>
  <c r="O32" i="154"/>
  <c r="O8" i="154"/>
  <c r="AA18" i="162" l="1"/>
  <c r="AA25" i="162" s="1"/>
  <c r="O8" i="155"/>
  <c r="P8" i="155"/>
  <c r="Q8" i="155"/>
  <c r="D133" i="144" l="1"/>
  <c r="D133" i="145"/>
  <c r="J133" i="145" l="1"/>
  <c r="I133" i="145"/>
  <c r="D130" i="144"/>
  <c r="J133" i="144"/>
  <c r="I133" i="144"/>
  <c r="J130" i="144" l="1"/>
  <c r="I130" i="144"/>
  <c r="D130" i="145"/>
  <c r="J130" i="145" l="1"/>
  <c r="I130" i="145"/>
  <c r="CN29" i="69" l="1"/>
  <c r="C111" i="144" l="1"/>
  <c r="C111" i="145" l="1"/>
  <c r="C112" i="144"/>
  <c r="I111" i="144"/>
  <c r="K111" i="144"/>
  <c r="K111" i="145" l="1"/>
  <c r="I111" i="145"/>
  <c r="C112" i="145"/>
  <c r="C114" i="145" s="1"/>
  <c r="K112" i="144"/>
  <c r="V19" i="162" s="1"/>
  <c r="I112" i="144"/>
  <c r="T19" i="162" s="1"/>
  <c r="C114" i="144"/>
  <c r="I114" i="145" l="1"/>
  <c r="K114" i="145"/>
  <c r="K112" i="145"/>
  <c r="V19" i="150" s="1"/>
  <c r="I112" i="145"/>
  <c r="T19" i="150" s="1"/>
  <c r="I114" i="144"/>
  <c r="K114" i="144"/>
  <c r="T26" i="162"/>
  <c r="L11" i="155" s="1"/>
  <c r="T18" i="162"/>
  <c r="T25" i="162" s="1"/>
  <c r="V26" i="162"/>
  <c r="N11" i="155" s="1"/>
  <c r="V18" i="162"/>
  <c r="V25" i="162" s="1"/>
  <c r="N8" i="155" l="1"/>
  <c r="N32" i="155"/>
  <c r="T18" i="150"/>
  <c r="T25" i="150" s="1"/>
  <c r="T26" i="150"/>
  <c r="L11" i="153" s="1"/>
  <c r="L8" i="155"/>
  <c r="L32" i="155"/>
  <c r="V18" i="150"/>
  <c r="V25" i="150" s="1"/>
  <c r="V26" i="150"/>
  <c r="N11" i="153" s="1"/>
  <c r="N8" i="153" l="1"/>
  <c r="L8" i="153"/>
  <c r="J104" i="172" l="1"/>
  <c r="D21" i="135"/>
  <c r="D23" i="135" s="1"/>
  <c r="D21" i="133"/>
  <c r="D23" i="133" s="1"/>
  <c r="D21" i="204" l="1"/>
  <c r="D23" i="204" s="1"/>
  <c r="D21" i="209"/>
  <c r="D23" i="209" s="1"/>
  <c r="H23" i="135" l="1"/>
  <c r="H26" i="209" l="1"/>
  <c r="H26" i="133"/>
  <c r="J104" i="175"/>
  <c r="J104" i="173" l="1"/>
  <c r="J104" i="176"/>
  <c r="K104" i="173" l="1"/>
  <c r="K104" i="175"/>
  <c r="J104" i="177"/>
  <c r="N104" i="173" l="1"/>
  <c r="L104" i="175"/>
  <c r="G8" i="147"/>
  <c r="N104" i="177"/>
  <c r="K104" i="179" l="1"/>
  <c r="H8" i="147"/>
  <c r="G18" i="147"/>
  <c r="G15" i="147"/>
  <c r="E26" i="185"/>
  <c r="J104" i="81" l="1"/>
  <c r="Q24" i="163"/>
  <c r="G17" i="147"/>
  <c r="M19" i="153" s="1"/>
  <c r="L19" i="153"/>
  <c r="J8" i="147"/>
  <c r="N19" i="153"/>
  <c r="R24" i="163"/>
  <c r="N104" i="179"/>
  <c r="J104" i="179"/>
  <c r="H18" i="147"/>
  <c r="H15" i="147"/>
  <c r="N104" i="81"/>
  <c r="E19" i="185"/>
  <c r="E36" i="185" s="1"/>
  <c r="E26" i="198"/>
  <c r="E19" i="198" s="1"/>
  <c r="E36" i="198" s="1"/>
  <c r="H8" i="149"/>
  <c r="E35" i="199"/>
  <c r="E35" i="128" l="1"/>
  <c r="E38" i="185"/>
  <c r="E40" i="185" s="1"/>
  <c r="E41" i="185" s="1"/>
  <c r="E57" i="185"/>
  <c r="K47" i="185"/>
  <c r="K49" i="185" s="1"/>
  <c r="V24" i="163"/>
  <c r="Q19" i="153"/>
  <c r="J8" i="149"/>
  <c r="H18" i="149"/>
  <c r="H15" i="149"/>
  <c r="L32" i="153"/>
  <c r="L17" i="153"/>
  <c r="R22" i="163"/>
  <c r="R8" i="163" s="1"/>
  <c r="R10" i="163"/>
  <c r="M32" i="153"/>
  <c r="M17" i="153"/>
  <c r="E57" i="198"/>
  <c r="K47" i="198"/>
  <c r="K49" i="198" s="1"/>
  <c r="E38" i="198"/>
  <c r="E40" i="198" s="1"/>
  <c r="E41" i="198" s="1"/>
  <c r="H17" i="147"/>
  <c r="P19" i="153" s="1"/>
  <c r="O19" i="153"/>
  <c r="U24" i="163"/>
  <c r="N17" i="153"/>
  <c r="N32" i="153"/>
  <c r="E35" i="130"/>
  <c r="J15" i="147"/>
  <c r="J18" i="147"/>
  <c r="Q10" i="163"/>
  <c r="Q22" i="163"/>
  <c r="Q8" i="163" s="1"/>
  <c r="Q17" i="153" l="1"/>
  <c r="Q32" i="153"/>
  <c r="O32" i="153"/>
  <c r="O17" i="153"/>
  <c r="E35" i="201"/>
  <c r="U24" i="165"/>
  <c r="O19" i="155"/>
  <c r="H17" i="149"/>
  <c r="P19" i="155" s="1"/>
  <c r="J15" i="149"/>
  <c r="J18" i="149"/>
  <c r="V10" i="163"/>
  <c r="V22" i="163"/>
  <c r="V8" i="163" s="1"/>
  <c r="W19" i="153"/>
  <c r="AD24" i="163"/>
  <c r="P17" i="153"/>
  <c r="P32" i="153"/>
  <c r="V24" i="165"/>
  <c r="Q19" i="155"/>
  <c r="K104" i="81"/>
  <c r="U10" i="163"/>
  <c r="U22" i="163"/>
  <c r="U8" i="163" s="1"/>
  <c r="J17" i="147"/>
  <c r="V19" i="153" s="1"/>
  <c r="AC24" i="163"/>
  <c r="U19" i="153"/>
  <c r="I8" i="147"/>
  <c r="I8" i="149" l="1"/>
  <c r="AC22" i="163"/>
  <c r="AC8" i="163" s="1"/>
  <c r="AC10" i="163"/>
  <c r="AD10" i="163"/>
  <c r="AD22" i="163"/>
  <c r="AD8" i="163" s="1"/>
  <c r="V17" i="153"/>
  <c r="V32" i="153"/>
  <c r="W17" i="153"/>
  <c r="W32" i="153"/>
  <c r="O32" i="155"/>
  <c r="O17" i="155"/>
  <c r="U17" i="153"/>
  <c r="U32" i="153"/>
  <c r="V22" i="165"/>
  <c r="V8" i="165" s="1"/>
  <c r="V10" i="165"/>
  <c r="U19" i="155"/>
  <c r="J17" i="149"/>
  <c r="V19" i="155" s="1"/>
  <c r="AC24" i="165"/>
  <c r="D18" i="142"/>
  <c r="P17" i="155"/>
  <c r="P32" i="155"/>
  <c r="I18" i="147"/>
  <c r="I15" i="147"/>
  <c r="Q32" i="155"/>
  <c r="Q17" i="155"/>
  <c r="W19" i="155"/>
  <c r="AD24" i="165"/>
  <c r="U10" i="165"/>
  <c r="U22" i="165"/>
  <c r="U8" i="165" s="1"/>
  <c r="D20" i="142" l="1"/>
  <c r="D24" i="206"/>
  <c r="Z24" i="163"/>
  <c r="T19" i="153"/>
  <c r="I17" i="132"/>
  <c r="U32" i="155"/>
  <c r="U17" i="155"/>
  <c r="AD22" i="165"/>
  <c r="AD8" i="165" s="1"/>
  <c r="AD10" i="165"/>
  <c r="W17" i="155"/>
  <c r="W32" i="155"/>
  <c r="AC10" i="165"/>
  <c r="AC22" i="165"/>
  <c r="AC8" i="165" s="1"/>
  <c r="I15" i="149"/>
  <c r="I18" i="149"/>
  <c r="I17" i="147"/>
  <c r="S19" i="153" s="1"/>
  <c r="R19" i="153"/>
  <c r="Y24" i="163"/>
  <c r="H17" i="132"/>
  <c r="V32" i="155"/>
  <c r="V17" i="155"/>
  <c r="D18" i="206"/>
  <c r="D20" i="206" s="1"/>
  <c r="I17" i="203" l="1"/>
  <c r="H17" i="203"/>
  <c r="T19" i="155"/>
  <c r="Z24" i="165"/>
  <c r="T32" i="153"/>
  <c r="T17" i="153"/>
  <c r="R32" i="153"/>
  <c r="R17" i="153"/>
  <c r="H18" i="142"/>
  <c r="H24" i="206" s="1"/>
  <c r="F18" i="142"/>
  <c r="F24" i="206" s="1"/>
  <c r="S32" i="153"/>
  <c r="S17" i="153"/>
  <c r="H25" i="185"/>
  <c r="H25" i="198" s="1"/>
  <c r="F15" i="185"/>
  <c r="F15" i="198" s="1"/>
  <c r="F13" i="185"/>
  <c r="F13" i="198" s="1"/>
  <c r="F14" i="185"/>
  <c r="F14" i="198" s="1"/>
  <c r="H13" i="185"/>
  <c r="H13" i="198" s="1"/>
  <c r="F25" i="185"/>
  <c r="F25" i="198" s="1"/>
  <c r="F24" i="185"/>
  <c r="H15" i="185"/>
  <c r="H15" i="198" s="1"/>
  <c r="H12" i="186"/>
  <c r="H36" i="186" s="1"/>
  <c r="H38" i="186" s="1"/>
  <c r="H12" i="185"/>
  <c r="H24" i="185"/>
  <c r="H14" i="185"/>
  <c r="H14" i="198" s="1"/>
  <c r="F12" i="185"/>
  <c r="F12" i="186"/>
  <c r="F36" i="186" s="1"/>
  <c r="F38" i="186" s="1"/>
  <c r="F26" i="185"/>
  <c r="F26" i="198" s="1"/>
  <c r="H26" i="185"/>
  <c r="H26" i="198" s="1"/>
  <c r="Y10" i="163"/>
  <c r="Y22" i="163"/>
  <c r="Y8" i="163" s="1"/>
  <c r="R19" i="155"/>
  <c r="Y24" i="165"/>
  <c r="I17" i="149"/>
  <c r="S19" i="155" s="1"/>
  <c r="Z22" i="163"/>
  <c r="Z8" i="163" s="1"/>
  <c r="Z10" i="163"/>
  <c r="H17" i="215" l="1"/>
  <c r="H21" i="215"/>
  <c r="F20" i="142"/>
  <c r="F22" i="142"/>
  <c r="H20" i="142"/>
  <c r="H22" i="142"/>
  <c r="K38" i="186"/>
  <c r="F40" i="186"/>
  <c r="F41" i="186" s="1"/>
  <c r="Z10" i="165"/>
  <c r="Z22" i="165"/>
  <c r="Z8" i="165" s="1"/>
  <c r="S17" i="155"/>
  <c r="S32" i="155"/>
  <c r="F12" i="198"/>
  <c r="L38" i="186"/>
  <c r="H40" i="186"/>
  <c r="T17" i="155"/>
  <c r="T32" i="155"/>
  <c r="I17" i="215"/>
  <c r="H12" i="198"/>
  <c r="Y10" i="165"/>
  <c r="Y22" i="165"/>
  <c r="Y8" i="165" s="1"/>
  <c r="F18" i="206"/>
  <c r="R32" i="155"/>
  <c r="R17" i="155"/>
  <c r="H19" i="185"/>
  <c r="H36" i="185" s="1"/>
  <c r="H38" i="185" s="1"/>
  <c r="H40" i="185" s="1"/>
  <c r="H24" i="198"/>
  <c r="H19" i="198" s="1"/>
  <c r="F19" i="185"/>
  <c r="F36" i="185" s="1"/>
  <c r="F38" i="185" s="1"/>
  <c r="F40" i="185" s="1"/>
  <c r="F41" i="185" s="1"/>
  <c r="F24" i="198"/>
  <c r="F19" i="198" s="1"/>
  <c r="H18" i="206"/>
  <c r="F20" i="206" l="1"/>
  <c r="F22" i="206"/>
  <c r="H20" i="206"/>
  <c r="H22" i="206"/>
  <c r="F36" i="198"/>
  <c r="F38" i="198" s="1"/>
  <c r="F40" i="198" s="1"/>
  <c r="F41" i="198" s="1"/>
  <c r="H41" i="186"/>
  <c r="H36" i="198"/>
  <c r="H38" i="198" s="1"/>
  <c r="H40" i="198" s="1"/>
  <c r="H41" i="185"/>
  <c r="H41" i="198" l="1"/>
</calcChain>
</file>

<file path=xl/comments1.xml><?xml version="1.0" encoding="utf-8"?>
<comments xmlns="http://schemas.openxmlformats.org/spreadsheetml/2006/main">
  <authors>
    <author>Блуметич Ольга Ивановна</author>
  </authors>
  <commentList>
    <comment ref="BR28" authorId="0">
      <text>
        <r>
          <rPr>
            <b/>
            <sz val="9"/>
            <color indexed="81"/>
            <rFont val="Tahoma"/>
            <charset val="1"/>
          </rPr>
          <t>Блуметич Ольга Ивановна:</t>
        </r>
        <r>
          <rPr>
            <sz val="9"/>
            <color indexed="81"/>
            <rFont val="Tahoma"/>
            <charset val="1"/>
          </rPr>
          <t xml:space="preserve">
значение проставлено из Экспертного заключения</t>
        </r>
      </text>
    </comment>
  </commentList>
</comments>
</file>

<file path=xl/comments10.xml><?xml version="1.0" encoding="utf-8"?>
<comments xmlns="http://schemas.openxmlformats.org/spreadsheetml/2006/main">
  <authors>
    <author>Шершнева Н. А.</author>
    <author>Блуметич Ольга Ивановна</author>
  </authors>
  <commentList>
    <comment ref="C7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C12" authorId="1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учтена только вода на технологию</t>
        </r>
      </text>
    </comment>
    <comment ref="C25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532-представит
373-реклама</t>
        </r>
      </text>
    </comment>
    <comment ref="B74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прочие из прибыли
плата за выбросы сверхлимита</t>
        </r>
      </text>
    </comment>
    <comment ref="C91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3 319 102
</t>
        </r>
      </text>
    </comment>
    <comment ref="C103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K103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105340</t>
        </r>
      </text>
    </comment>
    <comment ref="L103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29521</t>
        </r>
      </text>
    </comment>
    <comment ref="M103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75819</t>
        </r>
      </text>
    </comment>
  </commentList>
</comments>
</file>

<file path=xl/comments11.xml><?xml version="1.0" encoding="utf-8"?>
<comments xmlns="http://schemas.openxmlformats.org/spreadsheetml/2006/main">
  <authors>
    <author>Шершнева Н. А.</author>
    <author>Блуметич Ольга Ивановна</author>
  </authors>
  <commentList>
    <comment ref="C7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772650</t>
        </r>
      </text>
    </comment>
    <comment ref="B74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прочие из прибыли
плата за выбросы сверхлимита</t>
        </r>
      </text>
    </comment>
    <comment ref="C91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1 444 296</t>
        </r>
      </text>
    </comment>
    <comment ref="C97" authorId="1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в табл.4.3 и в своде 4.6 ПО = 922,65 тыс.Гкал,
а в 4.6 по транзиту+сбыту - 911,687 тыс.Гкал</t>
        </r>
      </text>
    </comment>
    <comment ref="C103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10919</t>
        </r>
      </text>
    </comment>
  </commentList>
</comments>
</file>

<file path=xl/comments12.xml><?xml version="1.0" encoding="utf-8"?>
<comments xmlns="http://schemas.openxmlformats.org/spreadsheetml/2006/main">
  <authors>
    <author>Шершнева Н. А.</author>
  </authors>
  <commentList>
    <comment ref="C7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B74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прочие из прибыли
плата за выбросы сверхлимита</t>
        </r>
      </text>
    </comment>
    <comment ref="C91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C103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K103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105340</t>
        </r>
      </text>
    </comment>
    <comment ref="L103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29521</t>
        </r>
      </text>
    </comment>
    <comment ref="M103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75819</t>
        </r>
      </text>
    </comment>
  </commentList>
</comments>
</file>

<file path=xl/comments13.xml><?xml version="1.0" encoding="utf-8"?>
<comments xmlns="http://schemas.openxmlformats.org/spreadsheetml/2006/main">
  <authors>
    <author>Шершнева Н. А.</author>
    <author>Блуметич Ольга Ивановна</author>
  </authors>
  <commentList>
    <comment ref="C7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B74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прочие из прибыли
плата за выбросы сверхлимита</t>
        </r>
      </text>
    </comment>
    <comment ref="D81" authorId="1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9449 - списание ДЗ за счет РСД в 2013
19548 - прямое списание ДЗ 2013</t>
        </r>
      </text>
    </comment>
    <comment ref="C91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C103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K103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105340</t>
        </r>
      </text>
    </comment>
    <comment ref="L103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29521</t>
        </r>
      </text>
    </comment>
    <comment ref="M103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75819</t>
        </r>
      </text>
    </comment>
  </commentList>
</comments>
</file>

<file path=xl/comments14.xml><?xml version="1.0" encoding="utf-8"?>
<comments xmlns="http://schemas.openxmlformats.org/spreadsheetml/2006/main">
  <authors>
    <author>Блуметич Ольга Ивановна</author>
    <author>User</author>
    <author>Шершнева Н. А.</author>
  </authors>
  <commentList>
    <comment ref="C7" authorId="0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2 238 526</t>
        </r>
      </text>
    </comment>
    <comment ref="D11" authorId="0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10181 - покупная от Оборонэнерго (9935 - произ.нужды, 246 - хознужды)
86440 - покупная от Камчатскэнерго</t>
        </r>
      </text>
    </comment>
    <comment ref="D12" authorId="0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10574 - вода на технологию
</t>
        </r>
      </text>
    </comment>
    <comment ref="B41" authorId="0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с учетом комиссионного вознаграждения МАУ РКЦ по ведению прямых расчетов с потребителями</t>
        </r>
      </text>
    </comment>
    <comment ref="B63" authorId="1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налог на землю+арендная плата за землю</t>
        </r>
      </text>
    </comment>
    <comment ref="B74" authorId="2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прочие из прибыли
плата за выбросы сверхлимита</t>
        </r>
      </text>
    </comment>
    <comment ref="D81" authorId="0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9449 - списание ДЗ за счет РСД в 2013
19548 - прямое списание ДЗ 2013</t>
        </r>
      </text>
    </comment>
    <comment ref="C91" authorId="2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2 413 372</t>
        </r>
      </text>
    </comment>
    <comment ref="C103" authorId="2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K103" authorId="2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105340</t>
        </r>
      </text>
    </comment>
    <comment ref="L103" authorId="2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29521</t>
        </r>
      </text>
    </comment>
    <comment ref="M103" authorId="2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75819</t>
        </r>
      </text>
    </comment>
  </commentList>
</comments>
</file>

<file path=xl/comments15.xml><?xml version="1.0" encoding="utf-8"?>
<comments xmlns="http://schemas.openxmlformats.org/spreadsheetml/2006/main">
  <authors>
    <author>Шершнева Н. А.</author>
  </authors>
  <commentList>
    <comment ref="C7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2 238 526</t>
        </r>
      </text>
    </comment>
    <comment ref="B74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прочие из прибыли
плата за выбросы сверхлимита</t>
        </r>
      </text>
    </comment>
    <comment ref="C91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2 413 372
</t>
        </r>
      </text>
    </comment>
    <comment ref="C103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K103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105340</t>
        </r>
      </text>
    </comment>
  </commentList>
</comments>
</file>

<file path=xl/comments16.xml><?xml version="1.0" encoding="utf-8"?>
<comments xmlns="http://schemas.openxmlformats.org/spreadsheetml/2006/main">
  <authors>
    <author>Блуметич Ольга Ивановна</author>
    <author>Шершнева Н. А.</author>
  </authors>
  <commentList>
    <comment ref="D7" authorId="0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1334088</t>
        </r>
      </text>
    </comment>
    <comment ref="C12" authorId="0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учтена только вода на технологию</t>
        </r>
      </text>
    </comment>
    <comment ref="D12" authorId="0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4777 - вода на технологию
</t>
        </r>
      </text>
    </comment>
    <comment ref="B63" authorId="0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налог на землю+аренда земли</t>
        </r>
      </text>
    </comment>
    <comment ref="B74" authorId="1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прочие из прибыли
</t>
        </r>
      </text>
    </comment>
    <comment ref="C91" authorId="1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1 449 640</t>
        </r>
      </text>
    </comment>
    <comment ref="C103" authorId="1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K103" authorId="1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105340</t>
        </r>
      </text>
    </comment>
    <comment ref="L103" authorId="1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29521</t>
        </r>
      </text>
    </comment>
    <comment ref="M103" authorId="1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75819</t>
        </r>
      </text>
    </comment>
  </commentList>
</comments>
</file>

<file path=xl/comments17.xml><?xml version="1.0" encoding="utf-8"?>
<comments xmlns="http://schemas.openxmlformats.org/spreadsheetml/2006/main">
  <authors>
    <author>Шершнева Н. А.</author>
    <author>Блуметич Ольга Ивановна</author>
  </authors>
  <commentList>
    <comment ref="C7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1 326 837</t>
        </r>
      </text>
    </comment>
    <comment ref="D7" authorId="1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1240440</t>
        </r>
      </text>
    </comment>
    <comment ref="C12" authorId="1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учтена только вода на технологию</t>
        </r>
      </text>
    </comment>
    <comment ref="D12" authorId="1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в т.ч. 4777 - вода на технологию
</t>
        </r>
      </text>
    </comment>
    <comment ref="B63" authorId="1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налог на землю+ар.плата за землю
</t>
        </r>
      </text>
    </comment>
    <comment ref="B74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прочие из прибыли
</t>
        </r>
      </text>
    </comment>
    <comment ref="D74" authorId="1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134 - взносы в РАЭЛ
1- спорт
0 - благотворит-ть
45 - путевки в ДОЛ
1047 - прочая</t>
        </r>
      </text>
    </comment>
    <comment ref="C82" authorId="1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420- СД и РК
732 - корпоративные</t>
        </r>
      </text>
    </comment>
    <comment ref="D82" authorId="1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166 - СДиРК
91 - оценка и паспортизация
55 - рег-ция и оформление земли
145 - прочие корпоративные </t>
        </r>
      </text>
    </comment>
    <comment ref="C91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1 449 640
</t>
        </r>
      </text>
    </comment>
    <comment ref="C103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K103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105340</t>
        </r>
      </text>
    </comment>
  </commentList>
</comments>
</file>

<file path=xl/comments18.xml><?xml version="1.0" encoding="utf-8"?>
<comments xmlns="http://schemas.openxmlformats.org/spreadsheetml/2006/main">
  <authors>
    <author>Шершнева Н. А.</author>
    <author>Блуметич Ольга Ивановна</author>
  </authors>
  <commentList>
    <comment ref="C7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772650</t>
        </r>
      </text>
    </comment>
    <comment ref="B74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прочие из прибыли
плата за выбросы сверхлимита</t>
        </r>
      </text>
    </comment>
    <comment ref="C91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963 732</t>
        </r>
      </text>
    </comment>
    <comment ref="C97" authorId="1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в табл.4.3 и в своде 4.6 ПО = 922,65 тыс.Гкал,
а в 4.6 по транзиту+сбыту - 911,687 тыс.Гкал</t>
        </r>
      </text>
    </comment>
    <comment ref="C103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10919</t>
        </r>
      </text>
    </comment>
  </commentList>
</comments>
</file>

<file path=xl/comments19.xml><?xml version="1.0" encoding="utf-8"?>
<comments xmlns="http://schemas.openxmlformats.org/spreadsheetml/2006/main">
  <authors>
    <author>Шершнева Н. А.</author>
    <author>Блуметич Ольга Ивановна</author>
  </authors>
  <commentList>
    <comment ref="C7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911 689</t>
        </r>
      </text>
    </comment>
    <comment ref="B63" authorId="1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налог на землю+ар.плата за землю
</t>
        </r>
      </text>
    </comment>
    <comment ref="B74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прочие из прибыли
плата за выбросы сверхлимита</t>
        </r>
      </text>
    </comment>
    <comment ref="C82" authorId="1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667 - СД и РК
1147 - корпоративные</t>
        </r>
      </text>
    </comment>
    <comment ref="C91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963 732</t>
        </r>
      </text>
    </comment>
    <comment ref="C97" authorId="1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в табл.4.3 и в своде 4.6 ПО = 922,65 тыс.Гкал,
а в 4.6 по транзиту+сбыту - 911,687 тыс.Гкал</t>
        </r>
      </text>
    </comment>
    <comment ref="C103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10919</t>
        </r>
      </text>
    </comment>
  </commentList>
</comments>
</file>

<file path=xl/comments2.xml><?xml version="1.0" encoding="utf-8"?>
<comments xmlns="http://schemas.openxmlformats.org/spreadsheetml/2006/main">
  <authors>
    <author>Блуметич Ольга Ивановна</author>
  </authors>
  <commentList>
    <comment ref="BX28" authorId="0">
      <text>
        <r>
          <rPr>
            <b/>
            <sz val="9"/>
            <color indexed="81"/>
            <rFont val="Tahoma"/>
            <charset val="1"/>
          </rPr>
          <t>Блуметич Ольга Ивановна:</t>
        </r>
        <r>
          <rPr>
            <sz val="9"/>
            <color indexed="81"/>
            <rFont val="Tahoma"/>
            <charset val="1"/>
          </rPr>
          <t xml:space="preserve">
значение проставлено из Экспертного заключения</t>
        </r>
      </text>
    </comment>
  </commentList>
</comments>
</file>

<file path=xl/comments20.xml><?xml version="1.0" encoding="utf-8"?>
<comments xmlns="http://schemas.openxmlformats.org/spreadsheetml/2006/main">
  <authors>
    <author>Шершнева Н. А.</author>
    <author>Блуметич Ольга Ивановна</author>
  </authors>
  <commentList>
    <comment ref="C7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772650</t>
        </r>
      </text>
    </comment>
    <comment ref="D7" authorId="1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953576</t>
        </r>
      </text>
    </comment>
    <comment ref="D11" authorId="1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Из них:
10181 - покупная от Оборонэнерго (9935 - произ.нужды, 246 - хознужды)
86440 - покупная от Камчатскэнерго</t>
        </r>
      </text>
    </comment>
    <comment ref="B63" authorId="1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налог на землю+аренда земли</t>
        </r>
      </text>
    </comment>
    <comment ref="B74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прочие из прибыли
</t>
        </r>
      </text>
    </comment>
    <comment ref="C91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783569</t>
        </r>
      </text>
    </comment>
    <comment ref="C103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10919</t>
        </r>
      </text>
    </comment>
  </commentList>
</comments>
</file>

<file path=xl/comments21.xml><?xml version="1.0" encoding="utf-8"?>
<comments xmlns="http://schemas.openxmlformats.org/spreadsheetml/2006/main">
  <authors>
    <author>Шершнева Н. А.</author>
    <author>Блуметич Ольга Ивановна</author>
  </authors>
  <commentList>
    <comment ref="C7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772650</t>
        </r>
      </text>
    </comment>
    <comment ref="D7" authorId="1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821129</t>
        </r>
      </text>
    </comment>
    <comment ref="D11" authorId="1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Из них:
10181 - покупная от Оборонэнерго
86440 - покупная от Камчатскэнерго</t>
        </r>
      </text>
    </comment>
    <comment ref="D12" authorId="1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вода на технологию</t>
        </r>
      </text>
    </comment>
    <comment ref="B63" authorId="1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налог на землю+аренда земли</t>
        </r>
      </text>
    </comment>
    <comment ref="B74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прочие из прибыли
</t>
        </r>
      </text>
    </comment>
    <comment ref="D74" authorId="1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189 - взносы в РАЭЛ
2- спорт
0 - благотворит-ть
101 - путевки в ДОЛ
2065 - прочая</t>
        </r>
      </text>
    </comment>
    <comment ref="D82" authorId="1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265 - СДиРК
85 - оценка и паспортизация
87 - рег-ция и оформление земли
231 - прочие корпоративные </t>
        </r>
      </text>
    </comment>
    <comment ref="C91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783569</t>
        </r>
      </text>
    </comment>
    <comment ref="C103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10919</t>
        </r>
      </text>
    </comment>
  </commentList>
</comments>
</file>

<file path=xl/comments22.xml><?xml version="1.0" encoding="utf-8"?>
<comments xmlns="http://schemas.openxmlformats.org/spreadsheetml/2006/main">
  <authors>
    <author>Шершнева Н. А.</author>
    <author>Блуметич Ольга Ивановна</author>
  </authors>
  <commentList>
    <comment ref="C7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55926</t>
        </r>
      </text>
    </comment>
    <comment ref="B63" authorId="1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налог на землю+аренда земли
</t>
        </r>
      </text>
    </comment>
    <comment ref="B74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прочие из прибыли
</t>
        </r>
      </text>
    </comment>
    <comment ref="D81" authorId="1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9449 - списание ДЗ за счет РСД в 2013
19548 - прямое списание ДЗ 2013</t>
        </r>
      </text>
    </comment>
    <comment ref="C91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60317</t>
        </r>
      </text>
    </comment>
    <comment ref="C103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4391</t>
        </r>
      </text>
    </comment>
    <comment ref="K103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743805</t>
        </r>
      </text>
    </comment>
    <comment ref="L103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1491</t>
        </r>
      </text>
    </comment>
    <comment ref="M103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742314</t>
        </r>
      </text>
    </comment>
  </commentList>
</comments>
</file>

<file path=xl/comments23.xml><?xml version="1.0" encoding="utf-8"?>
<comments xmlns="http://schemas.openxmlformats.org/spreadsheetml/2006/main">
  <authors>
    <author>Шершнева Н. А.</author>
    <author>Блуметич Ольга Ивановна</author>
  </authors>
  <commentList>
    <comment ref="C7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55926</t>
        </r>
      </text>
    </comment>
    <comment ref="K20" authorId="1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по бух-и всего 35113</t>
        </r>
      </text>
    </comment>
    <comment ref="J60" authorId="1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150 - дмс
18 - несчаст.случаи</t>
        </r>
      </text>
    </comment>
    <comment ref="K60" authorId="1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170 - дмс
19 - несчаст.случаи</t>
        </r>
      </text>
    </comment>
    <comment ref="L60" authorId="1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180 - дмс
20 - несчаст.случаи</t>
        </r>
      </text>
    </comment>
    <comment ref="B63" authorId="1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налог на землю+аренда земли</t>
        </r>
      </text>
    </comment>
    <comment ref="J63" authorId="1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1 - аренда земли</t>
        </r>
      </text>
    </comment>
    <comment ref="K63" authorId="1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1 - аренда земли</t>
        </r>
      </text>
    </comment>
    <comment ref="L63" authorId="1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1 - аренда земли</t>
        </r>
      </text>
    </comment>
    <comment ref="D69" authorId="1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Приказ КЭ № 531А от 31.12.2013</t>
        </r>
      </text>
    </comment>
    <comment ref="K69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2% НВВ населению утв.2016</t>
        </r>
      </text>
    </comment>
    <comment ref="B74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прочие из прибыли
</t>
        </r>
      </text>
    </comment>
    <comment ref="D74" authorId="1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7634 - судебные
39 - взносы в РАЭЛ
0- спорт
0 - благотворит-ть
12 - путевки в ДОЛ
296 - прочая</t>
        </r>
      </text>
    </comment>
    <comment ref="F74" authorId="1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9650 - судебные
45 - взносы в РАЭЛ
24 - спорт
0 - благотворит-ть
80,9 - прочая</t>
        </r>
      </text>
    </comment>
    <comment ref="H74" authorId="1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17259 - судебные
32 - взносы в РАЭЛ
40,3 - прочая</t>
        </r>
      </text>
    </comment>
    <comment ref="D81" authorId="1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9449 - списание ДЗ за счет РСД в 2013
19548 - прямое списание ДЗ 2013</t>
        </r>
      </text>
    </comment>
    <comment ref="F81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Списание ДЗ 221704 по приказам ОАО «Камчатскэнерго» 105А от 31,03,14, 243А от 09,07,2014, 639А от 31.12.2014 - за счет созданного резерва прямое списание - приказ 638А от 31.12.2014)</t>
        </r>
      </text>
    </comment>
    <comment ref="H81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Списание ДЗ по приказам ПАО «Камчатскэнерго» 112А от 31,03,15,  690А от 31.12.2015</t>
        </r>
      </text>
    </comment>
    <comment ref="D82" authorId="1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36 - СДиРК
11 - оценка и паспортизация
15 - рег-ция и оформление земли
31 - прочие корпоративные </t>
        </r>
      </text>
    </comment>
    <comment ref="F82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47-СДиРК
33-корпоративные
158-рег земли, кдастр и т.д.</t>
        </r>
      </text>
    </comment>
    <comment ref="H82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40-СДиРК
37-корпоративные
</t>
        </r>
      </text>
    </comment>
    <comment ref="I82" authorId="1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77 - РАЭЛ
461 - предпринимательская прибыль</t>
        </r>
      </text>
    </comment>
    <comment ref="J82" authorId="1">
      <text>
        <r>
          <rPr>
            <b/>
            <sz val="9"/>
            <color indexed="81"/>
            <rFont val="Tahoma"/>
            <charset val="1"/>
          </rPr>
          <t>Блуметич Ольга Ивановна:</t>
        </r>
        <r>
          <rPr>
            <sz val="9"/>
            <color indexed="81"/>
            <rFont val="Tahoma"/>
            <charset val="1"/>
          </rPr>
          <t xml:space="preserve">
77 - РАЭЛ
102727 - предпринимательская прибыль</t>
        </r>
      </text>
    </comment>
    <comment ref="K82" authorId="1">
      <text>
        <r>
          <rPr>
            <b/>
            <sz val="9"/>
            <color indexed="81"/>
            <rFont val="Tahoma"/>
            <charset val="1"/>
          </rPr>
          <t>Блуметич Ольга Ивановна:</t>
        </r>
        <r>
          <rPr>
            <sz val="9"/>
            <color indexed="81"/>
            <rFont val="Tahoma"/>
            <charset val="1"/>
          </rPr>
          <t xml:space="preserve">
в т.ч. 116172 - предпринимательская прибыль</t>
        </r>
      </text>
    </comment>
    <comment ref="L82" authorId="1">
      <text>
        <r>
          <rPr>
            <b/>
            <sz val="9"/>
            <color indexed="81"/>
            <rFont val="Tahoma"/>
            <charset val="1"/>
          </rPr>
          <t>Блуметич Ольга Ивановна:</t>
        </r>
        <r>
          <rPr>
            <sz val="9"/>
            <color indexed="81"/>
            <rFont val="Tahoma"/>
            <charset val="1"/>
          </rPr>
          <t xml:space="preserve">
в т.ч. 123226 - предпринимательская прибыль</t>
        </r>
      </text>
    </comment>
    <comment ref="K86" authorId="1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7206 - ФОТ
102858 - выпадающий по ГВС одноставочный тариф
265616 - вып.доход от снижения ПО по отнош-ю к утвержденному
Итого: 375680
</t>
        </r>
      </text>
    </comment>
    <comment ref="K87" authorId="1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45526 - вып.доход по факту списания ДЗ в 2015
335887 - вып.доход по созданию РСД
Итого: 381413</t>
        </r>
      </text>
    </comment>
    <comment ref="K89" authorId="1">
      <text>
        <r>
          <rPr>
            <b/>
            <sz val="9"/>
            <color indexed="81"/>
            <rFont val="Tahoma"/>
            <charset val="1"/>
          </rPr>
          <t>Блуметич Ольга Ивановна:</t>
        </r>
        <r>
          <rPr>
            <sz val="9"/>
            <color indexed="81"/>
            <rFont val="Tahoma"/>
            <charset val="1"/>
          </rPr>
          <t xml:space="preserve">
849 - ЕСН
267 - арендная плата
Итого: 1116</t>
        </r>
      </text>
    </comment>
    <comment ref="C91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60317</t>
        </r>
      </text>
    </comment>
    <comment ref="C103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4391</t>
        </r>
      </text>
    </comment>
    <comment ref="K103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743805</t>
        </r>
      </text>
    </comment>
  </commentList>
</comments>
</file>

<file path=xl/comments24.xml><?xml version="1.0" encoding="utf-8"?>
<comments xmlns="http://schemas.openxmlformats.org/spreadsheetml/2006/main">
  <authors>
    <author>Шершнева Н. А.</author>
    <author>Блуметич Ольга Ивановна</author>
  </authors>
  <commentList>
    <comment ref="C7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1 326 837</t>
        </r>
      </text>
    </comment>
    <comment ref="M8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СОЭД разбили только на ээ и тэ тэц.
Поэтому разбиваю их материалы пропорционально сложившемуся факту 2014 (прямые материалы минус ремонт минус вода)
и все ставлю сразу в прямые. Не бью на косвенные
потому что РЭКу даем только с косвенными.</t>
        </r>
      </text>
    </comment>
    <comment ref="S8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СОЭД разбили только на ээ и тэ тэц.
Поэтому разбиваю их материалы пропорционально сложившемуся факту 2014 (прямые материалы минус ремонт минус вода)
и все ставлю сразу в прямые. Не бью на косвенные
потому что РЭКу даем только с косвенными.</t>
        </r>
      </text>
    </comment>
    <comment ref="Y8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СОЭД разбили только на ээ и тэ тэц.
Поэтому разбиваю их материалы пропорционально сложившемуся факту 2014 (прямые материалы минус ремонт минус вода)
и все ставлю сразу в прямые. Не бью на косвенные
потому что РЭКу даем только с косвенными.</t>
        </r>
      </text>
    </comment>
    <comment ref="M24" authorId="1">
      <text>
        <r>
          <rPr>
            <b/>
            <sz val="9"/>
            <color indexed="81"/>
            <rFont val="Tahoma"/>
            <family val="2"/>
            <charset val="204"/>
          </rPr>
          <t>шершнева</t>
        </r>
        <r>
          <rPr>
            <sz val="9"/>
            <color indexed="81"/>
            <rFont val="Tahoma"/>
            <family val="2"/>
            <charset val="204"/>
          </rPr>
          <t xml:space="preserve">
721-упх
5921-авто</t>
        </r>
      </text>
    </comment>
    <comment ref="S24" authorId="1">
      <text>
        <r>
          <rPr>
            <b/>
            <sz val="9"/>
            <color indexed="81"/>
            <rFont val="Tahoma"/>
            <family val="2"/>
            <charset val="204"/>
          </rPr>
          <t>шершнева</t>
        </r>
        <r>
          <rPr>
            <sz val="9"/>
            <color indexed="81"/>
            <rFont val="Tahoma"/>
            <family val="2"/>
            <charset val="204"/>
          </rPr>
          <t xml:space="preserve">
721-упх
5921-авто</t>
        </r>
      </text>
    </comment>
    <comment ref="Y24" authorId="1">
      <text>
        <r>
          <rPr>
            <b/>
            <sz val="9"/>
            <color indexed="81"/>
            <rFont val="Tahoma"/>
            <family val="2"/>
            <charset val="204"/>
          </rPr>
          <t>шершнева</t>
        </r>
        <r>
          <rPr>
            <sz val="9"/>
            <color indexed="81"/>
            <rFont val="Tahoma"/>
            <family val="2"/>
            <charset val="204"/>
          </rPr>
          <t xml:space="preserve">
721-упх
5921-авто</t>
        </r>
      </text>
    </comment>
    <comment ref="L60" authorId="1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дмс</t>
        </r>
      </text>
    </comment>
    <comment ref="M60" authorId="1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дмс</t>
        </r>
      </text>
    </comment>
    <comment ref="N60" authorId="1">
      <text>
        <r>
          <rPr>
            <b/>
            <sz val="9"/>
            <color indexed="81"/>
            <rFont val="Tahoma"/>
            <charset val="1"/>
          </rPr>
          <t>Блуметич Ольга Ивановна:</t>
        </r>
        <r>
          <rPr>
            <sz val="9"/>
            <color indexed="81"/>
            <rFont val="Tahoma"/>
            <charset val="1"/>
          </rPr>
          <t xml:space="preserve">
дмс</t>
        </r>
      </text>
    </comment>
    <comment ref="R60" authorId="1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дмс</t>
        </r>
      </text>
    </comment>
    <comment ref="S60" authorId="1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дмс</t>
        </r>
      </text>
    </comment>
    <comment ref="T60" authorId="1">
      <text>
        <r>
          <rPr>
            <b/>
            <sz val="9"/>
            <color indexed="81"/>
            <rFont val="Tahoma"/>
            <charset val="1"/>
          </rPr>
          <t>Блуметич Ольга Ивановна:</t>
        </r>
        <r>
          <rPr>
            <sz val="9"/>
            <color indexed="81"/>
            <rFont val="Tahoma"/>
            <charset val="1"/>
          </rPr>
          <t xml:space="preserve">
дмс</t>
        </r>
      </text>
    </comment>
    <comment ref="X60" authorId="1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дмс</t>
        </r>
      </text>
    </comment>
    <comment ref="Y60" authorId="1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дмс</t>
        </r>
      </text>
    </comment>
    <comment ref="Z60" authorId="1">
      <text>
        <r>
          <rPr>
            <b/>
            <sz val="9"/>
            <color indexed="81"/>
            <rFont val="Tahoma"/>
            <charset val="1"/>
          </rPr>
          <t>Блуметич Ольга Ивановна:</t>
        </r>
        <r>
          <rPr>
            <sz val="9"/>
            <color indexed="81"/>
            <rFont val="Tahoma"/>
            <charset val="1"/>
          </rPr>
          <t xml:space="preserve">
дмс</t>
        </r>
      </text>
    </comment>
    <comment ref="B63" authorId="1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налог на землю+аренда земли</t>
        </r>
      </text>
    </comment>
    <comment ref="K63" authorId="1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24 - налог на землю
4 - аренда земли</t>
        </r>
      </text>
    </comment>
    <comment ref="L63" authorId="1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26 - налог на землю
4 - аренда земли</t>
        </r>
      </text>
    </comment>
    <comment ref="M63" authorId="1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26 - налог на землю
4 - аренда земли</t>
        </r>
      </text>
    </comment>
    <comment ref="N63" authorId="1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26 - налог на землю
5 - аренда земли</t>
        </r>
      </text>
    </comment>
    <comment ref="Q63" authorId="1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36 - налог на землю
6 - аренда земли</t>
        </r>
      </text>
    </comment>
    <comment ref="R63" authorId="1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32 - налог на землю
7 - аренда земли</t>
        </r>
      </text>
    </comment>
    <comment ref="S63" authorId="1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32 - налог на землю
8 - аренда земли</t>
        </r>
      </text>
    </comment>
    <comment ref="T63" authorId="1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32 - налог на землю
8 - аренда земли</t>
        </r>
      </text>
    </comment>
    <comment ref="W63" authorId="1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8 - налог на землю
1 - аренда земли</t>
        </r>
      </text>
    </comment>
    <comment ref="X63" authorId="1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6 - налог на землю
1 - аренда земли</t>
        </r>
      </text>
    </comment>
    <comment ref="Y63" authorId="1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6 - налог на землю
1 - аренда земли</t>
        </r>
      </text>
    </comment>
    <comment ref="Z63" authorId="1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6 - налог на землю
1 - аренда земли</t>
        </r>
      </text>
    </comment>
    <comment ref="B74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прочие из прибыли
</t>
        </r>
      </text>
    </comment>
    <comment ref="J74" authorId="1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1193,9 - прочая</t>
        </r>
      </text>
    </comment>
    <comment ref="K74" authorId="1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705,5 - прочая</t>
        </r>
      </text>
    </comment>
    <comment ref="P74" authorId="1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1613,6 - прочая</t>
        </r>
      </text>
    </comment>
    <comment ref="Q74" authorId="1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1049,1 - прочая</t>
        </r>
      </text>
    </comment>
    <comment ref="V74" authorId="1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____ - судебные
___ - взносы в РАЭЛ
___ - спорт
0 - благотворит-ть
365 - прочая</t>
        </r>
      </text>
    </comment>
    <comment ref="W74" authorId="1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217,9 - прочая</t>
        </r>
      </text>
    </comment>
    <comment ref="S86" authorId="1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Признаны РСТ за 2012 год экон.обоснованными, перенесены на 2015 год:
75 - вып. по статье "реклама" по факту 2012
1322 - вып.доход по командировочным по факту 2012 </t>
        </r>
      </text>
    </comment>
    <comment ref="Y86" authorId="1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Признаны РСТ за 2012 год экон.обоснованными, перенесены на 2015 год:
75 - вып. по статье "реклама" по факту 2012
1322 - вып.доход по командировочным по факту 2012 </t>
        </r>
      </text>
    </comment>
    <comment ref="C91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60317</t>
        </r>
      </text>
    </comment>
    <comment ref="C103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4391</t>
        </r>
      </text>
    </comment>
    <comment ref="J103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743805</t>
        </r>
      </text>
    </comment>
    <comment ref="M103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1491</t>
        </r>
      </text>
    </comment>
    <comment ref="O103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742314</t>
        </r>
      </text>
    </comment>
  </commentList>
</comments>
</file>

<file path=xl/comments25.xml><?xml version="1.0" encoding="utf-8"?>
<comments xmlns="http://schemas.openxmlformats.org/spreadsheetml/2006/main">
  <authors>
    <author>Блуметич Ольга Ивановна</author>
    <author>Шершнева Н. А.</author>
  </authors>
  <commentList>
    <comment ref="D11" authorId="0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12548 - покупная от Оборонэнерго
117949 - покупная от Камчатскэнерго</t>
        </r>
      </text>
    </comment>
    <comment ref="D12" authorId="0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14060 - вода на технологию
</t>
        </r>
      </text>
    </comment>
    <comment ref="B63" authorId="0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налог на землю+аренда земли</t>
        </r>
      </text>
    </comment>
    <comment ref="B74" authorId="1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прочие из прибыли
</t>
        </r>
      </text>
    </comment>
    <comment ref="C91" authorId="1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2 350 027</t>
        </r>
      </text>
    </comment>
  </commentList>
</comments>
</file>

<file path=xl/comments26.xml><?xml version="1.0" encoding="utf-8"?>
<comments xmlns="http://schemas.openxmlformats.org/spreadsheetml/2006/main">
  <authors>
    <author>Блуметич Ольга Ивановна</author>
    <author>Шершнева Н. А.</author>
  </authors>
  <commentList>
    <comment ref="D11" authorId="0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9800 - покупная от Оборонэнерго
117949 - покупная от Камчатскэнерго</t>
        </r>
      </text>
    </comment>
    <comment ref="C12" authorId="0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учтена только вода на технологию</t>
        </r>
      </text>
    </comment>
    <comment ref="D12" authorId="0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11737 - вода на технологию
</t>
        </r>
      </text>
    </comment>
    <comment ref="B63" authorId="0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налог на землю+ар.плата за землю
</t>
        </r>
      </text>
    </comment>
    <comment ref="B74" authorId="1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прочие из прибыли
</t>
        </r>
      </text>
    </comment>
    <comment ref="D74" authorId="0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2- спорт
0 - благотворит-ть
112 - путевки в ДОЛ
1645 - прочая</t>
        </r>
      </text>
    </comment>
    <comment ref="C91" authorId="1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1 869 462</t>
        </r>
      </text>
    </comment>
  </commentList>
</comments>
</file>

<file path=xl/comments27.xml><?xml version="1.0" encoding="utf-8"?>
<comments xmlns="http://schemas.openxmlformats.org/spreadsheetml/2006/main">
  <authors>
    <author>Блуметич Ольга Ивановна</author>
    <author>Шершнева Н. А.</author>
  </authors>
  <commentList>
    <comment ref="B63" authorId="0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налог на землю+ар.плата за землю
</t>
        </r>
      </text>
    </comment>
    <comment ref="B74" authorId="1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прочие из прибыли
плата за выбросы сверхлимита</t>
        </r>
      </text>
    </comment>
    <comment ref="C91" authorId="1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480 565</t>
        </r>
      </text>
    </comment>
    <comment ref="C97" authorId="0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в табл.4.3 и в своде 4.6 ПО = 457,009 тыс.Гкал,
а в 4.6 по транзиту+сбыту - 454,761 тыс.Гкал</t>
        </r>
      </text>
    </comment>
  </commentList>
</comments>
</file>

<file path=xl/comments28.xml><?xml version="1.0" encoding="utf-8"?>
<comments xmlns="http://schemas.openxmlformats.org/spreadsheetml/2006/main">
  <authors>
    <author>Блуметич Ольга Ивановна</author>
    <author>Шершнева Н. А.</author>
  </authors>
  <commentList>
    <comment ref="D11" authorId="0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2748 - покупная на техцели</t>
        </r>
      </text>
    </comment>
    <comment ref="D12" authorId="0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вода на технологию</t>
        </r>
      </text>
    </comment>
    <comment ref="B63" authorId="0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налог на землю+аренда земли</t>
        </r>
      </text>
    </comment>
    <comment ref="B74" authorId="1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прочие из прибыли
</t>
        </r>
      </text>
    </comment>
    <comment ref="D74" authorId="0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1- спорт
0 - благотворит-ть
33 - путевки в ДОЛ
482 - прочая</t>
        </r>
      </text>
    </comment>
    <comment ref="C91" authorId="1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361 818</t>
        </r>
      </text>
    </comment>
    <comment ref="D91" authorId="0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231 882</t>
        </r>
      </text>
    </comment>
  </commentList>
</comments>
</file>

<file path=xl/comments29.xml><?xml version="1.0" encoding="utf-8"?>
<comments xmlns="http://schemas.openxmlformats.org/spreadsheetml/2006/main">
  <authors>
    <author>Блуметич Ольга Ивановна</author>
    <author>Шершнева Н. А.</author>
  </authors>
  <commentList>
    <comment ref="D69" authorId="0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Приказы КЭ № 531А, 533А, 535А от 31.12.2013</t>
        </r>
      </text>
    </comment>
    <comment ref="B74" authorId="1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прочие из прибыли
плата за выбросы сверхлимита</t>
        </r>
      </text>
    </comment>
    <comment ref="D74" authorId="0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229 - судебные
</t>
        </r>
      </text>
    </comment>
    <comment ref="C91" authorId="1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43 899</t>
        </r>
      </text>
    </comment>
  </commentList>
</comments>
</file>

<file path=xl/comments3.xml><?xml version="1.0" encoding="utf-8"?>
<comments xmlns="http://schemas.openxmlformats.org/spreadsheetml/2006/main">
  <authors>
    <author>Галицына</author>
    <author>Блуметич Ольга Ивановна</author>
  </authors>
  <commentList>
    <comment ref="AK28" authorId="0">
      <text>
        <r>
          <rPr>
            <b/>
            <sz val="9"/>
            <color indexed="81"/>
            <rFont val="Tahoma"/>
            <family val="2"/>
            <charset val="204"/>
          </rPr>
          <t>Галицына:</t>
        </r>
        <r>
          <rPr>
            <sz val="9"/>
            <color indexed="81"/>
            <rFont val="Tahoma"/>
            <family val="2"/>
            <charset val="204"/>
          </rPr>
          <t xml:space="preserve">
398,271
</t>
        </r>
      </text>
    </comment>
    <comment ref="BV28" authorId="1">
      <text>
        <r>
          <rPr>
            <b/>
            <sz val="9"/>
            <color indexed="81"/>
            <rFont val="Tahoma"/>
            <charset val="1"/>
          </rPr>
          <t>Блуметич Ольга Ивановна:</t>
        </r>
        <r>
          <rPr>
            <sz val="9"/>
            <color indexed="81"/>
            <rFont val="Tahoma"/>
            <charset val="1"/>
          </rPr>
          <t xml:space="preserve">
значение проставлено из Экспертного заключения</t>
        </r>
      </text>
    </comment>
    <comment ref="BX28" authorId="1">
      <text>
        <r>
          <rPr>
            <b/>
            <sz val="9"/>
            <color indexed="81"/>
            <rFont val="Tahoma"/>
            <charset val="1"/>
          </rPr>
          <t>Блуметич Ольга Ивановна:</t>
        </r>
        <r>
          <rPr>
            <sz val="9"/>
            <color indexed="81"/>
            <rFont val="Tahoma"/>
            <charset val="1"/>
          </rPr>
          <t xml:space="preserve">
значение проставлено из Экспертного заключения</t>
        </r>
      </text>
    </comment>
  </commentList>
</comments>
</file>

<file path=xl/comments30.xml><?xml version="1.0" encoding="utf-8"?>
<comments xmlns="http://schemas.openxmlformats.org/spreadsheetml/2006/main">
  <authors>
    <author>Квитко Елена Валерьевна</author>
    <author>Блуметич Ольга Ивановна</author>
  </authors>
  <commentList>
    <comment ref="F64" authorId="0">
      <text>
        <r>
          <rPr>
            <b/>
            <sz val="9"/>
            <color indexed="81"/>
            <rFont val="Tahoma"/>
            <family val="2"/>
            <charset val="204"/>
          </rPr>
          <t>Квитко Елена Валерьевна:</t>
        </r>
        <r>
          <rPr>
            <sz val="9"/>
            <color indexed="81"/>
            <rFont val="Tahoma"/>
            <family val="2"/>
            <charset val="204"/>
          </rPr>
          <t xml:space="preserve">
на производство
</t>
        </r>
      </text>
    </comment>
    <comment ref="I79" authorId="1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тариф усредненный по полугодиям</t>
        </r>
      </text>
    </comment>
    <comment ref="I94" authorId="1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тариф усредненный по полугодиям</t>
        </r>
      </text>
    </comment>
    <comment ref="Q98" authorId="0">
      <text>
        <r>
          <rPr>
            <b/>
            <sz val="9"/>
            <color indexed="81"/>
            <rFont val="Tahoma"/>
            <family val="2"/>
            <charset val="204"/>
          </rPr>
          <t>Квитко Елена Валерьевна:</t>
        </r>
        <r>
          <rPr>
            <sz val="9"/>
            <color indexed="81"/>
            <rFont val="Tahoma"/>
            <family val="2"/>
            <charset val="204"/>
          </rPr>
          <t xml:space="preserve">
2 мес факт+4 мес план
</t>
        </r>
      </text>
    </comment>
    <comment ref="I110" authorId="1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тариф усредненный по полугодиям</t>
        </r>
      </text>
    </comment>
    <comment ref="Q114" authorId="0">
      <text>
        <r>
          <rPr>
            <b/>
            <sz val="9"/>
            <color indexed="81"/>
            <rFont val="Tahoma"/>
            <family val="2"/>
            <charset val="204"/>
          </rPr>
          <t>Квитко Елена Валерьевна:</t>
        </r>
        <r>
          <rPr>
            <sz val="9"/>
            <color indexed="81"/>
            <rFont val="Tahoma"/>
            <family val="2"/>
            <charset val="204"/>
          </rPr>
          <t xml:space="preserve">
2 мес факт+4 мес план
</t>
        </r>
      </text>
    </comment>
    <comment ref="I126" authorId="1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тариф усредненный по полугодиям</t>
        </r>
      </text>
    </comment>
    <comment ref="Q130" authorId="0">
      <text>
        <r>
          <rPr>
            <b/>
            <sz val="9"/>
            <color indexed="81"/>
            <rFont val="Tahoma"/>
            <family val="2"/>
            <charset val="204"/>
          </rPr>
          <t>Квитко Елена Валерьевна:</t>
        </r>
        <r>
          <rPr>
            <sz val="9"/>
            <color indexed="81"/>
            <rFont val="Tahoma"/>
            <family val="2"/>
            <charset val="204"/>
          </rPr>
          <t xml:space="preserve">
2 мес факт+4 мес план
</t>
        </r>
      </text>
    </comment>
    <comment ref="Q146" authorId="0">
      <text>
        <r>
          <rPr>
            <b/>
            <sz val="9"/>
            <color indexed="81"/>
            <rFont val="Tahoma"/>
            <family val="2"/>
            <charset val="204"/>
          </rPr>
          <t>Квитко Елена Валерьевна:</t>
        </r>
        <r>
          <rPr>
            <sz val="9"/>
            <color indexed="81"/>
            <rFont val="Tahoma"/>
            <family val="2"/>
            <charset val="204"/>
          </rPr>
          <t xml:space="preserve">
2 мес факт+4 мес план
</t>
        </r>
      </text>
    </comment>
    <comment ref="I158" authorId="1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тариф усредненный по полугодиям</t>
        </r>
      </text>
    </comment>
    <comment ref="Q162" authorId="0">
      <text>
        <r>
          <rPr>
            <b/>
            <sz val="9"/>
            <color indexed="81"/>
            <rFont val="Tahoma"/>
            <family val="2"/>
            <charset val="204"/>
          </rPr>
          <t>Квитко Елена Валерьевна:</t>
        </r>
        <r>
          <rPr>
            <sz val="9"/>
            <color indexed="81"/>
            <rFont val="Tahoma"/>
            <family val="2"/>
            <charset val="204"/>
          </rPr>
          <t xml:space="preserve">
2 мес факт+4 мес план
</t>
        </r>
      </text>
    </comment>
    <comment ref="I174" authorId="1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тариф усредненный по полугодиям</t>
        </r>
      </text>
    </comment>
    <comment ref="Q178" authorId="0">
      <text>
        <r>
          <rPr>
            <b/>
            <sz val="9"/>
            <color indexed="81"/>
            <rFont val="Tahoma"/>
            <family val="2"/>
            <charset val="204"/>
          </rPr>
          <t>Квитко Елена Валерьевна:</t>
        </r>
        <r>
          <rPr>
            <sz val="9"/>
            <color indexed="81"/>
            <rFont val="Tahoma"/>
            <family val="2"/>
            <charset val="204"/>
          </rPr>
          <t xml:space="preserve">
2 мес факт+4 мес план
</t>
        </r>
      </text>
    </comment>
    <comment ref="I190" authorId="1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тариф усредненный по полугодиям</t>
        </r>
      </text>
    </comment>
    <comment ref="Q194" authorId="0">
      <text>
        <r>
          <rPr>
            <b/>
            <sz val="9"/>
            <color indexed="81"/>
            <rFont val="Tahoma"/>
            <family val="2"/>
            <charset val="204"/>
          </rPr>
          <t>Квитко Елена Валерьевна:</t>
        </r>
        <r>
          <rPr>
            <sz val="9"/>
            <color indexed="81"/>
            <rFont val="Tahoma"/>
            <family val="2"/>
            <charset val="204"/>
          </rPr>
          <t xml:space="preserve">
2 мес факт+4 мес план
</t>
        </r>
      </text>
    </comment>
    <comment ref="I206" authorId="1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тариф усредненный по полугодиям</t>
        </r>
      </text>
    </comment>
    <comment ref="Q210" authorId="0">
      <text>
        <r>
          <rPr>
            <b/>
            <sz val="9"/>
            <color indexed="81"/>
            <rFont val="Tahoma"/>
            <family val="2"/>
            <charset val="204"/>
          </rPr>
          <t>Квитко Елена Валерьевна:</t>
        </r>
        <r>
          <rPr>
            <sz val="9"/>
            <color indexed="81"/>
            <rFont val="Tahoma"/>
            <family val="2"/>
            <charset val="204"/>
          </rPr>
          <t xml:space="preserve">
2 мес факт+4 мес план
</t>
        </r>
      </text>
    </comment>
    <comment ref="I227" authorId="1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тариф усредненный по полугодиям</t>
        </r>
      </text>
    </comment>
    <comment ref="Q231" authorId="0">
      <text>
        <r>
          <rPr>
            <b/>
            <sz val="9"/>
            <color indexed="81"/>
            <rFont val="Tahoma"/>
            <family val="2"/>
            <charset val="204"/>
          </rPr>
          <t>Квитко Елена Валерьевна:</t>
        </r>
        <r>
          <rPr>
            <sz val="9"/>
            <color indexed="81"/>
            <rFont val="Tahoma"/>
            <family val="2"/>
            <charset val="204"/>
          </rPr>
          <t xml:space="preserve">
2 мес факт+4 мес план
</t>
        </r>
      </text>
    </comment>
    <comment ref="I242" authorId="1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тариф усредненный по полугодиям</t>
        </r>
      </text>
    </comment>
    <comment ref="Q246" authorId="0">
      <text>
        <r>
          <rPr>
            <b/>
            <sz val="9"/>
            <color indexed="81"/>
            <rFont val="Tahoma"/>
            <family val="2"/>
            <charset val="204"/>
          </rPr>
          <t>Квитко Елена Валерьевна:</t>
        </r>
        <r>
          <rPr>
            <sz val="9"/>
            <color indexed="81"/>
            <rFont val="Tahoma"/>
            <family val="2"/>
            <charset val="204"/>
          </rPr>
          <t xml:space="preserve">
2 мес факт+4 мес план
</t>
        </r>
      </text>
    </comment>
    <comment ref="I257" authorId="1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тариф усредненный по полугодиям</t>
        </r>
      </text>
    </comment>
    <comment ref="Q261" authorId="0">
      <text>
        <r>
          <rPr>
            <b/>
            <sz val="9"/>
            <color indexed="81"/>
            <rFont val="Tahoma"/>
            <family val="2"/>
            <charset val="204"/>
          </rPr>
          <t>Квитко Елена Валерьевна:</t>
        </r>
        <r>
          <rPr>
            <sz val="9"/>
            <color indexed="81"/>
            <rFont val="Tahoma"/>
            <family val="2"/>
            <charset val="204"/>
          </rPr>
          <t xml:space="preserve">
2 мес факт+4 мес план
</t>
        </r>
      </text>
    </comment>
    <comment ref="I278" authorId="1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тариф усредненный по полугодиям</t>
        </r>
      </text>
    </comment>
    <comment ref="Q282" authorId="0">
      <text>
        <r>
          <rPr>
            <b/>
            <sz val="9"/>
            <color indexed="81"/>
            <rFont val="Tahoma"/>
            <family val="2"/>
            <charset val="204"/>
          </rPr>
          <t>Квитко Елена Валерьевна:</t>
        </r>
        <r>
          <rPr>
            <sz val="9"/>
            <color indexed="81"/>
            <rFont val="Tahoma"/>
            <family val="2"/>
            <charset val="204"/>
          </rPr>
          <t xml:space="preserve">
2 мес факт+4 мес план
</t>
        </r>
      </text>
    </comment>
    <comment ref="I293" authorId="1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тариф усредненный по полугодиям</t>
        </r>
      </text>
    </comment>
    <comment ref="Q297" authorId="0">
      <text>
        <r>
          <rPr>
            <b/>
            <sz val="9"/>
            <color indexed="81"/>
            <rFont val="Tahoma"/>
            <family val="2"/>
            <charset val="204"/>
          </rPr>
          <t>Квитко Елена Валерьевна:</t>
        </r>
        <r>
          <rPr>
            <sz val="9"/>
            <color indexed="81"/>
            <rFont val="Tahoma"/>
            <family val="2"/>
            <charset val="204"/>
          </rPr>
          <t xml:space="preserve">
2 мес факт+4 мес план
</t>
        </r>
      </text>
    </comment>
  </commentList>
</comments>
</file>

<file path=xl/comments31.xml><?xml version="1.0" encoding="utf-8"?>
<comments xmlns="http://schemas.openxmlformats.org/spreadsheetml/2006/main">
  <authors>
    <author>Квитко Елена Валерьевна</author>
    <author>Блуметич Ольга Ивановна</author>
  </authors>
  <commentList>
    <comment ref="F64" authorId="0">
      <text>
        <r>
          <rPr>
            <b/>
            <sz val="9"/>
            <color indexed="81"/>
            <rFont val="Tahoma"/>
            <family val="2"/>
            <charset val="204"/>
          </rPr>
          <t>Квитко Елена Валерьевна:</t>
        </r>
        <r>
          <rPr>
            <sz val="9"/>
            <color indexed="81"/>
            <rFont val="Tahoma"/>
            <family val="2"/>
            <charset val="204"/>
          </rPr>
          <t xml:space="preserve">
на производство
</t>
        </r>
      </text>
    </comment>
    <comment ref="I79" authorId="1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тариф усредненный по полугодиям</t>
        </r>
      </text>
    </comment>
    <comment ref="I94" authorId="1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тариф усредненный по полугодиям</t>
        </r>
      </text>
    </comment>
    <comment ref="Q98" authorId="0">
      <text>
        <r>
          <rPr>
            <b/>
            <sz val="9"/>
            <color indexed="81"/>
            <rFont val="Tahoma"/>
            <family val="2"/>
            <charset val="204"/>
          </rPr>
          <t>Квитко Елена Валерьевна:</t>
        </r>
        <r>
          <rPr>
            <sz val="9"/>
            <color indexed="81"/>
            <rFont val="Tahoma"/>
            <family val="2"/>
            <charset val="204"/>
          </rPr>
          <t xml:space="preserve">
2 мес факт+4 мес план
</t>
        </r>
      </text>
    </comment>
    <comment ref="I110" authorId="1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тариф усредненный по полугодиям</t>
        </r>
      </text>
    </comment>
    <comment ref="Q114" authorId="0">
      <text>
        <r>
          <rPr>
            <b/>
            <sz val="9"/>
            <color indexed="81"/>
            <rFont val="Tahoma"/>
            <family val="2"/>
            <charset val="204"/>
          </rPr>
          <t>Квитко Елена Валерьевна:</t>
        </r>
        <r>
          <rPr>
            <sz val="9"/>
            <color indexed="81"/>
            <rFont val="Tahoma"/>
            <family val="2"/>
            <charset val="204"/>
          </rPr>
          <t xml:space="preserve">
2 мес факт+4 мес план
</t>
        </r>
      </text>
    </comment>
    <comment ref="I126" authorId="1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тариф усредненный по полугодиям</t>
        </r>
      </text>
    </comment>
    <comment ref="Q130" authorId="0">
      <text>
        <r>
          <rPr>
            <b/>
            <sz val="9"/>
            <color indexed="81"/>
            <rFont val="Tahoma"/>
            <family val="2"/>
            <charset val="204"/>
          </rPr>
          <t>Квитко Елена Валерьевна:</t>
        </r>
        <r>
          <rPr>
            <sz val="9"/>
            <color indexed="81"/>
            <rFont val="Tahoma"/>
            <family val="2"/>
            <charset val="204"/>
          </rPr>
          <t xml:space="preserve">
2 мес факт+4 мес план
</t>
        </r>
      </text>
    </comment>
    <comment ref="Q146" authorId="0">
      <text>
        <r>
          <rPr>
            <b/>
            <sz val="9"/>
            <color indexed="81"/>
            <rFont val="Tahoma"/>
            <family val="2"/>
            <charset val="204"/>
          </rPr>
          <t>Квитко Елена Валерьевна:</t>
        </r>
        <r>
          <rPr>
            <sz val="9"/>
            <color indexed="81"/>
            <rFont val="Tahoma"/>
            <family val="2"/>
            <charset val="204"/>
          </rPr>
          <t xml:space="preserve">
2 мес факт+4 мес план
</t>
        </r>
      </text>
    </comment>
    <comment ref="I158" authorId="1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тариф усредненный по полугодиям</t>
        </r>
      </text>
    </comment>
    <comment ref="Q162" authorId="0">
      <text>
        <r>
          <rPr>
            <b/>
            <sz val="9"/>
            <color indexed="81"/>
            <rFont val="Tahoma"/>
            <family val="2"/>
            <charset val="204"/>
          </rPr>
          <t>Квитко Елена Валерьевна:</t>
        </r>
        <r>
          <rPr>
            <sz val="9"/>
            <color indexed="81"/>
            <rFont val="Tahoma"/>
            <family val="2"/>
            <charset val="204"/>
          </rPr>
          <t xml:space="preserve">
2 мес факт+4 мес план
</t>
        </r>
      </text>
    </comment>
    <comment ref="I174" authorId="1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тариф усредненный по полугодиям</t>
        </r>
      </text>
    </comment>
    <comment ref="Q178" authorId="0">
      <text>
        <r>
          <rPr>
            <b/>
            <sz val="9"/>
            <color indexed="81"/>
            <rFont val="Tahoma"/>
            <family val="2"/>
            <charset val="204"/>
          </rPr>
          <t>Квитко Елена Валерьевна:</t>
        </r>
        <r>
          <rPr>
            <sz val="9"/>
            <color indexed="81"/>
            <rFont val="Tahoma"/>
            <family val="2"/>
            <charset val="204"/>
          </rPr>
          <t xml:space="preserve">
2 мес факт+4 мес план
</t>
        </r>
      </text>
    </comment>
    <comment ref="I190" authorId="1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тариф усредненный по полугодиям</t>
        </r>
      </text>
    </comment>
    <comment ref="Q194" authorId="0">
      <text>
        <r>
          <rPr>
            <b/>
            <sz val="9"/>
            <color indexed="81"/>
            <rFont val="Tahoma"/>
            <family val="2"/>
            <charset val="204"/>
          </rPr>
          <t>Квитко Елена Валерьевна:</t>
        </r>
        <r>
          <rPr>
            <sz val="9"/>
            <color indexed="81"/>
            <rFont val="Tahoma"/>
            <family val="2"/>
            <charset val="204"/>
          </rPr>
          <t xml:space="preserve">
2 мес факт+4 мес план
</t>
        </r>
      </text>
    </comment>
    <comment ref="I206" authorId="1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тариф усредненный по полугодиям</t>
        </r>
      </text>
    </comment>
    <comment ref="Q210" authorId="0">
      <text>
        <r>
          <rPr>
            <b/>
            <sz val="9"/>
            <color indexed="81"/>
            <rFont val="Tahoma"/>
            <family val="2"/>
            <charset val="204"/>
          </rPr>
          <t>Квитко Елена Валерьевна:</t>
        </r>
        <r>
          <rPr>
            <sz val="9"/>
            <color indexed="81"/>
            <rFont val="Tahoma"/>
            <family val="2"/>
            <charset val="204"/>
          </rPr>
          <t xml:space="preserve">
2 мес факт+4 мес план
</t>
        </r>
      </text>
    </comment>
    <comment ref="I227" authorId="1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тариф усредненный по полугодиям</t>
        </r>
      </text>
    </comment>
    <comment ref="Q231" authorId="0">
      <text>
        <r>
          <rPr>
            <b/>
            <sz val="9"/>
            <color indexed="81"/>
            <rFont val="Tahoma"/>
            <family val="2"/>
            <charset val="204"/>
          </rPr>
          <t>Квитко Елена Валерьевна:</t>
        </r>
        <r>
          <rPr>
            <sz val="9"/>
            <color indexed="81"/>
            <rFont val="Tahoma"/>
            <family val="2"/>
            <charset val="204"/>
          </rPr>
          <t xml:space="preserve">
2 мес факт+4 мес план
</t>
        </r>
      </text>
    </comment>
    <comment ref="I242" authorId="1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тариф усредненный по полугодиям</t>
        </r>
      </text>
    </comment>
    <comment ref="Q246" authorId="0">
      <text>
        <r>
          <rPr>
            <b/>
            <sz val="9"/>
            <color indexed="81"/>
            <rFont val="Tahoma"/>
            <family val="2"/>
            <charset val="204"/>
          </rPr>
          <t>Квитко Елена Валерьевна:</t>
        </r>
        <r>
          <rPr>
            <sz val="9"/>
            <color indexed="81"/>
            <rFont val="Tahoma"/>
            <family val="2"/>
            <charset val="204"/>
          </rPr>
          <t xml:space="preserve">
2 мес факт+4 мес план
</t>
        </r>
      </text>
    </comment>
    <comment ref="I257" authorId="1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тариф усредненный по полугодиям</t>
        </r>
      </text>
    </comment>
    <comment ref="Q261" authorId="0">
      <text>
        <r>
          <rPr>
            <b/>
            <sz val="9"/>
            <color indexed="81"/>
            <rFont val="Tahoma"/>
            <family val="2"/>
            <charset val="204"/>
          </rPr>
          <t>Квитко Елена Валерьевна:</t>
        </r>
        <r>
          <rPr>
            <sz val="9"/>
            <color indexed="81"/>
            <rFont val="Tahoma"/>
            <family val="2"/>
            <charset val="204"/>
          </rPr>
          <t xml:space="preserve">
2 мес факт+4 мес план
</t>
        </r>
      </text>
    </comment>
    <comment ref="I278" authorId="1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тариф усредненный по полугодиям</t>
        </r>
      </text>
    </comment>
    <comment ref="Q282" authorId="0">
      <text>
        <r>
          <rPr>
            <b/>
            <sz val="9"/>
            <color indexed="81"/>
            <rFont val="Tahoma"/>
            <family val="2"/>
            <charset val="204"/>
          </rPr>
          <t>Квитко Елена Валерьевна:</t>
        </r>
        <r>
          <rPr>
            <sz val="9"/>
            <color indexed="81"/>
            <rFont val="Tahoma"/>
            <family val="2"/>
            <charset val="204"/>
          </rPr>
          <t xml:space="preserve">
2 мес факт+4 мес план
</t>
        </r>
      </text>
    </comment>
    <comment ref="I293" authorId="1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тариф усредненный по полугодиям</t>
        </r>
      </text>
    </comment>
    <comment ref="Q297" authorId="0">
      <text>
        <r>
          <rPr>
            <b/>
            <sz val="9"/>
            <color indexed="81"/>
            <rFont val="Tahoma"/>
            <family val="2"/>
            <charset val="204"/>
          </rPr>
          <t>Квитко Елена Валерьевна:</t>
        </r>
        <r>
          <rPr>
            <sz val="9"/>
            <color indexed="81"/>
            <rFont val="Tahoma"/>
            <family val="2"/>
            <charset val="204"/>
          </rPr>
          <t xml:space="preserve">
2 мес факт+4 мес план
</t>
        </r>
      </text>
    </comment>
  </commentList>
</comments>
</file>

<file path=xl/comments32.xml><?xml version="1.0" encoding="utf-8"?>
<comments xmlns="http://schemas.openxmlformats.org/spreadsheetml/2006/main">
  <authors>
    <author>Блуметич Ольга Ивановна</author>
  </authors>
  <commentList>
    <comment ref="H14" authorId="0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прочие в прочих (общехоз.расходы) - услуги ГВК</t>
        </r>
      </text>
    </comment>
    <comment ref="H19" authorId="0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прочие в прочих (общехоз.расходы) - услуги ГВК</t>
        </r>
      </text>
    </comment>
    <comment ref="H24" authorId="0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прочие в прочих (общехоз.расходы) - услуги ГВК</t>
        </r>
      </text>
    </comment>
  </commentList>
</comments>
</file>

<file path=xl/comments33.xml><?xml version="1.0" encoding="utf-8"?>
<comments xmlns="http://schemas.openxmlformats.org/spreadsheetml/2006/main">
  <authors>
    <author>Блуметич Ольга Ивановна</author>
  </authors>
  <commentList>
    <comment ref="B97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Блуметич Ольга Ивановна:
</t>
        </r>
        <r>
          <rPr>
            <sz val="9"/>
            <color indexed="81"/>
            <rFont val="Tahoma"/>
            <family val="2"/>
            <charset val="204"/>
          </rPr>
          <t>без косвенных</t>
        </r>
      </text>
    </comment>
  </commentList>
</comments>
</file>

<file path=xl/comments34.xml><?xml version="1.0" encoding="utf-8"?>
<comments xmlns="http://schemas.openxmlformats.org/spreadsheetml/2006/main">
  <authors>
    <author>Блуметич Ольга Ивановна</author>
  </authors>
  <commentList>
    <comment ref="B97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Блуметич Ольга Ивановна:
</t>
        </r>
        <r>
          <rPr>
            <sz val="9"/>
            <color indexed="81"/>
            <rFont val="Tahoma"/>
            <family val="2"/>
            <charset val="204"/>
          </rPr>
          <t>без косвенных</t>
        </r>
      </text>
    </comment>
  </commentList>
</comments>
</file>

<file path=xl/comments35.xml><?xml version="1.0" encoding="utf-8"?>
<comments xmlns="http://schemas.openxmlformats.org/spreadsheetml/2006/main">
  <authors>
    <author>Блуметич Ольга Ивановна</author>
  </authors>
  <commentList>
    <comment ref="B97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Блуметич Ольга Ивановна:
</t>
        </r>
        <r>
          <rPr>
            <sz val="9"/>
            <color indexed="81"/>
            <rFont val="Tahoma"/>
            <family val="2"/>
            <charset val="204"/>
          </rPr>
          <t>без косвенных</t>
        </r>
      </text>
    </comment>
  </commentList>
</comments>
</file>

<file path=xl/comments36.xml><?xml version="1.0" encoding="utf-8"?>
<comments xmlns="http://schemas.openxmlformats.org/spreadsheetml/2006/main">
  <authors>
    <author>Блуметич Ольга Ивановна</author>
  </authors>
  <commentList>
    <comment ref="B97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Блуметич Ольга Ивановна:
</t>
        </r>
        <r>
          <rPr>
            <sz val="9"/>
            <color indexed="81"/>
            <rFont val="Tahoma"/>
            <family val="2"/>
            <charset val="204"/>
          </rPr>
          <t>без косвенных</t>
        </r>
      </text>
    </comment>
  </commentList>
</comments>
</file>

<file path=xl/comments37.xml><?xml version="1.0" encoding="utf-8"?>
<comments xmlns="http://schemas.openxmlformats.org/spreadsheetml/2006/main">
  <authors>
    <author>Блуметич Ольга Ивановна</author>
  </authors>
  <commentList>
    <comment ref="B97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Блуметич Ольга Ивановна:
</t>
        </r>
        <r>
          <rPr>
            <sz val="9"/>
            <color indexed="81"/>
            <rFont val="Tahoma"/>
            <family val="2"/>
            <charset val="204"/>
          </rPr>
          <t>без косвенных</t>
        </r>
      </text>
    </comment>
  </commentList>
</comments>
</file>

<file path=xl/comments38.xml><?xml version="1.0" encoding="utf-8"?>
<comments xmlns="http://schemas.openxmlformats.org/spreadsheetml/2006/main">
  <authors>
    <author>Блуметич Ольга Ивановна</author>
    <author>User</author>
    <author>tarif</author>
  </authors>
  <commentList>
    <comment ref="D7" authorId="0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нет в экспертном</t>
        </r>
      </text>
    </comment>
    <comment ref="F11" authorId="0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20455 тыс.кВтч - ЦТП и ПНС</t>
        </r>
      </text>
    </comment>
    <comment ref="H11" authorId="0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20470 тыс.кВтч - ЦТП и ПНС</t>
        </r>
      </text>
    </comment>
    <comment ref="D13" authorId="0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8"/>
            <color indexed="81"/>
            <rFont val="Tahoma"/>
            <family val="2"/>
            <charset val="204"/>
          </rPr>
          <t xml:space="preserve">нет в экспертном заключении
</t>
        </r>
      </text>
    </comment>
    <comment ref="D14" authorId="0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нет в эксп.заключении </t>
        </r>
      </text>
    </comment>
    <comment ref="D15" authorId="0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нет в эксп.заключении</t>
        </r>
      </text>
    </comment>
    <comment ref="D16" authorId="0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нет в экспертном
</t>
        </r>
      </text>
    </comment>
    <comment ref="D17" authorId="0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нет в экспертном
</t>
        </r>
      </text>
    </comment>
    <comment ref="D18" authorId="0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нет в экспертном</t>
        </r>
      </text>
    </comment>
    <comment ref="E20" authorId="1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проверить, в обоснованиях 114862</t>
        </r>
      </text>
    </comment>
    <comment ref="E23" authorId="0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4580 - водный налог
154 - плата за польз-е водн.объектами
438 - земельный
5090 - аренда земли
12173 - на имущество
206 - транспортный</t>
        </r>
      </text>
    </comment>
    <comment ref="F23" authorId="2">
      <text>
        <r>
          <rPr>
            <b/>
            <sz val="8"/>
            <color indexed="81"/>
            <rFont val="Tahoma"/>
            <family val="2"/>
            <charset val="204"/>
          </rPr>
          <t>tarif:</t>
        </r>
        <r>
          <rPr>
            <sz val="8"/>
            <color indexed="81"/>
            <rFont val="Tahoma"/>
            <family val="2"/>
            <charset val="204"/>
          </rPr>
          <t xml:space="preserve">
6359 - водный налог
178 - плата за польз-е водн.объектами
532 - земельный
5309 - аренда земли (дефл. 1,043 к 2016)
17650 - на имущество
238 - транспортный</t>
        </r>
      </text>
    </comment>
    <comment ref="H23" authorId="2">
      <text>
        <r>
          <rPr>
            <b/>
            <sz val="8"/>
            <color indexed="81"/>
            <rFont val="Tahoma"/>
            <family val="2"/>
            <charset val="204"/>
          </rPr>
          <t>tarif:</t>
        </r>
        <r>
          <rPr>
            <sz val="8"/>
            <color indexed="81"/>
            <rFont val="Tahoma"/>
            <family val="2"/>
            <charset val="204"/>
          </rPr>
          <t xml:space="preserve">
6657 - водный налог
186 - плата за польз-е водн.объектами
551 - земельный
5548 - аренда земли (дефл. 1,045 к 2017)
18068 - на имущество
253 - транспортный</t>
        </r>
      </text>
    </comment>
    <comment ref="E30" authorId="1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57691 - 2% от НВВ населения</t>
        </r>
      </text>
    </comment>
    <comment ref="B36" authorId="0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только на т/э</t>
        </r>
      </text>
    </comment>
    <comment ref="E36" authorId="0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без выпадающего дохода</t>
        </r>
      </text>
    </comment>
  </commentList>
</comments>
</file>

<file path=xl/comments39.xml><?xml version="1.0" encoding="utf-8"?>
<comments xmlns="http://schemas.openxmlformats.org/spreadsheetml/2006/main">
  <authors>
    <author>Блуметич Ольга Ивановна</author>
    <author>tarif</author>
  </authors>
  <commentList>
    <comment ref="D7" authorId="0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нет в экспертном</t>
        </r>
      </text>
    </comment>
    <comment ref="F11" authorId="0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из электронной версии
</t>
        </r>
      </text>
    </comment>
    <comment ref="H11" authorId="0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из электронной версии
</t>
        </r>
      </text>
    </comment>
    <comment ref="D13" authorId="0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8"/>
            <color indexed="81"/>
            <rFont val="Tahoma"/>
            <family val="2"/>
            <charset val="204"/>
          </rPr>
          <t xml:space="preserve">нет в экспертном заключении
</t>
        </r>
      </text>
    </comment>
    <comment ref="D14" authorId="0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нет в эксп.заключении </t>
        </r>
      </text>
    </comment>
    <comment ref="D15" authorId="0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нет в эксп.заключении</t>
        </r>
      </text>
    </comment>
    <comment ref="D16" authorId="0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нет в экспертном
</t>
        </r>
      </text>
    </comment>
    <comment ref="D17" authorId="0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нет в экспертном
</t>
        </r>
      </text>
    </comment>
    <comment ref="D18" authorId="0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нет в экспертном</t>
        </r>
      </text>
    </comment>
    <comment ref="E23" authorId="0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15 - водный налог
252 - земельный
269 - аренда земли
534 - на имущество
74 - транспортный</t>
        </r>
      </text>
    </comment>
    <comment ref="F23" authorId="1">
      <text>
        <r>
          <rPr>
            <b/>
            <sz val="8"/>
            <color indexed="81"/>
            <rFont val="Tahoma"/>
            <family val="2"/>
            <charset val="204"/>
          </rPr>
          <t>tarif:</t>
        </r>
        <r>
          <rPr>
            <sz val="8"/>
            <color indexed="81"/>
            <rFont val="Tahoma"/>
            <family val="2"/>
            <charset val="204"/>
          </rPr>
          <t xml:space="preserve">
24 - водный налог
252 - земельный
281 - аренда земли (дефл. 1,043 к 2016)
580 - на имущество
80 - транспортный</t>
        </r>
      </text>
    </comment>
    <comment ref="H23" authorId="1">
      <text>
        <r>
          <rPr>
            <b/>
            <sz val="8"/>
            <color indexed="81"/>
            <rFont val="Tahoma"/>
            <family val="2"/>
            <charset val="204"/>
          </rPr>
          <t>tarif:</t>
        </r>
        <r>
          <rPr>
            <sz val="8"/>
            <color indexed="81"/>
            <rFont val="Tahoma"/>
            <family val="2"/>
            <charset val="204"/>
          </rPr>
          <t xml:space="preserve">
41 - водный налог
252 - земельный
293 - аренда земли (дефл. 1,045 к 2017)
647 - на имущество
87 - транспортный</t>
        </r>
      </text>
    </comment>
    <comment ref="B36" authorId="0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только на т/э</t>
        </r>
      </text>
    </comment>
    <comment ref="E36" authorId="0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без выпадающего дохода</t>
        </r>
      </text>
    </comment>
  </commentList>
</comments>
</file>

<file path=xl/comments4.xml><?xml version="1.0" encoding="utf-8"?>
<comments xmlns="http://schemas.openxmlformats.org/spreadsheetml/2006/main">
  <authors>
    <author>Блуметич Ольга Ивановна</author>
  </authors>
  <commentList>
    <comment ref="AC8" authorId="0">
      <text>
        <r>
          <rPr>
            <b/>
            <sz val="9"/>
            <color indexed="81"/>
            <rFont val="Tahoma"/>
            <charset val="1"/>
          </rPr>
          <t>Блуметич Ольга Ивановна:</t>
        </r>
        <r>
          <rPr>
            <sz val="9"/>
            <color indexed="81"/>
            <rFont val="Tahoma"/>
            <charset val="1"/>
          </rPr>
          <t xml:space="preserve">
проставлено из Экспертного заключения - не равно сумме КТЭЦ+котельные и сумме по категориям потребителей </t>
        </r>
      </text>
    </comment>
    <comment ref="AC9" authorId="0">
      <text>
        <r>
          <rPr>
            <b/>
            <sz val="9"/>
            <color indexed="81"/>
            <rFont val="Tahoma"/>
            <charset val="1"/>
          </rPr>
          <t>Блуметич Ольга Ивановна:</t>
        </r>
        <r>
          <rPr>
            <sz val="9"/>
            <color indexed="81"/>
            <rFont val="Tahoma"/>
            <charset val="1"/>
          </rPr>
          <t xml:space="preserve">
проставлено из Экспертного заключения - не равно сумме КТЭЦ+котельные и сумме по воде по категориям потребителей </t>
        </r>
      </text>
    </comment>
    <comment ref="AC10" authorId="0">
      <text>
        <r>
          <rPr>
            <b/>
            <sz val="9"/>
            <color indexed="81"/>
            <rFont val="Tahoma"/>
            <charset val="1"/>
          </rPr>
          <t>Блуметич Ольга Ивановна:</t>
        </r>
        <r>
          <rPr>
            <sz val="9"/>
            <color indexed="81"/>
            <rFont val="Tahoma"/>
            <charset val="1"/>
          </rPr>
          <t xml:space="preserve">
проставлено из Экспертного заключения - не равно сумме КТЭЦ+котельные и сумме по воде по категориям потребителей </t>
        </r>
      </text>
    </comment>
    <comment ref="AC41" authorId="0">
      <text>
        <r>
          <rPr>
            <b/>
            <sz val="9"/>
            <color indexed="81"/>
            <rFont val="Tahoma"/>
            <charset val="1"/>
          </rPr>
          <t>Блуметич Ольга Ивановна:</t>
        </r>
        <r>
          <rPr>
            <sz val="9"/>
            <color indexed="81"/>
            <rFont val="Tahoma"/>
            <charset val="1"/>
          </rPr>
          <t xml:space="preserve">
проставлено из Экспертного заключения - не равно сумме КТЭЦ+котельные и сумме по воде и пару</t>
        </r>
      </text>
    </comment>
    <comment ref="AC42" authorId="0">
      <text>
        <r>
          <rPr>
            <b/>
            <sz val="9"/>
            <color indexed="81"/>
            <rFont val="Tahoma"/>
            <charset val="1"/>
          </rPr>
          <t>Блуметич Ольга Ивановна:</t>
        </r>
        <r>
          <rPr>
            <sz val="9"/>
            <color indexed="81"/>
            <rFont val="Tahoma"/>
            <charset val="1"/>
          </rPr>
          <t xml:space="preserve">
проставлено из Экспертного заключения - не равно сумме КТЭЦ+котельные и сумме по контурам</t>
        </r>
      </text>
    </comment>
    <comment ref="AC43" authorId="0">
      <text>
        <r>
          <rPr>
            <b/>
            <sz val="9"/>
            <color indexed="81"/>
            <rFont val="Tahoma"/>
            <charset val="1"/>
          </rPr>
          <t>Блуметич Ольга Ивановна:</t>
        </r>
        <r>
          <rPr>
            <sz val="9"/>
            <color indexed="81"/>
            <rFont val="Tahoma"/>
            <charset val="1"/>
          </rPr>
          <t xml:space="preserve">
не равно сумме КТЭЦ+котельные, проставлено из Экспертного заключения</t>
        </r>
      </text>
    </comment>
  </commentList>
</comments>
</file>

<file path=xl/comments40.xml><?xml version="1.0" encoding="utf-8"?>
<comments xmlns="http://schemas.openxmlformats.org/spreadsheetml/2006/main">
  <authors>
    <author>Блуметич Ольга Ивановна</author>
  </authors>
  <commentList>
    <comment ref="F11" authorId="0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20455 тыс.кВтч - ЦТП и ПНС</t>
        </r>
      </text>
    </comment>
    <comment ref="H11" authorId="0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20470 тыс.кВтч - ЦТП и ПНС</t>
        </r>
      </text>
    </comment>
    <comment ref="B36" authorId="0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только на т/э</t>
        </r>
      </text>
    </comment>
    <comment ref="E36" authorId="0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без выпадающего дохода</t>
        </r>
      </text>
    </comment>
  </commentList>
</comments>
</file>

<file path=xl/comments41.xml><?xml version="1.0" encoding="utf-8"?>
<comments xmlns="http://schemas.openxmlformats.org/spreadsheetml/2006/main">
  <authors>
    <author>Блуметич Ольга Ивановна</author>
  </authors>
  <commentList>
    <comment ref="B10" authorId="0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без выпадающего дохода</t>
        </r>
      </text>
    </comment>
  </commentList>
</comments>
</file>

<file path=xl/comments42.xml><?xml version="1.0" encoding="utf-8"?>
<comments xmlns="http://schemas.openxmlformats.org/spreadsheetml/2006/main">
  <authors>
    <author>Блуметич Ольга Ивановна</author>
  </authors>
  <commentList>
    <comment ref="B10" authorId="0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без выпадающего дохода</t>
        </r>
      </text>
    </comment>
  </commentList>
</comments>
</file>

<file path=xl/comments43.xml><?xml version="1.0" encoding="utf-8"?>
<comments xmlns="http://schemas.openxmlformats.org/spreadsheetml/2006/main">
  <authors>
    <author>Шершнева Н. А.</author>
  </authors>
  <commentList>
    <comment ref="K20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это в ТЫСЯЧАХ руб.
если в рублях, как в старой П1.22, то надо умножить на 1000</t>
        </r>
      </text>
    </comment>
    <comment ref="K38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это в ТЫСЯЧАХ руб.
если в рублях, как в старой П1.22, то надо умножить на 1000</t>
        </r>
      </text>
    </comment>
    <comment ref="K40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это в ТЫСЯЧАХ руб.
если в рублях, как в старой П1.22, то надо умножить на 1000</t>
        </r>
      </text>
    </comment>
    <comment ref="K56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это в ТЫСЯЧАХ руб.
если в рублях, как в старой П1.22, то надо умножить на 1000</t>
        </r>
      </text>
    </comment>
    <comment ref="K58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это в ТЫСЯЧАХ руб.
если в рублях, как в старой П1.22, то надо умножить на 1000</t>
        </r>
      </text>
    </comment>
    <comment ref="K74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это в ТЫСЯЧАХ руб.
если в рублях, как в старой П1.22, то надо умножить на 1000</t>
        </r>
      </text>
    </comment>
    <comment ref="K76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это в ТЫСЯЧАХ руб.
если в рублях, как в старой П1.22, то надо умножить на 1000</t>
        </r>
      </text>
    </comment>
    <comment ref="K93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это в ТЫСЯЧАХ руб.
если в рублях, как в старой П1.22, то надо умножить на 1000</t>
        </r>
      </text>
    </comment>
    <comment ref="K95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это в ТЫСЯЧАХ руб.
если в рублях, как в старой П1.22, то надо умножить на 1000</t>
        </r>
      </text>
    </comment>
    <comment ref="K112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это в ТЫСЯЧАХ руб.
если в рублях, как в старой П1.22, то надо умножить на 1000</t>
        </r>
      </text>
    </comment>
    <comment ref="K114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это в ТЫСЯЧАХ руб.
если в рублях, как в старой П1.22, то надо умножить на 1000</t>
        </r>
      </text>
    </comment>
    <comment ref="K131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это в ТЫСЯЧАХ руб.
если в рублях, как в старой П1.22, то надо умножить на 1000</t>
        </r>
      </text>
    </comment>
    <comment ref="K133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это в ТЫСЯЧАХ руб.
если в рублях, как в старой П1.22, то надо умножить на 1000</t>
        </r>
      </text>
    </comment>
    <comment ref="K149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это в ТЫСЯЧАХ руб.
если в рублях, как в старой П1.22, то надо умножить на 1000</t>
        </r>
      </text>
    </comment>
    <comment ref="K151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это в ТЫСЯЧАХ руб.
если в рублях, как в старой П1.22, то надо умножить на 1000</t>
        </r>
      </text>
    </comment>
    <comment ref="K169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это в ТЫСЯЧАХ руб.
если в рублях, как в старой П1.22, то надо умножить на 1000</t>
        </r>
      </text>
    </comment>
    <comment ref="K170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это в ТЫСЯЧАХ руб.
если в рублях, как в старой П1.22, то надо умножить на 1000</t>
        </r>
      </text>
    </comment>
    <comment ref="K172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это в ТЫСЯЧАХ руб.
если в рублях, как в старой П1.22, то надо умножить на 1000</t>
        </r>
      </text>
    </comment>
    <comment ref="K191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это в ТЫСЯЧАХ руб.
если в рублях, как в старой П1.22, то надо умножить на 1000</t>
        </r>
      </text>
    </comment>
    <comment ref="K193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это в ТЫСЯЧАХ руб.
если в рублях, как в старой П1.22, то надо умножить на 1000</t>
        </r>
      </text>
    </comment>
  </commentList>
</comments>
</file>

<file path=xl/comments44.xml><?xml version="1.0" encoding="utf-8"?>
<comments xmlns="http://schemas.openxmlformats.org/spreadsheetml/2006/main">
  <authors>
    <author>Шершнева Н. А.</author>
  </authors>
  <commentList>
    <comment ref="K20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это в ТЫСЯЧАХ руб.
если в рублях, как в старой П1.22, то надо умножить на 1000</t>
        </r>
      </text>
    </comment>
    <comment ref="K38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это в ТЫСЯЧАХ руб.
если в рублях, как в старой П1.22, то надо умножить на 1000</t>
        </r>
      </text>
    </comment>
    <comment ref="K40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это в ТЫСЯЧАХ руб.
если в рублях, как в старой П1.22, то надо умножить на 1000</t>
        </r>
      </text>
    </comment>
    <comment ref="K56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это в ТЫСЯЧАХ руб.
если в рублях, как в старой П1.22, то надо умножить на 1000</t>
        </r>
      </text>
    </comment>
    <comment ref="K58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это в ТЫСЯЧАХ руб.
если в рублях, как в старой П1.22, то надо умножить на 1000</t>
        </r>
      </text>
    </comment>
    <comment ref="K74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это в ТЫСЯЧАХ руб.
если в рублях, как в старой П1.22, то надо умножить на 1000</t>
        </r>
      </text>
    </comment>
    <comment ref="K76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это в ТЫСЯЧАХ руб.
если в рублях, как в старой П1.22, то надо умножить на 1000</t>
        </r>
      </text>
    </comment>
    <comment ref="K93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это в ТЫСЯЧАХ руб.
если в рублях, как в старой П1.22, то надо умножить на 1000</t>
        </r>
      </text>
    </comment>
    <comment ref="K95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это в ТЫСЯЧАХ руб.
если в рублях, как в старой П1.22, то надо умножить на 1000</t>
        </r>
      </text>
    </comment>
    <comment ref="K112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это в ТЫСЯЧАХ руб.
если в рублях, как в старой П1.22, то надо умножить на 1000</t>
        </r>
      </text>
    </comment>
    <comment ref="K114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это в ТЫСЯЧАХ руб.
если в рублях, как в старой П1.22, то надо умножить на 1000</t>
        </r>
      </text>
    </comment>
    <comment ref="K131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это в ТЫСЯЧАХ руб.
если в рублях, как в старой П1.22, то надо умножить на 1000</t>
        </r>
      </text>
    </comment>
    <comment ref="K133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это в ТЫСЯЧАХ руб.
если в рублях, как в старой П1.22, то надо умножить на 1000</t>
        </r>
      </text>
    </comment>
    <comment ref="K150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это в ТЫСЯЧАХ руб.
если в рублях, как в старой П1.22, то надо умножить на 1000</t>
        </r>
      </text>
    </comment>
    <comment ref="K152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это в ТЫСЯЧАХ руб.
если в рублях, как в старой П1.22, то надо умножить на 1000</t>
        </r>
      </text>
    </comment>
    <comment ref="K171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это в ТЫСЯЧАХ руб.
если в рублях, как в старой П1.22, то надо умножить на 1000</t>
        </r>
      </text>
    </comment>
    <comment ref="K173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это в ТЫСЯЧАХ руб.
если в рублях, как в старой П1.22, то надо умножить на 1000</t>
        </r>
      </text>
    </comment>
    <comment ref="K192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это в ТЫСЯЧАХ руб.
если в рублях, как в старой П1.22, то надо умножить на 1000</t>
        </r>
      </text>
    </comment>
    <comment ref="K194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это в ТЫСЯЧАХ руб.
если в рублях, как в старой П1.22, то надо умножить на 1000</t>
        </r>
      </text>
    </comment>
  </commentList>
</comments>
</file>

<file path=xl/comments45.xml><?xml version="1.0" encoding="utf-8"?>
<comments xmlns="http://schemas.openxmlformats.org/spreadsheetml/2006/main">
  <authors>
    <author>Шершнева Н. А.</author>
  </authors>
  <commentList>
    <comment ref="K20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это в ТЫСЯЧАХ руб.
если в рублях, как в старой П1.22, то надо умножить на 1000</t>
        </r>
      </text>
    </comment>
    <comment ref="K38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это в ТЫСЯЧАХ руб.
если в рублях, как в старой П1.22, то надо умножить на 1000</t>
        </r>
      </text>
    </comment>
    <comment ref="K40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это в ТЫСЯЧАХ руб.
если в рублях, как в старой П1.22, то надо умножить на 1000</t>
        </r>
      </text>
    </comment>
    <comment ref="K56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это в ТЫСЯЧАХ руб.
если в рублях, как в старой П1.22, то надо умножить на 1000</t>
        </r>
      </text>
    </comment>
    <comment ref="K58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это в ТЫСЯЧАХ руб.
если в рублях, как в старой П1.22, то надо умножить на 1000</t>
        </r>
      </text>
    </comment>
    <comment ref="K74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это в ТЫСЯЧАХ руб.
если в рублях, как в старой П1.22, то надо умножить на 1000</t>
        </r>
      </text>
    </comment>
    <comment ref="K76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это в ТЫСЯЧАХ руб.
если в рублях, как в старой П1.22, то надо умножить на 1000</t>
        </r>
      </text>
    </comment>
    <comment ref="K93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это в ТЫСЯЧАХ руб.
если в рублях, как в старой П1.22, то надо умножить на 1000</t>
        </r>
      </text>
    </comment>
    <comment ref="K95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это в ТЫСЯЧАХ руб.
если в рублях, как в старой П1.22, то надо умножить на 1000</t>
        </r>
      </text>
    </comment>
    <comment ref="K112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это в ТЫСЯЧАХ руб.
если в рублях, как в старой П1.22, то надо умножить на 1000</t>
        </r>
      </text>
    </comment>
    <comment ref="K114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это в ТЫСЯЧАХ руб.
если в рублях, как в старой П1.22, то надо умножить на 1000</t>
        </r>
      </text>
    </comment>
    <comment ref="K131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это в ТЫСЯЧАХ руб.
если в рублях, как в старой П1.22, то надо умножить на 1000</t>
        </r>
      </text>
    </comment>
    <comment ref="K133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это в ТЫСЯЧАХ руб.
если в рублях, как в старой П1.22, то надо умножить на 1000</t>
        </r>
      </text>
    </comment>
    <comment ref="K150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это в ТЫСЯЧАХ руб.
если в рублях, как в старой П1.22, то надо умножить на 1000</t>
        </r>
      </text>
    </comment>
    <comment ref="K152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это в ТЫСЯЧАХ руб.
если в рублях, как в старой П1.22, то надо умножить на 1000</t>
        </r>
      </text>
    </comment>
    <comment ref="K171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это в ТЫСЯЧАХ руб.
если в рублях, как в старой П1.22, то надо умножить на 1000</t>
        </r>
      </text>
    </comment>
    <comment ref="K173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это в ТЫСЯЧАХ руб.
если в рублях, как в старой П1.22, то надо умножить на 1000</t>
        </r>
      </text>
    </comment>
    <comment ref="K192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это в ТЫСЯЧАХ руб.
если в рублях, как в старой П1.22, то надо умножить на 1000</t>
        </r>
      </text>
    </comment>
    <comment ref="K194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это в ТЫСЯЧАХ руб.
если в рублях, как в старой П1.22, то надо умножить на 1000</t>
        </r>
      </text>
    </comment>
  </commentList>
</comments>
</file>

<file path=xl/comments46.xml><?xml version="1.0" encoding="utf-8"?>
<comments xmlns="http://schemas.openxmlformats.org/spreadsheetml/2006/main">
  <authors>
    <author>Valishevskaya_OA</author>
  </authors>
  <commentList>
    <comment ref="F139" authorId="0">
      <text>
        <r>
          <rPr>
            <b/>
            <sz val="8"/>
            <color indexed="81"/>
            <rFont val="Tahoma"/>
            <family val="2"/>
            <charset val="204"/>
          </rPr>
          <t>Valishevskaya_OA:</t>
        </r>
        <r>
          <rPr>
            <sz val="8"/>
            <color indexed="81"/>
            <rFont val="Tahoma"/>
            <family val="2"/>
            <charset val="204"/>
          </rPr>
          <t xml:space="preserve">
Увеличение балансов.стоим.в результате проведения пероценки по состоянию на 31.12.2013г</t>
        </r>
      </text>
    </comment>
  </commentList>
</comments>
</file>

<file path=xl/comments47.xml><?xml version="1.0" encoding="utf-8"?>
<comments xmlns="http://schemas.openxmlformats.org/spreadsheetml/2006/main">
  <authors>
    <author>Valishevskaya_OA</author>
  </authors>
  <commentList>
    <comment ref="F139" authorId="0">
      <text>
        <r>
          <rPr>
            <b/>
            <sz val="8"/>
            <color indexed="81"/>
            <rFont val="Tahoma"/>
            <family val="2"/>
            <charset val="204"/>
          </rPr>
          <t>Valishevskaya_OA:</t>
        </r>
        <r>
          <rPr>
            <sz val="8"/>
            <color indexed="81"/>
            <rFont val="Tahoma"/>
            <family val="2"/>
            <charset val="204"/>
          </rPr>
          <t xml:space="preserve">
Увеличение балансов.стоим.в результате проведения реконструкции системы оперативной связи (декабрь 2015г)</t>
        </r>
      </text>
    </comment>
  </commentList>
</comments>
</file>

<file path=xl/comments48.xml><?xml version="1.0" encoding="utf-8"?>
<comments xmlns="http://schemas.openxmlformats.org/spreadsheetml/2006/main">
  <authors>
    <author>Блуметич Ольга Ивановна</author>
    <author>User</author>
  </authors>
  <commentList>
    <comment ref="I5" authorId="0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смета затрат по факту сформирована в бухучете по полезному отпуску потребителям</t>
        </r>
      </text>
    </comment>
    <comment ref="F8" authorId="0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рассчитано на объем полезного отпуска воды</t>
        </r>
      </text>
    </comment>
    <comment ref="G13" authorId="1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ФОТ+страх.взносы</t>
        </r>
      </text>
    </comment>
    <comment ref="I13" authorId="0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ФОТ+страховые</t>
        </r>
      </text>
    </comment>
    <comment ref="L13" authorId="1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ФОТ+страх.взносы
</t>
        </r>
      </text>
    </comment>
    <comment ref="G19" authorId="0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объем плановой подпитки магистральных сетей</t>
        </r>
      </text>
    </comment>
    <comment ref="I19" authorId="0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ПО потребителям</t>
        </r>
      </text>
    </comment>
    <comment ref="L19" authorId="0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объем плановой подпитки магистральных сетей</t>
        </r>
      </text>
    </comment>
  </commentList>
</comments>
</file>

<file path=xl/comments49.xml><?xml version="1.0" encoding="utf-8"?>
<comments xmlns="http://schemas.openxmlformats.org/spreadsheetml/2006/main">
  <authors>
    <author>Блуметич Ольга Ивановна</author>
    <author>Автор</author>
    <author>User</author>
  </authors>
  <commentList>
    <comment ref="I5" authorId="0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смета затрат по факту сформирована в бухучете по полезному отпуску потребителям</t>
        </r>
      </text>
    </comment>
    <comment ref="E13" authorId="1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885,783 - ожид. ФОТ 2013 года, умножается на % роста тарифной ставки 2014/2013
316 - страх.взносы (30% от ФОТ)</t>
        </r>
      </text>
    </comment>
    <comment ref="G13" authorId="2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ФОТ+страх.взносы</t>
        </r>
      </text>
    </comment>
    <comment ref="I13" authorId="0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ФОТ+страховые</t>
        </r>
      </text>
    </comment>
    <comment ref="L13" authorId="2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ФОТ+страх.взносы</t>
        </r>
      </text>
    </comment>
    <comment ref="G19" authorId="0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объем плановой подпитки магистральных сетей</t>
        </r>
      </text>
    </comment>
    <comment ref="I19" authorId="0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ПО потребителям</t>
        </r>
      </text>
    </comment>
    <comment ref="L19" authorId="0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объем плановой подпитки магистральных сетей</t>
        </r>
      </text>
    </comment>
  </commentList>
</comments>
</file>

<file path=xl/comments5.xml><?xml version="1.0" encoding="utf-8"?>
<comments xmlns="http://schemas.openxmlformats.org/spreadsheetml/2006/main">
  <authors>
    <author>Блуметич Ольга Ивановна</author>
  </authors>
  <commentList>
    <comment ref="D60" authorId="0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должен быть равен п.7</t>
        </r>
      </text>
    </comment>
    <comment ref="E60" authorId="0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должен быть равен п.7</t>
        </r>
      </text>
    </comment>
    <comment ref="F60" authorId="0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должен быть равен п.7</t>
        </r>
      </text>
    </comment>
    <comment ref="G60" authorId="0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должен быть равен п.7</t>
        </r>
      </text>
    </comment>
    <comment ref="L60" authorId="0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должен быть равен п.7</t>
        </r>
      </text>
    </comment>
    <comment ref="M60" authorId="0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должен быть равен п.7</t>
        </r>
      </text>
    </comment>
    <comment ref="N60" authorId="0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должен быть равен п.7</t>
        </r>
      </text>
    </comment>
    <comment ref="O60" authorId="0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должен быть равен п.7</t>
        </r>
      </text>
    </comment>
    <comment ref="P60" authorId="0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должен быть равен п.7</t>
        </r>
      </text>
    </comment>
    <comment ref="Q60" authorId="0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должен быть равен п.7</t>
        </r>
      </text>
    </comment>
  </commentList>
</comments>
</file>

<file path=xl/comments50.xml><?xml version="1.0" encoding="utf-8"?>
<comments xmlns="http://schemas.openxmlformats.org/spreadsheetml/2006/main">
  <authors>
    <author>Блуметич Ольга Ивановна</author>
  </authors>
  <commentList>
    <comment ref="I5" authorId="0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смета затрат по факту сформирована в бухучете по полезному отпуску потребителям</t>
        </r>
      </text>
    </comment>
    <comment ref="L19" authorId="0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объем плановой подпитки магистральных сетей</t>
        </r>
      </text>
    </comment>
  </commentList>
</comments>
</file>

<file path=xl/comments51.xml><?xml version="1.0" encoding="utf-8"?>
<comments xmlns="http://schemas.openxmlformats.org/spreadsheetml/2006/main">
  <authors>
    <author>Автор</author>
  </authors>
  <commentList>
    <comment ref="E1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885,783 - ожид. ФОТ 2013 года, умножается на % роста тарифной ставки 2014/2013
316 - страх.взносы (30% от ФОТ)</t>
        </r>
      </text>
    </comment>
  </commentList>
</comments>
</file>

<file path=xl/comments52.xml><?xml version="1.0" encoding="utf-8"?>
<comments xmlns="http://schemas.openxmlformats.org/spreadsheetml/2006/main">
  <authors>
    <author>Автор</author>
  </authors>
  <commentList>
    <comment ref="E1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885,783 - ожид. ФОТ 2013 года, умножается на % роста тарифной ставки 2014/2013
316 - страх.взносы (30% от ФОТ)</t>
        </r>
      </text>
    </comment>
  </commentList>
</comments>
</file>

<file path=xl/comments53.xml><?xml version="1.0" encoding="utf-8"?>
<comments xmlns="http://schemas.openxmlformats.org/spreadsheetml/2006/main">
  <authors>
    <author>Блуметич Ольга Ивановна</author>
  </authors>
  <commentList>
    <comment ref="F9" authorId="0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полезный отпуск потребителям</t>
        </r>
      </text>
    </comment>
    <comment ref="L9" authorId="0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объем плановой подпитки</t>
        </r>
      </text>
    </comment>
    <comment ref="O9" authorId="0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объем плановой подпитки</t>
        </r>
      </text>
    </comment>
  </commentList>
</comments>
</file>

<file path=xl/comments6.xml><?xml version="1.0" encoding="utf-8"?>
<comments xmlns="http://schemas.openxmlformats.org/spreadsheetml/2006/main">
  <authors>
    <author>Блуметич Ольга Ивановна</author>
  </authors>
  <commentList>
    <comment ref="D24" authorId="0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должен быть равен п.3
</t>
        </r>
      </text>
    </comment>
    <comment ref="E24" authorId="0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должен быть равен п.3
</t>
        </r>
      </text>
    </comment>
    <comment ref="F24" authorId="0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должен быть равен п.3
</t>
        </r>
      </text>
    </comment>
    <comment ref="G24" authorId="0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должен быть равен п.3
</t>
        </r>
      </text>
    </comment>
    <comment ref="L24" authorId="0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должен быть равен п.3
</t>
        </r>
      </text>
    </comment>
    <comment ref="M24" authorId="0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должен быть равен п.3
</t>
        </r>
      </text>
    </comment>
    <comment ref="N24" authorId="0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должен быть равен п.3
</t>
        </r>
      </text>
    </comment>
    <comment ref="O24" authorId="0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должен быть равен п.3
</t>
        </r>
      </text>
    </comment>
    <comment ref="P24" authorId="0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должен быть равен п.3
</t>
        </r>
      </text>
    </comment>
    <comment ref="Q24" authorId="0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должен быть равен п.3
</t>
        </r>
      </text>
    </comment>
    <comment ref="D60" authorId="0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должен быть равен п.7
</t>
        </r>
      </text>
    </comment>
    <comment ref="E60" authorId="0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должен быть равен п.7
</t>
        </r>
      </text>
    </comment>
    <comment ref="F60" authorId="0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должен быть равен п.7
</t>
        </r>
      </text>
    </comment>
    <comment ref="G60" authorId="0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должен быть равен п.7
</t>
        </r>
      </text>
    </comment>
    <comment ref="L60" authorId="0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должен быть равен п.7
</t>
        </r>
      </text>
    </comment>
    <comment ref="M60" authorId="0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должен быть равен п.7
</t>
        </r>
      </text>
    </comment>
    <comment ref="N60" authorId="0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должен быть равен п.7
</t>
        </r>
      </text>
    </comment>
    <comment ref="O60" authorId="0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должен быть равен п.7
</t>
        </r>
      </text>
    </comment>
    <comment ref="P60" authorId="0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должен быть равен п.7
</t>
        </r>
      </text>
    </comment>
    <comment ref="Q60" authorId="0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должен быть равен п.7
</t>
        </r>
      </text>
    </comment>
  </commentList>
</comments>
</file>

<file path=xl/comments7.xml><?xml version="1.0" encoding="utf-8"?>
<comments xmlns="http://schemas.openxmlformats.org/spreadsheetml/2006/main">
  <authors>
    <author>Блуметич Ольга Ивановна</author>
  </authors>
  <commentList>
    <comment ref="D60" authorId="0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должен быть равен п.7
</t>
        </r>
      </text>
    </comment>
    <comment ref="E60" authorId="0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должен быть равен п.7
</t>
        </r>
      </text>
    </comment>
    <comment ref="F60" authorId="0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должен быть равен п.7
</t>
        </r>
      </text>
    </comment>
    <comment ref="G60" authorId="0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должен быть равен п.7
</t>
        </r>
      </text>
    </comment>
    <comment ref="L60" authorId="0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должен быть равен п.7
</t>
        </r>
      </text>
    </comment>
    <comment ref="M60" authorId="0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должен быть равен п.7
</t>
        </r>
      </text>
    </comment>
    <comment ref="N60" authorId="0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должен быть равен п.7
</t>
        </r>
      </text>
    </comment>
    <comment ref="O60" authorId="0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должен быть равен п.7
</t>
        </r>
      </text>
    </comment>
    <comment ref="P60" authorId="0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должен быть равен п.7
</t>
        </r>
      </text>
    </comment>
    <comment ref="Q60" authorId="0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должен быть равен п.7
</t>
        </r>
      </text>
    </comment>
  </commentList>
</comments>
</file>

<file path=xl/comments8.xml><?xml version="1.0" encoding="utf-8"?>
<comments xmlns="http://schemas.openxmlformats.org/spreadsheetml/2006/main">
  <authors>
    <author>Блуметич Ольга Ивановна</author>
  </authors>
  <commentList>
    <comment ref="A99" authorId="0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взято из Экспертного заключения по эл/энергии, табл.П1.10</t>
        </r>
      </text>
    </comment>
  </commentList>
</comments>
</file>

<file path=xl/comments9.xml><?xml version="1.0" encoding="utf-8"?>
<comments xmlns="http://schemas.openxmlformats.org/spreadsheetml/2006/main">
  <authors>
    <author>Шершнева Н. А.</author>
    <author>Блуметич Ольга Ивановна</author>
  </authors>
  <commentList>
    <comment ref="C7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D11" authorId="1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22729 - покупная от Оборонэнерго
204389 - покупная от Камчатскэнерго</t>
        </r>
      </text>
    </comment>
    <comment ref="C12" authorId="1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учтена только вода на технологию</t>
        </r>
      </text>
    </comment>
    <comment ref="D12" authorId="1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24634 - вода на технологию
</t>
        </r>
      </text>
    </comment>
    <comment ref="B41" authorId="1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с учетом комиссионного вознаграждения МАУ РКЦ по ведению прямых расчетов с потребителями</t>
        </r>
      </text>
    </comment>
    <comment ref="D69" authorId="1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Приказы КЭ № 531А, 533А, 535А от 31.12.2013</t>
        </r>
      </text>
    </comment>
    <comment ref="B74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прочие из прибыли
плата за выбросы сверхлимита</t>
        </r>
      </text>
    </comment>
    <comment ref="D81" authorId="1">
      <text>
        <r>
          <rPr>
            <b/>
            <sz val="9"/>
            <color indexed="81"/>
            <rFont val="Tahoma"/>
            <family val="2"/>
            <charset val="204"/>
          </rPr>
          <t>Блуметич Ольга Ивановна:</t>
        </r>
        <r>
          <rPr>
            <sz val="9"/>
            <color indexed="81"/>
            <rFont val="Tahoma"/>
            <family val="2"/>
            <charset val="204"/>
          </rPr>
          <t xml:space="preserve">
9449 - списание ДЗ за счет РСД в 2013
19548 - прямое списание ДЗ 2013</t>
        </r>
      </text>
    </comment>
    <comment ref="C91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4 763 399
</t>
        </r>
      </text>
    </comment>
    <comment ref="C103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533 442
</t>
        </r>
      </text>
    </comment>
    <comment ref="K103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105340</t>
        </r>
      </text>
    </comment>
    <comment ref="L103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29521</t>
        </r>
      </text>
    </comment>
    <comment ref="M103" authorId="0">
      <text>
        <r>
          <rPr>
            <b/>
            <sz val="8"/>
            <color indexed="81"/>
            <rFont val="Tahoma"/>
            <family val="2"/>
            <charset val="204"/>
          </rPr>
          <t>Шершнева Н. А.:</t>
        </r>
        <r>
          <rPr>
            <sz val="8"/>
            <color indexed="81"/>
            <rFont val="Tahoma"/>
            <family val="2"/>
            <charset val="204"/>
          </rPr>
          <t xml:space="preserve">
75819</t>
        </r>
      </text>
    </comment>
  </commentList>
</comments>
</file>

<file path=xl/sharedStrings.xml><?xml version="1.0" encoding="utf-8"?>
<sst xmlns="http://schemas.openxmlformats.org/spreadsheetml/2006/main" count="25087" uniqueCount="1965">
  <si>
    <t>№
п/п</t>
  </si>
  <si>
    <t>Показатели</t>
  </si>
  <si>
    <t>Единица измерения</t>
  </si>
  <si>
    <t>1.2.2.5</t>
  </si>
  <si>
    <t>1</t>
  </si>
  <si>
    <t>1.1</t>
  </si>
  <si>
    <t>1.1.1</t>
  </si>
  <si>
    <t>1.1.2</t>
  </si>
  <si>
    <t>1.1.3</t>
  </si>
  <si>
    <t>1.1.4</t>
  </si>
  <si>
    <t>1.1.5</t>
  </si>
  <si>
    <t>1.2</t>
  </si>
  <si>
    <t>1.2.1</t>
  </si>
  <si>
    <t>1.2.1.1</t>
  </si>
  <si>
    <t>1.2.1.2</t>
  </si>
  <si>
    <t>1.2.1.3</t>
  </si>
  <si>
    <t>1.2.1.4</t>
  </si>
  <si>
    <t>1.2.1.5</t>
  </si>
  <si>
    <t>1.2.2</t>
  </si>
  <si>
    <t>1.2.2.1</t>
  </si>
  <si>
    <t>1.2.2.2</t>
  </si>
  <si>
    <t>1.2.2.3</t>
  </si>
  <si>
    <t>1.2.2.4</t>
  </si>
  <si>
    <t>2</t>
  </si>
  <si>
    <t>2.1</t>
  </si>
  <si>
    <t>2.1.1</t>
  </si>
  <si>
    <t>…</t>
  </si>
  <si>
    <t>3</t>
  </si>
  <si>
    <t>3.1</t>
  </si>
  <si>
    <t>3.1.1</t>
  </si>
  <si>
    <t>4</t>
  </si>
  <si>
    <t>4.1</t>
  </si>
  <si>
    <t>4.2</t>
  </si>
  <si>
    <t>4.3</t>
  </si>
  <si>
    <t>4.4</t>
  </si>
  <si>
    <t>Приложение 3.1</t>
  </si>
  <si>
    <t>Основные производственные показатели регулируемой организации</t>
  </si>
  <si>
    <t>Протяженность тепловых сетей в 2-
трубном исчислении, в том числе:</t>
  </si>
  <si>
    <t>Надземная (наземная) прокладка</t>
  </si>
  <si>
    <t>50 - 250 мм</t>
  </si>
  <si>
    <t>251 - 400 мм</t>
  </si>
  <si>
    <t>401 - 550 мм</t>
  </si>
  <si>
    <t>551 - 700 мм</t>
  </si>
  <si>
    <t>701 мм и выше</t>
  </si>
  <si>
    <t>Подземная прокладка, в том числе:</t>
  </si>
  <si>
    <t>канальная прокладка</t>
  </si>
  <si>
    <t>бесканальная прокладка</t>
  </si>
  <si>
    <t>Источники тепловой энергии с установленной генерирующей мощностью 25 МВт и более</t>
  </si>
  <si>
    <t>Источник тепловой энергии 1</t>
  </si>
  <si>
    <t>Установленная тепловая мощность 1 источника тепловой энергии</t>
  </si>
  <si>
    <t>и т.д.</t>
  </si>
  <si>
    <t>Источники тепловой энергии с установленной генерирующей мощностью менее 25 МВт</t>
  </si>
  <si>
    <t>км</t>
  </si>
  <si>
    <t>Гкал/ч</t>
  </si>
  <si>
    <t>Суммарная установленная мощность источников тепловой энергии</t>
  </si>
  <si>
    <t>в т.ч. ТЭЦ 25 МВт и более</t>
  </si>
  <si>
    <t xml:space="preserve"> ТЭЦ менее 25 МВт</t>
  </si>
  <si>
    <t xml:space="preserve"> котельные</t>
  </si>
  <si>
    <t xml:space="preserve"> электробойлерные</t>
  </si>
  <si>
    <t>№№
п/п</t>
  </si>
  <si>
    <t>Приложение 4.1</t>
  </si>
  <si>
    <t>Расчет полезного отпуска тепловой энергии</t>
  </si>
  <si>
    <t>(тыс. Гкал)</t>
  </si>
  <si>
    <t>всего</t>
  </si>
  <si>
    <t>в том числе</t>
  </si>
  <si>
    <t>вода</t>
  </si>
  <si>
    <t>отборный пар</t>
  </si>
  <si>
    <r>
      <t>2,5 - 7,0 кгс/см</t>
    </r>
    <r>
      <rPr>
        <vertAlign val="superscript"/>
        <sz val="11"/>
        <rFont val="Times New Roman"/>
        <family val="1"/>
        <charset val="204"/>
      </rPr>
      <t>2</t>
    </r>
  </si>
  <si>
    <t>острый и редуциро-ванный пар</t>
  </si>
  <si>
    <t>Отпуск тепловой энергии, поставляемой с коллекторов источника тепловой энергии, всего</t>
  </si>
  <si>
    <t>в том числе:</t>
  </si>
  <si>
    <t>- ТЭЦ 25 МВт и более</t>
  </si>
  <si>
    <t>- ТЭЦ менее 25 МВт</t>
  </si>
  <si>
    <t>- котельные</t>
  </si>
  <si>
    <t>- электробойлерные</t>
  </si>
  <si>
    <t>Покупная теплоэнергия</t>
  </si>
  <si>
    <t>Расход тепловой энергии на хозяйственные нужды</t>
  </si>
  <si>
    <t>Отпуск тепловой энергии от источника тепловой энергии (полезный отпуск)</t>
  </si>
  <si>
    <t>5</t>
  </si>
  <si>
    <t>Потери тепловой энергии в сети (нормативные)*</t>
  </si>
  <si>
    <t>5.1</t>
  </si>
  <si>
    <t>- через изоляцию</t>
  </si>
  <si>
    <t>5.2</t>
  </si>
  <si>
    <t>- с потерями теплоносителя</t>
  </si>
  <si>
    <t>5.3</t>
  </si>
  <si>
    <t>то же в % к отпуску тепловой энергии от источника тепловой энергии</t>
  </si>
  <si>
    <t>6</t>
  </si>
  <si>
    <t>Отпуск тепловой энергии из тепловой сети (полезный отпуск), всего</t>
  </si>
  <si>
    <t>Примечания:</t>
  </si>
  <si>
    <t>1.</t>
  </si>
  <si>
    <t>Заполняется по каждому источнику тепловой энергии, по каждой системе теплоснабжения, если при установлении цен (тарифов) применяется такая дифференциация, по каждой организации, осуществляющей деятельность по производству тепловой энергии, в целом по единой теплоснабжающей организации.</t>
  </si>
  <si>
    <t>2.</t>
  </si>
  <si>
    <t>В стр. 3 заполняется расход тепловой энергии на хозяйственные нужды только на источнике тепловой энергии.</t>
  </si>
  <si>
    <t>3.</t>
  </si>
  <si>
    <t>Стр. 4 = стр. 1 + стр. 2 - стр. 3.</t>
  </si>
  <si>
    <t>4.</t>
  </si>
  <si>
    <t>Стр. 6 = стр. 4 - стр. 5.</t>
  </si>
  <si>
    <t>5.</t>
  </si>
  <si>
    <t>В строке 5 указываются фактические потери тепловой энергии в сети в случае, предусмотренном пунктом 90 Основ ценообразования в сфере теплоснабжения, утвержденных постановлением Правительства Российской Федерации от 22.10.2012 № 1075.</t>
  </si>
  <si>
    <t>Приложение 4.2</t>
  </si>
  <si>
    <t>Расчет полезного отпуска теплоносителя</t>
  </si>
  <si>
    <r>
      <t>(тыс. м</t>
    </r>
    <r>
      <rPr>
        <vertAlign val="superscript"/>
        <sz val="11"/>
        <rFont val="Times New Roman"/>
        <family val="1"/>
        <charset val="204"/>
      </rPr>
      <t>3</t>
    </r>
    <r>
      <rPr>
        <sz val="11"/>
        <rFont val="Times New Roman"/>
        <family val="1"/>
        <charset val="204"/>
      </rPr>
      <t>)</t>
    </r>
  </si>
  <si>
    <t>пар</t>
  </si>
  <si>
    <t>Производство теплоносителя, всего</t>
  </si>
  <si>
    <t>Покупной теплоноситель,</t>
  </si>
  <si>
    <t>Расход теплоносителя на хозяйственные нужды</t>
  </si>
  <si>
    <t>Отпуск теплоносителя в сеть</t>
  </si>
  <si>
    <t>Нормативные потери при передаче теплоносителя</t>
  </si>
  <si>
    <t>Объем возвращенного теплоносителя</t>
  </si>
  <si>
    <t>7</t>
  </si>
  <si>
    <t>Полезный отпуск теплоносителя потребителям</t>
  </si>
  <si>
    <t>Заполняется по каждому источнику тепловой энергии, по каждой системе теплоснабжения, если при установлении цен (тарифов) применяется такая дифференциация, по каждой организации, осуществляющей деятельность по производству тепловой энергии, теплоносителя, в целом по единой теплоснабжающей организации.</t>
  </si>
  <si>
    <t>Стр. 7 = стр. 4 - стр. 5 - стр. 6.</t>
  </si>
  <si>
    <t>Приложение 4.3</t>
  </si>
  <si>
    <t>Структура полезного отпуска тепловой энергии (мощности)</t>
  </si>
  <si>
    <t>Суммарная договорная (заявленная) тепловая нагрузка по всем догово-рам тепло-снабжения, Гкал/час</t>
  </si>
  <si>
    <t>в т.ч. по нерегули-руемым договорам, Гкал/час</t>
  </si>
  <si>
    <t>Суммарный полезный отпуск тепловой энергии энергия,
тыс. Гкал</t>
  </si>
  <si>
    <t>в т.ч. по нерегули-руемым договорам, тыс. Гкал</t>
  </si>
  <si>
    <t>Всего отпущено потребителям</t>
  </si>
  <si>
    <t>Вода</t>
  </si>
  <si>
    <t>Отборный пар</t>
  </si>
  <si>
    <t>- от 1,2 до 2,5 кгс/кв. см</t>
  </si>
  <si>
    <t>- от 2,5 до 7,0 кгс/кв. см</t>
  </si>
  <si>
    <t>- от 7,0 до 13,0 кгс/кв. см</t>
  </si>
  <si>
    <t>- свыше 13,0 кгс/кв. см</t>
  </si>
  <si>
    <t>Острый и редуцированный пар</t>
  </si>
  <si>
    <t>В том числе
Население</t>
  </si>
  <si>
    <t>Заполняется по каждому источнику тепловой энергии, по каждой системе теплоснабжения, если при установлении цен (тарифов) применяется такая дифференциация, по каждой теплоснабжающей, теплосетевой организации, в целом по единой теплоснабжающей организации.</t>
  </si>
  <si>
    <t>Может заполняться с помесячной разбивкой.</t>
  </si>
  <si>
    <t>Приложение 4.4</t>
  </si>
  <si>
    <t>Расчет расхода топлива по электростанциям (котельным)</t>
  </si>
  <si>
    <t>№ п/п</t>
  </si>
  <si>
    <t>Выработка электроэнергии, всего</t>
  </si>
  <si>
    <t>млн. кВтч</t>
  </si>
  <si>
    <t>Расход электроэнергии на собственные нужды:</t>
  </si>
  <si>
    <t>на производство электроэнергии</t>
  </si>
  <si>
    <t>то же в % к выработке электроэнергии</t>
  </si>
  <si>
    <t>%</t>
  </si>
  <si>
    <t>2.2</t>
  </si>
  <si>
    <t>на производство тепловой энергии</t>
  </si>
  <si>
    <t>2.2.1</t>
  </si>
  <si>
    <t>то же в кВтч/Гкал</t>
  </si>
  <si>
    <t>кВтч/Гкал</t>
  </si>
  <si>
    <t>Отпуск электроэнергии с шин</t>
  </si>
  <si>
    <t>Расход электроэнергии на производственные
и хозяйственные нужды</t>
  </si>
  <si>
    <t>то же в % к отпуску с шин</t>
  </si>
  <si>
    <t>Расход электроэнергии на потери в трансформаторах</t>
  </si>
  <si>
    <t>Полезный отпуск электроэнергии в сеть</t>
  </si>
  <si>
    <t>Отпуск тепловой энергии, поставляемой с коллекторов источника тепловой энергии</t>
  </si>
  <si>
    <t>тыс. Гкал</t>
  </si>
  <si>
    <t>8</t>
  </si>
  <si>
    <t>Расход теплоэнергии на хозяйственные нужды:</t>
  </si>
  <si>
    <t>8.1</t>
  </si>
  <si>
    <t>то же в % к отпуску теплоэнергии</t>
  </si>
  <si>
    <t>9</t>
  </si>
  <si>
    <t>10</t>
  </si>
  <si>
    <t>11</t>
  </si>
  <si>
    <t>Нормативный удельный расход условного топлива на производство электроэнергии</t>
  </si>
  <si>
    <t>г/кВтч</t>
  </si>
  <si>
    <t>12</t>
  </si>
  <si>
    <t>Расход условного топлива на производство электроэнергии</t>
  </si>
  <si>
    <t>тыс. тут</t>
  </si>
  <si>
    <t>13</t>
  </si>
  <si>
    <t>14</t>
  </si>
  <si>
    <t>Нормативный удельный расход условного топлива на производство тепловой энергии</t>
  </si>
  <si>
    <t>кг/Гкал</t>
  </si>
  <si>
    <t>15</t>
  </si>
  <si>
    <t>Итого расход условного топлива на производство тепловой энергии</t>
  </si>
  <si>
    <t>16</t>
  </si>
  <si>
    <t>Расход т у.т., всего</t>
  </si>
  <si>
    <t>17</t>
  </si>
  <si>
    <t>Удельный вес расхода топлива на производство тепловой энергии (п. 15/п. 16)</t>
  </si>
  <si>
    <t>18</t>
  </si>
  <si>
    <t>Расход условного топлива</t>
  </si>
  <si>
    <t>18.1</t>
  </si>
  <si>
    <t>уголь всего, в том числе:</t>
  </si>
  <si>
    <t>18.2</t>
  </si>
  <si>
    <t>мазут</t>
  </si>
  <si>
    <t>18.3</t>
  </si>
  <si>
    <t>газ всего, в том числе:</t>
  </si>
  <si>
    <t>18.3.1</t>
  </si>
  <si>
    <t>газ лимитный</t>
  </si>
  <si>
    <t>18.3.2</t>
  </si>
  <si>
    <t>газ сверхлимитный</t>
  </si>
  <si>
    <t>18.3.3</t>
  </si>
  <si>
    <t>газ коммерческий</t>
  </si>
  <si>
    <t>18.4</t>
  </si>
  <si>
    <t>др. виды топлива</t>
  </si>
  <si>
    <t>18.5</t>
  </si>
  <si>
    <t>19</t>
  </si>
  <si>
    <t>Доля</t>
  </si>
  <si>
    <t>19.1</t>
  </si>
  <si>
    <t>19.2</t>
  </si>
  <si>
    <t>19.3</t>
  </si>
  <si>
    <t>19.3.1</t>
  </si>
  <si>
    <t>19.3.2</t>
  </si>
  <si>
    <t>19.3.3</t>
  </si>
  <si>
    <t>19.4</t>
  </si>
  <si>
    <t>20</t>
  </si>
  <si>
    <t>Переводной коэффициент</t>
  </si>
  <si>
    <t>20.1</t>
  </si>
  <si>
    <t>20.2</t>
  </si>
  <si>
    <t>20.3</t>
  </si>
  <si>
    <t>20.3.1</t>
  </si>
  <si>
    <t>20.3.2</t>
  </si>
  <si>
    <t>20.3.3</t>
  </si>
  <si>
    <t>20.4</t>
  </si>
  <si>
    <t>21</t>
  </si>
  <si>
    <t>Расход натурального топлива</t>
  </si>
  <si>
    <t>21.1</t>
  </si>
  <si>
    <t>тыс. тнт</t>
  </si>
  <si>
    <t>21.2</t>
  </si>
  <si>
    <t>21.3</t>
  </si>
  <si>
    <t>млн. куб. м</t>
  </si>
  <si>
    <t>21.3.1</t>
  </si>
  <si>
    <t>21.3.2</t>
  </si>
  <si>
    <t>21.3.3</t>
  </si>
  <si>
    <t>21.4</t>
  </si>
  <si>
    <t>22</t>
  </si>
  <si>
    <t>Индекс роста цен натурального топлива</t>
  </si>
  <si>
    <t>22.1</t>
  </si>
  <si>
    <t>22.2</t>
  </si>
  <si>
    <t>22.3</t>
  </si>
  <si>
    <t>22.3.1</t>
  </si>
  <si>
    <t>22.3.2</t>
  </si>
  <si>
    <t>22.3.3</t>
  </si>
  <si>
    <t>22.4</t>
  </si>
  <si>
    <t>23</t>
  </si>
  <si>
    <t>Цена натурального топлива</t>
  </si>
  <si>
    <t>23.1</t>
  </si>
  <si>
    <t>руб./тнт</t>
  </si>
  <si>
    <t>23.2</t>
  </si>
  <si>
    <t>23.3</t>
  </si>
  <si>
    <t>23.3.1</t>
  </si>
  <si>
    <t>23.3.2</t>
  </si>
  <si>
    <t>23.3.3</t>
  </si>
  <si>
    <t>23.4</t>
  </si>
  <si>
    <t>24</t>
  </si>
  <si>
    <t>Стоимость натурального топлива</t>
  </si>
  <si>
    <t>тыс. руб.</t>
  </si>
  <si>
    <t>24.1</t>
  </si>
  <si>
    <t>24.2</t>
  </si>
  <si>
    <t>24.3</t>
  </si>
  <si>
    <t>24.3.1</t>
  </si>
  <si>
    <t>24.3.2</t>
  </si>
  <si>
    <t>24.3.3</t>
  </si>
  <si>
    <t>24.4</t>
  </si>
  <si>
    <t>24.5</t>
  </si>
  <si>
    <t>25</t>
  </si>
  <si>
    <t>Стоимость натурального топлива на производство тепловой энергии по видам топлива</t>
  </si>
  <si>
    <t>25.1</t>
  </si>
  <si>
    <t>25.2</t>
  </si>
  <si>
    <t>25.3</t>
  </si>
  <si>
    <t>25.3.1</t>
  </si>
  <si>
    <t>25.3.2</t>
  </si>
  <si>
    <t>25.3.3</t>
  </si>
  <si>
    <t>26</t>
  </si>
  <si>
    <t>Индекс роста тарифа ж/д перевозки/тарифа ГРО, ПССУ</t>
  </si>
  <si>
    <t>26.1</t>
  </si>
  <si>
    <t>26.2</t>
  </si>
  <si>
    <t>26.3</t>
  </si>
  <si>
    <t>26.3.1</t>
  </si>
  <si>
    <t>26.3.2</t>
  </si>
  <si>
    <t>26.3.3</t>
  </si>
  <si>
    <t>26.4</t>
  </si>
  <si>
    <t>27</t>
  </si>
  <si>
    <t>Тариф ж/д перевозки/тариф ГРО, ПССУ</t>
  </si>
  <si>
    <t>27.1</t>
  </si>
  <si>
    <t>27.2</t>
  </si>
  <si>
    <t>27.3</t>
  </si>
  <si>
    <t>27.3.1</t>
  </si>
  <si>
    <t>27.3.2</t>
  </si>
  <si>
    <t>27.3.3</t>
  </si>
  <si>
    <t>27.4</t>
  </si>
  <si>
    <t>28</t>
  </si>
  <si>
    <t>Стоимость ж/д перевозки</t>
  </si>
  <si>
    <t>28.1</t>
  </si>
  <si>
    <t>28.2</t>
  </si>
  <si>
    <t>28.3</t>
  </si>
  <si>
    <t>28.3.1</t>
  </si>
  <si>
    <t>28.3.2</t>
  </si>
  <si>
    <t>28.3.3</t>
  </si>
  <si>
    <t>28.4</t>
  </si>
  <si>
    <t>28.5</t>
  </si>
  <si>
    <t>29</t>
  </si>
  <si>
    <t>Стоимость ж/д перевозки на производство тепловой энергии по видам топлива</t>
  </si>
  <si>
    <t>29.1</t>
  </si>
  <si>
    <t>29.2</t>
  </si>
  <si>
    <t>29.3</t>
  </si>
  <si>
    <t>29.3.1</t>
  </si>
  <si>
    <t>29.3.2</t>
  </si>
  <si>
    <t>29.3.3</t>
  </si>
  <si>
    <t>29.4</t>
  </si>
  <si>
    <t>30</t>
  </si>
  <si>
    <t>Стоимость натурального топлива с учетом перевозки</t>
  </si>
  <si>
    <t>30.1</t>
  </si>
  <si>
    <t>30.2</t>
  </si>
  <si>
    <t>30.3</t>
  </si>
  <si>
    <t>30.3.1</t>
  </si>
  <si>
    <t>30.3.2</t>
  </si>
  <si>
    <t>30.3.3</t>
  </si>
  <si>
    <t>30.4</t>
  </si>
  <si>
    <t>30.5</t>
  </si>
  <si>
    <t>31</t>
  </si>
  <si>
    <t>Цена условного топлива с учетом перевозки</t>
  </si>
  <si>
    <t>руб./тут</t>
  </si>
  <si>
    <t>31.1</t>
  </si>
  <si>
    <t>31.2</t>
  </si>
  <si>
    <t>31.3</t>
  </si>
  <si>
    <t>31.3.1</t>
  </si>
  <si>
    <t>31.3.2</t>
  </si>
  <si>
    <t>31.3.3</t>
  </si>
  <si>
    <t>31.4</t>
  </si>
  <si>
    <t>31.5</t>
  </si>
  <si>
    <t>32</t>
  </si>
  <si>
    <t>Цена натурального топлива с учетом перевозки</t>
  </si>
  <si>
    <t>32.1</t>
  </si>
  <si>
    <t>32.2</t>
  </si>
  <si>
    <t>32.3</t>
  </si>
  <si>
    <t>32.3.1</t>
  </si>
  <si>
    <t>32.3.2</t>
  </si>
  <si>
    <t>32.3.3</t>
  </si>
  <si>
    <t>32.4</t>
  </si>
  <si>
    <t>33</t>
  </si>
  <si>
    <t>Топливная составляющая тарифа</t>
  </si>
  <si>
    <t>руб./Гкал</t>
  </si>
  <si>
    <t>Приложение 4.5</t>
  </si>
  <si>
    <t>Расчет баланса топлива</t>
  </si>
  <si>
    <t>Электро-станция (котельная)</t>
  </si>
  <si>
    <t>Вид топлива/
Калорийность топлива,
ккал/кг н.т</t>
  </si>
  <si>
    <t>Остаток на начало периода</t>
  </si>
  <si>
    <t>Приход натурального топлива</t>
  </si>
  <si>
    <t>Остаток на конец периода</t>
  </si>
  <si>
    <t>всего, тыс. т.н.т.</t>
  </si>
  <si>
    <t>цена, руб./т.н.т.</t>
  </si>
  <si>
    <t>стоимость, тыс. руб.</t>
  </si>
  <si>
    <t>всего, т.н.т.</t>
  </si>
  <si>
    <t>цена франко
станция</t>
  </si>
  <si>
    <t>дальность
перевозки</t>
  </si>
  <si>
    <t>тариф на перевозку</t>
  </si>
  <si>
    <t>норматив потерь при перевозке</t>
  </si>
  <si>
    <t>цена франко станция назначения, руб./т.н.т.</t>
  </si>
  <si>
    <t>ТЭС 1</t>
  </si>
  <si>
    <t>Газ …</t>
  </si>
  <si>
    <t>Уголь …</t>
  </si>
  <si>
    <t>Мазут</t>
  </si>
  <si>
    <t>Торф</t>
  </si>
  <si>
    <t>Прочие</t>
  </si>
  <si>
    <t>Всего</t>
  </si>
  <si>
    <t>1. К таблице прилагается расшифровка по поставщикам топлива с указанием объемов поставок и согласованных (договорных) цен.</t>
  </si>
  <si>
    <t>2. Гр. 5 = гр. 3 * гр. 4.</t>
  </si>
  <si>
    <t>3. Гр. 11 = (гр. 7 + гр. 8 * гр. 9) * (1 + гр. 10).</t>
  </si>
  <si>
    <r>
      <t>4. Гр. 12 = гр. 6 * гр. 11 * 10</t>
    </r>
    <r>
      <rPr>
        <vertAlign val="superscript"/>
        <sz val="11"/>
        <rFont val="Times New Roman"/>
        <family val="1"/>
        <charset val="204"/>
      </rPr>
      <t>-3</t>
    </r>
    <r>
      <rPr>
        <sz val="11"/>
        <rFont val="Times New Roman"/>
        <family val="1"/>
        <charset val="204"/>
      </rPr>
      <t>.</t>
    </r>
  </si>
  <si>
    <r>
      <t>5. Гр. 14 = (гр. 5 + гр. 12) / (гр. 3 + гр. 6 * 10</t>
    </r>
    <r>
      <rPr>
        <vertAlign val="superscript"/>
        <sz val="11"/>
        <rFont val="Times New Roman"/>
        <family val="1"/>
        <charset val="204"/>
      </rPr>
      <t>-3</t>
    </r>
    <r>
      <rPr>
        <sz val="11"/>
        <rFont val="Times New Roman"/>
        <family val="1"/>
        <charset val="204"/>
      </rPr>
      <t>).</t>
    </r>
  </si>
  <si>
    <r>
      <t>6. Гр. 15 = гр. 13 * гр. 14 * 10</t>
    </r>
    <r>
      <rPr>
        <vertAlign val="superscript"/>
        <sz val="11"/>
        <rFont val="Times New Roman"/>
        <family val="1"/>
        <charset val="204"/>
      </rPr>
      <t>-3</t>
    </r>
    <r>
      <rPr>
        <sz val="11"/>
        <rFont val="Times New Roman"/>
        <family val="1"/>
        <charset val="204"/>
      </rPr>
      <t>.</t>
    </r>
  </si>
  <si>
    <r>
      <t>7. Гр. 16 = гр. 3 + гр. 6 * 10</t>
    </r>
    <r>
      <rPr>
        <vertAlign val="superscript"/>
        <sz val="11"/>
        <rFont val="Times New Roman"/>
        <family val="1"/>
        <charset val="204"/>
      </rPr>
      <t>-3</t>
    </r>
    <r>
      <rPr>
        <sz val="11"/>
        <rFont val="Times New Roman"/>
        <family val="1"/>
        <charset val="204"/>
      </rPr>
      <t xml:space="preserve"> - гр. 13 * 10</t>
    </r>
    <r>
      <rPr>
        <vertAlign val="superscript"/>
        <sz val="11"/>
        <rFont val="Times New Roman"/>
        <family val="1"/>
        <charset val="204"/>
      </rPr>
      <t>-3</t>
    </r>
    <r>
      <rPr>
        <sz val="11"/>
        <rFont val="Times New Roman"/>
        <family val="1"/>
        <charset val="204"/>
      </rPr>
      <t>.</t>
    </r>
  </si>
  <si>
    <t>8. Гр. 17 = гр. 14.</t>
  </si>
  <si>
    <t>9. Гр. 18 = гр. 5 + гр. 12 - гр. 15.</t>
  </si>
  <si>
    <t>Приложение 4.6</t>
  </si>
  <si>
    <t>(тыс. руб.)</t>
  </si>
  <si>
    <t>I</t>
  </si>
  <si>
    <t>Расходы, связанные с производством и реализацией продукции (услуг), всего</t>
  </si>
  <si>
    <t>- расходы на сырье и материалы</t>
  </si>
  <si>
    <t>- расходы на топливо</t>
  </si>
  <si>
    <t>- расходы на прочие покупаемые энергетические ресурсы</t>
  </si>
  <si>
    <t>- расходы на холодную воду</t>
  </si>
  <si>
    <t>- расходы на теплоноситель</t>
  </si>
  <si>
    <t>- амортизация основных средств и нематериальных активов</t>
  </si>
  <si>
    <t>- отчисления на социальные нужды</t>
  </si>
  <si>
    <t>- ремонт основных средств, выполняемый подрядным способом</t>
  </si>
  <si>
    <t>- расходы на оплату услуг, оказываемых организациями, осуществляющими регулируемую деятельность</t>
  </si>
  <si>
    <t>- расходы на выполнение работ и услуг производственного характера, выполняемых по договорам со сторонними организациями или индивидуальными предпринимателями</t>
  </si>
  <si>
    <t>- расходы на оплату иных работ и услуг, выполняемых по договорам с организациями, включая расходы на оплату услуг связи, вневедомственной охраны, коммунальных услуг, юридических, информационных, аудиторских и консультационных услуг</t>
  </si>
  <si>
    <t>- плата за выбросы и сбросы загрязняющих веществ в окружающую среду, размещение отходов и другие виды негативного воздействия на окружающую среду в пределах установленных нормативов и (или) лимитов</t>
  </si>
  <si>
    <t>- арендная плата, концессионная плата, лизинговые платежи</t>
  </si>
  <si>
    <t>- расходы на служебные командировки</t>
  </si>
  <si>
    <t>- расходы на обучение персонала</t>
  </si>
  <si>
    <t>- расходы на страхование производственных объектов, учитываемые при определении налоговой базы по налогу на прибыль</t>
  </si>
  <si>
    <t>- другие расходы, связанные с производством и (или) реализацией продукции, в том числе</t>
  </si>
  <si>
    <t>- налог на имущество организаций</t>
  </si>
  <si>
    <t>- земельный налог</t>
  </si>
  <si>
    <t>- транспортный налог</t>
  </si>
  <si>
    <t>- водный налог</t>
  </si>
  <si>
    <t>- прочие налоги</t>
  </si>
  <si>
    <t>II</t>
  </si>
  <si>
    <t>Внереализационные расходы, всего</t>
  </si>
  <si>
    <t>- расходы на вывод из эксплуатации (в том числе на консервацию) и вывод из консервации</t>
  </si>
  <si>
    <t>- расходы по сомнительным долгам</t>
  </si>
  <si>
    <t>- расходы, связанные с созданием нормативных запасов топлива, включая расходы по обслуживанию заемных средств, привлекаемых для этих целей</t>
  </si>
  <si>
    <t>- другие обоснованные расходы, в том числе</t>
  </si>
  <si>
    <t>III</t>
  </si>
  <si>
    <t>Расходы, не учитываемые в целях налогообложения, всего</t>
  </si>
  <si>
    <t>- расходы на капитальные вложения (инвестиции)</t>
  </si>
  <si>
    <t>- денежные выплаты социального характера (по Коллективному договору)</t>
  </si>
  <si>
    <t>IV</t>
  </si>
  <si>
    <t>Налог на прибыль</t>
  </si>
  <si>
    <t>V</t>
  </si>
  <si>
    <t>Выпадающие доходы/экономия средств</t>
  </si>
  <si>
    <t>VI</t>
  </si>
  <si>
    <t>Необходимая валовая выручка, всего</t>
  </si>
  <si>
    <t>VI.1</t>
  </si>
  <si>
    <t>- на производство электрической энергии</t>
  </si>
  <si>
    <t>VI.2</t>
  </si>
  <si>
    <t>- на производство тепловой энергии</t>
  </si>
  <si>
    <t>VI.3</t>
  </si>
  <si>
    <t>- на производство теплоносителя</t>
  </si>
  <si>
    <t>VI.4</t>
  </si>
  <si>
    <t>- прочая продукция</t>
  </si>
  <si>
    <t>Заполняется по каждому источнику тепловой энергии, по каждой системе теплоснабжения, если при установлении цен (тарифов) применяется такая дифференциация, по каждому виду регулируемой деятельности, по каждой теплоснабжающей, теплосетевой организации, в целом по единой теплоснабжающей организации.</t>
  </si>
  <si>
    <t>Для источников тепловой энергии, функционирующих в режиме комбинированной выработки электрической и тепловой энергии, таблица заполняется в целом по источнику тепловой энергии. Строки VI.1 - VI.4 заполняются по результатам распределения расходов между тепловой и электрической энергией в соответствии с главой VIII Методических указаний.</t>
  </si>
  <si>
    <t>К таблице прилагаются дополнительные материалы, содержащие обоснованный расчет по каждой статье затрат (с указанием плановых (расчетных) цен, экономически обоснованных объемов и применяемых индексов, норм и нормативов расчета) с учетом приложений 4.4, 4.7 - 4.10.</t>
  </si>
  <si>
    <t>Приложение 4.7</t>
  </si>
  <si>
    <t>Расходы на прочие покупаемые энергетические ресурсы</t>
  </si>
  <si>
    <t>Наименование поставщика</t>
  </si>
  <si>
    <t>Объем покупной энергии,
млн. кВт·ч (тыс. Гкал)</t>
  </si>
  <si>
    <t>Расчетная мощность, тыс. кВт (Гкал/ч)</t>
  </si>
  <si>
    <t>Тариф</t>
  </si>
  <si>
    <t>Затраты на покупку,
тыс. руб.</t>
  </si>
  <si>
    <t>односта-вочный</t>
  </si>
  <si>
    <t>двухставочный</t>
  </si>
  <si>
    <t>энергии</t>
  </si>
  <si>
    <t>мощности</t>
  </si>
  <si>
    <t>ставка за мощность</t>
  </si>
  <si>
    <t>ставка за энергию</t>
  </si>
  <si>
    <t>руб./тыс.
кВт·ч (руб./Гкал)</t>
  </si>
  <si>
    <t>руб./MBт
в мес.
(тыс. руб./
Гкал/ч
в мес.)</t>
  </si>
  <si>
    <t>Электрическая энергия, в том числе:</t>
  </si>
  <si>
    <t>оптовый рынок</t>
  </si>
  <si>
    <t>поставщик 1</t>
  </si>
  <si>
    <t>розничный рынок</t>
  </si>
  <si>
    <t>Тепловая энергия, в том числе:</t>
  </si>
  <si>
    <t>поставщик 2</t>
  </si>
  <si>
    <t>2.3</t>
  </si>
  <si>
    <t>n</t>
  </si>
  <si>
    <t>Итого</t>
  </si>
  <si>
    <t>Тепловая энергия</t>
  </si>
  <si>
    <t>Приложение 4.8</t>
  </si>
  <si>
    <t>Расходы на приобретение холодной воды и теплоносителя</t>
  </si>
  <si>
    <t>№
п. п.</t>
  </si>
  <si>
    <t>Вид сырья и материалов</t>
  </si>
  <si>
    <t>Расчетный объем</t>
  </si>
  <si>
    <t>Планируемая (расчетная) цена</t>
  </si>
  <si>
    <t>Расходы на приобретение</t>
  </si>
  <si>
    <t>Расходы на холодную воду, в том числе</t>
  </si>
  <si>
    <t>1.3</t>
  </si>
  <si>
    <t>1.4</t>
  </si>
  <si>
    <t>Расходы на теплоноситель</t>
  </si>
  <si>
    <t>Для источников тепловой энергии, функционирующих в режиме комбинированной выработки электрической и тепловой энергии, таблица заполняется в целом по источнику тепловой энергии. Строки 1.1 - 1.4 заполняются по результатам распределения расходов между тепловой и электрической энергией в соответствии с главой VIII Методических указаний.</t>
  </si>
  <si>
    <t>Гр. 5 = гр. 3 * гр. 4.</t>
  </si>
  <si>
    <t>Гр. 8 = гр. 6 * гр. 7.</t>
  </si>
  <si>
    <t>№ п. п.</t>
  </si>
  <si>
    <t>Численность</t>
  </si>
  <si>
    <t>чел.</t>
  </si>
  <si>
    <t>Нормативная численность</t>
  </si>
  <si>
    <t>в т.ч. привлеченный персонал</t>
  </si>
  <si>
    <t>Нормативная численность ППП</t>
  </si>
  <si>
    <t>без привлеченного персонала</t>
  </si>
  <si>
    <t>Фактическая численность</t>
  </si>
  <si>
    <t>% отношения факта к нормативу</t>
  </si>
  <si>
    <t>Численность на вводы по нормативу</t>
  </si>
  <si>
    <t>1.5</t>
  </si>
  <si>
    <t>Численность, принятая для расчета</t>
  </si>
  <si>
    <t>Средняя зарплата</t>
  </si>
  <si>
    <t>Тарифная ставка рабочего 1-го разряда</t>
  </si>
  <si>
    <t>руб.</t>
  </si>
  <si>
    <t>Дефлятор по заработной плате</t>
  </si>
  <si>
    <t>Тарифная ставка рабочего 1 разряда с учетом дефлятора</t>
  </si>
  <si>
    <t>Средняя ступень оплаты труда</t>
  </si>
  <si>
    <t>Тарифный коэффициент, соответствующий ступени по оплате труда</t>
  </si>
  <si>
    <t>Среднемесячная тарифная ставка ППП</t>
  </si>
  <si>
    <t>2.6</t>
  </si>
  <si>
    <t>Выплаты, связанные с режимом работы, с условиями труда 1 работника:</t>
  </si>
  <si>
    <t>- процент выплаты</t>
  </si>
  <si>
    <t>- сумма выплат</t>
  </si>
  <si>
    <t>2.7</t>
  </si>
  <si>
    <t>Текущее премирование:</t>
  </si>
  <si>
    <t>2.8</t>
  </si>
  <si>
    <t>Вознаграждение за выслугу лет:</t>
  </si>
  <si>
    <t>2.9</t>
  </si>
  <si>
    <t>Выплаты по итогам года:</t>
  </si>
  <si>
    <t>2.10</t>
  </si>
  <si>
    <t>2.11</t>
  </si>
  <si>
    <t>2.12</t>
  </si>
  <si>
    <t>Выплаты по районному коэффициенту и северные надбавки:</t>
  </si>
  <si>
    <t>ИТОГО среднемесячная оплата труда
на 1 работника</t>
  </si>
  <si>
    <t>Первоначальная стоимость осн. фондов на начало периода</t>
  </si>
  <si>
    <t>Здания</t>
  </si>
  <si>
    <t>Сооружения</t>
  </si>
  <si>
    <t>Передаточные устройства</t>
  </si>
  <si>
    <t>Машины и оборудование</t>
  </si>
  <si>
    <t>в т.ч. - силовые машины</t>
  </si>
  <si>
    <t xml:space="preserve"> - рабочие машины</t>
  </si>
  <si>
    <t xml:space="preserve"> - приборы и лаборат. оборудование</t>
  </si>
  <si>
    <t xml:space="preserve"> - вычислительная техника</t>
  </si>
  <si>
    <t xml:space="preserve"> - прочие машины</t>
  </si>
  <si>
    <t>Транспортные средства</t>
  </si>
  <si>
    <t>Инструмент</t>
  </si>
  <si>
    <t>Производственный инвентарь</t>
  </si>
  <si>
    <t>Прочие основные производственные фонды</t>
  </si>
  <si>
    <t>Переоценка стоимости осн. фондов (только положительная или отрицательная разница относительно первоначальной стоимости осн. фондов)</t>
  </si>
  <si>
    <t>Ввод основных производственных фондов</t>
  </si>
  <si>
    <t>Выбытие основных производственных фондов</t>
  </si>
  <si>
    <t>Среднегодовая стоимость основных производственных фондов</t>
  </si>
  <si>
    <t>Норма амортизационных отчислений</t>
  </si>
  <si>
    <t>Сумма амортизационных отчислений</t>
  </si>
  <si>
    <t>Заполняется по каждому источнику тепловой энергии, по каждой системе теплоснабжения, если при установлении цен (тарифов) применяется такая дифференциация, каждому виду регулируемой деятельности, по каждой теплоснабжающей, теплосетевой организации, в целом по единой теплоснабжающей организации.</t>
  </si>
  <si>
    <t>Для источников тепловой энергии, функционирующих в режиме комбинированной выработки электрической и тепловой энергии, таблица заполняется в целом по источнику тепловой энергии. Строки 7.1 - 7.4 заполняются по результатам распределения расходов между тепловой и электрической энергией в соответствии с главой VIII Методических указаний.</t>
  </si>
  <si>
    <t>Расчет источников финансирования капитальных вложений</t>
  </si>
  <si>
    <t>Наименование</t>
  </si>
  <si>
    <t>Объем капитальных вложений - всего</t>
  </si>
  <si>
    <t>- на производственное и научно-техническое развитие</t>
  </si>
  <si>
    <t>- на непроизводственное развитие</t>
  </si>
  <si>
    <t>Объем капитальных вложений, в том числе:</t>
  </si>
  <si>
    <t>1.6</t>
  </si>
  <si>
    <t>Финансирование капитальных вложений</t>
  </si>
  <si>
    <t>из средств - всего</t>
  </si>
  <si>
    <t>Амортизационных отчислений на полное восстановление основных фондов (100%)</t>
  </si>
  <si>
    <t>в т.ч за счет переоценки основных средств и нематериальных активов</t>
  </si>
  <si>
    <t>Неиспользованных средств на начало года</t>
  </si>
  <si>
    <t>Федерального бюджета</t>
  </si>
  <si>
    <t>2.4</t>
  </si>
  <si>
    <t>Местного бюджета</t>
  </si>
  <si>
    <t>2.5</t>
  </si>
  <si>
    <t>Регионального (республиканского, краевого, областного) бюджета</t>
  </si>
  <si>
    <t>Итого по пп. 2.1 - 2.8</t>
  </si>
  <si>
    <t>Прибыль (п. 1 - п. 2.9):</t>
  </si>
  <si>
    <t>Финансирование капитальных вложений, в том числе:</t>
  </si>
  <si>
    <t>2.13</t>
  </si>
  <si>
    <t>2.14</t>
  </si>
  <si>
    <t>Представляется одновременно с копией утвержденной в установленном порядке инвестиционной программы (или проектом инвестиционной программы).</t>
  </si>
  <si>
    <t>Для источников тепловой энергии, функционирующих в режиме комбинированной выработки электрической и тепловой энергии, таблица заполняется в целом по источнику тепловой энергии. Строки 1.3 - 1.6, 2.11 - 2.14 заполняются по результатам распределения расходов между тепловой и электрической энергией в соответствии с главой VIII Методических указаний.</t>
  </si>
  <si>
    <t>Справка об объектах капитальных вложений</t>
  </si>
  <si>
    <t>Наименование объекта капитальных вложений</t>
  </si>
  <si>
    <t>в т.ч.</t>
  </si>
  <si>
    <t>Приложение 4.13</t>
  </si>
  <si>
    <t>Расчет экономии от снижения потребления топлива</t>
  </si>
  <si>
    <t>№ п.п.</t>
  </si>
  <si>
    <t>Базовый период регулирования,
i-4</t>
  </si>
  <si>
    <t>Базовый период регулирования,
i-3</t>
  </si>
  <si>
    <t>Базовый период регулирования,
i-2</t>
  </si>
  <si>
    <t>Базовый период регулирования,
i-1</t>
  </si>
  <si>
    <t>Фактический норматив удельного расхода топлива</t>
  </si>
  <si>
    <t>кг у.т./Гкал</t>
  </si>
  <si>
    <t>Удельный расход топлива, учтенный при расчете тарифов</t>
  </si>
  <si>
    <t>Фактический объем отпуска тепловой энергии, поставляемой с коллекторов источника тепловой энергии</t>
  </si>
  <si>
    <t>Фактическая (расчетная) цена на топливо источника тепловой энергии</t>
  </si>
  <si>
    <t>руб./т у.т.</t>
  </si>
  <si>
    <t>Экономия от снижения потребления топлива</t>
  </si>
  <si>
    <t>кг у.т.</t>
  </si>
  <si>
    <t>Приложение заполняется начиная со второго расчетного периода регулирования (i = 2), тарифы на который рассчитываются с применением настоящих Методических указаний. В первый расчетный период регулирования экономия от снижения потребления топлива равна нулю.</t>
  </si>
  <si>
    <t>Для второго расчетного периода регулирования, тарифы на который рассчитываются с применением настоящих Методических указаний, заполняется столбец 7; для третьего расчетного периода регулирования заполняются столбцы 6 - 7; для четвертого расчетного периода регулирования заполняются столбцы 5 - 7; начиная с пятого расчетного периода регулирования заполняются все столбцы.</t>
  </si>
  <si>
    <t>Фактическая (расчетная) цена на топливо в соответствии с приложением 4.5 к настоящим Методическим указаниям.</t>
  </si>
  <si>
    <t>Графы строки 5 заполняются расчетным способом: гр. стр. 5 = (гр. стр. 2 - гр. стр. 1) * гр. стр. 3.</t>
  </si>
  <si>
    <t>Приложение 4.14</t>
  </si>
  <si>
    <t>Расчет экономии от снижения потребления прочих энергоресурсов</t>
  </si>
  <si>
    <t>Фактический объем полезного отпуска тепловой энергии</t>
  </si>
  <si>
    <t>Объем полезного отпуска тепловой энергии, учтенный при расчете цен (тарифов) в году</t>
  </si>
  <si>
    <t>Объем потребления энергетического ресурса, учтенный при установлении цен (тарифов)</t>
  </si>
  <si>
    <t>Фактический объем потребления энергетического ресурса</t>
  </si>
  <si>
    <t>Фактическая стоимость приобретения (производства) единицы энергетического ресурса</t>
  </si>
  <si>
    <t>Экономия от снижения потребления энергетического ресурса</t>
  </si>
  <si>
    <t>Приложение заполняется для каждого вида энергетических ресурсов.</t>
  </si>
  <si>
    <t>Приложение заполняется, начиная со второго расчетного периода регулирования (i = 2), тарифы на который рассчитываются с применением настоящих Методических указаний. В первый расчетный период регулирования экономия от снижения потребления топлива равна нулю.</t>
  </si>
  <si>
    <t>Графы строки 6 заполняются расчетным способом: гр. стр. 6 = гр. стр. 1 / гр. стр. 2 * гр. стр. 3 - гр. стр. 4.</t>
  </si>
  <si>
    <t>Необходимо согласовать единицы измерения всех показателей для того, чтобы выразить прирост экономии от снижения потребления энергетического ресурса в тыс. руб.</t>
  </si>
  <si>
    <t>Приложение 4.15</t>
  </si>
  <si>
    <t>Расчет экономии от снижения потребления энергоресурсов, учитываемой при формировании необходимой валовой выручки методом экономически обоснованных расходов</t>
  </si>
  <si>
    <t>Период регулирования,
i</t>
  </si>
  <si>
    <t>Экономия от снижения потребления энергетических ресурсов</t>
  </si>
  <si>
    <t>-</t>
  </si>
  <si>
    <t>Значение индекса потребительских цен</t>
  </si>
  <si>
    <t>Кумулятивное значение индекса потребительских цен</t>
  </si>
  <si>
    <t>Экономия от снижения потребления энергетических ресурсов в ценах i-oгo периода регулирования</t>
  </si>
  <si>
    <t>Приложение заполняется, начиная со второго расчетного периода регулирования (i = 2), тарифы на который рассчитываются с применением настоящих Методических указаний. В первый расчетный период регулирования экономия от снижения потребления энергоресурсов равна нулю.</t>
  </si>
  <si>
    <t>Для второго расчетного периода регулирования, тарифы на который рассчитываются с применением настоящих Методических указаний, заполняются столбцы 7 - 8; для третьего расчетного периода регулирования заполняются столбцы 6 - 8; для четвертого расчетного периода регулирования заполняются столбцы 5 - 8; начиная с пятого расчетного периода регулирования заполняются все столбцы.</t>
  </si>
  <si>
    <t>В строке 1 указывается суммарная Экономия, рассчитанная в соответствии с приложением 4.13 и приложением 4.14 к настоящим Методическим указаниям.</t>
  </si>
  <si>
    <t>В строке 3: гр. 4 = (1 + гр. 5) * (1 + гр. 6) * (1 + гр. 7) * (1 + гр. 8) строки 2;</t>
  </si>
  <si>
    <t>гр. 5 = (1 + гр. 6) * (1 + гр. 7) * (1 + гр. 8) строки 2;</t>
  </si>
  <si>
    <t xml:space="preserve">гр. 6 = (1 + гр. 7) * (1 + гр. 8) строки 2; </t>
  </si>
  <si>
    <t>гр. 7 = (1 + гр. 8) строки 2.</t>
  </si>
  <si>
    <t>Гр. стр. 4 = гр. стр. 1 * гр. стр. 3.</t>
  </si>
  <si>
    <t>6.</t>
  </si>
  <si>
    <t>Итого заполняется в гр. 5 как сумма граф 4 - 7 строки 4.</t>
  </si>
  <si>
    <t>Приложение 6.1</t>
  </si>
  <si>
    <t>Расчет тарифов на тепловую энергию (мощность), отпускаемую от источника (источников) тепловой энергии</t>
  </si>
  <si>
    <t>Источник тепловой энергии</t>
  </si>
  <si>
    <t>Необхо-димая валовая выручка,
тыс. руб.</t>
  </si>
  <si>
    <t>Объем отпуска тепловой энергии от источника тепловой энергии, тыс. Гкал</t>
  </si>
  <si>
    <t>в т.ч. по нерегули-руемым долго-срочным договорам, тыс. Гкал</t>
  </si>
  <si>
    <t>Суммарная договорная (заявленная) тепловая нагрузка потребителей тепловой энергии, Гкал/ч</t>
  </si>
  <si>
    <t>в т.ч. по нерегули-руемым долго-срочным договорам, Гкал/ч</t>
  </si>
  <si>
    <t>Расходы
на топливо, тыс. руб.</t>
  </si>
  <si>
    <t>Односта-вочный тариф, руб./Гкал</t>
  </si>
  <si>
    <t>Ставка
за тепловую энергию двухста-вочного тарифа, руб./Гкал</t>
  </si>
  <si>
    <t>Ставка за содержание тепловой мощности двухставоч-ного тарифа, тыс. руб./
Гкал/ч
в мес.</t>
  </si>
  <si>
    <t>- вода</t>
  </si>
  <si>
    <r>
      <t>- отборный пар от 1,2 до 2,5 кгс/см</t>
    </r>
    <r>
      <rPr>
        <vertAlign val="superscript"/>
        <sz val="11"/>
        <rFont val="Times New Roman"/>
        <family val="1"/>
        <charset val="204"/>
      </rPr>
      <t>2</t>
    </r>
  </si>
  <si>
    <r>
      <t>- отборный пар от 2,5 до 7,0 кгс/см</t>
    </r>
    <r>
      <rPr>
        <vertAlign val="superscript"/>
        <sz val="11"/>
        <rFont val="Times New Roman"/>
        <family val="1"/>
        <charset val="204"/>
      </rPr>
      <t>2</t>
    </r>
  </si>
  <si>
    <r>
      <t>- отборный пар от 7,0 до 13,0 кгс/см</t>
    </r>
    <r>
      <rPr>
        <vertAlign val="superscript"/>
        <sz val="11"/>
        <rFont val="Times New Roman"/>
        <family val="1"/>
        <charset val="204"/>
      </rPr>
      <t>2</t>
    </r>
  </si>
  <si>
    <r>
      <t>- отборный пар свыше 13,0 кгс/см</t>
    </r>
    <r>
      <rPr>
        <vertAlign val="superscript"/>
        <sz val="11"/>
        <rFont val="Times New Roman"/>
        <family val="1"/>
        <charset val="204"/>
      </rPr>
      <t>2</t>
    </r>
  </si>
  <si>
    <t>- острый и редуцированный пар</t>
  </si>
  <si>
    <t>Источник тепловой энергии n</t>
  </si>
  <si>
    <t>n+1</t>
  </si>
  <si>
    <t>Расчет тарифа на тепловую энергию (мощность), отпускаемую от источников тепловой энергии, расположенных в пределах одной системы теплоснабжения</t>
  </si>
  <si>
    <t>Таблица заполняется по системам теплоснабжения, по виду и параметрам теплоносителя, если при установлении цен (тарифов) применяется такая дифференциация.</t>
  </si>
  <si>
    <t>Строки 1, ..., n заполняются в случае расчета тарифов без дифференциации по видам теплоносителя:</t>
  </si>
  <si>
    <t>для источника тепловой энергии 1: гр. 9 = гр. 3 стр. 1 / гр. 4 стр. 1;</t>
  </si>
  <si>
    <t>для источника тепловой энергии n: гр. 9 = гр. 3 стр. n / гр. 4 стр. n.</t>
  </si>
  <si>
    <t>При дифференциации по видам теплоносителя:</t>
  </si>
  <si>
    <t>для источника тепловой энергии 1: гр. 9 = гр. 8 / гр. 4 + (гр. 3 стр. 1 - гр. 8 стр. 1) / гр. 4 стр. 1;</t>
  </si>
  <si>
    <t>для источника тепловой энергии n: гр. 9 = гр. 8 / гр. 4 + (гр. 3 стр. n - гр. 8 стр. n) / гр. 4 стр. n.</t>
  </si>
  <si>
    <t>Гр. 10 = гр. 8 / гр. 4.</t>
  </si>
  <si>
    <t>Гр. 11 заполняется только в строках 1, ..., n. Гр. 11 = (гр. 3 - гр. 8) / (гр. 6 * М), где М = 12.</t>
  </si>
  <si>
    <t>Строка n+1 заполняется в случае расчета одноставочных или двуставочных тарифов для источников тепловой энергии, расположенных в пределах одной системы теплоснабжения и принадлежащих одной регулируемой организации на праве собственности или на ином законном основании. При этом тарифы рассчитываются как средневзвешенные значения по источникам тепловой энергии 1, ..., n в соответствии с главой IX.I настоящих Методических указаний.</t>
  </si>
  <si>
    <t>7.</t>
  </si>
  <si>
    <t>В случае наличия нерегулируемых долгосрочных договоров, заключенных в отношении источника тепловой энергии в соответствии с главой IX.VIII настоящих Методических указаний:</t>
  </si>
  <si>
    <t>для источника тепловой энергии 1: гр. 10 = гр. 8 / гр. 4; гр. 11 = (гр. 3 стр. 1 - гр. 8 стр. 1) / ((гр. 6 стр. 1 - гр. 7 стр. 1) * М), где М = 12; гр. 9 = гр. 10 + (гр. 3 стр. 1 - гр. 8 стр. 1) / (гр. 4 стр. 1 - гр. 5 стр. 1);</t>
  </si>
  <si>
    <t>для источника тепловой энергии n: гр. 10 = гр. 8 / гр. 4; гр. 11 = (гр. 3 стр. n - гр. 8 стр. n) / (гр. 6 стр. n - гр. 7 стр. n) * М, где М = 12; гр. 9 = гр. 10 + (гр. 3 стр. n - гр. 8 стр. n) / (гр. 4 стр. n - гр. 5 стр. n).</t>
  </si>
  <si>
    <t>Приложение 6.2</t>
  </si>
  <si>
    <t>Расчет тарифов на услуги по передаче тепловой энергии, теплоносителя</t>
  </si>
  <si>
    <t>Единицы измерения</t>
  </si>
  <si>
    <t>Водяные тепловые сети</t>
  </si>
  <si>
    <t>Паровые тепловые сети</t>
  </si>
  <si>
    <t>Необходимая валовая выручка, отнесенная на передачу тепловой энергии, в т.ч.:</t>
  </si>
  <si>
    <t>экономически обоснованные расходы на содержание эксплуатируемых регулируемой организацией тепловых пунктов, тепловых сетей, расположенных после тепловых пунктов, и на оплату потерь в указанных сетях</t>
  </si>
  <si>
    <t>Объем отпуска тепловой энергии в виде пара или воды из тепловых сетей регулируемой организации</t>
  </si>
  <si>
    <t>в т.ч. объем отпуска тепловой энергии в виде пара или воды из тепловых сетей регулируемой организации потребителям, теплопотребляющие установки которых подключены после тепловых пунктов (на тепловых пунктах), эксплуатируемых регулируемой организацией</t>
  </si>
  <si>
    <t>Суммарная договорная (заявленная) тепловая нагрузка потребителей</t>
  </si>
  <si>
    <t>в т.ч. суммарная договорная (заявленная) тепловая нагрузка потребителей, теплопотребляющие установки которых подключены после тепловых пунктов (на тепловых пунктах), эксплуатируемых регулируемой организацией</t>
  </si>
  <si>
    <t>При отсутствии дифференциации тарифов по схеме подключения теплопотребляющих установок потребителей тепловой энергии к системе теплоснабжения</t>
  </si>
  <si>
    <t>Одноставочный тариф на услуги
по передаче тепловой энергии</t>
  </si>
  <si>
    <t>Двухставочный тариф на услуги
по передаче тепловой энергии:</t>
  </si>
  <si>
    <t>- ставка за тепловую энергию</t>
  </si>
  <si>
    <t>- ставка за содержание тепловой мощности</t>
  </si>
  <si>
    <t>При дифференциации тарифов по схеме подключения теплопотребляющих установок потребителей тепловой энергии к системе теплоснабжения:</t>
  </si>
  <si>
    <t>При подключении к тепловой сети без дополнительного преобразования на тепловых пунктах, эксплуатируемых регулируемой организацией:</t>
  </si>
  <si>
    <t>5.1.1</t>
  </si>
  <si>
    <t>5.1.2</t>
  </si>
  <si>
    <t>При подключении к тепловой сети после тепловых пунктов (на тепловых пунктах), эксплуатируемых регулируемой организацией:</t>
  </si>
  <si>
    <t>5.2.1</t>
  </si>
  <si>
    <t>5.2.2</t>
  </si>
  <si>
    <t>Таблица заполняется по системам теплоснабжения, по схемам подключения теплопотребляющих установок потребителей тепловой энергии к системе теплоснабжения, если при установлении цен (тарифов) применяется такая дифференциация.</t>
  </si>
  <si>
    <t>Строки 2, 2.1, 3, 3.1 заполняются с учетом мощности, поддерживаемой для отдельных категорий (групп) социально значимых потребителей, приобретающих услуги по поддержанию резервной тепловой мощности.</t>
  </si>
  <si>
    <t>Стр. 4.1 = стр. 1 / стр. 2.</t>
  </si>
  <si>
    <t>Ставка за содержание тепловой мощности в стр. 4.2 = стр. 1 / стр. 3 / М, где М = 12.</t>
  </si>
  <si>
    <t>Стр. 5.1.1 = (стр. 1 - стр. 1.1) / стр. 2.</t>
  </si>
  <si>
    <t>Ставка за содержание тепловой мощности в стр. 5.1.2 = (стр. 1 - стр. 1.1) / стр. 3 / М, где М = 12.</t>
  </si>
  <si>
    <t>Стр. 5.2.1 = (стр. 1 - стр. 1.1) / стр. 2 + стр. 1.1 / стр. 2.1.</t>
  </si>
  <si>
    <t>8.</t>
  </si>
  <si>
    <t>Ставка за содержание тепловой мощности в стр. 5.2.2 = (стр. 1 - стр. 1.1) / стр. 3 / М + стр. 1.1 / стр. 3.1 / М, где М = 12.</t>
  </si>
  <si>
    <t>Приложение 6.3</t>
  </si>
  <si>
    <t>Расчет средневзвешенной стоимости производимой и (или) приобретаемой единицы тепловой энергии (мощности) и тарифов на тепловую энергию (мощность), поставляемую теплоснабжающим (теплосетевым) организациям с целью компенсации потерь тепловой энергии</t>
  </si>
  <si>
    <t>Суммарная договорная (заявлен-ная) тепло-вая нагруз-ка потреби-телей, Гкал/ч</t>
  </si>
  <si>
    <t>Средневзвешенная стоимость производимой и (или) приобретаемой единицы тепловой энергии (мощности):</t>
  </si>
  <si>
    <t>n+2</t>
  </si>
  <si>
    <t>Тариф на тепловую энергию (мощность), поставляемую теплоснабжающим (теплосетевым) организациям с целью компенсации потерь:</t>
  </si>
  <si>
    <t>- пар</t>
  </si>
  <si>
    <t>n+3</t>
  </si>
  <si>
    <t>Расчет тарифов на тепловую энергию (мощность), поставляемую теплоснабжающим (теплосетевым) организациям с целью компенсации потерь тепловой энергии, производится по всем источникам тепловой энергии, в отношении которых теплоснабжающая (теплосетевая) организация приобретает тепловую энергию (мощность) с целью компенсации потерь в тепловых сетях.</t>
  </si>
  <si>
    <t>Графы 4 и 9 заполняются с учетом мощности, поддерживаемой для отдельных категорий (групп) социально значимых потребителей, приобретающих услуги по поддержанию резервной тепловой мощности.</t>
  </si>
  <si>
    <t>Графы 3, 4, 8 и 9 заполняются без учета договорного объема по долгосрочным договорам теплоснабжения, нерегулируемым долгосрочным договорам теплоснабжения, заключаемым в отношении источников тепловой энергии.</t>
  </si>
  <si>
    <t>Строки 1, ..., n заполняются в случае расчета тарифов без дифференциации по видам теплоносителя.</t>
  </si>
  <si>
    <t xml:space="preserve">Средневзвешенная стоимость производимой и (или) приобретаемой единицы тепловой энергии (мощности) (стр. n+1): </t>
  </si>
  <si>
    <t>гр. 5 = (гр. 3 * гр. 5 + ...) / (гр. 3 + ...) по всем источникам, по соответствующим видам теплоносителя;</t>
  </si>
  <si>
    <t>гр. 6 = (гр. 3 * гр. 6 + ...) / (гр. 3 + ...) по всем источникам, по соответствующим видам теплоносителя;</t>
  </si>
  <si>
    <t>гр. 7 = (гр. 4 * гр. 7 + ...) / (гр. 4 + ...) по всем источникам;</t>
  </si>
  <si>
    <t>гр. 10 = (гр. 8 * гр. 10 + ...) / (гр. 8 + ...) по всем источникам, по соответствующим видам теплоносителя;</t>
  </si>
  <si>
    <t>гр. 11 = (гр. 8 * гр. 11 + ...) / (гр. 8 + ...) по всем источникам, по соответствующим видам теплоносителя;</t>
  </si>
  <si>
    <t>гр. 12 = (гр. 9 * гр. 12 + ...) / (гр. 9 + ...) по всем источникам.</t>
  </si>
  <si>
    <t>Тариф на тепловую энергию (мощность), поставляемую теплоснабжающим (теплосетевым) организациям с целью компенсации потерь тепловой энергии (стр. n+2) в виде воды, принимается равным средневзвешенной стоимости производимой и (или) приобретаемой единицы тепловой энергии (мощности) (стр. n+1); тариф на тепловую энергию (мощность), поставляемую теплоснабжающим организациям с целью компенсации потерь тепловой энергии (стр. n+2) в виде пара, рассчитывается как средневзвешенная стоимость производимой и (или) приобретаемой единицы тепловой энергии (мощности) по параметрам пара (стр. n+1).</t>
  </si>
  <si>
    <t>Приложение 6.4</t>
  </si>
  <si>
    <t>Расчет тарифов на тепловую энергию (мощность), поставляемую потребителям</t>
  </si>
  <si>
    <t>Расчет одно-ставочного тарифа на тепловую энергию (мощность), руб./Гкал</t>
  </si>
  <si>
    <t>Расчет ставки
за тепловую энергию двух-ставочного та-рифа на тепло-вую энергию (мощность), руб./Гкал</t>
  </si>
  <si>
    <t>Расчет ставки
за содержание тепловой мощности двухставочного тарифа на тепловую энергию (мощность),
тыс. руб./Гкал/ч
в мес.</t>
  </si>
  <si>
    <t>Без дифференциации по виду теплоносителя</t>
  </si>
  <si>
    <t>С дифференциацией по виду теплоносителя:</t>
  </si>
  <si>
    <t>Средневзвешенная стоимость оказываемых и (или) приобретаемых услуг по передаче единицы тепловой энергии:</t>
  </si>
  <si>
    <t>Без дифференциации по схеме подключения теплопотребляющих установок потребителей:</t>
  </si>
  <si>
    <t>2.1.2</t>
  </si>
  <si>
    <t>С дифференциацией по схеме подключения теплопотребляющих установок потребителей:</t>
  </si>
  <si>
    <t>При подключении к тепловой сети без дополнительного преобразования на тепловых пунктах, эксплуатируемых регулируемыми организациями:</t>
  </si>
  <si>
    <t>2.2.2</t>
  </si>
  <si>
    <t>При подключении к тепловой сети после тепловых пунктов (на тепловых пунктах), эксплуатируемых регулируемыми организациями:</t>
  </si>
  <si>
    <t>Тарифы на тепловую энергию (мощность), поставляемую потребителям:</t>
  </si>
  <si>
    <t>3.1.2</t>
  </si>
  <si>
    <t>3.2</t>
  </si>
  <si>
    <t>3.2.1</t>
  </si>
  <si>
    <t>3.2.2</t>
  </si>
  <si>
    <t>Таблица заполняется по системам теплоснабжения, по виду и параметрам теплоносителя, по схемам подключения теплопотребляющих установок потребителей тепловой энергии к системе теплоснабжения, если при установлении цен (тарифов) применяется такая дифференциация.</t>
  </si>
  <si>
    <t>Расчет средневзвешенной стоимости производимой и (или) приобретаемой единицы тепловой энергии (мощности) производится в соответствии с приложением 6.3 к настоящим Методическим указаниям.</t>
  </si>
  <si>
    <t>Расчет средневзвешенной стоимости оказываемых и (или) приобретаемых услуг по передаче единицы тепловой энергии производится в соответствии с приложением 6.5 к настоящим Методическим указаниям.</t>
  </si>
  <si>
    <t>Тарифы на тепловую энергию (мощность), поставляемую потребителям, рассчитываются как сумма соответствующих составляющих: средневзвешенной стоимости производимой и (или) приобретаемой единицы тепловой энергии (мощности) и средневзвешенной стоимости услуг по передаче тепловой энергии.</t>
  </si>
  <si>
    <t>Приложение 6.5</t>
  </si>
  <si>
    <t>Расчет средневзвешенной стоимости оказываемых и (или) приобретаемых услуг по передаче единицы тепловой энергии</t>
  </si>
  <si>
    <t>Объем отпуска тепловой энергии из тепловой сети,
тыс. Гкал</t>
  </si>
  <si>
    <t>Суммарная договорная (заявленная) тепловая нагрузка потребите-лей, Гкал/ч</t>
  </si>
  <si>
    <t>Ставка за содержание тепловой мощности двухставоч-ного тарифа,
тыс. руб./
Гкал/ч в мес.</t>
  </si>
  <si>
    <t>Регулируемая организация 1</t>
  </si>
  <si>
    <t>При подключении к тепловой сети после тепловых пунктов (на тепловых пунктах), эксплуатируемых регулируемой организацией</t>
  </si>
  <si>
    <t>Регулируемая организация n</t>
  </si>
  <si>
    <t>Средневзвешенная стоимость оказываемых и (или) приобретаемых услуг по передаче единицы тепловой энергии</t>
  </si>
  <si>
    <t>n+1.1</t>
  </si>
  <si>
    <t>n+1.1.1</t>
  </si>
  <si>
    <t>n+1.1.2</t>
  </si>
  <si>
    <t>n+1.2</t>
  </si>
  <si>
    <t>n+1.2.1</t>
  </si>
  <si>
    <t>n+1.2.2</t>
  </si>
  <si>
    <t>Расчет средневзвешенной стоимости оказываемых и (или) приобретаемых услуг по передаче единицы тепловой энергии для потребителей производится по данным регулируемых организаций, тепловые сети которых используются для теплоснабжения данных потребителей.</t>
  </si>
  <si>
    <t>Графы 3, 4, 7, 8 заполняются без учета договорного объема тепловой энергии, тепловой нагрузки по долгосрочным договорам теплоснабжения, нерегулируемым долгосрочным договорам теплоснабжения, заключаемым в отношении источников тепловой энергии.</t>
  </si>
  <si>
    <t>Строки 1, ..., n заполняются в случае расчета тарифов без дифференциации по виду теплоносителя.</t>
  </si>
  <si>
    <t xml:space="preserve">гр. 5 = (гр. 3 * гр. 5 + ...) / (гр. 3 + ...) по всем регулируемым организациям, по видам теплоносителя (вода или пар), соответственно; </t>
  </si>
  <si>
    <t>гр. 6 = (гр. 4 * гр. 6 + ...) / (гр. 4 + ...) по всем регулируемым организациям;</t>
  </si>
  <si>
    <t>гр. 9 = (гр. 7 * гр. 9 + ...) / (гр. 7 + ...) по всем регулируемым организациям, по видам теплоносителя (вода или пар), соответственно;</t>
  </si>
  <si>
    <t>гр. 10 = (гр. 8 * гр. 10 + ...) / (гр. 8 + ...) по всем регулируемым организациям.</t>
  </si>
  <si>
    <t>Стоимость исходной воды</t>
  </si>
  <si>
    <t>Стоимость инструментов, приспособлений, инвентаря, приборов, лабораторного оборудования и другого имущества, не являющихся амортизируемым имуществом, используемых при водоподготовке</t>
  </si>
  <si>
    <t>Расходы на электрическую энергию (мощность) и тепловую энергию (мощность), используемую при водоподготовке</t>
  </si>
  <si>
    <t>Стоимость транспортировки и очистки сточных вод, возникающих в процессе водоподготовки</t>
  </si>
  <si>
    <t>Расходы на оплату труда персонала, участвующего в процессе водоподготовки</t>
  </si>
  <si>
    <t>Амортизация основных фондов, участвующих в процессе водоподготовки</t>
  </si>
  <si>
    <t>Прочие расходы, относимые на процесс водоподготовки, в том числе:</t>
  </si>
  <si>
    <t>Расходы на ремонт основных фондов</t>
  </si>
  <si>
    <t>Водный налог (плата за пользование водными объектами)</t>
  </si>
  <si>
    <t>Общехозяйственные расходы</t>
  </si>
  <si>
    <t>Объем воды, вырабатываемой на водоподготовительных установках источника тепловой энергии</t>
  </si>
  <si>
    <t>тыс. куб. м</t>
  </si>
  <si>
    <t>Расходы на приобретение химически очищенной воды у других организаций</t>
  </si>
  <si>
    <t>Объем приобретения химически очищенной воды у других организаций</t>
  </si>
  <si>
    <t>Расходы на мероприятия, необходимые для доведения воды до установленных законодательством Российской Федерации параметров качества теплоносителя</t>
  </si>
  <si>
    <t>Необходимая валовая выручка, относимая на производство теплоносителя</t>
  </si>
  <si>
    <t>Стоимость 1 куб. м воды, вырабатываемой на водоподготовительных установках источника тепловой энергии и (или) приобретаемой у других организаций</t>
  </si>
  <si>
    <t>руб./куб. м</t>
  </si>
  <si>
    <t>Тариф на теплоноситель, поставляемый теплоснабжающей организацией, владеющей источником (источниками) тепловой энергии, на котором производится теплоноситель</t>
  </si>
  <si>
    <t>Таблица заполняется в отношении каждого источника тепловой энергии, которым владеет теплоснабжающая организация, по видам теплоносителя, если при установлении цен (тарифов) применяется такая дифференциация.</t>
  </si>
  <si>
    <t>Стр. 6 = (стр. 1 + стр. 3 + стр. 5)</t>
  </si>
  <si>
    <t>Стр. 7 = стр. 6 / (стр. 2 + стр. 4)</t>
  </si>
  <si>
    <t>Стр. 8 = стр. 7</t>
  </si>
  <si>
    <t>Приложение 6.7</t>
  </si>
  <si>
    <t>Тариф на теплоноситель</t>
  </si>
  <si>
    <t>Суммарный объем выработки и потребления (невозврата) теплоносителя, поставляемого потребителям</t>
  </si>
  <si>
    <t>Тариф на теплоноситель, поставляемый потребителям</t>
  </si>
  <si>
    <t>Таблица заполняется по источникам тепловой энергии, участвующим в обеспечении потребления (невозврата) теплоносителя потребителями, включая источники тепловой энергии, принадлежащие теплоснабжающей организации, и источники тепловой энергии, принадлежащие другим теплоснабжающим организациям, у которых приобретается теплоноситель, по видам и параметрам теплоносителя, если при установлении цен (тарифов) применяется такая дифференциация.</t>
  </si>
  <si>
    <t>Стр. 3 = стр. 1.2 + … + стр. n.2.</t>
  </si>
  <si>
    <t>Стр. 4 = (стр. 1.1 * стр. 1.2 + … + стр. n.1 * стр. n.2) / стр. 3.</t>
  </si>
  <si>
    <t>Приложение 6.8</t>
  </si>
  <si>
    <t>Компонент на теплоноситель</t>
  </si>
  <si>
    <t>Тариф на теплоноситель, приготовленный источником тепловой энергии 1</t>
  </si>
  <si>
    <t>Объем выработки и потребления (невозврата) теплоносителя, приготовленный источником тепловой энергии 1</t>
  </si>
  <si>
    <t>1.n</t>
  </si>
  <si>
    <t>Тариф на теплоноситель, приготовленный источником тепловой энергии n</t>
  </si>
  <si>
    <t>1.n+1</t>
  </si>
  <si>
    <t>Объем выработки и потребления (невозврата) теплоносителя, приготовленный источником тепловой энергии n</t>
  </si>
  <si>
    <t>Компонент на тепловую энергию</t>
  </si>
  <si>
    <t>Одноставочный компонент на тепловую энергию</t>
  </si>
  <si>
    <t>Двухставочный компонент на тепловую энергию:</t>
  </si>
  <si>
    <t>- ставка за содержание тепловой
мощности</t>
  </si>
  <si>
    <t>руб./Гкал/ч
в мес.</t>
  </si>
  <si>
    <t>Таблица заполняется по источникам тепловой энергии, на которых производится теплоноситель, участвующий в поставках горячей воды в открытой системе теплоснабжения, включая источники тепловой энергии, принадлежащие теплоснабжающей организации, и источники тепловой энергии, принадлежащие другим теплоснабжающим организациям, у которых приобретается теплоноситель, по видам теплоносителя, если при установлении цен (тарифов) применяется такая дифференциация.</t>
  </si>
  <si>
    <t>Стр. I = (стр. 1.1 * стр. 1.2 + ... + стр. n.1 * стр. n.2) / (стр. 1.2 + ... + стр. n.2).</t>
  </si>
  <si>
    <t>руб./тыс. куб. м</t>
  </si>
  <si>
    <t>руб./тыс.куб. м</t>
  </si>
  <si>
    <t>1 пг</t>
  </si>
  <si>
    <t>2 пг</t>
  </si>
  <si>
    <t>ОАО «Камчатскэнерго»</t>
  </si>
  <si>
    <t>2 полугодие</t>
  </si>
  <si>
    <t>1 полугодие</t>
  </si>
  <si>
    <t>Приложение 4.3, по периодам</t>
  </si>
  <si>
    <t>Дизтопливо</t>
  </si>
  <si>
    <t>ИТОГО</t>
  </si>
  <si>
    <t>Базовый период 2013 год</t>
  </si>
  <si>
    <t>Базовый период                               2013 год</t>
  </si>
  <si>
    <t>Период регулирования 2014 год</t>
  </si>
  <si>
    <t>1 полугодие 2014 года</t>
  </si>
  <si>
    <t>2 полугодие 2014 года</t>
  </si>
  <si>
    <t>Период регулирования 1 полугодие 2014 года</t>
  </si>
  <si>
    <t>Период регулирования 2 полугодие 2014 года</t>
  </si>
  <si>
    <t>Базовый период 2013 ГОД</t>
  </si>
  <si>
    <r>
      <t>м</t>
    </r>
    <r>
      <rPr>
        <vertAlign val="superscript"/>
        <sz val="9"/>
        <rFont val="Times New Roman"/>
        <family val="1"/>
        <charset val="204"/>
      </rPr>
      <t>3</t>
    </r>
  </si>
  <si>
    <r>
      <t>тыс. руб./м</t>
    </r>
    <r>
      <rPr>
        <vertAlign val="superscript"/>
        <sz val="9"/>
        <rFont val="Times New Roman"/>
        <family val="1"/>
        <charset val="204"/>
      </rPr>
      <t>3</t>
    </r>
  </si>
  <si>
    <t>Приложение 4.12 - свод</t>
  </si>
  <si>
    <t>Приложение 4.12 - производство</t>
  </si>
  <si>
    <t>Приложение 4.12 - сбыт</t>
  </si>
  <si>
    <t>Приложение 4.12 - транзит</t>
  </si>
  <si>
    <t>проверка, должно быть = 0</t>
  </si>
  <si>
    <t>Расходы на производство воды, вырабатываемой на водоподготовительных установках источника тепловой энергии, в том числе:</t>
  </si>
  <si>
    <t>Полезный отпуск на отопление собственных участков</t>
  </si>
  <si>
    <t>Сверхнормативные потери</t>
  </si>
  <si>
    <t>№</t>
  </si>
  <si>
    <t>Утв. на 2013г.</t>
  </si>
  <si>
    <t>в т.ч. по периодам</t>
  </si>
  <si>
    <t>1-е полугодие</t>
  </si>
  <si>
    <t>2-е полугодие</t>
  </si>
  <si>
    <t>Приложение 4.4.</t>
  </si>
  <si>
    <t xml:space="preserve">Выработка электроэнергии </t>
  </si>
  <si>
    <t>млн.кВтч</t>
  </si>
  <si>
    <t xml:space="preserve">    на производство электроэнергии </t>
  </si>
  <si>
    <t xml:space="preserve">       то же в % к выработке электроэнергии</t>
  </si>
  <si>
    <t xml:space="preserve">   на производство тепловой энергии </t>
  </si>
  <si>
    <t xml:space="preserve">       то же в кВтч/Гкал</t>
  </si>
  <si>
    <t>Расход электроэнергии на производственные и хозяйственные нужды:</t>
  </si>
  <si>
    <t xml:space="preserve">        то же в % к отпуску с шин </t>
  </si>
  <si>
    <t xml:space="preserve">Отпуск тепловой энергии, поставляемой с коллекторов источника тепловой энергии </t>
  </si>
  <si>
    <t>тыс.Гкал</t>
  </si>
  <si>
    <t xml:space="preserve">       то же в % к отпуску теплоэнергии</t>
  </si>
  <si>
    <t xml:space="preserve">Расход условного топлива на производство электроэнергии </t>
  </si>
  <si>
    <t>тыс.тут</t>
  </si>
  <si>
    <t xml:space="preserve">Расход т.у.т., всего </t>
  </si>
  <si>
    <t>Удельный вес расхода топлива на производство тепловой энергии (п.15/п.16)</t>
  </si>
  <si>
    <t xml:space="preserve">   мазут</t>
  </si>
  <si>
    <t xml:space="preserve">   газ всего, в том числе:</t>
  </si>
  <si>
    <t xml:space="preserve">      газ лимитный</t>
  </si>
  <si>
    <t xml:space="preserve">      газ сверхлимитный</t>
  </si>
  <si>
    <t xml:space="preserve">      газ коммерческий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</si>
  <si>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</si>
  <si>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на производство тепловой энергии    </t>
  </si>
  <si>
    <t xml:space="preserve">      газ всего, в том числе: </t>
  </si>
  <si>
    <t xml:space="preserve">% </t>
  </si>
  <si>
    <t xml:space="preserve">          газ лимитный</t>
  </si>
  <si>
    <t xml:space="preserve">          газ сверхлимитный</t>
  </si>
  <si>
    <t xml:space="preserve">          газ коммерческий</t>
  </si>
  <si>
    <t>тыс.тнт</t>
  </si>
  <si>
    <t>млн.куб.м.</t>
  </si>
  <si>
    <t xml:space="preserve">      др.виды топлива</t>
  </si>
  <si>
    <r>
      <t>руб./тыс.м</t>
    </r>
    <r>
      <rPr>
        <vertAlign val="superscript"/>
        <sz val="10"/>
        <rFont val="Times New Roman Cyr"/>
        <charset val="204"/>
      </rPr>
      <t>3</t>
    </r>
  </si>
  <si>
    <t>тыс.руб</t>
  </si>
  <si>
    <t xml:space="preserve">   на призводство тепловой энергии</t>
  </si>
  <si>
    <t>Стоимость натурального топлива на производство тепловой энергии  по видам топлива</t>
  </si>
  <si>
    <t xml:space="preserve">Индекс роста тарифа ж/д перевозки, тарифа ГРО, ПССУ </t>
  </si>
  <si>
    <t xml:space="preserve">Тариф ж/д перевозки/ тариф ГРО, ПССУ </t>
  </si>
  <si>
    <t xml:space="preserve">30 </t>
  </si>
  <si>
    <t xml:space="preserve">Цена условного топлива с учетом перевозки </t>
  </si>
  <si>
    <t xml:space="preserve">Начальник ПЭС </t>
  </si>
  <si>
    <t>А.Г. Гилязов</t>
  </si>
  <si>
    <t xml:space="preserve">Расчет баланса топлива </t>
  </si>
  <si>
    <t>Электростанция (котельная)</t>
  </si>
  <si>
    <t>Расход  натурального топлива</t>
  </si>
  <si>
    <t>Всего, тыс. тнт</t>
  </si>
  <si>
    <t>Цена франко станция отправления, руб./т.н.т.</t>
  </si>
  <si>
    <t>Дальность перевозки</t>
  </si>
  <si>
    <t>Тариф на перевозку</t>
  </si>
  <si>
    <t>Норматив потерь при первозке</t>
  </si>
  <si>
    <t>Цена франко станция назначения, руб./тнт</t>
  </si>
  <si>
    <t>Цена, руб./тнт</t>
  </si>
  <si>
    <t>Стоимость, тыс.руб.</t>
  </si>
  <si>
    <t xml:space="preserve"> </t>
  </si>
  <si>
    <t>Приложение 4.7.</t>
  </si>
  <si>
    <t>Наименование показателя</t>
  </si>
  <si>
    <t>Отпуск тепло-энергии,
тыс. Гкал</t>
  </si>
  <si>
    <t>Удельный расход энергии, кВтч/Гкал</t>
  </si>
  <si>
    <t>Объем покупной энергии, млн.кВт ч (тыс.Гкал)</t>
  </si>
  <si>
    <t>Расчетная мощность тыс. кВт (Гкал/ч)</t>
  </si>
  <si>
    <t>Затраты на покупку,                     тыс. руб.</t>
  </si>
  <si>
    <t xml:space="preserve">одноставочный                                                руб./т·кВт·ч </t>
  </si>
  <si>
    <t>мощ-ности</t>
  </si>
  <si>
    <t>ставка
за мощность</t>
  </si>
  <si>
    <t>ставка
за энергию</t>
  </si>
  <si>
    <t>вн</t>
  </si>
  <si>
    <t xml:space="preserve">руб./кВт
</t>
  </si>
  <si>
    <t xml:space="preserve">руб./т·кВт·ч </t>
  </si>
  <si>
    <t>5 / 3</t>
  </si>
  <si>
    <t>Утверждено на 2011 г.</t>
  </si>
  <si>
    <t>Электроэнергия, всего  в том числе</t>
  </si>
  <si>
    <t>ОАО "Камчатскэнерго"</t>
  </si>
  <si>
    <t>направление использования, в том числе</t>
  </si>
  <si>
    <t>на производство</t>
  </si>
  <si>
    <t>1.2.3</t>
  </si>
  <si>
    <t>на передачу</t>
  </si>
  <si>
    <t>1.2.4</t>
  </si>
  <si>
    <t>на текущий ремонт котельных</t>
  </si>
  <si>
    <t>на прочие нужды</t>
  </si>
  <si>
    <t>1.2.4.1</t>
  </si>
  <si>
    <t>цеховые</t>
  </si>
  <si>
    <t>1.2.4.2</t>
  </si>
  <si>
    <t xml:space="preserve">общехозяйственные </t>
  </si>
  <si>
    <t>1.2.4.3</t>
  </si>
  <si>
    <t>ПДС, РСУ</t>
  </si>
  <si>
    <t>1.2.4.4</t>
  </si>
  <si>
    <t>АТП</t>
  </si>
  <si>
    <t>1.2.4.5</t>
  </si>
  <si>
    <t>Факт 2011 г. (11 месяцев)</t>
  </si>
  <si>
    <t>на электрокотельные</t>
  </si>
  <si>
    <t>а/транспортный участок</t>
  </si>
  <si>
    <t>сетевой участок</t>
  </si>
  <si>
    <t>Утверждено на 2012 г.</t>
  </si>
  <si>
    <t xml:space="preserve">Факт 2012 г. </t>
  </si>
  <si>
    <t>ООО "Оборонэнерго"</t>
  </si>
  <si>
    <t>Утверждено на 2013 г.</t>
  </si>
  <si>
    <t>Приложение 4.8.</t>
  </si>
  <si>
    <r>
      <t>м</t>
    </r>
    <r>
      <rPr>
        <b/>
        <vertAlign val="superscript"/>
        <sz val="10"/>
        <rFont val="Times New Roman Cyr"/>
        <charset val="204"/>
      </rPr>
      <t>3</t>
    </r>
  </si>
  <si>
    <r>
      <t>тыс.руб./м</t>
    </r>
    <r>
      <rPr>
        <b/>
        <vertAlign val="superscript"/>
        <sz val="10"/>
        <rFont val="Times New Roman Cyr"/>
        <charset val="204"/>
      </rPr>
      <t>3</t>
    </r>
  </si>
  <si>
    <t>тыс.руб.</t>
  </si>
  <si>
    <t>1.1.</t>
  </si>
  <si>
    <t xml:space="preserve">   - на производство электрической энергии</t>
  </si>
  <si>
    <t>1.2.</t>
  </si>
  <si>
    <t>1.3.</t>
  </si>
  <si>
    <t>1.4.</t>
  </si>
  <si>
    <t>4.1.</t>
  </si>
  <si>
    <t>Льготный проезд к месту отдыха</t>
  </si>
  <si>
    <t>4.2.</t>
  </si>
  <si>
    <t>4.3.</t>
  </si>
  <si>
    <r>
      <t xml:space="preserve">Выплаты в соответствии с порядком назначения и выплаты ежемесячных компенсационных выплат отдельным категориям граждан </t>
    </r>
    <r>
      <rPr>
        <sz val="11"/>
        <rFont val="Calibri"/>
        <family val="2"/>
        <charset val="204"/>
      </rPr>
      <t>&lt;*&gt;</t>
    </r>
  </si>
  <si>
    <t>Количество месяцев в периоде регулирования</t>
  </si>
  <si>
    <t>4.4.</t>
  </si>
  <si>
    <t xml:space="preserve">ИТОГО средства на оплату труда ППП </t>
  </si>
  <si>
    <t>4.4.1.</t>
  </si>
  <si>
    <t>4.4.2.</t>
  </si>
  <si>
    <t>4.4.3.</t>
  </si>
  <si>
    <t xml:space="preserve"> - на производство электрической энергии</t>
  </si>
  <si>
    <t xml:space="preserve"> - на производство тепловой энергии</t>
  </si>
  <si>
    <t xml:space="preserve"> - на производство теплоносителя</t>
  </si>
  <si>
    <t>4.4.4.</t>
  </si>
  <si>
    <t xml:space="preserve"> - прочая продукция</t>
  </si>
  <si>
    <t>Расчет по непромышленной группе (вкл.в балансовую прибыль)</t>
  </si>
  <si>
    <t>5.1.</t>
  </si>
  <si>
    <t>5.2.</t>
  </si>
  <si>
    <t>5.3.</t>
  </si>
  <si>
    <t>5.4.</t>
  </si>
  <si>
    <t>5.5.</t>
  </si>
  <si>
    <t>5.6.</t>
  </si>
  <si>
    <t>5.6.1.</t>
  </si>
  <si>
    <t>По постановлению № 1206 от 03.11.94</t>
  </si>
  <si>
    <t>Планируемая численность</t>
  </si>
  <si>
    <t>Расчетная средняя затплата</t>
  </si>
  <si>
    <t>ИТОГО ФОТ непром.группы</t>
  </si>
  <si>
    <t>5.6.2.</t>
  </si>
  <si>
    <t>5.6.3.</t>
  </si>
  <si>
    <t>5.6.4.</t>
  </si>
  <si>
    <t>5.7.</t>
  </si>
  <si>
    <t>Коэффициент для расчета по непром.группе</t>
  </si>
  <si>
    <t>&lt;*&gt; Постановление Правительства Российской Федерации от 3 ноября 1994 г. N 1206 "Об утверждении порядка назначения и выплаты ежемесячных компенсационных выплат отдельным категориям граждан" (Собрание законодательства Российской Федерации, 1994, N 29, ст. 3035; 2003, N 33, ст. 3269; 2006, N 33, ст. 3633; 2012, N 22, ст. 2867; 2013, N 13, ст. 1559; N 22, ст. 2809).</t>
  </si>
  <si>
    <t>1. Заполняется по каждому источнику тепловой энергии, по каждой системе теплоснабжения, если при установлении цен (тарифов) применяется такая дифференциация, каждому виду регулируемой деятельности, по каждой теплоснабжающей, теплосетевой организации, в целом по единой теплоснабжающей организации.</t>
  </si>
  <si>
    <t>2. Для источников тепловой энергии, функционирующих в режиме комбинированной выработки электрической и тепловой энергии, таблица заполняется в целом по источнику тепловой энергии. Строки 4.4.1 - 4.4.4, 5.6.1 - 5.6.4 заполняются по результатам распределения расходов между тепловой и электрической энергией в соответствии с главой VIII Методических указаний.</t>
  </si>
  <si>
    <t>Единовременные выплаты по итогам работы за год</t>
  </si>
  <si>
    <t>Ставка за содержание тепловой мощности двухставочного тарифа, тыс. руб./
Гкал/ч
в мес.</t>
  </si>
  <si>
    <t>в том числе период регулирования по периодам</t>
  </si>
  <si>
    <t>тыс. руб./Гкал/ч в мес.</t>
  </si>
  <si>
    <t>Приложение 4.5.</t>
  </si>
  <si>
    <t>ПКГО - Комбинированная выработка КТЭЦ</t>
  </si>
  <si>
    <r>
      <t>7,0 - 13,0 кгс/см</t>
    </r>
    <r>
      <rPr>
        <vertAlign val="superscript"/>
        <sz val="8"/>
        <rFont val="Times New Roman"/>
        <family val="1"/>
        <charset val="204"/>
      </rPr>
      <t>2</t>
    </r>
  </si>
  <si>
    <r>
      <t>&gt; 13,0 кгс/см</t>
    </r>
    <r>
      <rPr>
        <vertAlign val="superscript"/>
        <sz val="8"/>
        <rFont val="Times New Roman"/>
        <family val="1"/>
        <charset val="204"/>
      </rPr>
      <t>2</t>
    </r>
  </si>
  <si>
    <r>
      <t>1,2 - 2,5 кгс/см</t>
    </r>
    <r>
      <rPr>
        <vertAlign val="superscript"/>
        <sz val="8"/>
        <rFont val="Times New Roman"/>
        <family val="1"/>
        <charset val="204"/>
      </rPr>
      <t>2</t>
    </r>
  </si>
  <si>
    <t>Приложение 4.10</t>
  </si>
  <si>
    <t>Приложение 4.11 - свод</t>
  </si>
  <si>
    <t>Приложение 4.11 - передача</t>
  </si>
  <si>
    <t>Приложение 4.11 - сбыт</t>
  </si>
  <si>
    <t>Приложение 4.11 - производство</t>
  </si>
  <si>
    <t xml:space="preserve">на производство тепловой энергии </t>
  </si>
  <si>
    <t>Всего, тнт</t>
  </si>
  <si>
    <t xml:space="preserve">Стоимость, тыс.руб.          </t>
  </si>
  <si>
    <t>дальность перевозки</t>
  </si>
  <si>
    <t xml:space="preserve">Цена франко станция </t>
  </si>
  <si>
    <t>Всего,  тнт</t>
  </si>
  <si>
    <t xml:space="preserve">Стоимость, тыс.руб. </t>
  </si>
  <si>
    <t xml:space="preserve">Цена, руб./тнт </t>
  </si>
  <si>
    <t>Передано филиалу КЭ</t>
  </si>
  <si>
    <t>Вид топлива/Калорийность топлива, ккал/кг.н.т.</t>
  </si>
  <si>
    <t>Избыток (-), недостаток (+) средств</t>
  </si>
  <si>
    <t>из себестоимости</t>
  </si>
  <si>
    <t>из прибыли (факт списания ДЗ, по плате за кредиты)</t>
  </si>
  <si>
    <t xml:space="preserve">     - расходы на услуги банков</t>
  </si>
  <si>
    <t xml:space="preserve">     - расходы на обслуживание заемных средств</t>
  </si>
  <si>
    <t xml:space="preserve">     - остальные прочие расходы</t>
  </si>
  <si>
    <t xml:space="preserve">     - план списания ДЗ</t>
  </si>
  <si>
    <t>прибыль с выпадающими из прибыли = П1.21</t>
  </si>
  <si>
    <t>Тех. перевооружение системы выработки водорода с заменой электролизной установки на ТЭЦ-1</t>
  </si>
  <si>
    <t>Проектирования узлов учета сбросных вод КТЭЦ</t>
  </si>
  <si>
    <t>Модернизация  балансировочного станка на КТЭЦ-2</t>
  </si>
  <si>
    <t>Реконструкция оборудования РЗА 110 кВ ТЭЦ-1 2-я очередь (2-й этап)</t>
  </si>
  <si>
    <t>Охранно-защитные мероприятия на КТЭЦ</t>
  </si>
  <si>
    <t>Обследование генерирующих мощностей  ОАО "Камчатскэнерго" (ТЭЦ-1 и ТЭЦ-2)</t>
  </si>
  <si>
    <t>Софинансирование реализации мероприятий по концессионным соглашениям</t>
  </si>
  <si>
    <t>Техническое перевооружение Камчатской ТЭЦ-1 с переводом котлов на сжигание природного газа</t>
  </si>
  <si>
    <t xml:space="preserve">Техническое перевооружение основной дымовой трубы КТЭЦ-2 </t>
  </si>
  <si>
    <t>Разработка и опытное применение ПАВ-технологии для повышения эффективности, надежности и ресурса теплотехнического оборудования ОАО «Камчатскэнерго»</t>
  </si>
  <si>
    <t>ОНТМ КТЭЦ</t>
  </si>
  <si>
    <t>ОНТМ ИАУ</t>
  </si>
  <si>
    <t>Реконструкция системы выработки водорода с заменой электролизной установки на ТЭЦ-1</t>
  </si>
  <si>
    <t>Замена бака хранения кислоты №1</t>
  </si>
  <si>
    <t>Реконструкция артезианской скважины №1,2,3</t>
  </si>
  <si>
    <t>Тех. перевооружение электрических систем автоматического пожаротушения  ТЭЦ-2</t>
  </si>
  <si>
    <t>Реконструкция воздушной компрессорной ТЭЦ-1</t>
  </si>
  <si>
    <t>Оснащение мазутонасосной станции-2 системой работы в автоматическом режиме</t>
  </si>
  <si>
    <t>Реконструкция системы оперативной связи с установкой АТС Миником DX-500 на 256 портов и 8 пультов оперативной связи</t>
  </si>
  <si>
    <t>Модернизация выработавших ресурс статических подзарядных устройств, ЩПТ 2,3- АБ 2,3 ТЭЦ-1. (ВАЗП-380/260-40/80). Согласно выполненного ранее проекта.</t>
  </si>
  <si>
    <t>Установка  поточного газового хроматографа на Камчатской ТЭЦ-2</t>
  </si>
  <si>
    <t>Реконструкция учета расхода воды на ХВО ТЭЦ-1 и ТЭЦ-2</t>
  </si>
  <si>
    <t>Разработка интеллектуальной системы управления режимами работы и выбором направления модернизации оборудования ТЭС</t>
  </si>
  <si>
    <t>Реконструкция телефонной сети ОАО "Камчатскэнерго"</t>
  </si>
  <si>
    <t>Модернизация серверной под внедрение корпоративной информационной системы</t>
  </si>
  <si>
    <t>ОНТМ</t>
  </si>
  <si>
    <t>Строительство участка ТМ-3</t>
  </si>
  <si>
    <t>Закольцовка тепловых сетей</t>
  </si>
  <si>
    <t>Реконструкция ПНС-2</t>
  </si>
  <si>
    <t xml:space="preserve">Благоустройство территории Елизовского отделения Энергосбыта  </t>
  </si>
  <si>
    <t>Приобретение нежилых помещений цокольного этажа здания общежития по адресу: г.Петропавловск-Камчатский, Космический пр. 7 "В" под кассы филиала Энергосбыт</t>
  </si>
  <si>
    <t>Установка кондиционеров в кабинетах  здания Энергосбыта по пр. Победы, 24</t>
  </si>
  <si>
    <t>ОНТМ Энергосбыт</t>
  </si>
  <si>
    <t>Благоустройство территории Елизовского отделения Энергосбыта</t>
  </si>
  <si>
    <t>Устройство громкоговорящей связи в здании Энергосбыта по пр. Победы, 24</t>
  </si>
  <si>
    <t>Реконструкция пристройки к зданию Энергосбыта (проходной)</t>
  </si>
  <si>
    <t>Устройство серверной в здании Энергосбыта по пр. Победы, 24</t>
  </si>
  <si>
    <t>электробойлерные</t>
  </si>
  <si>
    <t>котельные</t>
  </si>
  <si>
    <t xml:space="preserve">          ТЭЦ менее 25 МВт</t>
  </si>
  <si>
    <t xml:space="preserve">Источник тепловой энергии с установленной генерирующей мощностью менее 25 МВт </t>
  </si>
  <si>
    <t>Установленная тепловая мощность  источников тепловой энергии</t>
  </si>
  <si>
    <t>Источники  тепловой энергии</t>
  </si>
  <si>
    <t>Источник тепловой энергии с установленной генерирующей мощностью 25 МВт и более</t>
  </si>
  <si>
    <t xml:space="preserve">км </t>
  </si>
  <si>
    <t>551-700 мм</t>
  </si>
  <si>
    <t>401-550 мм</t>
  </si>
  <si>
    <t>251-400 мм</t>
  </si>
  <si>
    <t>50-250 мм</t>
  </si>
  <si>
    <t xml:space="preserve">Протяженность тепловых сетей в 2-трубном исчислении, в том числе: </t>
  </si>
  <si>
    <t xml:space="preserve">Показатели производственной программы организации, оказывающей услуги теплоснабжения </t>
  </si>
  <si>
    <t>Приложение 3.1.</t>
  </si>
  <si>
    <t>4.3.4</t>
  </si>
  <si>
    <t>Несписочный состав</t>
  </si>
  <si>
    <t>4.3.3</t>
  </si>
  <si>
    <t>Выходное пособие, пособие на период трудоустройства сокращенным</t>
  </si>
  <si>
    <t>4.3.2</t>
  </si>
  <si>
    <t>Компенсационные выплаты сокращенным, уволенным</t>
  </si>
  <si>
    <t>4.3.1</t>
  </si>
  <si>
    <t xml:space="preserve"> - на передачу тепловой энергии</t>
  </si>
  <si>
    <t xml:space="preserve"> - на сбыт тепловой энергии</t>
  </si>
  <si>
    <t>руб./куб.м</t>
  </si>
  <si>
    <t>9.</t>
  </si>
  <si>
    <t>Плановые накопления</t>
  </si>
  <si>
    <t>1.8.3.</t>
  </si>
  <si>
    <t>1.8.2.</t>
  </si>
  <si>
    <t>1.8.1.</t>
  </si>
  <si>
    <t>1.8.</t>
  </si>
  <si>
    <t>1.7.</t>
  </si>
  <si>
    <t>1.6.</t>
  </si>
  <si>
    <t>1.5.</t>
  </si>
  <si>
    <t>Стоимость реагентов, а также фильтрующих и и ионообменных материалов, используемых при водоподготовке</t>
  </si>
  <si>
    <t>Ед. изм.</t>
  </si>
  <si>
    <t>станция № 1</t>
  </si>
  <si>
    <t>станция № 2</t>
  </si>
  <si>
    <t>тыс. куб.м</t>
  </si>
  <si>
    <t>Объем выработки и потребления (невозврата) теплоносителя, производимого на источнике тепловой энергии 2 - станции № 2</t>
  </si>
  <si>
    <t>2.2.</t>
  </si>
  <si>
    <t>2.1.</t>
  </si>
  <si>
    <t>Источник тепловой энергии 2, на котором производится теплоноситель - станция № 2</t>
  </si>
  <si>
    <t>Объем выработки и потребления (невозврата) теплоносителя, производимого на источнике тепловой энергии 1 - станции № 1</t>
  </si>
  <si>
    <t>Источник тепловой энергии 1, на котором производится теплоноситель - станция № 1</t>
  </si>
  <si>
    <t>Приложение 6.6.1</t>
  </si>
  <si>
    <t>Приложение 6.6.2</t>
  </si>
  <si>
    <t>ручей Дорожный</t>
  </si>
  <si>
    <t>Год</t>
  </si>
  <si>
    <t>на производство от:</t>
  </si>
  <si>
    <t>Расход э/э</t>
  </si>
  <si>
    <t>Сумма, т.руб.</t>
  </si>
  <si>
    <t>- техцели</t>
  </si>
  <si>
    <t>- электрокотельные</t>
  </si>
  <si>
    <t>- произ.нужды</t>
  </si>
  <si>
    <t>- хознужды</t>
  </si>
  <si>
    <t>- техцели (ЦТП, ПНС)</t>
  </si>
  <si>
    <t>Приложение 4.9</t>
  </si>
  <si>
    <t xml:space="preserve">Протяженность тепловых сетей  в 2-трубном исчислении,  в том числе: </t>
  </si>
  <si>
    <t>I энергорайон</t>
  </si>
  <si>
    <t>II энергорайон</t>
  </si>
  <si>
    <t>IV энергорайон</t>
  </si>
  <si>
    <t>Сетевой район</t>
  </si>
  <si>
    <t>Котельные</t>
  </si>
  <si>
    <t>I -  энергорайон</t>
  </si>
  <si>
    <t>№ 43 "Чубарова"</t>
  </si>
  <si>
    <t>№ 37"Психдиспансер"</t>
  </si>
  <si>
    <t>№ 40 "КМП"</t>
  </si>
  <si>
    <t>4.3.5</t>
  </si>
  <si>
    <t>№ 50 "101 квартал"</t>
  </si>
  <si>
    <t>4.3.6</t>
  </si>
  <si>
    <t>№ 62 "103 квартал"</t>
  </si>
  <si>
    <t>4.3.7</t>
  </si>
  <si>
    <t>№ 52 "108 квартал"</t>
  </si>
  <si>
    <t>4.3.8</t>
  </si>
  <si>
    <t>№ 44 'Ватутина"</t>
  </si>
  <si>
    <t>4.3.9</t>
  </si>
  <si>
    <t>I I -  энергорайон</t>
  </si>
  <si>
    <t>4.3.10</t>
  </si>
  <si>
    <t>№ 12 "Сероглазка"</t>
  </si>
  <si>
    <t>4.3.11</t>
  </si>
  <si>
    <t>№ 32"Ленинградская"</t>
  </si>
  <si>
    <t>4.3.12</t>
  </si>
  <si>
    <t>№ 7 "Энергопоезд"</t>
  </si>
  <si>
    <t>4.3.13</t>
  </si>
  <si>
    <t>№ 13 "Октябрьская"</t>
  </si>
  <si>
    <t>4.3.14</t>
  </si>
  <si>
    <t>№ 34 Электрокотельная</t>
  </si>
  <si>
    <t>4.3.15</t>
  </si>
  <si>
    <t>№ 45 "Владивостокская"</t>
  </si>
  <si>
    <t>4.3.16</t>
  </si>
  <si>
    <t>№ 46 "Школа,18"</t>
  </si>
  <si>
    <t>4.3.17</t>
  </si>
  <si>
    <t>№ 42 "Заозерная"</t>
  </si>
  <si>
    <t>4.3.18</t>
  </si>
  <si>
    <t>№ 56 "c-з Дальний"</t>
  </si>
  <si>
    <t>4.3.19</t>
  </si>
  <si>
    <t>№ 16"Долиновка"</t>
  </si>
  <si>
    <t>4.3.20</t>
  </si>
  <si>
    <t>№ 14 АП "Халактырка"</t>
  </si>
  <si>
    <t>4.3.21</t>
  </si>
  <si>
    <t>№ 17"Чапаевка"</t>
  </si>
  <si>
    <t>4.3.22</t>
  </si>
  <si>
    <t>№ 26 "п. Тундровый"</t>
  </si>
  <si>
    <t>4.3.23</t>
  </si>
  <si>
    <t>№ 25 "п.Нагорный"</t>
  </si>
  <si>
    <t>4.3.24</t>
  </si>
  <si>
    <t>№ 18"Завойко"</t>
  </si>
  <si>
    <t>4.3.25</t>
  </si>
  <si>
    <t>VI энергорайон</t>
  </si>
  <si>
    <t>4.3.26</t>
  </si>
  <si>
    <t>№ 1 "11км"</t>
  </si>
  <si>
    <t>4.3.27</t>
  </si>
  <si>
    <t>№ 2 "КГТУ"</t>
  </si>
  <si>
    <t>4.3.28</t>
  </si>
  <si>
    <t>№ "3 Моховая"</t>
  </si>
  <si>
    <t>4.3.29</t>
  </si>
  <si>
    <t>№ 5 "Школа37"</t>
  </si>
  <si>
    <t>4.3.30</t>
  </si>
  <si>
    <t>№ 6 "Авача"</t>
  </si>
  <si>
    <t>№ 15 КОС "Чавыча"</t>
  </si>
  <si>
    <t>4.4.1</t>
  </si>
  <si>
    <t>КТЭЦ + котельные СВОД</t>
  </si>
  <si>
    <t xml:space="preserve">Утверждено на 2013 год </t>
  </si>
  <si>
    <t xml:space="preserve">Факт 2013 года </t>
  </si>
  <si>
    <t xml:space="preserve">Утверждено на 2014 год </t>
  </si>
  <si>
    <t>Утверждено на 2013 год</t>
  </si>
  <si>
    <t>Факт 2013 года</t>
  </si>
  <si>
    <t>Утверждено на 2014 год</t>
  </si>
  <si>
    <t>Факт 2013г.</t>
  </si>
  <si>
    <t>Утв. на 2014г.</t>
  </si>
  <si>
    <t>в т.ч. на ремонт хозспособом</t>
  </si>
  <si>
    <t>- оплата труда всего, в т.ч.</t>
  </si>
  <si>
    <t>- по расчету</t>
  </si>
  <si>
    <t>- льготный проезд к месту отдыха</t>
  </si>
  <si>
    <t>- Негосударственный пенсионный фонд</t>
  </si>
  <si>
    <t>- расходы на оплату услуг, оказываемых организациями, осуществляющими регулируемую деятельность (плата за транзит)</t>
  </si>
  <si>
    <t>- в т.ч. выпадающие доходы:</t>
  </si>
  <si>
    <t>- в т.ч. экономия средств:</t>
  </si>
  <si>
    <t>Смета расходов - ТЕПЛОВАЯ ЭНЕРГИЯ - СВОД (КТЭЦ+котельные)</t>
  </si>
  <si>
    <t>Смета расходов - ТЕПЛОВАЯ ЭНЕРГИЯ - ПРОИЗВОДСТВО (КТЭЦ+котельные)</t>
  </si>
  <si>
    <t>Смета расходов - ТЕПЛОВАЯ ЭНЕРГИЯ - ТРАНЗИТ (КТЭЦ+котельные)</t>
  </si>
  <si>
    <t>Смета расходов - ТЕПЛОВАЯ ЭНЕРГИЯ - СБЫТ (КТЭЦ+котельные)</t>
  </si>
  <si>
    <t>Смета расходов - ТЕПЛОВАЯ ЭНЕРГИЯ - СВОД (КТЭЦ)</t>
  </si>
  <si>
    <t>Смета расходов - ТЕПЛОВАЯ ЭНЕРГИЯ - ПРОИЗВОДСТВО (КТЭЦ комбинированная выработка)</t>
  </si>
  <si>
    <t>Смета расходов - ТЕПЛОВАЯ ЭНЕРГИЯ - ТРАНЗИТ (КТЭЦ)</t>
  </si>
  <si>
    <t>Смета расходов - ТЕПЛОВАЯ ЭНЕРГИЯ - СБЫТ (КТЭЦ)</t>
  </si>
  <si>
    <t>Смета расходов - ТЕПЛОВАЯ ЭНЕРГИЯ - СВОД (котельные)</t>
  </si>
  <si>
    <t>Смета расходов - ТЕПЛОВАЯ ЭНЕРГИЯ - ПРОИЗВОДСТВО (котельные)</t>
  </si>
  <si>
    <t>Смета расходов - ТЕПЛОВАЯ ЭНЕРГИЯ - ТРАНЗИТ (котельные)</t>
  </si>
  <si>
    <t>Смета расходов - ТЕПЛОВАЯ ЭНЕРГИЯ - СБЫТ (котельные)</t>
  </si>
  <si>
    <t xml:space="preserve">Факт 2013 г. </t>
  </si>
  <si>
    <t>Утверждено на 2014 г.</t>
  </si>
  <si>
    <t>Расходы на холодную воду, в том числе:</t>
  </si>
  <si>
    <t xml:space="preserve">   - на производство тепловой энергии</t>
  </si>
  <si>
    <t xml:space="preserve">   - на передачу тепловой энергии</t>
  </si>
  <si>
    <t xml:space="preserve">   - прочая продукция,  в т.ч.:</t>
  </si>
  <si>
    <t>ПКГО - котельные</t>
  </si>
  <si>
    <t>Нормативная численность ППП*</t>
  </si>
  <si>
    <t>Расчет расходов на оплату труда - ТЕПЛОВАЯ ЭНЕРГИЯ - СВОД (КТЭЦ+котельные)</t>
  </si>
  <si>
    <t>Расчет расходов на оплату труда - ТЕПЛОВАЯ ЭНЕРГИЯ - ПРОИЗВОДСТВО (КТЭЦ+котельные)</t>
  </si>
  <si>
    <t>Расчет расходов на оплату труда - ТЕПЛОВАЯ ЭНЕРГИЯ - ПЕРЕДАЧА (КТЭЦ+котельные)</t>
  </si>
  <si>
    <t>Расчет расходов на оплату труда - ТЕПЛОВАЯ ЭНЕРГИЯ - СБЫТ (КТЭЦ+котельные)</t>
  </si>
  <si>
    <t>Расчет расходов на оплату труда - ТЕПЛОВАЯ ЭНЕРГИЯ - СВОД (КТЭЦ)</t>
  </si>
  <si>
    <t>Расчет расходов на оплату труда - ТЕПЛОВАЯ ЭНЕРГИЯ - ПРОИЗВОДСТВО (КТЭЦ)</t>
  </si>
  <si>
    <t>Расчет расходов на оплату труда - ТЕПЛОВАЯ ЭНЕРГИЯ - ПЕРЕДАЧА (КТЭЦ)</t>
  </si>
  <si>
    <t>Расчет расходов на оплату труда - ТЕПЛОВАЯ ЭНЕРГИЯ - СБЫТ (КТЭЦ)</t>
  </si>
  <si>
    <t>Расчет расходов на оплату труда - ТЕПЛОВАЯ ЭНЕРГИЯ - СВОД (котельные)</t>
  </si>
  <si>
    <t>Расчет расходов на оплату труда - ТЕПЛОВАЯ ЭНЕРГИЯ - ПРОИЗВОДСТВО (котельные)</t>
  </si>
  <si>
    <t>Расчет расходов на оплату труда - ТЕПЛОВАЯ ЭНЕРГИЯ - ПЕРЕДАЧА (котельные)</t>
  </si>
  <si>
    <t>Расчет расходов на оплату труда - ТЕПЛОВАЯ ЭНЕРГИЯ - СБЫТ (котельные)</t>
  </si>
  <si>
    <t>Расчет амортизационных отчислений на восстановление основных производственных фондов - ТЕПЛОВАЯ ЭНЕРГИЯ - СВОД (КТЭЦ+котельные)</t>
  </si>
  <si>
    <t>Расчет амортизационных отчислений на восстановление основных производственных фондов - ТЕПЛОВАЯ ЭНЕРГИЯ - ПРОИЗВОДСТВО (КТЭЦ+котельные)</t>
  </si>
  <si>
    <t>Расчет амортизационных отчислений на восстановление основных производственных фондов - ТЕПЛОВАЯ ЭНЕРГИЯ - ТРАНЗИТ (КТЭЦ+котельные)</t>
  </si>
  <si>
    <t>Расчет амортизационных отчислений на восстановление основных производственных фондов - ТЕПЛОВАЯ ЭНЕРГИЯ - СБЫТ (КТЭЦ+котельные)</t>
  </si>
  <si>
    <t>Расчет амортизационных отчислений на восстановление основных производственных фондов - ТЕПЛОВАЯ ЭНЕРГИЯ - СВОД (КТЭЦ)</t>
  </si>
  <si>
    <t>Расчет амортизационных отчислений на восстановление основных производственных фондов - ТЕПЛОВАЯ ЭНЕРГИЯ - ПРОИЗВОДСТВО (КТЭЦ)</t>
  </si>
  <si>
    <t>Расчет амортизационных отчислений на восстановление основных производственных фондов - ТЕПЛОВАЯ ЭНЕРГИЯ - ТРАНЗИТ (КТЭЦ)</t>
  </si>
  <si>
    <t>Расчет амортизационных отчислений на восстановление основных производственных фондов - ТЕПЛОВАЯ ЭНЕРГИЯ - СБЫТ (КТЭЦ)</t>
  </si>
  <si>
    <t>Расчет амортизационных отчислений на восстановление основных производственных фондов - ТЕПЛОВАЯ ЭНЕРГИЯ - СВОД (котельные)</t>
  </si>
  <si>
    <t>Расчет амортизационных отчислений на восстановление основных производственных фондов - ТЕПЛОВАЯ ЭНЕРГИЯ - ПРОИЗВОДСТВО (котельные)</t>
  </si>
  <si>
    <t>Расчет амортизационных отчислений на восстановление основных производственных фондов - ТЕПЛОВАЯ ЭНЕРГИЯ - ТРАНЗИТ (котельные)</t>
  </si>
  <si>
    <t>Расчет амортизационных отчислений на восстановление основных производственных фондов - ТЕПЛОВАЯ ЭНЕРГИЯ - СБЫТ (котельные)</t>
  </si>
  <si>
    <t>ТЕПЛОВАЯ ЭНЕРГИЯ - СВОД (КТЭЦ+котельные)</t>
  </si>
  <si>
    <t>ТЕПЛОВАЯ ЭНЕРГИЯ - СВОД (КТЭЦ)</t>
  </si>
  <si>
    <t>ТЕПЛОВАЯ ЭНЕРГИЯ - СВОД (котельные)</t>
  </si>
  <si>
    <t>ТЕПЛОВАЯ ЭНЕРГИЯ - ПРОИЗВОДСТВО (котельные)</t>
  </si>
  <si>
    <t>ТЕПЛОВАЯ ЭНЕРГИЯ - ТРАНЗИТ (котельные)</t>
  </si>
  <si>
    <t>ТЕПЛОВАЯ ЭНЕРГИЯ - СБЫТ (котельные)</t>
  </si>
  <si>
    <t>ТЕПЛОВАЯ ЭНЕРГИЯ - ПРОИЗВОДСТВО (КТЭЦ)</t>
  </si>
  <si>
    <t>ТЕПЛОВАЯ ЭНЕРГИЯ - ТРАНЗИТ (КТЭЦ)</t>
  </si>
  <si>
    <t>ТЕПЛОВАЯ ЭНЕРГИЯ - СБЫТ (КТЭЦ)</t>
  </si>
  <si>
    <t>ТЕПЛОВАЯ ЭНЕРГИЯ - ПРОИЗВОДСТВО (КТЭЦ+котельные)</t>
  </si>
  <si>
    <t>ТЕПЛОВАЯ ЭНЕРГИЯ - ТРАНЗИТ (КТЭЦ+котельные)</t>
  </si>
  <si>
    <t>ТЕПЛОВАЯ ЭНЕРГИЯ - СБЫТ (КТЭЦ+котельные)</t>
  </si>
  <si>
    <t>Бюджетные потребители</t>
  </si>
  <si>
    <t>Прочие потребители</t>
  </si>
  <si>
    <t xml:space="preserve"> - уголь</t>
  </si>
  <si>
    <t xml:space="preserve"> - мазут</t>
  </si>
  <si>
    <t xml:space="preserve"> - газ</t>
  </si>
  <si>
    <t xml:space="preserve"> - дизельное топливо</t>
  </si>
  <si>
    <t>Нормативный удельный расход условного топлива на производство теплоэнергии</t>
  </si>
  <si>
    <t xml:space="preserve">   уголь </t>
  </si>
  <si>
    <t>дизельное топливо</t>
  </si>
  <si>
    <t xml:space="preserve">   уголь</t>
  </si>
  <si>
    <r>
      <t>руб./тыс.м</t>
    </r>
    <r>
      <rPr>
        <b/>
        <vertAlign val="superscript"/>
        <sz val="10"/>
        <rFont val="Times New Roman Cyr"/>
        <charset val="204"/>
      </rPr>
      <t>3</t>
    </r>
  </si>
  <si>
    <t>др.виды топлива (диз.топливо)</t>
  </si>
  <si>
    <t>уголь</t>
  </si>
  <si>
    <t>газ</t>
  </si>
  <si>
    <t>25.4</t>
  </si>
  <si>
    <t xml:space="preserve">  др.виды топлива (диз.топливо)</t>
  </si>
  <si>
    <t xml:space="preserve">   др.виды топлива</t>
  </si>
  <si>
    <r>
      <t xml:space="preserve">   </t>
    </r>
    <r>
      <rPr>
        <sz val="10"/>
        <color theme="1" tint="4.9989318521683403E-2"/>
        <rFont val="Times New Roman Cyr"/>
        <charset val="204"/>
      </rPr>
      <t>дизельное топливо</t>
    </r>
  </si>
  <si>
    <t xml:space="preserve">   дизельное топливо</t>
  </si>
  <si>
    <r>
      <t xml:space="preserve">   </t>
    </r>
    <r>
      <rPr>
        <b/>
        <sz val="10"/>
        <rFont val="Times New Roman Cyr"/>
        <charset val="204"/>
      </rPr>
      <t xml:space="preserve">газ всего, в том числе: </t>
    </r>
  </si>
  <si>
    <t xml:space="preserve">  дизельное топливо</t>
  </si>
  <si>
    <t xml:space="preserve">   др.виды топлива (диз.топливо)</t>
  </si>
  <si>
    <t xml:space="preserve">  др.виды топлива</t>
  </si>
  <si>
    <t>ПКГО - тепловая энергия свод (КТЭЦ+котельные)</t>
  </si>
  <si>
    <t>Расчет расхода топлива по электростанциям (котельным) - тепловая энергия Свод</t>
  </si>
  <si>
    <t xml:space="preserve"> Камчатские ТЭЦ</t>
  </si>
  <si>
    <t>в т.ч. ТЭЦ-1</t>
  </si>
  <si>
    <r>
      <t xml:space="preserve">в т.ч. </t>
    </r>
    <r>
      <rPr>
        <sz val="10"/>
        <rFont val="Times New Roman Cyr"/>
        <family val="1"/>
        <charset val="204"/>
      </rPr>
      <t>ТЭЦ-2</t>
    </r>
  </si>
  <si>
    <t>Газ</t>
  </si>
  <si>
    <t>ТЭЦ-2</t>
  </si>
  <si>
    <t>ЦЭС, ДЭС ТЭЦ-2</t>
  </si>
  <si>
    <t>Дизель</t>
  </si>
  <si>
    <t>Коммунальная энергетика</t>
  </si>
  <si>
    <t>Свод (КТЭЦ+котельные)</t>
  </si>
  <si>
    <t>Факт 2012 года</t>
  </si>
  <si>
    <t>после заполнения табл. 4.5</t>
  </si>
  <si>
    <t>в т.ч. ТЭЦ-2</t>
  </si>
  <si>
    <t>Отпуск электроэнергии с шин, в т.ч.</t>
  </si>
  <si>
    <t>- от ТЭЦ-1</t>
  </si>
  <si>
    <t>- от ТЭЦ-2</t>
  </si>
  <si>
    <t>- от ДЭС ТЭЦ-2</t>
  </si>
  <si>
    <t>Расход условного топлива на производство электроэнергии, в т.ч.</t>
  </si>
  <si>
    <t>Отпуск тепловой энергии, поставляемой с коллекторов источника тепловой энергии, в т.ч.</t>
  </si>
  <si>
    <t>- от котельных</t>
  </si>
  <si>
    <t>в т.ч. котельные</t>
  </si>
  <si>
    <t>+</t>
  </si>
  <si>
    <t>вневедомственная охрана</t>
  </si>
  <si>
    <t>прочие, в т.ч.</t>
  </si>
  <si>
    <t>3.1.</t>
  </si>
  <si>
    <t>связь, информационно-вычислительное обслуживание и т.п.</t>
  </si>
  <si>
    <t>3.2.</t>
  </si>
  <si>
    <t>расходы по приобретению лицензий, консультационные и инф.-выч. обслуживание и т.п.</t>
  </si>
  <si>
    <t>информационно-консультационные услуги</t>
  </si>
  <si>
    <t>печатные, канцелярские и др. подобные расходы и услуги</t>
  </si>
  <si>
    <t>затраты по обеспечению норм. условий труда и ТБ</t>
  </si>
  <si>
    <t>программное обеспечение</t>
  </si>
  <si>
    <t>общехозяйственные расходы</t>
  </si>
  <si>
    <t>проездные билеты для контролеров</t>
  </si>
  <si>
    <t>техобслуживание множительной, машинописной и др. техники</t>
  </si>
  <si>
    <t>комиссионные сборы</t>
  </si>
  <si>
    <t>аудиторские, юридические, нотариальные услуги</t>
  </si>
  <si>
    <t>другие прочие</t>
  </si>
  <si>
    <t>инкассация</t>
  </si>
  <si>
    <t>УГМС</t>
  </si>
  <si>
    <t>вылет на материк</t>
  </si>
  <si>
    <t>аттестация</t>
  </si>
  <si>
    <t>углеродный фонд, затраты на экологическую политику, затраты на ИНВЭЛ</t>
  </si>
  <si>
    <t>Отпуск тепловой энергии, тыс. Гкал</t>
  </si>
  <si>
    <t xml:space="preserve"> - тариф на тепловую энергию, руб./Гкал без НДС</t>
  </si>
  <si>
    <t xml:space="preserve"> - тариф на теплоноситель, руб./Гкал без НДС</t>
  </si>
  <si>
    <t>Полезный отпуск тепловой энергии, тыс. Гкал</t>
  </si>
  <si>
    <t>- на передачу электрической энергии</t>
  </si>
  <si>
    <t>- на передачу тепловой энергии</t>
  </si>
  <si>
    <t>- на передачу теплоносителя</t>
  </si>
  <si>
    <t>- на сбыт электрической энергии</t>
  </si>
  <si>
    <t>- на сбыт тепловой энергии</t>
  </si>
  <si>
    <t>- на сбыт теплоносителя</t>
  </si>
  <si>
    <t>представительские расходы</t>
  </si>
  <si>
    <t>расходы на рекламу</t>
  </si>
  <si>
    <t>01.07.2013 - 31.08.2013</t>
  </si>
  <si>
    <t>01.09.2013 - 31.12.2013</t>
  </si>
  <si>
    <t>поставщик 3</t>
  </si>
  <si>
    <t>на производство:</t>
  </si>
  <si>
    <t>на передачу:</t>
  </si>
  <si>
    <t>проверка</t>
  </si>
  <si>
    <t>объем</t>
  </si>
  <si>
    <t>сумма</t>
  </si>
  <si>
    <t>покупка от:</t>
  </si>
  <si>
    <t>водоснабжение, в том числе</t>
  </si>
  <si>
    <t>потери теплоносителя</t>
  </si>
  <si>
    <t>собственные и хозяйственные нужды</t>
  </si>
  <si>
    <t xml:space="preserve">   - на производство теплоносителя (открытая система)</t>
  </si>
  <si>
    <t>горячее водоснабжение в закрытой системе</t>
  </si>
  <si>
    <t>Приложение 5.1</t>
  </si>
  <si>
    <t>Определение операционных (подконтрольных) расходов на первый год долгосрочного периода регулирования (базовый уровень операционных расходов)</t>
  </si>
  <si>
    <t>Наименование расхода</t>
  </si>
  <si>
    <t>Расходы на приобретение сырья и материалов</t>
  </si>
  <si>
    <t>Расходы на ремонт основных средств</t>
  </si>
  <si>
    <t>Расходы на оплату труда</t>
  </si>
  <si>
    <t>Расходы на оплату работ и услуг производственного характера, выполняемых по договорам со сторонними организациями</t>
  </si>
  <si>
    <t>Расходы на оплату иных работ и услуг, выполняемых по договорам с организациями, включая:</t>
  </si>
  <si>
    <t>Расходы на оплату услуг связи</t>
  </si>
  <si>
    <t>Расходы на оплату вневедомственной охраны</t>
  </si>
  <si>
    <t>Расходы на оплату коммунальных услуг</t>
  </si>
  <si>
    <t>Расходы на оплату юридических, информационных, аудиторских и консультационных услуг</t>
  </si>
  <si>
    <t>Расходы на оплату услуг по стратегическому управлению организацией</t>
  </si>
  <si>
    <t>Расходы на оплату других работ и услуг</t>
  </si>
  <si>
    <t>Расходы на служебные командировки</t>
  </si>
  <si>
    <t>Расходы на обучение персонала</t>
  </si>
  <si>
    <t>Лизинговый платеж</t>
  </si>
  <si>
    <t>Арендная плата</t>
  </si>
  <si>
    <t>10.</t>
  </si>
  <si>
    <t>Другие расходы, в том числе:</t>
  </si>
  <si>
    <t>10.1.</t>
  </si>
  <si>
    <t>Охрана труда и ТБ</t>
  </si>
  <si>
    <t>10.2.</t>
  </si>
  <si>
    <t>Расходы на канцелярские товары</t>
  </si>
  <si>
    <t>10.3.</t>
  </si>
  <si>
    <t>Расходы на рекламу</t>
  </si>
  <si>
    <t>10.4.</t>
  </si>
  <si>
    <t>Представительские расходы</t>
  </si>
  <si>
    <t>10.5.</t>
  </si>
  <si>
    <t>Расходы по обеспечению пожарной безопасности</t>
  </si>
  <si>
    <t>10.6.</t>
  </si>
  <si>
    <t>10.7.</t>
  </si>
  <si>
    <t>10.8.</t>
  </si>
  <si>
    <t>10.9.</t>
  </si>
  <si>
    <t>10.10.</t>
  </si>
  <si>
    <t>ИТОГО базовый уровень операционных расходов</t>
  </si>
  <si>
    <t>Примечание:</t>
  </si>
  <si>
    <t>В гр. 3 отражаются расходы, учтенные в тарифах регулируемой организации в предшествующем расчетном периоде регулирования.</t>
  </si>
  <si>
    <t>производство тепловой энергии</t>
  </si>
  <si>
    <t>передача тепловой энергии</t>
  </si>
  <si>
    <t>Приложение 5.2</t>
  </si>
  <si>
    <t>эта таблица делается отдельно для производства т/э и передачи т/э</t>
  </si>
  <si>
    <t>Расчет операционных (подконтрольных) расходов на каждый год долгосрочного периода регулирования</t>
  </si>
  <si>
    <t>Параметры расчета расходов</t>
  </si>
  <si>
    <t>Долгосрочный период регулирования</t>
  </si>
  <si>
    <t>2016 год</t>
  </si>
  <si>
    <t>2017 год</t>
  </si>
  <si>
    <t>Индекс потребительских цен на расчетный период регулирования (ИПЦ)</t>
  </si>
  <si>
    <t>Индекс эффективности операционных расходов (ИР)</t>
  </si>
  <si>
    <t>Индекс изменения количества активов (ИКА)</t>
  </si>
  <si>
    <t>количество условных единиц, относящихся к активам, необходимым для осуществления регулируемой деятельности</t>
  </si>
  <si>
    <t>у.е.</t>
  </si>
  <si>
    <t>установленная тепловая мощность источника тепловой энергии</t>
  </si>
  <si>
    <t>Коэффициент эластичности затрат по росту активов (Кэл)</t>
  </si>
  <si>
    <t>Операционные (подконтрольные) расходы</t>
  </si>
  <si>
    <t>Год i0 - первый год долгосрочного периода регулирования, год i1 - последний год долгосрочного периода регулирования.</t>
  </si>
  <si>
    <t>Строка 3 заполняется в соответствии с пунктом 38 настоящих Методических указаний; строка 3.1 - для организаций, осуществляющих деятельность по передаче тепловой энергии и теплоносителя, в соответствии с приложением 2 к настоящим Методическим указаниям; строка 3.2 - для организаций, осуществляющих деятельность по производству тепловой энергии (мощности), с учетом инвестиционной программы регулируемой организации на соответствующий год.</t>
  </si>
  <si>
    <t>Ст. 5 гр. 4 заполняется по данным таблицы приложения 5.1 к настоящим Методическим указаниям.</t>
  </si>
  <si>
    <t>Гр. 5 - n  заполняются  расчетно, как  значение  операционных  (неподконтрольных)  расходов в  предыдущей  графе, умноженное на соответствующие  индексы текущего  года, указанные в строках 1 - 4.</t>
  </si>
  <si>
    <t>в т.ч. арендованные сети</t>
  </si>
  <si>
    <t>Приложение 5.3</t>
  </si>
  <si>
    <t xml:space="preserve">Реестр неподконтрольных расходов </t>
  </si>
  <si>
    <t xml:space="preserve">фактически понесенные расходы в году по данным регулируемой организации </t>
  </si>
  <si>
    <t xml:space="preserve">прогноз расходов на год по данным регулируемой организации </t>
  </si>
  <si>
    <t>Расходы на оплату услуг, оказываемых организациями, осуществляющими регулируемые виды деятельности</t>
  </si>
  <si>
    <t>аренда производственных объектов</t>
  </si>
  <si>
    <t>Концессионная плата</t>
  </si>
  <si>
    <t>Расходы на уплату налогов, сборов и других обязательных платежей, в том числе:</t>
  </si>
  <si>
    <t>1.4.1.</t>
  </si>
  <si>
    <t>плата за выбросы и сбросы загрязняющих веществ в окружающую среду, размещение отходов и другие виды негативного воздействия на окружающую среду в пределах установленных нормативов и (или) лимитов</t>
  </si>
  <si>
    <t>1.4.2.</t>
  </si>
  <si>
    <t>расходы на обязательное страхование</t>
  </si>
  <si>
    <t>1.4.3.</t>
  </si>
  <si>
    <t>иные расходы</t>
  </si>
  <si>
    <t>Отчисления на социальные нужды</t>
  </si>
  <si>
    <t>Расходы по сомнительным долгам</t>
  </si>
  <si>
    <t>Амортизация основных средств и нематериальных активов</t>
  </si>
  <si>
    <t>Расходы на выплаты по договорам займа и кредитным договорам, включая проценты по ним</t>
  </si>
  <si>
    <t xml:space="preserve">3. </t>
  </si>
  <si>
    <t>Экономия, определенная в прошедшем долгосрочном периоде регулирования и подлежащая учету в текущем долгосрочном периоде регулирования</t>
  </si>
  <si>
    <t>Итого неподконтрольных расходов</t>
  </si>
  <si>
    <t>Строки 1.7, 1.8 при использовании метода обеспечения доходности инвестированного капитала не заполняются.</t>
  </si>
  <si>
    <t>Гр. 3, 5, … n-1 заполняется регулируемой организацией по итогам фактически понесенных расходов в соответствующем расчетном периоде регулирования.</t>
  </si>
  <si>
    <t>Гр. 4, 6, … n в течение долгосрочного периода регулирования заполняется регулируемой организацией с учетом уточнения планируемых значений расходов.</t>
  </si>
  <si>
    <t>Приложение 5.4</t>
  </si>
  <si>
    <t>Реестр расходов на приобретение энергетических ресурсов,
холодной воды и теплоносителя (далее в настоящем приложении - ресурсы)</t>
  </si>
  <si>
    <t>Наименование ресурса</t>
  </si>
  <si>
    <t>Расходы на топливо</t>
  </si>
  <si>
    <t>Расходы на электрическую энергию</t>
  </si>
  <si>
    <t>Расходы на тепловую энергию</t>
  </si>
  <si>
    <t>Расходы на холодную воду</t>
  </si>
  <si>
    <t xml:space="preserve"> Расходы на теплоноситель</t>
  </si>
  <si>
    <t>Гр. 3, 5, n-1 заполняется регулируемой организацией по данным о фактически приобретенных энергетических ресурсах, холодной воды и теплоносителя.</t>
  </si>
  <si>
    <t>Строки 1 - 5 заполняются по данным Приложений 4.4, 4.7 и 4.8 к настоящим Методическим указаниям.</t>
  </si>
  <si>
    <t>Приложение 5.5</t>
  </si>
  <si>
    <t>Расчет экономии операционных расходов</t>
  </si>
  <si>
    <t>заполняется в конце долгосрочного периода</t>
  </si>
  <si>
    <t>Год i1-4</t>
  </si>
  <si>
    <t>Год i1-3 (2014)</t>
  </si>
  <si>
    <t>Год i1-2 (2015)</t>
  </si>
  <si>
    <t>Год i1-1 (2016)</t>
  </si>
  <si>
    <t>Год i1 (2017)</t>
  </si>
  <si>
    <t>Скорректированные операционные расходы</t>
  </si>
  <si>
    <t xml:space="preserve">базовый год х факт. инфляцию х факт.индекс операц.расходов </t>
  </si>
  <si>
    <t>Фактические операционные расходы</t>
  </si>
  <si>
    <t>Экономия операционных расходов</t>
  </si>
  <si>
    <t>Прирост экономии операционных расходов</t>
  </si>
  <si>
    <t>(экономия текущ.года - экономия предыдущ.года) х индекс текущ.года</t>
  </si>
  <si>
    <t>Индекс потребительских цен</t>
  </si>
  <si>
    <t>Прирост экономии операционных расходов в ценах года i1</t>
  </si>
  <si>
    <t>7.1.</t>
  </si>
  <si>
    <t>Доля экономии, учитываемая в следующем долгосрочном периоде</t>
  </si>
  <si>
    <t>Экономия операционных расходов, учитываемая в очередном долгосрочном периоде регулирования</t>
  </si>
  <si>
    <t>Приложение заполняется за предшествующий долгосрочный период регулирования.</t>
  </si>
  <si>
    <t>i1 - последний год текущего долгосрочного периода регулирования.</t>
  </si>
  <si>
    <t>Стр. 3 = стр. 1 - стр. 2.</t>
  </si>
  <si>
    <t>В строке 4: гр. 3 = гр. 3 стр. 3</t>
  </si>
  <si>
    <t>гр. 4 = гр. 4 стр. 3 - гр. 3 стр. 3 * (1 + гр. 4 стр. 5)</t>
  </si>
  <si>
    <t>гр. 5 = гр. 5 стр. 3 - гр. 4 стр. 3 * (1 + гр. 5 стр. 5)</t>
  </si>
  <si>
    <t>гр. 6 = гр. 6 стр. 3 - гр. 5 стр. 3 * (1 + гр. 6 стр. 5)</t>
  </si>
  <si>
    <t>гр. 7 = гр. 7 стр. 3 - гр. 6 стр. 3 * (1 + гр. 7 стр. 5)</t>
  </si>
  <si>
    <t>В строке 6: гр. 4 = (1 + гр. 5 стр. 5) * (1 + гр. 6 стр. 5) * (1 + гр. 7 стр. 5)</t>
  </si>
  <si>
    <t>гр. 5 = (1 + гр. 6 стр. 5) * (1 + гр. 7 стр. 5)</t>
  </si>
  <si>
    <t>гр. 6 = (1 + гр. 7 стр. 5)</t>
  </si>
  <si>
    <t>В строке 7: гр. стр. 7 = гр. стр. 4 * гр. стр. 6, кроме гр. 7</t>
  </si>
  <si>
    <t>гр. 7 стр. 7 = гр. стр. 4</t>
  </si>
  <si>
    <t>Строка 8 заполняется только в графе 8.</t>
  </si>
  <si>
    <t>Если предшествующий долгосрочный период регулирования составляет 3 года:</t>
  </si>
  <si>
    <r>
      <t>гр. 8 = (4/5 * гр. 7 + 3/5 * гр. 6 + 2/5 * гр. 5)|</t>
    </r>
    <r>
      <rPr>
        <vertAlign val="subscript"/>
        <sz val="11"/>
        <rFont val="Times New Roman"/>
        <family val="1"/>
        <charset val="204"/>
      </rPr>
      <t>стр. 7</t>
    </r>
  </si>
  <si>
    <t>Если предшествующий долгосрочный период регулирования составляет более 3 лет:</t>
  </si>
  <si>
    <r>
      <t>гр. 8 = (4/5 * гр. 7 + 3/5 * гр. 6 + 2/5 * гр. 5 + 1/5 * гр. 4)|</t>
    </r>
    <r>
      <rPr>
        <vertAlign val="subscript"/>
        <sz val="11"/>
        <rFont val="Times New Roman"/>
        <family val="1"/>
        <charset val="204"/>
      </rPr>
      <t>стр. 7</t>
    </r>
  </si>
  <si>
    <t>Приложение 5.6</t>
  </si>
  <si>
    <t>Расчет экономии от снижения потребления топлива, учитываемой в очередном долгосрочном периоде регулирования</t>
  </si>
  <si>
    <t>Год i1-3</t>
  </si>
  <si>
    <t xml:space="preserve">Прирост экономии от снижения потребления топлива </t>
  </si>
  <si>
    <t>Прирост экономии от снижения потребления энергетических ресурсов в ценах года i1</t>
  </si>
  <si>
    <t>9.1</t>
  </si>
  <si>
    <t>Экономия от снижения потребления топлива, учитываемая в очередном долгосрочном периоде регулирования</t>
  </si>
  <si>
    <t>Приложение заполняется для каждого источника тепловой энергии.</t>
  </si>
  <si>
    <t>Фактическая (расчетная) цена на топливо - с учетом затрат на его доставку и хранение, определяемая в соответствии с приложением 4.5 к настоящим Методическим указаниям с учетом остатков топлива и структуры используемого топлива, учтенной при расчете удельного расхода топлива.</t>
  </si>
  <si>
    <r>
      <t>Графы строки 6 заполняются расчетным способом: гр. стр. 6 = (гр. стр. 5 - гр. стр. 5|</t>
    </r>
    <r>
      <rPr>
        <vertAlign val="subscript"/>
        <sz val="10"/>
        <rFont val="Times New Roman"/>
        <family val="1"/>
        <charset val="204"/>
      </rPr>
      <t>предыдущий год</t>
    </r>
    <r>
      <rPr>
        <sz val="10"/>
        <rFont val="Times New Roman"/>
        <family val="1"/>
        <charset val="204"/>
      </rPr>
      <t>) * гр. стр. 4 / 103. Для первого года регулирования: гр. стр. 6 = гр. стр. 5 * гр. стр. 4 / 103.</t>
    </r>
  </si>
  <si>
    <t>В строке 8: гр. 5 = (1 + гр. 6) * (1 + гр. 7) * (1 + гр. 8) строки 7;</t>
  </si>
  <si>
    <t>гр. 6 = (1 + гр. 7) * (1 + гр. 8) строки 7;</t>
  </si>
  <si>
    <t>гр. 7 = (1 + гр. 8) строки 7.</t>
  </si>
  <si>
    <t>Гр. стр. 9 = гр. стр. 6 * гр. стр. 8, кроме гр. 8;</t>
  </si>
  <si>
    <t>гр. 8 стр. 9 = гр. стр. 6.</t>
  </si>
  <si>
    <t>Строка 10 заполняется только в графе 8.</t>
  </si>
  <si>
    <r>
      <t>гр. 8 = (4/5 * гр. 8 + 3/5 * гр. 7 + 2/5 * гр. 6)|</t>
    </r>
    <r>
      <rPr>
        <vertAlign val="subscript"/>
        <sz val="10"/>
        <rFont val="Times New Roman"/>
        <family val="1"/>
        <charset val="204"/>
      </rPr>
      <t>стр. 9</t>
    </r>
  </si>
  <si>
    <r>
      <t>гр. 8 = (4/5 * гр. 8 + 3/5 * гр. 7 + 2/5 * гр. 6 + 1/5 * гр. 5)|</t>
    </r>
    <r>
      <rPr>
        <vertAlign val="subscript"/>
        <sz val="10"/>
        <rFont val="Times New Roman"/>
        <family val="1"/>
        <charset val="204"/>
      </rPr>
      <t>стр. 9</t>
    </r>
  </si>
  <si>
    <t>Приложение 5.7</t>
  </si>
  <si>
    <t>Расчет экономии от снижения потребления прочих энергетических ресурсов, холодной воды, теплоносителя (далее в настоящем приложении - ресурсы), учитываемой в очередном долгосрочном периоде регулирования</t>
  </si>
  <si>
    <t>Фактический объем полезного отпуска соответствующего вида продукции (услуг)</t>
  </si>
  <si>
    <t>Фактический объем полезного отпуска соответствующего вида продукции (услуг), учтенный при установлении тарифов</t>
  </si>
  <si>
    <t>Объем потребления ресурса, учтенный при установлении тарифов</t>
  </si>
  <si>
    <t>Фактический объем потребления ресурса</t>
  </si>
  <si>
    <t>Фактическая стоимость приобретения (производства) единицы ресурса</t>
  </si>
  <si>
    <t>Экономия от снижения потребления ресурсов</t>
  </si>
  <si>
    <t>Прирост экономии от снижения потребления  ресурсов</t>
  </si>
  <si>
    <t>Прирост экономии от снижения потребления  ресурсов в ценах года i1</t>
  </si>
  <si>
    <t>10.1</t>
  </si>
  <si>
    <t>11.</t>
  </si>
  <si>
    <t>Экономия от снижения потребления ресурсов, учитываемая в очередном долгосрочном периоде регулирования</t>
  </si>
  <si>
    <t>Приложение заполняется для каждого вида ресурсов.</t>
  </si>
  <si>
    <t>Графы строки 6 заполняются расчетным способом: гр. стр. 6 = гр. стр. 1 /  гр. стр. 2 * гр. стр. 3 - гр. стр. 4.</t>
  </si>
  <si>
    <t>Графы строки 7 заполняются расчетным способом: гр. стр. 7 = (гр. стр. 6 - гр. стр. 6|предыдущий год) * гр. стр. 5. Для первого года регулирования: стр. 7 = гр. стр. 6 * гр. стр. 5. Необходимо согласовать единицы измерения всех показателей для того, чтобы выразить прирост экономии от снижения потребления ресурсов в тыс. руб.</t>
  </si>
  <si>
    <t>В строке 9: гр. 5 = (1 + гр. 6) * (1 + гр. 7) * (1 + гр. 8) строки 8;</t>
  </si>
  <si>
    <t>гр. 6 = (1 + гр. 7) * (1 + гр. 8) строки 8;</t>
  </si>
  <si>
    <t>гр. 7 = (1 + гр. 8) строки 8.</t>
  </si>
  <si>
    <t>Гр. стр. 10 = гр. стр. 7 * гр. стр. 9, кроме гр. 8;</t>
  </si>
  <si>
    <t>гр. 8 стр. 10 = гр. стр. 7.</t>
  </si>
  <si>
    <t>Строка 11 заполняется только в графе 8.</t>
  </si>
  <si>
    <r>
      <t>гр. 8 = (4/5 * гр. 8 + 3/5 * гр. 7 + 2/5 * гр. 6)|</t>
    </r>
    <r>
      <rPr>
        <vertAlign val="subscript"/>
        <sz val="10"/>
        <rFont val="Times New Roman"/>
        <family val="1"/>
        <charset val="204"/>
      </rPr>
      <t>стр. 10</t>
    </r>
  </si>
  <si>
    <r>
      <t>гр. 8 = (4/5 * гр. 8 + 3/5 * гр. 7 + 2/5 * гр. 6 + 1/5 * гр. 5)|</t>
    </r>
    <r>
      <rPr>
        <vertAlign val="subscript"/>
        <sz val="10"/>
        <rFont val="Times New Roman"/>
        <family val="1"/>
        <charset val="204"/>
      </rPr>
      <t>стр. 10</t>
    </r>
  </si>
  <si>
    <t>Приложение 5.9</t>
  </si>
  <si>
    <t>Расчет необходимой валовой выручки методом индексации установленных тарифов</t>
  </si>
  <si>
    <t>Неподконтрольные расходы</t>
  </si>
  <si>
    <t>Расходы на приобретение (производство) энергетических ресурсов, холодной воды и теплоносителя</t>
  </si>
  <si>
    <t>Прибыль</t>
  </si>
  <si>
    <t>без налога</t>
  </si>
  <si>
    <t>Результаты деятельности до перехода к регулированию цен (тарифов) на основе долгосрочных параметров регулирования</t>
  </si>
  <si>
    <t>Корректировка с целью учета отклонения фактических значений параметров расчета тарифов от значений, учтенных при установлении тарифов</t>
  </si>
  <si>
    <t>Корректировка с учетом надежности и качества реализуемых товаров (оказываемых услуг), подлежащая учету в НВВ</t>
  </si>
  <si>
    <t xml:space="preserve"> Корректировка НВВ в связи с изменением (неисполнением) инвестиционной программы</t>
  </si>
  <si>
    <t>Корректировка, подлежащая учету в НВВ и учитывающая отклонение фактических показателей энерго-сбережения и повышения энергетической эффективности от установленных плановых (рас-четных) показателей и отклонение сроков реализации программы в области энергосбережения и повышения энергетической эффективности от установленных сроков реализации такой программы</t>
  </si>
  <si>
    <t>ИТОГО необходимая валовая выручка</t>
  </si>
  <si>
    <t>Товарная выручка</t>
  </si>
  <si>
    <t>норм.уровень прибыли</t>
  </si>
  <si>
    <t>утв. как долгосрочный параметр и не пересматривается</t>
  </si>
  <si>
    <t>Графы 3, 5, ..., n-1 строк 1 и 3 заполняются на основе фактических значений параметров расчета тарифов взамен прогнозных.</t>
  </si>
  <si>
    <t>Строка 5 заполняется только для первого долгосрочного периода регулирования.</t>
  </si>
  <si>
    <t>Графы 4, 6, ..., n строки 10 заполняются как сумма соответствующих граф строк с 1 по 9.</t>
  </si>
  <si>
    <t>Графы 3, 5, ..., n-1 строки 10 заполняются как сумма соответствующих граф строк с 1 по 5.</t>
  </si>
  <si>
    <t>В строке 6:</t>
  </si>
  <si>
    <t>гр. 7 = гр. 3 стр. 10 - гр. 3 стр. 11 + гр. 3 стр. 6;</t>
  </si>
  <si>
    <t>гр. 9 = гр. 5 стр. 10 - гр. 5 стр. 11 + гр. 5 стр. 6 и т.д.;</t>
  </si>
  <si>
    <t>гр. 3 и 5 заполняются аналогично по данным таблицы предыдущего досрочного периода регулирования.</t>
  </si>
  <si>
    <t>Строка 11 заполняется только в графах 3, 5, ..., n-1.</t>
  </si>
  <si>
    <t>К таблице прилагаются дополнительные материалы, содержащие обоснованный расчет по строкам 7, 8, 9, 11.</t>
  </si>
  <si>
    <t xml:space="preserve">факт 2013 </t>
  </si>
  <si>
    <t>надо выделить НВВ на воду и пар</t>
  </si>
  <si>
    <t>Утв. на 2013 год</t>
  </si>
  <si>
    <t>Утв. на 2014 год</t>
  </si>
  <si>
    <t>Расчет тарифа на теплоноситель, поставляемый теплоснабжающей организацией, владеющей источником (источниками) тепловой энергии, на котором производится теплоноситель (1 контур)</t>
  </si>
  <si>
    <t>Расчет тарифа на теплоноситель, поставляемый потребителям (1 контур)</t>
  </si>
  <si>
    <t>Расчет тарифа на теплоноситель, поставляемый теплоснабжающей организацией, владеющей источником (источниками) тепловой энергии, на котором производится теплоноситель (2 контур)</t>
  </si>
  <si>
    <t>Источник тепловой энергии 1, на котором производится теплоноситель - КТЭЦ</t>
  </si>
  <si>
    <t>Объем выработки и потребления (невозврата) теплоносителя, производимого на источнике тепловой энергии 1 - КТЭЦ</t>
  </si>
  <si>
    <t>Источник тепловой энергии 2, на котором производится теплоноситель - котельные</t>
  </si>
  <si>
    <t>Объем выработки и потребления (невозврата) теплоносителя, производимого на источнике тепловой энергии 2 - котельные</t>
  </si>
  <si>
    <t>Расчет тарифа на теплоноситель, поставляемый потребителям (2 контур)</t>
  </si>
  <si>
    <t>Расчет тарифа на горячую воду в открытых системах теплоснабжения для теплоснабжающей организации, поставляющей горячую воду с использованием открытой системы теплоснабжения (горячего водоснабжения) -      1 контур</t>
  </si>
  <si>
    <t>Расчет тарифа на горячую воду в открытых системах теплоснабжения для теплоснабжающей организации, поставляющей горячую воду с использованием открытой системы теплоснабжения (горячего водоснабжения) -      2 контур</t>
  </si>
  <si>
    <t>потери теплоносителя 1 контур</t>
  </si>
  <si>
    <t>потери теплоносителя 2 контур</t>
  </si>
  <si>
    <t>открытая система 1 контур</t>
  </si>
  <si>
    <t>прочая продукция, в т.ч.:</t>
  </si>
  <si>
    <t>горячее водоснабжение в открытой системе</t>
  </si>
  <si>
    <t xml:space="preserve">   - на производство теплоносителя (открытая система) 1 контур</t>
  </si>
  <si>
    <t>- водоотведение</t>
  </si>
  <si>
    <t>Объем условных единиц ОАО «Камчатскэнерго» по тепловым сетям (КТЭЦ)</t>
  </si>
  <si>
    <t>Водяные ТС</t>
  </si>
  <si>
    <t>1 контур</t>
  </si>
  <si>
    <t>2 контур</t>
  </si>
  <si>
    <t>Объем условных единиц ОАО «Камчатскэнерго» по тепловым сетям (Коммунальная энергетика)</t>
  </si>
  <si>
    <t>ООО "Оборонэнерго" СН2</t>
  </si>
  <si>
    <t>ООО "Оборонэнерго" НН</t>
  </si>
  <si>
    <t>- хознужды СН2</t>
  </si>
  <si>
    <t>- хознужды НН</t>
  </si>
  <si>
    <t>Расход э/э, тыс.кВтч</t>
  </si>
  <si>
    <r>
      <t xml:space="preserve">Утверждено на 2014 год </t>
    </r>
    <r>
      <rPr>
        <sz val="9"/>
        <rFont val="Times New Roman"/>
        <family val="1"/>
        <charset val="204"/>
      </rPr>
      <t>(нет в экспертном заключении)</t>
    </r>
  </si>
  <si>
    <t>Расчет расходов на оплату труда - ТЕПЛОВАЯ ЭНЕРГИЯ - ПЕРЕДАЧА + СБЫТ (КТЭЦ+котельные)</t>
  </si>
  <si>
    <t>Расчет расходов на оплату труда - ТЕПЛОВАЯ ЭНЕРГИЯ - ПЕРЕДАЧА + СБЫТ (КТЭЦ)</t>
  </si>
  <si>
    <t>Расчет расходов на оплату труда - ТЕПЛОВАЯ ЭНЕРГИЯ - ПЕРЕДАЧА + СБЫТ (котельные)</t>
  </si>
  <si>
    <t>Сумма амортизационных отчислений (с косвенными)</t>
  </si>
  <si>
    <t>передача</t>
  </si>
  <si>
    <t>сбыт</t>
  </si>
  <si>
    <t>№
п./п.</t>
  </si>
  <si>
    <t>8.2</t>
  </si>
  <si>
    <t>8.3</t>
  </si>
  <si>
    <t>8.4</t>
  </si>
  <si>
    <t>с косвенными внутри статей</t>
  </si>
  <si>
    <t>Смета расходов - ТЕПЛОВАЯ ЭНЕРГИЯ - косвенные</t>
  </si>
  <si>
    <t>пр-во</t>
  </si>
  <si>
    <r>
      <t xml:space="preserve">Утверждено на 2013 год </t>
    </r>
    <r>
      <rPr>
        <sz val="9"/>
        <rFont val="Times New Roman"/>
        <family val="1"/>
        <charset val="204"/>
      </rPr>
      <t>(нет в экспертном заключении)</t>
    </r>
  </si>
  <si>
    <t>Смета расходов - ТЕПЛОВАЯ ЭНЕРГИЯ - ТРАНЗИТ+СБЫТ (КТЭЦ)</t>
  </si>
  <si>
    <t>Смета расходов - ТЕПЛОВАЯ ЭНЕРГИЯ - СВОД (КТЭЦ комбинированная выработка)</t>
  </si>
  <si>
    <t>Смета расходов - ТЕПЛОВАЯ ЭНЕРГИЯ - ТРАНЗИТ+СБЫТ (КТЭЦ+котельные)</t>
  </si>
  <si>
    <r>
      <t xml:space="preserve">Утв. на 2014г. </t>
    </r>
    <r>
      <rPr>
        <sz val="9"/>
        <rFont val="Times New Roman"/>
        <family val="1"/>
        <charset val="204"/>
      </rPr>
      <t>(нет в экспертном заключении, по расчету ОТ КЭ)</t>
    </r>
  </si>
  <si>
    <r>
      <t xml:space="preserve">Утв. на 2013г. </t>
    </r>
    <r>
      <rPr>
        <sz val="9"/>
        <rFont val="Times New Roman"/>
        <family val="1"/>
        <charset val="204"/>
      </rPr>
      <t xml:space="preserve"> (нет в экспертном заключении, по расчету ОТ КЭ)</t>
    </r>
  </si>
  <si>
    <t>2.3.</t>
  </si>
  <si>
    <t>2.4.</t>
  </si>
  <si>
    <t>2.5.</t>
  </si>
  <si>
    <t>2.6.</t>
  </si>
  <si>
    <t>2.7.</t>
  </si>
  <si>
    <t>2.8.</t>
  </si>
  <si>
    <t>2.9.</t>
  </si>
  <si>
    <t>2.10.</t>
  </si>
  <si>
    <t>2.11.</t>
  </si>
  <si>
    <t>2.12.</t>
  </si>
  <si>
    <t>Расчет амортизационных отчислений на восстановление основных производственных фондов - ТЕПЛОВАЯ ЭНЕРГИЯ - ТРАНЗИТ+СБЫТ (КТЭЦ)</t>
  </si>
  <si>
    <t>Расчет амортизационных отчислений на восстановление основных производственных фондов - ТЕПЛОВАЯ ЭНЕРГИЯ - ТРАНЗИТ+СБЫТ (котельные)</t>
  </si>
  <si>
    <t>Расчет амортизационных отчислений на восстановление основных производственных фондов - ТЕПЛОВАЯ ЭНЕРГИЯ - ТРАНЗИТ+СБЫТ (КТЭЦ+котельные)</t>
  </si>
  <si>
    <r>
      <t xml:space="preserve">Утверждено на 2014 год </t>
    </r>
    <r>
      <rPr>
        <sz val="10"/>
        <rFont val="Times New Roman"/>
        <family val="1"/>
        <charset val="204"/>
      </rPr>
      <t>(нет в экспертном заключении)</t>
    </r>
  </si>
  <si>
    <t xml:space="preserve">- техцели </t>
  </si>
  <si>
    <t>2.13.</t>
  </si>
  <si>
    <t>пожарная охрана</t>
  </si>
  <si>
    <t>Смета расходов - ТЕПЛОВАЯ ЭНЕРГИЯ - ТРАНЗИТ+СБЫТ (котельные)</t>
  </si>
  <si>
    <t>Прочие расходы ФОТ (резерв для оплаты отпусков, относимый на себестоимость по состоянию на 31.12.2013, начисленный в соответствии с ПБУ 8/2010)</t>
  </si>
  <si>
    <t>прочие в прочих</t>
  </si>
  <si>
    <t>Период регулирования 2017</t>
  </si>
  <si>
    <t>И.о. начальника ПТС                                                                                                                                                  А.А. Гранкин</t>
  </si>
  <si>
    <t>VII</t>
  </si>
  <si>
    <t>Товарная продукция, фактически выставленная потребителям</t>
  </si>
  <si>
    <t>амортизация</t>
  </si>
  <si>
    <t>прибыль</t>
  </si>
  <si>
    <t>Закольцовка тепловых сетей ТЭЦ-1 и ТЭЦ-2</t>
  </si>
  <si>
    <t>ОНТМ РДУ</t>
  </si>
  <si>
    <t>- списание ДЗ</t>
  </si>
  <si>
    <t>ТЭЦ-1</t>
  </si>
  <si>
    <t>Расход ХВО, тн/год</t>
  </si>
  <si>
    <t>Затраты на э/э на водоподготовку, руб</t>
  </si>
  <si>
    <t>Расход э/э на перекачку 1 м3 подпиточной воды, квтч/тн</t>
  </si>
  <si>
    <t>Себестоимость э/э, руб/кВтч</t>
  </si>
  <si>
    <t>Затраты на химреагенты, руб</t>
  </si>
  <si>
    <t>Расход подпиточной воды (теплоносителя) 1 контура,тн</t>
  </si>
  <si>
    <t>Расходы на э/э, ВСЕГО, руб</t>
  </si>
  <si>
    <t>Затраты на э/э на перекачку подпиточной воды, руб</t>
  </si>
  <si>
    <t>Расход э/э на перекачку подпиточной воды, кВтч</t>
  </si>
  <si>
    <t>Расход э/э на водоподготовку, кВтч/тн</t>
  </si>
  <si>
    <t>Расход э/э на водоподготовку, кВтч</t>
  </si>
  <si>
    <t>Стоимость реагентов, а также фильтрующих и и ионообменных материалов, используемых при водоподготовке, руб</t>
  </si>
  <si>
    <t>Цена реагентов, необходимых для подготовки 1 т. ХОВ</t>
  </si>
  <si>
    <t>Расход пара на деаэрацию 1 т подп воды, %</t>
  </si>
  <si>
    <t>Расход пара на деаэрацию подп воды, тн</t>
  </si>
  <si>
    <t xml:space="preserve">Исходные данные по материалам тарифной заявки </t>
  </si>
  <si>
    <t>Расчет затрат</t>
  </si>
  <si>
    <t>Теплосодержание холодной воды, ккал/кг</t>
  </si>
  <si>
    <t>Теплосодержание пара, ккал/кг</t>
  </si>
  <si>
    <t>Наименование статей затрат</t>
  </si>
  <si>
    <t>Затраты на воду</t>
  </si>
  <si>
    <t>Затраты на оплату труда персонала ХВО</t>
  </si>
  <si>
    <t>Страховые взносы во внебюджетные фонды (30,2%)</t>
  </si>
  <si>
    <t>Себестоимость обессоливания 1 тонны воды</t>
  </si>
  <si>
    <t>Амортизация оборудования ХВО</t>
  </si>
  <si>
    <t>Стоимость конденсата, израсходованного на деаэрацию воды, руб.</t>
  </si>
  <si>
    <t>Всего затрат, руб.</t>
  </si>
  <si>
    <t>Потери пара с выпарами на 1 м3 подпиточной воды, %</t>
  </si>
  <si>
    <t xml:space="preserve">Себестоимость 1 Гкал теплоэнергии </t>
  </si>
  <si>
    <t xml:space="preserve">2. </t>
  </si>
  <si>
    <t>Расчет затрат на тепловую энергию, потерянную с выпарами деаэраторов, руб.</t>
  </si>
  <si>
    <t>Затраты на тепловую энергию, потерянную с выпарами деаэраторов</t>
  </si>
  <si>
    <t>Затраты на обессоленную воду (кроме затрат на химреагенты и электроэнергию), для расчета стоимости конденсата, израсходованного на деаэрацию воды</t>
  </si>
  <si>
    <t>Расчет затрат:</t>
  </si>
  <si>
    <t>(нет в экспертном заключении)</t>
  </si>
  <si>
    <t>Исходные данные</t>
  </si>
  <si>
    <t>N п.п.</t>
  </si>
  <si>
    <t xml:space="preserve"> Наименование показателя </t>
  </si>
  <si>
    <t>Ед. изм</t>
  </si>
  <si>
    <t>Отпуск в сеть Т/Э</t>
  </si>
  <si>
    <t>Гкал</t>
  </si>
  <si>
    <t xml:space="preserve"> 1.1</t>
  </si>
  <si>
    <t xml:space="preserve"> 1.2</t>
  </si>
  <si>
    <t>Покупка т/энергии</t>
  </si>
  <si>
    <t>Топливо</t>
  </si>
  <si>
    <t>Тыс. руб.</t>
  </si>
  <si>
    <t>ресурсы</t>
  </si>
  <si>
    <t>Покупное тепло</t>
  </si>
  <si>
    <t>ХОВ</t>
  </si>
  <si>
    <t>Вода на технологию</t>
  </si>
  <si>
    <t>Электроэнергия</t>
  </si>
  <si>
    <t>ФОТ</t>
  </si>
  <si>
    <t>операц.</t>
  </si>
  <si>
    <t>ремонтный фонд</t>
  </si>
  <si>
    <t>дефл</t>
  </si>
  <si>
    <t>Вспомогательные материалы</t>
  </si>
  <si>
    <t>УПХ</t>
  </si>
  <si>
    <t>Отчисление на соц. нужды</t>
  </si>
  <si>
    <t>неподконт.</t>
  </si>
  <si>
    <t>арендная плата</t>
  </si>
  <si>
    <t>прочие, в том числе</t>
  </si>
  <si>
    <t xml:space="preserve"> 14.1</t>
  </si>
  <si>
    <t xml:space="preserve"> 14.2</t>
  </si>
  <si>
    <t>ПДВ</t>
  </si>
  <si>
    <t xml:space="preserve"> 14.3</t>
  </si>
  <si>
    <t>Страхование</t>
  </si>
  <si>
    <t xml:space="preserve"> 14.4</t>
  </si>
  <si>
    <t>Налоги</t>
  </si>
  <si>
    <t>Командировки</t>
  </si>
  <si>
    <t>Расходы на обучение</t>
  </si>
  <si>
    <t xml:space="preserve"> 18.1</t>
  </si>
  <si>
    <t>соц. выплаты</t>
  </si>
  <si>
    <t xml:space="preserve"> 18.2</t>
  </si>
  <si>
    <t>инвест. программа</t>
  </si>
  <si>
    <t xml:space="preserve"> 18.3</t>
  </si>
  <si>
    <t>РСД</t>
  </si>
  <si>
    <t xml:space="preserve"> 18.4</t>
  </si>
  <si>
    <t>услуги банков</t>
  </si>
  <si>
    <t xml:space="preserve"> 18.5</t>
  </si>
  <si>
    <t>услуги на обслуживание заемных средств</t>
  </si>
  <si>
    <t xml:space="preserve"> 18.6</t>
  </si>
  <si>
    <t>прочие из прибыли</t>
  </si>
  <si>
    <t xml:space="preserve"> 18.7</t>
  </si>
  <si>
    <t>план списания ДЗ</t>
  </si>
  <si>
    <t xml:space="preserve"> 18.8</t>
  </si>
  <si>
    <t>налог на прибыль</t>
  </si>
  <si>
    <t>НУР угля</t>
  </si>
  <si>
    <t>кг / Гкал</t>
  </si>
  <si>
    <t>переводной коэффициент</t>
  </si>
  <si>
    <t>Тариф на уголь</t>
  </si>
  <si>
    <t>НУР газа</t>
  </si>
  <si>
    <t>м3/ Гкал</t>
  </si>
  <si>
    <t>Тариф на газ</t>
  </si>
  <si>
    <t>Тариф на покупку т/э</t>
  </si>
  <si>
    <t>тыс.квт*ч</t>
  </si>
  <si>
    <t>Тариф на покупку э/э</t>
  </si>
  <si>
    <t>руб./квт*ч</t>
  </si>
  <si>
    <t>Расход теплоносителя</t>
  </si>
  <si>
    <t>тыс. м3</t>
  </si>
  <si>
    <t>руб./м3</t>
  </si>
  <si>
    <t>Расход Х/В</t>
  </si>
  <si>
    <t>Тариф на Х/В</t>
  </si>
  <si>
    <t xml:space="preserve">в т.ч собственная выработка </t>
  </si>
  <si>
    <t xml:space="preserve">- расходы на оплату услуг, оказываемых организациями, осуществляющими регулируемую деятельность </t>
  </si>
  <si>
    <t xml:space="preserve"> 14.5</t>
  </si>
  <si>
    <t xml:space="preserve"> 14.6</t>
  </si>
  <si>
    <t xml:space="preserve"> 14.7</t>
  </si>
  <si>
    <t>Услуги банков</t>
  </si>
  <si>
    <t>Камчатские ТЭЦ</t>
  </si>
  <si>
    <t>Котельные ПКГО</t>
  </si>
  <si>
    <t>иные расходы (налоги)</t>
  </si>
  <si>
    <t>ПКГО (КТЭЦ + котельные)</t>
  </si>
  <si>
    <t>НВВ (без выпадающ.дохода)</t>
  </si>
  <si>
    <t>НВВ всего</t>
  </si>
  <si>
    <t>Полезный отпуск</t>
  </si>
  <si>
    <t>Руб./Гкал</t>
  </si>
  <si>
    <t>Выпадающий доход (избыток средств)</t>
  </si>
  <si>
    <t>рост тарифа</t>
  </si>
  <si>
    <t>Период регулирования 2017 год</t>
  </si>
  <si>
    <t>Результаты деятельности до перехода к регулированию цен (тарифов) на основе долгосрочных параметров регулирования (выпадающий доход)</t>
  </si>
  <si>
    <t>Факт 2014г.</t>
  </si>
  <si>
    <t xml:space="preserve">Факт 2014 года </t>
  </si>
  <si>
    <t xml:space="preserve">Утверждено на 2015 год </t>
  </si>
  <si>
    <t>1 полугодие 2016 года</t>
  </si>
  <si>
    <t>2 полугодие 2016 года</t>
  </si>
  <si>
    <t>Факт 2014 года</t>
  </si>
  <si>
    <t>Утверждено на 2015 год</t>
  </si>
  <si>
    <t>с коллекторов</t>
  </si>
  <si>
    <t>Утв. на 2015г.</t>
  </si>
  <si>
    <t>Факт 2014 г.</t>
  </si>
  <si>
    <t>Утверждено на 2015 г.</t>
  </si>
  <si>
    <t>Утв. 2015г.</t>
  </si>
  <si>
    <r>
      <t xml:space="preserve">Утверждено на 2015 год </t>
    </r>
    <r>
      <rPr>
        <sz val="9"/>
        <rFont val="Times New Roman"/>
        <family val="1"/>
        <charset val="204"/>
      </rPr>
      <t>(нет в экспертном заключении)</t>
    </r>
  </si>
  <si>
    <t>Добавить контура</t>
  </si>
  <si>
    <t>факт 2014</t>
  </si>
  <si>
    <t>Базовый 2014 год</t>
  </si>
  <si>
    <t>Базовый период 2014 год</t>
  </si>
  <si>
    <t>Утв. на 2015 год</t>
  </si>
  <si>
    <t>Факт 2014 год</t>
  </si>
  <si>
    <r>
      <rPr>
        <b/>
        <sz val="11"/>
        <rFont val="Times New Roman"/>
        <family val="1"/>
        <charset val="204"/>
      </rPr>
      <t>Утв. на 2014 год</t>
    </r>
    <r>
      <rPr>
        <sz val="11"/>
        <rFont val="Times New Roman"/>
        <family val="1"/>
        <charset val="204"/>
      </rPr>
      <t/>
    </r>
  </si>
  <si>
    <r>
      <rPr>
        <b/>
        <sz val="11"/>
        <rFont val="Times New Roman"/>
        <family val="1"/>
        <charset val="204"/>
      </rPr>
      <t>Утв. на 2015 год</t>
    </r>
    <r>
      <rPr>
        <sz val="11"/>
        <rFont val="Times New Roman"/>
        <family val="1"/>
        <charset val="204"/>
      </rPr>
      <t/>
    </r>
  </si>
  <si>
    <t>2015 утв.</t>
  </si>
  <si>
    <r>
      <t xml:space="preserve">Год, предшествующий очередному долгосрочному периоду регулирования (утв. 2015) - </t>
    </r>
    <r>
      <rPr>
        <sz val="9"/>
        <rFont val="Times New Roman"/>
        <family val="1"/>
        <charset val="204"/>
      </rPr>
      <t>нет в экспертном закл-и</t>
    </r>
  </si>
  <si>
    <t>Год, предшествующий очередному долгосрочному периоду регулирования (утв. 2015)</t>
  </si>
  <si>
    <t xml:space="preserve">Год, предшествующий очередному долгосрочному периоду регулирования (утв. 2015) </t>
  </si>
  <si>
    <t>2018 год</t>
  </si>
  <si>
    <t>от нормативного ФОТа</t>
  </si>
  <si>
    <t>Утв. на 2015г. (нет в эксперт.закл-и)</t>
  </si>
  <si>
    <t>Утверждено на 2014 год (нет в экспертном заключении)</t>
  </si>
  <si>
    <t>Утв. 2014г. (нет в экспертном заключении)</t>
  </si>
  <si>
    <t>Утв. 2013г. (нет в экспертном заключении)</t>
  </si>
  <si>
    <t>Утверждено на 2013 год (нет в экспертном заключении)</t>
  </si>
  <si>
    <t>водоотведение по производству</t>
  </si>
  <si>
    <t>Устройство серверной по пр. Победы, 24 (ПС КСИ)</t>
  </si>
  <si>
    <t>Реконструкция системы оперативной связи</t>
  </si>
  <si>
    <t>Узлы учета поступающих циркуляционных и сбросных вод КТЭЦ-2</t>
  </si>
  <si>
    <t>Тепломагистраль №3 от ПНС-3 до ЦТП-327 ("зауженный" участок)</t>
  </si>
  <si>
    <t>Техприсоединение до 0,1 Гкал по ул. Батарейной</t>
  </si>
  <si>
    <t>компенс льгот</t>
  </si>
  <si>
    <t>ПТП</t>
  </si>
  <si>
    <t>Строительство АЦТП Ленинградская и тепловые сети 1-ого и 2-ого контура</t>
  </si>
  <si>
    <t>Тех. присоединение потребителей до 0,1 Гкал</t>
  </si>
  <si>
    <t xml:space="preserve">Система автоматизации снятия показаний приборов учета тепловой энергии </t>
  </si>
  <si>
    <t>Реконструкция пожарно-охранной сигнализации в здании Елизовского отделения Энергосбыта в г. Елизово, ул. Вилюйская, 8</t>
  </si>
  <si>
    <t xml:space="preserve">Устройство «электронной очереди» в здании Елизовского отделения Энергосбыта в г. Елизово, ул. Вилюйская, 8 </t>
  </si>
  <si>
    <t>Утверждено на базовый период 2015</t>
  </si>
  <si>
    <t>Выполнено в течение базового периода 2015 (освоено)</t>
  </si>
  <si>
    <t>Источник финансирования на базовый период 2015</t>
  </si>
  <si>
    <t>Инвестиционная составляющая в тарифе</t>
  </si>
  <si>
    <t>Плата за тех. присоединение потребителей</t>
  </si>
  <si>
    <t>Компенсация за тех. присоединение потребителей льготной категории</t>
  </si>
  <si>
    <t>расход усл.топлива,тонн усл.топл</t>
  </si>
  <si>
    <t>Расчет затрат на оплату труда персонала, участвующего в пр-ве подпиточной воды</t>
  </si>
  <si>
    <t>Должность</t>
  </si>
  <si>
    <t>чел./сут.</t>
  </si>
  <si>
    <t>З/пл в год, руб.</t>
  </si>
  <si>
    <t>% вр.зан.</t>
  </si>
  <si>
    <t>Сумма в год, руб.</t>
  </si>
  <si>
    <t>НСЦ</t>
  </si>
  <si>
    <t>Машинист ЦТЩУ паровыми турбинами 6р.</t>
  </si>
  <si>
    <t>Машинист-обходчик по ТО  5р</t>
  </si>
  <si>
    <t>Машинист-обходчик по ТО 4р.</t>
  </si>
  <si>
    <t>Эл.слесарь по обслуживанию автоматики и средств измерений 5 р.</t>
  </si>
  <si>
    <t>Эл.слесарь по ремонту и обслуживанию автоматики и средств измерений 5 р.</t>
  </si>
  <si>
    <t>Эл.слесарь по ремонту и обслуживанию автоматики и средств измерений 6 р.</t>
  </si>
  <si>
    <t>Эл.монтер по обслуживанию оборудования эл.станций 5 р.</t>
  </si>
  <si>
    <t>Эл.монтер по обслуживанию оборудования эл.станций 6 р.</t>
  </si>
  <si>
    <t>Эл.монтер по ремонту и обслуживанию оборудования эл.станций 6 р.</t>
  </si>
  <si>
    <t>Слесарь по ремонту парогазотурбинного оборудования 5 р.</t>
  </si>
  <si>
    <t>Расчет амортизационных отчислений по ОФ, участвующим в производстве подпиточной воды</t>
  </si>
  <si>
    <t>Инв. №</t>
  </si>
  <si>
    <t>Наименование ОС</t>
  </si>
  <si>
    <t>Балансовая стоимость, руб.</t>
  </si>
  <si>
    <t>Срок полезного использования, мес.</t>
  </si>
  <si>
    <t>Коэффициент загрузки оборудования, %</t>
  </si>
  <si>
    <t>Сумма амортизационных отчислений в год, руб.</t>
  </si>
  <si>
    <t>D26-000001034</t>
  </si>
  <si>
    <t>Зд.гл.корпуса 1-ой очереди- 10% общего объема</t>
  </si>
  <si>
    <t>D26-000028135</t>
  </si>
  <si>
    <r>
      <t>Бак деаэраторный 50 м</t>
    </r>
    <r>
      <rPr>
        <vertAlign val="superscript"/>
        <sz val="10"/>
        <rFont val="Arial Cyr"/>
        <charset val="204"/>
      </rPr>
      <t>3</t>
    </r>
    <r>
      <rPr>
        <sz val="10"/>
        <rFont val="Arial Cyr"/>
        <charset val="204"/>
      </rPr>
      <t xml:space="preserve"> ДСП-160</t>
    </r>
  </si>
  <si>
    <t>D26-000028136</t>
  </si>
  <si>
    <t>D26-000083190</t>
  </si>
  <si>
    <t>Подогреватель давления подпиточной воды с насосами подпитки</t>
  </si>
  <si>
    <t>Время занятости, %</t>
  </si>
  <si>
    <t>Затраты в год, руб.</t>
  </si>
  <si>
    <t>Машинист береговых насосных станций 2 р.</t>
  </si>
  <si>
    <t>Слесарь по обслуживанию оборудования эл.станций 4 р.</t>
  </si>
  <si>
    <t>Слесарь по обслуживанию оборудования эл.станций 5 р.</t>
  </si>
  <si>
    <t>Аппаратчик ХВО 4 р.</t>
  </si>
  <si>
    <t>Аппаратчик ХВО 3 р.</t>
  </si>
  <si>
    <t>Инженер - технолог 2 кат.</t>
  </si>
  <si>
    <t>Машинист ЦТЩУ котлами 6 р.</t>
  </si>
  <si>
    <t>Машинист-обходчик по ТО 4 р.</t>
  </si>
  <si>
    <t>Эл.монтер по ремонту и обслуживанию оборудования эл.станций 5 р.</t>
  </si>
  <si>
    <t>Итого затрат</t>
  </si>
  <si>
    <t>Балансов. стоимость ОС, руб.</t>
  </si>
  <si>
    <t>К28-3221</t>
  </si>
  <si>
    <t>Водозаборные сооружения на р.Дорожном</t>
  </si>
  <si>
    <t>Насосы марки К 100/65 - 3 шт.</t>
  </si>
  <si>
    <t>Трубопровод</t>
  </si>
  <si>
    <t>D28-00130917</t>
  </si>
  <si>
    <t>Насосная станция 2-го подъема</t>
  </si>
  <si>
    <t>Насосы марки К 90/55 - 2 шт.</t>
  </si>
  <si>
    <t>Насосы марки К 90/85 - 1 шт.</t>
  </si>
  <si>
    <t>Насосы марки К 100/65 - 1 шт.</t>
  </si>
  <si>
    <t>D28-15240516</t>
  </si>
  <si>
    <t>Водопровод стальной</t>
  </si>
  <si>
    <t>D28-81751144</t>
  </si>
  <si>
    <r>
      <t>Резервуары для воды (250 м</t>
    </r>
    <r>
      <rPr>
        <vertAlign val="superscript"/>
        <sz val="10"/>
        <rFont val="Arial Cyr"/>
        <charset val="204"/>
      </rPr>
      <t>3</t>
    </r>
    <r>
      <rPr>
        <sz val="10"/>
        <rFont val="Arial Cyr"/>
        <charset val="204"/>
      </rPr>
      <t>)</t>
    </r>
  </si>
  <si>
    <t>D28-00800932</t>
  </si>
  <si>
    <t>Оборудование ХВО</t>
  </si>
  <si>
    <t>Насосы марки Х 90/49 -4 шт.</t>
  </si>
  <si>
    <t>Насосы марки Х 280/29 -2 шт.</t>
  </si>
  <si>
    <t>Насосы марки К 90/55 -3 шт.</t>
  </si>
  <si>
    <r>
      <t>Осветлитель (V - 150 м</t>
    </r>
    <r>
      <rPr>
        <vertAlign val="superscript"/>
        <sz val="10"/>
        <rFont val="Arial Cyr"/>
        <charset val="204"/>
      </rPr>
      <t>3</t>
    </r>
    <r>
      <rPr>
        <sz val="10"/>
        <rFont val="Arial Cyr"/>
        <charset val="204"/>
      </rPr>
      <t>) - 2 шт.</t>
    </r>
  </si>
  <si>
    <r>
      <t>Бак коагулированной воды (V - 160 м</t>
    </r>
    <r>
      <rPr>
        <vertAlign val="superscript"/>
        <sz val="10"/>
        <rFont val="Arial Cyr"/>
        <charset val="204"/>
      </rPr>
      <t>3</t>
    </r>
    <r>
      <rPr>
        <sz val="10"/>
        <rFont val="Arial Cyr"/>
        <charset val="204"/>
      </rPr>
      <t>)- 2 шт.</t>
    </r>
  </si>
  <si>
    <r>
      <t>Бак регеративных вод механических фильтров (V - 250 м</t>
    </r>
    <r>
      <rPr>
        <vertAlign val="superscript"/>
        <sz val="10"/>
        <rFont val="Arial Cyr"/>
        <charset val="204"/>
      </rPr>
      <t>3</t>
    </r>
    <r>
      <rPr>
        <sz val="10"/>
        <rFont val="Arial Cyr"/>
        <charset val="204"/>
      </rPr>
      <t>)</t>
    </r>
  </si>
  <si>
    <t>Механический фильтр - 5 шт.</t>
  </si>
  <si>
    <r>
      <t>Бак химводы (V-400 м</t>
    </r>
    <r>
      <rPr>
        <vertAlign val="superscript"/>
        <sz val="10"/>
        <rFont val="Arial Cyr"/>
        <charset val="204"/>
      </rPr>
      <t>3</t>
    </r>
    <r>
      <rPr>
        <sz val="10"/>
        <rFont val="Arial Cyr"/>
        <charset val="204"/>
      </rPr>
      <t>) - 2 шт.</t>
    </r>
  </si>
  <si>
    <t>Na - фильтра (2 блока)</t>
  </si>
  <si>
    <t>D28-00010536</t>
  </si>
  <si>
    <t>Главный корпус ТЭЦ-2</t>
  </si>
  <si>
    <t>Подогреватель сырой воды ПСВ-1</t>
  </si>
  <si>
    <t>Подогреватель сырой воды ПСВ-2</t>
  </si>
  <si>
    <t>Трубопровод сырой воды</t>
  </si>
  <si>
    <t>Подогреватель подпитки теплосети ППТС-1</t>
  </si>
  <si>
    <t>Подогреватель подпитки теплосети ППТС-2</t>
  </si>
  <si>
    <t>Деаэратор подпитки теплосети ДПТС</t>
  </si>
  <si>
    <t>Трубопровод подачи пара на производство</t>
  </si>
  <si>
    <t>Редукционно-охладительная установка РОУ-4</t>
  </si>
  <si>
    <t>Редукционно-охладительная установка РОУ-5</t>
  </si>
  <si>
    <t>Охладитель подпитки теплосети ОПТС</t>
  </si>
  <si>
    <t>Насос подпитки теплосети НПТС-1</t>
  </si>
  <si>
    <t>Насос подпитки теплосети НПТС-2</t>
  </si>
  <si>
    <t>Насос подпитки теплосети НПТС-3</t>
  </si>
  <si>
    <t>Насос подпитки теплосети НПТС-4</t>
  </si>
  <si>
    <t>Трубопровод подпитки теплосети</t>
  </si>
  <si>
    <t>Факт 2015г.</t>
  </si>
  <si>
    <t>Факт 2015 года</t>
  </si>
  <si>
    <t xml:space="preserve">Утверждено на 2016 год </t>
  </si>
  <si>
    <t>1 полугодие 2017 года</t>
  </si>
  <si>
    <t>2 полугодие 2017 года</t>
  </si>
  <si>
    <t xml:space="preserve">Факт 2015 года </t>
  </si>
  <si>
    <t>Утверждено на 2016 год</t>
  </si>
  <si>
    <t>Ожидаемый 2016 год</t>
  </si>
  <si>
    <t>Утверждено на 2016 г.</t>
  </si>
  <si>
    <t>Факт 2015 г.</t>
  </si>
  <si>
    <t>1 полугодие 2017 г.</t>
  </si>
  <si>
    <t>2 полугодие 2017 г.</t>
  </si>
  <si>
    <t>Утв. 2016г.</t>
  </si>
  <si>
    <t>1 полугодие 2017г.</t>
  </si>
  <si>
    <t>2 полугодие 2017г.</t>
  </si>
  <si>
    <r>
      <t xml:space="preserve">Утверждено на 2016 год </t>
    </r>
    <r>
      <rPr>
        <sz val="9"/>
        <rFont val="Times New Roman"/>
        <family val="1"/>
        <charset val="204"/>
      </rPr>
      <t>(нет в экспертном заключении)</t>
    </r>
  </si>
  <si>
    <t>Утверждено на базовый период 2016</t>
  </si>
  <si>
    <t>Выполнено в течение базового периода 2016 (освоено)</t>
  </si>
  <si>
    <t>Источник финансирования на базовый период 2016</t>
  </si>
  <si>
    <t>План на период регулирования 2017</t>
  </si>
  <si>
    <t>Источник финансирования на период регулирования  2017</t>
  </si>
  <si>
    <t>Период регулирования 1 полугодие 2017 года</t>
  </si>
  <si>
    <t>Период регулирования 2 полугодие 2017 года</t>
  </si>
  <si>
    <t>ожид. 2016</t>
  </si>
  <si>
    <t>факт 2015</t>
  </si>
  <si>
    <t>период регулирования 2017</t>
  </si>
  <si>
    <t>1 полугодие 2017</t>
  </si>
  <si>
    <t>2 полугодие 2017</t>
  </si>
  <si>
    <t>Базовый период 2015 год</t>
  </si>
  <si>
    <t>Базовый 2015 год</t>
  </si>
  <si>
    <t>Факт 2015 год</t>
  </si>
  <si>
    <t>Утв. на 2016 год</t>
  </si>
  <si>
    <t xml:space="preserve">План 2017 </t>
  </si>
  <si>
    <t>ПАО «Камчатскэнерго»</t>
  </si>
  <si>
    <t>Корректировка 2016 (1-й год долгосроч. периода регул-я)</t>
  </si>
  <si>
    <t>Корректировка 2017</t>
  </si>
  <si>
    <t>Корректировка 2018</t>
  </si>
  <si>
    <t>1 полугодие 2018 года</t>
  </si>
  <si>
    <t>2 полугодие 2018 года</t>
  </si>
  <si>
    <t>Корректировка 2017 г.</t>
  </si>
  <si>
    <t>Корректировка 2018 г.</t>
  </si>
  <si>
    <t>1 полугодие 2018г.</t>
  </si>
  <si>
    <t>2 полугодие 2018г.</t>
  </si>
  <si>
    <t>ПАО "Камчатскэнерго"</t>
  </si>
  <si>
    <t>1 полугодие 2018 г.</t>
  </si>
  <si>
    <t>2 полугодие 2018 г.</t>
  </si>
  <si>
    <t>Корректировка - 2017 год</t>
  </si>
  <si>
    <t>Корректировка - 2018 год</t>
  </si>
  <si>
    <t>Период регулирования 2018</t>
  </si>
  <si>
    <t>Период регулирования 2019</t>
  </si>
  <si>
    <t>Источник финансирования на период регулирования  2018</t>
  </si>
  <si>
    <t>План на период регулирования 2018</t>
  </si>
  <si>
    <t>Утв. на 2016г. (нет в эксперт.закл-и)</t>
  </si>
  <si>
    <t>Утв. на 2016г. (нет в экспертном заключении)</t>
  </si>
  <si>
    <t>Утверждено на 2016 год (нет в Экспертном заключении)</t>
  </si>
  <si>
    <r>
      <t>Утверждено на 2015 год (</t>
    </r>
    <r>
      <rPr>
        <sz val="9"/>
        <rFont val="Times New Roman"/>
        <family val="1"/>
        <charset val="204"/>
      </rPr>
      <t>доп.числ-ть - вредники</t>
    </r>
    <r>
      <rPr>
        <sz val="11"/>
        <rFont val="Times New Roman"/>
        <family val="1"/>
        <charset val="204"/>
      </rPr>
      <t>)</t>
    </r>
  </si>
  <si>
    <t>прочие расходы на ремонт</t>
  </si>
  <si>
    <t>средства оплаты 3-х дней больничных</t>
  </si>
  <si>
    <t>сальдо по оценочным обязательствам на оплату отпускных</t>
  </si>
  <si>
    <t>сальдо по оценочным обязательствам страховых взносов на оплату отпускных</t>
  </si>
  <si>
    <t>Прочая продукция, в т.ч.:</t>
  </si>
  <si>
    <t>дизель</t>
  </si>
  <si>
    <t>2.14.</t>
  </si>
  <si>
    <t>затраты на ГО и ЧС</t>
  </si>
  <si>
    <t>прочие (техосмотр автотранспорта, лесные подати, перекрытие улиц, огнетушители и т.д.)</t>
  </si>
  <si>
    <t>услуги ГО и ЧС</t>
  </si>
  <si>
    <t>- списание ДЗ (план)</t>
  </si>
  <si>
    <t>Установка приборов коммерческого учета тепловой энергии с коллекторов тепловой генерации по собственным объектам ПАО "Камчатскэнерго"</t>
  </si>
  <si>
    <t>Техприсоединение до  0,1 Гкал Торгово-бытовой центр по пр. Циолковского</t>
  </si>
  <si>
    <t>Техприсоединение до  0,1 Гкал Комплекс молочной кухни по ул. Океанская</t>
  </si>
  <si>
    <t>Техприсоединение до  0,1 Гкал ЖД по ул. Владивостокская 23</t>
  </si>
  <si>
    <t>Техприсоединение свыше  0,1 Гкал Административно-бытовое здание морского пункта пропуска</t>
  </si>
  <si>
    <t>Техприсоединение свыше  0,1 Гкал Многоэтажный дом по ул Дальневосточная</t>
  </si>
  <si>
    <t>Техприсоединение  свыше  0,1 Гкал Детская краевая библиотека по ул. Владивостокская</t>
  </si>
  <si>
    <t>Техприсоединение свыше  0,1 Гкал Водно-оздоровительный комплекс по пр. К.маркса</t>
  </si>
  <si>
    <t>Техприсоединение свыше  0,1 Гкал Здание униветсального рынка по ул. Фролова</t>
  </si>
  <si>
    <t>Приобретение котельной на жидком топливе (дизельное топливо), мощностью 3,6 Гкал/час по адресу: г. Петропавловск-Камчатский, ул. Топоркова, 8/4</t>
  </si>
  <si>
    <t>Оснащение объектов, эксплуатируемых филиалом  ПАО «Камчатскэнерго» КТЭЦ, приборами учета энергетических ресурсов</t>
  </si>
  <si>
    <t>Автоматизация защиты от переполнения резервуаров склада мазута (ВСМ) нефтепродуктами</t>
  </si>
  <si>
    <t>Тепловые сети второго контура от точки А (Котельная №45) до ТК-2</t>
  </si>
  <si>
    <t>Техническое перевооружение теплофикационного и насосного оборудования котельной №52 "108 квартал" с перекдадкой тепловых сетей второго контура</t>
  </si>
  <si>
    <t xml:space="preserve">Установка кондиционеров в кассе РКЦ здания Елизовского отделения Энергосбыта в г. Елизово, ул. Вилюйская, 8 </t>
  </si>
  <si>
    <t>Оснащение объектов, эксплуатируемых филиалом  ПАО «Камчатскэнерго» КЭ, приборами учета энергетических ресурсов</t>
  </si>
  <si>
    <t>Модернизация оборудования котельной производственной базы 21 км</t>
  </si>
  <si>
    <t>ОНТМ КоммЭнерг</t>
  </si>
  <si>
    <t>Установка ЧРП на дымососах и дутьевых вентиляторах котлов БКЗ -120-90 ст. № 6,7,8</t>
  </si>
  <si>
    <t>Модернизация  турбины ПТ-80/100-130/13  ст. №2 с увеличением мощности теплофикационного отбора, с заменой ПСГ</t>
  </si>
  <si>
    <t>Закольцовка тепловых сетей ТЭЦ-1 и ТЭЦ-2 в г. Петропавловск-Камчатский. Корректировка участка тепломагистрали от УТС-3 до УТ-22</t>
  </si>
  <si>
    <t>Закольцовка тепловых сетей ТЭЦ-1 и ТЭЦ-2. Участок от УТ-22 до УТ-1 (ПИР)</t>
  </si>
  <si>
    <t>Расширение теплового бизнеса (прокладка тепловой 1-го контура от ПНС-3 до АЦТП "Ватутина" с закрытием Котельных 101 Квартала,102 Квартала, 103 Квартала)</t>
  </si>
  <si>
    <t>Установка автоматизированой защиты от переполнения резервуара склада мазута нефтепродуктами</t>
  </si>
  <si>
    <t>Реконструкция системы освещения производственых помещений КТЭЦ с переводом на светодиодные лампы</t>
  </si>
  <si>
    <t>Оборудование системой оповещения и управления эвакуацией людей при пожаре 2-ого типа</t>
  </si>
  <si>
    <t>Разработка проекта по установке автоматической системы пожаротушения ( АДЭС, склада ОМТС), по установке автоматической пожарной сигнализации и управлением эвакуации людей при пожаре ( АДЭС, склад ОМТС ОВК, административное здание УАО)</t>
  </si>
  <si>
    <t>Монтаж и пусконаладка тахографов на автомобильном транспорте.</t>
  </si>
  <si>
    <t>Тех. присоединение потребителей от 0,1 Гкал до 1,5 Гкал</t>
  </si>
  <si>
    <t xml:space="preserve">Устройство «электронной очереди» в помещении расчетно-кассового центра, расположенного  по адресу: г. Петропавловск-Камчатский, ул. Амурская, 5 </t>
  </si>
  <si>
    <t xml:space="preserve">Реконструкция пожарно-охранной сигнализации в помещении расчетно-кассового центра, расположенного  по адресу: г. Петропавловск-Камчатский, ул. Амурская, 5 </t>
  </si>
  <si>
    <t xml:space="preserve">Реконструкция пожарно-охранной сигнализации в здании Энергосбыта, расположенного по адресу: г. Петропавловск-Камчатский, пр. Победы, 24 </t>
  </si>
  <si>
    <t xml:space="preserve">Реконструкция пожарно-охранной сигнализации в здании Энергосбыта, расположенного по адресу: г. Елизово, ул. Вилюйская, 8 </t>
  </si>
  <si>
    <t>Реконструкция пожарно-охранной сигнализации вздании РП-770, расположенном по адресу: г. Петропавловск-Камчатский, ул. Якорная, 1</t>
  </si>
  <si>
    <t>Устройство громкоговорящей связи в здании Елизовского отделения Энергосбыта в г. Елизово, ул. Вилюйская, 8</t>
  </si>
  <si>
    <t>Установка кондиционеров в административных зданиях Энергосбыта, расположенных  по адресам: пр. Победы, 24, ул. Вилюйская, 8</t>
  </si>
  <si>
    <t>Приобретение ОФ</t>
  </si>
  <si>
    <t>ОНТМ Эсбыт</t>
  </si>
  <si>
    <t>Реконструкция ведомственной телефонной сети ПАО «Камчатскэнерго»</t>
  </si>
  <si>
    <t>Установка системы видеонаблюдения в здании Производственно-лабораторного корпуса по ул. Набережная</t>
  </si>
  <si>
    <t>Тех. присоединение потребителей до 0,1 Гкал.</t>
  </si>
  <si>
    <t>Тепловые сети второго контура от точки А (Котельная №45) до ТК-2 (Храмовый комплекс на 4 км)</t>
  </si>
  <si>
    <t>Тех. присоединение по индивидуальным проектам: Проект и строительство трубопроводов пара 1Ду-150 и конденсата 1Ду-80 от каркасной газовой котельной №1 до парового ЦТП котельной №1</t>
  </si>
  <si>
    <t>ОНТМ КомЭнергетика</t>
  </si>
  <si>
    <t>Модернизация парораспределения ЦВД турбины ПТ-80/100-130/13 ст№1,2</t>
  </si>
  <si>
    <t>Модернизация сетевых насосов 2-ого подъема ТЭЦ-2 с заменой двух насосов на более мощные с установкой ЧРП</t>
  </si>
  <si>
    <t>Реконструкция схемы возбуждения с переходом на теристорную генератора №1, 2</t>
  </si>
  <si>
    <t>Модернизация АРВ генератора №3 ТЭЦ-1</t>
  </si>
  <si>
    <t xml:space="preserve">Модернизация ГРУ 6кВ ТЭЦ-1 с заменой выработавших ресурс ячеек с коммутационными аппаратами. </t>
  </si>
  <si>
    <t>Закольцовка тепловых сетей ТЭЦ-1 и ТЭЦ-2. Участок от УТ-22 до УТ-1 (СМР)</t>
  </si>
  <si>
    <t>Реконструкция системы пожарной сигнализации (ПС) с привязкой к существующей ПС АРМ Рубеж "FIRESEC"</t>
  </si>
  <si>
    <t>Оборудование  установкой автоматической системы пожаротушения ( АДЭС, склада ОМТС), автоматической пожарной сигнализации и управлением эвакуации людей при пожаре ( АДЭС, склад ОМТС ОВК, административное здание УАО)</t>
  </si>
  <si>
    <t>Модернизация компрессорной установки ТЭЦ-1</t>
  </si>
  <si>
    <t>Реконструкция фасада здания Елизовского отделения филиала Энергосбыт и благоустройство прилегающей территории</t>
  </si>
  <si>
    <t xml:space="preserve">Модернизация  пожарно-охранной сигнализации в кассе и КБО, расположенных по адресу: г. Петропавловск-Камчатский, Космический пр. 7В </t>
  </si>
  <si>
    <t xml:space="preserve">Модернизация  пожарно-охранной сигнализации в помещении кассы и КБО, расположенных по адресу: г. Петропавловск-Камчатский, Вольского, 32 </t>
  </si>
  <si>
    <t>Модернизация  пожарно-охранной сигнализации в помещении кассы и КБО, расположенных по адресу: г. Петропавловск-Камчатский, Океанская, 52</t>
  </si>
  <si>
    <t>Модернизация  пожарно-охранной сигнализации в помещениях Усть-Большерецкого Энергосбыта по адресу: п. Усть-Большерецк, Бочкарева,10</t>
  </si>
  <si>
    <t>Модернизация  пожарно-охранной сигнализации в помещении кассы, расположенной по адресу: пос. Пионерский, ул. Бонивура, 8а</t>
  </si>
  <si>
    <t>ОНТМ ЭСбыт</t>
  </si>
  <si>
    <t>компенсация (льготники)</t>
  </si>
  <si>
    <t>Субсидия</t>
  </si>
  <si>
    <t>остаток</t>
  </si>
  <si>
    <t>- прочие расходы (СД и РК, корпоративные, предпринимательская прибыль)</t>
  </si>
  <si>
    <t>КТЭЦ - свод</t>
  </si>
  <si>
    <t>Утверждено Службой на 2016</t>
  </si>
  <si>
    <t>Первый год очередного долгосрочного периода регулирования</t>
  </si>
  <si>
    <t>Предложение ТСО по корректировке</t>
  </si>
  <si>
    <t>Утверждено Службой</t>
  </si>
  <si>
    <r>
      <t xml:space="preserve">Утверждено Службой на 2016 - </t>
    </r>
    <r>
      <rPr>
        <sz val="9"/>
        <rFont val="Times New Roman"/>
        <family val="1"/>
        <charset val="204"/>
      </rPr>
      <t>нет в экспертном закл-и</t>
    </r>
  </si>
  <si>
    <r>
      <t xml:space="preserve">Утверждено Службой - </t>
    </r>
    <r>
      <rPr>
        <sz val="9"/>
        <rFont val="Times New Roman"/>
        <family val="1"/>
        <charset val="204"/>
      </rPr>
      <t>нет в эксперт.заключении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</si>
</sst>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0">
    <numFmt numFmtId="41" formatCode="_-* #,##0_р_._-;\-* #,##0_р_._-;_-* &quot;-&quot;_р_._-;_-@_-"/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0.000"/>
    <numFmt numFmtId="165" formatCode="0.0"/>
    <numFmt numFmtId="166" formatCode="dd\-mmm\-yy"/>
    <numFmt numFmtId="167" formatCode="&quot;$&quot;#,##0_);[Red]\(&quot;$&quot;#,##0\)"/>
    <numFmt numFmtId="168" formatCode="General_)"/>
    <numFmt numFmtId="169" formatCode="#,##0.000"/>
    <numFmt numFmtId="170" formatCode="#,##0.0"/>
    <numFmt numFmtId="171" formatCode="#,##0.0000"/>
    <numFmt numFmtId="172" formatCode="#,##0.00000"/>
    <numFmt numFmtId="173" formatCode="0.0%"/>
    <numFmt numFmtId="174" formatCode="_(* #,##0_);_(* \(#,##0\);_(* &quot;-&quot;_);_(@_)"/>
    <numFmt numFmtId="175" formatCode="_-* #,##0.000000000_р_._-;\-* #,##0.000000000_р_._-;_-* &quot;-&quot;??_р_._-;_-@_-"/>
    <numFmt numFmtId="176" formatCode="_-* #,##0_-;\-* #,##0_-;_-* &quot;-&quot;_-;_-@_-"/>
    <numFmt numFmtId="177" formatCode="_-* #,##0.00_-;\-* #,##0.00_-;_-* &quot;-&quot;??_-;_-@_-"/>
    <numFmt numFmtId="178" formatCode="_-&quot;Ј&quot;* #,##0.00_-;\-&quot;Ј&quot;* #,##0.00_-;_-&quot;Ј&quot;* &quot;-&quot;??_-;_-@_-"/>
    <numFmt numFmtId="179" formatCode="_-* #,##0\ _d_._-;\-* #,##0\ _d_._-;_-* &quot;-&quot;\ _d_._-;_-@_-"/>
    <numFmt numFmtId="180" formatCode="_-* #,##0.00\ _d_._-;\-* #,##0.00\ _d_._-;_-* &quot;-&quot;??\ _d_._-;_-@_-"/>
  </numFmts>
  <fonts count="190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2"/>
      <color indexed="8"/>
      <name val="Times New Roman"/>
      <family val="2"/>
      <charset val="204"/>
    </font>
    <font>
      <sz val="12"/>
      <color indexed="9"/>
      <name val="Times New Roman"/>
      <family val="2"/>
      <charset val="204"/>
    </font>
    <font>
      <sz val="12"/>
      <color indexed="62"/>
      <name val="Times New Roman"/>
      <family val="2"/>
      <charset val="204"/>
    </font>
    <font>
      <b/>
      <sz val="12"/>
      <color indexed="63"/>
      <name val="Times New Roman"/>
      <family val="2"/>
      <charset val="204"/>
    </font>
    <font>
      <b/>
      <sz val="12"/>
      <color indexed="52"/>
      <name val="Times New Roman"/>
      <family val="2"/>
      <charset val="204"/>
    </font>
    <font>
      <b/>
      <sz val="15"/>
      <color indexed="56"/>
      <name val="Times New Roman"/>
      <family val="2"/>
      <charset val="204"/>
    </font>
    <font>
      <b/>
      <sz val="13"/>
      <color indexed="56"/>
      <name val="Times New Roman"/>
      <family val="2"/>
      <charset val="204"/>
    </font>
    <font>
      <b/>
      <sz val="11"/>
      <color indexed="56"/>
      <name val="Times New Roman"/>
      <family val="2"/>
      <charset val="204"/>
    </font>
    <font>
      <b/>
      <sz val="12"/>
      <color indexed="8"/>
      <name val="Times New Roman"/>
      <family val="2"/>
      <charset val="204"/>
    </font>
    <font>
      <b/>
      <sz val="12"/>
      <color indexed="9"/>
      <name val="Times New Roman"/>
      <family val="2"/>
      <charset val="204"/>
    </font>
    <font>
      <b/>
      <sz val="18"/>
      <color indexed="56"/>
      <name val="Cambria"/>
      <family val="2"/>
      <charset val="204"/>
    </font>
    <font>
      <sz val="12"/>
      <color indexed="60"/>
      <name val="Times New Roman"/>
      <family val="2"/>
      <charset val="204"/>
    </font>
    <font>
      <sz val="12"/>
      <color indexed="20"/>
      <name val="Times New Roman"/>
      <family val="2"/>
      <charset val="204"/>
    </font>
    <font>
      <i/>
      <sz val="12"/>
      <color indexed="23"/>
      <name val="Times New Roman"/>
      <family val="2"/>
      <charset val="204"/>
    </font>
    <font>
      <sz val="12"/>
      <color indexed="52"/>
      <name val="Times New Roman"/>
      <family val="2"/>
      <charset val="204"/>
    </font>
    <font>
      <sz val="12"/>
      <color indexed="10"/>
      <name val="Times New Roman"/>
      <family val="2"/>
      <charset val="204"/>
    </font>
    <font>
      <sz val="12"/>
      <color indexed="17"/>
      <name val="Times New Roman"/>
      <family val="2"/>
      <charset val="204"/>
    </font>
    <font>
      <sz val="11"/>
      <name val="Times New Roman"/>
      <family val="1"/>
      <charset val="204"/>
    </font>
    <font>
      <sz val="9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sz val="12"/>
      <name val="Times New Roman"/>
      <family val="1"/>
      <charset val="204"/>
    </font>
    <font>
      <vertAlign val="superscript"/>
      <sz val="11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color rgb="FF0070C0"/>
      <name val="Times New Roman"/>
      <family val="1"/>
      <charset val="204"/>
    </font>
    <font>
      <b/>
      <sz val="14"/>
      <name val="Times New Roman"/>
      <family val="1"/>
      <charset val="204"/>
    </font>
    <font>
      <vertAlign val="superscript"/>
      <sz val="9"/>
      <name val="Times New Roman"/>
      <family val="1"/>
      <charset val="204"/>
    </font>
    <font>
      <i/>
      <sz val="11"/>
      <color rgb="FF0070C0"/>
      <name val="Times New Roman"/>
      <family val="1"/>
      <charset val="204"/>
    </font>
    <font>
      <b/>
      <i/>
      <sz val="11"/>
      <color rgb="FFCC3399"/>
      <name val="Times New Roman"/>
      <family val="1"/>
      <charset val="204"/>
    </font>
    <font>
      <sz val="11"/>
      <name val="Times New Roman Cyr"/>
      <family val="1"/>
      <charset val="204"/>
    </font>
    <font>
      <sz val="11"/>
      <color theme="1"/>
      <name val="Calibri"/>
      <family val="2"/>
      <scheme val="minor"/>
    </font>
    <font>
      <sz val="10"/>
      <name val="Times New Roman Cyr"/>
      <charset val="204"/>
    </font>
    <font>
      <b/>
      <sz val="10"/>
      <name val="Times New Roman Cyr"/>
      <charset val="204"/>
    </font>
    <font>
      <sz val="10"/>
      <name val="Helv"/>
      <charset val="204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0"/>
      <name val="Arial"/>
      <family val="2"/>
      <charset val="204"/>
    </font>
    <font>
      <sz val="10"/>
      <name val="MS Sans Serif"/>
      <family val="2"/>
      <charset val="204"/>
    </font>
    <font>
      <i/>
      <sz val="1"/>
      <color indexed="8"/>
      <name val="Courier"/>
      <family val="1"/>
      <charset val="204"/>
    </font>
    <font>
      <sz val="8"/>
      <name val="Optima"/>
      <family val="2"/>
    </font>
    <font>
      <sz val="8"/>
      <name val="Helv"/>
      <charset val="204"/>
    </font>
    <font>
      <sz val="8"/>
      <name val="Helv"/>
    </font>
    <font>
      <sz val="10"/>
      <name val="Arial Cyr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4"/>
      <name val="Franklin Gothic Medium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0"/>
      <name val="Helv"/>
    </font>
    <font>
      <sz val="11"/>
      <color indexed="10"/>
      <name val="Calibri"/>
      <family val="2"/>
      <charset val="204"/>
    </font>
    <font>
      <sz val="10"/>
      <name val="NTHarmonica"/>
    </font>
    <font>
      <sz val="11"/>
      <color indexed="17"/>
      <name val="Calibri"/>
      <family val="2"/>
      <charset val="204"/>
    </font>
    <font>
      <sz val="10"/>
      <name val="Times New Roman Cyr"/>
    </font>
    <font>
      <sz val="10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4"/>
      <name val="Times New Roman Cyr"/>
      <family val="1"/>
      <charset val="204"/>
    </font>
    <font>
      <b/>
      <sz val="10"/>
      <name val="Times New Roman"/>
      <family val="1"/>
      <charset val="204"/>
    </font>
    <font>
      <b/>
      <sz val="10"/>
      <name val="Times New Roman Cyr"/>
      <family val="1"/>
      <charset val="204"/>
    </font>
    <font>
      <sz val="9"/>
      <name val="Times New Roman Cyr"/>
      <family val="1"/>
      <charset val="204"/>
    </font>
    <font>
      <b/>
      <vertAlign val="superscript"/>
      <sz val="10"/>
      <name val="Times New Roman Cyr"/>
      <charset val="204"/>
    </font>
    <font>
      <vertAlign val="superscript"/>
      <sz val="10"/>
      <name val="Times New Roman Cyr"/>
      <charset val="204"/>
    </font>
    <font>
      <sz val="12"/>
      <name val="Times New Roman Cyr"/>
      <charset val="204"/>
    </font>
    <font>
      <b/>
      <sz val="14"/>
      <name val="Times New Roman Cyr"/>
      <charset val="204"/>
    </font>
    <font>
      <sz val="14"/>
      <name val="Times New Roman Cyr"/>
      <family val="1"/>
      <charset val="204"/>
    </font>
    <font>
      <sz val="14"/>
      <name val="Times New Roman"/>
      <family val="1"/>
      <charset val="204"/>
    </font>
    <font>
      <sz val="12"/>
      <color indexed="12"/>
      <name val="Times New Roman Cyr"/>
      <family val="1"/>
      <charset val="204"/>
    </font>
    <font>
      <b/>
      <sz val="10"/>
      <color rgb="FF271DF7"/>
      <name val="Times New Roman Cyr"/>
      <family val="1"/>
      <charset val="204"/>
    </font>
    <font>
      <sz val="10"/>
      <color indexed="9"/>
      <name val="Times New Roman Cyr"/>
      <family val="1"/>
      <charset val="204"/>
    </font>
    <font>
      <sz val="9"/>
      <name val="Times New Roman Cyr"/>
      <charset val="204"/>
    </font>
    <font>
      <b/>
      <sz val="13"/>
      <color theme="1"/>
      <name val="Times New Roman"/>
      <family val="1"/>
      <charset val="204"/>
    </font>
    <font>
      <sz val="10"/>
      <color theme="1" tint="4.9989318521683403E-2"/>
      <name val="Times New Roman Cyr"/>
      <family val="1"/>
      <charset val="204"/>
    </font>
    <font>
      <b/>
      <sz val="13"/>
      <name val="Times New Roman"/>
      <family val="1"/>
      <charset val="204"/>
    </font>
    <font>
      <b/>
      <sz val="12"/>
      <color rgb="FF271DF7"/>
      <name val="Times New Roman"/>
      <family val="1"/>
      <charset val="204"/>
    </font>
    <font>
      <sz val="7"/>
      <name val="Times New Roman"/>
      <family val="1"/>
      <charset val="204"/>
    </font>
    <font>
      <b/>
      <i/>
      <sz val="10"/>
      <name val="Times New Roman"/>
      <family val="1"/>
      <charset val="204"/>
    </font>
    <font>
      <b/>
      <sz val="12"/>
      <name val="Times New Roman CYR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b/>
      <sz val="11"/>
      <name val="Times New Roman CYR"/>
      <charset val="204"/>
    </font>
    <font>
      <sz val="14"/>
      <name val="Times New Roman Cyr"/>
      <charset val="204"/>
    </font>
    <font>
      <sz val="11"/>
      <name val="Calibri"/>
      <family val="2"/>
      <charset val="204"/>
    </font>
    <font>
      <sz val="8"/>
      <name val="Times New Roman"/>
      <family val="1"/>
      <charset val="204"/>
    </font>
    <font>
      <vertAlign val="superscript"/>
      <sz val="8"/>
      <name val="Times New Roman"/>
      <family val="1"/>
      <charset val="204"/>
    </font>
    <font>
      <sz val="16"/>
      <color theme="1"/>
      <name val="Calibri"/>
      <family val="2"/>
      <scheme val="minor"/>
    </font>
    <font>
      <b/>
      <sz val="16"/>
      <name val="Times New Roman CYR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0"/>
      <color theme="1" tint="4.9989318521683403E-2"/>
      <name val="Times New Roman"/>
      <family val="1"/>
      <charset val="204"/>
    </font>
    <font>
      <b/>
      <sz val="11"/>
      <color rgb="FF00B0F0"/>
      <name val="Times New Roman"/>
      <family val="1"/>
      <charset val="204"/>
    </font>
    <font>
      <sz val="13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3"/>
      <color rgb="FFFF0000"/>
      <name val="Calibri"/>
      <family val="2"/>
      <scheme val="minor"/>
    </font>
    <font>
      <b/>
      <sz val="10"/>
      <color theme="1"/>
      <name val="Times New Roman"/>
      <family val="1"/>
      <charset val="204"/>
    </font>
    <font>
      <sz val="13"/>
      <color theme="1"/>
      <name val="Times New Roman"/>
      <family val="1"/>
      <charset val="204"/>
    </font>
    <font>
      <sz val="10"/>
      <color rgb="FF0033CC"/>
      <name val="Times New Roman Cyr"/>
      <charset val="204"/>
    </font>
    <font>
      <sz val="11"/>
      <color rgb="FFFF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i/>
      <sz val="11"/>
      <color rgb="FFFF0000"/>
      <name val="Times New Roman"/>
      <family val="1"/>
      <charset val="204"/>
    </font>
    <font>
      <i/>
      <sz val="11"/>
      <name val="Times New Roman"/>
      <family val="1"/>
      <charset val="204"/>
    </font>
    <font>
      <i/>
      <sz val="10"/>
      <name val="Times New Roman Cyr"/>
      <charset val="204"/>
    </font>
    <font>
      <b/>
      <sz val="10"/>
      <color theme="1" tint="4.9989318521683403E-2"/>
      <name val="Times New Roman Cyr"/>
      <charset val="204"/>
    </font>
    <font>
      <sz val="12"/>
      <color rgb="FFFF0000"/>
      <name val="Times New Roman Cyr"/>
      <family val="1"/>
      <charset val="204"/>
    </font>
    <font>
      <sz val="10"/>
      <color theme="1" tint="4.9989318521683403E-2"/>
      <name val="Times New Roman Cyr"/>
      <charset val="204"/>
    </font>
    <font>
      <i/>
      <sz val="10"/>
      <name val="Times New Roman"/>
      <family val="1"/>
      <charset val="204"/>
    </font>
    <font>
      <sz val="10"/>
      <color rgb="FF0000CC"/>
      <name val="Times New Roman Cyr"/>
      <charset val="204"/>
    </font>
    <font>
      <b/>
      <sz val="11"/>
      <color rgb="FF3F3F3F"/>
      <name val="Calibri"/>
      <family val="2"/>
      <charset val="204"/>
      <scheme val="minor"/>
    </font>
    <font>
      <u/>
      <sz val="10"/>
      <color theme="10"/>
      <name val="Arial Cyr"/>
      <charset val="204"/>
    </font>
    <font>
      <sz val="11"/>
      <color indexed="8"/>
      <name val="Calibri"/>
      <family val="2"/>
    </font>
    <font>
      <sz val="10"/>
      <color rgb="FFFF0000"/>
      <name val="Times New Roman Cyr"/>
      <charset val="204"/>
    </font>
    <font>
      <b/>
      <i/>
      <sz val="11"/>
      <name val="Times New Roman"/>
      <family val="1"/>
      <charset val="204"/>
    </font>
    <font>
      <sz val="13"/>
      <color rgb="FF0000CC"/>
      <name val="Times New Roman"/>
      <family val="1"/>
      <charset val="204"/>
    </font>
    <font>
      <b/>
      <sz val="12"/>
      <color rgb="FF0000CC"/>
      <name val="Times New Roman"/>
      <family val="1"/>
      <charset val="204"/>
    </font>
    <font>
      <sz val="10"/>
      <color rgb="FF0000CC"/>
      <name val="Arial Cyr"/>
      <charset val="204"/>
    </font>
    <font>
      <vertAlign val="subscript"/>
      <sz val="11"/>
      <name val="Times New Roman"/>
      <family val="1"/>
      <charset val="204"/>
    </font>
    <font>
      <vertAlign val="subscript"/>
      <sz val="10"/>
      <name val="Times New Roman"/>
      <family val="1"/>
      <charset val="204"/>
    </font>
    <font>
      <sz val="20"/>
      <color rgb="FFFF0000"/>
      <name val="Times New Roman"/>
      <family val="1"/>
      <charset val="204"/>
    </font>
    <font>
      <sz val="20"/>
      <color rgb="FFFF0000"/>
      <name val="Arial Cyr"/>
      <charset val="204"/>
    </font>
    <font>
      <sz val="20"/>
      <color rgb="FF0000CC"/>
      <name val="Times New Roman"/>
      <family val="1"/>
      <charset val="204"/>
    </font>
    <font>
      <sz val="11"/>
      <color theme="0"/>
      <name val="Times New Roman"/>
      <family val="1"/>
      <charset val="204"/>
    </font>
    <font>
      <i/>
      <sz val="11"/>
      <color theme="0"/>
      <name val="Times New Roman"/>
      <family val="1"/>
      <charset val="204"/>
    </font>
    <font>
      <sz val="11"/>
      <color theme="9" tint="0.79998168889431442"/>
      <name val="Times New Roman"/>
      <family val="1"/>
      <charset val="204"/>
    </font>
    <font>
      <b/>
      <sz val="11"/>
      <color theme="0"/>
      <name val="Times New Roman"/>
      <family val="1"/>
      <charset val="204"/>
    </font>
    <font>
      <b/>
      <sz val="11"/>
      <color rgb="FF0000CC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rgb="FFFF99FF"/>
      <name val="Times New Roman"/>
      <family val="1"/>
      <charset val="204"/>
    </font>
    <font>
      <b/>
      <sz val="11"/>
      <color rgb="FFFF99FF"/>
      <name val="Times New Roman"/>
      <family val="1"/>
      <charset val="204"/>
    </font>
    <font>
      <sz val="10"/>
      <color theme="6" tint="-0.249977111117893"/>
      <name val="Arial Cyr"/>
      <charset val="204"/>
    </font>
    <font>
      <b/>
      <sz val="10"/>
      <name val="Arial Cyr"/>
      <charset val="204"/>
    </font>
    <font>
      <b/>
      <i/>
      <sz val="10"/>
      <color rgb="FFC00000"/>
      <name val="Arial Cyr"/>
      <charset val="204"/>
    </font>
    <font>
      <i/>
      <sz val="10"/>
      <name val="Arial Cyr"/>
      <charset val="204"/>
    </font>
    <font>
      <b/>
      <sz val="10"/>
      <name val="Arial Cyr"/>
      <family val="2"/>
      <charset val="204"/>
    </font>
    <font>
      <b/>
      <i/>
      <sz val="10"/>
      <color rgb="FF0000CC"/>
      <name val="Arial Cyr"/>
      <charset val="204"/>
    </font>
    <font>
      <sz val="11"/>
      <color rgb="FFCCFFFF"/>
      <name val="Times New Roman"/>
      <family val="1"/>
      <charset val="204"/>
    </font>
    <font>
      <sz val="12"/>
      <color theme="1"/>
      <name val="Times New Roman"/>
      <family val="2"/>
      <charset val="204"/>
    </font>
    <font>
      <b/>
      <sz val="12"/>
      <color theme="1"/>
      <name val="Times New Roman"/>
      <family val="1"/>
      <charset val="204"/>
    </font>
    <font>
      <sz val="12"/>
      <color theme="1" tint="4.9989318521683403E-2"/>
      <name val="Times New Roman"/>
      <family val="1"/>
      <charset val="204"/>
    </font>
    <font>
      <sz val="10"/>
      <color indexed="8"/>
      <name val="Arial"/>
      <family val="2"/>
      <charset val="204"/>
    </font>
    <font>
      <sz val="12"/>
      <color indexed="8"/>
      <name val="Calibri"/>
      <family val="2"/>
      <charset val="204"/>
    </font>
    <font>
      <sz val="12"/>
      <color indexed="9"/>
      <name val="Calibri"/>
      <family val="2"/>
      <charset val="204"/>
    </font>
    <font>
      <b/>
      <sz val="10"/>
      <color indexed="9"/>
      <name val="Verdana"/>
      <family val="2"/>
      <charset val="204"/>
    </font>
    <font>
      <sz val="10"/>
      <color indexed="9"/>
      <name val="Arial"/>
      <family val="2"/>
      <charset val="204"/>
    </font>
    <font>
      <sz val="10"/>
      <color indexed="8"/>
      <name val="Verdana"/>
      <family val="2"/>
      <charset val="204"/>
    </font>
    <font>
      <sz val="12"/>
      <color indexed="62"/>
      <name val="Calibri"/>
      <family val="2"/>
      <charset val="204"/>
    </font>
    <font>
      <b/>
      <sz val="12"/>
      <color indexed="52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sz val="12"/>
      <color indexed="9"/>
      <name val="Calibri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2"/>
      <name val="Arial"/>
      <family val="2"/>
      <charset val="204"/>
    </font>
    <font>
      <sz val="12"/>
      <color indexed="60"/>
      <name val="Calibri"/>
      <family val="2"/>
      <charset val="204"/>
    </font>
    <font>
      <sz val="12"/>
      <color indexed="20"/>
      <name val="Calibri"/>
      <family val="2"/>
      <charset val="204"/>
    </font>
    <font>
      <i/>
      <sz val="12"/>
      <color indexed="23"/>
      <name val="Calibri"/>
      <family val="2"/>
      <charset val="204"/>
    </font>
    <font>
      <sz val="12"/>
      <color indexed="52"/>
      <name val="Calibri"/>
      <family val="2"/>
      <charset val="204"/>
    </font>
    <font>
      <sz val="12"/>
      <color indexed="10"/>
      <name val="Calibri"/>
      <family val="2"/>
      <charset val="204"/>
    </font>
    <font>
      <sz val="12"/>
      <color indexed="17"/>
      <name val="Calibri"/>
      <family val="2"/>
      <charset val="204"/>
    </font>
    <font>
      <sz val="10"/>
      <color theme="0"/>
      <name val="Times New Roman"/>
      <family val="1"/>
      <charset val="204"/>
    </font>
    <font>
      <i/>
      <sz val="11"/>
      <color indexed="10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sz val="15"/>
      <color rgb="FFFF0000"/>
      <name val="Times New Roman"/>
      <family val="1"/>
      <charset val="204"/>
    </font>
    <font>
      <sz val="11"/>
      <color rgb="FF99FFCC"/>
      <name val="Times New Roman"/>
      <family val="1"/>
      <charset val="204"/>
    </font>
    <font>
      <b/>
      <sz val="11"/>
      <color theme="9" tint="0.59999389629810485"/>
      <name val="Times New Roman"/>
      <family val="1"/>
      <charset val="204"/>
    </font>
    <font>
      <sz val="13"/>
      <color rgb="FF0000CC"/>
      <name val="Times New Roman Cyr"/>
      <charset val="204"/>
    </font>
    <font>
      <vertAlign val="superscript"/>
      <sz val="10"/>
      <name val="Arial Cyr"/>
      <charset val="204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11"/>
      <name val="Times New Roman Cyr"/>
      <charset val="204"/>
    </font>
  </fonts>
  <fills count="5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CFFFF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71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2F2F2"/>
      </patternFill>
    </fill>
    <fill>
      <patternFill patternType="solid">
        <fgColor rgb="FFFF99FF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7" tint="0.79998168889431442"/>
        <bgColor indexed="64"/>
      </patternFill>
    </fill>
  </fills>
  <borders count="7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</borders>
  <cellStyleXfs count="311">
    <xf numFmtId="0" fontId="0" fillId="0" borderId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8" borderId="0" applyNumberFormat="0" applyBorder="0" applyAlignment="0" applyProtection="0"/>
    <xf numFmtId="0" fontId="7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9" fillId="7" borderId="1" applyNumberFormat="0" applyAlignment="0" applyProtection="0"/>
    <xf numFmtId="0" fontId="10" fillId="20" borderId="2" applyNumberFormat="0" applyAlignment="0" applyProtection="0"/>
    <xf numFmtId="0" fontId="11" fillId="20" borderId="1" applyNumberFormat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4" fillId="0" borderId="0" applyNumberFormat="0" applyFill="0" applyBorder="0" applyAlignment="0" applyProtection="0"/>
    <xf numFmtId="0" fontId="15" fillId="0" borderId="6" applyNumberFormat="0" applyFill="0" applyAlignment="0" applyProtection="0"/>
    <xf numFmtId="0" fontId="16" fillId="21" borderId="7" applyNumberFormat="0" applyAlignment="0" applyProtection="0"/>
    <xf numFmtId="0" fontId="17" fillId="0" borderId="0" applyNumberFormat="0" applyFill="0" applyBorder="0" applyAlignment="0" applyProtection="0"/>
    <xf numFmtId="0" fontId="18" fillId="22" borderId="0" applyNumberFormat="0" applyBorder="0" applyAlignment="0" applyProtection="0"/>
    <xf numFmtId="0" fontId="19" fillId="3" borderId="0" applyNumberFormat="0" applyBorder="0" applyAlignment="0" applyProtection="0"/>
    <xf numFmtId="0" fontId="20" fillId="0" borderId="0" applyNumberFormat="0" applyFill="0" applyBorder="0" applyAlignment="0" applyProtection="0"/>
    <xf numFmtId="0" fontId="6" fillId="23" borderId="8" applyNumberFormat="0" applyFont="0" applyAlignment="0" applyProtection="0"/>
    <xf numFmtId="0" fontId="21" fillId="0" borderId="9" applyNumberFormat="0" applyFill="0" applyAlignment="0" applyProtection="0"/>
    <xf numFmtId="0" fontId="22" fillId="0" borderId="0" applyNumberFormat="0" applyFill="0" applyBorder="0" applyAlignment="0" applyProtection="0"/>
    <xf numFmtId="0" fontId="23" fillId="4" borderId="0" applyNumberFormat="0" applyBorder="0" applyAlignment="0" applyProtection="0"/>
    <xf numFmtId="0" fontId="37" fillId="0" borderId="0"/>
    <xf numFmtId="0" fontId="38" fillId="0" borderId="0"/>
    <xf numFmtId="0" fontId="30" fillId="0" borderId="0"/>
    <xf numFmtId="0" fontId="6" fillId="0" borderId="0"/>
    <xf numFmtId="0" fontId="40" fillId="0" borderId="0"/>
    <xf numFmtId="166" fontId="41" fillId="0" borderId="20">
      <protection locked="0"/>
    </xf>
    <xf numFmtId="44" fontId="41" fillId="0" borderId="0">
      <protection locked="0"/>
    </xf>
    <xf numFmtId="44" fontId="41" fillId="0" borderId="0">
      <protection locked="0"/>
    </xf>
    <xf numFmtId="166" fontId="41" fillId="0" borderId="0">
      <protection locked="0"/>
    </xf>
    <xf numFmtId="166" fontId="41" fillId="0" borderId="0">
      <protection locked="0"/>
    </xf>
    <xf numFmtId="166" fontId="41" fillId="0" borderId="0">
      <protection locked="0"/>
    </xf>
    <xf numFmtId="166" fontId="41" fillId="0" borderId="0">
      <protection locked="0"/>
    </xf>
    <xf numFmtId="166" fontId="42" fillId="0" borderId="0">
      <protection locked="0"/>
    </xf>
    <xf numFmtId="166" fontId="42" fillId="0" borderId="0">
      <protection locked="0"/>
    </xf>
    <xf numFmtId="0" fontId="41" fillId="0" borderId="20">
      <protection locked="0"/>
    </xf>
    <xf numFmtId="0" fontId="43" fillId="2" borderId="0" applyNumberFormat="0" applyBorder="0" applyAlignment="0" applyProtection="0"/>
    <xf numFmtId="0" fontId="43" fillId="3" borderId="0" applyNumberFormat="0" applyBorder="0" applyAlignment="0" applyProtection="0"/>
    <xf numFmtId="0" fontId="43" fillId="4" borderId="0" applyNumberFormat="0" applyBorder="0" applyAlignment="0" applyProtection="0"/>
    <xf numFmtId="0" fontId="43" fillId="5" borderId="0" applyNumberFormat="0" applyBorder="0" applyAlignment="0" applyProtection="0"/>
    <xf numFmtId="0" fontId="43" fillId="6" borderId="0" applyNumberFormat="0" applyBorder="0" applyAlignment="0" applyProtection="0"/>
    <xf numFmtId="0" fontId="43" fillId="7" borderId="0" applyNumberFormat="0" applyBorder="0" applyAlignment="0" applyProtection="0"/>
    <xf numFmtId="0" fontId="43" fillId="8" borderId="0" applyNumberFormat="0" applyBorder="0" applyAlignment="0" applyProtection="0"/>
    <xf numFmtId="0" fontId="43" fillId="9" borderId="0" applyNumberFormat="0" applyBorder="0" applyAlignment="0" applyProtection="0"/>
    <xf numFmtId="0" fontId="43" fillId="10" borderId="0" applyNumberFormat="0" applyBorder="0" applyAlignment="0" applyProtection="0"/>
    <xf numFmtId="0" fontId="43" fillId="5" borderId="0" applyNumberFormat="0" applyBorder="0" applyAlignment="0" applyProtection="0"/>
    <xf numFmtId="0" fontId="43" fillId="8" borderId="0" applyNumberFormat="0" applyBorder="0" applyAlignment="0" applyProtection="0"/>
    <xf numFmtId="0" fontId="43" fillId="11" borderId="0" applyNumberFormat="0" applyBorder="0" applyAlignment="0" applyProtection="0"/>
    <xf numFmtId="0" fontId="44" fillId="12" borderId="0" applyNumberFormat="0" applyBorder="0" applyAlignment="0" applyProtection="0"/>
    <xf numFmtId="0" fontId="44" fillId="9" borderId="0" applyNumberFormat="0" applyBorder="0" applyAlignment="0" applyProtection="0"/>
    <xf numFmtId="0" fontId="44" fillId="10" borderId="0" applyNumberFormat="0" applyBorder="0" applyAlignment="0" applyProtection="0"/>
    <xf numFmtId="0" fontId="44" fillId="13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167" fontId="46" fillId="0" borderId="0" applyFont="0" applyFill="0" applyBorder="0" applyAlignment="0" applyProtection="0"/>
    <xf numFmtId="166" fontId="41" fillId="0" borderId="0">
      <protection locked="0"/>
    </xf>
    <xf numFmtId="166" fontId="41" fillId="0" borderId="0">
      <protection locked="0"/>
    </xf>
    <xf numFmtId="166" fontId="47" fillId="0" borderId="0">
      <protection locked="0"/>
    </xf>
    <xf numFmtId="166" fontId="41" fillId="0" borderId="0">
      <protection locked="0"/>
    </xf>
    <xf numFmtId="166" fontId="41" fillId="0" borderId="0">
      <protection locked="0"/>
    </xf>
    <xf numFmtId="166" fontId="41" fillId="0" borderId="0">
      <protection locked="0"/>
    </xf>
    <xf numFmtId="166" fontId="47" fillId="0" borderId="0">
      <protection locked="0"/>
    </xf>
    <xf numFmtId="0" fontId="48" fillId="0" borderId="0"/>
    <xf numFmtId="0" fontId="49" fillId="0" borderId="0"/>
    <xf numFmtId="0" fontId="50" fillId="0" borderId="0" applyNumberFormat="0">
      <alignment horizontal="left"/>
    </xf>
    <xf numFmtId="0" fontId="44" fillId="16" borderId="0" applyNumberFormat="0" applyBorder="0" applyAlignment="0" applyProtection="0"/>
    <xf numFmtId="0" fontId="44" fillId="17" borderId="0" applyNumberFormat="0" applyBorder="0" applyAlignment="0" applyProtection="0"/>
    <xf numFmtId="0" fontId="44" fillId="18" borderId="0" applyNumberFormat="0" applyBorder="0" applyAlignment="0" applyProtection="0"/>
    <xf numFmtId="0" fontId="44" fillId="13" borderId="0" applyNumberFormat="0" applyBorder="0" applyAlignment="0" applyProtection="0"/>
    <xf numFmtId="0" fontId="44" fillId="14" borderId="0" applyNumberFormat="0" applyBorder="0" applyAlignment="0" applyProtection="0"/>
    <xf numFmtId="0" fontId="44" fillId="19" borderId="0" applyNumberFormat="0" applyBorder="0" applyAlignment="0" applyProtection="0"/>
    <xf numFmtId="168" fontId="51" fillId="0" borderId="21">
      <protection locked="0"/>
    </xf>
    <xf numFmtId="0" fontId="52" fillId="7" borderId="1" applyNumberFormat="0" applyAlignment="0" applyProtection="0"/>
    <xf numFmtId="0" fontId="53" fillId="20" borderId="2" applyNumberFormat="0" applyAlignment="0" applyProtection="0"/>
    <xf numFmtId="0" fontId="54" fillId="20" borderId="1" applyNumberFormat="0" applyAlignment="0" applyProtection="0"/>
    <xf numFmtId="0" fontId="55" fillId="0" borderId="0" applyBorder="0">
      <alignment horizontal="center" vertical="center" wrapText="1"/>
    </xf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8" fillId="0" borderId="5" applyNumberFormat="0" applyFill="0" applyAlignment="0" applyProtection="0"/>
    <xf numFmtId="0" fontId="58" fillId="0" borderId="0" applyNumberFormat="0" applyFill="0" applyBorder="0" applyAlignment="0" applyProtection="0"/>
    <xf numFmtId="0" fontId="59" fillId="0" borderId="22" applyBorder="0">
      <alignment horizontal="center" vertical="center" wrapText="1"/>
    </xf>
    <xf numFmtId="168" fontId="60" fillId="25" borderId="21"/>
    <xf numFmtId="4" fontId="61" fillId="26" borderId="10" applyBorder="0">
      <alignment horizontal="right"/>
    </xf>
    <xf numFmtId="0" fontId="62" fillId="0" borderId="6" applyNumberFormat="0" applyFill="0" applyAlignment="0" applyProtection="0"/>
    <xf numFmtId="0" fontId="63" fillId="21" borderId="7" applyNumberFormat="0" applyAlignment="0" applyProtection="0"/>
    <xf numFmtId="0" fontId="17" fillId="0" borderId="0" applyNumberFormat="0" applyFill="0" applyBorder="0" applyAlignment="0" applyProtection="0"/>
    <xf numFmtId="0" fontId="64" fillId="22" borderId="0" applyNumberFormat="0" applyBorder="0" applyAlignment="0" applyProtection="0"/>
    <xf numFmtId="0" fontId="45" fillId="0" borderId="0"/>
    <xf numFmtId="0" fontId="45" fillId="0" borderId="0"/>
    <xf numFmtId="0" fontId="37" fillId="0" borderId="0"/>
    <xf numFmtId="0" fontId="38" fillId="0" borderId="0"/>
    <xf numFmtId="0" fontId="28" fillId="0" borderId="0"/>
    <xf numFmtId="0" fontId="5" fillId="0" borderId="0"/>
    <xf numFmtId="0" fontId="28" fillId="0" borderId="0"/>
    <xf numFmtId="0" fontId="65" fillId="3" borderId="0" applyNumberFormat="0" applyBorder="0" applyAlignment="0" applyProtection="0"/>
    <xf numFmtId="165" fontId="36" fillId="26" borderId="23" applyNumberFormat="0" applyBorder="0" applyAlignment="0">
      <alignment vertical="center"/>
      <protection locked="0"/>
    </xf>
    <xf numFmtId="0" fontId="66" fillId="0" borderId="0" applyNumberFormat="0" applyFill="0" applyBorder="0" applyAlignment="0" applyProtection="0"/>
    <xf numFmtId="0" fontId="43" fillId="23" borderId="8" applyNumberFormat="0" applyFont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7" fillId="0" borderId="9" applyNumberFormat="0" applyFill="0" applyAlignment="0" applyProtection="0"/>
    <xf numFmtId="0" fontId="68" fillId="0" borderId="0"/>
    <xf numFmtId="0" fontId="69" fillId="0" borderId="0" applyNumberFormat="0" applyFill="0" applyBorder="0" applyAlignment="0" applyProtection="0"/>
    <xf numFmtId="41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5" fillId="0" borderId="0" applyFont="0" applyFill="0" applyBorder="0" applyAlignment="0" applyProtection="0"/>
    <xf numFmtId="4" fontId="61" fillId="27" borderId="0" applyBorder="0">
      <alignment horizontal="right"/>
    </xf>
    <xf numFmtId="4" fontId="61" fillId="27" borderId="10" applyFont="0" applyBorder="0">
      <alignment horizontal="right"/>
    </xf>
    <xf numFmtId="0" fontId="71" fillId="4" borderId="0" applyNumberFormat="0" applyBorder="0" applyAlignment="0" applyProtection="0"/>
    <xf numFmtId="166" fontId="41" fillId="0" borderId="0">
      <protection locked="0"/>
    </xf>
    <xf numFmtId="0" fontId="72" fillId="0" borderId="0"/>
    <xf numFmtId="0" fontId="38" fillId="0" borderId="0"/>
    <xf numFmtId="0" fontId="6" fillId="0" borderId="0"/>
    <xf numFmtId="0" fontId="30" fillId="0" borderId="0"/>
    <xf numFmtId="0" fontId="37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29" fillId="41" borderId="47" applyNumberFormat="0" applyAlignment="0" applyProtection="0"/>
    <xf numFmtId="0" fontId="130" fillId="0" borderId="0" applyNumberFormat="0" applyFill="0" applyBorder="0" applyAlignment="0" applyProtection="0">
      <alignment vertical="top"/>
      <protection locked="0"/>
    </xf>
    <xf numFmtId="0" fontId="45" fillId="0" borderId="0"/>
    <xf numFmtId="9" fontId="45" fillId="0" borderId="0" applyFont="0" applyFill="0" applyBorder="0" applyAlignment="0" applyProtection="0"/>
    <xf numFmtId="9" fontId="131" fillId="0" borderId="0" applyFont="0" applyFill="0" applyBorder="0" applyAlignment="0" applyProtection="0"/>
    <xf numFmtId="174" fontId="45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157" fillId="0" borderId="0"/>
    <xf numFmtId="0" fontId="160" fillId="0" borderId="0">
      <alignment vertical="top"/>
    </xf>
    <xf numFmtId="0" fontId="68" fillId="0" borderId="0"/>
    <xf numFmtId="0" fontId="51" fillId="0" borderId="0"/>
    <xf numFmtId="0" fontId="68" fillId="0" borderId="0"/>
    <xf numFmtId="0" fontId="40" fillId="0" borderId="0"/>
    <xf numFmtId="0" fontId="161" fillId="2" borderId="0" applyNumberFormat="0" applyBorder="0" applyAlignment="0" applyProtection="0"/>
    <xf numFmtId="0" fontId="161" fillId="3" borderId="0" applyNumberFormat="0" applyBorder="0" applyAlignment="0" applyProtection="0"/>
    <xf numFmtId="0" fontId="161" fillId="4" borderId="0" applyNumberFormat="0" applyBorder="0" applyAlignment="0" applyProtection="0"/>
    <xf numFmtId="0" fontId="161" fillId="5" borderId="0" applyNumberFormat="0" applyBorder="0" applyAlignment="0" applyProtection="0"/>
    <xf numFmtId="0" fontId="161" fillId="6" borderId="0" applyNumberFormat="0" applyBorder="0" applyAlignment="0" applyProtection="0"/>
    <xf numFmtId="0" fontId="161" fillId="7" borderId="0" applyNumberFormat="0" applyBorder="0" applyAlignment="0" applyProtection="0"/>
    <xf numFmtId="0" fontId="161" fillId="8" borderId="0" applyNumberFormat="0" applyBorder="0" applyAlignment="0" applyProtection="0"/>
    <xf numFmtId="0" fontId="161" fillId="9" borderId="0" applyNumberFormat="0" applyBorder="0" applyAlignment="0" applyProtection="0"/>
    <xf numFmtId="0" fontId="161" fillId="10" borderId="0" applyNumberFormat="0" applyBorder="0" applyAlignment="0" applyProtection="0"/>
    <xf numFmtId="0" fontId="161" fillId="5" borderId="0" applyNumberFormat="0" applyBorder="0" applyAlignment="0" applyProtection="0"/>
    <xf numFmtId="0" fontId="161" fillId="8" borderId="0" applyNumberFormat="0" applyBorder="0" applyAlignment="0" applyProtection="0"/>
    <xf numFmtId="0" fontId="161" fillId="11" borderId="0" applyNumberFormat="0" applyBorder="0" applyAlignment="0" applyProtection="0"/>
    <xf numFmtId="0" fontId="162" fillId="12" borderId="0" applyNumberFormat="0" applyBorder="0" applyAlignment="0" applyProtection="0"/>
    <xf numFmtId="0" fontId="162" fillId="9" borderId="0" applyNumberFormat="0" applyBorder="0" applyAlignment="0" applyProtection="0"/>
    <xf numFmtId="0" fontId="162" fillId="10" borderId="0" applyNumberFormat="0" applyBorder="0" applyAlignment="0" applyProtection="0"/>
    <xf numFmtId="0" fontId="162" fillId="13" borderId="0" applyNumberFormat="0" applyBorder="0" applyAlignment="0" applyProtection="0"/>
    <xf numFmtId="0" fontId="162" fillId="14" borderId="0" applyNumberFormat="0" applyBorder="0" applyAlignment="0" applyProtection="0"/>
    <xf numFmtId="0" fontId="162" fillId="15" borderId="0" applyNumberFormat="0" applyBorder="0" applyAlignment="0" applyProtection="0"/>
    <xf numFmtId="176" fontId="45" fillId="0" borderId="0" applyFont="0" applyFill="0" applyBorder="0" applyAlignment="0" applyProtection="0"/>
    <xf numFmtId="177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81" fillId="0" borderId="0">
      <alignment vertical="center" wrapText="1"/>
    </xf>
    <xf numFmtId="0" fontId="68" fillId="0" borderId="0"/>
    <xf numFmtId="17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45" fillId="0" borderId="0"/>
    <xf numFmtId="2" fontId="163" fillId="43" borderId="54" applyProtection="0"/>
    <xf numFmtId="2" fontId="163" fillId="43" borderId="54" applyProtection="0"/>
    <xf numFmtId="2" fontId="164" fillId="0" borderId="0" applyFill="0" applyBorder="0" applyProtection="0"/>
    <xf numFmtId="2" fontId="165" fillId="0" borderId="0" applyFill="0" applyBorder="0" applyProtection="0"/>
    <xf numFmtId="2" fontId="165" fillId="44" borderId="54" applyProtection="0"/>
    <xf numFmtId="2" fontId="165" fillId="45" borderId="54" applyProtection="0"/>
    <xf numFmtId="2" fontId="165" fillId="46" borderId="54" applyProtection="0"/>
    <xf numFmtId="2" fontId="165" fillId="46" borderId="54" applyProtection="0">
      <alignment horizontal="center"/>
    </xf>
    <xf numFmtId="2" fontId="165" fillId="45" borderId="54" applyProtection="0">
      <alignment horizontal="center"/>
    </xf>
    <xf numFmtId="0" fontId="162" fillId="16" borderId="0" applyNumberFormat="0" applyBorder="0" applyAlignment="0" applyProtection="0"/>
    <xf numFmtId="0" fontId="162" fillId="17" borderId="0" applyNumberFormat="0" applyBorder="0" applyAlignment="0" applyProtection="0"/>
    <xf numFmtId="0" fontId="162" fillId="18" borderId="0" applyNumberFormat="0" applyBorder="0" applyAlignment="0" applyProtection="0"/>
    <xf numFmtId="0" fontId="162" fillId="13" borderId="0" applyNumberFormat="0" applyBorder="0" applyAlignment="0" applyProtection="0"/>
    <xf numFmtId="0" fontId="162" fillId="14" borderId="0" applyNumberFormat="0" applyBorder="0" applyAlignment="0" applyProtection="0"/>
    <xf numFmtId="0" fontId="162" fillId="19" borderId="0" applyNumberFormat="0" applyBorder="0" applyAlignment="0" applyProtection="0"/>
    <xf numFmtId="0" fontId="166" fillId="7" borderId="1" applyNumberFormat="0" applyAlignment="0" applyProtection="0"/>
    <xf numFmtId="0" fontId="167" fillId="20" borderId="1" applyNumberFormat="0" applyAlignment="0" applyProtection="0"/>
    <xf numFmtId="44" fontId="6" fillId="0" borderId="0" applyFont="0" applyFill="0" applyBorder="0" applyAlignment="0" applyProtection="0"/>
    <xf numFmtId="0" fontId="168" fillId="0" borderId="6" applyNumberFormat="0" applyFill="0" applyAlignment="0" applyProtection="0"/>
    <xf numFmtId="0" fontId="169" fillId="21" borderId="7" applyNumberFormat="0" applyAlignment="0" applyProtection="0"/>
    <xf numFmtId="0" fontId="170" fillId="0" borderId="0">
      <alignment horizontal="center" vertical="top" wrapText="1"/>
    </xf>
    <xf numFmtId="0" fontId="171" fillId="0" borderId="0">
      <alignment horizontal="centerContinuous" vertical="center" wrapText="1"/>
    </xf>
    <xf numFmtId="0" fontId="172" fillId="27" borderId="0" applyFill="0">
      <alignment wrapText="1"/>
    </xf>
    <xf numFmtId="169" fontId="151" fillId="27" borderId="10">
      <alignment wrapText="1"/>
    </xf>
    <xf numFmtId="0" fontId="173" fillId="22" borderId="0" applyNumberFormat="0" applyBorder="0" applyAlignment="0" applyProtection="0"/>
    <xf numFmtId="0" fontId="6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7" fillId="0" borderId="0"/>
    <xf numFmtId="0" fontId="81" fillId="0" borderId="0">
      <alignment vertical="center" wrapText="1"/>
    </xf>
    <xf numFmtId="0" fontId="174" fillId="3" borderId="0" applyNumberFormat="0" applyBorder="0" applyAlignment="0" applyProtection="0"/>
    <xf numFmtId="0" fontId="175" fillId="0" borderId="0" applyNumberForma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76" fillId="0" borderId="9" applyNumberFormat="0" applyFill="0" applyAlignment="0" applyProtection="0"/>
    <xf numFmtId="0" fontId="177" fillId="0" borderId="0" applyNumberFormat="0" applyFill="0" applyBorder="0" applyAlignment="0" applyProtection="0"/>
    <xf numFmtId="49" fontId="172" fillId="0" borderId="0">
      <alignment horizont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" fontId="61" fillId="47" borderId="55" applyBorder="0">
      <alignment horizontal="right"/>
    </xf>
    <xf numFmtId="0" fontId="178" fillId="4" borderId="0" applyNumberFormat="0" applyBorder="0" applyAlignment="0" applyProtection="0"/>
    <xf numFmtId="0" fontId="2" fillId="0" borderId="0"/>
    <xf numFmtId="0" fontId="1" fillId="0" borderId="0"/>
    <xf numFmtId="9" fontId="6" fillId="0" borderId="0" applyFont="0" applyFill="0" applyBorder="0" applyAlignment="0" applyProtection="0"/>
  </cellStyleXfs>
  <cellXfs count="2072">
    <xf numFmtId="0" fontId="0" fillId="0" borderId="0" xfId="0"/>
    <xf numFmtId="0" fontId="24" fillId="0" borderId="0" xfId="0" applyFont="1" applyAlignment="1">
      <alignment horizontal="left"/>
    </xf>
    <xf numFmtId="0" fontId="24" fillId="0" borderId="0" xfId="0" applyFont="1" applyAlignment="1">
      <alignment horizontal="center" vertical="top"/>
    </xf>
    <xf numFmtId="0" fontId="24" fillId="0" borderId="0" xfId="0" applyFont="1" applyAlignment="1">
      <alignment horizontal="center" vertical="center" wrapText="1"/>
    </xf>
    <xf numFmtId="0" fontId="24" fillId="0" borderId="0" xfId="0" applyFont="1" applyAlignment="1">
      <alignment horizontal="left" vertical="center"/>
    </xf>
    <xf numFmtId="0" fontId="25" fillId="0" borderId="0" xfId="0" applyFont="1" applyAlignment="1">
      <alignment horizontal="left"/>
    </xf>
    <xf numFmtId="0" fontId="25" fillId="0" borderId="0" xfId="0" applyFont="1" applyAlignment="1">
      <alignment horizontal="right"/>
    </xf>
    <xf numFmtId="0" fontId="26" fillId="0" borderId="0" xfId="0" applyFont="1" applyAlignment="1">
      <alignment horizontal="center"/>
    </xf>
    <xf numFmtId="0" fontId="24" fillId="0" borderId="10" xfId="0" applyFont="1" applyBorder="1" applyAlignment="1">
      <alignment horizontal="center" vertical="center"/>
    </xf>
    <xf numFmtId="49" fontId="24" fillId="0" borderId="10" xfId="0" applyNumberFormat="1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top"/>
    </xf>
    <xf numFmtId="0" fontId="24" fillId="0" borderId="10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top"/>
    </xf>
    <xf numFmtId="0" fontId="24" fillId="0" borderId="11" xfId="0" applyFont="1" applyBorder="1" applyAlignment="1">
      <alignment vertical="top"/>
    </xf>
    <xf numFmtId="0" fontId="24" fillId="0" borderId="0" xfId="0" applyFont="1" applyAlignment="1">
      <alignment wrapText="1"/>
    </xf>
    <xf numFmtId="0" fontId="24" fillId="0" borderId="10" xfId="0" applyFont="1" applyBorder="1" applyAlignment="1">
      <alignment vertical="center" wrapText="1"/>
    </xf>
    <xf numFmtId="49" fontId="24" fillId="0" borderId="10" xfId="0" applyNumberFormat="1" applyFont="1" applyBorder="1" applyAlignment="1">
      <alignment vertical="center"/>
    </xf>
    <xf numFmtId="0" fontId="24" fillId="0" borderId="10" xfId="0" applyFont="1" applyBorder="1" applyAlignment="1">
      <alignment vertical="center"/>
    </xf>
    <xf numFmtId="0" fontId="24" fillId="0" borderId="0" xfId="0" applyFont="1" applyAlignment="1">
      <alignment horizontal="center" vertical="center"/>
    </xf>
    <xf numFmtId="0" fontId="25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right"/>
    </xf>
    <xf numFmtId="0" fontId="25" fillId="0" borderId="0" xfId="0" applyNumberFormat="1" applyFont="1" applyBorder="1" applyAlignment="1">
      <alignment horizontal="left"/>
    </xf>
    <xf numFmtId="0" fontId="25" fillId="0" borderId="0" xfId="0" applyNumberFormat="1" applyFont="1" applyBorder="1" applyAlignment="1">
      <alignment horizontal="right"/>
    </xf>
    <xf numFmtId="0" fontId="24" fillId="0" borderId="0" xfId="0" applyNumberFormat="1" applyFont="1" applyBorder="1" applyAlignment="1">
      <alignment horizontal="left"/>
    </xf>
    <xf numFmtId="0" fontId="26" fillId="0" borderId="0" xfId="0" applyNumberFormat="1" applyFont="1" applyBorder="1" applyAlignment="1">
      <alignment horizontal="center"/>
    </xf>
    <xf numFmtId="0" fontId="24" fillId="0" borderId="0" xfId="0" applyNumberFormat="1" applyFont="1" applyBorder="1" applyAlignment="1">
      <alignment horizontal="left" vertical="top"/>
    </xf>
    <xf numFmtId="0" fontId="24" fillId="0" borderId="0" xfId="0" applyFont="1" applyAlignment="1">
      <alignment horizontal="right" vertical="top"/>
    </xf>
    <xf numFmtId="0" fontId="24" fillId="0" borderId="10" xfId="0" applyNumberFormat="1" applyFont="1" applyBorder="1" applyAlignment="1">
      <alignment horizontal="center" vertical="center" wrapText="1"/>
    </xf>
    <xf numFmtId="0" fontId="24" fillId="0" borderId="0" xfId="0" applyNumberFormat="1" applyFont="1" applyBorder="1" applyAlignment="1">
      <alignment horizontal="center" vertical="center" wrapText="1"/>
    </xf>
    <xf numFmtId="0" fontId="24" fillId="0" borderId="11" xfId="0" applyNumberFormat="1" applyFont="1" applyBorder="1" applyAlignment="1">
      <alignment horizontal="center" vertical="center" wrapText="1"/>
    </xf>
    <xf numFmtId="0" fontId="24" fillId="0" borderId="10" xfId="0" applyNumberFormat="1" applyFont="1" applyBorder="1" applyAlignment="1">
      <alignment horizontal="center"/>
    </xf>
    <xf numFmtId="0" fontId="24" fillId="0" borderId="0" xfId="0" applyNumberFormat="1" applyFont="1" applyBorder="1" applyAlignment="1">
      <alignment horizontal="right"/>
    </xf>
    <xf numFmtId="49" fontId="24" fillId="0" borderId="10" xfId="0" applyNumberFormat="1" applyFont="1" applyBorder="1" applyAlignment="1">
      <alignment horizontal="center"/>
    </xf>
    <xf numFmtId="0" fontId="24" fillId="0" borderId="0" xfId="0" applyFont="1" applyAlignment="1">
      <alignment horizontal="left" vertical="top"/>
    </xf>
    <xf numFmtId="0" fontId="24" fillId="0" borderId="11" xfId="0" applyFont="1" applyBorder="1" applyAlignment="1">
      <alignment horizontal="center" vertical="top" wrapText="1"/>
    </xf>
    <xf numFmtId="0" fontId="24" fillId="0" borderId="10" xfId="0" applyNumberFormat="1" applyFont="1" applyBorder="1" applyAlignment="1">
      <alignment horizontal="center" vertical="top"/>
    </xf>
    <xf numFmtId="0" fontId="24" fillId="0" borderId="0" xfId="0" applyNumberFormat="1" applyFont="1" applyBorder="1" applyAlignment="1">
      <alignment horizontal="center" vertical="top" wrapText="1"/>
    </xf>
    <xf numFmtId="0" fontId="24" fillId="0" borderId="10" xfId="0" applyFont="1" applyBorder="1" applyAlignment="1">
      <alignment horizontal="center"/>
    </xf>
    <xf numFmtId="0" fontId="24" fillId="0" borderId="0" xfId="0" applyNumberFormat="1" applyFont="1" applyAlignment="1">
      <alignment horizontal="left" vertical="top"/>
    </xf>
    <xf numFmtId="0" fontId="24" fillId="0" borderId="0" xfId="0" applyNumberFormat="1" applyFont="1" applyAlignment="1">
      <alignment horizontal="center"/>
    </xf>
    <xf numFmtId="0" fontId="30" fillId="0" borderId="0" xfId="0" applyNumberFormat="1" applyFont="1" applyBorder="1" applyAlignment="1">
      <alignment horizontal="left"/>
    </xf>
    <xf numFmtId="0" fontId="30" fillId="0" borderId="0" xfId="0" applyNumberFormat="1" applyFont="1" applyBorder="1" applyAlignment="1">
      <alignment horizontal="left" vertical="top"/>
    </xf>
    <xf numFmtId="0" fontId="24" fillId="0" borderId="0" xfId="0" applyNumberFormat="1" applyFont="1" applyBorder="1" applyAlignment="1">
      <alignment vertical="top"/>
    </xf>
    <xf numFmtId="0" fontId="24" fillId="0" borderId="0" xfId="0" applyNumberFormat="1" applyFont="1" applyBorder="1" applyAlignment="1">
      <alignment vertical="top" wrapText="1"/>
    </xf>
    <xf numFmtId="0" fontId="24" fillId="0" borderId="11" xfId="0" applyNumberFormat="1" applyFont="1" applyBorder="1" applyAlignment="1">
      <alignment horizontal="center"/>
    </xf>
    <xf numFmtId="0" fontId="24" fillId="0" borderId="0" xfId="0" applyNumberFormat="1" applyFont="1" applyBorder="1" applyAlignment="1">
      <alignment horizontal="center"/>
    </xf>
    <xf numFmtId="0" fontId="24" fillId="0" borderId="10" xfId="0" applyNumberFormat="1" applyFont="1" applyBorder="1" applyAlignment="1">
      <alignment vertical="center"/>
    </xf>
    <xf numFmtId="0" fontId="24" fillId="0" borderId="10" xfId="0" applyNumberFormat="1" applyFont="1" applyBorder="1" applyAlignment="1"/>
    <xf numFmtId="49" fontId="24" fillId="0" borderId="10" xfId="0" applyNumberFormat="1" applyFont="1" applyBorder="1" applyAlignment="1">
      <alignment vertical="center" wrapText="1"/>
    </xf>
    <xf numFmtId="0" fontId="24" fillId="0" borderId="10" xfId="0" applyNumberFormat="1" applyFont="1" applyFill="1" applyBorder="1" applyAlignment="1"/>
    <xf numFmtId="0" fontId="24" fillId="0" borderId="0" xfId="0" applyNumberFormat="1" applyFont="1" applyBorder="1" applyAlignment="1">
      <alignment horizontal="center" vertical="center"/>
    </xf>
    <xf numFmtId="0" fontId="24" fillId="0" borderId="10" xfId="0" applyNumberFormat="1" applyFont="1" applyBorder="1" applyAlignment="1">
      <alignment horizontal="center" vertical="center"/>
    </xf>
    <xf numFmtId="49" fontId="24" fillId="0" borderId="10" xfId="0" applyNumberFormat="1" applyFont="1" applyBorder="1" applyAlignment="1"/>
    <xf numFmtId="0" fontId="24" fillId="0" borderId="10" xfId="0" applyFont="1" applyBorder="1" applyAlignment="1">
      <alignment wrapText="1"/>
    </xf>
    <xf numFmtId="49" fontId="24" fillId="0" borderId="10" xfId="0" applyNumberFormat="1" applyFont="1" applyBorder="1" applyAlignment="1">
      <alignment wrapText="1"/>
    </xf>
    <xf numFmtId="49" fontId="24" fillId="0" borderId="11" xfId="0" applyNumberFormat="1" applyFont="1" applyBorder="1" applyAlignment="1">
      <alignment vertical="top"/>
    </xf>
    <xf numFmtId="0" fontId="24" fillId="0" borderId="12" xfId="0" applyFont="1" applyBorder="1" applyAlignment="1">
      <alignment vertical="top" wrapText="1"/>
    </xf>
    <xf numFmtId="49" fontId="24" fillId="0" borderId="10" xfId="0" applyNumberFormat="1" applyFont="1" applyBorder="1" applyAlignment="1">
      <alignment vertical="top"/>
    </xf>
    <xf numFmtId="0" fontId="24" fillId="0" borderId="10" xfId="0" applyFont="1" applyBorder="1" applyAlignment="1">
      <alignment vertical="top" wrapText="1"/>
    </xf>
    <xf numFmtId="0" fontId="24" fillId="0" borderId="11" xfId="0" applyNumberFormat="1" applyFont="1" applyBorder="1" applyAlignment="1">
      <alignment vertical="top"/>
    </xf>
    <xf numFmtId="0" fontId="25" fillId="0" borderId="0" xfId="0" applyNumberFormat="1" applyFont="1" applyBorder="1" applyAlignment="1">
      <alignment horizontal="center"/>
    </xf>
    <xf numFmtId="0" fontId="24" fillId="0" borderId="0" xfId="0" applyNumberFormat="1" applyFont="1" applyBorder="1" applyAlignment="1">
      <alignment horizontal="center" vertical="top"/>
    </xf>
    <xf numFmtId="0" fontId="24" fillId="0" borderId="10" xfId="0" applyNumberFormat="1" applyFont="1" applyBorder="1" applyAlignment="1">
      <alignment horizontal="center" vertical="center" textRotation="90" wrapText="1"/>
    </xf>
    <xf numFmtId="0" fontId="24" fillId="0" borderId="10" xfId="0" applyFont="1" applyBorder="1" applyAlignment="1">
      <alignment vertical="top"/>
    </xf>
    <xf numFmtId="0" fontId="24" fillId="0" borderId="10" xfId="0" applyNumberFormat="1" applyFont="1" applyBorder="1" applyAlignment="1">
      <alignment vertical="top"/>
    </xf>
    <xf numFmtId="0" fontId="24" fillId="0" borderId="10" xfId="0" applyNumberFormat="1" applyFont="1" applyBorder="1" applyAlignment="1">
      <alignment vertical="top" wrapText="1"/>
    </xf>
    <xf numFmtId="49" fontId="24" fillId="0" borderId="12" xfId="0" applyNumberFormat="1" applyFont="1" applyBorder="1" applyAlignment="1">
      <alignment vertical="top" wrapText="1"/>
    </xf>
    <xf numFmtId="49" fontId="24" fillId="0" borderId="10" xfId="0" applyNumberFormat="1" applyFont="1" applyBorder="1" applyAlignment="1">
      <alignment vertical="top" wrapText="1"/>
    </xf>
    <xf numFmtId="0" fontId="24" fillId="0" borderId="0" xfId="0" applyNumberFormat="1" applyFont="1" applyBorder="1" applyAlignment="1">
      <alignment horizontal="left" vertical="top"/>
    </xf>
    <xf numFmtId="0" fontId="24" fillId="0" borderId="10" xfId="0" applyNumberFormat="1" applyFont="1" applyBorder="1" applyAlignment="1">
      <alignment wrapText="1"/>
    </xf>
    <xf numFmtId="0" fontId="24" fillId="0" borderId="11" xfId="0" applyNumberFormat="1" applyFont="1" applyBorder="1" applyAlignment="1">
      <alignment vertical="top" wrapText="1"/>
    </xf>
    <xf numFmtId="0" fontId="31" fillId="0" borderId="0" xfId="0" applyFont="1" applyAlignment="1">
      <alignment horizontal="left"/>
    </xf>
    <xf numFmtId="0" fontId="24" fillId="0" borderId="10" xfId="0" applyFont="1" applyBorder="1" applyAlignment="1">
      <alignment horizontal="left" vertical="center" wrapText="1"/>
    </xf>
    <xf numFmtId="49" fontId="24" fillId="0" borderId="10" xfId="0" applyNumberFormat="1" applyFont="1" applyBorder="1" applyAlignment="1">
      <alignment horizontal="left" vertical="center" wrapText="1"/>
    </xf>
    <xf numFmtId="0" fontId="27" fillId="0" borderId="0" xfId="0" applyNumberFormat="1" applyFont="1" applyBorder="1" applyAlignment="1">
      <alignment horizontal="left" vertical="top"/>
    </xf>
    <xf numFmtId="0" fontId="27" fillId="24" borderId="0" xfId="0" applyNumberFormat="1" applyFont="1" applyFill="1" applyBorder="1" applyAlignment="1">
      <alignment horizontal="left" vertical="top"/>
    </xf>
    <xf numFmtId="0" fontId="27" fillId="0" borderId="10" xfId="0" applyNumberFormat="1" applyFont="1" applyBorder="1" applyAlignment="1">
      <alignment vertical="top"/>
    </xf>
    <xf numFmtId="0" fontId="27" fillId="0" borderId="10" xfId="0" applyNumberFormat="1" applyFont="1" applyBorder="1" applyAlignment="1">
      <alignment vertical="top" wrapText="1"/>
    </xf>
    <xf numFmtId="0" fontId="27" fillId="0" borderId="10" xfId="0" applyNumberFormat="1" applyFont="1" applyBorder="1" applyAlignment="1">
      <alignment horizontal="center" vertical="top"/>
    </xf>
    <xf numFmtId="49" fontId="27" fillId="0" borderId="10" xfId="0" applyNumberFormat="1" applyFont="1" applyBorder="1" applyAlignment="1">
      <alignment vertical="top"/>
    </xf>
    <xf numFmtId="0" fontId="25" fillId="0" borderId="11" xfId="0" applyNumberFormat="1" applyFont="1" applyBorder="1" applyAlignment="1">
      <alignment horizontal="center" vertical="center" wrapText="1"/>
    </xf>
    <xf numFmtId="0" fontId="25" fillId="0" borderId="11" xfId="0" applyNumberFormat="1" applyFont="1" applyBorder="1" applyAlignment="1">
      <alignment horizontal="center" vertical="center"/>
    </xf>
    <xf numFmtId="0" fontId="25" fillId="0" borderId="0" xfId="0" applyNumberFormat="1" applyFont="1" applyBorder="1" applyAlignment="1">
      <alignment horizontal="center" vertical="center"/>
    </xf>
    <xf numFmtId="49" fontId="27" fillId="24" borderId="10" xfId="0" applyNumberFormat="1" applyFont="1" applyFill="1" applyBorder="1" applyAlignment="1"/>
    <xf numFmtId="3" fontId="27" fillId="24" borderId="10" xfId="0" applyNumberFormat="1" applyFont="1" applyFill="1" applyBorder="1" applyAlignment="1"/>
    <xf numFmtId="0" fontId="27" fillId="24" borderId="0" xfId="0" applyNumberFormat="1" applyFont="1" applyFill="1" applyAlignment="1">
      <alignment horizontal="center"/>
    </xf>
    <xf numFmtId="0" fontId="24" fillId="24" borderId="10" xfId="0" applyNumberFormat="1" applyFont="1" applyFill="1" applyBorder="1" applyAlignment="1"/>
    <xf numFmtId="0" fontId="24" fillId="24" borderId="0" xfId="0" applyFont="1" applyFill="1" applyAlignment="1">
      <alignment horizontal="left"/>
    </xf>
    <xf numFmtId="0" fontId="24" fillId="0" borderId="11" xfId="0" applyFont="1" applyBorder="1" applyAlignment="1">
      <alignment horizontal="center" vertical="center"/>
    </xf>
    <xf numFmtId="49" fontId="24" fillId="0" borderId="11" xfId="0" applyNumberFormat="1" applyFont="1" applyBorder="1" applyAlignment="1">
      <alignment horizontal="center" vertical="center"/>
    </xf>
    <xf numFmtId="0" fontId="34" fillId="24" borderId="10" xfId="0" applyNumberFormat="1" applyFont="1" applyFill="1" applyBorder="1" applyAlignment="1">
      <alignment wrapText="1"/>
    </xf>
    <xf numFmtId="0" fontId="34" fillId="24" borderId="0" xfId="0" applyFont="1" applyFill="1" applyAlignment="1">
      <alignment horizontal="left"/>
    </xf>
    <xf numFmtId="3" fontId="34" fillId="24" borderId="10" xfId="0" applyNumberFormat="1" applyFont="1" applyFill="1" applyBorder="1" applyAlignment="1">
      <alignment wrapText="1"/>
    </xf>
    <xf numFmtId="0" fontId="30" fillId="0" borderId="0" xfId="0" applyNumberFormat="1" applyFont="1" applyBorder="1" applyAlignment="1">
      <alignment vertical="top"/>
    </xf>
    <xf numFmtId="0" fontId="30" fillId="0" borderId="0" xfId="0" applyNumberFormat="1" applyFont="1" applyBorder="1" applyAlignment="1">
      <alignment vertical="top" wrapText="1"/>
    </xf>
    <xf numFmtId="0" fontId="24" fillId="0" borderId="0" xfId="0" applyNumberFormat="1" applyFont="1" applyBorder="1" applyAlignment="1"/>
    <xf numFmtId="49" fontId="24" fillId="0" borderId="0" xfId="0" applyNumberFormat="1" applyFont="1" applyBorder="1" applyAlignment="1">
      <alignment vertical="top"/>
    </xf>
    <xf numFmtId="49" fontId="24" fillId="0" borderId="0" xfId="0" applyNumberFormat="1" applyFont="1" applyBorder="1" applyAlignment="1">
      <alignment vertical="top" wrapText="1"/>
    </xf>
    <xf numFmtId="0" fontId="25" fillId="0" borderId="0" xfId="0" applyFont="1" applyAlignment="1">
      <alignment horizontal="center" vertical="center"/>
    </xf>
    <xf numFmtId="0" fontId="25" fillId="0" borderId="10" xfId="0" applyNumberFormat="1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  <xf numFmtId="0" fontId="24" fillId="0" borderId="0" xfId="0" applyNumberFormat="1" applyFont="1" applyBorder="1" applyAlignment="1">
      <alignment horizontal="left" vertical="top"/>
    </xf>
    <xf numFmtId="0" fontId="35" fillId="0" borderId="0" xfId="0" applyFont="1" applyAlignment="1">
      <alignment horizontal="left"/>
    </xf>
    <xf numFmtId="0" fontId="27" fillId="0" borderId="0" xfId="0" applyNumberFormat="1" applyFont="1" applyBorder="1" applyAlignment="1">
      <alignment horizontal="left"/>
    </xf>
    <xf numFmtId="0" fontId="24" fillId="24" borderId="0" xfId="0" applyNumberFormat="1" applyFont="1" applyFill="1" applyBorder="1" applyAlignment="1">
      <alignment horizontal="left"/>
    </xf>
    <xf numFmtId="0" fontId="24" fillId="24" borderId="0" xfId="0" applyNumberFormat="1" applyFont="1" applyFill="1" applyBorder="1" applyAlignment="1">
      <alignment horizontal="left" vertical="top"/>
    </xf>
    <xf numFmtId="0" fontId="24" fillId="24" borderId="10" xfId="0" applyNumberFormat="1" applyFont="1" applyFill="1" applyBorder="1" applyAlignment="1">
      <alignment horizontal="center"/>
    </xf>
    <xf numFmtId="49" fontId="27" fillId="0" borderId="10" xfId="0" applyNumberFormat="1" applyFont="1" applyBorder="1" applyAlignment="1">
      <alignment vertical="center"/>
    </xf>
    <xf numFmtId="0" fontId="27" fillId="0" borderId="10" xfId="0" applyFont="1" applyBorder="1" applyAlignment="1">
      <alignment vertical="center" wrapText="1"/>
    </xf>
    <xf numFmtId="0" fontId="27" fillId="0" borderId="10" xfId="0" applyNumberFormat="1" applyFont="1" applyBorder="1" applyAlignment="1">
      <alignment vertical="center"/>
    </xf>
    <xf numFmtId="49" fontId="36" fillId="0" borderId="10" xfId="0" applyNumberFormat="1" applyFont="1" applyFill="1" applyBorder="1" applyAlignment="1">
      <alignment wrapText="1"/>
    </xf>
    <xf numFmtId="0" fontId="24" fillId="0" borderId="10" xfId="0" applyNumberFormat="1" applyFont="1" applyBorder="1" applyAlignment="1">
      <alignment horizontal="left" vertical="top"/>
    </xf>
    <xf numFmtId="49" fontId="27" fillId="0" borderId="10" xfId="0" applyNumberFormat="1" applyFont="1" applyBorder="1" applyAlignment="1"/>
    <xf numFmtId="0" fontId="27" fillId="0" borderId="10" xfId="0" applyFont="1" applyBorder="1" applyAlignment="1">
      <alignment wrapText="1"/>
    </xf>
    <xf numFmtId="0" fontId="27" fillId="0" borderId="10" xfId="0" applyNumberFormat="1" applyFont="1" applyBorder="1" applyAlignment="1"/>
    <xf numFmtId="164" fontId="27" fillId="0" borderId="10" xfId="0" applyNumberFormat="1" applyFont="1" applyBorder="1" applyAlignment="1"/>
    <xf numFmtId="0" fontId="27" fillId="0" borderId="10" xfId="0" applyNumberFormat="1" applyFont="1" applyBorder="1" applyAlignment="1">
      <alignment horizontal="center" vertical="center"/>
    </xf>
    <xf numFmtId="0" fontId="27" fillId="24" borderId="10" xfId="0" applyNumberFormat="1" applyFont="1" applyFill="1" applyBorder="1" applyAlignment="1"/>
    <xf numFmtId="49" fontId="27" fillId="24" borderId="10" xfId="0" applyNumberFormat="1" applyFont="1" applyFill="1" applyBorder="1" applyAlignment="1">
      <alignment wrapText="1"/>
    </xf>
    <xf numFmtId="164" fontId="27" fillId="24" borderId="10" xfId="0" applyNumberFormat="1" applyFont="1" applyFill="1" applyBorder="1" applyAlignment="1"/>
    <xf numFmtId="49" fontId="27" fillId="0" borderId="10" xfId="0" applyNumberFormat="1" applyFont="1" applyBorder="1" applyAlignment="1">
      <alignment horizontal="center" vertical="center"/>
    </xf>
    <xf numFmtId="0" fontId="36" fillId="0" borderId="0" xfId="135" applyFont="1" applyFill="1" applyAlignment="1">
      <alignment horizontal="center" vertical="center"/>
    </xf>
    <xf numFmtId="0" fontId="36" fillId="0" borderId="0" xfId="135" applyFont="1" applyFill="1"/>
    <xf numFmtId="0" fontId="73" fillId="0" borderId="0" xfId="135" applyFont="1" applyFill="1" applyAlignment="1">
      <alignment horizontal="center" vertical="center"/>
    </xf>
    <xf numFmtId="0" fontId="74" fillId="0" borderId="0" xfId="135" applyFont="1" applyFill="1"/>
    <xf numFmtId="0" fontId="73" fillId="0" borderId="0" xfId="135" applyFont="1" applyFill="1"/>
    <xf numFmtId="0" fontId="74" fillId="0" borderId="0" xfId="135" applyFont="1" applyFill="1" applyAlignment="1">
      <alignment horizontal="left" vertical="center"/>
    </xf>
    <xf numFmtId="0" fontId="39" fillId="0" borderId="0" xfId="135" applyFont="1" applyFill="1"/>
    <xf numFmtId="0" fontId="76" fillId="0" borderId="10" xfId="43" applyFont="1" applyFill="1" applyBorder="1" applyAlignment="1">
      <alignment horizontal="center" vertical="center" wrapText="1"/>
    </xf>
    <xf numFmtId="0" fontId="78" fillId="0" borderId="0" xfId="135" applyFont="1" applyFill="1"/>
    <xf numFmtId="0" fontId="73" fillId="0" borderId="10" xfId="135" applyFont="1" applyFill="1" applyBorder="1" applyAlignment="1">
      <alignment horizontal="center" vertical="center"/>
    </xf>
    <xf numFmtId="0" fontId="73" fillId="0" borderId="10" xfId="135" applyFont="1" applyFill="1" applyBorder="1" applyAlignment="1"/>
    <xf numFmtId="164" fontId="73" fillId="0" borderId="10" xfId="135" applyNumberFormat="1" applyFont="1" applyFill="1" applyBorder="1" applyAlignment="1"/>
    <xf numFmtId="0" fontId="73" fillId="0" borderId="0" xfId="135" applyFont="1" applyFill="1" applyAlignment="1"/>
    <xf numFmtId="49" fontId="73" fillId="0" borderId="10" xfId="135" applyNumberFormat="1" applyFont="1" applyFill="1" applyBorder="1" applyAlignment="1">
      <alignment horizontal="center" vertical="center"/>
    </xf>
    <xf numFmtId="0" fontId="73" fillId="0" borderId="10" xfId="135" applyFont="1" applyFill="1" applyBorder="1" applyAlignment="1">
      <alignment wrapText="1"/>
    </xf>
    <xf numFmtId="165" fontId="38" fillId="0" borderId="10" xfId="135" applyNumberFormat="1" applyFont="1" applyFill="1" applyBorder="1" applyAlignment="1"/>
    <xf numFmtId="2" fontId="73" fillId="0" borderId="10" xfId="135" applyNumberFormat="1" applyFont="1" applyFill="1" applyBorder="1" applyAlignment="1"/>
    <xf numFmtId="164" fontId="73" fillId="0" borderId="10" xfId="135" applyNumberFormat="1" applyFont="1" applyFill="1" applyBorder="1" applyAlignment="1">
      <alignment horizontal="center" vertical="center"/>
    </xf>
    <xf numFmtId="10" fontId="73" fillId="0" borderId="10" xfId="135" applyNumberFormat="1" applyFont="1" applyFill="1" applyBorder="1" applyAlignment="1"/>
    <xf numFmtId="165" fontId="73" fillId="0" borderId="10" xfId="135" applyNumberFormat="1" applyFont="1" applyFill="1" applyBorder="1" applyAlignment="1"/>
    <xf numFmtId="0" fontId="38" fillId="0" borderId="10" xfId="135" applyFont="1" applyFill="1" applyBorder="1" applyAlignment="1"/>
    <xf numFmtId="169" fontId="73" fillId="0" borderId="10" xfId="135" applyNumberFormat="1" applyFont="1" applyFill="1" applyBorder="1" applyAlignment="1">
      <alignment horizontal="center" vertical="center"/>
    </xf>
    <xf numFmtId="0" fontId="38" fillId="0" borderId="10" xfId="135" applyFont="1" applyFill="1" applyBorder="1" applyAlignment="1">
      <alignment horizontal="center" vertical="center"/>
    </xf>
    <xf numFmtId="164" fontId="38" fillId="0" borderId="10" xfId="135" applyNumberFormat="1" applyFont="1" applyFill="1" applyBorder="1" applyAlignment="1"/>
    <xf numFmtId="0" fontId="38" fillId="0" borderId="0" xfId="135" applyFont="1" applyFill="1" applyAlignment="1"/>
    <xf numFmtId="164" fontId="38" fillId="0" borderId="10" xfId="135" applyNumberFormat="1" applyFont="1" applyFill="1" applyBorder="1" applyAlignment="1">
      <alignment horizontal="center" vertical="center"/>
    </xf>
    <xf numFmtId="10" fontId="38" fillId="0" borderId="10" xfId="135" applyNumberFormat="1" applyFont="1" applyFill="1" applyBorder="1" applyAlignment="1"/>
    <xf numFmtId="0" fontId="38" fillId="0" borderId="10" xfId="135" applyFont="1" applyFill="1" applyBorder="1" applyAlignment="1">
      <alignment wrapText="1"/>
    </xf>
    <xf numFmtId="49" fontId="38" fillId="0" borderId="10" xfId="135" applyNumberFormat="1" applyFont="1" applyFill="1" applyBorder="1" applyAlignment="1">
      <alignment horizontal="center" vertical="center"/>
    </xf>
    <xf numFmtId="0" fontId="39" fillId="0" borderId="10" xfId="135" applyFont="1" applyFill="1" applyBorder="1" applyAlignment="1">
      <alignment horizontal="center" vertical="center"/>
    </xf>
    <xf numFmtId="0" fontId="38" fillId="0" borderId="10" xfId="135" applyFont="1" applyFill="1" applyBorder="1" applyAlignment="1">
      <alignment horizontal="left"/>
    </xf>
    <xf numFmtId="169" fontId="38" fillId="0" borderId="10" xfId="135" applyNumberFormat="1" applyFont="1" applyFill="1" applyBorder="1" applyAlignment="1">
      <alignment horizontal="center" vertical="center"/>
    </xf>
    <xf numFmtId="49" fontId="38" fillId="0" borderId="0" xfId="135" applyNumberFormat="1" applyFont="1" applyFill="1" applyBorder="1" applyAlignment="1">
      <alignment horizontal="center" vertical="center"/>
    </xf>
    <xf numFmtId="0" fontId="38" fillId="0" borderId="0" xfId="135" applyFont="1" applyFill="1" applyBorder="1" applyAlignment="1"/>
    <xf numFmtId="164" fontId="73" fillId="0" borderId="0" xfId="135" applyNumberFormat="1" applyFont="1" applyFill="1" applyBorder="1" applyAlignment="1">
      <alignment horizontal="center" vertical="center"/>
    </xf>
    <xf numFmtId="0" fontId="82" fillId="0" borderId="0" xfId="43" applyFont="1" applyFill="1"/>
    <xf numFmtId="0" fontId="73" fillId="0" borderId="0" xfId="135" applyFont="1" applyFill="1" applyBorder="1" applyAlignment="1"/>
    <xf numFmtId="169" fontId="73" fillId="0" borderId="0" xfId="135" applyNumberFormat="1" applyFont="1" applyFill="1" applyBorder="1" applyAlignment="1">
      <alignment horizontal="center" vertical="center"/>
    </xf>
    <xf numFmtId="0" fontId="83" fillId="0" borderId="0" xfId="135" applyFont="1" applyFill="1"/>
    <xf numFmtId="0" fontId="75" fillId="0" borderId="0" xfId="135" applyFont="1" applyFill="1"/>
    <xf numFmtId="0" fontId="32" fillId="0" borderId="0" xfId="44" applyFont="1" applyFill="1" applyBorder="1" applyAlignment="1">
      <alignment horizontal="right"/>
    </xf>
    <xf numFmtId="0" fontId="84" fillId="0" borderId="0" xfId="44" applyFont="1" applyFill="1" applyBorder="1" applyAlignment="1">
      <alignment horizontal="right"/>
    </xf>
    <xf numFmtId="0" fontId="82" fillId="0" borderId="0" xfId="43" applyFont="1" applyFill="1" applyAlignment="1">
      <alignment horizontal="center" vertical="center"/>
    </xf>
    <xf numFmtId="0" fontId="73" fillId="0" borderId="0" xfId="135" applyFont="1" applyFill="1" applyBorder="1" applyAlignment="1">
      <alignment horizontal="center" vertical="center"/>
    </xf>
    <xf numFmtId="0" fontId="24" fillId="0" borderId="0" xfId="43" applyFont="1" applyFill="1" applyBorder="1" applyAlignment="1">
      <alignment horizontal="left" wrapText="1"/>
    </xf>
    <xf numFmtId="0" fontId="85" fillId="0" borderId="0" xfId="135" applyFont="1" applyFill="1"/>
    <xf numFmtId="0" fontId="73" fillId="0" borderId="10" xfId="45" applyFont="1" applyFill="1" applyBorder="1" applyAlignment="1"/>
    <xf numFmtId="3" fontId="38" fillId="0" borderId="10" xfId="136" applyNumberFormat="1" applyFont="1" applyFill="1" applyBorder="1" applyAlignment="1">
      <alignment horizontal="center" wrapText="1"/>
    </xf>
    <xf numFmtId="0" fontId="73" fillId="0" borderId="0" xfId="45" applyFont="1" applyFill="1" applyAlignment="1"/>
    <xf numFmtId="0" fontId="73" fillId="0" borderId="28" xfId="45" applyFont="1" applyFill="1" applyBorder="1" applyAlignment="1">
      <alignment horizontal="right" vertical="center"/>
    </xf>
    <xf numFmtId="0" fontId="87" fillId="0" borderId="28" xfId="45" applyFont="1" applyFill="1" applyBorder="1" applyAlignment="1">
      <alignment horizontal="right" vertical="center"/>
    </xf>
    <xf numFmtId="0" fontId="25" fillId="0" borderId="0" xfId="43" applyFont="1" applyFill="1"/>
    <xf numFmtId="0" fontId="25" fillId="0" borderId="0" xfId="43" applyFont="1" applyFill="1" applyAlignment="1">
      <alignment horizontal="right"/>
    </xf>
    <xf numFmtId="0" fontId="88" fillId="0" borderId="0" xfId="43" applyFont="1" applyFill="1"/>
    <xf numFmtId="0" fontId="89" fillId="0" borderId="0" xfId="43" applyFont="1" applyFill="1" applyAlignment="1">
      <alignment wrapText="1"/>
    </xf>
    <xf numFmtId="0" fontId="30" fillId="0" borderId="0" xfId="43" applyFont="1" applyFill="1"/>
    <xf numFmtId="0" fontId="24" fillId="0" borderId="0" xfId="43" applyFont="1" applyFill="1"/>
    <xf numFmtId="0" fontId="38" fillId="0" borderId="0" xfId="43" applyFill="1"/>
    <xf numFmtId="0" fontId="38" fillId="0" borderId="0" xfId="43" applyFill="1" applyAlignment="1">
      <alignment horizontal="center" vertical="center" wrapText="1"/>
    </xf>
    <xf numFmtId="0" fontId="93" fillId="0" borderId="10" xfId="43" applyFont="1" applyFill="1" applyBorder="1" applyAlignment="1">
      <alignment horizontal="center" vertical="center" wrapText="1"/>
    </xf>
    <xf numFmtId="0" fontId="30" fillId="0" borderId="10" xfId="43" applyFont="1" applyFill="1" applyBorder="1" applyAlignment="1">
      <alignment horizontal="center"/>
    </xf>
    <xf numFmtId="0" fontId="76" fillId="0" borderId="10" xfId="43" applyFont="1" applyFill="1" applyBorder="1" applyAlignment="1">
      <alignment horizontal="left" wrapText="1"/>
    </xf>
    <xf numFmtId="4" fontId="76" fillId="0" borderId="10" xfId="43" applyNumberFormat="1" applyFont="1" applyFill="1" applyBorder="1" applyAlignment="1">
      <alignment horizontal="center" wrapText="1"/>
    </xf>
    <xf numFmtId="4" fontId="76" fillId="0" borderId="10" xfId="43" applyNumberFormat="1" applyFont="1" applyFill="1" applyBorder="1" applyAlignment="1">
      <alignment horizontal="center"/>
    </xf>
    <xf numFmtId="170" fontId="76" fillId="0" borderId="10" xfId="43" applyNumberFormat="1" applyFont="1" applyFill="1" applyBorder="1" applyAlignment="1">
      <alignment horizontal="center"/>
    </xf>
    <xf numFmtId="3" fontId="76" fillId="0" borderId="10" xfId="43" applyNumberFormat="1" applyFont="1" applyFill="1" applyBorder="1" applyAlignment="1">
      <alignment horizontal="center"/>
    </xf>
    <xf numFmtId="0" fontId="30" fillId="0" borderId="10" xfId="43" applyFont="1" applyFill="1" applyBorder="1" applyAlignment="1">
      <alignment horizontal="left" wrapText="1"/>
    </xf>
    <xf numFmtId="4" fontId="30" fillId="0" borderId="10" xfId="43" applyNumberFormat="1" applyFont="1" applyFill="1" applyBorder="1" applyAlignment="1">
      <alignment horizontal="left" wrapText="1"/>
    </xf>
    <xf numFmtId="4" fontId="30" fillId="0" borderId="10" xfId="43" applyNumberFormat="1" applyFont="1" applyFill="1" applyBorder="1" applyAlignment="1">
      <alignment horizontal="center"/>
    </xf>
    <xf numFmtId="170" fontId="30" fillId="0" borderId="10" xfId="43" applyNumberFormat="1" applyFont="1" applyFill="1" applyBorder="1" applyAlignment="1">
      <alignment horizontal="center"/>
    </xf>
    <xf numFmtId="3" fontId="30" fillId="0" borderId="10" xfId="43" applyNumberFormat="1" applyFont="1" applyFill="1" applyBorder="1" applyAlignment="1">
      <alignment horizontal="center"/>
    </xf>
    <xf numFmtId="49" fontId="30" fillId="0" borderId="10" xfId="43" applyNumberFormat="1" applyFont="1" applyFill="1" applyBorder="1" applyAlignment="1">
      <alignment horizontal="center" vertical="center"/>
    </xf>
    <xf numFmtId="0" fontId="38" fillId="0" borderId="10" xfId="43" applyFill="1" applyBorder="1" applyAlignment="1"/>
    <xf numFmtId="170" fontId="39" fillId="0" borderId="10" xfId="43" applyNumberFormat="1" applyFont="1" applyFill="1" applyBorder="1" applyAlignment="1">
      <alignment horizontal="center"/>
    </xf>
    <xf numFmtId="0" fontId="39" fillId="0" borderId="10" xfId="43" applyFont="1" applyFill="1" applyBorder="1" applyAlignment="1">
      <alignment horizontal="center"/>
    </xf>
    <xf numFmtId="169" fontId="30" fillId="0" borderId="10" xfId="43" applyNumberFormat="1" applyFont="1" applyFill="1" applyBorder="1" applyAlignment="1">
      <alignment horizontal="center" wrapText="1"/>
    </xf>
    <xf numFmtId="170" fontId="30" fillId="0" borderId="10" xfId="43" applyNumberFormat="1" applyFont="1" applyFill="1" applyBorder="1" applyAlignment="1">
      <alignment horizontal="center" vertical="center" wrapText="1"/>
    </xf>
    <xf numFmtId="4" fontId="30" fillId="0" borderId="10" xfId="43" applyNumberFormat="1" applyFont="1" applyFill="1" applyBorder="1" applyAlignment="1">
      <alignment horizontal="center" vertical="center" wrapText="1"/>
    </xf>
    <xf numFmtId="49" fontId="76" fillId="0" borderId="10" xfId="43" applyNumberFormat="1" applyFont="1" applyFill="1" applyBorder="1" applyAlignment="1">
      <alignment horizontal="center"/>
    </xf>
    <xf numFmtId="4" fontId="76" fillId="0" borderId="10" xfId="43" applyNumberFormat="1" applyFont="1" applyFill="1" applyBorder="1" applyAlignment="1">
      <alignment horizontal="center" vertical="center" wrapText="1"/>
    </xf>
    <xf numFmtId="169" fontId="76" fillId="0" borderId="10" xfId="43" applyNumberFormat="1" applyFont="1" applyFill="1" applyBorder="1" applyAlignment="1">
      <alignment horizontal="center" wrapText="1"/>
    </xf>
    <xf numFmtId="169" fontId="76" fillId="0" borderId="10" xfId="43" applyNumberFormat="1" applyFont="1" applyFill="1" applyBorder="1" applyAlignment="1">
      <alignment horizontal="center"/>
    </xf>
    <xf numFmtId="0" fontId="76" fillId="0" borderId="10" xfId="43" applyFont="1" applyFill="1" applyBorder="1" applyAlignment="1">
      <alignment horizontal="center"/>
    </xf>
    <xf numFmtId="49" fontId="30" fillId="0" borderId="28" xfId="43" applyNumberFormat="1" applyFont="1" applyFill="1" applyBorder="1" applyAlignment="1">
      <alignment horizontal="center"/>
    </xf>
    <xf numFmtId="0" fontId="30" fillId="0" borderId="13" xfId="43" applyFont="1" applyFill="1" applyBorder="1" applyAlignment="1">
      <alignment horizontal="left" wrapText="1"/>
    </xf>
    <xf numFmtId="4" fontId="30" fillId="0" borderId="13" xfId="43" applyNumberFormat="1" applyFont="1" applyFill="1" applyBorder="1" applyAlignment="1">
      <alignment horizontal="left" wrapText="1"/>
    </xf>
    <xf numFmtId="169" fontId="30" fillId="0" borderId="10" xfId="43" applyNumberFormat="1" applyFont="1" applyFill="1" applyBorder="1" applyAlignment="1">
      <alignment horizontal="center"/>
    </xf>
    <xf numFmtId="3" fontId="30" fillId="0" borderId="29" xfId="43" applyNumberFormat="1" applyFont="1" applyFill="1" applyBorder="1" applyAlignment="1">
      <alignment horizontal="center"/>
    </xf>
    <xf numFmtId="0" fontId="94" fillId="0" borderId="13" xfId="43" applyFont="1" applyFill="1" applyBorder="1" applyAlignment="1">
      <alignment horizontal="left"/>
    </xf>
    <xf numFmtId="3" fontId="76" fillId="0" borderId="29" xfId="43" applyNumberFormat="1" applyFont="1" applyFill="1" applyBorder="1" applyAlignment="1">
      <alignment horizontal="center"/>
    </xf>
    <xf numFmtId="169" fontId="30" fillId="0" borderId="13" xfId="43" applyNumberFormat="1" applyFont="1" applyFill="1" applyBorder="1" applyAlignment="1">
      <alignment horizontal="center" wrapText="1"/>
    </xf>
    <xf numFmtId="170" fontId="30" fillId="0" borderId="13" xfId="43" applyNumberFormat="1" applyFont="1" applyFill="1" applyBorder="1" applyAlignment="1">
      <alignment horizontal="center" vertical="center" wrapText="1"/>
    </xf>
    <xf numFmtId="4" fontId="30" fillId="0" borderId="13" xfId="43" applyNumberFormat="1" applyFont="1" applyFill="1" applyBorder="1" applyAlignment="1">
      <alignment horizontal="center" vertical="center" wrapText="1"/>
    </xf>
    <xf numFmtId="49" fontId="76" fillId="0" borderId="28" xfId="43" applyNumberFormat="1" applyFont="1" applyFill="1" applyBorder="1" applyAlignment="1">
      <alignment horizontal="center"/>
    </xf>
    <xf numFmtId="0" fontId="76" fillId="0" borderId="13" xfId="43" applyFont="1" applyFill="1" applyBorder="1" applyAlignment="1">
      <alignment horizontal="left" wrapText="1"/>
    </xf>
    <xf numFmtId="4" fontId="76" fillId="0" borderId="13" xfId="43" applyNumberFormat="1" applyFont="1" applyFill="1" applyBorder="1" applyAlignment="1">
      <alignment horizontal="center" vertical="center" wrapText="1"/>
    </xf>
    <xf numFmtId="0" fontId="30" fillId="0" borderId="13" xfId="43" applyFont="1" applyFill="1" applyBorder="1" applyAlignment="1">
      <alignment horizontal="center" vertical="center" wrapText="1"/>
    </xf>
    <xf numFmtId="169" fontId="76" fillId="0" borderId="13" xfId="43" applyNumberFormat="1" applyFont="1" applyFill="1" applyBorder="1" applyAlignment="1">
      <alignment horizontal="center" wrapText="1"/>
    </xf>
    <xf numFmtId="4" fontId="76" fillId="0" borderId="13" xfId="43" applyNumberFormat="1" applyFont="1" applyFill="1" applyBorder="1" applyAlignment="1">
      <alignment horizontal="center" wrapText="1"/>
    </xf>
    <xf numFmtId="49" fontId="30" fillId="0" borderId="28" xfId="43" applyNumberFormat="1" applyFont="1" applyFill="1" applyBorder="1" applyAlignment="1">
      <alignment horizontal="center" vertical="center"/>
    </xf>
    <xf numFmtId="0" fontId="38" fillId="0" borderId="12" xfId="43" applyFill="1" applyBorder="1" applyAlignment="1"/>
    <xf numFmtId="169" fontId="30" fillId="0" borderId="13" xfId="43" applyNumberFormat="1" applyFont="1" applyFill="1" applyBorder="1" applyAlignment="1">
      <alignment horizontal="center" vertical="center" wrapText="1"/>
    </xf>
    <xf numFmtId="2" fontId="76" fillId="0" borderId="10" xfId="43" applyNumberFormat="1" applyFont="1" applyFill="1" applyBorder="1" applyAlignment="1">
      <alignment horizontal="center"/>
    </xf>
    <xf numFmtId="164" fontId="30" fillId="0" borderId="10" xfId="43" applyNumberFormat="1" applyFont="1" applyFill="1" applyBorder="1" applyAlignment="1">
      <alignment horizontal="center"/>
    </xf>
    <xf numFmtId="0" fontId="30" fillId="0" borderId="10" xfId="43" applyFont="1" applyBorder="1" applyAlignment="1">
      <alignment horizontal="left" wrapText="1"/>
    </xf>
    <xf numFmtId="2" fontId="30" fillId="0" borderId="10" xfId="43" applyNumberFormat="1" applyFont="1" applyFill="1" applyBorder="1" applyAlignment="1">
      <alignment horizontal="center"/>
    </xf>
    <xf numFmtId="3" fontId="38" fillId="0" borderId="10" xfId="43" applyNumberFormat="1" applyFill="1" applyBorder="1"/>
    <xf numFmtId="165" fontId="30" fillId="0" borderId="13" xfId="43" applyNumberFormat="1" applyFont="1" applyFill="1" applyBorder="1" applyAlignment="1">
      <alignment horizontal="center" wrapText="1"/>
    </xf>
    <xf numFmtId="49" fontId="30" fillId="0" borderId="30" xfId="43" applyNumberFormat="1" applyFont="1" applyFill="1" applyBorder="1" applyAlignment="1">
      <alignment horizontal="center"/>
    </xf>
    <xf numFmtId="0" fontId="30" fillId="0" borderId="34" xfId="43" applyFont="1" applyFill="1" applyBorder="1" applyAlignment="1">
      <alignment horizontal="left" wrapText="1"/>
    </xf>
    <xf numFmtId="4" fontId="30" fillId="0" borderId="34" xfId="43" applyNumberFormat="1" applyFont="1" applyFill="1" applyBorder="1" applyAlignment="1">
      <alignment horizontal="center" vertical="center" wrapText="1"/>
    </xf>
    <xf numFmtId="4" fontId="30" fillId="0" borderId="31" xfId="43" applyNumberFormat="1" applyFont="1" applyFill="1" applyBorder="1" applyAlignment="1">
      <alignment horizontal="center"/>
    </xf>
    <xf numFmtId="170" fontId="30" fillId="0" borderId="31" xfId="43" applyNumberFormat="1" applyFont="1" applyFill="1" applyBorder="1" applyAlignment="1">
      <alignment horizontal="center"/>
    </xf>
    <xf numFmtId="3" fontId="30" fillId="0" borderId="31" xfId="43" applyNumberFormat="1" applyFont="1" applyFill="1" applyBorder="1" applyAlignment="1">
      <alignment horizontal="center"/>
    </xf>
    <xf numFmtId="3" fontId="30" fillId="0" borderId="32" xfId="43" applyNumberFormat="1" applyFont="1" applyFill="1" applyBorder="1" applyAlignment="1">
      <alignment horizontal="center"/>
    </xf>
    <xf numFmtId="0" fontId="95" fillId="0" borderId="0" xfId="43" applyFont="1" applyFill="1"/>
    <xf numFmtId="0" fontId="30" fillId="0" borderId="0" xfId="45" applyFont="1" applyFill="1" applyAlignment="1"/>
    <xf numFmtId="3" fontId="24" fillId="0" borderId="10" xfId="0" applyNumberFormat="1" applyFont="1" applyBorder="1" applyAlignment="1">
      <alignment vertical="center"/>
    </xf>
    <xf numFmtId="0" fontId="38" fillId="0" borderId="0" xfId="43"/>
    <xf numFmtId="0" fontId="39" fillId="0" borderId="10" xfId="43" applyFont="1" applyBorder="1" applyAlignment="1">
      <alignment horizontal="center" vertical="center" wrapText="1"/>
    </xf>
    <xf numFmtId="0" fontId="39" fillId="0" borderId="17" xfId="43" applyFont="1" applyBorder="1" applyAlignment="1">
      <alignment horizontal="center" vertical="center" wrapText="1"/>
    </xf>
    <xf numFmtId="0" fontId="38" fillId="0" borderId="0" xfId="43" applyAlignment="1">
      <alignment horizontal="center" vertical="center"/>
    </xf>
    <xf numFmtId="0" fontId="38" fillId="0" borderId="10" xfId="43" applyBorder="1" applyAlignment="1">
      <alignment horizontal="center" vertical="center"/>
    </xf>
    <xf numFmtId="0" fontId="38" fillId="0" borderId="10" xfId="43" applyBorder="1"/>
    <xf numFmtId="3" fontId="38" fillId="0" borderId="10" xfId="43" applyNumberFormat="1" applyBorder="1"/>
    <xf numFmtId="0" fontId="101" fillId="0" borderId="0" xfId="43" applyFont="1"/>
    <xf numFmtId="3" fontId="24" fillId="0" borderId="10" xfId="0" applyNumberFormat="1" applyFont="1" applyBorder="1" applyAlignment="1">
      <alignment vertical="top"/>
    </xf>
    <xf numFmtId="4" fontId="24" fillId="0" borderId="10" xfId="0" applyNumberFormat="1" applyFont="1" applyBorder="1" applyAlignment="1">
      <alignment vertical="top"/>
    </xf>
    <xf numFmtId="169" fontId="24" fillId="0" borderId="10" xfId="0" applyNumberFormat="1" applyFont="1" applyBorder="1" applyAlignment="1">
      <alignment vertical="top"/>
    </xf>
    <xf numFmtId="0" fontId="24" fillId="0" borderId="10" xfId="0" applyFont="1" applyBorder="1" applyAlignment="1">
      <alignment horizontal="left"/>
    </xf>
    <xf numFmtId="2" fontId="24" fillId="0" borderId="10" xfId="0" applyNumberFormat="1" applyFont="1" applyBorder="1" applyAlignment="1">
      <alignment vertical="top"/>
    </xf>
    <xf numFmtId="165" fontId="24" fillId="0" borderId="10" xfId="0" applyNumberFormat="1" applyFont="1" applyBorder="1" applyAlignment="1">
      <alignment vertical="top"/>
    </xf>
    <xf numFmtId="49" fontId="24" fillId="24" borderId="10" xfId="0" applyNumberFormat="1" applyFont="1" applyFill="1" applyBorder="1" applyAlignment="1">
      <alignment vertical="top"/>
    </xf>
    <xf numFmtId="49" fontId="24" fillId="24" borderId="10" xfId="0" applyNumberFormat="1" applyFont="1" applyFill="1" applyBorder="1" applyAlignment="1">
      <alignment vertical="top" wrapText="1"/>
    </xf>
    <xf numFmtId="3" fontId="24" fillId="24" borderId="10" xfId="0" applyNumberFormat="1" applyFont="1" applyFill="1" applyBorder="1" applyAlignment="1">
      <alignment vertical="center"/>
    </xf>
    <xf numFmtId="4" fontId="24" fillId="24" borderId="10" xfId="0" applyNumberFormat="1" applyFont="1" applyFill="1" applyBorder="1" applyAlignment="1">
      <alignment vertical="center"/>
    </xf>
    <xf numFmtId="169" fontId="24" fillId="0" borderId="10" xfId="0" applyNumberFormat="1" applyFont="1" applyBorder="1" applyAlignment="1">
      <alignment vertical="center"/>
    </xf>
    <xf numFmtId="0" fontId="25" fillId="0" borderId="10" xfId="0" applyFont="1" applyBorder="1" applyAlignment="1">
      <alignment vertical="top" wrapText="1"/>
    </xf>
    <xf numFmtId="49" fontId="25" fillId="0" borderId="10" xfId="0" applyNumberFormat="1" applyFont="1" applyBorder="1" applyAlignment="1">
      <alignment horizontal="center" vertical="center"/>
    </xf>
    <xf numFmtId="0" fontId="25" fillId="0" borderId="10" xfId="0" applyFont="1" applyBorder="1" applyAlignment="1">
      <alignment horizontal="center" vertical="center"/>
    </xf>
    <xf numFmtId="3" fontId="25" fillId="0" borderId="10" xfId="0" applyNumberFormat="1" applyFont="1" applyBorder="1" applyAlignment="1">
      <alignment vertical="center"/>
    </xf>
    <xf numFmtId="0" fontId="25" fillId="0" borderId="10" xfId="0" applyFont="1" applyBorder="1" applyAlignment="1">
      <alignment vertical="center"/>
    </xf>
    <xf numFmtId="0" fontId="25" fillId="0" borderId="0" xfId="0" applyFont="1" applyAlignment="1">
      <alignment horizontal="left" vertical="top"/>
    </xf>
    <xf numFmtId="0" fontId="103" fillId="0" borderId="10" xfId="0" applyFont="1" applyBorder="1" applyAlignment="1">
      <alignment horizontal="center" vertical="center" wrapText="1"/>
    </xf>
    <xf numFmtId="0" fontId="25" fillId="0" borderId="0" xfId="0" applyNumberFormat="1" applyFont="1" applyBorder="1" applyAlignment="1">
      <alignment horizontal="center" vertical="center" wrapText="1"/>
    </xf>
    <xf numFmtId="169" fontId="24" fillId="24" borderId="10" xfId="0" applyNumberFormat="1" applyFont="1" applyFill="1" applyBorder="1" applyAlignment="1">
      <alignment vertical="center"/>
    </xf>
    <xf numFmtId="169" fontId="24" fillId="24" borderId="10" xfId="0" applyNumberFormat="1" applyFont="1" applyFill="1" applyBorder="1" applyAlignment="1">
      <alignment vertical="top"/>
    </xf>
    <xf numFmtId="3" fontId="24" fillId="0" borderId="0" xfId="0" applyNumberFormat="1" applyFont="1" applyBorder="1" applyAlignment="1">
      <alignment horizontal="center"/>
    </xf>
    <xf numFmtId="3" fontId="73" fillId="0" borderId="10" xfId="135" applyNumberFormat="1" applyFont="1" applyFill="1" applyBorder="1" applyAlignment="1"/>
    <xf numFmtId="4" fontId="73" fillId="0" borderId="10" xfId="135" applyNumberFormat="1" applyFont="1" applyFill="1" applyBorder="1" applyAlignment="1"/>
    <xf numFmtId="0" fontId="26" fillId="0" borderId="0" xfId="0" applyFont="1" applyAlignment="1">
      <alignment horizontal="center"/>
    </xf>
    <xf numFmtId="0" fontId="24" fillId="0" borderId="10" xfId="0" applyNumberFormat="1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  <xf numFmtId="0" fontId="103" fillId="0" borderId="11" xfId="0" applyNumberFormat="1" applyFont="1" applyBorder="1" applyAlignment="1">
      <alignment vertical="center" textRotation="90" wrapText="1"/>
    </xf>
    <xf numFmtId="0" fontId="103" fillId="0" borderId="10" xfId="0" applyNumberFormat="1" applyFont="1" applyBorder="1" applyAlignment="1">
      <alignment vertical="center" textRotation="90" wrapText="1"/>
    </xf>
    <xf numFmtId="0" fontId="103" fillId="24" borderId="11" xfId="0" applyNumberFormat="1" applyFont="1" applyFill="1" applyBorder="1" applyAlignment="1">
      <alignment vertical="center" textRotation="90" wrapText="1"/>
    </xf>
    <xf numFmtId="0" fontId="103" fillId="24" borderId="10" xfId="0" applyNumberFormat="1" applyFont="1" applyFill="1" applyBorder="1" applyAlignment="1">
      <alignment horizontal="center"/>
    </xf>
    <xf numFmtId="0" fontId="24" fillId="0" borderId="10" xfId="0" applyNumberFormat="1" applyFont="1" applyFill="1" applyBorder="1" applyAlignment="1">
      <alignment horizontal="center"/>
    </xf>
    <xf numFmtId="0" fontId="103" fillId="0" borderId="10" xfId="0" applyNumberFormat="1" applyFont="1" applyFill="1" applyBorder="1" applyAlignment="1">
      <alignment horizontal="center"/>
    </xf>
    <xf numFmtId="169" fontId="24" fillId="0" borderId="10" xfId="0" applyNumberFormat="1" applyFont="1" applyBorder="1" applyAlignment="1"/>
    <xf numFmtId="0" fontId="24" fillId="0" borderId="11" xfId="0" applyNumberFormat="1" applyFont="1" applyBorder="1" applyAlignment="1">
      <alignment horizontal="center" vertical="center" textRotation="90" wrapText="1"/>
    </xf>
    <xf numFmtId="0" fontId="24" fillId="24" borderId="11" xfId="0" applyNumberFormat="1" applyFont="1" applyFill="1" applyBorder="1" applyAlignment="1">
      <alignment horizontal="center" vertical="center" textRotation="90" wrapText="1"/>
    </xf>
    <xf numFmtId="169" fontId="27" fillId="0" borderId="10" xfId="0" applyNumberFormat="1" applyFont="1" applyBorder="1" applyAlignment="1">
      <alignment vertical="center"/>
    </xf>
    <xf numFmtId="169" fontId="27" fillId="24" borderId="10" xfId="0" applyNumberFormat="1" applyFont="1" applyFill="1" applyBorder="1" applyAlignment="1">
      <alignment vertical="center"/>
    </xf>
    <xf numFmtId="169" fontId="24" fillId="24" borderId="10" xfId="0" applyNumberFormat="1" applyFont="1" applyFill="1" applyBorder="1" applyAlignment="1"/>
    <xf numFmtId="169" fontId="24" fillId="28" borderId="10" xfId="0" applyNumberFormat="1" applyFont="1" applyFill="1" applyBorder="1" applyAlignment="1"/>
    <xf numFmtId="169" fontId="27" fillId="28" borderId="10" xfId="0" applyNumberFormat="1" applyFont="1" applyFill="1" applyBorder="1" applyAlignment="1">
      <alignment vertical="center"/>
    </xf>
    <xf numFmtId="169" fontId="24" fillId="28" borderId="10" xfId="0" applyNumberFormat="1" applyFont="1" applyFill="1" applyBorder="1" applyAlignment="1">
      <alignment vertical="center"/>
    </xf>
    <xf numFmtId="49" fontId="24" fillId="0" borderId="10" xfId="0" applyNumberFormat="1" applyFont="1" applyFill="1" applyBorder="1" applyAlignment="1"/>
    <xf numFmtId="0" fontId="24" fillId="0" borderId="10" xfId="0" applyFont="1" applyFill="1" applyBorder="1" applyAlignment="1">
      <alignment wrapText="1"/>
    </xf>
    <xf numFmtId="0" fontId="24" fillId="0" borderId="0" xfId="0" applyNumberFormat="1" applyFont="1" applyFill="1" applyBorder="1" applyAlignment="1">
      <alignment horizontal="left" vertical="top"/>
    </xf>
    <xf numFmtId="49" fontId="24" fillId="24" borderId="10" xfId="0" applyNumberFormat="1" applyFont="1" applyFill="1" applyBorder="1" applyAlignment="1"/>
    <xf numFmtId="49" fontId="24" fillId="24" borderId="10" xfId="0" applyNumberFormat="1" applyFont="1" applyFill="1" applyBorder="1" applyAlignment="1">
      <alignment wrapText="1"/>
    </xf>
    <xf numFmtId="164" fontId="24" fillId="24" borderId="10" xfId="0" applyNumberFormat="1" applyFont="1" applyFill="1" applyBorder="1" applyAlignment="1"/>
    <xf numFmtId="0" fontId="25" fillId="0" borderId="0" xfId="0" applyNumberFormat="1" applyFont="1" applyFill="1" applyBorder="1" applyAlignment="1">
      <alignment horizontal="left"/>
    </xf>
    <xf numFmtId="0" fontId="25" fillId="0" borderId="0" xfId="0" applyNumberFormat="1" applyFont="1" applyFill="1" applyBorder="1" applyAlignment="1">
      <alignment horizontal="right"/>
    </xf>
    <xf numFmtId="0" fontId="24" fillId="0" borderId="0" xfId="0" applyNumberFormat="1" applyFont="1" applyFill="1" applyBorder="1" applyAlignment="1">
      <alignment horizontal="left"/>
    </xf>
    <xf numFmtId="0" fontId="24" fillId="0" borderId="0" xfId="0" applyFont="1" applyFill="1" applyAlignment="1">
      <alignment horizontal="right" vertical="top"/>
    </xf>
    <xf numFmtId="0" fontId="103" fillId="0" borderId="11" xfId="0" applyNumberFormat="1" applyFont="1" applyFill="1" applyBorder="1" applyAlignment="1">
      <alignment vertical="center" textRotation="90" wrapText="1"/>
    </xf>
    <xf numFmtId="0" fontId="24" fillId="0" borderId="11" xfId="0" applyNumberFormat="1" applyFont="1" applyFill="1" applyBorder="1" applyAlignment="1">
      <alignment horizontal="center" vertical="center" textRotation="90" wrapText="1"/>
    </xf>
    <xf numFmtId="169" fontId="27" fillId="0" borderId="10" xfId="0" applyNumberFormat="1" applyFont="1" applyFill="1" applyBorder="1" applyAlignment="1">
      <alignment vertical="center"/>
    </xf>
    <xf numFmtId="169" fontId="24" fillId="0" borderId="10" xfId="0" applyNumberFormat="1" applyFont="1" applyFill="1" applyBorder="1" applyAlignment="1"/>
    <xf numFmtId="169" fontId="24" fillId="0" borderId="10" xfId="0" applyNumberFormat="1" applyFont="1" applyFill="1" applyBorder="1" applyAlignment="1">
      <alignment vertical="center"/>
    </xf>
    <xf numFmtId="4" fontId="24" fillId="0" borderId="10" xfId="0" applyNumberFormat="1" applyFont="1" applyFill="1" applyBorder="1" applyAlignment="1">
      <alignment vertical="center"/>
    </xf>
    <xf numFmtId="3" fontId="24" fillId="0" borderId="10" xfId="0" applyNumberFormat="1" applyFont="1" applyFill="1" applyBorder="1" applyAlignment="1">
      <alignment vertical="center"/>
    </xf>
    <xf numFmtId="0" fontId="78" fillId="0" borderId="10" xfId="135" applyFont="1" applyFill="1" applyBorder="1" applyAlignment="1">
      <alignment horizontal="center" vertical="center"/>
    </xf>
    <xf numFmtId="2" fontId="73" fillId="0" borderId="0" xfId="45" applyNumberFormat="1" applyFont="1" applyFill="1" applyAlignment="1"/>
    <xf numFmtId="0" fontId="83" fillId="0" borderId="0" xfId="45" applyFont="1" applyFill="1" applyAlignment="1"/>
    <xf numFmtId="4" fontId="38" fillId="0" borderId="10" xfId="45" applyNumberFormat="1" applyFont="1" applyFill="1" applyBorder="1" applyAlignment="1">
      <alignment horizontal="center"/>
    </xf>
    <xf numFmtId="164" fontId="38" fillId="0" borderId="10" xfId="45" applyNumberFormat="1" applyFont="1" applyFill="1" applyBorder="1" applyAlignment="1">
      <alignment horizontal="center"/>
    </xf>
    <xf numFmtId="3" fontId="38" fillId="0" borderId="10" xfId="45" applyNumberFormat="1" applyFont="1" applyFill="1" applyBorder="1" applyAlignment="1">
      <alignment horizontal="center" vertical="center"/>
    </xf>
    <xf numFmtId="0" fontId="38" fillId="0" borderId="10" xfId="45" applyFont="1" applyFill="1" applyBorder="1" applyAlignment="1"/>
    <xf numFmtId="4" fontId="38" fillId="0" borderId="19" xfId="45" applyNumberFormat="1" applyFont="1" applyFill="1" applyBorder="1" applyAlignment="1">
      <alignment horizontal="center"/>
    </xf>
    <xf numFmtId="3" fontId="38" fillId="0" borderId="19" xfId="45" applyNumberFormat="1" applyFont="1" applyFill="1" applyBorder="1" applyAlignment="1">
      <alignment horizontal="center"/>
    </xf>
    <xf numFmtId="3" fontId="38" fillId="0" borderId="19" xfId="136" applyNumberFormat="1" applyFont="1" applyFill="1" applyBorder="1" applyAlignment="1">
      <alignment horizontal="center" wrapText="1"/>
    </xf>
    <xf numFmtId="164" fontId="38" fillId="0" borderId="19" xfId="45" applyNumberFormat="1" applyFont="1" applyFill="1" applyBorder="1" applyAlignment="1">
      <alignment horizontal="center"/>
    </xf>
    <xf numFmtId="170" fontId="38" fillId="0" borderId="19" xfId="45" applyNumberFormat="1" applyFont="1" applyFill="1" applyBorder="1" applyAlignment="1">
      <alignment horizontal="center"/>
    </xf>
    <xf numFmtId="2" fontId="38" fillId="0" borderId="19" xfId="45" applyNumberFormat="1" applyFont="1" applyFill="1" applyBorder="1" applyAlignment="1">
      <alignment horizontal="center"/>
    </xf>
    <xf numFmtId="0" fontId="39" fillId="0" borderId="0" xfId="45" applyFont="1" applyFill="1" applyAlignment="1"/>
    <xf numFmtId="0" fontId="100" fillId="0" borderId="29" xfId="45" applyFont="1" applyFill="1" applyBorder="1" applyAlignment="1">
      <alignment horizontal="center" vertical="center" textRotation="90" wrapText="1"/>
    </xf>
    <xf numFmtId="0" fontId="100" fillId="0" borderId="10" xfId="45" applyFont="1" applyFill="1" applyBorder="1" applyAlignment="1">
      <alignment horizontal="center" vertical="center" textRotation="90" wrapText="1"/>
    </xf>
    <xf numFmtId="2" fontId="100" fillId="0" borderId="10" xfId="45" applyNumberFormat="1" applyFont="1" applyFill="1" applyBorder="1" applyAlignment="1">
      <alignment horizontal="center" vertical="center" textRotation="90" wrapText="1"/>
    </xf>
    <xf numFmtId="0" fontId="100" fillId="0" borderId="10" xfId="45" applyFont="1" applyFill="1" applyBorder="1" applyAlignment="1">
      <alignment textRotation="90" wrapText="1"/>
    </xf>
    <xf numFmtId="0" fontId="30" fillId="0" borderId="29" xfId="45" applyFont="1" applyFill="1" applyBorder="1" applyAlignment="1">
      <alignment horizontal="center" vertical="center"/>
    </xf>
    <xf numFmtId="0" fontId="30" fillId="0" borderId="10" xfId="45" applyFont="1" applyFill="1" applyBorder="1" applyAlignment="1">
      <alignment horizontal="center"/>
    </xf>
    <xf numFmtId="0" fontId="30" fillId="0" borderId="10" xfId="45" applyFont="1" applyFill="1" applyBorder="1" applyAlignment="1">
      <alignment horizontal="center" vertical="center"/>
    </xf>
    <xf numFmtId="0" fontId="30" fillId="0" borderId="10" xfId="137" applyFont="1" applyFill="1" applyBorder="1" applyAlignment="1">
      <alignment horizontal="center" vertical="center"/>
    </xf>
    <xf numFmtId="0" fontId="30" fillId="0" borderId="28" xfId="45" applyFont="1" applyFill="1" applyBorder="1" applyAlignment="1">
      <alignment horizontal="center" vertical="center"/>
    </xf>
    <xf numFmtId="0" fontId="73" fillId="0" borderId="0" xfId="45" applyFont="1" applyFill="1" applyAlignment="1">
      <alignment horizontal="right"/>
    </xf>
    <xf numFmtId="0" fontId="73" fillId="0" borderId="0" xfId="135" applyFont="1" applyFill="1" applyAlignment="1">
      <alignment horizontal="right"/>
    </xf>
    <xf numFmtId="0" fontId="24" fillId="0" borderId="0" xfId="0" applyNumberFormat="1" applyFont="1" applyBorder="1" applyAlignment="1">
      <alignment horizontal="left" vertical="top"/>
    </xf>
    <xf numFmtId="0" fontId="38" fillId="0" borderId="0" xfId="43" applyAlignment="1">
      <alignment vertical="center"/>
    </xf>
    <xf numFmtId="0" fontId="24" fillId="0" borderId="11" xfId="0" applyFont="1" applyBorder="1" applyAlignment="1">
      <alignment horizontal="center" vertical="center" wrapText="1"/>
    </xf>
    <xf numFmtId="3" fontId="24" fillId="0" borderId="10" xfId="0" applyNumberFormat="1" applyFont="1" applyFill="1" applyBorder="1" applyAlignment="1">
      <alignment vertical="top"/>
    </xf>
    <xf numFmtId="0" fontId="73" fillId="0" borderId="10" xfId="45" applyFont="1" applyBorder="1"/>
    <xf numFmtId="49" fontId="24" fillId="0" borderId="10" xfId="0" applyNumberFormat="1" applyFont="1" applyFill="1" applyBorder="1" applyAlignment="1">
      <alignment vertical="center"/>
    </xf>
    <xf numFmtId="49" fontId="24" fillId="0" borderId="10" xfId="0" applyNumberFormat="1" applyFont="1" applyFill="1" applyBorder="1" applyAlignment="1">
      <alignment vertical="center" wrapText="1"/>
    </xf>
    <xf numFmtId="0" fontId="24" fillId="0" borderId="0" xfId="0" applyFont="1" applyFill="1" applyAlignment="1">
      <alignment horizontal="left" vertical="center"/>
    </xf>
    <xf numFmtId="4" fontId="24" fillId="0" borderId="10" xfId="0" applyNumberFormat="1" applyFont="1" applyFill="1" applyBorder="1" applyAlignment="1">
      <alignment vertical="top"/>
    </xf>
    <xf numFmtId="0" fontId="73" fillId="0" borderId="10" xfId="45" applyFont="1" applyFill="1" applyBorder="1" applyAlignment="1">
      <alignment vertical="center" wrapText="1"/>
    </xf>
    <xf numFmtId="0" fontId="73" fillId="30" borderId="10" xfId="45" applyFont="1" applyFill="1" applyBorder="1" applyAlignment="1">
      <alignment horizontal="left" vertical="center" wrapText="1"/>
    </xf>
    <xf numFmtId="0" fontId="73" fillId="0" borderId="10" xfId="45" applyFont="1" applyFill="1" applyBorder="1" applyAlignment="1">
      <alignment horizontal="left" vertical="center" wrapText="1"/>
    </xf>
    <xf numFmtId="0" fontId="73" fillId="0" borderId="10" xfId="45" applyFont="1" applyFill="1" applyBorder="1" applyAlignment="1">
      <alignment horizontal="left" wrapText="1"/>
    </xf>
    <xf numFmtId="3" fontId="24" fillId="0" borderId="10" xfId="0" applyNumberFormat="1" applyFont="1" applyBorder="1" applyAlignment="1"/>
    <xf numFmtId="0" fontId="73" fillId="0" borderId="10" xfId="0" applyFont="1" applyBorder="1" applyAlignment="1">
      <alignment horizontal="center" vertical="center" wrapText="1"/>
    </xf>
    <xf numFmtId="0" fontId="30" fillId="0" borderId="10" xfId="0" applyFont="1" applyFill="1" applyBorder="1" applyAlignment="1">
      <alignment horizontal="left"/>
    </xf>
    <xf numFmtId="0" fontId="37" fillId="0" borderId="0" xfId="42" applyFont="1" applyFill="1"/>
    <xf numFmtId="0" fontId="37" fillId="0" borderId="0" xfId="42" applyFont="1" applyFill="1" applyAlignment="1">
      <alignment horizontal="center"/>
    </xf>
    <xf numFmtId="0" fontId="37" fillId="0" borderId="0" xfId="42" applyFont="1" applyFill="1" applyAlignment="1">
      <alignment wrapText="1"/>
    </xf>
    <xf numFmtId="0" fontId="37" fillId="30" borderId="0" xfId="42" applyFont="1" applyFill="1" applyBorder="1"/>
    <xf numFmtId="0" fontId="38" fillId="30" borderId="0" xfId="43" applyFill="1"/>
    <xf numFmtId="0" fontId="37" fillId="30" borderId="0" xfId="42" applyFont="1" applyFill="1"/>
    <xf numFmtId="0" fontId="38" fillId="30" borderId="0" xfId="43" applyFill="1" applyAlignment="1">
      <alignment horizontal="center"/>
    </xf>
    <xf numFmtId="0" fontId="105" fillId="0" borderId="0" xfId="42" applyFont="1" applyFill="1"/>
    <xf numFmtId="0" fontId="105" fillId="30" borderId="0" xfId="42" applyFont="1" applyFill="1" applyBorder="1"/>
    <xf numFmtId="0" fontId="106" fillId="30" borderId="0" xfId="43" applyFont="1" applyFill="1"/>
    <xf numFmtId="0" fontId="105" fillId="30" borderId="0" xfId="42" applyFont="1" applyFill="1"/>
    <xf numFmtId="0" fontId="37" fillId="30" borderId="0" xfId="42" applyFont="1" applyFill="1" applyAlignment="1">
      <alignment horizontal="center"/>
    </xf>
    <xf numFmtId="0" fontId="37" fillId="30" borderId="0" xfId="42" applyFont="1" applyFill="1" applyAlignment="1">
      <alignment wrapText="1"/>
    </xf>
    <xf numFmtId="49" fontId="37" fillId="0" borderId="0" xfId="42" applyNumberFormat="1" applyFont="1" applyFill="1"/>
    <xf numFmtId="164" fontId="37" fillId="30" borderId="10" xfId="42" applyNumberFormat="1" applyFont="1" applyFill="1" applyBorder="1"/>
    <xf numFmtId="0" fontId="37" fillId="30" borderId="10" xfId="42" applyFont="1" applyFill="1" applyBorder="1"/>
    <xf numFmtId="0" fontId="107" fillId="30" borderId="10" xfId="42" applyFont="1" applyFill="1" applyBorder="1" applyAlignment="1">
      <alignment horizontal="center"/>
    </xf>
    <xf numFmtId="49" fontId="107" fillId="30" borderId="10" xfId="42" applyNumberFormat="1" applyFont="1" applyFill="1" applyBorder="1" applyAlignment="1">
      <alignment horizontal="left" wrapText="1" indent="2"/>
    </xf>
    <xf numFmtId="49" fontId="107" fillId="0" borderId="10" xfId="42" applyNumberFormat="1" applyFont="1" applyFill="1" applyBorder="1" applyAlignment="1">
      <alignment horizontal="center" vertical="center"/>
    </xf>
    <xf numFmtId="0" fontId="107" fillId="30" borderId="10" xfId="42" applyFont="1" applyFill="1" applyBorder="1" applyAlignment="1">
      <alignment horizontal="left" wrapText="1" indent="2"/>
    </xf>
    <xf numFmtId="14" fontId="107" fillId="30" borderId="10" xfId="42" applyNumberFormat="1" applyFont="1" applyFill="1" applyBorder="1" applyAlignment="1">
      <alignment horizontal="left" wrapText="1" indent="2"/>
    </xf>
    <xf numFmtId="49" fontId="108" fillId="30" borderId="10" xfId="42" applyNumberFormat="1" applyFont="1" applyFill="1" applyBorder="1" applyAlignment="1">
      <alignment wrapText="1"/>
    </xf>
    <xf numFmtId="0" fontId="107" fillId="30" borderId="10" xfId="42" applyFont="1" applyFill="1" applyBorder="1" applyAlignment="1">
      <alignment wrapText="1"/>
    </xf>
    <xf numFmtId="0" fontId="108" fillId="30" borderId="10" xfId="42" applyFont="1" applyFill="1" applyBorder="1" applyAlignment="1">
      <alignment wrapText="1"/>
    </xf>
    <xf numFmtId="49" fontId="107" fillId="0" borderId="10" xfId="42" applyNumberFormat="1" applyFont="1" applyFill="1" applyBorder="1" applyAlignment="1">
      <alignment horizontal="center" vertical="center" wrapText="1"/>
    </xf>
    <xf numFmtId="16" fontId="107" fillId="30" borderId="10" xfId="42" applyNumberFormat="1" applyFont="1" applyFill="1" applyBorder="1" applyAlignment="1">
      <alignment horizontal="left" wrapText="1"/>
    </xf>
    <xf numFmtId="0" fontId="107" fillId="30" borderId="10" xfId="42" applyFont="1" applyFill="1" applyBorder="1" applyAlignment="1">
      <alignment horizontal="left" wrapText="1"/>
    </xf>
    <xf numFmtId="0" fontId="107" fillId="0" borderId="0" xfId="42" applyFont="1" applyFill="1"/>
    <xf numFmtId="0" fontId="38" fillId="30" borderId="41" xfId="43" applyFill="1" applyBorder="1" applyAlignment="1"/>
    <xf numFmtId="0" fontId="110" fillId="0" borderId="0" xfId="44" applyFont="1" applyFill="1" applyBorder="1" applyAlignment="1">
      <alignment horizontal="left"/>
    </xf>
    <xf numFmtId="0" fontId="111" fillId="30" borderId="0" xfId="42" applyFont="1" applyFill="1"/>
    <xf numFmtId="0" fontId="38" fillId="0" borderId="0" xfId="43" applyAlignment="1"/>
    <xf numFmtId="0" fontId="38" fillId="30" borderId="0" xfId="43" applyFill="1" applyAlignment="1"/>
    <xf numFmtId="0" fontId="100" fillId="0" borderId="0" xfId="43" applyFont="1" applyAlignment="1">
      <alignment horizontal="center" vertical="center"/>
    </xf>
    <xf numFmtId="3" fontId="24" fillId="31" borderId="10" xfId="0" applyNumberFormat="1" applyFont="1" applyFill="1" applyBorder="1" applyAlignment="1">
      <alignment vertical="top"/>
    </xf>
    <xf numFmtId="0" fontId="24" fillId="31" borderId="10" xfId="0" applyFont="1" applyFill="1" applyBorder="1" applyAlignment="1">
      <alignment horizontal="center" vertical="center"/>
    </xf>
    <xf numFmtId="0" fontId="24" fillId="31" borderId="10" xfId="0" applyFont="1" applyFill="1" applyBorder="1" applyAlignment="1">
      <alignment vertical="top" wrapText="1"/>
    </xf>
    <xf numFmtId="49" fontId="24" fillId="31" borderId="10" xfId="0" applyNumberFormat="1" applyFont="1" applyFill="1" applyBorder="1" applyAlignment="1">
      <alignment vertical="top"/>
    </xf>
    <xf numFmtId="0" fontId="24" fillId="0" borderId="10" xfId="0" applyFont="1" applyFill="1" applyBorder="1" applyAlignment="1">
      <alignment vertical="top"/>
    </xf>
    <xf numFmtId="169" fontId="24" fillId="0" borderId="10" xfId="0" applyNumberFormat="1" applyFont="1" applyFill="1" applyBorder="1" applyAlignment="1">
      <alignment vertical="top"/>
    </xf>
    <xf numFmtId="171" fontId="24" fillId="0" borderId="10" xfId="0" applyNumberFormat="1" applyFont="1" applyFill="1" applyBorder="1" applyAlignment="1">
      <alignment vertical="top"/>
    </xf>
    <xf numFmtId="165" fontId="24" fillId="0" borderId="10" xfId="0" applyNumberFormat="1" applyFont="1" applyFill="1" applyBorder="1" applyAlignment="1">
      <alignment vertical="top"/>
    </xf>
    <xf numFmtId="0" fontId="24" fillId="0" borderId="0" xfId="0" applyNumberFormat="1" applyFont="1" applyBorder="1" applyAlignment="1">
      <alignment horizontal="left" vertical="top"/>
    </xf>
    <xf numFmtId="0" fontId="37" fillId="0" borderId="0" xfId="42"/>
    <xf numFmtId="0" fontId="37" fillId="0" borderId="0" xfId="42" applyAlignment="1">
      <alignment wrapText="1"/>
    </xf>
    <xf numFmtId="0" fontId="113" fillId="0" borderId="0" xfId="42" applyFont="1" applyAlignment="1">
      <alignment wrapText="1"/>
    </xf>
    <xf numFmtId="2" fontId="108" fillId="0" borderId="10" xfId="42" applyNumberFormat="1" applyFont="1" applyBorder="1" applyAlignment="1">
      <alignment vertical="center"/>
    </xf>
    <xf numFmtId="2" fontId="108" fillId="0" borderId="10" xfId="42" applyNumberFormat="1" applyFont="1" applyBorder="1"/>
    <xf numFmtId="0" fontId="108" fillId="0" borderId="10" xfId="42" applyFont="1" applyBorder="1" applyAlignment="1">
      <alignment horizontal="center" vertical="center"/>
    </xf>
    <xf numFmtId="0" fontId="108" fillId="0" borderId="10" xfId="42" applyFont="1" applyBorder="1" applyAlignment="1">
      <alignment wrapText="1"/>
    </xf>
    <xf numFmtId="2" fontId="107" fillId="0" borderId="10" xfId="42" applyNumberFormat="1" applyFont="1" applyBorder="1" applyAlignment="1">
      <alignment vertical="center"/>
    </xf>
    <xf numFmtId="2" fontId="107" fillId="0" borderId="10" xfId="42" applyNumberFormat="1" applyFont="1" applyBorder="1"/>
    <xf numFmtId="0" fontId="107" fillId="0" borderId="10" xfId="42" applyFont="1" applyBorder="1" applyAlignment="1">
      <alignment horizontal="center" vertical="center"/>
    </xf>
    <xf numFmtId="0" fontId="107" fillId="0" borderId="10" xfId="42" applyFont="1" applyBorder="1" applyAlignment="1">
      <alignment wrapText="1"/>
    </xf>
    <xf numFmtId="3" fontId="108" fillId="0" borderId="10" xfId="42" applyNumberFormat="1" applyFont="1" applyBorder="1" applyAlignment="1">
      <alignment vertical="center"/>
    </xf>
    <xf numFmtId="3" fontId="107" fillId="0" borderId="10" xfId="42" applyNumberFormat="1" applyFont="1" applyFill="1" applyBorder="1" applyAlignment="1">
      <alignment vertical="center"/>
    </xf>
    <xf numFmtId="3" fontId="107" fillId="0" borderId="10" xfId="42" applyNumberFormat="1" applyFont="1" applyBorder="1"/>
    <xf numFmtId="0" fontId="107" fillId="0" borderId="10" xfId="42" applyFont="1" applyBorder="1" applyAlignment="1">
      <alignment vertical="center" wrapText="1"/>
    </xf>
    <xf numFmtId="0" fontId="107" fillId="0" borderId="10" xfId="42" applyFont="1" applyFill="1" applyBorder="1" applyAlignment="1">
      <alignment vertical="center"/>
    </xf>
    <xf numFmtId="0" fontId="107" fillId="0" borderId="10" xfId="42" applyFont="1" applyBorder="1"/>
    <xf numFmtId="0" fontId="37" fillId="32" borderId="0" xfId="42" applyFill="1"/>
    <xf numFmtId="0" fontId="37" fillId="0" borderId="0" xfId="42" applyFill="1"/>
    <xf numFmtId="3" fontId="107" fillId="0" borderId="10" xfId="42" applyNumberFormat="1" applyFont="1" applyFill="1" applyBorder="1"/>
    <xf numFmtId="0" fontId="107" fillId="0" borderId="10" xfId="42" applyFont="1" applyFill="1" applyBorder="1" applyAlignment="1">
      <alignment horizontal="center" vertical="center"/>
    </xf>
    <xf numFmtId="0" fontId="107" fillId="0" borderId="10" xfId="42" applyFont="1" applyFill="1" applyBorder="1" applyAlignment="1">
      <alignment wrapText="1"/>
    </xf>
    <xf numFmtId="3" fontId="107" fillId="0" borderId="10" xfId="42" applyNumberFormat="1" applyFont="1" applyBorder="1" applyAlignment="1">
      <alignment vertical="center"/>
    </xf>
    <xf numFmtId="16" fontId="107" fillId="0" borderId="10" xfId="42" applyNumberFormat="1" applyFont="1" applyFill="1" applyBorder="1" applyAlignment="1">
      <alignment horizontal="center" vertical="center"/>
    </xf>
    <xf numFmtId="0" fontId="114" fillId="0" borderId="10" xfId="42" applyFont="1" applyBorder="1" applyAlignment="1">
      <alignment horizontal="center" vertical="center"/>
    </xf>
    <xf numFmtId="0" fontId="108" fillId="0" borderId="10" xfId="42" applyFont="1" applyBorder="1" applyAlignment="1">
      <alignment horizontal="center" vertical="center" wrapText="1"/>
    </xf>
    <xf numFmtId="0" fontId="107" fillId="0" borderId="0" xfId="42" applyFont="1" applyAlignment="1">
      <alignment horizontal="right"/>
    </xf>
    <xf numFmtId="0" fontId="107" fillId="0" borderId="0" xfId="42" applyFont="1"/>
    <xf numFmtId="0" fontId="108" fillId="0" borderId="0" xfId="42" applyFont="1"/>
    <xf numFmtId="0" fontId="115" fillId="0" borderId="0" xfId="42" applyFont="1"/>
    <xf numFmtId="16" fontId="107" fillId="0" borderId="10" xfId="42" applyNumberFormat="1" applyFont="1" applyBorder="1" applyAlignment="1">
      <alignment horizontal="center" vertical="center"/>
    </xf>
    <xf numFmtId="3" fontId="107" fillId="0" borderId="10" xfId="139" applyNumberFormat="1" applyFont="1" applyFill="1" applyBorder="1" applyAlignment="1">
      <alignment vertical="center"/>
    </xf>
    <xf numFmtId="0" fontId="24" fillId="0" borderId="10" xfId="0" applyFont="1" applyBorder="1" applyAlignment="1">
      <alignment horizontal="left" vertical="top"/>
    </xf>
    <xf numFmtId="0" fontId="27" fillId="0" borderId="11" xfId="0" applyFont="1" applyBorder="1" applyAlignment="1">
      <alignment horizontal="center" vertical="center" wrapText="1"/>
    </xf>
    <xf numFmtId="0" fontId="24" fillId="0" borderId="11" xfId="0" applyFont="1" applyBorder="1" applyAlignment="1">
      <alignment vertical="center"/>
    </xf>
    <xf numFmtId="4" fontId="24" fillId="0" borderId="10" xfId="0" applyNumberFormat="1" applyFont="1" applyBorder="1" applyAlignment="1">
      <alignment vertical="center"/>
    </xf>
    <xf numFmtId="0" fontId="27" fillId="0" borderId="12" xfId="0" applyFont="1" applyBorder="1" applyAlignment="1">
      <alignment vertical="top" wrapText="1"/>
    </xf>
    <xf numFmtId="0" fontId="27" fillId="0" borderId="11" xfId="0" applyFont="1" applyBorder="1" applyAlignment="1">
      <alignment horizontal="center" vertical="top"/>
    </xf>
    <xf numFmtId="2" fontId="27" fillId="0" borderId="10" xfId="0" applyNumberFormat="1" applyFont="1" applyBorder="1" applyAlignment="1">
      <alignment vertical="top"/>
    </xf>
    <xf numFmtId="4" fontId="27" fillId="0" borderId="10" xfId="0" applyNumberFormat="1" applyFont="1" applyBorder="1" applyAlignment="1">
      <alignment vertical="top"/>
    </xf>
    <xf numFmtId="164" fontId="108" fillId="0" borderId="10" xfId="139" applyNumberFormat="1" applyFont="1" applyFill="1" applyBorder="1" applyAlignment="1">
      <alignment vertical="center"/>
    </xf>
    <xf numFmtId="0" fontId="108" fillId="0" borderId="10" xfId="139" applyFont="1" applyFill="1" applyBorder="1" applyAlignment="1">
      <alignment vertical="center"/>
    </xf>
    <xf numFmtId="0" fontId="108" fillId="0" borderId="10" xfId="42" applyFont="1" applyFill="1" applyBorder="1" applyAlignment="1">
      <alignment horizontal="center" vertical="center"/>
    </xf>
    <xf numFmtId="0" fontId="108" fillId="0" borderId="10" xfId="42" applyFont="1" applyFill="1" applyBorder="1" applyAlignment="1">
      <alignment wrapText="1"/>
    </xf>
    <xf numFmtId="0" fontId="108" fillId="0" borderId="10" xfId="42" applyFont="1" applyFill="1" applyBorder="1"/>
    <xf numFmtId="0" fontId="30" fillId="0" borderId="10" xfId="43" applyFont="1" applyFill="1" applyBorder="1" applyAlignment="1">
      <alignment horizontal="center" vertical="center" wrapText="1"/>
    </xf>
    <xf numFmtId="4" fontId="81" fillId="0" borderId="0" xfId="43" applyNumberFormat="1" applyFont="1" applyBorder="1" applyAlignment="1">
      <alignment horizontal="center" wrapText="1"/>
    </xf>
    <xf numFmtId="49" fontId="30" fillId="0" borderId="10" xfId="43" applyNumberFormat="1" applyFont="1" applyFill="1" applyBorder="1" applyAlignment="1">
      <alignment horizontal="center"/>
    </xf>
    <xf numFmtId="0" fontId="24" fillId="0" borderId="0" xfId="0" applyNumberFormat="1" applyFont="1" applyBorder="1" applyAlignment="1">
      <alignment horizontal="left" vertical="top" wrapText="1"/>
    </xf>
    <xf numFmtId="3" fontId="90" fillId="0" borderId="0" xfId="135" applyNumberFormat="1" applyFont="1" applyFill="1"/>
    <xf numFmtId="0" fontId="116" fillId="0" borderId="10" xfId="43" applyFont="1" applyFill="1" applyBorder="1"/>
    <xf numFmtId="0" fontId="38" fillId="0" borderId="17" xfId="43" applyFill="1" applyBorder="1" applyAlignment="1">
      <alignment horizontal="center"/>
    </xf>
    <xf numFmtId="0" fontId="38" fillId="0" borderId="10" xfId="43" applyFill="1" applyBorder="1" applyAlignment="1">
      <alignment horizontal="center"/>
    </xf>
    <xf numFmtId="0" fontId="38" fillId="0" borderId="10" xfId="43" applyFill="1" applyBorder="1"/>
    <xf numFmtId="0" fontId="30" fillId="0" borderId="11" xfId="43" applyFont="1" applyFill="1" applyBorder="1" applyAlignment="1">
      <alignment horizontal="left" wrapText="1"/>
    </xf>
    <xf numFmtId="169" fontId="38" fillId="0" borderId="42" xfId="43" applyNumberFormat="1" applyFill="1" applyBorder="1"/>
    <xf numFmtId="0" fontId="38" fillId="0" borderId="13" xfId="43" applyFill="1" applyBorder="1"/>
    <xf numFmtId="3" fontId="38" fillId="0" borderId="11" xfId="43" applyNumberFormat="1" applyFill="1" applyBorder="1"/>
    <xf numFmtId="169" fontId="38" fillId="0" borderId="17" xfId="43" applyNumberFormat="1" applyFill="1" applyBorder="1"/>
    <xf numFmtId="164" fontId="38" fillId="0" borderId="10" xfId="43" applyNumberFormat="1" applyFill="1" applyBorder="1"/>
    <xf numFmtId="3" fontId="38" fillId="0" borderId="17" xfId="43" applyNumberFormat="1" applyFill="1" applyBorder="1"/>
    <xf numFmtId="0" fontId="38" fillId="0" borderId="19" xfId="43" applyFill="1" applyBorder="1"/>
    <xf numFmtId="164" fontId="38" fillId="0" borderId="12" xfId="43" applyNumberFormat="1" applyFill="1" applyBorder="1"/>
    <xf numFmtId="3" fontId="38" fillId="0" borderId="42" xfId="43" applyNumberFormat="1" applyFill="1" applyBorder="1"/>
    <xf numFmtId="0" fontId="38" fillId="0" borderId="10" xfId="43" applyFill="1" applyBorder="1" applyAlignment="1">
      <alignment horizontal="right"/>
    </xf>
    <xf numFmtId="169" fontId="38" fillId="0" borderId="19" xfId="43" applyNumberFormat="1" applyFill="1" applyBorder="1"/>
    <xf numFmtId="3" fontId="38" fillId="0" borderId="19" xfId="43" applyNumberFormat="1" applyFill="1" applyBorder="1"/>
    <xf numFmtId="49" fontId="30" fillId="33" borderId="28" xfId="43" applyNumberFormat="1" applyFont="1" applyFill="1" applyBorder="1" applyAlignment="1">
      <alignment horizontal="center"/>
    </xf>
    <xf numFmtId="0" fontId="30" fillId="33" borderId="13" xfId="43" applyFont="1" applyFill="1" applyBorder="1" applyAlignment="1">
      <alignment horizontal="left" wrapText="1"/>
    </xf>
    <xf numFmtId="169" fontId="30" fillId="33" borderId="13" xfId="43" applyNumberFormat="1" applyFont="1" applyFill="1" applyBorder="1" applyAlignment="1">
      <alignment horizontal="center" vertical="center" wrapText="1"/>
    </xf>
    <xf numFmtId="170" fontId="30" fillId="33" borderId="13" xfId="43" applyNumberFormat="1" applyFont="1" applyFill="1" applyBorder="1" applyAlignment="1">
      <alignment horizontal="center" vertical="center" wrapText="1"/>
    </xf>
    <xf numFmtId="4" fontId="30" fillId="33" borderId="10" xfId="43" applyNumberFormat="1" applyFont="1" applyFill="1" applyBorder="1" applyAlignment="1">
      <alignment horizontal="center"/>
    </xf>
    <xf numFmtId="170" fontId="30" fillId="33" borderId="10" xfId="43" applyNumberFormat="1" applyFont="1" applyFill="1" applyBorder="1" applyAlignment="1">
      <alignment horizontal="center"/>
    </xf>
    <xf numFmtId="2" fontId="30" fillId="33" borderId="10" xfId="43" applyNumberFormat="1" applyFont="1" applyFill="1" applyBorder="1" applyAlignment="1">
      <alignment horizontal="center"/>
    </xf>
    <xf numFmtId="169" fontId="30" fillId="33" borderId="10" xfId="43" applyNumberFormat="1" applyFont="1" applyFill="1" applyBorder="1" applyAlignment="1">
      <alignment horizontal="center"/>
    </xf>
    <xf numFmtId="3" fontId="30" fillId="33" borderId="10" xfId="43" applyNumberFormat="1" applyFont="1" applyFill="1" applyBorder="1" applyAlignment="1">
      <alignment horizontal="center"/>
    </xf>
    <xf numFmtId="3" fontId="30" fillId="33" borderId="29" xfId="43" applyNumberFormat="1" applyFont="1" applyFill="1" applyBorder="1" applyAlignment="1">
      <alignment horizontal="center"/>
    </xf>
    <xf numFmtId="0" fontId="30" fillId="33" borderId="11" xfId="43" applyFont="1" applyFill="1" applyBorder="1" applyAlignment="1">
      <alignment horizontal="left" wrapText="1"/>
    </xf>
    <xf numFmtId="169" fontId="38" fillId="33" borderId="42" xfId="43" applyNumberFormat="1" applyFill="1" applyBorder="1"/>
    <xf numFmtId="0" fontId="38" fillId="33" borderId="13" xfId="43" applyFill="1" applyBorder="1"/>
    <xf numFmtId="3" fontId="38" fillId="33" borderId="11" xfId="43" applyNumberFormat="1" applyFill="1" applyBorder="1"/>
    <xf numFmtId="3" fontId="38" fillId="33" borderId="10" xfId="43" applyNumberFormat="1" applyFill="1" applyBorder="1"/>
    <xf numFmtId="169" fontId="38" fillId="33" borderId="17" xfId="43" applyNumberFormat="1" applyFill="1" applyBorder="1"/>
    <xf numFmtId="164" fontId="38" fillId="33" borderId="17" xfId="43" applyNumberFormat="1" applyFill="1" applyBorder="1"/>
    <xf numFmtId="3" fontId="38" fillId="33" borderId="17" xfId="43" applyNumberFormat="1" applyFill="1" applyBorder="1"/>
    <xf numFmtId="0" fontId="38" fillId="33" borderId="0" xfId="43" applyFill="1"/>
    <xf numFmtId="49" fontId="30" fillId="0" borderId="13" xfId="43" applyNumberFormat="1" applyFont="1" applyFill="1" applyBorder="1" applyAlignment="1">
      <alignment horizontal="left" wrapText="1"/>
    </xf>
    <xf numFmtId="164" fontId="38" fillId="0" borderId="17" xfId="43" applyNumberFormat="1" applyFill="1" applyBorder="1"/>
    <xf numFmtId="49" fontId="30" fillId="32" borderId="28" xfId="43" applyNumberFormat="1" applyFont="1" applyFill="1" applyBorder="1" applyAlignment="1">
      <alignment horizontal="center"/>
    </xf>
    <xf numFmtId="49" fontId="30" fillId="32" borderId="13" xfId="43" applyNumberFormat="1" applyFont="1" applyFill="1" applyBorder="1" applyAlignment="1">
      <alignment horizontal="left" wrapText="1"/>
    </xf>
    <xf numFmtId="169" fontId="30" fillId="32" borderId="13" xfId="43" applyNumberFormat="1" applyFont="1" applyFill="1" applyBorder="1" applyAlignment="1">
      <alignment horizontal="center" vertical="center" wrapText="1"/>
    </xf>
    <xf numFmtId="170" fontId="30" fillId="32" borderId="13" xfId="43" applyNumberFormat="1" applyFont="1" applyFill="1" applyBorder="1" applyAlignment="1">
      <alignment horizontal="center" vertical="center" wrapText="1"/>
    </xf>
    <xf numFmtId="4" fontId="30" fillId="32" borderId="10" xfId="43" applyNumberFormat="1" applyFont="1" applyFill="1" applyBorder="1" applyAlignment="1">
      <alignment horizontal="center"/>
    </xf>
    <xf numFmtId="170" fontId="30" fillId="32" borderId="10" xfId="43" applyNumberFormat="1" applyFont="1" applyFill="1" applyBorder="1" applyAlignment="1">
      <alignment horizontal="center"/>
    </xf>
    <xf numFmtId="2" fontId="30" fillId="32" borderId="10" xfId="43" applyNumberFormat="1" applyFont="1" applyFill="1" applyBorder="1" applyAlignment="1">
      <alignment horizontal="center"/>
    </xf>
    <xf numFmtId="169" fontId="30" fillId="32" borderId="10" xfId="43" applyNumberFormat="1" applyFont="1" applyFill="1" applyBorder="1" applyAlignment="1">
      <alignment horizontal="center"/>
    </xf>
    <xf numFmtId="3" fontId="30" fillId="32" borderId="10" xfId="43" applyNumberFormat="1" applyFont="1" applyFill="1" applyBorder="1" applyAlignment="1">
      <alignment horizontal="center"/>
    </xf>
    <xf numFmtId="3" fontId="30" fillId="32" borderId="29" xfId="43" applyNumberFormat="1" applyFont="1" applyFill="1" applyBorder="1" applyAlignment="1">
      <alignment horizontal="center"/>
    </xf>
    <xf numFmtId="0" fontId="30" fillId="32" borderId="11" xfId="43" applyFont="1" applyFill="1" applyBorder="1" applyAlignment="1">
      <alignment horizontal="left" wrapText="1"/>
    </xf>
    <xf numFmtId="169" fontId="38" fillId="32" borderId="42" xfId="43" applyNumberFormat="1" applyFill="1" applyBorder="1"/>
    <xf numFmtId="0" fontId="38" fillId="32" borderId="13" xfId="43" applyFill="1" applyBorder="1"/>
    <xf numFmtId="3" fontId="38" fillId="32" borderId="11" xfId="43" applyNumberFormat="1" applyFill="1" applyBorder="1"/>
    <xf numFmtId="3" fontId="38" fillId="32" borderId="10" xfId="43" applyNumberFormat="1" applyFill="1" applyBorder="1"/>
    <xf numFmtId="169" fontId="38" fillId="32" borderId="17" xfId="43" applyNumberFormat="1" applyFill="1" applyBorder="1"/>
    <xf numFmtId="164" fontId="38" fillId="32" borderId="17" xfId="43" applyNumberFormat="1" applyFill="1" applyBorder="1"/>
    <xf numFmtId="3" fontId="38" fillId="32" borderId="17" xfId="43" applyNumberFormat="1" applyFill="1" applyBorder="1"/>
    <xf numFmtId="0" fontId="38" fillId="32" borderId="0" xfId="43" applyFill="1"/>
    <xf numFmtId="0" fontId="30" fillId="33" borderId="10" xfId="43" applyFont="1" applyFill="1" applyBorder="1" applyAlignment="1">
      <alignment horizontal="left" wrapText="1"/>
    </xf>
    <xf numFmtId="169" fontId="38" fillId="33" borderId="10" xfId="43" applyNumberFormat="1" applyFill="1" applyBorder="1"/>
    <xf numFmtId="164" fontId="38" fillId="33" borderId="10" xfId="43" applyNumberFormat="1" applyFill="1" applyBorder="1"/>
    <xf numFmtId="3" fontId="30" fillId="32" borderId="13" xfId="43" applyNumberFormat="1" applyFont="1" applyFill="1" applyBorder="1" applyAlignment="1">
      <alignment horizontal="center"/>
    </xf>
    <xf numFmtId="3" fontId="30" fillId="0" borderId="13" xfId="43" applyNumberFormat="1" applyFont="1" applyFill="1" applyBorder="1" applyAlignment="1">
      <alignment horizontal="center"/>
    </xf>
    <xf numFmtId="3" fontId="30" fillId="33" borderId="13" xfId="43" applyNumberFormat="1" applyFont="1" applyFill="1" applyBorder="1" applyAlignment="1">
      <alignment horizontal="center"/>
    </xf>
    <xf numFmtId="49" fontId="30" fillId="32" borderId="43" xfId="43" applyNumberFormat="1" applyFont="1" applyFill="1" applyBorder="1" applyAlignment="1">
      <alignment horizontal="center"/>
    </xf>
    <xf numFmtId="169" fontId="30" fillId="32" borderId="44" xfId="43" applyNumberFormat="1" applyFont="1" applyFill="1" applyBorder="1" applyAlignment="1">
      <alignment horizontal="center" vertical="center" wrapText="1"/>
    </xf>
    <xf numFmtId="170" fontId="30" fillId="32" borderId="44" xfId="43" applyNumberFormat="1" applyFont="1" applyFill="1" applyBorder="1" applyAlignment="1">
      <alignment horizontal="center" vertical="center" wrapText="1"/>
    </xf>
    <xf numFmtId="4" fontId="30" fillId="32" borderId="17" xfId="43" applyNumberFormat="1" applyFont="1" applyFill="1" applyBorder="1" applyAlignment="1">
      <alignment horizontal="center"/>
    </xf>
    <xf numFmtId="170" fontId="30" fillId="32" borderId="17" xfId="43" applyNumberFormat="1" applyFont="1" applyFill="1" applyBorder="1" applyAlignment="1">
      <alignment horizontal="center"/>
    </xf>
    <xf numFmtId="3" fontId="30" fillId="32" borderId="17" xfId="43" applyNumberFormat="1" applyFont="1" applyFill="1" applyBorder="1" applyAlignment="1">
      <alignment horizontal="center"/>
    </xf>
    <xf numFmtId="3" fontId="30" fillId="32" borderId="44" xfId="43" applyNumberFormat="1" applyFont="1" applyFill="1" applyBorder="1" applyAlignment="1">
      <alignment horizontal="center"/>
    </xf>
    <xf numFmtId="0" fontId="38" fillId="32" borderId="0" xfId="43" applyFill="1" applyBorder="1"/>
    <xf numFmtId="49" fontId="30" fillId="0" borderId="31" xfId="43" applyNumberFormat="1" applyFont="1" applyFill="1" applyBorder="1" applyAlignment="1">
      <alignment horizontal="left" wrapText="1"/>
    </xf>
    <xf numFmtId="169" fontId="30" fillId="0" borderId="34" xfId="43" applyNumberFormat="1" applyFont="1" applyFill="1" applyBorder="1" applyAlignment="1">
      <alignment horizontal="center" vertical="center" wrapText="1"/>
    </xf>
    <xf numFmtId="170" fontId="30" fillId="0" borderId="34" xfId="43" applyNumberFormat="1" applyFont="1" applyFill="1" applyBorder="1" applyAlignment="1">
      <alignment horizontal="center" vertical="center" wrapText="1"/>
    </xf>
    <xf numFmtId="2" fontId="30" fillId="0" borderId="31" xfId="43" applyNumberFormat="1" applyFont="1" applyFill="1" applyBorder="1" applyAlignment="1">
      <alignment horizontal="center"/>
    </xf>
    <xf numFmtId="3" fontId="30" fillId="0" borderId="34" xfId="43" applyNumberFormat="1" applyFont="1" applyFill="1" applyBorder="1" applyAlignment="1">
      <alignment horizontal="center"/>
    </xf>
    <xf numFmtId="0" fontId="38" fillId="0" borderId="0" xfId="43" applyFill="1" applyBorder="1"/>
    <xf numFmtId="169" fontId="38" fillId="0" borderId="0" xfId="43" applyNumberFormat="1" applyFill="1" applyBorder="1"/>
    <xf numFmtId="3" fontId="38" fillId="0" borderId="0" xfId="43" applyNumberFormat="1" applyFill="1" applyBorder="1"/>
    <xf numFmtId="49" fontId="76" fillId="0" borderId="25" xfId="43" applyNumberFormat="1" applyFont="1" applyFill="1" applyBorder="1" applyAlignment="1">
      <alignment horizontal="center"/>
    </xf>
    <xf numFmtId="0" fontId="76" fillId="0" borderId="45" xfId="43" applyFont="1" applyFill="1" applyBorder="1" applyAlignment="1">
      <alignment horizontal="left" wrapText="1"/>
    </xf>
    <xf numFmtId="4" fontId="76" fillId="0" borderId="45" xfId="43" applyNumberFormat="1" applyFont="1" applyFill="1" applyBorder="1" applyAlignment="1">
      <alignment horizontal="center" vertical="center" wrapText="1"/>
    </xf>
    <xf numFmtId="4" fontId="76" fillId="0" borderId="19" xfId="43" applyNumberFormat="1" applyFont="1" applyFill="1" applyBorder="1" applyAlignment="1">
      <alignment horizontal="center"/>
    </xf>
    <xf numFmtId="170" fontId="76" fillId="0" borderId="19" xfId="43" applyNumberFormat="1" applyFont="1" applyFill="1" applyBorder="1" applyAlignment="1">
      <alignment horizontal="center"/>
    </xf>
    <xf numFmtId="4" fontId="30" fillId="0" borderId="19" xfId="43" applyNumberFormat="1" applyFont="1" applyFill="1" applyBorder="1" applyAlignment="1">
      <alignment horizontal="center"/>
    </xf>
    <xf numFmtId="3" fontId="76" fillId="0" borderId="19" xfId="43" applyNumberFormat="1" applyFont="1" applyFill="1" applyBorder="1" applyAlignment="1">
      <alignment horizontal="center"/>
    </xf>
    <xf numFmtId="3" fontId="76" fillId="0" borderId="27" xfId="43" applyNumberFormat="1" applyFont="1" applyFill="1" applyBorder="1" applyAlignment="1">
      <alignment horizontal="center"/>
    </xf>
    <xf numFmtId="0" fontId="31" fillId="0" borderId="0" xfId="0" applyFont="1" applyFill="1" applyAlignment="1">
      <alignment horizontal="left"/>
    </xf>
    <xf numFmtId="0" fontId="35" fillId="0" borderId="0" xfId="0" applyFont="1" applyFill="1" applyAlignment="1">
      <alignment horizontal="left"/>
    </xf>
    <xf numFmtId="0" fontId="38" fillId="30" borderId="0" xfId="43" applyFill="1" applyAlignment="1">
      <alignment horizontal="right"/>
    </xf>
    <xf numFmtId="164" fontId="107" fillId="30" borderId="10" xfId="42" applyNumberFormat="1" applyFont="1" applyFill="1" applyBorder="1"/>
    <xf numFmtId="0" fontId="107" fillId="30" borderId="10" xfId="42" applyFont="1" applyFill="1" applyBorder="1"/>
    <xf numFmtId="0" fontId="26" fillId="0" borderId="0" xfId="0" applyFont="1" applyAlignment="1">
      <alignment horizontal="center"/>
    </xf>
    <xf numFmtId="0" fontId="24" fillId="0" borderId="0" xfId="0" applyNumberFormat="1" applyFont="1" applyBorder="1" applyAlignment="1">
      <alignment horizontal="left" vertical="top" wrapText="1"/>
    </xf>
    <xf numFmtId="0" fontId="32" fillId="0" borderId="0" xfId="0" applyNumberFormat="1" applyFont="1" applyBorder="1" applyAlignment="1">
      <alignment horizontal="center"/>
    </xf>
    <xf numFmtId="0" fontId="24" fillId="0" borderId="11" xfId="0" applyNumberFormat="1" applyFont="1" applyBorder="1" applyAlignment="1">
      <alignment horizontal="center" vertical="center" wrapText="1"/>
    </xf>
    <xf numFmtId="0" fontId="24" fillId="0" borderId="10" xfId="0" applyNumberFormat="1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  <xf numFmtId="0" fontId="24" fillId="0" borderId="0" xfId="0" applyNumberFormat="1" applyFont="1" applyBorder="1" applyAlignment="1">
      <alignment horizontal="left" vertical="top"/>
    </xf>
    <xf numFmtId="0" fontId="24" fillId="0" borderId="11" xfId="0" applyFont="1" applyBorder="1" applyAlignment="1">
      <alignment horizontal="center" vertical="center" wrapText="1"/>
    </xf>
    <xf numFmtId="0" fontId="24" fillId="0" borderId="10" xfId="0" applyNumberFormat="1" applyFont="1" applyBorder="1" applyAlignment="1">
      <alignment horizontal="center" vertical="center" wrapText="1"/>
    </xf>
    <xf numFmtId="0" fontId="24" fillId="0" borderId="0" xfId="0" applyNumberFormat="1" applyFont="1" applyBorder="1" applyAlignment="1">
      <alignment horizontal="left" vertical="top"/>
    </xf>
    <xf numFmtId="0" fontId="24" fillId="34" borderId="0" xfId="138" applyFont="1" applyFill="1" applyBorder="1" applyAlignment="1">
      <alignment horizontal="right"/>
    </xf>
    <xf numFmtId="0" fontId="107" fillId="0" borderId="0" xfId="42" applyFont="1" applyFill="1" applyAlignment="1">
      <alignment wrapText="1"/>
    </xf>
    <xf numFmtId="0" fontId="107" fillId="0" borderId="0" xfId="42" applyFont="1" applyFill="1" applyAlignment="1">
      <alignment horizontal="center"/>
    </xf>
    <xf numFmtId="0" fontId="108" fillId="0" borderId="0" xfId="42" applyFont="1" applyFill="1" applyAlignment="1">
      <alignment wrapText="1"/>
    </xf>
    <xf numFmtId="49" fontId="107" fillId="0" borderId="0" xfId="42" applyNumberFormat="1" applyFont="1" applyFill="1"/>
    <xf numFmtId="0" fontId="115" fillId="0" borderId="0" xfId="42" applyFont="1" applyFill="1"/>
    <xf numFmtId="49" fontId="110" fillId="0" borderId="0" xfId="44" applyNumberFormat="1" applyFont="1" applyFill="1" applyBorder="1" applyAlignment="1">
      <alignment horizontal="left"/>
    </xf>
    <xf numFmtId="49" fontId="118" fillId="0" borderId="10" xfId="42" applyNumberFormat="1" applyFont="1" applyFill="1" applyBorder="1" applyAlignment="1">
      <alignment horizontal="center" vertical="top"/>
    </xf>
    <xf numFmtId="0" fontId="118" fillId="0" borderId="10" xfId="42" applyFont="1" applyFill="1" applyBorder="1" applyAlignment="1">
      <alignment horizontal="center" vertical="top" wrapText="1"/>
    </xf>
    <xf numFmtId="0" fontId="118" fillId="0" borderId="0" xfId="42" applyFont="1" applyFill="1"/>
    <xf numFmtId="0" fontId="108" fillId="0" borderId="0" xfId="42" applyFont="1" applyFill="1"/>
    <xf numFmtId="0" fontId="107" fillId="0" borderId="10" xfId="42" applyFont="1" applyFill="1" applyBorder="1" applyAlignment="1">
      <alignment horizontal="left" wrapText="1"/>
    </xf>
    <xf numFmtId="0" fontId="107" fillId="0" borderId="10" xfId="42" applyFont="1" applyFill="1" applyBorder="1" applyAlignment="1">
      <alignment horizontal="center"/>
    </xf>
    <xf numFmtId="0" fontId="108" fillId="0" borderId="10" xfId="42" applyFont="1" applyFill="1" applyBorder="1" applyAlignment="1">
      <alignment horizontal="center"/>
    </xf>
    <xf numFmtId="2" fontId="108" fillId="0" borderId="10" xfId="43" applyNumberFormat="1" applyFont="1" applyFill="1" applyBorder="1" applyAlignment="1">
      <alignment horizontal="center" vertical="center" wrapText="1"/>
    </xf>
    <xf numFmtId="0" fontId="107" fillId="0" borderId="10" xfId="42" applyFont="1" applyFill="1" applyBorder="1" applyAlignment="1">
      <alignment horizontal="left" wrapText="1" indent="2"/>
    </xf>
    <xf numFmtId="16" fontId="107" fillId="0" borderId="10" xfId="42" applyNumberFormat="1" applyFont="1" applyFill="1" applyBorder="1" applyAlignment="1">
      <alignment horizontal="left" wrapText="1"/>
    </xf>
    <xf numFmtId="49" fontId="108" fillId="0" borderId="10" xfId="42" applyNumberFormat="1" applyFont="1" applyFill="1" applyBorder="1" applyAlignment="1">
      <alignment horizontal="center" vertical="center"/>
    </xf>
    <xf numFmtId="14" fontId="107" fillId="0" borderId="10" xfId="42" applyNumberFormat="1" applyFont="1" applyFill="1" applyBorder="1" applyAlignment="1">
      <alignment horizontal="left" wrapText="1" indent="2"/>
    </xf>
    <xf numFmtId="49" fontId="107" fillId="0" borderId="10" xfId="42" applyNumberFormat="1" applyFont="1" applyFill="1" applyBorder="1" applyAlignment="1">
      <alignment horizontal="center"/>
    </xf>
    <xf numFmtId="0" fontId="107" fillId="0" borderId="17" xfId="43" applyFont="1" applyFill="1" applyBorder="1" applyAlignment="1">
      <alignment vertical="center"/>
    </xf>
    <xf numFmtId="2" fontId="107" fillId="0" borderId="10" xfId="43" applyNumberFormat="1" applyFont="1" applyFill="1" applyBorder="1" applyAlignment="1">
      <alignment horizontal="center" vertical="center"/>
    </xf>
    <xf numFmtId="165" fontId="107" fillId="0" borderId="10" xfId="43" applyNumberFormat="1" applyFont="1" applyFill="1" applyBorder="1" applyAlignment="1">
      <alignment horizontal="center" vertical="center"/>
    </xf>
    <xf numFmtId="2" fontId="107" fillId="0" borderId="10" xfId="43" applyNumberFormat="1" applyFont="1" applyFill="1" applyBorder="1" applyAlignment="1">
      <alignment horizontal="center"/>
    </xf>
    <xf numFmtId="0" fontId="107" fillId="0" borderId="10" xfId="43" applyFont="1" applyFill="1" applyBorder="1" applyAlignment="1">
      <alignment horizontal="left" vertical="center"/>
    </xf>
    <xf numFmtId="2" fontId="107" fillId="0" borderId="10" xfId="43" quotePrefix="1" applyNumberFormat="1" applyFont="1" applyFill="1" applyBorder="1" applyAlignment="1">
      <alignment horizontal="center"/>
    </xf>
    <xf numFmtId="0" fontId="107" fillId="0" borderId="10" xfId="43" applyFont="1" applyFill="1" applyBorder="1" applyAlignment="1">
      <alignment horizontal="left"/>
    </xf>
    <xf numFmtId="2" fontId="107" fillId="0" borderId="10" xfId="43" quotePrefix="1" applyNumberFormat="1" applyFont="1" applyFill="1" applyBorder="1" applyAlignment="1">
      <alignment horizontal="center" vertical="center"/>
    </xf>
    <xf numFmtId="49" fontId="107" fillId="0" borderId="0" xfId="42" applyNumberFormat="1" applyFont="1" applyFill="1" applyBorder="1" applyAlignment="1">
      <alignment horizontal="center" vertical="center"/>
    </xf>
    <xf numFmtId="0" fontId="107" fillId="0" borderId="0" xfId="43" applyFont="1" applyFill="1" applyBorder="1" applyAlignment="1">
      <alignment horizontal="left" vertical="center"/>
    </xf>
    <xf numFmtId="0" fontId="107" fillId="0" borderId="0" xfId="42" applyFont="1" applyFill="1" applyBorder="1" applyAlignment="1">
      <alignment horizontal="center"/>
    </xf>
    <xf numFmtId="2" fontId="107" fillId="0" borderId="0" xfId="43" quotePrefix="1" applyNumberFormat="1" applyFont="1" applyFill="1" applyBorder="1" applyAlignment="1">
      <alignment horizontal="center"/>
    </xf>
    <xf numFmtId="0" fontId="119" fillId="0" borderId="0" xfId="42" applyFont="1" applyFill="1" applyAlignment="1">
      <alignment horizontal="center"/>
    </xf>
    <xf numFmtId="0" fontId="119" fillId="0" borderId="0" xfId="42" applyFont="1" applyFill="1"/>
    <xf numFmtId="0" fontId="103" fillId="0" borderId="10" xfId="0" applyNumberFormat="1" applyFont="1" applyFill="1" applyBorder="1" applyAlignment="1">
      <alignment vertical="center" textRotation="90" wrapText="1"/>
    </xf>
    <xf numFmtId="49" fontId="121" fillId="0" borderId="10" xfId="0" applyNumberFormat="1" applyFont="1" applyBorder="1" applyAlignment="1">
      <alignment vertical="center" wrapText="1"/>
    </xf>
    <xf numFmtId="49" fontId="122" fillId="0" borderId="10" xfId="0" applyNumberFormat="1" applyFont="1" applyBorder="1" applyAlignment="1">
      <alignment vertical="center" wrapText="1"/>
    </xf>
    <xf numFmtId="49" fontId="24" fillId="38" borderId="10" xfId="0" applyNumberFormat="1" applyFont="1" applyFill="1" applyBorder="1" applyAlignment="1">
      <alignment vertical="center" wrapText="1"/>
    </xf>
    <xf numFmtId="49" fontId="27" fillId="38" borderId="10" xfId="0" applyNumberFormat="1" applyFont="1" applyFill="1" applyBorder="1" applyAlignment="1">
      <alignment vertical="center"/>
    </xf>
    <xf numFmtId="3" fontId="27" fillId="38" borderId="10" xfId="0" applyNumberFormat="1" applyFont="1" applyFill="1" applyBorder="1" applyAlignment="1">
      <alignment vertical="center"/>
    </xf>
    <xf numFmtId="0" fontId="27" fillId="38" borderId="0" xfId="0" applyFont="1" applyFill="1" applyAlignment="1">
      <alignment horizontal="left" vertical="center"/>
    </xf>
    <xf numFmtId="49" fontId="24" fillId="38" borderId="10" xfId="0" applyNumberFormat="1" applyFont="1" applyFill="1" applyBorder="1" applyAlignment="1">
      <alignment vertical="center"/>
    </xf>
    <xf numFmtId="3" fontId="24" fillId="38" borderId="10" xfId="0" applyNumberFormat="1" applyFont="1" applyFill="1" applyBorder="1" applyAlignment="1">
      <alignment vertical="center"/>
    </xf>
    <xf numFmtId="0" fontId="24" fillId="38" borderId="0" xfId="0" applyFont="1" applyFill="1" applyAlignment="1">
      <alignment horizontal="left" vertical="center"/>
    </xf>
    <xf numFmtId="0" fontId="35" fillId="0" borderId="0" xfId="0" applyFont="1" applyAlignment="1">
      <alignment horizontal="left"/>
    </xf>
    <xf numFmtId="0" fontId="39" fillId="39" borderId="10" xfId="43" applyFont="1" applyFill="1" applyBorder="1" applyAlignment="1">
      <alignment horizontal="center" vertical="center" wrapText="1"/>
    </xf>
    <xf numFmtId="0" fontId="39" fillId="39" borderId="13" xfId="43" applyFont="1" applyFill="1" applyBorder="1" applyAlignment="1">
      <alignment horizontal="center" vertical="center" wrapText="1"/>
    </xf>
    <xf numFmtId="0" fontId="38" fillId="39" borderId="10" xfId="43" applyFill="1" applyBorder="1" applyAlignment="1">
      <alignment horizontal="center" vertical="center"/>
    </xf>
    <xf numFmtId="0" fontId="39" fillId="28" borderId="10" xfId="43" applyFont="1" applyFill="1" applyBorder="1" applyAlignment="1">
      <alignment horizontal="center" vertical="center"/>
    </xf>
    <xf numFmtId="0" fontId="39" fillId="28" borderId="10" xfId="43" applyFont="1" applyFill="1" applyBorder="1" applyAlignment="1">
      <alignment vertical="center"/>
    </xf>
    <xf numFmtId="3" fontId="39" fillId="28" borderId="10" xfId="43" applyNumberFormat="1" applyFont="1" applyFill="1" applyBorder="1"/>
    <xf numFmtId="172" fontId="39" fillId="28" borderId="10" xfId="43" applyNumberFormat="1" applyFont="1" applyFill="1" applyBorder="1"/>
    <xf numFmtId="49" fontId="38" fillId="0" borderId="10" xfId="43" applyNumberFormat="1" applyBorder="1" applyAlignment="1">
      <alignment vertical="center"/>
    </xf>
    <xf numFmtId="0" fontId="38" fillId="39" borderId="10" xfId="43" applyFill="1" applyBorder="1"/>
    <xf numFmtId="172" fontId="38" fillId="0" borderId="10" xfId="43" applyNumberFormat="1" applyBorder="1"/>
    <xf numFmtId="49" fontId="38" fillId="40" borderId="10" xfId="43" applyNumberFormat="1" applyFill="1" applyBorder="1" applyAlignment="1">
      <alignment vertical="center"/>
    </xf>
    <xf numFmtId="0" fontId="38" fillId="40" borderId="10" xfId="43" applyFill="1" applyBorder="1"/>
    <xf numFmtId="3" fontId="38" fillId="40" borderId="10" xfId="43" applyNumberFormat="1" applyFill="1" applyBorder="1"/>
    <xf numFmtId="171" fontId="38" fillId="40" borderId="10" xfId="43" applyNumberFormat="1" applyFill="1" applyBorder="1"/>
    <xf numFmtId="172" fontId="38" fillId="0" borderId="10" xfId="43" applyNumberFormat="1" applyFill="1" applyBorder="1"/>
    <xf numFmtId="3" fontId="38" fillId="39" borderId="10" xfId="43" applyNumberFormat="1" applyFill="1" applyBorder="1"/>
    <xf numFmtId="3" fontId="38" fillId="0" borderId="10" xfId="43" applyNumberFormat="1" applyFill="1" applyBorder="1" applyAlignment="1">
      <alignment horizontal="center" vertical="center"/>
    </xf>
    <xf numFmtId="171" fontId="38" fillId="0" borderId="10" xfId="43" applyNumberFormat="1" applyFill="1" applyBorder="1"/>
    <xf numFmtId="3" fontId="38" fillId="0" borderId="0" xfId="43" applyNumberFormat="1" applyFill="1"/>
    <xf numFmtId="1" fontId="24" fillId="0" borderId="10" xfId="0" applyNumberFormat="1" applyFont="1" applyFill="1" applyBorder="1" applyAlignment="1">
      <alignment vertical="top"/>
    </xf>
    <xf numFmtId="3" fontId="73" fillId="0" borderId="10" xfId="0" applyNumberFormat="1" applyFont="1" applyBorder="1" applyAlignment="1">
      <alignment horizontal="right" vertical="center" wrapText="1"/>
    </xf>
    <xf numFmtId="3" fontId="73" fillId="0" borderId="10" xfId="0" applyNumberFormat="1" applyFont="1" applyFill="1" applyBorder="1" applyAlignment="1">
      <alignment wrapText="1"/>
    </xf>
    <xf numFmtId="0" fontId="35" fillId="0" borderId="0" xfId="0" applyFont="1" applyAlignment="1">
      <alignment horizontal="left"/>
    </xf>
    <xf numFmtId="169" fontId="24" fillId="0" borderId="10" xfId="0" applyNumberFormat="1" applyFont="1" applyBorder="1" applyAlignment="1">
      <alignment vertical="center" wrapText="1"/>
    </xf>
    <xf numFmtId="169" fontId="27" fillId="0" borderId="10" xfId="0" applyNumberFormat="1" applyFont="1" applyBorder="1" applyAlignment="1">
      <alignment vertical="center" wrapText="1"/>
    </xf>
    <xf numFmtId="169" fontId="36" fillId="0" borderId="10" xfId="0" applyNumberFormat="1" applyFont="1" applyFill="1" applyBorder="1" applyAlignment="1">
      <alignment wrapText="1"/>
    </xf>
    <xf numFmtId="164" fontId="24" fillId="0" borderId="10" xfId="0" applyNumberFormat="1" applyFont="1" applyFill="1" applyBorder="1" applyAlignment="1"/>
    <xf numFmtId="0" fontId="35" fillId="0" borderId="0" xfId="0" applyFont="1" applyAlignment="1">
      <alignment horizontal="left"/>
    </xf>
    <xf numFmtId="0" fontId="39" fillId="33" borderId="10" xfId="135" applyFont="1" applyFill="1" applyBorder="1" applyAlignment="1">
      <alignment horizontal="center" vertical="center"/>
    </xf>
    <xf numFmtId="0" fontId="39" fillId="33" borderId="10" xfId="135" applyFont="1" applyFill="1" applyBorder="1" applyAlignment="1">
      <alignment wrapText="1"/>
    </xf>
    <xf numFmtId="164" fontId="39" fillId="33" borderId="10" xfId="135" applyNumberFormat="1" applyFont="1" applyFill="1" applyBorder="1" applyAlignment="1">
      <alignment horizontal="center" vertical="center"/>
    </xf>
    <xf numFmtId="0" fontId="39" fillId="33" borderId="10" xfId="135" applyFont="1" applyFill="1" applyBorder="1" applyAlignment="1">
      <alignment vertical="center"/>
    </xf>
    <xf numFmtId="164" fontId="39" fillId="33" borderId="10" xfId="135" applyNumberFormat="1" applyFont="1" applyFill="1" applyBorder="1" applyAlignment="1">
      <alignment vertical="center"/>
    </xf>
    <xf numFmtId="0" fontId="73" fillId="0" borderId="10" xfId="135" applyFont="1" applyFill="1" applyBorder="1" applyAlignment="1">
      <alignment horizontal="right" wrapText="1"/>
    </xf>
    <xf numFmtId="169" fontId="39" fillId="33" borderId="10" xfId="135" applyNumberFormat="1" applyFont="1" applyFill="1" applyBorder="1" applyAlignment="1">
      <alignment horizontal="center" vertical="center"/>
    </xf>
    <xf numFmtId="0" fontId="73" fillId="0" borderId="10" xfId="135" applyFont="1" applyFill="1" applyBorder="1" applyAlignment="1">
      <alignment vertical="center"/>
    </xf>
    <xf numFmtId="164" fontId="73" fillId="0" borderId="10" xfId="135" applyNumberFormat="1" applyFont="1" applyFill="1" applyBorder="1" applyAlignment="1">
      <alignment vertical="center"/>
    </xf>
    <xf numFmtId="9" fontId="73" fillId="0" borderId="10" xfId="135" applyNumberFormat="1" applyFont="1" applyFill="1" applyBorder="1" applyAlignment="1"/>
    <xf numFmtId="0" fontId="39" fillId="39" borderId="10" xfId="135" applyFont="1" applyFill="1" applyBorder="1" applyAlignment="1">
      <alignment horizontal="center" vertical="center"/>
    </xf>
    <xf numFmtId="0" fontId="39" fillId="39" borderId="10" xfId="135" applyFont="1" applyFill="1" applyBorder="1" applyAlignment="1">
      <alignment vertical="center"/>
    </xf>
    <xf numFmtId="164" fontId="39" fillId="39" borderId="10" xfId="135" applyNumberFormat="1" applyFont="1" applyFill="1" applyBorder="1" applyAlignment="1"/>
    <xf numFmtId="0" fontId="39" fillId="39" borderId="10" xfId="135" applyFont="1" applyFill="1" applyBorder="1" applyAlignment="1"/>
    <xf numFmtId="0" fontId="39" fillId="0" borderId="10" xfId="135" applyFont="1" applyFill="1" applyBorder="1" applyAlignment="1">
      <alignment horizontal="left"/>
    </xf>
    <xf numFmtId="164" fontId="39" fillId="0" borderId="10" xfId="135" applyNumberFormat="1" applyFont="1" applyFill="1" applyBorder="1" applyAlignment="1"/>
    <xf numFmtId="0" fontId="39" fillId="0" borderId="10" xfId="135" applyFont="1" applyFill="1" applyBorder="1" applyAlignment="1"/>
    <xf numFmtId="49" fontId="39" fillId="0" borderId="10" xfId="135" applyNumberFormat="1" applyFont="1" applyFill="1" applyBorder="1" applyAlignment="1">
      <alignment horizontal="center" vertical="center"/>
    </xf>
    <xf numFmtId="0" fontId="124" fillId="0" borderId="10" xfId="135" applyFont="1" applyFill="1" applyBorder="1" applyAlignment="1"/>
    <xf numFmtId="0" fontId="39" fillId="36" borderId="10" xfId="135" applyFont="1" applyFill="1" applyBorder="1" applyAlignment="1">
      <alignment horizontal="center" vertical="center"/>
    </xf>
    <xf numFmtId="0" fontId="39" fillId="36" borderId="10" xfId="135" applyFont="1" applyFill="1" applyBorder="1" applyAlignment="1">
      <alignment vertical="center"/>
    </xf>
    <xf numFmtId="9" fontId="39" fillId="36" borderId="10" xfId="135" applyNumberFormat="1" applyFont="1" applyFill="1" applyBorder="1" applyAlignment="1"/>
    <xf numFmtId="173" fontId="38" fillId="0" borderId="10" xfId="135" applyNumberFormat="1" applyFont="1" applyFill="1" applyBorder="1" applyAlignment="1"/>
    <xf numFmtId="9" fontId="38" fillId="0" borderId="10" xfId="135" applyNumberFormat="1" applyFont="1" applyFill="1" applyBorder="1" applyAlignment="1"/>
    <xf numFmtId="173" fontId="73" fillId="0" borderId="10" xfId="135" applyNumberFormat="1" applyFont="1" applyFill="1" applyBorder="1" applyAlignment="1"/>
    <xf numFmtId="164" fontId="39" fillId="36" borderId="10" xfId="135" applyNumberFormat="1" applyFont="1" applyFill="1" applyBorder="1" applyAlignment="1">
      <alignment horizontal="center" vertical="center"/>
    </xf>
    <xf numFmtId="0" fontId="39" fillId="36" borderId="10" xfId="135" applyFont="1" applyFill="1" applyBorder="1" applyAlignment="1"/>
    <xf numFmtId="169" fontId="39" fillId="0" borderId="10" xfId="135" applyNumberFormat="1" applyFont="1" applyFill="1" applyBorder="1" applyAlignment="1">
      <alignment horizontal="center" vertical="center"/>
    </xf>
    <xf numFmtId="0" fontId="39" fillId="36" borderId="10" xfId="135" applyFont="1" applyFill="1" applyBorder="1" applyAlignment="1">
      <alignment horizontal="left" vertical="center"/>
    </xf>
    <xf numFmtId="164" fontId="39" fillId="36" borderId="10" xfId="135" applyNumberFormat="1" applyFont="1" applyFill="1" applyBorder="1" applyAlignment="1">
      <alignment horizontal="center"/>
    </xf>
    <xf numFmtId="164" fontId="39" fillId="36" borderId="10" xfId="135" applyNumberFormat="1" applyFont="1" applyFill="1" applyBorder="1" applyAlignment="1">
      <alignment horizontal="right"/>
    </xf>
    <xf numFmtId="164" fontId="39" fillId="0" borderId="10" xfId="135" applyNumberFormat="1" applyFont="1" applyFill="1" applyBorder="1" applyAlignment="1">
      <alignment horizontal="center" vertical="center"/>
    </xf>
    <xf numFmtId="49" fontId="39" fillId="36" borderId="10" xfId="135" applyNumberFormat="1" applyFont="1" applyFill="1" applyBorder="1" applyAlignment="1">
      <alignment horizontal="center" vertical="center"/>
    </xf>
    <xf numFmtId="0" fontId="39" fillId="0" borderId="10" xfId="135" applyFont="1" applyFill="1" applyBorder="1" applyAlignment="1">
      <alignment vertical="center"/>
    </xf>
    <xf numFmtId="4" fontId="38" fillId="0" borderId="10" xfId="135" applyNumberFormat="1" applyFont="1" applyFill="1" applyBorder="1" applyAlignment="1"/>
    <xf numFmtId="4" fontId="38" fillId="24" borderId="10" xfId="135" applyNumberFormat="1" applyFont="1" applyFill="1" applyBorder="1" applyAlignment="1"/>
    <xf numFmtId="0" fontId="38" fillId="0" borderId="10" xfId="135" applyFont="1" applyFill="1" applyBorder="1" applyAlignment="1">
      <alignment vertical="center"/>
    </xf>
    <xf numFmtId="0" fontId="38" fillId="0" borderId="10" xfId="135" applyFont="1" applyFill="1" applyBorder="1" applyAlignment="1">
      <alignment horizontal="left" vertical="center"/>
    </xf>
    <xf numFmtId="3" fontId="39" fillId="36" borderId="10" xfId="135" applyNumberFormat="1" applyFont="1" applyFill="1" applyBorder="1" applyAlignment="1"/>
    <xf numFmtId="0" fontId="39" fillId="36" borderId="10" xfId="135" applyFont="1" applyFill="1" applyBorder="1" applyAlignment="1">
      <alignment wrapText="1"/>
    </xf>
    <xf numFmtId="3" fontId="39" fillId="36" borderId="10" xfId="135" applyNumberFormat="1" applyFont="1" applyFill="1" applyBorder="1" applyAlignment="1">
      <alignment vertical="center"/>
    </xf>
    <xf numFmtId="3" fontId="38" fillId="0" borderId="10" xfId="135" applyNumberFormat="1" applyFont="1" applyFill="1" applyBorder="1" applyAlignment="1"/>
    <xf numFmtId="0" fontId="39" fillId="36" borderId="10" xfId="135" applyFont="1" applyFill="1" applyBorder="1" applyAlignment="1">
      <alignment vertical="center" wrapText="1"/>
    </xf>
    <xf numFmtId="170" fontId="73" fillId="0" borderId="10" xfId="135" applyNumberFormat="1" applyFont="1" applyFill="1" applyBorder="1" applyAlignment="1"/>
    <xf numFmtId="170" fontId="38" fillId="0" borderId="10" xfId="135" applyNumberFormat="1" applyFont="1" applyFill="1" applyBorder="1" applyAlignment="1"/>
    <xf numFmtId="0" fontId="39" fillId="0" borderId="10" xfId="135" applyFont="1" applyFill="1" applyBorder="1" applyAlignment="1">
      <alignment horizontal="left" vertical="center"/>
    </xf>
    <xf numFmtId="0" fontId="124" fillId="0" borderId="10" xfId="135" applyFont="1" applyFill="1" applyBorder="1" applyAlignment="1">
      <alignment horizontal="left" vertical="center"/>
    </xf>
    <xf numFmtId="0" fontId="39" fillId="36" borderId="10" xfId="135" applyFont="1" applyFill="1" applyBorder="1" applyAlignment="1">
      <alignment horizontal="left"/>
    </xf>
    <xf numFmtId="0" fontId="36" fillId="0" borderId="0" xfId="135" applyFont="1" applyFill="1" applyAlignment="1">
      <alignment horizontal="left"/>
    </xf>
    <xf numFmtId="0" fontId="39" fillId="0" borderId="0" xfId="135" applyFont="1" applyFill="1" applyAlignment="1"/>
    <xf numFmtId="0" fontId="125" fillId="0" borderId="0" xfId="135" applyFont="1" applyFill="1" applyAlignment="1"/>
    <xf numFmtId="0" fontId="39" fillId="36" borderId="0" xfId="135" applyFont="1" applyFill="1" applyAlignment="1"/>
    <xf numFmtId="1" fontId="73" fillId="0" borderId="0" xfId="135" applyNumberFormat="1" applyFont="1" applyFill="1" applyAlignment="1"/>
    <xf numFmtId="164" fontId="73" fillId="0" borderId="0" xfId="135" applyNumberFormat="1" applyFont="1" applyFill="1" applyAlignment="1"/>
    <xf numFmtId="3" fontId="73" fillId="0" borderId="0" xfId="135" applyNumberFormat="1" applyFont="1" applyFill="1" applyAlignment="1"/>
    <xf numFmtId="4" fontId="81" fillId="0" borderId="0" xfId="43" applyNumberFormat="1" applyFont="1" applyBorder="1" applyAlignment="1">
      <alignment horizontal="center" wrapText="1"/>
    </xf>
    <xf numFmtId="0" fontId="73" fillId="24" borderId="10" xfId="135" applyFont="1" applyFill="1" applyBorder="1" applyAlignment="1"/>
    <xf numFmtId="165" fontId="73" fillId="24" borderId="10" xfId="135" applyNumberFormat="1" applyFont="1" applyFill="1" applyBorder="1" applyAlignment="1"/>
    <xf numFmtId="3" fontId="73" fillId="0" borderId="10" xfId="45" applyNumberFormat="1" applyFont="1" applyFill="1" applyBorder="1" applyAlignment="1">
      <alignment horizontal="center"/>
    </xf>
    <xf numFmtId="4" fontId="73" fillId="0" borderId="10" xfId="45" applyNumberFormat="1" applyFont="1" applyFill="1" applyBorder="1" applyAlignment="1">
      <alignment horizontal="center" wrapText="1"/>
    </xf>
    <xf numFmtId="0" fontId="38" fillId="24" borderId="10" xfId="135" applyFont="1" applyFill="1" applyBorder="1" applyAlignment="1"/>
    <xf numFmtId="164" fontId="39" fillId="0" borderId="10" xfId="135" applyNumberFormat="1" applyFont="1" applyFill="1" applyBorder="1" applyAlignment="1">
      <alignment vertical="center"/>
    </xf>
    <xf numFmtId="0" fontId="77" fillId="0" borderId="25" xfId="45" applyFont="1" applyFill="1" applyBorder="1" applyAlignment="1">
      <alignment horizontal="left" vertical="center"/>
    </xf>
    <xf numFmtId="0" fontId="77" fillId="0" borderId="19" xfId="45" applyFont="1" applyFill="1" applyBorder="1" applyAlignment="1"/>
    <xf numFmtId="164" fontId="73" fillId="0" borderId="19" xfId="45" applyNumberFormat="1" applyFont="1" applyFill="1" applyBorder="1" applyAlignment="1">
      <alignment horizontal="center"/>
    </xf>
    <xf numFmtId="4" fontId="73" fillId="0" borderId="19" xfId="45" applyNumberFormat="1" applyFont="1" applyFill="1" applyBorder="1" applyAlignment="1">
      <alignment horizontal="center"/>
    </xf>
    <xf numFmtId="3" fontId="73" fillId="0" borderId="19" xfId="45" applyNumberFormat="1" applyFont="1" applyFill="1" applyBorder="1" applyAlignment="1">
      <alignment horizontal="center"/>
    </xf>
    <xf numFmtId="0" fontId="77" fillId="0" borderId="10" xfId="45" applyFont="1" applyFill="1" applyBorder="1" applyAlignment="1"/>
    <xf numFmtId="164" fontId="77" fillId="0" borderId="19" xfId="45" applyNumberFormat="1" applyFont="1" applyFill="1" applyBorder="1" applyAlignment="1">
      <alignment horizontal="center"/>
    </xf>
    <xf numFmtId="4" fontId="77" fillId="0" borderId="19" xfId="45" applyNumberFormat="1" applyFont="1" applyFill="1" applyBorder="1" applyAlignment="1">
      <alignment horizontal="center"/>
    </xf>
    <xf numFmtId="3" fontId="77" fillId="0" borderId="19" xfId="45" applyNumberFormat="1" applyFont="1" applyFill="1" applyBorder="1" applyAlignment="1">
      <alignment horizontal="center"/>
    </xf>
    <xf numFmtId="0" fontId="77" fillId="0" borderId="28" xfId="45" applyFont="1" applyFill="1" applyBorder="1" applyAlignment="1">
      <alignment horizontal="left" vertical="center"/>
    </xf>
    <xf numFmtId="164" fontId="39" fillId="0" borderId="10" xfId="45" applyNumberFormat="1" applyFont="1" applyFill="1" applyBorder="1" applyAlignment="1">
      <alignment horizontal="center" vertical="center"/>
    </xf>
    <xf numFmtId="170" fontId="39" fillId="0" borderId="10" xfId="45" applyNumberFormat="1" applyFont="1" applyFill="1" applyBorder="1" applyAlignment="1">
      <alignment horizontal="center" vertical="center"/>
    </xf>
    <xf numFmtId="3" fontId="39" fillId="0" borderId="10" xfId="45" applyNumberFormat="1" applyFont="1" applyFill="1" applyBorder="1" applyAlignment="1">
      <alignment horizontal="center" vertical="center"/>
    </xf>
    <xf numFmtId="169" fontId="38" fillId="0" borderId="19" xfId="136" applyNumberFormat="1" applyFont="1" applyFill="1" applyBorder="1" applyAlignment="1">
      <alignment horizontal="center" wrapText="1"/>
    </xf>
    <xf numFmtId="4" fontId="38" fillId="0" borderId="19" xfId="136" applyNumberFormat="1" applyFont="1" applyFill="1" applyBorder="1" applyAlignment="1">
      <alignment horizontal="center" wrapText="1"/>
    </xf>
    <xf numFmtId="169" fontId="38" fillId="0" borderId="19" xfId="45" applyNumberFormat="1" applyFont="1" applyFill="1" applyBorder="1" applyAlignment="1">
      <alignment horizontal="center"/>
    </xf>
    <xf numFmtId="0" fontId="39" fillId="0" borderId="30" xfId="45" applyFont="1" applyFill="1" applyBorder="1" applyAlignment="1"/>
    <xf numFmtId="0" fontId="39" fillId="0" borderId="31" xfId="45" applyFont="1" applyFill="1" applyBorder="1" applyAlignment="1"/>
    <xf numFmtId="164" fontId="77" fillId="0" borderId="31" xfId="45" applyNumberFormat="1" applyFont="1" applyFill="1" applyBorder="1" applyAlignment="1">
      <alignment horizontal="center" vertical="center"/>
    </xf>
    <xf numFmtId="170" fontId="77" fillId="0" borderId="31" xfId="45" applyNumberFormat="1" applyFont="1" applyFill="1" applyBorder="1" applyAlignment="1">
      <alignment horizontal="center" vertical="center"/>
    </xf>
    <xf numFmtId="3" fontId="77" fillId="0" borderId="31" xfId="45" applyNumberFormat="1" applyFont="1" applyFill="1" applyBorder="1" applyAlignment="1">
      <alignment horizontal="center" vertical="center"/>
    </xf>
    <xf numFmtId="4" fontId="77" fillId="0" borderId="31" xfId="45" applyNumberFormat="1" applyFont="1" applyFill="1" applyBorder="1" applyAlignment="1">
      <alignment horizontal="center" vertical="center"/>
    </xf>
    <xf numFmtId="169" fontId="38" fillId="28" borderId="19" xfId="136" applyNumberFormat="1" applyFont="1" applyFill="1" applyBorder="1" applyAlignment="1">
      <alignment horizontal="center" wrapText="1"/>
    </xf>
    <xf numFmtId="3" fontId="38" fillId="28" borderId="19" xfId="136" applyNumberFormat="1" applyFont="1" applyFill="1" applyBorder="1" applyAlignment="1">
      <alignment horizontal="center" wrapText="1"/>
    </xf>
    <xf numFmtId="0" fontId="38" fillId="0" borderId="19" xfId="45" applyNumberFormat="1" applyFont="1" applyFill="1" applyBorder="1" applyAlignment="1">
      <alignment horizontal="center"/>
    </xf>
    <xf numFmtId="164" fontId="38" fillId="28" borderId="19" xfId="45" applyNumberFormat="1" applyFont="1" applyFill="1" applyBorder="1" applyAlignment="1">
      <alignment horizontal="center"/>
    </xf>
    <xf numFmtId="49" fontId="38" fillId="0" borderId="10" xfId="135" applyNumberFormat="1" applyFont="1" applyFill="1" applyBorder="1" applyAlignment="1"/>
    <xf numFmtId="165" fontId="38" fillId="24" borderId="10" xfId="135" applyNumberFormat="1" applyFont="1" applyFill="1" applyBorder="1" applyAlignment="1"/>
    <xf numFmtId="164" fontId="38" fillId="0" borderId="10" xfId="135" applyNumberFormat="1" applyFont="1" applyFill="1" applyBorder="1" applyAlignment="1">
      <alignment vertical="center"/>
    </xf>
    <xf numFmtId="0" fontId="38" fillId="35" borderId="10" xfId="135" applyFont="1" applyFill="1" applyBorder="1" applyAlignment="1">
      <alignment horizontal="center" vertical="center"/>
    </xf>
    <xf numFmtId="0" fontId="73" fillId="35" borderId="10" xfId="135" applyFont="1" applyFill="1" applyBorder="1" applyAlignment="1">
      <alignment wrapText="1"/>
    </xf>
    <xf numFmtId="169" fontId="73" fillId="35" borderId="10" xfId="135" applyNumberFormat="1" applyFont="1" applyFill="1" applyBorder="1" applyAlignment="1">
      <alignment horizontal="center" vertical="center"/>
    </xf>
    <xf numFmtId="0" fontId="73" fillId="35" borderId="10" xfId="135" applyFont="1" applyFill="1" applyBorder="1" applyAlignment="1"/>
    <xf numFmtId="0" fontId="73" fillId="35" borderId="0" xfId="135" applyFont="1" applyFill="1" applyAlignment="1"/>
    <xf numFmtId="0" fontId="39" fillId="35" borderId="10" xfId="135" applyFont="1" applyFill="1" applyBorder="1" applyAlignment="1">
      <alignment horizontal="center" vertical="center"/>
    </xf>
    <xf numFmtId="0" fontId="39" fillId="35" borderId="10" xfId="135" applyFont="1" applyFill="1" applyBorder="1" applyAlignment="1">
      <alignment wrapText="1"/>
    </xf>
    <xf numFmtId="164" fontId="39" fillId="35" borderId="10" xfId="135" applyNumberFormat="1" applyFont="1" applyFill="1" applyBorder="1" applyAlignment="1">
      <alignment horizontal="center" vertical="center"/>
    </xf>
    <xf numFmtId="0" fontId="39" fillId="35" borderId="10" xfId="135" applyFont="1" applyFill="1" applyBorder="1" applyAlignment="1">
      <alignment vertical="center"/>
    </xf>
    <xf numFmtId="164" fontId="39" fillId="35" borderId="10" xfId="135" applyNumberFormat="1" applyFont="1" applyFill="1" applyBorder="1" applyAlignment="1">
      <alignment vertical="center"/>
    </xf>
    <xf numFmtId="0" fontId="39" fillId="35" borderId="0" xfId="135" applyFont="1" applyFill="1" applyAlignment="1"/>
    <xf numFmtId="0" fontId="38" fillId="35" borderId="0" xfId="135" applyFont="1" applyFill="1" applyAlignment="1"/>
    <xf numFmtId="0" fontId="38" fillId="33" borderId="10" xfId="135" applyFont="1" applyFill="1" applyBorder="1" applyAlignment="1">
      <alignment horizontal="center" vertical="center"/>
    </xf>
    <xf numFmtId="0" fontId="38" fillId="33" borderId="10" xfId="135" applyFont="1" applyFill="1" applyBorder="1" applyAlignment="1"/>
    <xf numFmtId="0" fontId="73" fillId="33" borderId="10" xfId="135" applyFont="1" applyFill="1" applyBorder="1" applyAlignment="1">
      <alignment horizontal="center" vertical="center"/>
    </xf>
    <xf numFmtId="0" fontId="73" fillId="33" borderId="10" xfId="135" applyFont="1" applyFill="1" applyBorder="1" applyAlignment="1"/>
    <xf numFmtId="0" fontId="38" fillId="33" borderId="0" xfId="135" applyFont="1" applyFill="1" applyAlignment="1"/>
    <xf numFmtId="0" fontId="38" fillId="33" borderId="10" xfId="135" applyFont="1" applyFill="1" applyBorder="1" applyAlignment="1">
      <alignment wrapText="1"/>
    </xf>
    <xf numFmtId="165" fontId="38" fillId="33" borderId="10" xfId="135" applyNumberFormat="1" applyFont="1" applyFill="1" applyBorder="1" applyAlignment="1"/>
    <xf numFmtId="164" fontId="73" fillId="35" borderId="10" xfId="135" applyNumberFormat="1" applyFont="1" applyFill="1" applyBorder="1" applyAlignment="1">
      <alignment horizontal="center" vertical="center"/>
    </xf>
    <xf numFmtId="165" fontId="73" fillId="35" borderId="10" xfId="135" applyNumberFormat="1" applyFont="1" applyFill="1" applyBorder="1" applyAlignment="1"/>
    <xf numFmtId="169" fontId="39" fillId="35" borderId="10" xfId="135" applyNumberFormat="1" applyFont="1" applyFill="1" applyBorder="1" applyAlignment="1">
      <alignment horizontal="center" vertical="center"/>
    </xf>
    <xf numFmtId="0" fontId="125" fillId="35" borderId="0" xfId="135" applyFont="1" applyFill="1" applyAlignment="1"/>
    <xf numFmtId="0" fontId="35" fillId="0" borderId="0" xfId="0" applyFont="1" applyAlignment="1">
      <alignment horizontal="left"/>
    </xf>
    <xf numFmtId="4" fontId="39" fillId="36" borderId="10" xfId="135" applyNumberFormat="1" applyFont="1" applyFill="1" applyBorder="1" applyAlignment="1">
      <alignment horizontal="right"/>
    </xf>
    <xf numFmtId="4" fontId="38" fillId="0" borderId="10" xfId="135" applyNumberFormat="1" applyFont="1" applyFill="1" applyBorder="1" applyAlignment="1">
      <alignment horizontal="right"/>
    </xf>
    <xf numFmtId="164" fontId="107" fillId="30" borderId="10" xfId="108" applyNumberFormat="1" applyFont="1" applyFill="1" applyBorder="1"/>
    <xf numFmtId="1" fontId="107" fillId="30" borderId="10" xfId="108" applyNumberFormat="1" applyFont="1" applyFill="1" applyBorder="1"/>
    <xf numFmtId="0" fontId="76" fillId="0" borderId="10" xfId="0" applyFont="1" applyBorder="1" applyAlignment="1">
      <alignment horizontal="center"/>
    </xf>
    <xf numFmtId="0" fontId="76" fillId="0" borderId="10" xfId="0" applyFont="1" applyBorder="1" applyAlignment="1">
      <alignment vertical="center" wrapText="1"/>
    </xf>
    <xf numFmtId="0" fontId="30" fillId="0" borderId="10" xfId="0" applyFont="1" applyBorder="1" applyAlignment="1">
      <alignment horizontal="center"/>
    </xf>
    <xf numFmtId="0" fontId="30" fillId="0" borderId="10" xfId="0" applyFont="1" applyBorder="1" applyAlignment="1">
      <alignment wrapText="1"/>
    </xf>
    <xf numFmtId="14" fontId="30" fillId="0" borderId="10" xfId="0" applyNumberFormat="1" applyFont="1" applyBorder="1" applyAlignment="1">
      <alignment horizontal="center"/>
    </xf>
    <xf numFmtId="0" fontId="30" fillId="0" borderId="10" xfId="0" applyFont="1" applyBorder="1" applyAlignment="1">
      <alignment vertical="center" wrapText="1"/>
    </xf>
    <xf numFmtId="0" fontId="127" fillId="0" borderId="10" xfId="0" applyFont="1" applyBorder="1" applyAlignment="1">
      <alignment vertical="center" wrapText="1"/>
    </xf>
    <xf numFmtId="14" fontId="127" fillId="0" borderId="10" xfId="0" applyNumberFormat="1" applyFont="1" applyBorder="1" applyAlignment="1">
      <alignment horizontal="center"/>
    </xf>
    <xf numFmtId="0" fontId="127" fillId="0" borderId="10" xfId="0" applyFont="1" applyBorder="1" applyAlignment="1">
      <alignment wrapText="1"/>
    </xf>
    <xf numFmtId="3" fontId="76" fillId="0" borderId="10" xfId="0" applyNumberFormat="1" applyFont="1" applyFill="1" applyBorder="1"/>
    <xf numFmtId="0" fontId="24" fillId="0" borderId="0" xfId="0" applyFont="1" applyBorder="1" applyAlignment="1">
      <alignment horizontal="center" vertical="center" wrapText="1"/>
    </xf>
    <xf numFmtId="0" fontId="24" fillId="0" borderId="0" xfId="0" applyFont="1" applyBorder="1" applyAlignment="1">
      <alignment horizontal="center" vertical="top"/>
    </xf>
    <xf numFmtId="3" fontId="24" fillId="0" borderId="0" xfId="0" applyNumberFormat="1" applyFont="1" applyBorder="1" applyAlignment="1">
      <alignment vertical="center"/>
    </xf>
    <xf numFmtId="3" fontId="30" fillId="0" borderId="10" xfId="0" applyNumberFormat="1" applyFont="1" applyFill="1" applyBorder="1" applyAlignment="1">
      <alignment vertical="center"/>
    </xf>
    <xf numFmtId="3" fontId="121" fillId="0" borderId="10" xfId="0" applyNumberFormat="1" applyFont="1" applyBorder="1" applyAlignment="1">
      <alignment vertical="center"/>
    </xf>
    <xf numFmtId="3" fontId="121" fillId="0" borderId="10" xfId="0" applyNumberFormat="1" applyFont="1" applyFill="1" applyBorder="1" applyAlignment="1">
      <alignment vertical="center"/>
    </xf>
    <xf numFmtId="3" fontId="30" fillId="0" borderId="10" xfId="0" applyNumberFormat="1" applyFont="1" applyBorder="1" applyAlignment="1">
      <alignment vertical="center"/>
    </xf>
    <xf numFmtId="3" fontId="24" fillId="24" borderId="0" xfId="0" applyNumberFormat="1" applyFont="1" applyFill="1" applyBorder="1" applyAlignment="1">
      <alignment vertical="center"/>
    </xf>
    <xf numFmtId="49" fontId="27" fillId="0" borderId="10" xfId="0" applyNumberFormat="1" applyFont="1" applyBorder="1" applyAlignment="1">
      <alignment vertical="center" wrapText="1"/>
    </xf>
    <xf numFmtId="0" fontId="30" fillId="0" borderId="10" xfId="43" applyFont="1" applyFill="1" applyBorder="1" applyAlignment="1">
      <alignment horizontal="center" vertical="center" wrapText="1"/>
    </xf>
    <xf numFmtId="49" fontId="30" fillId="0" borderId="10" xfId="43" applyNumberFormat="1" applyFont="1" applyFill="1" applyBorder="1" applyAlignment="1">
      <alignment horizontal="center"/>
    </xf>
    <xf numFmtId="0" fontId="38" fillId="0" borderId="10" xfId="43" applyFill="1" applyBorder="1" applyAlignment="1">
      <alignment horizontal="center"/>
    </xf>
    <xf numFmtId="0" fontId="35" fillId="0" borderId="0" xfId="0" applyFont="1" applyAlignment="1">
      <alignment horizontal="left"/>
    </xf>
    <xf numFmtId="0" fontId="76" fillId="0" borderId="10" xfId="0" applyFont="1" applyFill="1" applyBorder="1" applyAlignment="1">
      <alignment horizontal="center"/>
    </xf>
    <xf numFmtId="0" fontId="76" fillId="0" borderId="10" xfId="0" applyFont="1" applyFill="1" applyBorder="1" applyAlignment="1">
      <alignment vertical="center" wrapText="1"/>
    </xf>
    <xf numFmtId="3" fontId="24" fillId="0" borderId="0" xfId="0" applyNumberFormat="1" applyFont="1" applyFill="1" applyBorder="1" applyAlignment="1">
      <alignment vertical="center"/>
    </xf>
    <xf numFmtId="0" fontId="24" fillId="0" borderId="0" xfId="0" applyFont="1" applyFill="1" applyAlignment="1">
      <alignment horizontal="left"/>
    </xf>
    <xf numFmtId="14" fontId="30" fillId="0" borderId="10" xfId="0" applyNumberFormat="1" applyFont="1" applyFill="1" applyBorder="1" applyAlignment="1">
      <alignment horizontal="center"/>
    </xf>
    <xf numFmtId="0" fontId="30" fillId="0" borderId="10" xfId="0" applyFont="1" applyFill="1" applyBorder="1" applyAlignment="1">
      <alignment vertical="center" wrapText="1"/>
    </xf>
    <xf numFmtId="3" fontId="122" fillId="0" borderId="10" xfId="0" applyNumberFormat="1" applyFont="1" applyBorder="1" applyAlignment="1">
      <alignment vertical="center"/>
    </xf>
    <xf numFmtId="169" fontId="38" fillId="0" borderId="10" xfId="43" applyNumberFormat="1" applyFill="1" applyBorder="1"/>
    <xf numFmtId="0" fontId="128" fillId="0" borderId="0" xfId="43" applyFont="1" applyFill="1"/>
    <xf numFmtId="0" fontId="26" fillId="0" borderId="0" xfId="0" applyFont="1" applyAlignment="1">
      <alignment horizontal="center"/>
    </xf>
    <xf numFmtId="0" fontId="24" fillId="0" borderId="0" xfId="0" applyNumberFormat="1" applyFont="1" applyBorder="1" applyAlignment="1">
      <alignment horizontal="left" vertical="top" wrapText="1"/>
    </xf>
    <xf numFmtId="0" fontId="24" fillId="0" borderId="10" xfId="0" applyNumberFormat="1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  <xf numFmtId="0" fontId="24" fillId="0" borderId="0" xfId="0" applyNumberFormat="1" applyFont="1" applyBorder="1" applyAlignment="1">
      <alignment horizontal="left" vertical="top"/>
    </xf>
    <xf numFmtId="0" fontId="128" fillId="0" borderId="10" xfId="43" applyFont="1" applyFill="1" applyBorder="1"/>
    <xf numFmtId="3" fontId="128" fillId="0" borderId="10" xfId="43" applyNumberFormat="1" applyFont="1" applyFill="1" applyBorder="1"/>
    <xf numFmtId="169" fontId="132" fillId="0" borderId="0" xfId="43" applyNumberFormat="1" applyFont="1" applyFill="1"/>
    <xf numFmtId="0" fontId="132" fillId="0" borderId="0" xfId="43" applyFont="1" applyFill="1"/>
    <xf numFmtId="3" fontId="132" fillId="0" borderId="0" xfId="43" applyNumberFormat="1" applyFont="1" applyFill="1"/>
    <xf numFmtId="164" fontId="38" fillId="33" borderId="0" xfId="43" applyNumberFormat="1" applyFill="1"/>
    <xf numFmtId="0" fontId="116" fillId="0" borderId="16" xfId="43" applyFont="1" applyFill="1" applyBorder="1"/>
    <xf numFmtId="0" fontId="38" fillId="0" borderId="0" xfId="43" applyFill="1" applyBorder="1" applyAlignment="1">
      <alignment horizontal="center"/>
    </xf>
    <xf numFmtId="0" fontId="30" fillId="0" borderId="16" xfId="43" applyFont="1" applyFill="1" applyBorder="1" applyAlignment="1">
      <alignment horizontal="left" wrapText="1"/>
    </xf>
    <xf numFmtId="164" fontId="38" fillId="0" borderId="0" xfId="43" applyNumberFormat="1" applyFill="1" applyBorder="1"/>
    <xf numFmtId="0" fontId="30" fillId="0" borderId="16" xfId="43" applyFont="1" applyBorder="1" applyAlignment="1">
      <alignment horizontal="left" wrapText="1"/>
    </xf>
    <xf numFmtId="169" fontId="132" fillId="0" borderId="0" xfId="43" applyNumberFormat="1" applyFont="1" applyFill="1" applyBorder="1"/>
    <xf numFmtId="0" fontId="132" fillId="0" borderId="0" xfId="43" applyFont="1" applyFill="1" applyBorder="1"/>
    <xf numFmtId="0" fontId="38" fillId="0" borderId="16" xfId="43" applyFill="1" applyBorder="1" applyAlignment="1">
      <alignment horizontal="right"/>
    </xf>
    <xf numFmtId="3" fontId="132" fillId="0" borderId="0" xfId="43" applyNumberFormat="1" applyFont="1" applyFill="1" applyBorder="1"/>
    <xf numFmtId="0" fontId="128" fillId="0" borderId="0" xfId="43" applyFont="1" applyFill="1" applyBorder="1"/>
    <xf numFmtId="3" fontId="128" fillId="0" borderId="0" xfId="43" applyNumberFormat="1" applyFont="1" applyFill="1" applyBorder="1"/>
    <xf numFmtId="164" fontId="38" fillId="33" borderId="0" xfId="43" applyNumberFormat="1" applyFill="1" applyBorder="1"/>
    <xf numFmtId="49" fontId="30" fillId="0" borderId="0" xfId="43" applyNumberFormat="1" applyFont="1" applyFill="1" applyBorder="1" applyAlignment="1">
      <alignment horizontal="left" wrapText="1"/>
    </xf>
    <xf numFmtId="49" fontId="30" fillId="32" borderId="0" xfId="43" applyNumberFormat="1" applyFont="1" applyFill="1" applyBorder="1" applyAlignment="1">
      <alignment horizontal="left" wrapText="1"/>
    </xf>
    <xf numFmtId="0" fontId="38" fillId="33" borderId="0" xfId="43" applyFill="1" applyBorder="1"/>
    <xf numFmtId="49" fontId="30" fillId="0" borderId="16" xfId="43" applyNumberFormat="1" applyFont="1" applyFill="1" applyBorder="1" applyAlignment="1">
      <alignment horizontal="left" wrapText="1"/>
    </xf>
    <xf numFmtId="49" fontId="38" fillId="0" borderId="10" xfId="43" applyNumberFormat="1" applyFill="1" applyBorder="1" applyAlignment="1">
      <alignment vertical="center"/>
    </xf>
    <xf numFmtId="0" fontId="123" fillId="0" borderId="10" xfId="43" applyFont="1" applyFill="1" applyBorder="1" applyAlignment="1">
      <alignment horizontal="right"/>
    </xf>
    <xf numFmtId="3" fontId="123" fillId="0" borderId="10" xfId="43" applyNumberFormat="1" applyFont="1" applyFill="1" applyBorder="1" applyAlignment="1">
      <alignment horizontal="right"/>
    </xf>
    <xf numFmtId="0" fontId="38" fillId="0" borderId="10" xfId="43" applyBorder="1" applyAlignment="1">
      <alignment wrapText="1"/>
    </xf>
    <xf numFmtId="3" fontId="38" fillId="0" borderId="10" xfId="43" applyNumberFormat="1" applyFont="1" applyFill="1" applyBorder="1"/>
    <xf numFmtId="169" fontId="38" fillId="0" borderId="10" xfId="43" applyNumberFormat="1" applyFont="1" applyFill="1" applyBorder="1"/>
    <xf numFmtId="3" fontId="123" fillId="0" borderId="10" xfId="43" applyNumberFormat="1" applyFont="1" applyFill="1" applyBorder="1" applyAlignment="1">
      <alignment horizontal="right" wrapText="1"/>
    </xf>
    <xf numFmtId="0" fontId="24" fillId="0" borderId="0" xfId="0" applyNumberFormat="1" applyFont="1" applyBorder="1" applyAlignment="1">
      <alignment horizontal="left" vertical="top" wrapText="1"/>
    </xf>
    <xf numFmtId="0" fontId="24" fillId="0" borderId="0" xfId="0" applyNumberFormat="1" applyFont="1" applyBorder="1" applyAlignment="1">
      <alignment horizontal="left" vertical="top"/>
    </xf>
    <xf numFmtId="3" fontId="24" fillId="24" borderId="10" xfId="0" applyNumberFormat="1" applyFont="1" applyFill="1" applyBorder="1" applyAlignment="1">
      <alignment vertical="top"/>
    </xf>
    <xf numFmtId="3" fontId="24" fillId="32" borderId="10" xfId="0" applyNumberFormat="1" applyFont="1" applyFill="1" applyBorder="1" applyAlignment="1">
      <alignment vertical="top"/>
    </xf>
    <xf numFmtId="49" fontId="24" fillId="32" borderId="10" xfId="0" applyNumberFormat="1" applyFont="1" applyFill="1" applyBorder="1" applyAlignment="1">
      <alignment vertical="top" wrapText="1"/>
    </xf>
    <xf numFmtId="49" fontId="27" fillId="0" borderId="10" xfId="0" applyNumberFormat="1" applyFont="1" applyBorder="1" applyAlignment="1">
      <alignment vertical="top" wrapText="1"/>
    </xf>
    <xf numFmtId="3" fontId="27" fillId="0" borderId="10" xfId="0" applyNumberFormat="1" applyFont="1" applyBorder="1" applyAlignment="1">
      <alignment vertical="top"/>
    </xf>
    <xf numFmtId="0" fontId="27" fillId="0" borderId="0" xfId="0" applyNumberFormat="1" applyFont="1" applyAlignment="1">
      <alignment horizontal="left" vertical="top"/>
    </xf>
    <xf numFmtId="0" fontId="0" fillId="0" borderId="0" xfId="0" applyAlignment="1">
      <alignment vertical="top" wrapText="1"/>
    </xf>
    <xf numFmtId="0" fontId="133" fillId="0" borderId="0" xfId="0" applyFont="1" applyAlignment="1">
      <alignment horizontal="left"/>
    </xf>
    <xf numFmtId="0" fontId="134" fillId="0" borderId="0" xfId="0" applyFont="1" applyAlignment="1">
      <alignment horizontal="left"/>
    </xf>
    <xf numFmtId="3" fontId="24" fillId="24" borderId="10" xfId="0" applyNumberFormat="1" applyFont="1" applyFill="1" applyBorder="1" applyAlignment="1">
      <alignment horizontal="right" vertical="top" wrapText="1"/>
    </xf>
    <xf numFmtId="0" fontId="24" fillId="0" borderId="10" xfId="0" applyNumberFormat="1" applyFont="1" applyBorder="1" applyAlignment="1">
      <alignment horizontal="center" vertical="top" wrapText="1"/>
    </xf>
    <xf numFmtId="9" fontId="24" fillId="0" borderId="10" xfId="0" applyNumberFormat="1" applyFont="1" applyBorder="1" applyAlignment="1">
      <alignment vertical="top"/>
    </xf>
    <xf numFmtId="49" fontId="24" fillId="0" borderId="10" xfId="0" applyNumberFormat="1" applyFont="1" applyBorder="1" applyAlignment="1">
      <alignment horizontal="center" vertical="center" wrapText="1"/>
    </xf>
    <xf numFmtId="3" fontId="24" fillId="0" borderId="10" xfId="0" applyNumberFormat="1" applyFont="1" applyBorder="1" applyAlignment="1">
      <alignment vertical="top" wrapText="1"/>
    </xf>
    <xf numFmtId="0" fontId="24" fillId="0" borderId="0" xfId="0" applyNumberFormat="1" applyFont="1" applyBorder="1" applyAlignment="1">
      <alignment horizontal="justify" vertical="top" wrapText="1"/>
    </xf>
    <xf numFmtId="0" fontId="24" fillId="0" borderId="0" xfId="0" applyNumberFormat="1" applyFont="1" applyAlignment="1">
      <alignment horizontal="left" vertical="center"/>
    </xf>
    <xf numFmtId="3" fontId="24" fillId="24" borderId="10" xfId="0" applyNumberFormat="1" applyFont="1" applyFill="1" applyBorder="1" applyAlignment="1">
      <alignment vertical="top" wrapText="1"/>
    </xf>
    <xf numFmtId="0" fontId="24" fillId="0" borderId="10" xfId="0" applyNumberFormat="1" applyFont="1" applyFill="1" applyBorder="1" applyAlignment="1">
      <alignment horizontal="center" vertical="center" wrapText="1"/>
    </xf>
    <xf numFmtId="3" fontId="24" fillId="0" borderId="10" xfId="0" applyNumberFormat="1" applyFont="1" applyBorder="1" applyAlignment="1">
      <alignment vertical="center" wrapText="1"/>
    </xf>
    <xf numFmtId="49" fontId="24" fillId="32" borderId="10" xfId="0" applyNumberFormat="1" applyFont="1" applyFill="1" applyBorder="1" applyAlignment="1">
      <alignment vertical="top"/>
    </xf>
    <xf numFmtId="0" fontId="24" fillId="32" borderId="0" xfId="0" applyNumberFormat="1" applyFont="1" applyFill="1" applyAlignment="1">
      <alignment horizontal="left" vertical="top"/>
    </xf>
    <xf numFmtId="3" fontId="24" fillId="0" borderId="10" xfId="0" applyNumberFormat="1" applyFont="1" applyBorder="1" applyAlignment="1">
      <alignment horizontal="right" vertical="center" wrapText="1"/>
    </xf>
    <xf numFmtId="3" fontId="27" fillId="0" borderId="10" xfId="0" applyNumberFormat="1" applyFont="1" applyBorder="1" applyAlignment="1">
      <alignment horizontal="right" vertical="center" wrapText="1"/>
    </xf>
    <xf numFmtId="0" fontId="26" fillId="0" borderId="0" xfId="0" applyNumberFormat="1" applyFont="1" applyBorder="1" applyAlignment="1">
      <alignment horizontal="center" wrapText="1"/>
    </xf>
    <xf numFmtId="49" fontId="24" fillId="0" borderId="10" xfId="0" applyNumberFormat="1" applyFont="1" applyFill="1" applyBorder="1" applyAlignment="1">
      <alignment vertical="top"/>
    </xf>
    <xf numFmtId="0" fontId="24" fillId="0" borderId="10" xfId="0" applyNumberFormat="1" applyFont="1" applyFill="1" applyBorder="1" applyAlignment="1">
      <alignment vertical="top" wrapText="1"/>
    </xf>
    <xf numFmtId="3" fontId="24" fillId="0" borderId="10" xfId="0" applyNumberFormat="1" applyFont="1" applyFill="1" applyBorder="1" applyAlignment="1">
      <alignment horizontal="center" vertical="top" wrapText="1"/>
    </xf>
    <xf numFmtId="0" fontId="24" fillId="0" borderId="0" xfId="0" applyNumberFormat="1" applyFont="1" applyFill="1" applyAlignment="1">
      <alignment horizontal="left" vertical="top"/>
    </xf>
    <xf numFmtId="49" fontId="24" fillId="0" borderId="10" xfId="0" applyNumberFormat="1" applyFont="1" applyFill="1" applyBorder="1" applyAlignment="1">
      <alignment vertical="top" wrapText="1"/>
    </xf>
    <xf numFmtId="3" fontId="24" fillId="0" borderId="10" xfId="0" applyNumberFormat="1" applyFont="1" applyFill="1" applyBorder="1" applyAlignment="1">
      <alignment vertical="top" wrapText="1"/>
    </xf>
    <xf numFmtId="3" fontId="24" fillId="0" borderId="10" xfId="0" applyNumberFormat="1" applyFont="1" applyBorder="1" applyAlignment="1">
      <alignment horizontal="center" vertical="center" wrapText="1"/>
    </xf>
    <xf numFmtId="3" fontId="27" fillId="0" borderId="10" xfId="0" applyNumberFormat="1" applyFont="1" applyBorder="1" applyAlignment="1">
      <alignment vertical="top" wrapText="1"/>
    </xf>
    <xf numFmtId="0" fontId="24" fillId="32" borderId="10" xfId="0" applyFont="1" applyFill="1" applyBorder="1" applyAlignment="1">
      <alignment horizontal="center" vertical="center" wrapText="1"/>
    </xf>
    <xf numFmtId="3" fontId="24" fillId="0" borderId="10" xfId="0" applyNumberFormat="1" applyFont="1" applyBorder="1" applyAlignment="1">
      <alignment horizontal="center" vertical="center"/>
    </xf>
    <xf numFmtId="3" fontId="24" fillId="0" borderId="10" xfId="0" applyNumberFormat="1" applyFont="1" applyBorder="1" applyAlignment="1">
      <alignment horizontal="right" vertical="center"/>
    </xf>
    <xf numFmtId="3" fontId="24" fillId="0" borderId="10" xfId="0" applyNumberFormat="1" applyFont="1" applyFill="1" applyBorder="1" applyAlignment="1">
      <alignment horizontal="right" vertical="center"/>
    </xf>
    <xf numFmtId="3" fontId="24" fillId="32" borderId="10" xfId="0" applyNumberFormat="1" applyFont="1" applyFill="1" applyBorder="1" applyAlignment="1">
      <alignment horizontal="right" vertical="center"/>
    </xf>
    <xf numFmtId="9" fontId="24" fillId="0" borderId="10" xfId="0" applyNumberFormat="1" applyFont="1" applyBorder="1" applyAlignment="1">
      <alignment horizontal="right" vertical="center"/>
    </xf>
    <xf numFmtId="3" fontId="24" fillId="0" borderId="10" xfId="0" applyNumberFormat="1" applyFont="1" applyBorder="1" applyAlignment="1">
      <alignment horizontal="right" vertical="top"/>
    </xf>
    <xf numFmtId="0" fontId="30" fillId="0" borderId="0" xfId="0" applyNumberFormat="1" applyFont="1" applyBorder="1" applyAlignment="1">
      <alignment horizontal="justify" vertical="top" wrapText="1"/>
    </xf>
    <xf numFmtId="0" fontId="30" fillId="0" borderId="0" xfId="0" applyNumberFormat="1" applyFont="1" applyBorder="1" applyAlignment="1">
      <alignment horizontal="left" vertical="center"/>
    </xf>
    <xf numFmtId="0" fontId="24" fillId="32" borderId="10" xfId="0" applyNumberFormat="1" applyFont="1" applyFill="1" applyBorder="1" applyAlignment="1">
      <alignment horizontal="right" vertical="center"/>
    </xf>
    <xf numFmtId="0" fontId="25" fillId="0" borderId="0" xfId="0" applyNumberFormat="1" applyFont="1" applyBorder="1" applyAlignment="1">
      <alignment horizontal="justify" vertical="top" wrapText="1"/>
    </xf>
    <xf numFmtId="0" fontId="25" fillId="0" borderId="0" xfId="0" applyNumberFormat="1" applyFont="1" applyBorder="1" applyAlignment="1">
      <alignment horizontal="left" vertical="center"/>
    </xf>
    <xf numFmtId="3" fontId="24" fillId="0" borderId="10" xfId="0" applyNumberFormat="1" applyFont="1" applyFill="1" applyBorder="1" applyAlignment="1">
      <alignment vertical="center" wrapText="1"/>
    </xf>
    <xf numFmtId="0" fontId="24" fillId="0" borderId="10" xfId="0" applyFont="1" applyBorder="1" applyAlignment="1">
      <alignment horizontal="justify" vertical="top" wrapText="1"/>
    </xf>
    <xf numFmtId="0" fontId="24" fillId="0" borderId="12" xfId="0" applyFont="1" applyBorder="1" applyAlignment="1">
      <alignment horizontal="justify" vertical="top" wrapText="1"/>
    </xf>
    <xf numFmtId="0" fontId="24" fillId="0" borderId="10" xfId="0" applyFont="1" applyBorder="1" applyAlignment="1">
      <alignment horizontal="right"/>
    </xf>
    <xf numFmtId="0" fontId="24" fillId="32" borderId="10" xfId="0" applyNumberFormat="1" applyFont="1" applyFill="1" applyBorder="1" applyAlignment="1">
      <alignment vertical="top"/>
    </xf>
    <xf numFmtId="0" fontId="24" fillId="32" borderId="0" xfId="0" applyNumberFormat="1" applyFont="1" applyFill="1" applyBorder="1" applyAlignment="1">
      <alignment horizontal="left" vertical="top"/>
    </xf>
    <xf numFmtId="4" fontId="24" fillId="32" borderId="10" xfId="0" applyNumberFormat="1" applyFont="1" applyFill="1" applyBorder="1" applyAlignment="1">
      <alignment vertical="top"/>
    </xf>
    <xf numFmtId="3" fontId="24" fillId="32" borderId="0" xfId="0" applyNumberFormat="1" applyFont="1" applyFill="1" applyBorder="1" applyAlignment="1">
      <alignment horizontal="left" vertical="top"/>
    </xf>
    <xf numFmtId="0" fontId="24" fillId="0" borderId="0" xfId="0" applyNumberFormat="1" applyFont="1" applyBorder="1" applyAlignment="1">
      <alignment vertical="top" wrapText="1"/>
    </xf>
    <xf numFmtId="0" fontId="141" fillId="0" borderId="0" xfId="0" applyNumberFormat="1" applyFont="1" applyBorder="1" applyAlignment="1">
      <alignment horizontal="left"/>
    </xf>
    <xf numFmtId="49" fontId="24" fillId="28" borderId="10" xfId="0" applyNumberFormat="1" applyFont="1" applyFill="1" applyBorder="1" applyAlignment="1">
      <alignment vertical="top"/>
    </xf>
    <xf numFmtId="49" fontId="24" fillId="28" borderId="10" xfId="0" applyNumberFormat="1" applyFont="1" applyFill="1" applyBorder="1" applyAlignment="1">
      <alignment vertical="top" wrapText="1"/>
    </xf>
    <xf numFmtId="0" fontId="24" fillId="28" borderId="10" xfId="0" applyNumberFormat="1" applyFont="1" applyFill="1" applyBorder="1" applyAlignment="1">
      <alignment vertical="top"/>
    </xf>
    <xf numFmtId="0" fontId="24" fillId="28" borderId="0" xfId="0" applyNumberFormat="1" applyFont="1" applyFill="1" applyBorder="1" applyAlignment="1">
      <alignment horizontal="left" vertical="top"/>
    </xf>
    <xf numFmtId="0" fontId="24" fillId="28" borderId="10" xfId="0" applyFont="1" applyFill="1" applyBorder="1" applyAlignment="1">
      <alignment vertical="top" wrapText="1"/>
    </xf>
    <xf numFmtId="0" fontId="24" fillId="0" borderId="0" xfId="0" applyNumberFormat="1" applyFont="1" applyBorder="1" applyAlignment="1">
      <alignment horizontal="left" vertical="top" wrapText="1"/>
    </xf>
    <xf numFmtId="0" fontId="24" fillId="0" borderId="10" xfId="0" applyNumberFormat="1" applyFont="1" applyBorder="1" applyAlignment="1">
      <alignment horizontal="center" vertical="center" wrapText="1"/>
    </xf>
    <xf numFmtId="0" fontId="24" fillId="0" borderId="0" xfId="0" applyNumberFormat="1" applyFont="1" applyBorder="1" applyAlignment="1">
      <alignment horizontal="left" vertical="top"/>
    </xf>
    <xf numFmtId="0" fontId="24" fillId="0" borderId="0" xfId="0" applyNumberFormat="1" applyFont="1" applyBorder="1" applyAlignment="1">
      <alignment vertical="top" wrapText="1"/>
    </xf>
    <xf numFmtId="0" fontId="107" fillId="0" borderId="10" xfId="42" applyFont="1" applyBorder="1" applyAlignment="1">
      <alignment vertical="center"/>
    </xf>
    <xf numFmtId="2" fontId="24" fillId="0" borderId="11" xfId="0" applyNumberFormat="1" applyFont="1" applyBorder="1" applyAlignment="1">
      <alignment vertical="center"/>
    </xf>
    <xf numFmtId="4" fontId="24" fillId="0" borderId="11" xfId="0" applyNumberFormat="1" applyFont="1" applyBorder="1" applyAlignment="1">
      <alignment vertical="center"/>
    </xf>
    <xf numFmtId="164" fontId="24" fillId="32" borderId="10" xfId="0" applyNumberFormat="1" applyFont="1" applyFill="1" applyBorder="1" applyAlignment="1">
      <alignment vertical="top"/>
    </xf>
    <xf numFmtId="164" fontId="24" fillId="0" borderId="10" xfId="0" applyNumberFormat="1" applyFont="1" applyBorder="1" applyAlignment="1">
      <alignment vertical="top"/>
    </xf>
    <xf numFmtId="0" fontId="24" fillId="0" borderId="10" xfId="0" applyFont="1" applyFill="1" applyBorder="1" applyAlignment="1">
      <alignment vertical="center"/>
    </xf>
    <xf numFmtId="0" fontId="24" fillId="0" borderId="10" xfId="0" applyNumberFormat="1" applyFont="1" applyFill="1" applyBorder="1" applyAlignment="1">
      <alignment vertical="top"/>
    </xf>
    <xf numFmtId="0" fontId="38" fillId="0" borderId="10" xfId="43" applyFill="1" applyBorder="1" applyAlignment="1">
      <alignment horizontal="center"/>
    </xf>
    <xf numFmtId="164" fontId="24" fillId="0" borderId="10" xfId="0" applyNumberFormat="1" applyFont="1" applyBorder="1" applyAlignment="1"/>
    <xf numFmtId="169" fontId="24" fillId="30" borderId="10" xfId="0" applyNumberFormat="1" applyFont="1" applyFill="1" applyBorder="1" applyAlignment="1"/>
    <xf numFmtId="0" fontId="122" fillId="0" borderId="10" xfId="0" applyFont="1" applyBorder="1" applyAlignment="1">
      <alignment horizontal="right" vertical="center" wrapText="1"/>
    </xf>
    <xf numFmtId="170" fontId="24" fillId="0" borderId="10" xfId="0" applyNumberFormat="1" applyFont="1" applyFill="1" applyBorder="1" applyAlignment="1">
      <alignment vertical="center"/>
    </xf>
    <xf numFmtId="170" fontId="24" fillId="0" borderId="10" xfId="0" applyNumberFormat="1" applyFont="1" applyFill="1" applyBorder="1" applyAlignment="1"/>
    <xf numFmtId="170" fontId="122" fillId="0" borderId="10" xfId="0" applyNumberFormat="1" applyFont="1" applyFill="1" applyBorder="1" applyAlignment="1">
      <alignment vertical="center"/>
    </xf>
    <xf numFmtId="49" fontId="24" fillId="32" borderId="10" xfId="0" applyNumberFormat="1" applyFont="1" applyFill="1" applyBorder="1" applyAlignment="1">
      <alignment vertical="center"/>
    </xf>
    <xf numFmtId="0" fontId="24" fillId="32" borderId="0" xfId="0" applyNumberFormat="1" applyFont="1" applyFill="1" applyBorder="1" applyAlignment="1">
      <alignment horizontal="left"/>
    </xf>
    <xf numFmtId="0" fontId="122" fillId="32" borderId="10" xfId="0" applyFont="1" applyFill="1" applyBorder="1" applyAlignment="1">
      <alignment horizontal="right" vertical="center" wrapText="1"/>
    </xf>
    <xf numFmtId="170" fontId="122" fillId="32" borderId="10" xfId="0" applyNumberFormat="1" applyFont="1" applyFill="1" applyBorder="1" applyAlignment="1">
      <alignment vertical="center"/>
    </xf>
    <xf numFmtId="0" fontId="24" fillId="0" borderId="10" xfId="0" applyFont="1" applyFill="1" applyBorder="1" applyAlignment="1">
      <alignment vertical="center" wrapText="1"/>
    </xf>
    <xf numFmtId="0" fontId="38" fillId="40" borderId="10" xfId="43" applyFont="1" applyFill="1" applyBorder="1"/>
    <xf numFmtId="49" fontId="38" fillId="0" borderId="10" xfId="43" applyNumberFormat="1" applyFont="1" applyFill="1" applyBorder="1"/>
    <xf numFmtId="3" fontId="39" fillId="37" borderId="10" xfId="43" applyNumberFormat="1" applyFont="1" applyFill="1" applyBorder="1"/>
    <xf numFmtId="169" fontId="38" fillId="37" borderId="10" xfId="43" applyNumberFormat="1" applyFill="1" applyBorder="1"/>
    <xf numFmtId="3" fontId="38" fillId="30" borderId="10" xfId="43" applyNumberFormat="1" applyFill="1" applyBorder="1"/>
    <xf numFmtId="169" fontId="38" fillId="30" borderId="10" xfId="43" applyNumberFormat="1" applyFill="1" applyBorder="1"/>
    <xf numFmtId="0" fontId="38" fillId="30" borderId="10" xfId="43" applyFill="1" applyBorder="1" applyAlignment="1"/>
    <xf numFmtId="3" fontId="38" fillId="30" borderId="10" xfId="43" applyNumberFormat="1" applyFont="1" applyFill="1" applyBorder="1"/>
    <xf numFmtId="3" fontId="38" fillId="40" borderId="10" xfId="43" applyNumberFormat="1" applyFill="1" applyBorder="1" applyAlignment="1"/>
    <xf numFmtId="169" fontId="38" fillId="40" borderId="10" xfId="43" applyNumberFormat="1" applyFill="1" applyBorder="1"/>
    <xf numFmtId="0" fontId="38" fillId="39" borderId="10" xfId="43" applyFill="1" applyBorder="1" applyAlignment="1"/>
    <xf numFmtId="3" fontId="38" fillId="39" borderId="10" xfId="43" applyNumberFormat="1" applyFill="1" applyBorder="1" applyAlignment="1"/>
    <xf numFmtId="3" fontId="38" fillId="39" borderId="10" xfId="43" applyNumberFormat="1" applyFont="1" applyFill="1" applyBorder="1"/>
    <xf numFmtId="0" fontId="39" fillId="37" borderId="10" xfId="43" applyFont="1" applyFill="1" applyBorder="1" applyAlignment="1">
      <alignment horizontal="center" vertical="center"/>
    </xf>
    <xf numFmtId="0" fontId="39" fillId="37" borderId="10" xfId="43" applyFont="1" applyFill="1" applyBorder="1" applyAlignment="1">
      <alignment vertical="center"/>
    </xf>
    <xf numFmtId="171" fontId="38" fillId="37" borderId="10" xfId="43" applyNumberFormat="1" applyFill="1" applyBorder="1"/>
    <xf numFmtId="171" fontId="38" fillId="30" borderId="10" xfId="43" applyNumberFormat="1" applyFill="1" applyBorder="1"/>
    <xf numFmtId="171" fontId="38" fillId="40" borderId="13" xfId="43" applyNumberFormat="1" applyFill="1" applyBorder="1"/>
    <xf numFmtId="0" fontId="38" fillId="30" borderId="10" xfId="43" applyFill="1" applyBorder="1"/>
    <xf numFmtId="169" fontId="38" fillId="0" borderId="10" xfId="43" applyNumberFormat="1" applyBorder="1"/>
    <xf numFmtId="9" fontId="0" fillId="0" borderId="10" xfId="119" applyFont="1" applyFill="1" applyBorder="1"/>
    <xf numFmtId="173" fontId="0" fillId="0" borderId="10" xfId="119" applyNumberFormat="1" applyFont="1" applyBorder="1"/>
    <xf numFmtId="173" fontId="0" fillId="0" borderId="10" xfId="119" applyNumberFormat="1" applyFont="1" applyFill="1" applyBorder="1"/>
    <xf numFmtId="0" fontId="36" fillId="0" borderId="0" xfId="135" applyFont="1" applyAlignment="1">
      <alignment horizontal="center"/>
    </xf>
    <xf numFmtId="164" fontId="128" fillId="0" borderId="10" xfId="43" applyNumberFormat="1" applyFont="1" applyFill="1" applyBorder="1"/>
    <xf numFmtId="164" fontId="38" fillId="0" borderId="19" xfId="43" applyNumberFormat="1" applyFill="1" applyBorder="1"/>
    <xf numFmtId="0" fontId="24" fillId="0" borderId="10" xfId="0" applyFont="1" applyBorder="1" applyAlignment="1">
      <alignment horizontal="center" vertical="center" wrapText="1"/>
    </xf>
    <xf numFmtId="0" fontId="24" fillId="0" borderId="0" xfId="0" applyNumberFormat="1" applyFont="1" applyBorder="1" applyAlignment="1">
      <alignment horizontal="left" vertical="top"/>
    </xf>
    <xf numFmtId="0" fontId="24" fillId="0" borderId="11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2" fontId="38" fillId="0" borderId="10" xfId="135" applyNumberFormat="1" applyFont="1" applyFill="1" applyBorder="1" applyAlignment="1"/>
    <xf numFmtId="3" fontId="73" fillId="28" borderId="10" xfId="45" applyNumberFormat="1" applyFont="1" applyFill="1" applyBorder="1" applyAlignment="1">
      <alignment horizontal="center"/>
    </xf>
    <xf numFmtId="3" fontId="38" fillId="0" borderId="27" xfId="45" applyNumberFormat="1" applyFont="1" applyFill="1" applyBorder="1" applyAlignment="1">
      <alignment horizontal="center"/>
    </xf>
    <xf numFmtId="164" fontId="73" fillId="35" borderId="10" xfId="135" applyNumberFormat="1" applyFont="1" applyFill="1" applyBorder="1" applyAlignment="1"/>
    <xf numFmtId="3" fontId="38" fillId="0" borderId="27" xfId="136" applyNumberFormat="1" applyFont="1" applyFill="1" applyBorder="1" applyAlignment="1">
      <alignment horizontal="center" wrapText="1"/>
    </xf>
    <xf numFmtId="169" fontId="128" fillId="0" borderId="10" xfId="43" applyNumberFormat="1" applyFont="1" applyFill="1" applyBorder="1"/>
    <xf numFmtId="49" fontId="30" fillId="0" borderId="10" xfId="43" applyNumberFormat="1" applyFont="1" applyFill="1" applyBorder="1" applyAlignment="1">
      <alignment horizontal="left" wrapText="1"/>
    </xf>
    <xf numFmtId="49" fontId="30" fillId="0" borderId="31" xfId="43" applyNumberFormat="1" applyFont="1" applyFill="1" applyBorder="1" applyAlignment="1">
      <alignment horizontal="center"/>
    </xf>
    <xf numFmtId="169" fontId="30" fillId="0" borderId="31" xfId="43" applyNumberFormat="1" applyFont="1" applyFill="1" applyBorder="1" applyAlignment="1">
      <alignment horizontal="center" vertical="center" wrapText="1"/>
    </xf>
    <xf numFmtId="170" fontId="30" fillId="0" borderId="31" xfId="43" applyNumberFormat="1" applyFont="1" applyFill="1" applyBorder="1" applyAlignment="1">
      <alignment horizontal="center" vertical="center" wrapText="1"/>
    </xf>
    <xf numFmtId="49" fontId="30" fillId="0" borderId="50" xfId="43" applyNumberFormat="1" applyFont="1" applyFill="1" applyBorder="1" applyAlignment="1">
      <alignment horizontal="left" wrapText="1"/>
    </xf>
    <xf numFmtId="0" fontId="38" fillId="0" borderId="50" xfId="43" applyFill="1" applyBorder="1"/>
    <xf numFmtId="3" fontId="38" fillId="0" borderId="50" xfId="43" applyNumberFormat="1" applyFill="1" applyBorder="1"/>
    <xf numFmtId="169" fontId="38" fillId="0" borderId="50" xfId="43" applyNumberFormat="1" applyFill="1" applyBorder="1"/>
    <xf numFmtId="164" fontId="38" fillId="0" borderId="50" xfId="43" applyNumberFormat="1" applyFill="1" applyBorder="1"/>
    <xf numFmtId="3" fontId="90" fillId="0" borderId="0" xfId="135" applyNumberFormat="1" applyFont="1" applyFill="1" applyAlignment="1">
      <alignment horizontal="right"/>
    </xf>
    <xf numFmtId="164" fontId="38" fillId="0" borderId="13" xfId="43" applyNumberFormat="1" applyFill="1" applyBorder="1"/>
    <xf numFmtId="49" fontId="30" fillId="0" borderId="50" xfId="43" applyNumberFormat="1" applyFont="1" applyFill="1" applyBorder="1" applyAlignment="1">
      <alignment horizontal="center"/>
    </xf>
    <xf numFmtId="169" fontId="30" fillId="0" borderId="50" xfId="43" applyNumberFormat="1" applyFont="1" applyFill="1" applyBorder="1" applyAlignment="1">
      <alignment horizontal="center" vertical="center" wrapText="1"/>
    </xf>
    <xf numFmtId="170" fontId="30" fillId="0" borderId="50" xfId="43" applyNumberFormat="1" applyFont="1" applyFill="1" applyBorder="1" applyAlignment="1">
      <alignment horizontal="center" vertical="center" wrapText="1"/>
    </xf>
    <xf numFmtId="4" fontId="30" fillId="0" borderId="50" xfId="43" applyNumberFormat="1" applyFont="1" applyFill="1" applyBorder="1" applyAlignment="1">
      <alignment horizontal="center"/>
    </xf>
    <xf numFmtId="170" fontId="30" fillId="0" borderId="50" xfId="43" applyNumberFormat="1" applyFont="1" applyFill="1" applyBorder="1" applyAlignment="1">
      <alignment horizontal="center"/>
    </xf>
    <xf numFmtId="2" fontId="30" fillId="0" borderId="50" xfId="43" applyNumberFormat="1" applyFont="1" applyFill="1" applyBorder="1" applyAlignment="1">
      <alignment horizontal="center"/>
    </xf>
    <xf numFmtId="3" fontId="30" fillId="0" borderId="50" xfId="43" applyNumberFormat="1" applyFont="1" applyFill="1" applyBorder="1" applyAlignment="1">
      <alignment horizontal="center"/>
    </xf>
    <xf numFmtId="0" fontId="38" fillId="0" borderId="41" xfId="43" applyFill="1" applyBorder="1"/>
    <xf numFmtId="0" fontId="38" fillId="0" borderId="17" xfId="43" applyFill="1" applyBorder="1" applyAlignment="1">
      <alignment horizontal="center" wrapText="1"/>
    </xf>
    <xf numFmtId="169" fontId="30" fillId="0" borderId="31" xfId="43" applyNumberFormat="1" applyFont="1" applyFill="1" applyBorder="1" applyAlignment="1">
      <alignment horizontal="center"/>
    </xf>
    <xf numFmtId="0" fontId="24" fillId="0" borderId="10" xfId="0" applyFont="1" applyBorder="1" applyAlignment="1">
      <alignment horizontal="center" vertical="center" wrapText="1"/>
    </xf>
    <xf numFmtId="0" fontId="24" fillId="0" borderId="0" xfId="0" applyNumberFormat="1" applyFont="1" applyBorder="1" applyAlignment="1">
      <alignment horizontal="left" vertical="top"/>
    </xf>
    <xf numFmtId="170" fontId="24" fillId="0" borderId="10" xfId="0" applyNumberFormat="1" applyFont="1" applyFill="1" applyBorder="1" applyAlignment="1">
      <alignment vertical="top"/>
    </xf>
    <xf numFmtId="170" fontId="24" fillId="0" borderId="10" xfId="0" applyNumberFormat="1" applyFont="1" applyBorder="1" applyAlignment="1">
      <alignment vertical="top"/>
    </xf>
    <xf numFmtId="1" fontId="24" fillId="0" borderId="10" xfId="0" applyNumberFormat="1" applyFont="1" applyBorder="1" applyAlignment="1">
      <alignment vertical="top"/>
    </xf>
    <xf numFmtId="0" fontId="24" fillId="0" borderId="13" xfId="0" applyFont="1" applyBorder="1" applyAlignment="1">
      <alignment horizontal="center" vertical="top"/>
    </xf>
    <xf numFmtId="3" fontId="24" fillId="0" borderId="13" xfId="0" applyNumberFormat="1" applyFont="1" applyBorder="1" applyAlignment="1">
      <alignment vertical="center"/>
    </xf>
    <xf numFmtId="3" fontId="121" fillId="0" borderId="13" xfId="0" applyNumberFormat="1" applyFont="1" applyBorder="1" applyAlignment="1">
      <alignment vertical="center"/>
    </xf>
    <xf numFmtId="3" fontId="24" fillId="0" borderId="13" xfId="0" applyNumberFormat="1" applyFont="1" applyFill="1" applyBorder="1" applyAlignment="1">
      <alignment vertical="center"/>
    </xf>
    <xf numFmtId="3" fontId="121" fillId="0" borderId="13" xfId="0" applyNumberFormat="1" applyFont="1" applyFill="1" applyBorder="1" applyAlignment="1">
      <alignment vertical="center"/>
    </xf>
    <xf numFmtId="3" fontId="122" fillId="0" borderId="13" xfId="0" applyNumberFormat="1" applyFont="1" applyBorder="1" applyAlignment="1">
      <alignment vertical="center"/>
    </xf>
    <xf numFmtId="3" fontId="76" fillId="0" borderId="13" xfId="0" applyNumberFormat="1" applyFont="1" applyFill="1" applyBorder="1"/>
    <xf numFmtId="3" fontId="27" fillId="38" borderId="13" xfId="0" applyNumberFormat="1" applyFont="1" applyFill="1" applyBorder="1" applyAlignment="1">
      <alignment vertical="center"/>
    </xf>
    <xf numFmtId="3" fontId="24" fillId="38" borderId="13" xfId="0" applyNumberFormat="1" applyFont="1" applyFill="1" applyBorder="1" applyAlignment="1">
      <alignment vertical="center"/>
    </xf>
    <xf numFmtId="169" fontId="27" fillId="0" borderId="13" xfId="0" applyNumberFormat="1" applyFont="1" applyBorder="1" applyAlignment="1">
      <alignment vertical="center"/>
    </xf>
    <xf numFmtId="4" fontId="24" fillId="0" borderId="13" xfId="0" applyNumberFormat="1" applyFont="1" applyBorder="1" applyAlignment="1">
      <alignment vertical="center"/>
    </xf>
    <xf numFmtId="0" fontId="24" fillId="0" borderId="29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top"/>
    </xf>
    <xf numFmtId="3" fontId="24" fillId="0" borderId="29" xfId="0" applyNumberFormat="1" applyFont="1" applyBorder="1" applyAlignment="1">
      <alignment vertical="center"/>
    </xf>
    <xf numFmtId="3" fontId="121" fillId="0" borderId="29" xfId="0" applyNumberFormat="1" applyFont="1" applyBorder="1" applyAlignment="1">
      <alignment vertical="center"/>
    </xf>
    <xf numFmtId="3" fontId="24" fillId="0" borderId="29" xfId="0" applyNumberFormat="1" applyFont="1" applyFill="1" applyBorder="1" applyAlignment="1">
      <alignment vertical="center"/>
    </xf>
    <xf numFmtId="3" fontId="122" fillId="0" borderId="29" xfId="0" applyNumberFormat="1" applyFont="1" applyBorder="1" applyAlignment="1">
      <alignment vertical="center"/>
    </xf>
    <xf numFmtId="3" fontId="76" fillId="0" borderId="29" xfId="0" applyNumberFormat="1" applyFont="1" applyFill="1" applyBorder="1"/>
    <xf numFmtId="3" fontId="27" fillId="38" borderId="29" xfId="0" applyNumberFormat="1" applyFont="1" applyFill="1" applyBorder="1" applyAlignment="1">
      <alignment vertical="center"/>
    </xf>
    <xf numFmtId="3" fontId="24" fillId="38" borderId="29" xfId="0" applyNumberFormat="1" applyFont="1" applyFill="1" applyBorder="1" applyAlignment="1">
      <alignment vertical="center"/>
    </xf>
    <xf numFmtId="169" fontId="27" fillId="0" borderId="29" xfId="0" applyNumberFormat="1" applyFont="1" applyBorder="1" applyAlignment="1">
      <alignment vertical="center"/>
    </xf>
    <xf numFmtId="4" fontId="24" fillId="0" borderId="29" xfId="0" applyNumberFormat="1" applyFont="1" applyBorder="1" applyAlignment="1">
      <alignment vertical="center"/>
    </xf>
    <xf numFmtId="3" fontId="76" fillId="0" borderId="10" xfId="0" applyNumberFormat="1" applyFont="1" applyBorder="1" applyAlignment="1">
      <alignment vertical="center"/>
    </xf>
    <xf numFmtId="3" fontId="127" fillId="0" borderId="10" xfId="0" applyNumberFormat="1" applyFont="1" applyBorder="1" applyAlignment="1">
      <alignment vertical="center"/>
    </xf>
    <xf numFmtId="3" fontId="30" fillId="0" borderId="29" xfId="0" applyNumberFormat="1" applyFont="1" applyBorder="1" applyAlignment="1">
      <alignment vertical="center"/>
    </xf>
    <xf numFmtId="3" fontId="127" fillId="0" borderId="29" xfId="0" applyNumberFormat="1" applyFont="1" applyBorder="1" applyAlignment="1">
      <alignment vertical="center"/>
    </xf>
    <xf numFmtId="0" fontId="24" fillId="0" borderId="10" xfId="0" applyFont="1" applyBorder="1" applyAlignment="1">
      <alignment horizontal="center" vertical="center" wrapText="1"/>
    </xf>
    <xf numFmtId="0" fontId="24" fillId="0" borderId="0" xfId="0" applyNumberFormat="1" applyFont="1" applyBorder="1" applyAlignment="1">
      <alignment horizontal="left" vertical="top"/>
    </xf>
    <xf numFmtId="169" fontId="27" fillId="0" borderId="0" xfId="0" applyNumberFormat="1" applyFont="1" applyBorder="1" applyAlignment="1">
      <alignment vertical="center"/>
    </xf>
    <xf numFmtId="4" fontId="24" fillId="0" borderId="0" xfId="0" applyNumberFormat="1" applyFont="1" applyBorder="1" applyAlignment="1">
      <alignment vertical="center"/>
    </xf>
    <xf numFmtId="3" fontId="30" fillId="0" borderId="10" xfId="0" applyNumberFormat="1" applyFont="1" applyFill="1" applyBorder="1"/>
    <xf numFmtId="3" fontId="127" fillId="0" borderId="10" xfId="0" applyNumberFormat="1" applyFont="1" applyFill="1" applyBorder="1"/>
    <xf numFmtId="3" fontId="122" fillId="0" borderId="10" xfId="0" applyNumberFormat="1" applyFont="1" applyFill="1" applyBorder="1" applyAlignment="1">
      <alignment vertical="center"/>
    </xf>
    <xf numFmtId="3" fontId="24" fillId="32" borderId="10" xfId="0" applyNumberFormat="1" applyFont="1" applyFill="1" applyBorder="1" applyAlignment="1">
      <alignment vertical="center"/>
    </xf>
    <xf numFmtId="3" fontId="142" fillId="0" borderId="10" xfId="0" applyNumberFormat="1" applyFont="1" applyBorder="1" applyAlignment="1">
      <alignment vertical="center"/>
    </xf>
    <xf numFmtId="3" fontId="143" fillId="0" borderId="10" xfId="0" applyNumberFormat="1" applyFont="1" applyBorder="1" applyAlignment="1">
      <alignment vertical="center"/>
    </xf>
    <xf numFmtId="3" fontId="144" fillId="38" borderId="10" xfId="0" applyNumberFormat="1" applyFont="1" applyFill="1" applyBorder="1" applyAlignment="1">
      <alignment vertical="center"/>
    </xf>
    <xf numFmtId="169" fontId="145" fillId="0" borderId="10" xfId="0" applyNumberFormat="1" applyFont="1" applyBorder="1" applyAlignment="1">
      <alignment vertical="center"/>
    </xf>
    <xf numFmtId="4" fontId="142" fillId="0" borderId="10" xfId="0" applyNumberFormat="1" applyFont="1" applyBorder="1" applyAlignment="1">
      <alignment vertical="center"/>
    </xf>
    <xf numFmtId="165" fontId="24" fillId="0" borderId="13" xfId="0" applyNumberFormat="1" applyFont="1" applyFill="1" applyBorder="1" applyAlignment="1">
      <alignment vertical="top"/>
    </xf>
    <xf numFmtId="0" fontId="24" fillId="0" borderId="13" xfId="0" applyFont="1" applyFill="1" applyBorder="1" applyAlignment="1">
      <alignment vertical="top"/>
    </xf>
    <xf numFmtId="0" fontId="142" fillId="0" borderId="10" xfId="0" applyFont="1" applyBorder="1" applyAlignment="1">
      <alignment vertical="top"/>
    </xf>
    <xf numFmtId="4" fontId="142" fillId="0" borderId="11" xfId="0" applyNumberFormat="1" applyFont="1" applyBorder="1" applyAlignment="1">
      <alignment vertical="center"/>
    </xf>
    <xf numFmtId="3" fontId="122" fillId="0" borderId="13" xfId="0" applyNumberFormat="1" applyFont="1" applyFill="1" applyBorder="1" applyAlignment="1">
      <alignment vertical="center"/>
    </xf>
    <xf numFmtId="3" fontId="122" fillId="32" borderId="10" xfId="0" applyNumberFormat="1" applyFont="1" applyFill="1" applyBorder="1" applyAlignment="1">
      <alignment vertical="center"/>
    </xf>
    <xf numFmtId="3" fontId="30" fillId="0" borderId="10" xfId="0" applyNumberFormat="1" applyFont="1" applyBorder="1" applyAlignment="1">
      <alignment wrapText="1"/>
    </xf>
    <xf numFmtId="3" fontId="30" fillId="0" borderId="10" xfId="0" applyNumberFormat="1" applyFont="1" applyBorder="1" applyAlignment="1">
      <alignment vertical="center" wrapText="1"/>
    </xf>
    <xf numFmtId="3" fontId="127" fillId="0" borderId="10" xfId="0" applyNumberFormat="1" applyFont="1" applyBorder="1" applyAlignment="1">
      <alignment wrapText="1"/>
    </xf>
    <xf numFmtId="3" fontId="127" fillId="0" borderId="10" xfId="0" applyNumberFormat="1" applyFont="1" applyBorder="1" applyAlignment="1">
      <alignment vertical="center" wrapText="1"/>
    </xf>
    <xf numFmtId="3" fontId="127" fillId="0" borderId="10" xfId="0" applyNumberFormat="1" applyFont="1" applyFill="1" applyBorder="1" applyAlignment="1">
      <alignment vertical="center"/>
    </xf>
    <xf numFmtId="0" fontId="27" fillId="0" borderId="10" xfId="0" applyFont="1" applyBorder="1" applyAlignment="1">
      <alignment horizontal="center" vertical="top"/>
    </xf>
    <xf numFmtId="3" fontId="27" fillId="0" borderId="10" xfId="0" applyNumberFormat="1" applyFont="1" applyBorder="1" applyAlignment="1">
      <alignment vertical="center"/>
    </xf>
    <xf numFmtId="0" fontId="27" fillId="0" borderId="0" xfId="0" applyFont="1" applyAlignment="1">
      <alignment horizontal="left" vertical="top"/>
    </xf>
    <xf numFmtId="0" fontId="27" fillId="0" borderId="10" xfId="0" applyFont="1" applyBorder="1" applyAlignment="1">
      <alignment horizontal="center" vertical="center"/>
    </xf>
    <xf numFmtId="3" fontId="24" fillId="0" borderId="10" xfId="195" applyNumberFormat="1" applyFont="1" applyBorder="1" applyAlignment="1">
      <alignment vertical="top"/>
    </xf>
    <xf numFmtId="2" fontId="24" fillId="0" borderId="10" xfId="195" applyNumberFormat="1" applyFont="1" applyBorder="1" applyAlignment="1">
      <alignment horizontal="right" vertical="top"/>
    </xf>
    <xf numFmtId="3" fontId="107" fillId="0" borderId="10" xfId="195" applyNumberFormat="1" applyFont="1" applyBorder="1" applyAlignment="1">
      <alignment horizontal="center" vertical="top"/>
    </xf>
    <xf numFmtId="3" fontId="145" fillId="0" borderId="10" xfId="0" applyNumberFormat="1" applyFont="1" applyBorder="1" applyAlignment="1">
      <alignment vertical="center"/>
    </xf>
    <xf numFmtId="4" fontId="145" fillId="0" borderId="10" xfId="0" applyNumberFormat="1" applyFont="1" applyBorder="1" applyAlignment="1">
      <alignment vertical="top"/>
    </xf>
    <xf numFmtId="3" fontId="24" fillId="0" borderId="10" xfId="195" applyNumberFormat="1" applyFont="1" applyBorder="1" applyAlignment="1">
      <alignment horizontal="center" vertical="top"/>
    </xf>
    <xf numFmtId="3" fontId="24" fillId="0" borderId="10" xfId="195" applyNumberFormat="1" applyFont="1" applyBorder="1" applyAlignment="1">
      <alignment horizontal="right" vertical="top"/>
    </xf>
    <xf numFmtId="3" fontId="27" fillId="0" borderId="10" xfId="195" applyNumberFormat="1" applyFont="1" applyBorder="1" applyAlignment="1">
      <alignment vertical="top"/>
    </xf>
    <xf numFmtId="0" fontId="24" fillId="0" borderId="0" xfId="0" applyNumberFormat="1" applyFont="1" applyBorder="1" applyAlignment="1">
      <alignment horizontal="left" vertical="top" wrapText="1"/>
    </xf>
    <xf numFmtId="0" fontId="32" fillId="0" borderId="0" xfId="0" applyFont="1" applyAlignment="1">
      <alignment horizontal="center"/>
    </xf>
    <xf numFmtId="3" fontId="27" fillId="0" borderId="10" xfId="0" applyNumberFormat="1" applyFont="1" applyFill="1" applyBorder="1" applyAlignment="1">
      <alignment vertical="center"/>
    </xf>
    <xf numFmtId="3" fontId="121" fillId="0" borderId="0" xfId="0" applyNumberFormat="1" applyFont="1" applyBorder="1" applyAlignment="1">
      <alignment vertical="center"/>
    </xf>
    <xf numFmtId="3" fontId="122" fillId="0" borderId="0" xfId="0" applyNumberFormat="1" applyFont="1" applyFill="1" applyBorder="1" applyAlignment="1">
      <alignment vertical="center"/>
    </xf>
    <xf numFmtId="3" fontId="122" fillId="0" borderId="0" xfId="0" applyNumberFormat="1" applyFont="1" applyBorder="1" applyAlignment="1">
      <alignment vertical="center"/>
    </xf>
    <xf numFmtId="3" fontId="76" fillId="0" borderId="0" xfId="0" applyNumberFormat="1" applyFont="1" applyFill="1" applyBorder="1"/>
    <xf numFmtId="3" fontId="30" fillId="0" borderId="0" xfId="0" applyNumberFormat="1" applyFont="1" applyFill="1" applyBorder="1" applyAlignment="1">
      <alignment vertical="center"/>
    </xf>
    <xf numFmtId="3" fontId="127" fillId="0" borderId="0" xfId="0" applyNumberFormat="1" applyFont="1" applyFill="1" applyBorder="1" applyAlignment="1">
      <alignment vertical="center"/>
    </xf>
    <xf numFmtId="3" fontId="27" fillId="38" borderId="0" xfId="0" applyNumberFormat="1" applyFont="1" applyFill="1" applyBorder="1" applyAlignment="1">
      <alignment vertical="center"/>
    </xf>
    <xf numFmtId="3" fontId="24" fillId="38" borderId="0" xfId="0" applyNumberFormat="1" applyFont="1" applyFill="1" applyBorder="1" applyAlignment="1">
      <alignment vertical="center"/>
    </xf>
    <xf numFmtId="3" fontId="122" fillId="32" borderId="0" xfId="0" applyNumberFormat="1" applyFont="1" applyFill="1" applyBorder="1" applyAlignment="1">
      <alignment vertical="center"/>
    </xf>
    <xf numFmtId="0" fontId="24" fillId="0" borderId="17" xfId="0" applyFont="1" applyFill="1" applyBorder="1" applyAlignment="1">
      <alignment vertical="top"/>
    </xf>
    <xf numFmtId="4" fontId="24" fillId="0" borderId="19" xfId="0" applyNumberFormat="1" applyFont="1" applyFill="1" applyBorder="1" applyAlignment="1">
      <alignment vertical="top"/>
    </xf>
    <xf numFmtId="2" fontId="24" fillId="0" borderId="10" xfId="0" applyNumberFormat="1" applyFont="1" applyFill="1" applyBorder="1" applyAlignment="1">
      <alignment vertical="top"/>
    </xf>
    <xf numFmtId="3" fontId="24" fillId="0" borderId="29" xfId="0" applyNumberFormat="1" applyFont="1" applyFill="1" applyBorder="1" applyAlignment="1">
      <alignment vertical="top"/>
    </xf>
    <xf numFmtId="3" fontId="24" fillId="31" borderId="29" xfId="0" applyNumberFormat="1" applyFont="1" applyFill="1" applyBorder="1" applyAlignment="1">
      <alignment vertical="top"/>
    </xf>
    <xf numFmtId="3" fontId="24" fillId="0" borderId="13" xfId="0" applyNumberFormat="1" applyFont="1" applyBorder="1" applyAlignment="1">
      <alignment vertical="top"/>
    </xf>
    <xf numFmtId="3" fontId="24" fillId="31" borderId="13" xfId="0" applyNumberFormat="1" applyFont="1" applyFill="1" applyBorder="1" applyAlignment="1">
      <alignment vertical="top"/>
    </xf>
    <xf numFmtId="49" fontId="27" fillId="42" borderId="10" xfId="0" applyNumberFormat="1" applyFont="1" applyFill="1" applyBorder="1" applyAlignment="1">
      <alignment vertical="center"/>
    </xf>
    <xf numFmtId="49" fontId="27" fillId="42" borderId="10" xfId="0" applyNumberFormat="1" applyFont="1" applyFill="1" applyBorder="1" applyAlignment="1">
      <alignment vertical="center" wrapText="1"/>
    </xf>
    <xf numFmtId="3" fontId="27" fillId="42" borderId="10" xfId="0" applyNumberFormat="1" applyFont="1" applyFill="1" applyBorder="1" applyAlignment="1">
      <alignment vertical="center"/>
    </xf>
    <xf numFmtId="3" fontId="27" fillId="42" borderId="0" xfId="0" applyNumberFormat="1" applyFont="1" applyFill="1" applyBorder="1" applyAlignment="1">
      <alignment vertical="center"/>
    </xf>
    <xf numFmtId="0" fontId="27" fillId="42" borderId="0" xfId="0" applyFont="1" applyFill="1" applyAlignment="1">
      <alignment horizontal="left" vertical="center"/>
    </xf>
    <xf numFmtId="3" fontId="27" fillId="42" borderId="29" xfId="0" applyNumberFormat="1" applyFont="1" applyFill="1" applyBorder="1" applyAlignment="1">
      <alignment vertical="center"/>
    </xf>
    <xf numFmtId="3" fontId="27" fillId="42" borderId="13" xfId="0" applyNumberFormat="1" applyFont="1" applyFill="1" applyBorder="1" applyAlignment="1">
      <alignment vertical="center"/>
    </xf>
    <xf numFmtId="49" fontId="146" fillId="42" borderId="10" xfId="0" applyNumberFormat="1" applyFont="1" applyFill="1" applyBorder="1" applyAlignment="1">
      <alignment vertical="center"/>
    </xf>
    <xf numFmtId="49" fontId="146" fillId="42" borderId="10" xfId="0" applyNumberFormat="1" applyFont="1" applyFill="1" applyBorder="1" applyAlignment="1">
      <alignment vertical="center" wrapText="1"/>
    </xf>
    <xf numFmtId="3" fontId="146" fillId="42" borderId="10" xfId="0" applyNumberFormat="1" applyFont="1" applyFill="1" applyBorder="1" applyAlignment="1">
      <alignment vertical="center"/>
    </xf>
    <xf numFmtId="3" fontId="146" fillId="42" borderId="0" xfId="0" applyNumberFormat="1" applyFont="1" applyFill="1" applyBorder="1" applyAlignment="1">
      <alignment vertical="center"/>
    </xf>
    <xf numFmtId="0" fontId="146" fillId="42" borderId="0" xfId="0" applyFont="1" applyFill="1" applyAlignment="1">
      <alignment horizontal="left" vertical="center"/>
    </xf>
    <xf numFmtId="3" fontId="146" fillId="42" borderId="29" xfId="0" applyNumberFormat="1" applyFont="1" applyFill="1" applyBorder="1" applyAlignment="1">
      <alignment vertical="center"/>
    </xf>
    <xf numFmtId="3" fontId="146" fillId="42" borderId="13" xfId="0" applyNumberFormat="1" applyFont="1" applyFill="1" applyBorder="1" applyAlignment="1">
      <alignment vertical="center"/>
    </xf>
    <xf numFmtId="49" fontId="24" fillId="24" borderId="10" xfId="0" applyNumberFormat="1" applyFont="1" applyFill="1" applyBorder="1" applyAlignment="1">
      <alignment vertical="center"/>
    </xf>
    <xf numFmtId="49" fontId="24" fillId="24" borderId="10" xfId="0" applyNumberFormat="1" applyFont="1" applyFill="1" applyBorder="1" applyAlignment="1">
      <alignment vertical="center" wrapText="1"/>
    </xf>
    <xf numFmtId="0" fontId="24" fillId="24" borderId="0" xfId="0" applyFont="1" applyFill="1" applyAlignment="1">
      <alignment horizontal="left" vertical="center"/>
    </xf>
    <xf numFmtId="3" fontId="142" fillId="24" borderId="10" xfId="0" applyNumberFormat="1" applyFont="1" applyFill="1" applyBorder="1" applyAlignment="1">
      <alignment vertical="center"/>
    </xf>
    <xf numFmtId="3" fontId="24" fillId="24" borderId="29" xfId="0" applyNumberFormat="1" applyFont="1" applyFill="1" applyBorder="1" applyAlignment="1">
      <alignment vertical="center"/>
    </xf>
    <xf numFmtId="3" fontId="24" fillId="24" borderId="13" xfId="0" applyNumberFormat="1" applyFont="1" applyFill="1" applyBorder="1" applyAlignment="1">
      <alignment vertical="center"/>
    </xf>
    <xf numFmtId="0" fontId="117" fillId="24" borderId="0" xfId="0" applyFont="1" applyFill="1" applyAlignment="1">
      <alignment horizontal="left" vertical="center"/>
    </xf>
    <xf numFmtId="3" fontId="122" fillId="24" borderId="0" xfId="0" applyNumberFormat="1" applyFont="1" applyFill="1" applyBorder="1" applyAlignment="1">
      <alignment vertical="center"/>
    </xf>
    <xf numFmtId="49" fontId="26" fillId="42" borderId="10" xfId="0" applyNumberFormat="1" applyFont="1" applyFill="1" applyBorder="1" applyAlignment="1">
      <alignment vertical="center"/>
    </xf>
    <xf numFmtId="49" fontId="26" fillId="42" borderId="10" xfId="0" applyNumberFormat="1" applyFont="1" applyFill="1" applyBorder="1" applyAlignment="1">
      <alignment vertical="center" wrapText="1"/>
    </xf>
    <xf numFmtId="3" fontId="26" fillId="42" borderId="10" xfId="0" applyNumberFormat="1" applyFont="1" applyFill="1" applyBorder="1" applyAlignment="1">
      <alignment vertical="center"/>
    </xf>
    <xf numFmtId="0" fontId="26" fillId="42" borderId="0" xfId="0" applyFont="1" applyFill="1" applyAlignment="1">
      <alignment horizontal="left" vertical="center"/>
    </xf>
    <xf numFmtId="3" fontId="26" fillId="42" borderId="0" xfId="0" applyNumberFormat="1" applyFont="1" applyFill="1" applyBorder="1" applyAlignment="1">
      <alignment vertical="center"/>
    </xf>
    <xf numFmtId="3" fontId="26" fillId="42" borderId="29" xfId="0" applyNumberFormat="1" applyFont="1" applyFill="1" applyBorder="1" applyAlignment="1">
      <alignment vertical="center"/>
    </xf>
    <xf numFmtId="3" fontId="26" fillId="42" borderId="13" xfId="0" applyNumberFormat="1" applyFont="1" applyFill="1" applyBorder="1" applyAlignment="1">
      <alignment vertical="center"/>
    </xf>
    <xf numFmtId="3" fontId="24" fillId="24" borderId="0" xfId="0" applyNumberFormat="1" applyFont="1" applyFill="1" applyBorder="1" applyAlignment="1">
      <alignment horizontal="right" vertical="center"/>
    </xf>
    <xf numFmtId="0" fontId="30" fillId="0" borderId="0" xfId="43" applyFont="1" applyFill="1" applyAlignment="1"/>
    <xf numFmtId="0" fontId="30" fillId="0" borderId="0" xfId="43" applyFont="1" applyFill="1" applyAlignment="1">
      <alignment horizontal="right"/>
    </xf>
    <xf numFmtId="49" fontId="30" fillId="0" borderId="0" xfId="43" applyNumberFormat="1" applyFont="1" applyFill="1" applyAlignment="1"/>
    <xf numFmtId="0" fontId="89" fillId="0" borderId="0" xfId="42" applyFont="1" applyFill="1" applyAlignment="1"/>
    <xf numFmtId="0" fontId="30" fillId="0" borderId="41" xfId="43" applyFont="1" applyFill="1" applyBorder="1" applyAlignment="1"/>
    <xf numFmtId="2" fontId="108" fillId="0" borderId="11" xfId="43" applyNumberFormat="1" applyFont="1" applyFill="1" applyBorder="1" applyAlignment="1">
      <alignment horizontal="center" vertical="center" wrapText="1"/>
    </xf>
    <xf numFmtId="0" fontId="107" fillId="0" borderId="10" xfId="42" applyFont="1" applyFill="1" applyBorder="1"/>
    <xf numFmtId="49" fontId="108" fillId="0" borderId="10" xfId="42" applyNumberFormat="1" applyFont="1" applyFill="1" applyBorder="1" applyAlignment="1">
      <alignment wrapText="1"/>
    </xf>
    <xf numFmtId="0" fontId="107" fillId="0" borderId="11" xfId="42" applyFont="1" applyFill="1" applyBorder="1" applyAlignment="1">
      <alignment horizontal="center" vertical="center"/>
    </xf>
    <xf numFmtId="49" fontId="107" fillId="0" borderId="11" xfId="42" applyNumberFormat="1" applyFont="1" applyFill="1" applyBorder="1" applyAlignment="1">
      <alignment vertical="center"/>
    </xf>
    <xf numFmtId="49" fontId="107" fillId="0" borderId="12" xfId="42" applyNumberFormat="1" applyFont="1" applyFill="1" applyBorder="1" applyAlignment="1">
      <alignment vertical="center"/>
    </xf>
    <xf numFmtId="49" fontId="107" fillId="0" borderId="13" xfId="42" applyNumberFormat="1" applyFont="1" applyFill="1" applyBorder="1" applyAlignment="1">
      <alignment vertical="center"/>
    </xf>
    <xf numFmtId="0" fontId="107" fillId="0" borderId="10" xfId="42" applyFont="1" applyFill="1" applyBorder="1" applyAlignment="1">
      <alignment horizontal="center" wrapText="1"/>
    </xf>
    <xf numFmtId="49" fontId="108" fillId="0" borderId="10" xfId="42" applyNumberFormat="1" applyFont="1" applyFill="1" applyBorder="1" applyAlignment="1">
      <alignment horizontal="left" wrapText="1" indent="2"/>
    </xf>
    <xf numFmtId="0" fontId="108" fillId="0" borderId="11" xfId="42" applyFont="1" applyFill="1" applyBorder="1" applyAlignment="1">
      <alignment horizontal="center" vertical="center"/>
    </xf>
    <xf numFmtId="0" fontId="108" fillId="0" borderId="10" xfId="42" applyFont="1" applyFill="1" applyBorder="1" applyAlignment="1">
      <alignment horizontal="left" vertical="center" wrapText="1"/>
    </xf>
    <xf numFmtId="0" fontId="107" fillId="0" borderId="10" xfId="42" applyFont="1" applyFill="1" applyBorder="1" applyAlignment="1">
      <alignment horizontal="center" vertical="center" wrapText="1"/>
    </xf>
    <xf numFmtId="0" fontId="107" fillId="0" borderId="11" xfId="42" applyFont="1" applyFill="1" applyBorder="1" applyAlignment="1">
      <alignment horizontal="center" vertical="center" wrapText="1"/>
    </xf>
    <xf numFmtId="0" fontId="108" fillId="0" borderId="10" xfId="43" applyFont="1" applyFill="1" applyBorder="1" applyAlignment="1">
      <alignment horizontal="left"/>
    </xf>
    <xf numFmtId="2" fontId="108" fillId="0" borderId="10" xfId="42" applyNumberFormat="1" applyFont="1" applyFill="1" applyBorder="1" applyAlignment="1">
      <alignment horizontal="center" vertical="center"/>
    </xf>
    <xf numFmtId="2" fontId="108" fillId="0" borderId="11" xfId="42" applyNumberFormat="1" applyFont="1" applyFill="1" applyBorder="1" applyAlignment="1">
      <alignment horizontal="center" vertical="center"/>
    </xf>
    <xf numFmtId="2" fontId="108" fillId="0" borderId="10" xfId="43" applyNumberFormat="1" applyFont="1" applyFill="1" applyBorder="1" applyAlignment="1">
      <alignment horizontal="center"/>
    </xf>
    <xf numFmtId="2" fontId="108" fillId="0" borderId="11" xfId="43" applyNumberFormat="1" applyFont="1" applyFill="1" applyBorder="1" applyAlignment="1">
      <alignment horizontal="center"/>
    </xf>
    <xf numFmtId="49" fontId="108" fillId="0" borderId="10" xfId="42" applyNumberFormat="1" applyFont="1" applyFill="1" applyBorder="1" applyAlignment="1">
      <alignment horizontal="left" vertical="center" wrapText="1"/>
    </xf>
    <xf numFmtId="0" fontId="119" fillId="0" borderId="0" xfId="42" applyFont="1" applyFill="1" applyAlignment="1">
      <alignment wrapText="1"/>
    </xf>
    <xf numFmtId="0" fontId="118" fillId="0" borderId="0" xfId="42" applyFont="1" applyFill="1" applyAlignment="1">
      <alignment wrapText="1"/>
    </xf>
    <xf numFmtId="0" fontId="120" fillId="0" borderId="0" xfId="42" applyFont="1" applyFill="1" applyAlignment="1">
      <alignment horizontal="left" vertical="center" wrapText="1"/>
    </xf>
    <xf numFmtId="3" fontId="148" fillId="42" borderId="10" xfId="0" applyNumberFormat="1" applyFont="1" applyFill="1" applyBorder="1" applyAlignment="1">
      <alignment vertical="center"/>
    </xf>
    <xf numFmtId="3" fontId="149" fillId="42" borderId="10" xfId="0" applyNumberFormat="1" applyFont="1" applyFill="1" applyBorder="1" applyAlignment="1">
      <alignment vertical="center"/>
    </xf>
    <xf numFmtId="3" fontId="24" fillId="24" borderId="0" xfId="0" applyNumberFormat="1" applyFont="1" applyFill="1" applyAlignment="1">
      <alignment horizontal="left" vertical="center"/>
    </xf>
    <xf numFmtId="14" fontId="127" fillId="0" borderId="10" xfId="0" applyNumberFormat="1" applyFont="1" applyFill="1" applyBorder="1" applyAlignment="1">
      <alignment horizontal="center"/>
    </xf>
    <xf numFmtId="0" fontId="73" fillId="0" borderId="10" xfId="0" applyFont="1" applyFill="1" applyBorder="1" applyAlignment="1">
      <alignment horizontal="center" vertical="center" wrapText="1"/>
    </xf>
    <xf numFmtId="0" fontId="0" fillId="0" borderId="0" xfId="0" applyAlignment="1"/>
    <xf numFmtId="3" fontId="37" fillId="0" borderId="0" xfId="42" applyNumberFormat="1" applyFill="1"/>
    <xf numFmtId="0" fontId="112" fillId="0" borderId="0" xfId="42" applyFont="1"/>
    <xf numFmtId="171" fontId="38" fillId="0" borderId="10" xfId="43" applyNumberFormat="1" applyFont="1" applyFill="1" applyBorder="1"/>
    <xf numFmtId="171" fontId="39" fillId="28" borderId="10" xfId="43" applyNumberFormat="1" applyFont="1" applyFill="1" applyBorder="1"/>
    <xf numFmtId="164" fontId="0" fillId="0" borderId="0" xfId="0" applyNumberFormat="1"/>
    <xf numFmtId="0" fontId="0" fillId="0" borderId="10" xfId="0" applyBorder="1" applyAlignment="1">
      <alignment vertical="center" wrapText="1"/>
    </xf>
    <xf numFmtId="0" fontId="0" fillId="0" borderId="0" xfId="0" applyAlignment="1">
      <alignment vertical="center"/>
    </xf>
    <xf numFmtId="0" fontId="0" fillId="0" borderId="10" xfId="0" applyBorder="1" applyAlignment="1">
      <alignment vertical="center"/>
    </xf>
    <xf numFmtId="0" fontId="37" fillId="0" borderId="10" xfId="42" applyBorder="1" applyAlignment="1">
      <alignment vertical="center"/>
    </xf>
    <xf numFmtId="0" fontId="0" fillId="0" borderId="10" xfId="0" applyBorder="1"/>
    <xf numFmtId="3" fontId="150" fillId="0" borderId="10" xfId="0" applyNumberFormat="1" applyFont="1" applyBorder="1"/>
    <xf numFmtId="4" fontId="150" fillId="0" borderId="10" xfId="0" applyNumberFormat="1" applyFont="1" applyBorder="1"/>
    <xf numFmtId="0" fontId="0" fillId="0" borderId="10" xfId="0" applyBorder="1" applyAlignment="1">
      <alignment horizontal="center"/>
    </xf>
    <xf numFmtId="3" fontId="0" fillId="0" borderId="10" xfId="0" applyNumberFormat="1" applyBorder="1"/>
    <xf numFmtId="0" fontId="152" fillId="0" borderId="10" xfId="0" applyFont="1" applyBorder="1" applyAlignment="1">
      <alignment wrapText="1"/>
    </xf>
    <xf numFmtId="3" fontId="151" fillId="0" borderId="10" xfId="0" applyNumberFormat="1" applyFont="1" applyBorder="1" applyAlignment="1">
      <alignment horizontal="left"/>
    </xf>
    <xf numFmtId="3" fontId="0" fillId="0" borderId="0" xfId="0" applyNumberFormat="1"/>
    <xf numFmtId="0" fontId="153" fillId="0" borderId="10" xfId="0" applyFont="1" applyBorder="1" applyAlignment="1">
      <alignment horizontal="left" indent="1"/>
    </xf>
    <xf numFmtId="4" fontId="153" fillId="0" borderId="10" xfId="0" applyNumberFormat="1" applyFont="1" applyBorder="1"/>
    <xf numFmtId="0" fontId="0" fillId="0" borderId="10" xfId="0" applyBorder="1" applyAlignment="1"/>
    <xf numFmtId="0" fontId="0" fillId="0" borderId="10" xfId="0" applyBorder="1" applyAlignment="1">
      <alignment wrapText="1"/>
    </xf>
    <xf numFmtId="3" fontId="0" fillId="0" borderId="10" xfId="0" applyNumberFormat="1" applyBorder="1" applyAlignment="1">
      <alignment horizontal="left"/>
    </xf>
    <xf numFmtId="3" fontId="153" fillId="0" borderId="10" xfId="0" applyNumberFormat="1" applyFont="1" applyBorder="1"/>
    <xf numFmtId="4" fontId="0" fillId="0" borderId="10" xfId="0" applyNumberFormat="1" applyBorder="1"/>
    <xf numFmtId="2" fontId="153" fillId="0" borderId="10" xfId="0" applyNumberFormat="1" applyFont="1" applyBorder="1"/>
    <xf numFmtId="0" fontId="153" fillId="0" borderId="10" xfId="0" applyFont="1" applyBorder="1"/>
    <xf numFmtId="0" fontId="0" fillId="0" borderId="0" xfId="0" applyBorder="1"/>
    <xf numFmtId="0" fontId="0" fillId="0" borderId="10" xfId="0" applyBorder="1" applyAlignment="1">
      <alignment horizontal="center" vertical="center" wrapText="1"/>
    </xf>
    <xf numFmtId="0" fontId="0" fillId="0" borderId="10" xfId="0" applyBorder="1" applyAlignment="1">
      <alignment horizontal="right"/>
    </xf>
    <xf numFmtId="0" fontId="0" fillId="0" borderId="10" xfId="0" applyBorder="1" applyAlignment="1">
      <alignment horizontal="left"/>
    </xf>
    <xf numFmtId="0" fontId="154" fillId="0" borderId="10" xfId="0" applyFont="1" applyBorder="1" applyAlignment="1">
      <alignment horizontal="left" vertical="top" wrapText="1"/>
    </xf>
    <xf numFmtId="3" fontId="0" fillId="0" borderId="10" xfId="0" applyNumberFormat="1" applyBorder="1" applyAlignment="1">
      <alignment horizontal="right"/>
    </xf>
    <xf numFmtId="169" fontId="0" fillId="0" borderId="10" xfId="0" applyNumberFormat="1" applyBorder="1" applyAlignment="1">
      <alignment horizontal="right"/>
    </xf>
    <xf numFmtId="0" fontId="155" fillId="0" borderId="0" xfId="0" applyFont="1"/>
    <xf numFmtId="165" fontId="37" fillId="0" borderId="0" xfId="42" applyNumberFormat="1"/>
    <xf numFmtId="4" fontId="24" fillId="32" borderId="10" xfId="0" applyNumberFormat="1" applyFont="1" applyFill="1" applyBorder="1" applyAlignment="1">
      <alignment vertical="center"/>
    </xf>
    <xf numFmtId="4" fontId="25" fillId="0" borderId="11" xfId="0" applyNumberFormat="1" applyFont="1" applyBorder="1" applyAlignment="1">
      <alignment horizontal="center" vertical="center" wrapText="1"/>
    </xf>
    <xf numFmtId="2" fontId="142" fillId="0" borderId="11" xfId="0" applyNumberFormat="1" applyFont="1" applyBorder="1" applyAlignment="1">
      <alignment vertical="center"/>
    </xf>
    <xf numFmtId="0" fontId="122" fillId="0" borderId="10" xfId="0" applyFont="1" applyBorder="1" applyAlignment="1">
      <alignment horizontal="right"/>
    </xf>
    <xf numFmtId="4" fontId="142" fillId="0" borderId="10" xfId="0" applyNumberFormat="1" applyFont="1" applyFill="1" applyBorder="1" applyAlignment="1">
      <alignment vertical="center"/>
    </xf>
    <xf numFmtId="0" fontId="32" fillId="0" borderId="0" xfId="0" applyNumberFormat="1" applyFont="1" applyBorder="1" applyAlignment="1">
      <alignment horizontal="center" wrapText="1"/>
    </xf>
    <xf numFmtId="3" fontId="142" fillId="0" borderId="10" xfId="0" applyNumberFormat="1" applyFont="1" applyFill="1" applyBorder="1" applyAlignment="1">
      <alignment vertical="center"/>
    </xf>
    <xf numFmtId="3" fontId="156" fillId="24" borderId="10" xfId="0" applyNumberFormat="1" applyFont="1" applyFill="1" applyBorder="1" applyAlignment="1">
      <alignment vertical="center"/>
    </xf>
    <xf numFmtId="2" fontId="24" fillId="0" borderId="10" xfId="0" applyNumberFormat="1" applyFont="1" applyBorder="1" applyAlignment="1">
      <alignment vertical="center"/>
    </xf>
    <xf numFmtId="0" fontId="26" fillId="0" borderId="0" xfId="0" applyFont="1" applyAlignment="1">
      <alignment horizontal="center"/>
    </xf>
    <xf numFmtId="0" fontId="24" fillId="0" borderId="10" xfId="0" applyNumberFormat="1" applyFont="1" applyBorder="1" applyAlignment="1">
      <alignment horizontal="center" vertical="center" wrapText="1"/>
    </xf>
    <xf numFmtId="0" fontId="35" fillId="0" borderId="0" xfId="0" applyFont="1" applyAlignment="1">
      <alignment horizontal="left"/>
    </xf>
    <xf numFmtId="0" fontId="24" fillId="0" borderId="0" xfId="0" applyNumberFormat="1" applyFont="1" applyBorder="1" applyAlignment="1">
      <alignment horizontal="left" vertical="top"/>
    </xf>
    <xf numFmtId="0" fontId="0" fillId="0" borderId="0" xfId="0" applyAlignment="1">
      <alignment vertical="top" wrapText="1"/>
    </xf>
    <xf numFmtId="0" fontId="24" fillId="0" borderId="0" xfId="0" applyNumberFormat="1" applyFont="1" applyBorder="1" applyAlignment="1">
      <alignment horizontal="justify" vertical="top" wrapText="1"/>
    </xf>
    <xf numFmtId="0" fontId="157" fillId="0" borderId="0" xfId="197" applyBorder="1"/>
    <xf numFmtId="0" fontId="157" fillId="0" borderId="10" xfId="197" applyFill="1" applyBorder="1" applyAlignment="1">
      <alignment vertical="center"/>
    </xf>
    <xf numFmtId="0" fontId="147" fillId="0" borderId="10" xfId="197" applyFont="1" applyFill="1" applyBorder="1" applyAlignment="1">
      <alignment horizontal="right" vertical="center"/>
    </xf>
    <xf numFmtId="0" fontId="147" fillId="0" borderId="10" xfId="197" applyFont="1" applyFill="1" applyBorder="1" applyAlignment="1">
      <alignment horizontal="center" vertical="center"/>
    </xf>
    <xf numFmtId="0" fontId="147" fillId="0" borderId="10" xfId="197" applyFont="1" applyFill="1" applyBorder="1" applyAlignment="1">
      <alignment vertical="center"/>
    </xf>
    <xf numFmtId="0" fontId="147" fillId="0" borderId="0" xfId="197" applyFont="1" applyFill="1" applyBorder="1" applyAlignment="1">
      <alignment vertical="top"/>
    </xf>
    <xf numFmtId="0" fontId="157" fillId="0" borderId="18" xfId="197" applyFill="1" applyBorder="1" applyAlignment="1">
      <alignment horizontal="center" vertical="center"/>
    </xf>
    <xf numFmtId="0" fontId="147" fillId="0" borderId="18" xfId="197" applyFont="1" applyFill="1" applyBorder="1" applyAlignment="1">
      <alignment horizontal="center" vertical="center"/>
    </xf>
    <xf numFmtId="0" fontId="157" fillId="0" borderId="52" xfId="197" applyFill="1" applyBorder="1" applyAlignment="1">
      <alignment horizontal="center" vertical="center"/>
    </xf>
    <xf numFmtId="0" fontId="147" fillId="0" borderId="52" xfId="197" applyFont="1" applyFill="1" applyBorder="1" applyAlignment="1">
      <alignment vertical="center" wrapText="1"/>
    </xf>
    <xf numFmtId="0" fontId="157" fillId="0" borderId="52" xfId="197" applyFill="1" applyBorder="1" applyAlignment="1">
      <alignment vertical="center"/>
    </xf>
    <xf numFmtId="3" fontId="157" fillId="0" borderId="52" xfId="197" applyNumberFormat="1" applyFill="1" applyBorder="1" applyAlignment="1">
      <alignment vertical="center"/>
    </xf>
    <xf numFmtId="3" fontId="157" fillId="0" borderId="0" xfId="197" applyNumberFormat="1" applyFill="1" applyBorder="1"/>
    <xf numFmtId="1" fontId="157" fillId="0" borderId="0" xfId="197" applyNumberFormat="1" applyBorder="1"/>
    <xf numFmtId="0" fontId="157" fillId="0" borderId="10" xfId="197" applyFill="1" applyBorder="1" applyAlignment="1">
      <alignment horizontal="center" vertical="center"/>
    </xf>
    <xf numFmtId="3" fontId="147" fillId="0" borderId="10" xfId="197" applyNumberFormat="1" applyFont="1" applyFill="1" applyBorder="1" applyAlignment="1">
      <alignment vertical="center"/>
    </xf>
    <xf numFmtId="3" fontId="147" fillId="24" borderId="10" xfId="197" applyNumberFormat="1" applyFont="1" applyFill="1" applyBorder="1" applyAlignment="1">
      <alignment vertical="center"/>
    </xf>
    <xf numFmtId="3" fontId="147" fillId="0" borderId="0" xfId="197" applyNumberFormat="1" applyFont="1" applyFill="1" applyBorder="1" applyAlignment="1">
      <alignment vertical="top"/>
    </xf>
    <xf numFmtId="0" fontId="157" fillId="0" borderId="53" xfId="197" applyFill="1" applyBorder="1" applyAlignment="1">
      <alignment horizontal="center" vertical="center"/>
    </xf>
    <xf numFmtId="0" fontId="157" fillId="0" borderId="53" xfId="197" applyFill="1" applyBorder="1" applyAlignment="1">
      <alignment vertical="center"/>
    </xf>
    <xf numFmtId="3" fontId="147" fillId="0" borderId="53" xfId="197" applyNumberFormat="1" applyFont="1" applyFill="1" applyBorder="1" applyAlignment="1">
      <alignment vertical="center"/>
    </xf>
    <xf numFmtId="0" fontId="147" fillId="0" borderId="19" xfId="197" applyFont="1" applyFill="1" applyBorder="1" applyAlignment="1">
      <alignment horizontal="center" vertical="center"/>
    </xf>
    <xf numFmtId="0" fontId="147" fillId="0" borderId="19" xfId="197" applyFont="1" applyFill="1" applyBorder="1" applyAlignment="1">
      <alignment vertical="center" wrapText="1"/>
    </xf>
    <xf numFmtId="3" fontId="147" fillId="0" borderId="19" xfId="197" applyNumberFormat="1" applyFont="1" applyFill="1" applyBorder="1" applyAlignment="1">
      <alignment horizontal="right" vertical="center" wrapText="1"/>
    </xf>
    <xf numFmtId="3" fontId="147" fillId="0" borderId="10" xfId="197" applyNumberFormat="1" applyFont="1" applyFill="1" applyBorder="1" applyAlignment="1">
      <alignment horizontal="right" vertical="top" wrapText="1"/>
    </xf>
    <xf numFmtId="0" fontId="147" fillId="0" borderId="10" xfId="197" applyFont="1" applyFill="1" applyBorder="1" applyAlignment="1">
      <alignment vertical="center" wrapText="1"/>
    </xf>
    <xf numFmtId="3" fontId="147" fillId="0" borderId="10" xfId="197" applyNumberFormat="1" applyFont="1" applyFill="1" applyBorder="1" applyAlignment="1">
      <alignment horizontal="right" vertical="center" wrapText="1"/>
    </xf>
    <xf numFmtId="3" fontId="147" fillId="24" borderId="10" xfId="197" applyNumberFormat="1" applyFont="1" applyFill="1" applyBorder="1" applyAlignment="1">
      <alignment horizontal="right" vertical="center" wrapText="1"/>
    </xf>
    <xf numFmtId="0" fontId="147" fillId="0" borderId="10" xfId="197" applyFont="1" applyFill="1" applyBorder="1" applyAlignment="1">
      <alignment horizontal="right" vertical="top"/>
    </xf>
    <xf numFmtId="3" fontId="159" fillId="24" borderId="10" xfId="197" applyNumberFormat="1" applyFont="1" applyFill="1" applyBorder="1" applyAlignment="1">
      <alignment horizontal="right" vertical="center" wrapText="1"/>
    </xf>
    <xf numFmtId="164" fontId="157" fillId="0" borderId="0" xfId="197" applyNumberFormat="1" applyBorder="1"/>
    <xf numFmtId="3" fontId="157" fillId="24" borderId="10" xfId="197" applyNumberFormat="1" applyFill="1" applyBorder="1" applyAlignment="1">
      <alignment vertical="center"/>
    </xf>
    <xf numFmtId="0" fontId="157" fillId="0" borderId="10" xfId="197" applyFill="1" applyBorder="1" applyAlignment="1">
      <alignment horizontal="right" vertical="top"/>
    </xf>
    <xf numFmtId="0" fontId="157" fillId="0" borderId="10" xfId="197" applyFill="1" applyBorder="1" applyAlignment="1">
      <alignment vertical="top"/>
    </xf>
    <xf numFmtId="0" fontId="157" fillId="0" borderId="10" xfId="197" applyFill="1" applyBorder="1" applyAlignment="1">
      <alignment horizontal="right" vertical="center"/>
    </xf>
    <xf numFmtId="175" fontId="157" fillId="0" borderId="0" xfId="196" applyNumberFormat="1" applyFont="1" applyBorder="1"/>
    <xf numFmtId="3" fontId="147" fillId="0" borderId="10" xfId="197" applyNumberFormat="1" applyFont="1" applyFill="1" applyBorder="1" applyAlignment="1">
      <alignment vertical="top"/>
    </xf>
    <xf numFmtId="3" fontId="157" fillId="0" borderId="10" xfId="197" applyNumberFormat="1" applyFill="1" applyBorder="1" applyAlignment="1">
      <alignment vertical="center"/>
    </xf>
    <xf numFmtId="0" fontId="157" fillId="0" borderId="0" xfId="197" applyBorder="1" applyAlignment="1">
      <alignment horizontal="left"/>
    </xf>
    <xf numFmtId="0" fontId="147" fillId="0" borderId="53" xfId="197" applyFont="1" applyFill="1" applyBorder="1" applyAlignment="1">
      <alignment horizontal="center" vertical="center"/>
    </xf>
    <xf numFmtId="0" fontId="147" fillId="0" borderId="17" xfId="197" applyFont="1" applyFill="1" applyBorder="1" applyAlignment="1">
      <alignment vertical="center" wrapText="1"/>
    </xf>
    <xf numFmtId="3" fontId="147" fillId="0" borderId="17" xfId="197" applyNumberFormat="1" applyFont="1" applyFill="1" applyBorder="1" applyAlignment="1">
      <alignment horizontal="right" vertical="center" wrapText="1"/>
    </xf>
    <xf numFmtId="3" fontId="147" fillId="0" borderId="0" xfId="197" applyNumberFormat="1" applyFont="1" applyFill="1" applyBorder="1" applyAlignment="1">
      <alignment horizontal="right" vertical="top" wrapText="1"/>
    </xf>
    <xf numFmtId="3" fontId="157" fillId="0" borderId="0" xfId="197" applyNumberFormat="1" applyBorder="1"/>
    <xf numFmtId="165" fontId="157" fillId="0" borderId="52" xfId="197" applyNumberFormat="1" applyFill="1" applyBorder="1" applyAlignment="1">
      <alignment vertical="center"/>
    </xf>
    <xf numFmtId="165" fontId="157" fillId="0" borderId="0" xfId="197" applyNumberFormat="1" applyFill="1" applyBorder="1"/>
    <xf numFmtId="0" fontId="157" fillId="0" borderId="18" xfId="197" applyFill="1" applyBorder="1" applyAlignment="1">
      <alignment vertical="center"/>
    </xf>
    <xf numFmtId="2" fontId="157" fillId="0" borderId="18" xfId="197" applyNumberFormat="1" applyFill="1" applyBorder="1" applyAlignment="1">
      <alignment vertical="center"/>
    </xf>
    <xf numFmtId="1" fontId="157" fillId="0" borderId="53" xfId="197" applyNumberFormat="1" applyFill="1" applyBorder="1" applyAlignment="1">
      <alignment vertical="center"/>
    </xf>
    <xf numFmtId="1" fontId="157" fillId="0" borderId="0" xfId="197" applyNumberFormat="1" applyFill="1" applyBorder="1"/>
    <xf numFmtId="1" fontId="157" fillId="0" borderId="18" xfId="197" applyNumberFormat="1" applyFill="1" applyBorder="1" applyAlignment="1">
      <alignment vertical="center"/>
    </xf>
    <xf numFmtId="1" fontId="157" fillId="0" borderId="52" xfId="197" applyNumberFormat="1" applyFill="1" applyBorder="1" applyAlignment="1">
      <alignment vertical="center"/>
    </xf>
    <xf numFmtId="165" fontId="157" fillId="0" borderId="0" xfId="197" applyNumberFormat="1" applyBorder="1"/>
    <xf numFmtId="0" fontId="147" fillId="0" borderId="17" xfId="197" applyFont="1" applyFill="1" applyBorder="1" applyAlignment="1">
      <alignment horizontal="center" vertical="center"/>
    </xf>
    <xf numFmtId="2" fontId="157" fillId="0" borderId="53" xfId="197" applyNumberFormat="1" applyFill="1" applyBorder="1" applyAlignment="1">
      <alignment vertical="center"/>
    </xf>
    <xf numFmtId="165" fontId="157" fillId="0" borderId="53" xfId="197" applyNumberFormat="1" applyFill="1" applyBorder="1" applyAlignment="1">
      <alignment vertical="center"/>
    </xf>
    <xf numFmtId="0" fontId="147" fillId="0" borderId="52" xfId="197" applyFont="1" applyFill="1" applyBorder="1" applyAlignment="1">
      <alignment horizontal="center" vertical="center"/>
    </xf>
    <xf numFmtId="0" fontId="157" fillId="0" borderId="19" xfId="197" applyFill="1" applyBorder="1" applyAlignment="1">
      <alignment vertical="center"/>
    </xf>
    <xf numFmtId="1" fontId="157" fillId="0" borderId="19" xfId="197" applyNumberFormat="1" applyFill="1" applyBorder="1" applyAlignment="1">
      <alignment vertical="center"/>
    </xf>
    <xf numFmtId="0" fontId="157" fillId="0" borderId="17" xfId="197" applyFill="1" applyBorder="1" applyAlignment="1">
      <alignment vertical="center"/>
    </xf>
    <xf numFmtId="165" fontId="157" fillId="0" borderId="17" xfId="197" applyNumberFormat="1" applyFill="1" applyBorder="1" applyAlignment="1">
      <alignment vertical="center"/>
    </xf>
    <xf numFmtId="2" fontId="157" fillId="0" borderId="52" xfId="197" applyNumberFormat="1" applyFill="1" applyBorder="1" applyAlignment="1">
      <alignment vertical="center"/>
    </xf>
    <xf numFmtId="165" fontId="157" fillId="0" borderId="10" xfId="197" applyNumberFormat="1" applyFill="1" applyBorder="1" applyAlignment="1">
      <alignment vertical="center"/>
    </xf>
    <xf numFmtId="49" fontId="147" fillId="0" borderId="10" xfId="197" applyNumberFormat="1" applyFont="1" applyFill="1" applyBorder="1" applyAlignment="1">
      <alignment vertical="center" wrapText="1"/>
    </xf>
    <xf numFmtId="0" fontId="35" fillId="0" borderId="0" xfId="0" applyFont="1" applyAlignment="1">
      <alignment horizontal="left"/>
    </xf>
    <xf numFmtId="0" fontId="24" fillId="24" borderId="10" xfId="0" applyNumberFormat="1" applyFont="1" applyFill="1" applyBorder="1" applyAlignment="1">
      <alignment vertical="top" wrapText="1"/>
    </xf>
    <xf numFmtId="3" fontId="24" fillId="0" borderId="0" xfId="0" applyNumberFormat="1" applyFont="1" applyAlignment="1">
      <alignment horizontal="left" vertical="top"/>
    </xf>
    <xf numFmtId="3" fontId="24" fillId="0" borderId="0" xfId="0" applyNumberFormat="1" applyFont="1" applyAlignment="1">
      <alignment horizontal="left" vertical="center"/>
    </xf>
    <xf numFmtId="3" fontId="24" fillId="0" borderId="10" xfId="0" applyNumberFormat="1" applyFont="1" applyFill="1" applyBorder="1" applyAlignment="1">
      <alignment horizontal="right" vertical="center" wrapText="1"/>
    </xf>
    <xf numFmtId="3" fontId="24" fillId="24" borderId="10" xfId="0" applyNumberFormat="1" applyFont="1" applyFill="1" applyBorder="1" applyAlignment="1">
      <alignment horizontal="right" vertical="center" wrapText="1"/>
    </xf>
    <xf numFmtId="164" fontId="24" fillId="0" borderId="0" xfId="0" applyNumberFormat="1" applyFont="1" applyAlignment="1">
      <alignment horizontal="right"/>
    </xf>
    <xf numFmtId="170" fontId="24" fillId="0" borderId="10" xfId="0" applyNumberFormat="1" applyFont="1" applyBorder="1" applyAlignment="1">
      <alignment vertical="center" wrapText="1"/>
    </xf>
    <xf numFmtId="170" fontId="24" fillId="0" borderId="10" xfId="0" applyNumberFormat="1" applyFont="1" applyBorder="1" applyAlignment="1">
      <alignment vertical="center"/>
    </xf>
    <xf numFmtId="3" fontId="117" fillId="0" borderId="10" xfId="0" applyNumberFormat="1" applyFont="1" applyFill="1" applyBorder="1" applyAlignment="1">
      <alignment horizontal="right" vertical="center" wrapText="1"/>
    </xf>
    <xf numFmtId="0" fontId="26" fillId="0" borderId="0" xfId="0" applyFont="1" applyAlignment="1">
      <alignment horizontal="center"/>
    </xf>
    <xf numFmtId="0" fontId="35" fillId="0" borderId="0" xfId="0" applyFont="1" applyAlignment="1">
      <alignment horizontal="left"/>
    </xf>
    <xf numFmtId="0" fontId="24" fillId="0" borderId="0" xfId="0" applyNumberFormat="1" applyFont="1" applyBorder="1" applyAlignment="1">
      <alignment horizontal="left" vertical="top"/>
    </xf>
    <xf numFmtId="0" fontId="24" fillId="0" borderId="0" xfId="0" applyNumberFormat="1" applyFont="1" applyBorder="1" applyAlignment="1">
      <alignment horizontal="justify" vertical="top" wrapText="1"/>
    </xf>
    <xf numFmtId="0" fontId="26" fillId="0" borderId="0" xfId="0" applyFont="1" applyAlignment="1">
      <alignment horizontal="center"/>
    </xf>
    <xf numFmtId="0" fontId="35" fillId="0" borderId="0" xfId="0" applyFont="1" applyAlignment="1">
      <alignment horizontal="left"/>
    </xf>
    <xf numFmtId="0" fontId="24" fillId="0" borderId="0" xfId="0" applyNumberFormat="1" applyFont="1" applyBorder="1" applyAlignment="1">
      <alignment horizontal="left" vertical="top"/>
    </xf>
    <xf numFmtId="0" fontId="0" fillId="0" borderId="0" xfId="0" applyAlignment="1">
      <alignment vertical="top" wrapText="1"/>
    </xf>
    <xf numFmtId="3" fontId="24" fillId="0" borderId="10" xfId="0" applyNumberFormat="1" applyFont="1" applyFill="1" applyBorder="1" applyAlignment="1">
      <alignment horizontal="right" vertical="top" wrapText="1"/>
    </xf>
    <xf numFmtId="4" fontId="30" fillId="0" borderId="10" xfId="0" applyNumberFormat="1" applyFont="1" applyBorder="1" applyAlignment="1">
      <alignment horizontal="right"/>
    </xf>
    <xf numFmtId="3" fontId="147" fillId="32" borderId="10" xfId="197" applyNumberFormat="1" applyFont="1" applyFill="1" applyBorder="1" applyAlignment="1">
      <alignment horizontal="right" vertical="center" wrapText="1"/>
    </xf>
    <xf numFmtId="0" fontId="147" fillId="32" borderId="10" xfId="197" applyFont="1" applyFill="1" applyBorder="1" applyAlignment="1">
      <alignment vertical="center"/>
    </xf>
    <xf numFmtId="0" fontId="147" fillId="28" borderId="10" xfId="197" applyFont="1" applyFill="1" applyBorder="1" applyAlignment="1">
      <alignment horizontal="center" vertical="center"/>
    </xf>
    <xf numFmtId="0" fontId="147" fillId="28" borderId="10" xfId="197" applyFont="1" applyFill="1" applyBorder="1" applyAlignment="1">
      <alignment vertical="center" wrapText="1"/>
    </xf>
    <xf numFmtId="3" fontId="147" fillId="28" borderId="10" xfId="197" applyNumberFormat="1" applyFont="1" applyFill="1" applyBorder="1" applyAlignment="1">
      <alignment vertical="center"/>
    </xf>
    <xf numFmtId="0" fontId="26" fillId="0" borderId="0" xfId="0" applyFont="1" applyAlignment="1">
      <alignment horizontal="center"/>
    </xf>
    <xf numFmtId="0" fontId="24" fillId="0" borderId="10" xfId="0" applyNumberFormat="1" applyFont="1" applyBorder="1" applyAlignment="1">
      <alignment horizontal="center" vertical="center" wrapText="1"/>
    </xf>
    <xf numFmtId="0" fontId="24" fillId="0" borderId="0" xfId="0" applyNumberFormat="1" applyFont="1" applyBorder="1" applyAlignment="1">
      <alignment horizontal="left" vertical="top"/>
    </xf>
    <xf numFmtId="0" fontId="24" fillId="0" borderId="0" xfId="0" applyNumberFormat="1" applyFont="1" applyBorder="1" applyAlignment="1">
      <alignment horizontal="justify" vertical="top" wrapText="1"/>
    </xf>
    <xf numFmtId="3" fontId="24" fillId="0" borderId="10" xfId="0" applyNumberFormat="1" applyFont="1" applyFill="1" applyBorder="1" applyAlignment="1">
      <alignment horizontal="center" vertical="center" wrapText="1"/>
    </xf>
    <xf numFmtId="0" fontId="147" fillId="24" borderId="10" xfId="197" applyFont="1" applyFill="1" applyBorder="1" applyAlignment="1">
      <alignment vertical="center"/>
    </xf>
    <xf numFmtId="3" fontId="147" fillId="24" borderId="19" xfId="197" applyNumberFormat="1" applyFont="1" applyFill="1" applyBorder="1" applyAlignment="1">
      <alignment horizontal="right" vertical="center" wrapText="1"/>
    </xf>
    <xf numFmtId="3" fontId="28" fillId="0" borderId="10" xfId="197" applyNumberFormat="1" applyFont="1" applyFill="1" applyBorder="1" applyAlignment="1">
      <alignment horizontal="right" vertical="center" wrapText="1"/>
    </xf>
    <xf numFmtId="3" fontId="28" fillId="0" borderId="10" xfId="197" applyNumberFormat="1" applyFont="1" applyFill="1" applyBorder="1" applyAlignment="1">
      <alignment vertical="center"/>
    </xf>
    <xf numFmtId="3" fontId="28" fillId="0" borderId="19" xfId="197" applyNumberFormat="1" applyFont="1" applyFill="1" applyBorder="1" applyAlignment="1">
      <alignment horizontal="right" vertical="center" wrapText="1"/>
    </xf>
    <xf numFmtId="3" fontId="179" fillId="0" borderId="10" xfId="0" applyNumberFormat="1" applyFont="1" applyBorder="1" applyAlignment="1">
      <alignment vertical="center"/>
    </xf>
    <xf numFmtId="0" fontId="26" fillId="0" borderId="0" xfId="0" applyFont="1" applyAlignment="1">
      <alignment horizontal="center"/>
    </xf>
    <xf numFmtId="0" fontId="35" fillId="0" borderId="0" xfId="0" applyFont="1" applyAlignment="1">
      <alignment horizontal="left"/>
    </xf>
    <xf numFmtId="0" fontId="24" fillId="0" borderId="0" xfId="0" applyNumberFormat="1" applyFont="1" applyBorder="1" applyAlignment="1">
      <alignment horizontal="left" vertical="top"/>
    </xf>
    <xf numFmtId="0" fontId="24" fillId="0" borderId="0" xfId="0" applyNumberFormat="1" applyFont="1" applyBorder="1" applyAlignment="1">
      <alignment horizontal="justify" vertical="top" wrapText="1"/>
    </xf>
    <xf numFmtId="3" fontId="147" fillId="0" borderId="18" xfId="197" applyNumberFormat="1" applyFont="1" applyFill="1" applyBorder="1" applyAlignment="1">
      <alignment horizontal="right" vertical="center" wrapText="1"/>
    </xf>
    <xf numFmtId="165" fontId="157" fillId="0" borderId="19" xfId="197" applyNumberFormat="1" applyFill="1" applyBorder="1" applyAlignment="1">
      <alignment vertical="center"/>
    </xf>
    <xf numFmtId="0" fontId="147" fillId="0" borderId="53" xfId="197" applyFont="1" applyFill="1" applyBorder="1" applyAlignment="1">
      <alignment vertical="center" wrapText="1"/>
    </xf>
    <xf numFmtId="3" fontId="147" fillId="0" borderId="53" xfId="197" applyNumberFormat="1" applyFont="1" applyFill="1" applyBorder="1" applyAlignment="1">
      <alignment horizontal="right" vertical="center" wrapText="1"/>
    </xf>
    <xf numFmtId="0" fontId="147" fillId="36" borderId="17" xfId="197" applyFont="1" applyFill="1" applyBorder="1" applyAlignment="1">
      <alignment horizontal="center" vertical="center"/>
    </xf>
    <xf numFmtId="0" fontId="147" fillId="36" borderId="19" xfId="197" applyFont="1" applyFill="1" applyBorder="1" applyAlignment="1">
      <alignment vertical="center" wrapText="1"/>
    </xf>
    <xf numFmtId="0" fontId="147" fillId="36" borderId="18" xfId="197" applyFont="1" applyFill="1" applyBorder="1" applyAlignment="1">
      <alignment vertical="center" wrapText="1"/>
    </xf>
    <xf numFmtId="3" fontId="28" fillId="36" borderId="19" xfId="197" applyNumberFormat="1" applyFont="1" applyFill="1" applyBorder="1" applyAlignment="1">
      <alignment horizontal="right" vertical="center" wrapText="1"/>
    </xf>
    <xf numFmtId="0" fontId="147" fillId="36" borderId="10" xfId="197" applyFont="1" applyFill="1" applyBorder="1" applyAlignment="1">
      <alignment vertical="center" wrapText="1"/>
    </xf>
    <xf numFmtId="0" fontId="147" fillId="36" borderId="17" xfId="197" applyFont="1" applyFill="1" applyBorder="1" applyAlignment="1">
      <alignment vertical="center" wrapText="1"/>
    </xf>
    <xf numFmtId="3" fontId="28" fillId="36" borderId="10" xfId="197" applyNumberFormat="1" applyFont="1" applyFill="1" applyBorder="1" applyAlignment="1">
      <alignment horizontal="right" vertical="center" wrapText="1"/>
    </xf>
    <xf numFmtId="0" fontId="157" fillId="36" borderId="10" xfId="197" applyFill="1" applyBorder="1" applyAlignment="1">
      <alignment vertical="center"/>
    </xf>
    <xf numFmtId="3" fontId="28" fillId="0" borderId="53" xfId="197" applyNumberFormat="1" applyFont="1" applyFill="1" applyBorder="1" applyAlignment="1">
      <alignment horizontal="right" vertical="center" wrapText="1"/>
    </xf>
    <xf numFmtId="4" fontId="28" fillId="36" borderId="10" xfId="197" applyNumberFormat="1" applyFont="1" applyFill="1" applyBorder="1" applyAlignment="1">
      <alignment horizontal="right" vertical="center" wrapText="1"/>
    </xf>
    <xf numFmtId="169" fontId="28" fillId="36" borderId="10" xfId="197" applyNumberFormat="1" applyFont="1" applyFill="1" applyBorder="1" applyAlignment="1">
      <alignment horizontal="right" vertical="center" wrapText="1"/>
    </xf>
    <xf numFmtId="0" fontId="121" fillId="0" borderId="19" xfId="197" applyFont="1" applyFill="1" applyBorder="1" applyAlignment="1">
      <alignment horizontal="right" vertical="center" wrapText="1"/>
    </xf>
    <xf numFmtId="0" fontId="107" fillId="0" borderId="19" xfId="197" applyFont="1" applyFill="1" applyBorder="1" applyAlignment="1">
      <alignment vertical="center" wrapText="1"/>
    </xf>
    <xf numFmtId="3" fontId="180" fillId="0" borderId="19" xfId="197" applyNumberFormat="1" applyFont="1" applyFill="1" applyBorder="1" applyAlignment="1">
      <alignment horizontal="right" vertical="center" wrapText="1"/>
    </xf>
    <xf numFmtId="4" fontId="121" fillId="0" borderId="19" xfId="197" applyNumberFormat="1" applyFont="1" applyFill="1" applyBorder="1" applyAlignment="1">
      <alignment horizontal="right" vertical="center" wrapText="1"/>
    </xf>
    <xf numFmtId="170" fontId="180" fillId="0" borderId="19" xfId="197" applyNumberFormat="1" applyFont="1" applyFill="1" applyBorder="1" applyAlignment="1">
      <alignment horizontal="right" vertical="center" wrapText="1"/>
    </xf>
    <xf numFmtId="170" fontId="121" fillId="0" borderId="19" xfId="197" applyNumberFormat="1" applyFont="1" applyFill="1" applyBorder="1" applyAlignment="1">
      <alignment horizontal="right" vertical="center" wrapText="1"/>
    </xf>
    <xf numFmtId="170" fontId="30" fillId="0" borderId="10" xfId="0" applyNumberFormat="1" applyFont="1" applyBorder="1" applyAlignment="1">
      <alignment horizontal="right"/>
    </xf>
    <xf numFmtId="170" fontId="30" fillId="0" borderId="10" xfId="0" applyNumberFormat="1" applyFont="1" applyBorder="1" applyAlignment="1">
      <alignment horizontal="left"/>
    </xf>
    <xf numFmtId="3" fontId="147" fillId="32" borderId="10" xfId="197" applyNumberFormat="1" applyFont="1" applyFill="1" applyBorder="1" applyAlignment="1">
      <alignment vertical="center"/>
    </xf>
    <xf numFmtId="0" fontId="147" fillId="32" borderId="10" xfId="197" applyFont="1" applyFill="1" applyBorder="1" applyAlignment="1">
      <alignment vertical="center" wrapText="1"/>
    </xf>
    <xf numFmtId="4" fontId="30" fillId="0" borderId="10" xfId="0" applyNumberFormat="1" applyFont="1" applyBorder="1" applyAlignment="1">
      <alignment horizontal="left"/>
    </xf>
    <xf numFmtId="0" fontId="24" fillId="0" borderId="11" xfId="0" applyNumberFormat="1" applyFont="1" applyBorder="1" applyAlignment="1">
      <alignment horizontal="center" vertical="center" wrapText="1"/>
    </xf>
    <xf numFmtId="0" fontId="24" fillId="0" borderId="10" xfId="0" applyNumberFormat="1" applyFont="1" applyBorder="1" applyAlignment="1">
      <alignment horizontal="center" vertical="center" wrapText="1"/>
    </xf>
    <xf numFmtId="0" fontId="24" fillId="0" borderId="0" xfId="0" applyNumberFormat="1" applyFont="1" applyBorder="1" applyAlignment="1">
      <alignment horizontal="left" vertical="top"/>
    </xf>
    <xf numFmtId="170" fontId="122" fillId="24" borderId="10" xfId="0" applyNumberFormat="1" applyFont="1" applyFill="1" applyBorder="1" applyAlignment="1">
      <alignment vertical="center"/>
    </xf>
    <xf numFmtId="170" fontId="24" fillId="24" borderId="10" xfId="0" applyNumberFormat="1" applyFont="1" applyFill="1" applyBorder="1" applyAlignment="1">
      <alignment vertical="center"/>
    </xf>
    <xf numFmtId="49" fontId="27" fillId="0" borderId="10" xfId="0" applyNumberFormat="1" applyFont="1" applyFill="1" applyBorder="1" applyAlignment="1"/>
    <xf numFmtId="164" fontId="27" fillId="0" borderId="10" xfId="0" applyNumberFormat="1" applyFont="1" applyFill="1" applyBorder="1" applyAlignment="1"/>
    <xf numFmtId="0" fontId="27" fillId="0" borderId="0" xfId="0" applyNumberFormat="1" applyFont="1" applyFill="1" applyBorder="1" applyAlignment="1">
      <alignment horizontal="left" vertical="top"/>
    </xf>
    <xf numFmtId="49" fontId="24" fillId="0" borderId="10" xfId="0" applyNumberFormat="1" applyFont="1" applyFill="1" applyBorder="1" applyAlignment="1">
      <alignment wrapText="1"/>
    </xf>
    <xf numFmtId="0" fontId="117" fillId="0" borderId="0" xfId="0" applyNumberFormat="1" applyFont="1" applyBorder="1" applyAlignment="1">
      <alignment horizontal="left"/>
    </xf>
    <xf numFmtId="0" fontId="26" fillId="0" borderId="0" xfId="0" applyFont="1" applyAlignment="1">
      <alignment horizontal="center"/>
    </xf>
    <xf numFmtId="0" fontId="24" fillId="0" borderId="10" xfId="0" applyFont="1" applyBorder="1" applyAlignment="1">
      <alignment horizontal="center" vertical="center" wrapText="1"/>
    </xf>
    <xf numFmtId="0" fontId="24" fillId="0" borderId="0" xfId="0" applyNumberFormat="1" applyFont="1" applyBorder="1" applyAlignment="1">
      <alignment horizontal="left" vertical="top"/>
    </xf>
    <xf numFmtId="0" fontId="24" fillId="0" borderId="11" xfId="0" applyNumberFormat="1" applyFont="1" applyBorder="1" applyAlignment="1">
      <alignment horizontal="center" vertical="center" wrapText="1"/>
    </xf>
    <xf numFmtId="0" fontId="24" fillId="0" borderId="13" xfId="0" applyNumberFormat="1" applyFont="1" applyBorder="1" applyAlignment="1">
      <alignment horizontal="center" vertical="center" wrapText="1"/>
    </xf>
    <xf numFmtId="0" fontId="24" fillId="0" borderId="10" xfId="0" applyNumberFormat="1" applyFont="1" applyBorder="1" applyAlignment="1">
      <alignment horizontal="center" vertical="center" wrapText="1"/>
    </xf>
    <xf numFmtId="0" fontId="24" fillId="0" borderId="0" xfId="0" applyNumberFormat="1" applyFont="1" applyBorder="1" applyAlignment="1">
      <alignment horizontal="left" vertical="top" wrapText="1"/>
    </xf>
    <xf numFmtId="0" fontId="24" fillId="0" borderId="10" xfId="0" applyFont="1" applyBorder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24" fillId="0" borderId="0" xfId="0" applyNumberFormat="1" applyFont="1" applyBorder="1" applyAlignment="1">
      <alignment horizontal="left" vertical="top"/>
    </xf>
    <xf numFmtId="0" fontId="0" fillId="0" borderId="0" xfId="0" applyAlignment="1">
      <alignment vertical="top" wrapText="1"/>
    </xf>
    <xf numFmtId="0" fontId="24" fillId="0" borderId="0" xfId="0" applyNumberFormat="1" applyFont="1" applyBorder="1" applyAlignment="1">
      <alignment vertical="top" wrapText="1"/>
    </xf>
    <xf numFmtId="164" fontId="24" fillId="0" borderId="0" xfId="0" applyNumberFormat="1" applyFont="1" applyBorder="1" applyAlignment="1">
      <alignment horizontal="left"/>
    </xf>
    <xf numFmtId="164" fontId="73" fillId="33" borderId="10" xfId="135" applyNumberFormat="1" applyFont="1" applyFill="1" applyBorder="1" applyAlignment="1"/>
    <xf numFmtId="164" fontId="73" fillId="24" borderId="10" xfId="135" applyNumberFormat="1" applyFont="1" applyFill="1" applyBorder="1" applyAlignment="1"/>
    <xf numFmtId="3" fontId="24" fillId="24" borderId="11" xfId="0" applyNumberFormat="1" applyFont="1" applyFill="1" applyBorder="1" applyAlignment="1">
      <alignment vertical="center"/>
    </xf>
    <xf numFmtId="3" fontId="121" fillId="0" borderId="11" xfId="0" applyNumberFormat="1" applyFont="1" applyBorder="1" applyAlignment="1">
      <alignment vertical="center"/>
    </xf>
    <xf numFmtId="3" fontId="122" fillId="0" borderId="11" xfId="0" applyNumberFormat="1" applyFont="1" applyBorder="1" applyAlignment="1">
      <alignment vertical="center"/>
    </xf>
    <xf numFmtId="3" fontId="24" fillId="0" borderId="11" xfId="0" applyNumberFormat="1" applyFont="1" applyBorder="1" applyAlignment="1">
      <alignment vertical="center"/>
    </xf>
    <xf numFmtId="3" fontId="24" fillId="0" borderId="11" xfId="0" applyNumberFormat="1" applyFont="1" applyFill="1" applyBorder="1" applyAlignment="1">
      <alignment vertical="center"/>
    </xf>
    <xf numFmtId="169" fontId="27" fillId="0" borderId="11" xfId="0" applyNumberFormat="1" applyFont="1" applyBorder="1" applyAlignment="1">
      <alignment vertical="center"/>
    </xf>
    <xf numFmtId="3" fontId="122" fillId="0" borderId="11" xfId="0" applyNumberFormat="1" applyFont="1" applyFill="1" applyBorder="1" applyAlignment="1">
      <alignment vertical="center"/>
    </xf>
    <xf numFmtId="3" fontId="121" fillId="0" borderId="11" xfId="0" applyNumberFormat="1" applyFont="1" applyFill="1" applyBorder="1" applyAlignment="1">
      <alignment vertical="center"/>
    </xf>
    <xf numFmtId="3" fontId="24" fillId="0" borderId="12" xfId="0" applyNumberFormat="1" applyFont="1" applyBorder="1" applyAlignment="1">
      <alignment vertical="center"/>
    </xf>
    <xf numFmtId="169" fontId="27" fillId="0" borderId="12" xfId="0" applyNumberFormat="1" applyFont="1" applyBorder="1" applyAlignment="1">
      <alignment vertical="center"/>
    </xf>
    <xf numFmtId="4" fontId="24" fillId="0" borderId="12" xfId="0" applyNumberFormat="1" applyFont="1" applyBorder="1" applyAlignment="1">
      <alignment vertical="center"/>
    </xf>
    <xf numFmtId="0" fontId="181" fillId="0" borderId="0" xfId="0" applyFont="1" applyAlignment="1">
      <alignment horizontal="left"/>
    </xf>
    <xf numFmtId="0" fontId="24" fillId="0" borderId="10" xfId="0" applyFont="1" applyBorder="1" applyAlignment="1">
      <alignment horizontal="center" vertical="center" wrapText="1"/>
    </xf>
    <xf numFmtId="0" fontId="182" fillId="0" borderId="0" xfId="0" applyNumberFormat="1" applyFont="1" applyBorder="1" applyAlignment="1">
      <alignment horizontal="left"/>
    </xf>
    <xf numFmtId="0" fontId="27" fillId="0" borderId="10" xfId="0" applyFont="1" applyBorder="1" applyAlignment="1">
      <alignment horizontal="center" vertical="center" wrapText="1"/>
    </xf>
    <xf numFmtId="4" fontId="24" fillId="0" borderId="10" xfId="0" applyNumberFormat="1" applyFont="1" applyBorder="1" applyAlignment="1">
      <alignment vertical="center" wrapText="1"/>
    </xf>
    <xf numFmtId="0" fontId="24" fillId="0" borderId="13" xfId="0" applyNumberFormat="1" applyFont="1" applyBorder="1" applyAlignment="1">
      <alignment horizontal="center" vertical="center"/>
    </xf>
    <xf numFmtId="164" fontId="27" fillId="0" borderId="13" xfId="0" applyNumberFormat="1" applyFont="1" applyBorder="1" applyAlignment="1"/>
    <xf numFmtId="164" fontId="27" fillId="24" borderId="13" xfId="0" applyNumberFormat="1" applyFont="1" applyFill="1" applyBorder="1" applyAlignment="1"/>
    <xf numFmtId="164" fontId="24" fillId="0" borderId="13" xfId="0" applyNumberFormat="1" applyFont="1" applyFill="1" applyBorder="1" applyAlignment="1"/>
    <xf numFmtId="0" fontId="24" fillId="0" borderId="13" xfId="0" applyNumberFormat="1" applyFont="1" applyBorder="1" applyAlignment="1"/>
    <xf numFmtId="164" fontId="24" fillId="24" borderId="13" xfId="0" applyNumberFormat="1" applyFont="1" applyFill="1" applyBorder="1" applyAlignment="1"/>
    <xf numFmtId="0" fontId="24" fillId="0" borderId="29" xfId="0" applyNumberFormat="1" applyFont="1" applyBorder="1" applyAlignment="1">
      <alignment horizontal="center" vertical="center" wrapText="1"/>
    </xf>
    <xf numFmtId="0" fontId="24" fillId="0" borderId="29" xfId="0" applyNumberFormat="1" applyFont="1" applyBorder="1" applyAlignment="1">
      <alignment horizontal="center" vertical="center"/>
    </xf>
    <xf numFmtId="164" fontId="27" fillId="0" borderId="29" xfId="0" applyNumberFormat="1" applyFont="1" applyBorder="1" applyAlignment="1"/>
    <xf numFmtId="164" fontId="27" fillId="24" borderId="29" xfId="0" applyNumberFormat="1" applyFont="1" applyFill="1" applyBorder="1" applyAlignment="1"/>
    <xf numFmtId="164" fontId="24" fillId="0" borderId="29" xfId="0" applyNumberFormat="1" applyFont="1" applyFill="1" applyBorder="1" applyAlignment="1"/>
    <xf numFmtId="0" fontId="24" fillId="0" borderId="29" xfId="0" applyNumberFormat="1" applyFont="1" applyBorder="1" applyAlignment="1"/>
    <xf numFmtId="164" fontId="24" fillId="24" borderId="29" xfId="0" applyNumberFormat="1" applyFont="1" applyFill="1" applyBorder="1" applyAlignment="1"/>
    <xf numFmtId="0" fontId="24" fillId="24" borderId="29" xfId="0" applyNumberFormat="1" applyFont="1" applyFill="1" applyBorder="1" applyAlignment="1"/>
    <xf numFmtId="164" fontId="24" fillId="0" borderId="13" xfId="0" applyNumberFormat="1" applyFont="1" applyBorder="1" applyAlignment="1"/>
    <xf numFmtId="0" fontId="24" fillId="0" borderId="28" xfId="0" applyNumberFormat="1" applyFont="1" applyBorder="1" applyAlignment="1">
      <alignment horizontal="center" vertical="center" wrapText="1"/>
    </xf>
    <xf numFmtId="0" fontId="24" fillId="0" borderId="28" xfId="0" applyNumberFormat="1" applyFont="1" applyBorder="1" applyAlignment="1">
      <alignment horizontal="center" vertical="center"/>
    </xf>
    <xf numFmtId="164" fontId="27" fillId="0" borderId="28" xfId="0" applyNumberFormat="1" applyFont="1" applyBorder="1" applyAlignment="1"/>
    <xf numFmtId="164" fontId="27" fillId="24" borderId="28" xfId="0" applyNumberFormat="1" applyFont="1" applyFill="1" applyBorder="1" applyAlignment="1"/>
    <xf numFmtId="164" fontId="24" fillId="0" borderId="28" xfId="0" applyNumberFormat="1" applyFont="1" applyFill="1" applyBorder="1" applyAlignment="1"/>
    <xf numFmtId="0" fontId="24" fillId="0" borderId="28" xfId="0" applyNumberFormat="1" applyFont="1" applyBorder="1" applyAlignment="1"/>
    <xf numFmtId="164" fontId="24" fillId="24" borderId="28" xfId="0" applyNumberFormat="1" applyFont="1" applyFill="1" applyBorder="1" applyAlignment="1"/>
    <xf numFmtId="0" fontId="24" fillId="24" borderId="13" xfId="0" applyNumberFormat="1" applyFont="1" applyFill="1" applyBorder="1" applyAlignment="1"/>
    <xf numFmtId="164" fontId="24" fillId="0" borderId="28" xfId="0" applyNumberFormat="1" applyFont="1" applyBorder="1" applyAlignment="1"/>
    <xf numFmtId="164" fontId="27" fillId="0" borderId="29" xfId="0" applyNumberFormat="1" applyFont="1" applyFill="1" applyBorder="1" applyAlignment="1"/>
    <xf numFmtId="0" fontId="24" fillId="0" borderId="11" xfId="0" applyNumberFormat="1" applyFont="1" applyBorder="1" applyAlignment="1">
      <alignment horizontal="center" vertical="center"/>
    </xf>
    <xf numFmtId="164" fontId="27" fillId="0" borderId="11" xfId="0" applyNumberFormat="1" applyFont="1" applyBorder="1" applyAlignment="1"/>
    <xf numFmtId="164" fontId="27" fillId="24" borderId="11" xfId="0" applyNumberFormat="1" applyFont="1" applyFill="1" applyBorder="1" applyAlignment="1"/>
    <xf numFmtId="164" fontId="27" fillId="0" borderId="11" xfId="0" applyNumberFormat="1" applyFont="1" applyFill="1" applyBorder="1" applyAlignment="1"/>
    <xf numFmtId="0" fontId="24" fillId="0" borderId="11" xfId="0" applyNumberFormat="1" applyFont="1" applyBorder="1" applyAlignment="1"/>
    <xf numFmtId="164" fontId="24" fillId="24" borderId="11" xfId="0" applyNumberFormat="1" applyFont="1" applyFill="1" applyBorder="1" applyAlignment="1"/>
    <xf numFmtId="164" fontId="24" fillId="0" borderId="11" xfId="0" applyNumberFormat="1" applyFont="1" applyFill="1" applyBorder="1" applyAlignment="1"/>
    <xf numFmtId="0" fontId="24" fillId="24" borderId="11" xfId="0" applyNumberFormat="1" applyFont="1" applyFill="1" applyBorder="1" applyAlignment="1"/>
    <xf numFmtId="164" fontId="27" fillId="0" borderId="13" xfId="0" applyNumberFormat="1" applyFont="1" applyFill="1" applyBorder="1" applyAlignment="1"/>
    <xf numFmtId="164" fontId="27" fillId="0" borderId="28" xfId="0" applyNumberFormat="1" applyFont="1" applyFill="1" applyBorder="1" applyAlignment="1"/>
    <xf numFmtId="0" fontId="24" fillId="24" borderId="28" xfId="0" applyNumberFormat="1" applyFont="1" applyFill="1" applyBorder="1" applyAlignment="1"/>
    <xf numFmtId="164" fontId="24" fillId="0" borderId="29" xfId="0" applyNumberFormat="1" applyFont="1" applyBorder="1" applyAlignment="1"/>
    <xf numFmtId="164" fontId="24" fillId="0" borderId="11" xfId="0" applyNumberFormat="1" applyFont="1" applyBorder="1" applyAlignment="1"/>
    <xf numFmtId="49" fontId="27" fillId="0" borderId="10" xfId="0" applyNumberFormat="1" applyFont="1" applyFill="1" applyBorder="1" applyAlignment="1">
      <alignment vertical="top"/>
    </xf>
    <xf numFmtId="0" fontId="27" fillId="0" borderId="10" xfId="0" applyFont="1" applyFill="1" applyBorder="1" applyAlignment="1">
      <alignment vertical="top" wrapText="1"/>
    </xf>
    <xf numFmtId="0" fontId="27" fillId="0" borderId="10" xfId="0" applyFont="1" applyFill="1" applyBorder="1" applyAlignment="1">
      <alignment horizontal="center" vertical="center"/>
    </xf>
    <xf numFmtId="165" fontId="142" fillId="0" borderId="10" xfId="0" applyNumberFormat="1" applyFont="1" applyBorder="1" applyAlignment="1">
      <alignment vertical="top"/>
    </xf>
    <xf numFmtId="2" fontId="142" fillId="0" borderId="10" xfId="0" applyNumberFormat="1" applyFont="1" applyBorder="1" applyAlignment="1">
      <alignment vertical="top"/>
    </xf>
    <xf numFmtId="3" fontId="142" fillId="0" borderId="10" xfId="0" applyNumberFormat="1" applyFont="1" applyBorder="1" applyAlignment="1">
      <alignment vertical="top"/>
    </xf>
    <xf numFmtId="169" fontId="142" fillId="0" borderId="10" xfId="0" applyNumberFormat="1" applyFont="1" applyBorder="1" applyAlignment="1">
      <alignment vertical="top"/>
    </xf>
    <xf numFmtId="4" fontId="142" fillId="0" borderId="10" xfId="0" applyNumberFormat="1" applyFont="1" applyBorder="1" applyAlignment="1">
      <alignment vertical="top"/>
    </xf>
    <xf numFmtId="3" fontId="145" fillId="0" borderId="10" xfId="0" applyNumberFormat="1" applyFont="1" applyFill="1" applyBorder="1" applyAlignment="1">
      <alignment vertical="center"/>
    </xf>
    <xf numFmtId="3" fontId="183" fillId="31" borderId="10" xfId="0" applyNumberFormat="1" applyFont="1" applyFill="1" applyBorder="1" applyAlignment="1">
      <alignment vertical="top"/>
    </xf>
    <xf numFmtId="49" fontId="27" fillId="0" borderId="10" xfId="0" applyNumberFormat="1" applyFont="1" applyFill="1" applyBorder="1" applyAlignment="1">
      <alignment vertical="center"/>
    </xf>
    <xf numFmtId="0" fontId="27" fillId="0" borderId="10" xfId="0" applyFont="1" applyFill="1" applyBorder="1" applyAlignment="1">
      <alignment vertical="center" wrapText="1"/>
    </xf>
    <xf numFmtId="49" fontId="27" fillId="28" borderId="10" xfId="0" applyNumberFormat="1" applyFont="1" applyFill="1" applyBorder="1" applyAlignment="1">
      <alignment vertical="top"/>
    </xf>
    <xf numFmtId="0" fontId="27" fillId="28" borderId="10" xfId="0" applyFont="1" applyFill="1" applyBorder="1" applyAlignment="1">
      <alignment vertical="top" wrapText="1"/>
    </xf>
    <xf numFmtId="0" fontId="27" fillId="28" borderId="10" xfId="0" applyFont="1" applyFill="1" applyBorder="1" applyAlignment="1">
      <alignment horizontal="center" vertical="center"/>
    </xf>
    <xf numFmtId="3" fontId="27" fillId="28" borderId="10" xfId="0" applyNumberFormat="1" applyFont="1" applyFill="1" applyBorder="1" applyAlignment="1">
      <alignment vertical="center"/>
    </xf>
    <xf numFmtId="0" fontId="27" fillId="28" borderId="0" xfId="0" applyFont="1" applyFill="1" applyAlignment="1">
      <alignment horizontal="left" vertical="top"/>
    </xf>
    <xf numFmtId="165" fontId="142" fillId="0" borderId="10" xfId="0" applyNumberFormat="1" applyFont="1" applyFill="1" applyBorder="1" applyAlignment="1">
      <alignment vertical="top"/>
    </xf>
    <xf numFmtId="0" fontId="142" fillId="0" borderId="10" xfId="0" applyFont="1" applyFill="1" applyBorder="1" applyAlignment="1">
      <alignment vertical="top"/>
    </xf>
    <xf numFmtId="3" fontId="142" fillId="0" borderId="10" xfId="0" applyNumberFormat="1" applyFont="1" applyFill="1" applyBorder="1" applyAlignment="1">
      <alignment vertical="top"/>
    </xf>
    <xf numFmtId="169" fontId="142" fillId="0" borderId="10" xfId="0" applyNumberFormat="1" applyFont="1" applyFill="1" applyBorder="1" applyAlignment="1">
      <alignment vertical="top"/>
    </xf>
    <xf numFmtId="3" fontId="184" fillId="28" borderId="10" xfId="0" applyNumberFormat="1" applyFont="1" applyFill="1" applyBorder="1" applyAlignment="1">
      <alignment vertical="center"/>
    </xf>
    <xf numFmtId="3" fontId="28" fillId="32" borderId="19" xfId="197" applyNumberFormat="1" applyFont="1" applyFill="1" applyBorder="1" applyAlignment="1">
      <alignment horizontal="right" vertical="center" wrapText="1"/>
    </xf>
    <xf numFmtId="3" fontId="28" fillId="32" borderId="10" xfId="197" applyNumberFormat="1" applyFont="1" applyFill="1" applyBorder="1" applyAlignment="1">
      <alignment horizontal="right" vertical="center" wrapText="1"/>
    </xf>
    <xf numFmtId="3" fontId="28" fillId="32" borderId="10" xfId="197" applyNumberFormat="1" applyFont="1" applyFill="1" applyBorder="1" applyAlignment="1">
      <alignment vertical="center"/>
    </xf>
    <xf numFmtId="3" fontId="28" fillId="28" borderId="10" xfId="197" applyNumberFormat="1" applyFont="1" applyFill="1" applyBorder="1" applyAlignment="1">
      <alignment vertical="center"/>
    </xf>
    <xf numFmtId="3" fontId="28" fillId="32" borderId="53" xfId="197" applyNumberFormat="1" applyFont="1" applyFill="1" applyBorder="1" applyAlignment="1">
      <alignment horizontal="right" vertical="center" wrapText="1"/>
    </xf>
    <xf numFmtId="0" fontId="32" fillId="0" borderId="0" xfId="0" applyNumberFormat="1" applyFont="1" applyBorder="1" applyAlignment="1">
      <alignment horizontal="center"/>
    </xf>
    <xf numFmtId="0" fontId="24" fillId="0" borderId="19" xfId="0" applyNumberFormat="1" applyFont="1" applyBorder="1" applyAlignment="1">
      <alignment horizontal="center" vertical="center" textRotation="90" wrapText="1"/>
    </xf>
    <xf numFmtId="0" fontId="24" fillId="0" borderId="0" xfId="0" applyNumberFormat="1" applyFont="1" applyBorder="1" applyAlignment="1">
      <alignment horizontal="left" vertical="top" wrapText="1"/>
    </xf>
    <xf numFmtId="0" fontId="24" fillId="0" borderId="0" xfId="0" applyNumberFormat="1" applyFont="1" applyBorder="1" applyAlignment="1">
      <alignment horizontal="left" vertical="top"/>
    </xf>
    <xf numFmtId="3" fontId="27" fillId="32" borderId="10" xfId="0" applyNumberFormat="1" applyFont="1" applyFill="1" applyBorder="1" applyAlignment="1">
      <alignment vertical="center"/>
    </xf>
    <xf numFmtId="3" fontId="27" fillId="32" borderId="13" xfId="0" applyNumberFormat="1" applyFont="1" applyFill="1" applyBorder="1" applyAlignment="1">
      <alignment vertical="center"/>
    </xf>
    <xf numFmtId="164" fontId="108" fillId="0" borderId="10" xfId="42" applyNumberFormat="1" applyFont="1" applyFill="1" applyBorder="1" applyAlignment="1">
      <alignment horizontal="center" vertical="center"/>
    </xf>
    <xf numFmtId="164" fontId="108" fillId="0" borderId="10" xfId="42" applyNumberFormat="1" applyFont="1" applyFill="1" applyBorder="1"/>
    <xf numFmtId="3" fontId="24" fillId="0" borderId="10" xfId="0" applyNumberFormat="1" applyFont="1" applyFill="1" applyBorder="1" applyAlignment="1"/>
    <xf numFmtId="172" fontId="38" fillId="40" borderId="10" xfId="43" applyNumberFormat="1" applyFill="1" applyBorder="1"/>
    <xf numFmtId="172" fontId="38" fillId="37" borderId="10" xfId="43" applyNumberFormat="1" applyFill="1" applyBorder="1"/>
    <xf numFmtId="0" fontId="122" fillId="0" borderId="10" xfId="0" applyFont="1" applyFill="1" applyBorder="1" applyAlignment="1">
      <alignment horizontal="right" vertical="center" wrapText="1"/>
    </xf>
    <xf numFmtId="0" fontId="127" fillId="0" borderId="10" xfId="0" applyFont="1" applyFill="1" applyBorder="1" applyAlignment="1">
      <alignment vertical="center" wrapText="1"/>
    </xf>
    <xf numFmtId="3" fontId="127" fillId="0" borderId="29" xfId="0" applyNumberFormat="1" applyFont="1" applyFill="1" applyBorder="1" applyAlignment="1">
      <alignment vertical="center"/>
    </xf>
    <xf numFmtId="169" fontId="24" fillId="24" borderId="10" xfId="42" applyNumberFormat="1" applyFont="1" applyFill="1" applyBorder="1" applyAlignment="1"/>
    <xf numFmtId="169" fontId="27" fillId="24" borderId="10" xfId="42" applyNumberFormat="1" applyFont="1" applyFill="1" applyBorder="1" applyAlignment="1">
      <alignment vertical="center"/>
    </xf>
    <xf numFmtId="169" fontId="27" fillId="0" borderId="10" xfId="42" applyNumberFormat="1" applyFont="1" applyBorder="1" applyAlignment="1">
      <alignment vertical="center"/>
    </xf>
    <xf numFmtId="169" fontId="24" fillId="0" borderId="10" xfId="42" applyNumberFormat="1" applyFont="1" applyBorder="1" applyAlignment="1"/>
    <xf numFmtId="169" fontId="24" fillId="0" borderId="10" xfId="42" applyNumberFormat="1" applyFont="1" applyBorder="1" applyAlignment="1">
      <alignment vertical="center"/>
    </xf>
    <xf numFmtId="169" fontId="27" fillId="0" borderId="10" xfId="42" applyNumberFormat="1" applyFont="1" applyFill="1" applyBorder="1" applyAlignment="1">
      <alignment vertical="center"/>
    </xf>
    <xf numFmtId="169" fontId="24" fillId="0" borderId="10" xfId="42" applyNumberFormat="1" applyFont="1" applyFill="1" applyBorder="1" applyAlignment="1"/>
    <xf numFmtId="169" fontId="27" fillId="0" borderId="10" xfId="308" applyNumberFormat="1" applyFont="1" applyBorder="1" applyAlignment="1">
      <alignment vertical="center"/>
    </xf>
    <xf numFmtId="169" fontId="27" fillId="0" borderId="13" xfId="308" applyNumberFormat="1" applyFont="1" applyBorder="1" applyAlignment="1">
      <alignment vertical="center"/>
    </xf>
    <xf numFmtId="169" fontId="24" fillId="0" borderId="10" xfId="308" applyNumberFormat="1" applyFont="1" applyBorder="1" applyAlignment="1">
      <alignment vertical="center"/>
    </xf>
    <xf numFmtId="169" fontId="24" fillId="0" borderId="10" xfId="308" applyNumberFormat="1" applyFont="1" applyBorder="1" applyAlignment="1"/>
    <xf numFmtId="169" fontId="24" fillId="24" borderId="10" xfId="308" applyNumberFormat="1" applyFont="1" applyFill="1" applyBorder="1" applyAlignment="1">
      <alignment vertical="center"/>
    </xf>
    <xf numFmtId="164" fontId="38" fillId="24" borderId="10" xfId="135" applyNumberFormat="1" applyFont="1" applyFill="1" applyBorder="1" applyAlignment="1"/>
    <xf numFmtId="169" fontId="77" fillId="0" borderId="31" xfId="45" applyNumberFormat="1" applyFont="1" applyFill="1" applyBorder="1" applyAlignment="1">
      <alignment horizontal="center" vertical="center"/>
    </xf>
    <xf numFmtId="4" fontId="38" fillId="28" borderId="19" xfId="136" applyNumberFormat="1" applyFont="1" applyFill="1" applyBorder="1" applyAlignment="1">
      <alignment horizontal="center" wrapText="1"/>
    </xf>
    <xf numFmtId="2" fontId="128" fillId="0" borderId="10" xfId="43" applyNumberFormat="1" applyFont="1" applyFill="1" applyBorder="1"/>
    <xf numFmtId="170" fontId="38" fillId="0" borderId="42" xfId="43" applyNumberFormat="1" applyFill="1" applyBorder="1"/>
    <xf numFmtId="170" fontId="38" fillId="0" borderId="10" xfId="43" applyNumberFormat="1" applyFill="1" applyBorder="1"/>
    <xf numFmtId="170" fontId="128" fillId="0" borderId="10" xfId="43" applyNumberFormat="1" applyFont="1" applyFill="1" applyBorder="1"/>
    <xf numFmtId="49" fontId="38" fillId="0" borderId="0" xfId="43" applyNumberFormat="1" applyFill="1"/>
    <xf numFmtId="0" fontId="185" fillId="0" borderId="0" xfId="43" applyFont="1" applyFill="1"/>
    <xf numFmtId="3" fontId="76" fillId="0" borderId="10" xfId="0" applyNumberFormat="1" applyFont="1" applyFill="1" applyBorder="1" applyAlignment="1">
      <alignment vertical="center"/>
    </xf>
    <xf numFmtId="170" fontId="30" fillId="0" borderId="10" xfId="0" applyNumberFormat="1" applyFont="1" applyFill="1" applyBorder="1" applyAlignment="1">
      <alignment vertical="center"/>
    </xf>
    <xf numFmtId="3" fontId="127" fillId="0" borderId="11" xfId="0" applyNumberFormat="1" applyFont="1" applyFill="1" applyBorder="1" applyAlignment="1">
      <alignment vertical="center"/>
    </xf>
    <xf numFmtId="1" fontId="38" fillId="0" borderId="10" xfId="43" applyNumberFormat="1" applyFill="1" applyBorder="1"/>
    <xf numFmtId="0" fontId="38" fillId="0" borderId="31" xfId="43" applyFill="1" applyBorder="1"/>
    <xf numFmtId="164" fontId="38" fillId="0" borderId="34" xfId="43" applyNumberFormat="1" applyFill="1" applyBorder="1"/>
    <xf numFmtId="3" fontId="38" fillId="0" borderId="56" xfId="43" applyNumberFormat="1" applyFill="1" applyBorder="1"/>
    <xf numFmtId="0" fontId="38" fillId="0" borderId="34" xfId="43" applyFill="1" applyBorder="1"/>
    <xf numFmtId="169" fontId="38" fillId="0" borderId="31" xfId="43" applyNumberFormat="1" applyFill="1" applyBorder="1"/>
    <xf numFmtId="164" fontId="38" fillId="0" borderId="31" xfId="43" applyNumberFormat="1" applyFill="1" applyBorder="1"/>
    <xf numFmtId="3" fontId="38" fillId="0" borderId="31" xfId="43" applyNumberFormat="1" applyFill="1" applyBorder="1"/>
    <xf numFmtId="1" fontId="38" fillId="0" borderId="31" xfId="43" applyNumberFormat="1" applyFill="1" applyBorder="1"/>
    <xf numFmtId="3" fontId="77" fillId="0" borderId="32" xfId="45" applyNumberFormat="1" applyFont="1" applyFill="1" applyBorder="1" applyAlignment="1">
      <alignment horizontal="center" vertical="center"/>
    </xf>
    <xf numFmtId="169" fontId="38" fillId="0" borderId="50" xfId="136" applyNumberFormat="1" applyFont="1" applyFill="1" applyBorder="1" applyAlignment="1">
      <alignment horizontal="center" wrapText="1"/>
    </xf>
    <xf numFmtId="3" fontId="38" fillId="0" borderId="50" xfId="136" applyNumberFormat="1" applyFont="1" applyFill="1" applyBorder="1" applyAlignment="1">
      <alignment horizontal="center" wrapText="1"/>
    </xf>
    <xf numFmtId="164" fontId="38" fillId="0" borderId="31" xfId="45" applyNumberFormat="1" applyFont="1" applyFill="1" applyBorder="1" applyAlignment="1">
      <alignment horizontal="center"/>
    </xf>
    <xf numFmtId="4" fontId="38" fillId="0" borderId="31" xfId="45" applyNumberFormat="1" applyFont="1" applyFill="1" applyBorder="1" applyAlignment="1">
      <alignment horizontal="center"/>
    </xf>
    <xf numFmtId="3" fontId="24" fillId="48" borderId="10" xfId="0" applyNumberFormat="1" applyFont="1" applyFill="1" applyBorder="1" applyAlignment="1">
      <alignment vertical="center"/>
    </xf>
    <xf numFmtId="0" fontId="24" fillId="0" borderId="10" xfId="0" applyFont="1" applyBorder="1" applyAlignment="1">
      <alignment horizontal="center" vertical="center" wrapText="1"/>
    </xf>
    <xf numFmtId="0" fontId="35" fillId="0" borderId="0" xfId="0" applyFont="1" applyAlignment="1">
      <alignment horizontal="left"/>
    </xf>
    <xf numFmtId="0" fontId="24" fillId="0" borderId="13" xfId="0" applyFont="1" applyBorder="1" applyAlignment="1">
      <alignment vertical="top"/>
    </xf>
    <xf numFmtId="4" fontId="24" fillId="0" borderId="13" xfId="0" applyNumberFormat="1" applyFont="1" applyBorder="1" applyAlignment="1">
      <alignment vertical="top"/>
    </xf>
    <xf numFmtId="3" fontId="24" fillId="32" borderId="29" xfId="0" applyNumberFormat="1" applyFont="1" applyFill="1" applyBorder="1" applyAlignment="1">
      <alignment vertical="center"/>
    </xf>
    <xf numFmtId="0" fontId="24" fillId="0" borderId="10" xfId="0" applyNumberFormat="1" applyFont="1" applyFill="1" applyBorder="1" applyAlignment="1">
      <alignment wrapText="1"/>
    </xf>
    <xf numFmtId="1" fontId="24" fillId="0" borderId="10" xfId="0" applyNumberFormat="1" applyFont="1" applyFill="1" applyBorder="1" applyAlignment="1"/>
    <xf numFmtId="3" fontId="24" fillId="0" borderId="10" xfId="0" applyNumberFormat="1" applyFont="1" applyFill="1" applyBorder="1" applyAlignment="1">
      <alignment wrapText="1"/>
    </xf>
    <xf numFmtId="1" fontId="24" fillId="0" borderId="10" xfId="0" applyNumberFormat="1" applyFont="1" applyFill="1" applyBorder="1" applyAlignment="1">
      <alignment wrapText="1"/>
    </xf>
    <xf numFmtId="3" fontId="24" fillId="0" borderId="0" xfId="0" applyNumberFormat="1" applyFont="1" applyFill="1" applyAlignment="1">
      <alignment horizontal="left" vertical="center"/>
    </xf>
    <xf numFmtId="3" fontId="24" fillId="49" borderId="10" xfId="0" applyNumberFormat="1" applyFont="1" applyFill="1" applyBorder="1" applyAlignment="1">
      <alignment vertical="center"/>
    </xf>
    <xf numFmtId="3" fontId="24" fillId="50" borderId="10" xfId="0" applyNumberFormat="1" applyFont="1" applyFill="1" applyBorder="1" applyAlignment="1">
      <alignment vertical="center"/>
    </xf>
    <xf numFmtId="3" fontId="121" fillId="50" borderId="10" xfId="0" applyNumberFormat="1" applyFont="1" applyFill="1" applyBorder="1" applyAlignment="1">
      <alignment vertical="center"/>
    </xf>
    <xf numFmtId="3" fontId="24" fillId="0" borderId="0" xfId="0" applyNumberFormat="1" applyFont="1" applyAlignment="1">
      <alignment horizontal="left"/>
    </xf>
    <xf numFmtId="169" fontId="24" fillId="0" borderId="0" xfId="0" applyNumberFormat="1" applyFont="1" applyBorder="1" applyAlignment="1">
      <alignment horizontal="left"/>
    </xf>
    <xf numFmtId="0" fontId="26" fillId="0" borderId="0" xfId="0" applyFont="1" applyAlignment="1">
      <alignment horizontal="center"/>
    </xf>
    <xf numFmtId="0" fontId="24" fillId="0" borderId="0" xfId="0" applyNumberFormat="1" applyFont="1" applyBorder="1" applyAlignment="1">
      <alignment horizontal="left" vertical="top" wrapText="1"/>
    </xf>
    <xf numFmtId="0" fontId="32" fillId="0" borderId="0" xfId="0" applyFont="1" applyAlignment="1">
      <alignment horizontal="center" wrapText="1"/>
    </xf>
    <xf numFmtId="0" fontId="0" fillId="0" borderId="0" xfId="0" applyAlignment="1">
      <alignment vertical="top" wrapText="1"/>
    </xf>
    <xf numFmtId="3" fontId="76" fillId="49" borderId="10" xfId="0" applyNumberFormat="1" applyFont="1" applyFill="1" applyBorder="1"/>
    <xf numFmtId="3" fontId="157" fillId="32" borderId="10" xfId="197" applyNumberFormat="1" applyFill="1" applyBorder="1" applyAlignment="1">
      <alignment vertical="center"/>
    </xf>
    <xf numFmtId="3" fontId="147" fillId="48" borderId="10" xfId="197" applyNumberFormat="1" applyFont="1" applyFill="1" applyBorder="1" applyAlignment="1">
      <alignment horizontal="right" vertical="center" wrapText="1"/>
    </xf>
    <xf numFmtId="3" fontId="157" fillId="48" borderId="10" xfId="197" applyNumberFormat="1" applyFill="1" applyBorder="1" applyAlignment="1">
      <alignment vertical="center"/>
    </xf>
    <xf numFmtId="0" fontId="147" fillId="48" borderId="10" xfId="197" applyFont="1" applyFill="1" applyBorder="1" applyAlignment="1">
      <alignment vertical="center"/>
    </xf>
    <xf numFmtId="3" fontId="147" fillId="48" borderId="10" xfId="197" applyNumberFormat="1" applyFont="1" applyFill="1" applyBorder="1" applyAlignment="1">
      <alignment vertical="center"/>
    </xf>
    <xf numFmtId="0" fontId="0" fillId="0" borderId="0" xfId="0" applyAlignment="1"/>
    <xf numFmtId="3" fontId="24" fillId="0" borderId="0" xfId="0" applyNumberFormat="1" applyFont="1" applyBorder="1" applyAlignment="1">
      <alignment vertical="top"/>
    </xf>
    <xf numFmtId="3" fontId="147" fillId="32" borderId="19" xfId="197" applyNumberFormat="1" applyFont="1" applyFill="1" applyBorder="1" applyAlignment="1">
      <alignment horizontal="right" vertical="center" wrapText="1"/>
    </xf>
    <xf numFmtId="3" fontId="0" fillId="0" borderId="0" xfId="0" applyNumberFormat="1" applyFill="1" applyBorder="1"/>
    <xf numFmtId="169" fontId="108" fillId="0" borderId="10" xfId="139" applyNumberFormat="1" applyFont="1" applyFill="1" applyBorder="1" applyAlignment="1">
      <alignment vertical="center"/>
    </xf>
    <xf numFmtId="0" fontId="6" fillId="0" borderId="17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0" fillId="0" borderId="57" xfId="0" applyBorder="1"/>
    <xf numFmtId="0" fontId="6" fillId="0" borderId="60" xfId="0" applyFont="1" applyBorder="1" applyAlignment="1">
      <alignment horizontal="center"/>
    </xf>
    <xf numFmtId="3" fontId="6" fillId="0" borderId="60" xfId="0" applyNumberFormat="1" applyFont="1" applyBorder="1" applyAlignment="1">
      <alignment horizontal="right"/>
    </xf>
    <xf numFmtId="1" fontId="6" fillId="0" borderId="60" xfId="0" applyNumberFormat="1" applyFont="1" applyBorder="1" applyAlignment="1">
      <alignment horizontal="center"/>
    </xf>
    <xf numFmtId="3" fontId="6" fillId="0" borderId="60" xfId="0" applyNumberFormat="1" applyFont="1" applyBorder="1"/>
    <xf numFmtId="0" fontId="0" fillId="0" borderId="61" xfId="0" applyBorder="1"/>
    <xf numFmtId="0" fontId="6" fillId="0" borderId="62" xfId="0" applyFont="1" applyBorder="1" applyAlignment="1">
      <alignment horizontal="center"/>
    </xf>
    <xf numFmtId="3" fontId="6" fillId="0" borderId="62" xfId="0" applyNumberFormat="1" applyFont="1" applyBorder="1" applyAlignment="1">
      <alignment horizontal="right"/>
    </xf>
    <xf numFmtId="1" fontId="6" fillId="0" borderId="62" xfId="0" applyNumberFormat="1" applyFont="1" applyBorder="1" applyAlignment="1">
      <alignment horizontal="center"/>
    </xf>
    <xf numFmtId="3" fontId="6" fillId="0" borderId="63" xfId="0" applyNumberFormat="1" applyFont="1" applyBorder="1"/>
    <xf numFmtId="0" fontId="0" fillId="0" borderId="66" xfId="0" applyBorder="1"/>
    <xf numFmtId="0" fontId="6" fillId="0" borderId="69" xfId="0" applyFont="1" applyBorder="1" applyAlignment="1">
      <alignment horizontal="center"/>
    </xf>
    <xf numFmtId="3" fontId="6" fillId="0" borderId="69" xfId="0" applyNumberFormat="1" applyFont="1" applyBorder="1" applyAlignment="1">
      <alignment horizontal="right"/>
    </xf>
    <xf numFmtId="1" fontId="6" fillId="0" borderId="69" xfId="0" applyNumberFormat="1" applyFont="1" applyBorder="1" applyAlignment="1">
      <alignment horizontal="center"/>
    </xf>
    <xf numFmtId="3" fontId="151" fillId="0" borderId="10" xfId="0" applyNumberFormat="1" applyFont="1" applyBorder="1" applyAlignment="1">
      <alignment horizontal="right"/>
    </xf>
    <xf numFmtId="1" fontId="0" fillId="0" borderId="63" xfId="0" applyNumberFormat="1" applyBorder="1" applyAlignment="1">
      <alignment horizontal="right"/>
    </xf>
    <xf numFmtId="3" fontId="0" fillId="0" borderId="73" xfId="0" applyNumberFormat="1" applyBorder="1"/>
    <xf numFmtId="3" fontId="0" fillId="0" borderId="63" xfId="0" applyNumberFormat="1" applyBorder="1"/>
    <xf numFmtId="0" fontId="0" fillId="0" borderId="64" xfId="0" applyBorder="1"/>
    <xf numFmtId="3" fontId="6" fillId="0" borderId="62" xfId="0" applyNumberFormat="1" applyFont="1" applyBorder="1"/>
    <xf numFmtId="1" fontId="0" fillId="0" borderId="62" xfId="0" applyNumberFormat="1" applyBorder="1" applyAlignment="1">
      <alignment horizontal="right"/>
    </xf>
    <xf numFmtId="3" fontId="0" fillId="0" borderId="61" xfId="0" applyNumberFormat="1" applyBorder="1"/>
    <xf numFmtId="3" fontId="0" fillId="0" borderId="62" xfId="0" applyNumberFormat="1" applyBorder="1"/>
    <xf numFmtId="3" fontId="6" fillId="0" borderId="69" xfId="0" applyNumberFormat="1" applyFont="1" applyBorder="1"/>
    <xf numFmtId="1" fontId="0" fillId="0" borderId="69" xfId="0" applyNumberFormat="1" applyBorder="1" applyAlignment="1">
      <alignment horizontal="right"/>
    </xf>
    <xf numFmtId="3" fontId="0" fillId="0" borderId="66" xfId="0" applyNumberFormat="1" applyBorder="1"/>
    <xf numFmtId="3" fontId="0" fillId="0" borderId="18" xfId="0" applyNumberFormat="1" applyBorder="1"/>
    <xf numFmtId="3" fontId="151" fillId="0" borderId="10" xfId="0" applyNumberFormat="1" applyFont="1" applyBorder="1" applyAlignment="1">
      <alignment horizontal="center"/>
    </xf>
    <xf numFmtId="165" fontId="0" fillId="0" borderId="10" xfId="0" applyNumberFormat="1" applyBorder="1" applyAlignment="1">
      <alignment horizontal="right"/>
    </xf>
    <xf numFmtId="3" fontId="0" fillId="0" borderId="11" xfId="0" applyNumberFormat="1" applyBorder="1"/>
    <xf numFmtId="3" fontId="151" fillId="0" borderId="10" xfId="0" applyNumberFormat="1" applyFont="1" applyBorder="1"/>
    <xf numFmtId="0" fontId="6" fillId="0" borderId="0" xfId="0" applyFont="1" applyBorder="1"/>
    <xf numFmtId="0" fontId="6" fillId="0" borderId="0" xfId="0" applyFont="1" applyBorder="1" applyAlignment="1">
      <alignment horizontal="center"/>
    </xf>
    <xf numFmtId="0" fontId="0" fillId="0" borderId="60" xfId="0" applyFont="1" applyBorder="1"/>
    <xf numFmtId="0" fontId="0" fillId="0" borderId="60" xfId="0" applyFont="1" applyBorder="1" applyAlignment="1">
      <alignment horizontal="center" wrapText="1"/>
    </xf>
    <xf numFmtId="3" fontId="0" fillId="0" borderId="60" xfId="0" applyNumberFormat="1" applyFont="1" applyBorder="1" applyAlignment="1">
      <alignment wrapText="1"/>
    </xf>
    <xf numFmtId="0" fontId="0" fillId="0" borderId="62" xfId="0" applyFont="1" applyBorder="1"/>
    <xf numFmtId="0" fontId="0" fillId="0" borderId="62" xfId="0" applyFont="1" applyBorder="1" applyAlignment="1">
      <alignment horizontal="center" wrapText="1"/>
    </xf>
    <xf numFmtId="3" fontId="0" fillId="0" borderId="62" xfId="0" applyNumberFormat="1" applyFont="1" applyBorder="1" applyAlignment="1">
      <alignment wrapText="1"/>
    </xf>
    <xf numFmtId="0" fontId="6" fillId="0" borderId="62" xfId="0" applyFont="1" applyBorder="1"/>
    <xf numFmtId="0" fontId="6" fillId="0" borderId="62" xfId="0" applyFont="1" applyBorder="1" applyAlignment="1">
      <alignment horizontal="center" wrapText="1"/>
    </xf>
    <xf numFmtId="3" fontId="6" fillId="0" borderId="62" xfId="0" applyNumberFormat="1" applyFont="1" applyBorder="1" applyAlignment="1">
      <alignment wrapText="1"/>
    </xf>
    <xf numFmtId="0" fontId="6" fillId="0" borderId="69" xfId="0" applyFont="1" applyBorder="1"/>
    <xf numFmtId="0" fontId="6" fillId="0" borderId="69" xfId="0" applyFont="1" applyBorder="1" applyAlignment="1">
      <alignment horizontal="center" wrapText="1"/>
    </xf>
    <xf numFmtId="3" fontId="6" fillId="0" borderId="69" xfId="0" applyNumberFormat="1" applyFont="1" applyBorder="1" applyAlignment="1">
      <alignment wrapText="1"/>
    </xf>
    <xf numFmtId="0" fontId="6" fillId="0" borderId="10" xfId="0" applyFont="1" applyBorder="1"/>
    <xf numFmtId="0" fontId="151" fillId="0" borderId="10" xfId="0" applyFont="1" applyBorder="1" applyAlignment="1">
      <alignment horizontal="center"/>
    </xf>
    <xf numFmtId="0" fontId="151" fillId="0" borderId="10" xfId="0" applyFont="1" applyBorder="1" applyAlignment="1">
      <alignment horizontal="center" wrapText="1"/>
    </xf>
    <xf numFmtId="0" fontId="6" fillId="0" borderId="0" xfId="0" applyFont="1" applyBorder="1" applyAlignment="1">
      <alignment horizontal="left"/>
    </xf>
    <xf numFmtId="3" fontId="6" fillId="0" borderId="0" xfId="0" applyNumberFormat="1" applyFont="1" applyBorder="1"/>
    <xf numFmtId="0" fontId="6" fillId="0" borderId="0" xfId="0" applyFont="1"/>
    <xf numFmtId="0" fontId="151" fillId="0" borderId="0" xfId="0" applyFont="1"/>
    <xf numFmtId="3" fontId="6" fillId="0" borderId="18" xfId="0" applyNumberFormat="1" applyFont="1" applyBorder="1" applyAlignment="1">
      <alignment horizontal="right"/>
    </xf>
    <xf numFmtId="0" fontId="6" fillId="0" borderId="18" xfId="0" applyFont="1" applyBorder="1" applyAlignment="1">
      <alignment horizontal="center"/>
    </xf>
    <xf numFmtId="3" fontId="6" fillId="0" borderId="19" xfId="0" applyNumberFormat="1" applyFont="1" applyBorder="1" applyAlignment="1"/>
    <xf numFmtId="0" fontId="6" fillId="0" borderId="16" xfId="0" applyFont="1" applyBorder="1"/>
    <xf numFmtId="0" fontId="6" fillId="0" borderId="23" xfId="0" applyFont="1" applyBorder="1"/>
    <xf numFmtId="0" fontId="6" fillId="0" borderId="11" xfId="0" applyFont="1" applyBorder="1" applyAlignment="1">
      <alignment horizontal="left" wrapText="1"/>
    </xf>
    <xf numFmtId="0" fontId="6" fillId="0" borderId="12" xfId="0" applyFont="1" applyBorder="1" applyAlignment="1">
      <alignment horizontal="left" wrapText="1"/>
    </xf>
    <xf numFmtId="3" fontId="6" fillId="0" borderId="10" xfId="0" applyNumberFormat="1" applyFont="1" applyBorder="1" applyAlignment="1">
      <alignment horizontal="right"/>
    </xf>
    <xf numFmtId="0" fontId="6" fillId="0" borderId="10" xfId="0" applyFont="1" applyBorder="1" applyAlignment="1">
      <alignment horizontal="center"/>
    </xf>
    <xf numFmtId="3" fontId="6" fillId="0" borderId="10" xfId="0" applyNumberFormat="1" applyFont="1" applyBorder="1" applyAlignment="1"/>
    <xf numFmtId="0" fontId="6" fillId="0" borderId="41" xfId="0" applyFont="1" applyBorder="1" applyAlignment="1">
      <alignment horizontal="left" wrapText="1"/>
    </xf>
    <xf numFmtId="3" fontId="6" fillId="0" borderId="19" xfId="0" applyNumberFormat="1" applyFont="1" applyBorder="1" applyAlignment="1">
      <alignment horizontal="right"/>
    </xf>
    <xf numFmtId="0" fontId="6" fillId="0" borderId="19" xfId="0" applyFont="1" applyBorder="1" applyAlignment="1">
      <alignment horizontal="center"/>
    </xf>
    <xf numFmtId="0" fontId="6" fillId="0" borderId="16" xfId="0" applyFont="1" applyBorder="1" applyAlignment="1">
      <alignment horizontal="left" wrapText="1"/>
    </xf>
    <xf numFmtId="0" fontId="6" fillId="0" borderId="0" xfId="0" applyFont="1" applyBorder="1" applyAlignment="1">
      <alignment horizontal="left" wrapText="1"/>
    </xf>
    <xf numFmtId="3" fontId="6" fillId="0" borderId="17" xfId="0" applyNumberFormat="1" applyFont="1" applyBorder="1" applyAlignment="1"/>
    <xf numFmtId="3" fontId="6" fillId="0" borderId="18" xfId="0" applyNumberFormat="1" applyFont="1" applyBorder="1" applyAlignment="1"/>
    <xf numFmtId="0" fontId="6" fillId="0" borderId="16" xfId="0" applyFont="1" applyBorder="1" applyAlignment="1">
      <alignment horizontal="center"/>
    </xf>
    <xf numFmtId="0" fontId="6" fillId="0" borderId="23" xfId="0" applyFont="1" applyBorder="1" applyAlignment="1">
      <alignment horizontal="center"/>
    </xf>
    <xf numFmtId="0" fontId="6" fillId="0" borderId="18" xfId="0" applyFont="1" applyBorder="1" applyAlignment="1">
      <alignment horizontal="right"/>
    </xf>
    <xf numFmtId="0" fontId="6" fillId="0" borderId="10" xfId="0" applyFont="1" applyBorder="1" applyAlignment="1"/>
    <xf numFmtId="0" fontId="6" fillId="0" borderId="10" xfId="0" applyFont="1" applyBorder="1" applyAlignment="1">
      <alignment horizontal="right"/>
    </xf>
    <xf numFmtId="0" fontId="0" fillId="0" borderId="11" xfId="0" applyBorder="1" applyAlignment="1">
      <alignment horizontal="left" wrapText="1"/>
    </xf>
    <xf numFmtId="0" fontId="6" fillId="0" borderId="17" xfId="0" applyFont="1" applyBorder="1" applyAlignment="1">
      <alignment horizontal="right"/>
    </xf>
    <xf numFmtId="0" fontId="6" fillId="0" borderId="17" xfId="0" applyFont="1" applyBorder="1" applyAlignment="1">
      <alignment horizontal="center"/>
    </xf>
    <xf numFmtId="0" fontId="0" fillId="0" borderId="0" xfId="0" applyBorder="1" applyAlignment="1">
      <alignment horizontal="left" wrapText="1"/>
    </xf>
    <xf numFmtId="0" fontId="6" fillId="0" borderId="15" xfId="0" applyFont="1" applyBorder="1" applyAlignment="1">
      <alignment horizontal="center"/>
    </xf>
    <xf numFmtId="0" fontId="6" fillId="0" borderId="45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6" fillId="0" borderId="23" xfId="0" applyFont="1" applyBorder="1" applyAlignment="1"/>
    <xf numFmtId="1" fontId="6" fillId="0" borderId="15" xfId="0" applyNumberFormat="1" applyFont="1" applyBorder="1" applyAlignment="1">
      <alignment horizontal="center"/>
    </xf>
    <xf numFmtId="0" fontId="6" fillId="0" borderId="13" xfId="0" applyFont="1" applyBorder="1" applyAlignment="1">
      <alignment horizontal="left" wrapText="1"/>
    </xf>
    <xf numFmtId="0" fontId="6" fillId="0" borderId="18" xfId="0" applyFont="1" applyBorder="1" applyAlignment="1"/>
    <xf numFmtId="0" fontId="6" fillId="0" borderId="23" xfId="0" applyFont="1" applyBorder="1" applyAlignment="1">
      <alignment horizontal="left" wrapText="1"/>
    </xf>
    <xf numFmtId="0" fontId="6" fillId="0" borderId="11" xfId="0" applyFont="1" applyBorder="1" applyAlignment="1">
      <alignment horizontal="center"/>
    </xf>
    <xf numFmtId="0" fontId="151" fillId="0" borderId="15" xfId="0" applyFont="1" applyBorder="1" applyAlignment="1">
      <alignment horizontal="center"/>
    </xf>
    <xf numFmtId="0" fontId="151" fillId="0" borderId="45" xfId="0" applyFont="1" applyBorder="1" applyAlignment="1">
      <alignment horizontal="center"/>
    </xf>
    <xf numFmtId="3" fontId="151" fillId="0" borderId="19" xfId="0" applyNumberFormat="1" applyFont="1" applyBorder="1" applyAlignment="1">
      <alignment horizontal="right"/>
    </xf>
    <xf numFmtId="3" fontId="151" fillId="0" borderId="19" xfId="0" applyNumberFormat="1" applyFont="1" applyBorder="1" applyAlignment="1">
      <alignment horizontal="center"/>
    </xf>
    <xf numFmtId="3" fontId="151" fillId="0" borderId="19" xfId="0" applyNumberFormat="1" applyFont="1" applyBorder="1" applyAlignment="1"/>
    <xf numFmtId="164" fontId="107" fillId="0" borderId="10" xfId="42" applyNumberFormat="1" applyFont="1" applyBorder="1" applyAlignment="1">
      <alignment vertical="center"/>
    </xf>
    <xf numFmtId="164" fontId="24" fillId="0" borderId="11" xfId="0" applyNumberFormat="1" applyFont="1" applyBorder="1" applyAlignment="1">
      <alignment vertical="center"/>
    </xf>
    <xf numFmtId="164" fontId="24" fillId="0" borderId="10" xfId="0" applyNumberFormat="1" applyFont="1" applyBorder="1" applyAlignment="1">
      <alignment vertical="center"/>
    </xf>
    <xf numFmtId="3" fontId="0" fillId="0" borderId="62" xfId="0" applyNumberFormat="1" applyBorder="1" applyAlignment="1">
      <alignment horizontal="right"/>
    </xf>
    <xf numFmtId="0" fontId="32" fillId="0" borderId="0" xfId="0" applyNumberFormat="1" applyFont="1" applyBorder="1" applyAlignment="1">
      <alignment horizontal="center"/>
    </xf>
    <xf numFmtId="4" fontId="76" fillId="0" borderId="29" xfId="43" applyNumberFormat="1" applyFont="1" applyFill="1" applyBorder="1" applyAlignment="1">
      <alignment horizontal="center"/>
    </xf>
    <xf numFmtId="4" fontId="30" fillId="0" borderId="29" xfId="43" applyNumberFormat="1" applyFont="1" applyFill="1" applyBorder="1" applyAlignment="1">
      <alignment horizontal="center"/>
    </xf>
    <xf numFmtId="169" fontId="76" fillId="0" borderId="29" xfId="43" applyNumberFormat="1" applyFont="1" applyFill="1" applyBorder="1" applyAlignment="1">
      <alignment horizontal="center"/>
    </xf>
    <xf numFmtId="169" fontId="30" fillId="0" borderId="29" xfId="43" applyNumberFormat="1" applyFont="1" applyFill="1" applyBorder="1" applyAlignment="1">
      <alignment horizontal="center"/>
    </xf>
    <xf numFmtId="171" fontId="30" fillId="0" borderId="10" xfId="43" applyNumberFormat="1" applyFont="1" applyFill="1" applyBorder="1" applyAlignment="1">
      <alignment horizontal="center"/>
    </xf>
    <xf numFmtId="172" fontId="30" fillId="0" borderId="10" xfId="43" applyNumberFormat="1" applyFont="1" applyFill="1" applyBorder="1" applyAlignment="1">
      <alignment horizontal="center"/>
    </xf>
    <xf numFmtId="169" fontId="24" fillId="0" borderId="0" xfId="0" applyNumberFormat="1" applyFont="1" applyFill="1" applyBorder="1" applyAlignment="1">
      <alignment horizontal="left"/>
    </xf>
    <xf numFmtId="169" fontId="27" fillId="32" borderId="10" xfId="0" applyNumberFormat="1" applyFont="1" applyFill="1" applyBorder="1" applyAlignment="1">
      <alignment vertical="center"/>
    </xf>
    <xf numFmtId="169" fontId="27" fillId="32" borderId="10" xfId="42" applyNumberFormat="1" applyFont="1" applyFill="1" applyBorder="1" applyAlignment="1">
      <alignment vertical="center"/>
    </xf>
    <xf numFmtId="0" fontId="89" fillId="30" borderId="0" xfId="42" applyFont="1" applyFill="1" applyAlignment="1">
      <alignment horizontal="center" wrapText="1"/>
    </xf>
    <xf numFmtId="0" fontId="24" fillId="0" borderId="11" xfId="0" applyNumberFormat="1" applyFont="1" applyBorder="1" applyAlignment="1">
      <alignment horizontal="center" vertical="center" wrapText="1"/>
    </xf>
    <xf numFmtId="0" fontId="24" fillId="0" borderId="13" xfId="0" applyNumberFormat="1" applyFont="1" applyBorder="1" applyAlignment="1">
      <alignment horizontal="center" vertical="center" wrapText="1"/>
    </xf>
    <xf numFmtId="0" fontId="24" fillId="0" borderId="19" xfId="0" applyNumberFormat="1" applyFont="1" applyBorder="1" applyAlignment="1">
      <alignment horizontal="center" vertical="center" textRotation="90" wrapText="1"/>
    </xf>
    <xf numFmtId="0" fontId="24" fillId="0" borderId="10" xfId="0" applyNumberFormat="1" applyFont="1" applyBorder="1" applyAlignment="1">
      <alignment horizontal="center" vertical="center" wrapText="1"/>
    </xf>
    <xf numFmtId="0" fontId="32" fillId="0" borderId="0" xfId="0" applyNumberFormat="1" applyFont="1" applyBorder="1" applyAlignment="1">
      <alignment horizontal="center"/>
    </xf>
    <xf numFmtId="0" fontId="24" fillId="0" borderId="10" xfId="0" applyFont="1" applyBorder="1" applyAlignment="1">
      <alignment horizontal="center" vertical="center" wrapText="1"/>
    </xf>
    <xf numFmtId="0" fontId="24" fillId="0" borderId="28" xfId="0" applyNumberFormat="1" applyFont="1" applyBorder="1" applyAlignment="1">
      <alignment horizontal="center" vertical="center" wrapText="1"/>
    </xf>
    <xf numFmtId="0" fontId="24" fillId="0" borderId="29" xfId="0" applyNumberFormat="1" applyFont="1" applyBorder="1" applyAlignment="1">
      <alignment horizontal="center" vertical="center" wrapText="1"/>
    </xf>
    <xf numFmtId="0" fontId="24" fillId="0" borderId="0" xfId="0" applyNumberFormat="1" applyFont="1" applyBorder="1" applyAlignment="1">
      <alignment horizontal="left" vertical="top"/>
    </xf>
    <xf numFmtId="0" fontId="107" fillId="0" borderId="10" xfId="42" applyFont="1" applyFill="1" applyBorder="1" applyAlignment="1">
      <alignment horizontal="center" vertical="top"/>
    </xf>
    <xf numFmtId="0" fontId="107" fillId="30" borderId="10" xfId="42" applyFont="1" applyFill="1" applyBorder="1" applyAlignment="1">
      <alignment horizontal="center" vertical="top" wrapText="1"/>
    </xf>
    <xf numFmtId="0" fontId="107" fillId="30" borderId="10" xfId="42" applyFont="1" applyFill="1" applyBorder="1" applyAlignment="1">
      <alignment horizontal="center" vertical="top"/>
    </xf>
    <xf numFmtId="0" fontId="26" fillId="0" borderId="0" xfId="0" applyFont="1" applyAlignment="1">
      <alignment horizontal="center"/>
    </xf>
    <xf numFmtId="0" fontId="24" fillId="0" borderId="10" xfId="0" applyNumberFormat="1" applyFont="1" applyBorder="1" applyAlignment="1">
      <alignment horizontal="center" vertical="center" wrapText="1"/>
    </xf>
    <xf numFmtId="0" fontId="24" fillId="0" borderId="0" xfId="0" applyNumberFormat="1" applyFont="1" applyBorder="1" applyAlignment="1">
      <alignment horizontal="left" vertical="top" wrapText="1"/>
    </xf>
    <xf numFmtId="0" fontId="24" fillId="0" borderId="10" xfId="0" applyFont="1" applyBorder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24" fillId="0" borderId="0" xfId="0" applyNumberFormat="1" applyFont="1" applyBorder="1" applyAlignment="1">
      <alignment horizontal="left" vertical="top"/>
    </xf>
    <xf numFmtId="0" fontId="0" fillId="0" borderId="0" xfId="0" applyAlignment="1">
      <alignment vertical="top" wrapText="1"/>
    </xf>
    <xf numFmtId="0" fontId="24" fillId="0" borderId="0" xfId="0" applyNumberFormat="1" applyFont="1" applyBorder="1" applyAlignment="1">
      <alignment vertical="top" wrapText="1"/>
    </xf>
    <xf numFmtId="169" fontId="24" fillId="24" borderId="10" xfId="42" applyNumberFormat="1" applyFont="1" applyFill="1" applyBorder="1" applyAlignment="1">
      <alignment vertical="center"/>
    </xf>
    <xf numFmtId="0" fontId="73" fillId="24" borderId="10" xfId="42" applyFont="1" applyFill="1" applyBorder="1" applyAlignment="1">
      <alignment horizontal="center"/>
    </xf>
    <xf numFmtId="0" fontId="39" fillId="0" borderId="76" xfId="45" applyFont="1" applyFill="1" applyBorder="1" applyAlignment="1"/>
    <xf numFmtId="0" fontId="39" fillId="0" borderId="0" xfId="45" applyFont="1" applyFill="1" applyBorder="1" applyAlignment="1"/>
    <xf numFmtId="164" fontId="77" fillId="0" borderId="0" xfId="45" applyNumberFormat="1" applyFont="1" applyFill="1" applyBorder="1" applyAlignment="1">
      <alignment horizontal="center" vertical="center"/>
    </xf>
    <xf numFmtId="4" fontId="77" fillId="0" borderId="0" xfId="45" applyNumberFormat="1" applyFont="1" applyFill="1" applyBorder="1" applyAlignment="1">
      <alignment horizontal="center" vertical="center"/>
    </xf>
    <xf numFmtId="3" fontId="77" fillId="0" borderId="0" xfId="45" applyNumberFormat="1" applyFont="1" applyFill="1" applyBorder="1" applyAlignment="1">
      <alignment horizontal="center" vertical="center"/>
    </xf>
    <xf numFmtId="169" fontId="38" fillId="0" borderId="41" xfId="136" applyNumberFormat="1" applyFont="1" applyFill="1" applyBorder="1" applyAlignment="1">
      <alignment horizontal="center" wrapText="1"/>
    </xf>
    <xf numFmtId="3" fontId="38" fillId="0" borderId="41" xfId="136" applyNumberFormat="1" applyFont="1" applyFill="1" applyBorder="1" applyAlignment="1">
      <alignment horizontal="center" wrapText="1"/>
    </xf>
    <xf numFmtId="164" fontId="38" fillId="0" borderId="41" xfId="45" applyNumberFormat="1" applyFont="1" applyFill="1" applyBorder="1" applyAlignment="1">
      <alignment horizontal="center"/>
    </xf>
    <xf numFmtId="4" fontId="38" fillId="0" borderId="41" xfId="45" applyNumberFormat="1" applyFont="1" applyFill="1" applyBorder="1" applyAlignment="1">
      <alignment horizontal="center"/>
    </xf>
    <xf numFmtId="170" fontId="77" fillId="0" borderId="0" xfId="45" applyNumberFormat="1" applyFont="1" applyFill="1" applyBorder="1" applyAlignment="1">
      <alignment horizontal="center" vertical="center"/>
    </xf>
    <xf numFmtId="0" fontId="24" fillId="32" borderId="0" xfId="0" applyFont="1" applyFill="1" applyAlignment="1">
      <alignment horizontal="left"/>
    </xf>
    <xf numFmtId="0" fontId="24" fillId="32" borderId="10" xfId="0" applyFont="1" applyFill="1" applyBorder="1" applyAlignment="1">
      <alignment horizontal="center" vertical="top"/>
    </xf>
    <xf numFmtId="3" fontId="146" fillId="32" borderId="10" xfId="0" applyNumberFormat="1" applyFont="1" applyFill="1" applyBorder="1" applyAlignment="1">
      <alignment vertical="center"/>
    </xf>
    <xf numFmtId="3" fontId="121" fillId="32" borderId="10" xfId="0" applyNumberFormat="1" applyFont="1" applyFill="1" applyBorder="1" applyAlignment="1">
      <alignment vertical="center"/>
    </xf>
    <xf numFmtId="3" fontId="76" fillId="32" borderId="10" xfId="0" applyNumberFormat="1" applyFont="1" applyFill="1" applyBorder="1"/>
    <xf numFmtId="3" fontId="30" fillId="32" borderId="10" xfId="0" applyNumberFormat="1" applyFont="1" applyFill="1" applyBorder="1" applyAlignment="1">
      <alignment vertical="center"/>
    </xf>
    <xf numFmtId="3" fontId="127" fillId="32" borderId="10" xfId="0" applyNumberFormat="1" applyFont="1" applyFill="1" applyBorder="1" applyAlignment="1">
      <alignment vertical="center"/>
    </xf>
    <xf numFmtId="3" fontId="26" fillId="32" borderId="10" xfId="0" applyNumberFormat="1" applyFont="1" applyFill="1" applyBorder="1" applyAlignment="1">
      <alignment vertical="center"/>
    </xf>
    <xf numFmtId="3" fontId="30" fillId="32" borderId="10" xfId="0" applyNumberFormat="1" applyFont="1" applyFill="1" applyBorder="1"/>
    <xf numFmtId="3" fontId="127" fillId="32" borderId="10" xfId="0" applyNumberFormat="1" applyFont="1" applyFill="1" applyBorder="1"/>
    <xf numFmtId="0" fontId="24" fillId="0" borderId="10" xfId="0" applyFont="1" applyBorder="1" applyAlignment="1">
      <alignment horizontal="center" vertical="center" wrapText="1"/>
    </xf>
    <xf numFmtId="3" fontId="24" fillId="24" borderId="10" xfId="0" applyNumberFormat="1" applyFont="1" applyFill="1" applyBorder="1" applyAlignment="1"/>
    <xf numFmtId="3" fontId="24" fillId="24" borderId="10" xfId="0" applyNumberFormat="1" applyFont="1" applyFill="1" applyBorder="1" applyAlignment="1">
      <alignment vertical="center" wrapText="1"/>
    </xf>
    <xf numFmtId="1" fontId="24" fillId="24" borderId="10" xfId="0" applyNumberFormat="1" applyFont="1" applyFill="1" applyBorder="1" applyAlignment="1"/>
    <xf numFmtId="0" fontId="105" fillId="0" borderId="0" xfId="42" applyFont="1"/>
    <xf numFmtId="0" fontId="89" fillId="30" borderId="0" xfId="42" applyFont="1" applyFill="1" applyAlignment="1">
      <alignment horizontal="center" wrapText="1"/>
    </xf>
    <xf numFmtId="0" fontId="24" fillId="0" borderId="10" xfId="0" applyNumberFormat="1" applyFont="1" applyBorder="1" applyAlignment="1">
      <alignment horizontal="center" vertical="center" wrapText="1"/>
    </xf>
    <xf numFmtId="0" fontId="24" fillId="0" borderId="10" xfId="0" applyNumberFormat="1" applyFont="1" applyBorder="1" applyAlignment="1">
      <alignment horizontal="center" vertical="center" textRotation="90" wrapText="1"/>
    </xf>
    <xf numFmtId="0" fontId="24" fillId="0" borderId="11" xfId="0" applyNumberFormat="1" applyFont="1" applyBorder="1" applyAlignment="1">
      <alignment horizontal="center" vertical="center" wrapText="1"/>
    </xf>
    <xf numFmtId="0" fontId="32" fillId="0" borderId="0" xfId="0" applyNumberFormat="1" applyFont="1" applyBorder="1" applyAlignment="1">
      <alignment horizontal="center"/>
    </xf>
    <xf numFmtId="0" fontId="24" fillId="0" borderId="13" xfId="0" applyNumberFormat="1" applyFont="1" applyBorder="1" applyAlignment="1">
      <alignment horizontal="center" vertical="center" wrapText="1"/>
    </xf>
    <xf numFmtId="0" fontId="24" fillId="0" borderId="19" xfId="0" applyNumberFormat="1" applyFont="1" applyBorder="1" applyAlignment="1">
      <alignment horizontal="center" vertical="center" textRotation="90" wrapText="1"/>
    </xf>
    <xf numFmtId="0" fontId="0" fillId="0" borderId="0" xfId="0" applyAlignment="1">
      <alignment horizontal="center"/>
    </xf>
    <xf numFmtId="0" fontId="24" fillId="0" borderId="28" xfId="0" applyNumberFormat="1" applyFont="1" applyBorder="1" applyAlignment="1">
      <alignment horizontal="center" vertical="center" wrapText="1"/>
    </xf>
    <xf numFmtId="0" fontId="24" fillId="0" borderId="29" xfId="0" applyNumberFormat="1" applyFont="1" applyBorder="1" applyAlignment="1">
      <alignment horizontal="center" vertical="center" wrapText="1"/>
    </xf>
    <xf numFmtId="0" fontId="24" fillId="0" borderId="0" xfId="0" applyNumberFormat="1" applyFont="1" applyBorder="1" applyAlignment="1">
      <alignment horizontal="left" vertical="top"/>
    </xf>
    <xf numFmtId="0" fontId="24" fillId="0" borderId="0" xfId="0" applyNumberFormat="1" applyFont="1" applyBorder="1" applyAlignment="1">
      <alignment horizontal="left" vertical="top" wrapText="1"/>
    </xf>
    <xf numFmtId="0" fontId="0" fillId="0" borderId="0" xfId="0" applyAlignment="1">
      <alignment horizontal="center"/>
    </xf>
    <xf numFmtId="0" fontId="24" fillId="0" borderId="10" xfId="0" applyFont="1" applyBorder="1" applyAlignment="1">
      <alignment horizontal="center" vertical="center" wrapText="1"/>
    </xf>
    <xf numFmtId="0" fontId="32" fillId="0" borderId="0" xfId="0" applyFont="1" applyAlignment="1">
      <alignment horizontal="center"/>
    </xf>
    <xf numFmtId="0" fontId="73" fillId="0" borderId="0" xfId="135" applyFont="1" applyFill="1" applyAlignment="1">
      <alignment horizontal="right" wrapText="1"/>
    </xf>
    <xf numFmtId="0" fontId="38" fillId="0" borderId="0" xfId="43" applyAlignment="1">
      <alignment horizontal="right" wrapText="1"/>
    </xf>
    <xf numFmtId="4" fontId="81" fillId="0" borderId="0" xfId="43" applyNumberFormat="1" applyFont="1" applyBorder="1" applyAlignment="1">
      <alignment horizontal="center" wrapText="1"/>
    </xf>
    <xf numFmtId="0" fontId="0" fillId="0" borderId="0" xfId="0" applyAlignment="1">
      <alignment horizontal="center" wrapText="1"/>
    </xf>
    <xf numFmtId="0" fontId="24" fillId="0" borderId="11" xfId="0" applyFont="1" applyBorder="1" applyAlignment="1">
      <alignment horizontal="center" vertical="center" wrapText="1"/>
    </xf>
    <xf numFmtId="0" fontId="39" fillId="0" borderId="10" xfId="43" applyFont="1" applyFill="1" applyBorder="1" applyAlignment="1">
      <alignment horizontal="center" vertical="center" wrapText="1"/>
    </xf>
    <xf numFmtId="0" fontId="26" fillId="0" borderId="0" xfId="0" applyFont="1" applyAlignment="1">
      <alignment horizontal="center"/>
    </xf>
    <xf numFmtId="0" fontId="24" fillId="0" borderId="0" xfId="0" applyNumberFormat="1" applyFont="1" applyBorder="1" applyAlignment="1">
      <alignment horizontal="left" vertical="top" wrapText="1"/>
    </xf>
    <xf numFmtId="0" fontId="24" fillId="0" borderId="10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32" fillId="0" borderId="0" xfId="0" applyFont="1" applyAlignment="1">
      <alignment horizontal="center"/>
    </xf>
    <xf numFmtId="0" fontId="35" fillId="0" borderId="0" xfId="0" applyFont="1" applyAlignment="1">
      <alignment horizontal="left"/>
    </xf>
    <xf numFmtId="0" fontId="24" fillId="0" borderId="0" xfId="0" applyNumberFormat="1" applyFont="1" applyBorder="1" applyAlignment="1">
      <alignment horizontal="left" vertical="top"/>
    </xf>
    <xf numFmtId="0" fontId="24" fillId="0" borderId="0" xfId="0" applyNumberFormat="1" applyFont="1" applyBorder="1" applyAlignment="1">
      <alignment horizontal="justify" vertical="top" wrapText="1"/>
    </xf>
    <xf numFmtId="3" fontId="27" fillId="28" borderId="13" xfId="0" applyNumberFormat="1" applyFont="1" applyFill="1" applyBorder="1" applyAlignment="1">
      <alignment vertical="center"/>
    </xf>
    <xf numFmtId="3" fontId="24" fillId="0" borderId="13" xfId="0" applyNumberFormat="1" applyFont="1" applyFill="1" applyBorder="1" applyAlignment="1">
      <alignment vertical="top"/>
    </xf>
    <xf numFmtId="3" fontId="27" fillId="0" borderId="13" xfId="0" applyNumberFormat="1" applyFont="1" applyFill="1" applyBorder="1" applyAlignment="1">
      <alignment vertical="center"/>
    </xf>
    <xf numFmtId="4" fontId="24" fillId="0" borderId="0" xfId="0" applyNumberFormat="1" applyFont="1" applyFill="1" applyBorder="1" applyAlignment="1">
      <alignment vertical="center"/>
    </xf>
    <xf numFmtId="4" fontId="24" fillId="32" borderId="0" xfId="0" applyNumberFormat="1" applyFont="1" applyFill="1" applyBorder="1" applyAlignment="1">
      <alignment vertical="center"/>
    </xf>
    <xf numFmtId="3" fontId="146" fillId="42" borderId="11" xfId="0" applyNumberFormat="1" applyFont="1" applyFill="1" applyBorder="1" applyAlignment="1">
      <alignment vertical="center"/>
    </xf>
    <xf numFmtId="3" fontId="27" fillId="42" borderId="11" xfId="0" applyNumberFormat="1" applyFont="1" applyFill="1" applyBorder="1" applyAlignment="1">
      <alignment vertical="center"/>
    </xf>
    <xf numFmtId="3" fontId="24" fillId="32" borderId="11" xfId="0" applyNumberFormat="1" applyFont="1" applyFill="1" applyBorder="1" applyAlignment="1">
      <alignment vertical="center"/>
    </xf>
    <xf numFmtId="3" fontId="27" fillId="38" borderId="11" xfId="0" applyNumberFormat="1" applyFont="1" applyFill="1" applyBorder="1" applyAlignment="1">
      <alignment vertical="center"/>
    </xf>
    <xf numFmtId="3" fontId="24" fillId="38" borderId="11" xfId="0" applyNumberFormat="1" applyFont="1" applyFill="1" applyBorder="1" applyAlignment="1">
      <alignment vertical="center"/>
    </xf>
    <xf numFmtId="3" fontId="26" fillId="42" borderId="11" xfId="0" applyNumberFormat="1" applyFont="1" applyFill="1" applyBorder="1" applyAlignment="1">
      <alignment vertical="center"/>
    </xf>
    <xf numFmtId="3" fontId="127" fillId="0" borderId="13" xfId="0" applyNumberFormat="1" applyFont="1" applyFill="1" applyBorder="1" applyAlignment="1">
      <alignment vertical="center"/>
    </xf>
    <xf numFmtId="3" fontId="30" fillId="0" borderId="11" xfId="0" applyNumberFormat="1" applyFont="1" applyBorder="1" applyAlignment="1">
      <alignment vertical="center"/>
    </xf>
    <xf numFmtId="3" fontId="127" fillId="0" borderId="11" xfId="0" applyNumberFormat="1" applyFont="1" applyBorder="1" applyAlignment="1">
      <alignment vertical="center"/>
    </xf>
    <xf numFmtId="0" fontId="24" fillId="0" borderId="10" xfId="0" applyFont="1" applyBorder="1" applyAlignment="1">
      <alignment horizontal="center" vertical="center" wrapText="1"/>
    </xf>
    <xf numFmtId="0" fontId="39" fillId="0" borderId="17" xfId="43" applyFont="1" applyFill="1" applyBorder="1" applyAlignment="1">
      <alignment horizontal="center" vertical="center" wrapText="1"/>
    </xf>
    <xf numFmtId="0" fontId="73" fillId="0" borderId="0" xfId="0" applyFont="1" applyBorder="1" applyAlignment="1">
      <alignment horizontal="center" vertical="center" wrapText="1"/>
    </xf>
    <xf numFmtId="3" fontId="24" fillId="0" borderId="0" xfId="0" applyNumberFormat="1" applyFont="1" applyBorder="1" applyAlignment="1"/>
    <xf numFmtId="0" fontId="24" fillId="0" borderId="0" xfId="0" applyNumberFormat="1" applyFont="1" applyBorder="1" applyAlignment="1">
      <alignment wrapText="1"/>
    </xf>
    <xf numFmtId="3" fontId="34" fillId="24" borderId="0" xfId="0" applyNumberFormat="1" applyFont="1" applyFill="1" applyBorder="1" applyAlignment="1">
      <alignment wrapText="1"/>
    </xf>
    <xf numFmtId="0" fontId="39" fillId="0" borderId="17" xfId="43" applyFont="1" applyFill="1" applyBorder="1" applyAlignment="1">
      <alignment horizontal="center" vertical="center" wrapText="1"/>
    </xf>
    <xf numFmtId="164" fontId="73" fillId="24" borderId="10" xfId="42" applyNumberFormat="1" applyFont="1" applyFill="1" applyBorder="1" applyAlignment="1">
      <alignment horizontal="center"/>
    </xf>
    <xf numFmtId="169" fontId="38" fillId="0" borderId="10" xfId="45" applyNumberFormat="1" applyFont="1" applyFill="1" applyBorder="1" applyAlignment="1">
      <alignment horizontal="center" vertical="center"/>
    </xf>
    <xf numFmtId="0" fontId="38" fillId="0" borderId="10" xfId="43" applyFill="1" applyBorder="1" applyAlignment="1">
      <alignment horizontal="center" vertical="center"/>
    </xf>
    <xf numFmtId="3" fontId="38" fillId="0" borderId="10" xfId="43" applyNumberFormat="1" applyFill="1" applyBorder="1" applyAlignment="1"/>
    <xf numFmtId="3" fontId="24" fillId="32" borderId="13" xfId="0" applyNumberFormat="1" applyFont="1" applyFill="1" applyBorder="1" applyAlignment="1">
      <alignment vertical="center"/>
    </xf>
    <xf numFmtId="169" fontId="27" fillId="32" borderId="11" xfId="0" applyNumberFormat="1" applyFont="1" applyFill="1" applyBorder="1" applyAlignment="1">
      <alignment vertical="center"/>
    </xf>
    <xf numFmtId="4" fontId="24" fillId="32" borderId="11" xfId="0" applyNumberFormat="1" applyFont="1" applyFill="1" applyBorder="1" applyAlignment="1">
      <alignment vertical="center"/>
    </xf>
    <xf numFmtId="3" fontId="39" fillId="0" borderId="10" xfId="43" applyNumberFormat="1" applyFont="1" applyFill="1" applyBorder="1"/>
    <xf numFmtId="169" fontId="122" fillId="0" borderId="10" xfId="0" applyNumberFormat="1" applyFont="1" applyFill="1" applyBorder="1" applyAlignment="1">
      <alignment vertical="center"/>
    </xf>
    <xf numFmtId="169" fontId="122" fillId="24" borderId="10" xfId="0" applyNumberFormat="1" applyFont="1" applyFill="1" applyBorder="1" applyAlignment="1">
      <alignment vertical="center"/>
    </xf>
    <xf numFmtId="0" fontId="24" fillId="0" borderId="0" xfId="0" applyNumberFormat="1" applyFont="1" applyBorder="1" applyAlignment="1">
      <alignment horizontal="left" vertical="top"/>
    </xf>
    <xf numFmtId="0" fontId="24" fillId="0" borderId="0" xfId="0" applyNumberFormat="1" applyFont="1" applyBorder="1" applyAlignment="1">
      <alignment horizontal="left" wrapText="1"/>
    </xf>
    <xf numFmtId="1" fontId="38" fillId="0" borderId="0" xfId="43" applyNumberFormat="1"/>
    <xf numFmtId="170" fontId="107" fillId="30" borderId="10" xfId="309" applyNumberFormat="1" applyFont="1" applyFill="1" applyBorder="1"/>
    <xf numFmtId="164" fontId="107" fillId="30" borderId="10" xfId="309" applyNumberFormat="1" applyFont="1" applyFill="1" applyBorder="1"/>
    <xf numFmtId="0" fontId="107" fillId="30" borderId="10" xfId="309" applyFont="1" applyFill="1" applyBorder="1"/>
    <xf numFmtId="0" fontId="37" fillId="30" borderId="10" xfId="309" applyFont="1" applyFill="1" applyBorder="1"/>
    <xf numFmtId="1" fontId="107" fillId="30" borderId="10" xfId="309" applyNumberFormat="1" applyFont="1" applyFill="1" applyBorder="1"/>
    <xf numFmtId="0" fontId="39" fillId="0" borderId="17" xfId="43" applyFont="1" applyFill="1" applyBorder="1" applyAlignment="1">
      <alignment horizontal="center" vertical="center" wrapText="1"/>
    </xf>
    <xf numFmtId="0" fontId="24" fillId="0" borderId="10" xfId="0" applyFont="1" applyFill="1" applyBorder="1" applyAlignment="1">
      <alignment horizontal="center" vertical="center" wrapText="1"/>
    </xf>
    <xf numFmtId="1" fontId="38" fillId="0" borderId="10" xfId="135" applyNumberFormat="1" applyFont="1" applyFill="1" applyBorder="1" applyAlignment="1"/>
    <xf numFmtId="170" fontId="189" fillId="0" borderId="10" xfId="45" applyNumberFormat="1" applyFont="1" applyFill="1" applyBorder="1" applyAlignment="1">
      <alignment horizontal="center" vertical="center"/>
    </xf>
    <xf numFmtId="4" fontId="189" fillId="0" borderId="17" xfId="45" applyNumberFormat="1" applyFont="1" applyFill="1" applyBorder="1" applyAlignment="1">
      <alignment horizontal="center"/>
    </xf>
    <xf numFmtId="4" fontId="189" fillId="0" borderId="10" xfId="45" applyNumberFormat="1" applyFont="1" applyFill="1" applyBorder="1" applyAlignment="1">
      <alignment horizontal="center"/>
    </xf>
    <xf numFmtId="0" fontId="24" fillId="0" borderId="10" xfId="0" applyFont="1" applyBorder="1" applyAlignment="1">
      <alignment horizontal="center" vertical="center" wrapText="1"/>
    </xf>
    <xf numFmtId="0" fontId="35" fillId="0" borderId="0" xfId="0" applyFont="1" applyAlignment="1">
      <alignment horizontal="left"/>
    </xf>
    <xf numFmtId="0" fontId="24" fillId="0" borderId="0" xfId="0" applyNumberFormat="1" applyFont="1" applyBorder="1" applyAlignment="1">
      <alignment horizontal="left" vertical="top"/>
    </xf>
    <xf numFmtId="164" fontId="189" fillId="0" borderId="10" xfId="45" applyNumberFormat="1" applyFont="1" applyFill="1" applyBorder="1" applyAlignment="1">
      <alignment horizontal="center"/>
    </xf>
    <xf numFmtId="170" fontId="38" fillId="0" borderId="10" xfId="43" applyNumberFormat="1" applyFont="1" applyFill="1" applyBorder="1"/>
    <xf numFmtId="169" fontId="27" fillId="0" borderId="10" xfId="308" applyNumberFormat="1" applyFont="1" applyFill="1" applyBorder="1" applyAlignment="1">
      <alignment vertical="center"/>
    </xf>
    <xf numFmtId="169" fontId="24" fillId="0" borderId="10" xfId="308" applyNumberFormat="1" applyFont="1" applyFill="1" applyBorder="1" applyAlignment="1"/>
    <xf numFmtId="164" fontId="24" fillId="0" borderId="10" xfId="0" applyNumberFormat="1" applyFont="1" applyFill="1" applyBorder="1" applyAlignment="1">
      <alignment vertical="top"/>
    </xf>
    <xf numFmtId="3" fontId="76" fillId="0" borderId="11" xfId="0" applyNumberFormat="1" applyFont="1" applyFill="1" applyBorder="1" applyAlignment="1">
      <alignment vertical="center"/>
    </xf>
    <xf numFmtId="3" fontId="76" fillId="0" borderId="29" xfId="0" applyNumberFormat="1" applyFont="1" applyFill="1" applyBorder="1" applyAlignment="1">
      <alignment vertical="center"/>
    </xf>
    <xf numFmtId="3" fontId="24" fillId="32" borderId="12" xfId="0" applyNumberFormat="1" applyFont="1" applyFill="1" applyBorder="1" applyAlignment="1">
      <alignment vertical="center"/>
    </xf>
    <xf numFmtId="169" fontId="27" fillId="32" borderId="29" xfId="0" applyNumberFormat="1" applyFont="1" applyFill="1" applyBorder="1" applyAlignment="1">
      <alignment vertical="center"/>
    </xf>
    <xf numFmtId="169" fontId="27" fillId="32" borderId="12" xfId="0" applyNumberFormat="1" applyFont="1" applyFill="1" applyBorder="1" applyAlignment="1">
      <alignment vertical="center"/>
    </xf>
    <xf numFmtId="4" fontId="24" fillId="32" borderId="29" xfId="0" applyNumberFormat="1" applyFont="1" applyFill="1" applyBorder="1" applyAlignment="1">
      <alignment vertical="center"/>
    </xf>
    <xf numFmtId="4" fontId="24" fillId="32" borderId="12" xfId="0" applyNumberFormat="1" applyFont="1" applyFill="1" applyBorder="1" applyAlignment="1">
      <alignment vertical="center"/>
    </xf>
    <xf numFmtId="0" fontId="24" fillId="32" borderId="0" xfId="0" applyFont="1" applyFill="1" applyAlignment="1">
      <alignment horizontal="left" vertical="center"/>
    </xf>
    <xf numFmtId="169" fontId="27" fillId="32" borderId="13" xfId="0" applyNumberFormat="1" applyFont="1" applyFill="1" applyBorder="1" applyAlignment="1">
      <alignment vertical="center"/>
    </xf>
    <xf numFmtId="4" fontId="24" fillId="32" borderId="13" xfId="0" applyNumberFormat="1" applyFont="1" applyFill="1" applyBorder="1" applyAlignment="1">
      <alignment vertical="center"/>
    </xf>
    <xf numFmtId="0" fontId="24" fillId="0" borderId="11" xfId="0" applyFont="1" applyFill="1" applyBorder="1" applyAlignment="1">
      <alignment horizontal="center" vertical="center" wrapText="1"/>
    </xf>
    <xf numFmtId="3" fontId="122" fillId="0" borderId="29" xfId="0" applyNumberFormat="1" applyFont="1" applyFill="1" applyBorder="1" applyAlignment="1">
      <alignment vertical="center"/>
    </xf>
    <xf numFmtId="3" fontId="121" fillId="0" borderId="29" xfId="0" applyNumberFormat="1" applyFont="1" applyFill="1" applyBorder="1" applyAlignment="1">
      <alignment vertical="center"/>
    </xf>
    <xf numFmtId="0" fontId="24" fillId="0" borderId="0" xfId="0" applyFont="1" applyFill="1" applyAlignment="1">
      <alignment horizontal="center"/>
    </xf>
    <xf numFmtId="0" fontId="24" fillId="0" borderId="29" xfId="0" applyFont="1" applyFill="1" applyBorder="1" applyAlignment="1">
      <alignment horizontal="center" vertical="center" wrapText="1"/>
    </xf>
    <xf numFmtId="0" fontId="24" fillId="0" borderId="11" xfId="0" applyFont="1" applyFill="1" applyBorder="1" applyAlignment="1">
      <alignment horizontal="center" vertical="top"/>
    </xf>
    <xf numFmtId="0" fontId="24" fillId="0" borderId="29" xfId="0" applyFont="1" applyFill="1" applyBorder="1" applyAlignment="1">
      <alignment horizontal="center" vertical="top"/>
    </xf>
    <xf numFmtId="0" fontId="24" fillId="0" borderId="0" xfId="0" applyFont="1" applyFill="1" applyAlignment="1">
      <alignment horizontal="right"/>
    </xf>
    <xf numFmtId="0" fontId="24" fillId="0" borderId="10" xfId="0" applyFont="1" applyFill="1" applyBorder="1" applyAlignment="1">
      <alignment horizontal="center" vertical="top"/>
    </xf>
    <xf numFmtId="3" fontId="24" fillId="51" borderId="10" xfId="0" applyNumberFormat="1" applyFont="1" applyFill="1" applyBorder="1" applyAlignment="1">
      <alignment vertical="center"/>
    </xf>
    <xf numFmtId="3" fontId="122" fillId="51" borderId="10" xfId="0" applyNumberFormat="1" applyFont="1" applyFill="1" applyBorder="1" applyAlignment="1">
      <alignment vertical="center"/>
    </xf>
    <xf numFmtId="3" fontId="76" fillId="0" borderId="29" xfId="0" applyNumberFormat="1" applyFont="1" applyBorder="1" applyAlignment="1">
      <alignment vertical="center"/>
    </xf>
    <xf numFmtId="4" fontId="38" fillId="0" borderId="10" xfId="43" applyNumberFormat="1" applyBorder="1"/>
    <xf numFmtId="4" fontId="38" fillId="0" borderId="10" xfId="43" applyNumberFormat="1" applyFill="1" applyBorder="1"/>
    <xf numFmtId="0" fontId="30" fillId="0" borderId="10" xfId="0" applyNumberFormat="1" applyFont="1" applyFill="1" applyBorder="1" applyAlignment="1">
      <alignment wrapText="1"/>
    </xf>
    <xf numFmtId="1" fontId="24" fillId="24" borderId="10" xfId="0" applyNumberFormat="1" applyFont="1" applyFill="1" applyBorder="1" applyAlignment="1">
      <alignment wrapText="1"/>
    </xf>
    <xf numFmtId="3" fontId="24" fillId="24" borderId="10" xfId="0" applyNumberFormat="1" applyFont="1" applyFill="1" applyBorder="1" applyAlignment="1">
      <alignment wrapText="1"/>
    </xf>
    <xf numFmtId="3" fontId="30" fillId="0" borderId="10" xfId="0" applyNumberFormat="1" applyFont="1" applyFill="1" applyBorder="1" applyAlignment="1">
      <alignment horizontal="center" vertical="center"/>
    </xf>
    <xf numFmtId="3" fontId="30" fillId="0" borderId="10" xfId="0" applyNumberFormat="1" applyFont="1" applyFill="1" applyBorder="1" applyAlignment="1">
      <alignment horizontal="center" vertical="center" wrapText="1"/>
    </xf>
    <xf numFmtId="3" fontId="30" fillId="0" borderId="10" xfId="0" applyNumberFormat="1" applyFont="1" applyFill="1" applyBorder="1" applyAlignment="1">
      <alignment wrapText="1"/>
    </xf>
    <xf numFmtId="0" fontId="30" fillId="0" borderId="10" xfId="0" applyNumberFormat="1" applyFont="1" applyBorder="1" applyAlignment="1">
      <alignment wrapText="1"/>
    </xf>
    <xf numFmtId="3" fontId="30" fillId="0" borderId="10" xfId="0" applyNumberFormat="1" applyFont="1" applyFill="1" applyBorder="1" applyAlignment="1"/>
    <xf numFmtId="49" fontId="73" fillId="0" borderId="10" xfId="0" applyNumberFormat="1" applyFont="1" applyFill="1" applyBorder="1" applyAlignment="1">
      <alignment horizontal="center" vertical="center" wrapText="1"/>
    </xf>
    <xf numFmtId="3" fontId="30" fillId="24" borderId="10" xfId="0" applyNumberFormat="1" applyFont="1" applyFill="1" applyBorder="1" applyAlignment="1"/>
    <xf numFmtId="3" fontId="30" fillId="24" borderId="10" xfId="0" applyNumberFormat="1" applyFont="1" applyFill="1" applyBorder="1" applyAlignment="1">
      <alignment vertical="center"/>
    </xf>
    <xf numFmtId="3" fontId="73" fillId="24" borderId="10" xfId="0" applyNumberFormat="1" applyFont="1" applyFill="1" applyBorder="1" applyAlignment="1">
      <alignment horizontal="center" vertical="center" wrapText="1"/>
    </xf>
    <xf numFmtId="1" fontId="30" fillId="0" borderId="10" xfId="0" applyNumberFormat="1" applyFont="1" applyFill="1" applyBorder="1" applyAlignment="1"/>
    <xf numFmtId="0" fontId="30" fillId="0" borderId="10" xfId="0" applyNumberFormat="1" applyFont="1" applyFill="1" applyBorder="1" applyAlignment="1"/>
    <xf numFmtId="1" fontId="30" fillId="0" borderId="10" xfId="0" applyNumberFormat="1" applyFont="1" applyFill="1" applyBorder="1" applyAlignment="1">
      <alignment vertical="center"/>
    </xf>
    <xf numFmtId="170" fontId="30" fillId="24" borderId="10" xfId="0" applyNumberFormat="1" applyFont="1" applyFill="1" applyBorder="1" applyAlignment="1">
      <alignment vertical="center"/>
    </xf>
    <xf numFmtId="0" fontId="24" fillId="0" borderId="0" xfId="0" applyNumberFormat="1" applyFont="1" applyBorder="1" applyAlignment="1">
      <alignment horizontal="left" vertical="top" wrapText="1"/>
    </xf>
    <xf numFmtId="0" fontId="24" fillId="0" borderId="0" xfId="0" applyNumberFormat="1" applyFont="1" applyBorder="1" applyAlignment="1">
      <alignment horizontal="left" vertical="top"/>
    </xf>
    <xf numFmtId="0" fontId="37" fillId="0" borderId="0" xfId="42" applyAlignment="1">
      <alignment horizontal="center" vertical="center" wrapText="1"/>
    </xf>
    <xf numFmtId="0" fontId="37" fillId="0" borderId="0" xfId="42" applyAlignment="1"/>
    <xf numFmtId="3" fontId="24" fillId="24" borderId="26" xfId="0" applyNumberFormat="1" applyFont="1" applyFill="1" applyBorder="1" applyAlignment="1">
      <alignment vertical="center"/>
    </xf>
    <xf numFmtId="0" fontId="24" fillId="0" borderId="10" xfId="0" applyFont="1" applyBorder="1" applyAlignment="1">
      <alignment horizontal="center" vertical="center" wrapText="1"/>
    </xf>
    <xf numFmtId="3" fontId="0" fillId="0" borderId="58" xfId="0" applyNumberFormat="1" applyFont="1" applyBorder="1" applyAlignment="1">
      <alignment horizontal="right" vertical="center" wrapText="1"/>
    </xf>
    <xf numFmtId="3" fontId="0" fillId="0" borderId="62" xfId="0" applyNumberFormat="1" applyFont="1" applyBorder="1" applyAlignment="1">
      <alignment horizontal="right" vertical="center" wrapText="1"/>
    </xf>
    <xf numFmtId="0" fontId="24" fillId="32" borderId="0" xfId="0" applyNumberFormat="1" applyFont="1" applyFill="1" applyBorder="1" applyAlignment="1">
      <alignment horizontal="left" vertical="top" wrapText="1"/>
    </xf>
    <xf numFmtId="0" fontId="37" fillId="0" borderId="10" xfId="42" applyBorder="1"/>
    <xf numFmtId="0" fontId="32" fillId="0" borderId="0" xfId="0" applyFont="1" applyFill="1" applyAlignment="1">
      <alignment horizontal="center"/>
    </xf>
    <xf numFmtId="0" fontId="26" fillId="0" borderId="0" xfId="0" applyFont="1" applyAlignment="1">
      <alignment horizontal="center"/>
    </xf>
    <xf numFmtId="0" fontId="24" fillId="0" borderId="10" xfId="0" applyNumberFormat="1" applyFont="1" applyBorder="1" applyAlignment="1">
      <alignment horizontal="center" vertical="center" wrapText="1"/>
    </xf>
    <xf numFmtId="0" fontId="24" fillId="0" borderId="19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  <xf numFmtId="0" fontId="35" fillId="0" borderId="0" xfId="0" applyFont="1" applyAlignment="1">
      <alignment horizontal="left"/>
    </xf>
    <xf numFmtId="0" fontId="24" fillId="0" borderId="0" xfId="0" applyNumberFormat="1" applyFont="1" applyBorder="1" applyAlignment="1">
      <alignment horizontal="left" vertical="top"/>
    </xf>
    <xf numFmtId="0" fontId="24" fillId="0" borderId="0" xfId="0" applyNumberFormat="1" applyFont="1" applyBorder="1" applyAlignment="1">
      <alignment horizontal="justify" vertical="top" wrapText="1"/>
    </xf>
    <xf numFmtId="3" fontId="38" fillId="0" borderId="51" xfId="43" applyNumberFormat="1" applyFill="1" applyBorder="1"/>
    <xf numFmtId="0" fontId="107" fillId="0" borderId="0" xfId="42" applyFont="1" applyFill="1" applyAlignment="1">
      <alignment horizontal="right"/>
    </xf>
    <xf numFmtId="0" fontId="108" fillId="0" borderId="10" xfId="42" applyFont="1" applyFill="1" applyBorder="1" applyAlignment="1">
      <alignment horizontal="center" vertical="center" wrapText="1"/>
    </xf>
    <xf numFmtId="0" fontId="114" fillId="0" borderId="10" xfId="42" applyFont="1" applyFill="1" applyBorder="1" applyAlignment="1">
      <alignment horizontal="center" vertical="center"/>
    </xf>
    <xf numFmtId="3" fontId="108" fillId="0" borderId="10" xfId="42" applyNumberFormat="1" applyFont="1" applyFill="1" applyBorder="1" applyAlignment="1">
      <alignment vertical="center"/>
    </xf>
    <xf numFmtId="2" fontId="107" fillId="0" borderId="10" xfId="42" applyNumberFormat="1" applyFont="1" applyFill="1" applyBorder="1" applyAlignment="1">
      <alignment vertical="center"/>
    </xf>
    <xf numFmtId="2" fontId="108" fillId="0" borderId="10" xfId="42" applyNumberFormat="1" applyFont="1" applyFill="1" applyBorder="1" applyAlignment="1">
      <alignment vertical="center"/>
    </xf>
    <xf numFmtId="0" fontId="26" fillId="0" borderId="0" xfId="0" applyFont="1" applyAlignment="1">
      <alignment horizontal="center"/>
    </xf>
    <xf numFmtId="0" fontId="24" fillId="0" borderId="0" xfId="0" applyNumberFormat="1" applyFont="1" applyBorder="1" applyAlignment="1">
      <alignment horizontal="left" vertical="top" wrapText="1"/>
    </xf>
    <xf numFmtId="0" fontId="32" fillId="0" borderId="0" xfId="0" applyFont="1" applyAlignment="1">
      <alignment horizontal="center"/>
    </xf>
    <xf numFmtId="0" fontId="32" fillId="0" borderId="0" xfId="0" applyFont="1" applyAlignment="1">
      <alignment horizontal="center" wrapText="1"/>
    </xf>
    <xf numFmtId="0" fontId="0" fillId="0" borderId="0" xfId="0" applyAlignment="1">
      <alignment vertical="top" wrapText="1"/>
    </xf>
    <xf numFmtId="9" fontId="24" fillId="0" borderId="10" xfId="310" applyFont="1" applyBorder="1" applyAlignment="1">
      <alignment vertical="top"/>
    </xf>
    <xf numFmtId="9" fontId="24" fillId="0" borderId="29" xfId="310" applyFont="1" applyBorder="1" applyAlignment="1">
      <alignment vertical="top"/>
    </xf>
    <xf numFmtId="173" fontId="24" fillId="28" borderId="10" xfId="310" applyNumberFormat="1" applyFont="1" applyFill="1" applyBorder="1" applyAlignment="1">
      <alignment vertical="center"/>
    </xf>
    <xf numFmtId="3" fontId="24" fillId="0" borderId="13" xfId="0" applyNumberFormat="1" applyFont="1" applyBorder="1" applyAlignment="1">
      <alignment vertical="top" wrapText="1"/>
    </xf>
    <xf numFmtId="3" fontId="24" fillId="24" borderId="13" xfId="0" applyNumberFormat="1" applyFont="1" applyFill="1" applyBorder="1" applyAlignment="1">
      <alignment horizontal="right" vertical="top" wrapText="1"/>
    </xf>
    <xf numFmtId="3" fontId="24" fillId="0" borderId="0" xfId="0" applyNumberFormat="1" applyFont="1" applyBorder="1" applyAlignment="1">
      <alignment horizontal="left"/>
    </xf>
    <xf numFmtId="0" fontId="24" fillId="0" borderId="0" xfId="0" applyFont="1" applyBorder="1" applyAlignment="1">
      <alignment horizontal="left"/>
    </xf>
    <xf numFmtId="3" fontId="24" fillId="28" borderId="10" xfId="0" applyNumberFormat="1" applyFont="1" applyFill="1" applyBorder="1" applyAlignment="1">
      <alignment vertical="top"/>
    </xf>
    <xf numFmtId="3" fontId="24" fillId="0" borderId="0" xfId="0" applyNumberFormat="1" applyFont="1" applyFill="1" applyBorder="1" applyAlignment="1">
      <alignment vertical="top"/>
    </xf>
    <xf numFmtId="0" fontId="26" fillId="0" borderId="0" xfId="0" applyFont="1" applyAlignment="1">
      <alignment horizontal="center"/>
    </xf>
    <xf numFmtId="0" fontId="24" fillId="0" borderId="0" xfId="0" applyNumberFormat="1" applyFont="1" applyBorder="1" applyAlignment="1">
      <alignment horizontal="left" vertical="top" wrapText="1"/>
    </xf>
    <xf numFmtId="0" fontId="32" fillId="0" borderId="0" xfId="0" applyFont="1" applyAlignment="1">
      <alignment horizontal="center" wrapText="1"/>
    </xf>
    <xf numFmtId="0" fontId="0" fillId="0" borderId="0" xfId="0" applyAlignment="1">
      <alignment vertical="top" wrapText="1"/>
    </xf>
    <xf numFmtId="0" fontId="24" fillId="0" borderId="0" xfId="0" applyFont="1" applyBorder="1" applyAlignment="1">
      <alignment horizontal="right"/>
    </xf>
    <xf numFmtId="170" fontId="30" fillId="0" borderId="0" xfId="0" applyNumberFormat="1" applyFont="1" applyBorder="1" applyAlignment="1">
      <alignment horizontal="right"/>
    </xf>
    <xf numFmtId="170" fontId="30" fillId="0" borderId="0" xfId="0" applyNumberFormat="1" applyFont="1" applyBorder="1" applyAlignment="1">
      <alignment horizontal="left"/>
    </xf>
    <xf numFmtId="4" fontId="30" fillId="0" borderId="0" xfId="0" applyNumberFormat="1" applyFont="1" applyBorder="1" applyAlignment="1">
      <alignment horizontal="right"/>
    </xf>
    <xf numFmtId="4" fontId="30" fillId="0" borderId="0" xfId="0" applyNumberFormat="1" applyFont="1" applyBorder="1" applyAlignment="1">
      <alignment horizontal="left"/>
    </xf>
    <xf numFmtId="0" fontId="32" fillId="0" borderId="0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164" fontId="146" fillId="42" borderId="0" xfId="0" applyNumberFormat="1" applyFont="1" applyFill="1" applyAlignment="1">
      <alignment horizontal="left" vertical="center"/>
    </xf>
    <xf numFmtId="164" fontId="24" fillId="0" borderId="0" xfId="0" applyNumberFormat="1" applyFont="1" applyAlignment="1">
      <alignment horizontal="left"/>
    </xf>
    <xf numFmtId="164" fontId="146" fillId="42" borderId="0" xfId="0" applyNumberFormat="1" applyFont="1" applyFill="1" applyAlignment="1">
      <alignment horizontal="right" vertical="center"/>
    </xf>
    <xf numFmtId="3" fontId="30" fillId="0" borderId="0" xfId="0" applyNumberFormat="1" applyFont="1" applyBorder="1" applyAlignment="1">
      <alignment horizontal="right"/>
    </xf>
    <xf numFmtId="1" fontId="24" fillId="0" borderId="0" xfId="0" applyNumberFormat="1" applyFont="1" applyAlignment="1">
      <alignment horizontal="right"/>
    </xf>
    <xf numFmtId="0" fontId="76" fillId="29" borderId="33" xfId="43" applyFont="1" applyFill="1" applyBorder="1" applyAlignment="1">
      <alignment horizontal="center"/>
    </xf>
    <xf numFmtId="0" fontId="76" fillId="29" borderId="12" xfId="43" applyFont="1" applyFill="1" applyBorder="1" applyAlignment="1">
      <alignment horizontal="center"/>
    </xf>
    <xf numFmtId="0" fontId="76" fillId="29" borderId="41" xfId="43" applyFont="1" applyFill="1" applyBorder="1" applyAlignment="1">
      <alignment horizontal="center"/>
    </xf>
    <xf numFmtId="0" fontId="76" fillId="29" borderId="26" xfId="43" applyFont="1" applyFill="1" applyBorder="1" applyAlignment="1">
      <alignment horizontal="center"/>
    </xf>
    <xf numFmtId="0" fontId="38" fillId="0" borderId="11" xfId="43" applyFill="1" applyBorder="1" applyAlignment="1">
      <alignment horizontal="center"/>
    </xf>
    <xf numFmtId="0" fontId="38" fillId="0" borderId="12" xfId="43" applyBorder="1" applyAlignment="1">
      <alignment horizontal="center"/>
    </xf>
    <xf numFmtId="0" fontId="38" fillId="0" borderId="13" xfId="43" applyBorder="1" applyAlignment="1">
      <alignment horizontal="center"/>
    </xf>
    <xf numFmtId="0" fontId="38" fillId="0" borderId="10" xfId="43" applyFill="1" applyBorder="1" applyAlignment="1">
      <alignment horizontal="center"/>
    </xf>
    <xf numFmtId="0" fontId="38" fillId="0" borderId="10" xfId="43" applyBorder="1" applyAlignment="1">
      <alignment horizontal="center"/>
    </xf>
    <xf numFmtId="0" fontId="38" fillId="0" borderId="10" xfId="43" applyBorder="1" applyAlignment="1"/>
    <xf numFmtId="0" fontId="76" fillId="29" borderId="10" xfId="43" applyFont="1" applyFill="1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2" xfId="0" applyBorder="1" applyAlignment="1"/>
    <xf numFmtId="0" fontId="0" fillId="0" borderId="13" xfId="0" applyBorder="1" applyAlignment="1"/>
    <xf numFmtId="0" fontId="38" fillId="0" borderId="15" xfId="43" applyFill="1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45" xfId="0" applyBorder="1" applyAlignment="1">
      <alignment horizontal="center"/>
    </xf>
    <xf numFmtId="0" fontId="0" fillId="0" borderId="41" xfId="0" applyBorder="1" applyAlignment="1"/>
    <xf numFmtId="0" fontId="0" fillId="0" borderId="45" xfId="0" applyBorder="1" applyAlignment="1"/>
    <xf numFmtId="0" fontId="26" fillId="0" borderId="0" xfId="0" applyFont="1" applyAlignment="1">
      <alignment horizontal="center"/>
    </xf>
    <xf numFmtId="0" fontId="108" fillId="0" borderId="17" xfId="42" applyFont="1" applyFill="1" applyBorder="1" applyAlignment="1">
      <alignment horizontal="center" vertical="center"/>
    </xf>
    <xf numFmtId="0" fontId="76" fillId="0" borderId="19" xfId="43" applyFont="1" applyBorder="1" applyAlignment="1">
      <alignment horizontal="center"/>
    </xf>
    <xf numFmtId="0" fontId="108" fillId="30" borderId="17" xfId="42" applyFont="1" applyFill="1" applyBorder="1" applyAlignment="1">
      <alignment horizontal="center" vertical="center" wrapText="1"/>
    </xf>
    <xf numFmtId="0" fontId="76" fillId="30" borderId="19" xfId="43" applyFont="1" applyFill="1" applyBorder="1" applyAlignment="1">
      <alignment horizontal="center" wrapText="1"/>
    </xf>
    <xf numFmtId="0" fontId="109" fillId="30" borderId="17" xfId="43" applyFont="1" applyFill="1" applyBorder="1" applyAlignment="1">
      <alignment horizontal="center" vertical="center" wrapText="1"/>
    </xf>
    <xf numFmtId="0" fontId="109" fillId="30" borderId="19" xfId="43" applyFont="1" applyFill="1" applyBorder="1" applyAlignment="1">
      <alignment horizontal="center" vertical="center" wrapText="1"/>
    </xf>
    <xf numFmtId="0" fontId="89" fillId="30" borderId="0" xfId="42" applyFont="1" applyFill="1" applyAlignment="1">
      <alignment horizontal="center" wrapText="1"/>
    </xf>
    <xf numFmtId="0" fontId="109" fillId="30" borderId="10" xfId="45" applyFont="1" applyFill="1" applyBorder="1" applyAlignment="1">
      <alignment horizontal="center" vertical="center" wrapText="1"/>
    </xf>
    <xf numFmtId="0" fontId="124" fillId="0" borderId="17" xfId="43" applyFont="1" applyFill="1" applyBorder="1" applyAlignment="1">
      <alignment horizontal="center" vertical="center" wrapText="1"/>
    </xf>
    <xf numFmtId="0" fontId="124" fillId="0" borderId="19" xfId="43" applyFont="1" applyFill="1" applyBorder="1" applyAlignment="1">
      <alignment horizontal="center" vertical="center" wrapText="1"/>
    </xf>
    <xf numFmtId="0" fontId="39" fillId="0" borderId="10" xfId="45" applyFont="1" applyFill="1" applyBorder="1" applyAlignment="1">
      <alignment horizontal="center" vertical="center"/>
    </xf>
    <xf numFmtId="49" fontId="107" fillId="0" borderId="0" xfId="42" applyNumberFormat="1" applyFont="1" applyFill="1" applyBorder="1" applyAlignment="1">
      <alignment horizontal="left" vertical="center" wrapText="1"/>
    </xf>
    <xf numFmtId="49" fontId="108" fillId="0" borderId="17" xfId="42" applyNumberFormat="1" applyFont="1" applyFill="1" applyBorder="1" applyAlignment="1">
      <alignment horizontal="center" vertical="center"/>
    </xf>
    <xf numFmtId="49" fontId="76" fillId="0" borderId="19" xfId="43" applyNumberFormat="1" applyFont="1" applyFill="1" applyBorder="1" applyAlignment="1">
      <alignment horizontal="center"/>
    </xf>
    <xf numFmtId="0" fontId="108" fillId="0" borderId="17" xfId="42" applyFont="1" applyFill="1" applyBorder="1" applyAlignment="1">
      <alignment horizontal="center" vertical="center" wrapText="1"/>
    </xf>
    <xf numFmtId="0" fontId="76" fillId="0" borderId="19" xfId="43" applyFont="1" applyFill="1" applyBorder="1" applyAlignment="1">
      <alignment horizontal="center" wrapText="1"/>
    </xf>
    <xf numFmtId="49" fontId="108" fillId="0" borderId="0" xfId="42" applyNumberFormat="1" applyFont="1" applyFill="1" applyBorder="1" applyAlignment="1">
      <alignment horizontal="left" vertical="center" wrapText="1"/>
    </xf>
    <xf numFmtId="0" fontId="76" fillId="0" borderId="0" xfId="43" applyFont="1" applyFill="1" applyAlignment="1">
      <alignment horizontal="left" wrapText="1"/>
    </xf>
    <xf numFmtId="0" fontId="24" fillId="0" borderId="11" xfId="0" applyNumberFormat="1" applyFont="1" applyBorder="1" applyAlignment="1">
      <alignment horizontal="center" vertical="center" wrapText="1"/>
    </xf>
    <xf numFmtId="0" fontId="24" fillId="0" borderId="12" xfId="0" applyNumberFormat="1" applyFont="1" applyBorder="1" applyAlignment="1">
      <alignment horizontal="center" vertical="center" wrapText="1"/>
    </xf>
    <xf numFmtId="0" fontId="24" fillId="0" borderId="13" xfId="0" applyNumberFormat="1" applyFont="1" applyBorder="1" applyAlignment="1">
      <alignment horizontal="center" vertical="center" wrapText="1"/>
    </xf>
    <xf numFmtId="0" fontId="24" fillId="0" borderId="17" xfId="0" applyNumberFormat="1" applyFont="1" applyBorder="1" applyAlignment="1">
      <alignment horizontal="center" vertical="center" wrapText="1"/>
    </xf>
    <xf numFmtId="0" fontId="24" fillId="0" borderId="18" xfId="0" applyNumberFormat="1" applyFont="1" applyBorder="1" applyAlignment="1">
      <alignment horizontal="center" vertical="center" wrapText="1"/>
    </xf>
    <xf numFmtId="0" fontId="24" fillId="0" borderId="19" xfId="0" applyNumberFormat="1" applyFont="1" applyBorder="1" applyAlignment="1">
      <alignment horizontal="center" vertical="center" wrapText="1"/>
    </xf>
    <xf numFmtId="0" fontId="24" fillId="0" borderId="17" xfId="0" applyNumberFormat="1" applyFont="1" applyBorder="1" applyAlignment="1">
      <alignment horizontal="center" vertical="center" textRotation="90" wrapText="1"/>
    </xf>
    <xf numFmtId="0" fontId="24" fillId="0" borderId="19" xfId="0" applyNumberFormat="1" applyFont="1" applyBorder="1" applyAlignment="1">
      <alignment horizontal="center" vertical="center" textRotation="90" wrapText="1"/>
    </xf>
    <xf numFmtId="0" fontId="24" fillId="0" borderId="0" xfId="0" applyNumberFormat="1" applyFont="1" applyBorder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24" fillId="0" borderId="11" xfId="0" applyNumberFormat="1" applyFont="1" applyFill="1" applyBorder="1" applyAlignment="1">
      <alignment horizontal="center" vertical="center" wrapText="1"/>
    </xf>
    <xf numFmtId="0" fontId="24" fillId="0" borderId="12" xfId="0" applyNumberFormat="1" applyFont="1" applyFill="1" applyBorder="1" applyAlignment="1">
      <alignment horizontal="center" vertical="center" wrapText="1"/>
    </xf>
    <xf numFmtId="0" fontId="24" fillId="0" borderId="10" xfId="0" applyNumberFormat="1" applyFont="1" applyBorder="1" applyAlignment="1">
      <alignment horizontal="center" vertical="center" wrapText="1"/>
    </xf>
    <xf numFmtId="0" fontId="103" fillId="0" borderId="17" xfId="0" applyNumberFormat="1" applyFont="1" applyBorder="1" applyAlignment="1">
      <alignment horizontal="center" vertical="center" textRotation="90" wrapText="1"/>
    </xf>
    <xf numFmtId="0" fontId="103" fillId="0" borderId="19" xfId="0" applyNumberFormat="1" applyFont="1" applyBorder="1" applyAlignment="1">
      <alignment horizontal="center" vertical="center" textRotation="90" wrapText="1"/>
    </xf>
    <xf numFmtId="0" fontId="24" fillId="0" borderId="10" xfId="0" applyNumberFormat="1" applyFont="1" applyBorder="1" applyAlignment="1">
      <alignment horizontal="center" vertical="center" textRotation="90" wrapText="1"/>
    </xf>
    <xf numFmtId="0" fontId="103" fillId="0" borderId="10" xfId="0" applyNumberFormat="1" applyFont="1" applyBorder="1" applyAlignment="1">
      <alignment horizontal="center" vertical="center" textRotation="90" wrapText="1"/>
    </xf>
    <xf numFmtId="0" fontId="24" fillId="0" borderId="17" xfId="0" applyNumberFormat="1" applyFont="1" applyFill="1" applyBorder="1" applyAlignment="1">
      <alignment horizontal="center" vertical="center" wrapText="1"/>
    </xf>
    <xf numFmtId="0" fontId="24" fillId="0" borderId="18" xfId="0" applyNumberFormat="1" applyFont="1" applyFill="1" applyBorder="1" applyAlignment="1">
      <alignment horizontal="center" vertical="center" wrapText="1"/>
    </xf>
    <xf numFmtId="0" fontId="24" fillId="0" borderId="19" xfId="0" applyNumberFormat="1" applyFont="1" applyFill="1" applyBorder="1" applyAlignment="1">
      <alignment horizontal="center" vertical="center" wrapText="1"/>
    </xf>
    <xf numFmtId="0" fontId="24" fillId="0" borderId="17" xfId="0" applyNumberFormat="1" applyFont="1" applyFill="1" applyBorder="1" applyAlignment="1">
      <alignment horizontal="center" vertical="center" textRotation="90" wrapText="1"/>
    </xf>
    <xf numFmtId="0" fontId="24" fillId="0" borderId="19" xfId="0" applyNumberFormat="1" applyFont="1" applyFill="1" applyBorder="1" applyAlignment="1">
      <alignment horizontal="center" vertical="center" textRotation="90" wrapText="1"/>
    </xf>
    <xf numFmtId="0" fontId="103" fillId="0" borderId="17" xfId="0" applyNumberFormat="1" applyFont="1" applyFill="1" applyBorder="1" applyAlignment="1">
      <alignment horizontal="center" vertical="center" textRotation="90" wrapText="1"/>
    </xf>
    <xf numFmtId="0" fontId="103" fillId="0" borderId="19" xfId="0" applyNumberFormat="1" applyFont="1" applyFill="1" applyBorder="1" applyAlignment="1">
      <alignment horizontal="center" vertical="center" textRotation="90" wrapText="1"/>
    </xf>
    <xf numFmtId="0" fontId="24" fillId="0" borderId="17" xfId="0" applyFont="1" applyBorder="1" applyAlignment="1">
      <alignment horizontal="center" vertical="center" wrapText="1"/>
    </xf>
    <xf numFmtId="0" fontId="24" fillId="0" borderId="18" xfId="0" applyFont="1" applyBorder="1" applyAlignment="1">
      <alignment horizontal="center" vertical="center" wrapText="1"/>
    </xf>
    <xf numFmtId="0" fontId="24" fillId="0" borderId="19" xfId="0" applyFont="1" applyBorder="1" applyAlignment="1">
      <alignment horizontal="center" vertical="center" wrapText="1"/>
    </xf>
    <xf numFmtId="0" fontId="32" fillId="0" borderId="0" xfId="0" applyNumberFormat="1" applyFont="1" applyFill="1" applyBorder="1" applyAlignment="1">
      <alignment horizontal="center"/>
    </xf>
    <xf numFmtId="0" fontId="24" fillId="24" borderId="11" xfId="0" applyNumberFormat="1" applyFont="1" applyFill="1" applyBorder="1" applyAlignment="1">
      <alignment horizontal="center" vertical="center" wrapText="1"/>
    </xf>
    <xf numFmtId="0" fontId="24" fillId="24" borderId="12" xfId="0" applyNumberFormat="1" applyFont="1" applyFill="1" applyBorder="1" applyAlignment="1">
      <alignment horizontal="center" vertical="center" wrapText="1"/>
    </xf>
    <xf numFmtId="0" fontId="24" fillId="24" borderId="17" xfId="0" applyNumberFormat="1" applyFont="1" applyFill="1" applyBorder="1" applyAlignment="1">
      <alignment horizontal="center" vertical="center" wrapText="1"/>
    </xf>
    <xf numFmtId="0" fontId="24" fillId="24" borderId="18" xfId="0" applyNumberFormat="1" applyFont="1" applyFill="1" applyBorder="1" applyAlignment="1">
      <alignment horizontal="center" vertical="center" wrapText="1"/>
    </xf>
    <xf numFmtId="0" fontId="24" fillId="24" borderId="19" xfId="0" applyNumberFormat="1" applyFont="1" applyFill="1" applyBorder="1" applyAlignment="1">
      <alignment horizontal="center" vertical="center" wrapText="1"/>
    </xf>
    <xf numFmtId="0" fontId="24" fillId="24" borderId="17" xfId="0" applyNumberFormat="1" applyFont="1" applyFill="1" applyBorder="1" applyAlignment="1">
      <alignment horizontal="center" vertical="center" textRotation="90" wrapText="1"/>
    </xf>
    <xf numFmtId="0" fontId="24" fillId="24" borderId="19" xfId="0" applyNumberFormat="1" applyFont="1" applyFill="1" applyBorder="1" applyAlignment="1">
      <alignment horizontal="center" vertical="center" textRotation="90" wrapText="1"/>
    </xf>
    <xf numFmtId="0" fontId="103" fillId="24" borderId="17" xfId="0" applyNumberFormat="1" applyFont="1" applyFill="1" applyBorder="1" applyAlignment="1">
      <alignment horizontal="center" vertical="center" textRotation="90" wrapText="1"/>
    </xf>
    <xf numFmtId="0" fontId="103" fillId="24" borderId="19" xfId="0" applyNumberFormat="1" applyFont="1" applyFill="1" applyBorder="1" applyAlignment="1">
      <alignment horizontal="center" vertical="center" textRotation="90" wrapText="1"/>
    </xf>
    <xf numFmtId="0" fontId="24" fillId="0" borderId="13" xfId="0" applyNumberFormat="1" applyFont="1" applyFill="1" applyBorder="1" applyAlignment="1">
      <alignment horizontal="center" vertical="center" wrapText="1"/>
    </xf>
    <xf numFmtId="0" fontId="24" fillId="0" borderId="0" xfId="0" applyNumberFormat="1" applyFont="1" applyFill="1" applyBorder="1" applyAlignment="1">
      <alignment horizontal="left" vertical="top" wrapText="1"/>
    </xf>
    <xf numFmtId="0" fontId="24" fillId="0" borderId="10" xfId="0" applyFont="1" applyBorder="1" applyAlignment="1">
      <alignment horizontal="center" vertical="center" wrapText="1"/>
    </xf>
    <xf numFmtId="0" fontId="24" fillId="0" borderId="28" xfId="0" applyNumberFormat="1" applyFont="1" applyBorder="1" applyAlignment="1">
      <alignment horizontal="center" vertical="center" wrapText="1"/>
    </xf>
    <xf numFmtId="0" fontId="24" fillId="0" borderId="29" xfId="0" applyNumberFormat="1" applyFont="1" applyBorder="1" applyAlignment="1">
      <alignment horizontal="center" vertical="center" wrapText="1"/>
    </xf>
    <xf numFmtId="0" fontId="32" fillId="0" borderId="0" xfId="0" applyNumberFormat="1" applyFont="1" applyBorder="1" applyAlignment="1">
      <alignment horizontal="center"/>
    </xf>
    <xf numFmtId="0" fontId="32" fillId="0" borderId="0" xfId="0" applyFont="1" applyAlignment="1">
      <alignment horizontal="center"/>
    </xf>
    <xf numFmtId="0" fontId="27" fillId="24" borderId="11" xfId="0" applyNumberFormat="1" applyFont="1" applyFill="1" applyBorder="1" applyAlignment="1">
      <alignment horizontal="center" vertical="top"/>
    </xf>
    <xf numFmtId="0" fontId="27" fillId="24" borderId="12" xfId="0" applyNumberFormat="1" applyFont="1" applyFill="1" applyBorder="1" applyAlignment="1">
      <alignment horizontal="center" vertical="top"/>
    </xf>
    <xf numFmtId="0" fontId="27" fillId="24" borderId="13" xfId="0" applyNumberFormat="1" applyFont="1" applyFill="1" applyBorder="1" applyAlignment="1">
      <alignment horizontal="center" vertical="top"/>
    </xf>
    <xf numFmtId="0" fontId="76" fillId="0" borderId="10" xfId="45" applyFont="1" applyFill="1" applyBorder="1" applyAlignment="1">
      <alignment horizontal="center" vertical="center" wrapText="1"/>
    </xf>
    <xf numFmtId="0" fontId="77" fillId="0" borderId="10" xfId="45" applyFont="1" applyFill="1" applyBorder="1" applyAlignment="1">
      <alignment horizontal="center" vertical="center"/>
    </xf>
    <xf numFmtId="0" fontId="73" fillId="0" borderId="0" xfId="135" applyFont="1" applyFill="1" applyAlignment="1">
      <alignment horizontal="right" wrapText="1"/>
    </xf>
    <xf numFmtId="0" fontId="38" fillId="0" borderId="0" xfId="43" applyAlignment="1">
      <alignment horizontal="right" wrapText="1"/>
    </xf>
    <xf numFmtId="4" fontId="81" fillId="0" borderId="0" xfId="43" applyNumberFormat="1" applyFont="1" applyBorder="1" applyAlignment="1">
      <alignment horizontal="center" wrapText="1"/>
    </xf>
    <xf numFmtId="0" fontId="38" fillId="0" borderId="0" xfId="43" applyAlignment="1">
      <alignment horizontal="center" wrapText="1"/>
    </xf>
    <xf numFmtId="0" fontId="39" fillId="0" borderId="17" xfId="135" applyFont="1" applyFill="1" applyBorder="1" applyAlignment="1">
      <alignment vertical="center" wrapText="1"/>
    </xf>
    <xf numFmtId="0" fontId="0" fillId="0" borderId="18" xfId="0" applyBorder="1" applyAlignment="1">
      <alignment vertical="center" wrapText="1"/>
    </xf>
    <xf numFmtId="0" fontId="0" fillId="0" borderId="19" xfId="0" applyBorder="1" applyAlignment="1">
      <alignment vertical="center" wrapText="1"/>
    </xf>
    <xf numFmtId="0" fontId="75" fillId="0" borderId="0" xfId="135" applyFont="1" applyFill="1" applyAlignment="1">
      <alignment horizontal="center" wrapText="1"/>
    </xf>
    <xf numFmtId="0" fontId="39" fillId="0" borderId="17" xfId="135" applyFont="1" applyFill="1" applyBorder="1" applyAlignment="1">
      <alignment horizontal="center" vertical="center"/>
    </xf>
    <xf numFmtId="0" fontId="38" fillId="0" borderId="19" xfId="43" applyBorder="1" applyAlignment="1">
      <alignment horizontal="center" vertical="center"/>
    </xf>
    <xf numFmtId="0" fontId="39" fillId="0" borderId="17" xfId="135" applyFont="1" applyFill="1" applyBorder="1" applyAlignment="1">
      <alignment horizontal="center" vertical="center" wrapText="1"/>
    </xf>
    <xf numFmtId="0" fontId="38" fillId="0" borderId="19" xfId="43" applyBorder="1" applyAlignment="1">
      <alignment horizontal="center" vertical="center" wrapText="1"/>
    </xf>
    <xf numFmtId="0" fontId="39" fillId="0" borderId="17" xfId="43" applyFont="1" applyFill="1" applyBorder="1" applyAlignment="1">
      <alignment horizontal="center" vertical="center" wrapText="1"/>
    </xf>
    <xf numFmtId="0" fontId="39" fillId="0" borderId="19" xfId="43" applyFont="1" applyFill="1" applyBorder="1" applyAlignment="1">
      <alignment horizontal="center" vertical="center" wrapText="1"/>
    </xf>
    <xf numFmtId="0" fontId="76" fillId="0" borderId="43" xfId="137" applyFont="1" applyFill="1" applyBorder="1" applyAlignment="1">
      <alignment horizontal="left" vertical="center" wrapText="1"/>
    </xf>
    <xf numFmtId="0" fontId="0" fillId="0" borderId="46" xfId="0" applyFill="1" applyBorder="1" applyAlignment="1">
      <alignment horizontal="left" vertical="center" wrapText="1"/>
    </xf>
    <xf numFmtId="0" fontId="0" fillId="0" borderId="25" xfId="0" applyBorder="1" applyAlignment="1">
      <alignment horizontal="left" vertical="center"/>
    </xf>
    <xf numFmtId="0" fontId="39" fillId="38" borderId="37" xfId="45" applyFont="1" applyFill="1" applyBorder="1" applyAlignment="1">
      <alignment horizontal="center"/>
    </xf>
    <xf numFmtId="0" fontId="39" fillId="38" borderId="36" xfId="45" applyFont="1" applyFill="1" applyBorder="1" applyAlignment="1">
      <alignment horizontal="center"/>
    </xf>
    <xf numFmtId="0" fontId="39" fillId="38" borderId="35" xfId="45" applyFont="1" applyFill="1" applyBorder="1" applyAlignment="1">
      <alignment horizontal="center"/>
    </xf>
    <xf numFmtId="0" fontId="0" fillId="0" borderId="25" xfId="0" applyFill="1" applyBorder="1" applyAlignment="1">
      <alignment horizontal="left" vertical="center" wrapText="1"/>
    </xf>
    <xf numFmtId="0" fontId="75" fillId="0" borderId="0" xfId="45" applyFont="1" applyFill="1" applyAlignment="1">
      <alignment horizontal="center"/>
    </xf>
    <xf numFmtId="0" fontId="86" fillId="0" borderId="24" xfId="135" applyFont="1" applyFill="1" applyBorder="1" applyAlignment="1">
      <alignment horizontal="center"/>
    </xf>
    <xf numFmtId="0" fontId="100" fillId="0" borderId="22" xfId="45" applyFont="1" applyFill="1" applyBorder="1" applyAlignment="1">
      <alignment horizontal="center" vertical="center" textRotation="90" wrapText="1"/>
    </xf>
    <xf numFmtId="0" fontId="100" fillId="0" borderId="25" xfId="45" applyFont="1" applyFill="1" applyBorder="1" applyAlignment="1">
      <alignment horizontal="center" vertical="center" textRotation="90" wrapText="1"/>
    </xf>
    <xf numFmtId="0" fontId="100" fillId="0" borderId="40" xfId="45" applyFont="1" applyFill="1" applyBorder="1" applyAlignment="1">
      <alignment horizontal="center" vertical="center" textRotation="90" wrapText="1"/>
    </xf>
    <xf numFmtId="0" fontId="100" fillId="0" borderId="19" xfId="45" applyFont="1" applyFill="1" applyBorder="1" applyAlignment="1">
      <alignment horizontal="center" vertical="center" textRotation="90" wrapText="1"/>
    </xf>
    <xf numFmtId="0" fontId="100" fillId="0" borderId="38" xfId="45" applyFont="1" applyFill="1" applyBorder="1" applyAlignment="1">
      <alignment horizontal="center" vertical="center" wrapText="1"/>
    </xf>
    <xf numFmtId="0" fontId="100" fillId="0" borderId="36" xfId="45" applyFont="1" applyFill="1" applyBorder="1" applyAlignment="1">
      <alignment horizontal="center" vertical="center" wrapText="1"/>
    </xf>
    <xf numFmtId="0" fontId="100" fillId="0" borderId="39" xfId="45" applyFont="1" applyFill="1" applyBorder="1" applyAlignment="1">
      <alignment horizontal="center" vertical="center" wrapText="1"/>
    </xf>
    <xf numFmtId="0" fontId="100" fillId="0" borderId="35" xfId="45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32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24" fillId="0" borderId="14" xfId="0" applyNumberFormat="1" applyFont="1" applyBorder="1" applyAlignment="1">
      <alignment horizontal="center" vertical="center" wrapText="1"/>
    </xf>
    <xf numFmtId="0" fontId="24" fillId="0" borderId="16" xfId="0" applyNumberFormat="1" applyFont="1" applyBorder="1" applyAlignment="1">
      <alignment horizontal="center" vertical="center" wrapText="1"/>
    </xf>
    <xf numFmtId="0" fontId="24" fillId="0" borderId="15" xfId="0" applyNumberFormat="1" applyFont="1" applyBorder="1" applyAlignment="1">
      <alignment horizontal="center" vertical="center" wrapText="1"/>
    </xf>
    <xf numFmtId="0" fontId="38" fillId="0" borderId="10" xfId="43" applyFill="1" applyBorder="1" applyAlignment="1">
      <alignment horizontal="center"/>
    </xf>
    <xf numFmtId="0" fontId="38" fillId="0" borderId="10" xfId="43" applyBorder="1" applyAlignment="1">
      <alignment horizontal="center"/>
    </xf>
    <xf numFmtId="0" fontId="38" fillId="0" borderId="10" xfId="43" applyBorder="1" applyAlignment="1"/>
    <xf numFmtId="0" fontId="38" fillId="0" borderId="11" xfId="43" applyFill="1" applyBorder="1" applyAlignment="1">
      <alignment horizontal="center"/>
    </xf>
    <xf numFmtId="0" fontId="0" fillId="0" borderId="12" xfId="0" applyBorder="1" applyAlignment="1"/>
    <xf numFmtId="0" fontId="0" fillId="0" borderId="13" xfId="0" applyBorder="1" applyAlignment="1"/>
    <xf numFmtId="0" fontId="38" fillId="0" borderId="12" xfId="43" applyBorder="1" applyAlignment="1">
      <alignment horizontal="center"/>
    </xf>
    <xf numFmtId="0" fontId="38" fillId="0" borderId="13" xfId="43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30" fillId="0" borderId="10" xfId="43" applyFont="1" applyFill="1" applyBorder="1" applyAlignment="1">
      <alignment horizontal="center" vertical="center" wrapText="1"/>
    </xf>
    <xf numFmtId="0" fontId="91" fillId="0" borderId="0" xfId="43" applyFont="1" applyFill="1" applyAlignment="1">
      <alignment horizontal="center"/>
    </xf>
    <xf numFmtId="0" fontId="92" fillId="0" borderId="0" xfId="137" applyFont="1" applyFill="1" applyBorder="1" applyAlignment="1">
      <alignment horizontal="left"/>
    </xf>
    <xf numFmtId="4" fontId="38" fillId="0" borderId="10" xfId="43" applyNumberFormat="1" applyFont="1" applyBorder="1" applyAlignment="1">
      <alignment horizontal="center" vertical="center" wrapText="1"/>
    </xf>
    <xf numFmtId="0" fontId="76" fillId="29" borderId="11" xfId="43" applyFont="1" applyFill="1" applyBorder="1" applyAlignment="1">
      <alignment horizontal="center" vertical="center"/>
    </xf>
    <xf numFmtId="0" fontId="76" fillId="29" borderId="12" xfId="43" applyFont="1" applyFill="1" applyBorder="1" applyAlignment="1">
      <alignment horizontal="center" vertical="center"/>
    </xf>
    <xf numFmtId="0" fontId="76" fillId="29" borderId="13" xfId="43" applyFont="1" applyFill="1" applyBorder="1" applyAlignment="1">
      <alignment horizontal="center" vertical="center"/>
    </xf>
    <xf numFmtId="0" fontId="76" fillId="29" borderId="33" xfId="43" applyFont="1" applyFill="1" applyBorder="1" applyAlignment="1">
      <alignment horizontal="center" vertical="center"/>
    </xf>
    <xf numFmtId="0" fontId="76" fillId="29" borderId="26" xfId="43" applyFont="1" applyFill="1" applyBorder="1" applyAlignment="1">
      <alignment horizontal="center" vertical="center"/>
    </xf>
    <xf numFmtId="0" fontId="94" fillId="0" borderId="11" xfId="43" applyFont="1" applyFill="1" applyBorder="1" applyAlignment="1">
      <alignment horizontal="left" vertical="center" wrapText="1"/>
    </xf>
    <xf numFmtId="0" fontId="94" fillId="0" borderId="12" xfId="43" applyFont="1" applyFill="1" applyBorder="1" applyAlignment="1">
      <alignment horizontal="left" vertical="center" wrapText="1"/>
    </xf>
    <xf numFmtId="0" fontId="76" fillId="29" borderId="33" xfId="43" applyFont="1" applyFill="1" applyBorder="1" applyAlignment="1">
      <alignment horizontal="center"/>
    </xf>
    <xf numFmtId="0" fontId="76" fillId="29" borderId="12" xfId="43" applyFont="1" applyFill="1" applyBorder="1" applyAlignment="1">
      <alignment horizontal="center"/>
    </xf>
    <xf numFmtId="0" fontId="76" fillId="29" borderId="26" xfId="43" applyFont="1" applyFill="1" applyBorder="1" applyAlignment="1">
      <alignment horizontal="center"/>
    </xf>
    <xf numFmtId="49" fontId="30" fillId="0" borderId="10" xfId="43" applyNumberFormat="1" applyFont="1" applyFill="1" applyBorder="1" applyAlignment="1">
      <alignment horizontal="center"/>
    </xf>
    <xf numFmtId="0" fontId="94" fillId="0" borderId="10" xfId="43" applyFont="1" applyFill="1" applyBorder="1" applyAlignment="1">
      <alignment horizontal="center" vertical="center" wrapText="1"/>
    </xf>
    <xf numFmtId="0" fontId="76" fillId="29" borderId="41" xfId="43" applyFont="1" applyFill="1" applyBorder="1" applyAlignment="1">
      <alignment horizontal="center"/>
    </xf>
    <xf numFmtId="0" fontId="76" fillId="29" borderId="48" xfId="43" applyFont="1" applyFill="1" applyBorder="1" applyAlignment="1">
      <alignment horizontal="center"/>
    </xf>
    <xf numFmtId="0" fontId="76" fillId="29" borderId="49" xfId="43" applyFont="1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76" fillId="0" borderId="11" xfId="0" applyNumberFormat="1" applyFont="1" applyBorder="1" applyAlignment="1">
      <alignment horizontal="center" vertical="center" wrapText="1"/>
    </xf>
    <xf numFmtId="0" fontId="76" fillId="0" borderId="12" xfId="0" applyNumberFormat="1" applyFont="1" applyBorder="1" applyAlignment="1">
      <alignment horizontal="center" vertical="center" wrapText="1"/>
    </xf>
    <xf numFmtId="0" fontId="39" fillId="0" borderId="11" xfId="43" applyFont="1" applyBorder="1" applyAlignment="1">
      <alignment horizontal="center" vertical="center" wrapText="1"/>
    </xf>
    <xf numFmtId="0" fontId="39" fillId="0" borderId="12" xfId="43" applyFont="1" applyBorder="1" applyAlignment="1">
      <alignment horizontal="center" vertical="center" wrapText="1"/>
    </xf>
    <xf numFmtId="0" fontId="39" fillId="0" borderId="13" xfId="43" applyFont="1" applyBorder="1" applyAlignment="1">
      <alignment horizontal="center" vertical="center" wrapText="1"/>
    </xf>
    <xf numFmtId="0" fontId="76" fillId="0" borderId="11" xfId="0" applyNumberFormat="1" applyFont="1" applyFill="1" applyBorder="1" applyAlignment="1">
      <alignment horizontal="center" vertical="center" wrapText="1"/>
    </xf>
    <xf numFmtId="0" fontId="76" fillId="0" borderId="12" xfId="0" applyNumberFormat="1" applyFont="1" applyFill="1" applyBorder="1" applyAlignment="1">
      <alignment horizontal="center" vertical="center" wrapText="1"/>
    </xf>
    <xf numFmtId="0" fontId="76" fillId="0" borderId="13" xfId="0" applyNumberFormat="1" applyFont="1" applyFill="1" applyBorder="1" applyAlignment="1">
      <alignment horizontal="center" vertical="center" wrapText="1"/>
    </xf>
    <xf numFmtId="0" fontId="82" fillId="0" borderId="0" xfId="43" applyFont="1" applyAlignment="1">
      <alignment horizontal="center" vertical="center" wrapText="1"/>
    </xf>
    <xf numFmtId="0" fontId="100" fillId="0" borderId="17" xfId="43" applyFont="1" applyBorder="1" applyAlignment="1">
      <alignment horizontal="center" vertical="center"/>
    </xf>
    <xf numFmtId="0" fontId="38" fillId="0" borderId="18" xfId="43" applyBorder="1" applyAlignment="1">
      <alignment horizontal="center" vertical="center"/>
    </xf>
    <xf numFmtId="0" fontId="35" fillId="0" borderId="0" xfId="0" applyFont="1" applyAlignment="1">
      <alignment horizontal="left"/>
    </xf>
    <xf numFmtId="0" fontId="0" fillId="0" borderId="0" xfId="0" applyAlignment="1"/>
    <xf numFmtId="0" fontId="24" fillId="0" borderId="0" xfId="0" applyNumberFormat="1" applyFont="1" applyAlignment="1">
      <alignment horizontal="left" wrapText="1"/>
    </xf>
    <xf numFmtId="0" fontId="32" fillId="0" borderId="0" xfId="0" applyFont="1" applyBorder="1" applyAlignment="1">
      <alignment horizontal="center" wrapText="1"/>
    </xf>
    <xf numFmtId="0" fontId="25" fillId="0" borderId="0" xfId="0" applyFont="1" applyAlignment="1">
      <alignment horizontal="right"/>
    </xf>
    <xf numFmtId="0" fontId="0" fillId="0" borderId="0" xfId="0" applyAlignment="1">
      <alignment horizontal="right"/>
    </xf>
    <xf numFmtId="0" fontId="24" fillId="0" borderId="0" xfId="0" applyNumberFormat="1" applyFont="1" applyBorder="1" applyAlignment="1">
      <alignment horizontal="left" vertical="top"/>
    </xf>
    <xf numFmtId="0" fontId="32" fillId="0" borderId="0" xfId="0" applyNumberFormat="1" applyFont="1" applyBorder="1" applyAlignment="1">
      <alignment horizontal="center" wrapText="1"/>
    </xf>
    <xf numFmtId="0" fontId="158" fillId="0" borderId="41" xfId="197" applyFont="1" applyBorder="1" applyAlignment="1">
      <alignment horizontal="right"/>
    </xf>
    <xf numFmtId="0" fontId="0" fillId="0" borderId="0" xfId="0" applyAlignment="1">
      <alignment vertical="top" wrapText="1"/>
    </xf>
    <xf numFmtId="0" fontId="0" fillId="0" borderId="19" xfId="0" applyBorder="1" applyAlignment="1">
      <alignment horizontal="center" vertical="center" wrapText="1"/>
    </xf>
    <xf numFmtId="0" fontId="24" fillId="0" borderId="0" xfId="0" applyNumberFormat="1" applyFont="1" applyBorder="1" applyAlignment="1">
      <alignment horizontal="justify" vertical="top" wrapText="1"/>
    </xf>
    <xf numFmtId="0" fontId="0" fillId="0" borderId="0" xfId="0" applyAlignment="1">
      <alignment horizontal="justify" vertical="top" wrapText="1"/>
    </xf>
    <xf numFmtId="0" fontId="0" fillId="0" borderId="0" xfId="0" applyFont="1" applyAlignment="1">
      <alignment horizontal="justify" vertical="top" wrapText="1"/>
    </xf>
    <xf numFmtId="0" fontId="0" fillId="0" borderId="10" xfId="0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 wrapText="1"/>
    </xf>
    <xf numFmtId="0" fontId="0" fillId="0" borderId="0" xfId="0" applyAlignment="1">
      <alignment horizontal="left" vertical="top"/>
    </xf>
    <xf numFmtId="0" fontId="32" fillId="0" borderId="0" xfId="0" applyFont="1" applyAlignment="1">
      <alignment horizontal="center" vertical="center" wrapText="1"/>
    </xf>
    <xf numFmtId="0" fontId="24" fillId="0" borderId="11" xfId="0" applyFont="1" applyFill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3" xfId="0" applyFill="1" applyBorder="1" applyAlignment="1">
      <alignment horizontal="center" vertical="center" wrapText="1"/>
    </xf>
    <xf numFmtId="0" fontId="24" fillId="0" borderId="0" xfId="0" applyNumberFormat="1" applyFont="1" applyBorder="1" applyAlignment="1">
      <alignment horizontal="left" wrapText="1"/>
    </xf>
    <xf numFmtId="0" fontId="0" fillId="0" borderId="0" xfId="0" applyAlignment="1">
      <alignment horizontal="left" wrapText="1"/>
    </xf>
    <xf numFmtId="0" fontId="135" fillId="0" borderId="0" xfId="0" applyNumberFormat="1" applyFont="1" applyBorder="1" applyAlignment="1">
      <alignment horizontal="left" wrapText="1"/>
    </xf>
    <xf numFmtId="0" fontId="136" fillId="0" borderId="0" xfId="0" applyFont="1" applyAlignment="1">
      <alignment horizontal="left" wrapText="1"/>
    </xf>
    <xf numFmtId="0" fontId="30" fillId="0" borderId="0" xfId="0" applyNumberFormat="1" applyFont="1" applyBorder="1" applyAlignment="1">
      <alignment horizontal="justify" vertical="top" wrapText="1"/>
    </xf>
    <xf numFmtId="0" fontId="30" fillId="0" borderId="0" xfId="0" applyNumberFormat="1" applyFont="1" applyBorder="1" applyAlignment="1">
      <alignment horizontal="left" wrapText="1"/>
    </xf>
    <xf numFmtId="0" fontId="30" fillId="0" borderId="0" xfId="0" applyNumberFormat="1" applyFont="1" applyBorder="1" applyAlignment="1">
      <alignment horizontal="left"/>
    </xf>
    <xf numFmtId="0" fontId="0" fillId="0" borderId="0" xfId="0" applyAlignment="1">
      <alignment horizontal="left"/>
    </xf>
    <xf numFmtId="49" fontId="27" fillId="24" borderId="10" xfId="0" applyNumberFormat="1" applyFont="1" applyFill="1" applyBorder="1" applyAlignment="1">
      <alignment horizontal="center" vertical="top"/>
    </xf>
    <xf numFmtId="0" fontId="30" fillId="0" borderId="0" xfId="0" applyNumberFormat="1" applyFont="1" applyBorder="1" applyAlignment="1">
      <alignment horizontal="left" vertical="top" wrapText="1"/>
    </xf>
    <xf numFmtId="49" fontId="27" fillId="24" borderId="11" xfId="0" applyNumberFormat="1" applyFont="1" applyFill="1" applyBorder="1" applyAlignment="1">
      <alignment horizontal="center" vertical="top"/>
    </xf>
    <xf numFmtId="49" fontId="27" fillId="24" borderId="12" xfId="0" applyNumberFormat="1" applyFont="1" applyFill="1" applyBorder="1" applyAlignment="1">
      <alignment horizontal="center" vertical="top"/>
    </xf>
    <xf numFmtId="49" fontId="27" fillId="24" borderId="13" xfId="0" applyNumberFormat="1" applyFont="1" applyFill="1" applyBorder="1" applyAlignment="1">
      <alignment horizontal="center" vertical="top"/>
    </xf>
    <xf numFmtId="0" fontId="24" fillId="0" borderId="0" xfId="0" applyNumberFormat="1" applyFont="1" applyBorder="1" applyAlignment="1">
      <alignment vertical="top" wrapText="1"/>
    </xf>
    <xf numFmtId="0" fontId="139" fillId="0" borderId="0" xfId="0" applyNumberFormat="1" applyFont="1" applyBorder="1" applyAlignment="1">
      <alignment horizontal="left"/>
    </xf>
    <xf numFmtId="0" fontId="140" fillId="0" borderId="0" xfId="0" applyFont="1" applyAlignment="1">
      <alignment horizontal="left"/>
    </xf>
    <xf numFmtId="0" fontId="151" fillId="0" borderId="11" xfId="0" applyFont="1" applyBorder="1" applyAlignment="1">
      <alignment horizontal="left" wrapText="1"/>
    </xf>
    <xf numFmtId="0" fontId="151" fillId="0" borderId="12" xfId="0" applyFont="1" applyBorder="1" applyAlignment="1">
      <alignment horizontal="left" wrapText="1"/>
    </xf>
    <xf numFmtId="0" fontId="151" fillId="0" borderId="13" xfId="0" applyFont="1" applyBorder="1" applyAlignment="1">
      <alignment horizontal="left" wrapText="1"/>
    </xf>
    <xf numFmtId="0" fontId="0" fillId="0" borderId="11" xfId="0" applyFill="1" applyBorder="1" applyAlignment="1">
      <alignment horizontal="left" wrapText="1"/>
    </xf>
    <xf numFmtId="0" fontId="0" fillId="0" borderId="13" xfId="0" applyBorder="1" applyAlignment="1">
      <alignment wrapText="1"/>
    </xf>
    <xf numFmtId="0" fontId="0" fillId="0" borderId="11" xfId="0" applyBorder="1" applyAlignment="1">
      <alignment horizontal="left" wrapText="1"/>
    </xf>
    <xf numFmtId="0" fontId="0" fillId="0" borderId="12" xfId="0" applyBorder="1" applyAlignment="1">
      <alignment horizontal="left" wrapText="1"/>
    </xf>
    <xf numFmtId="0" fontId="0" fillId="0" borderId="13" xfId="0" applyBorder="1" applyAlignment="1">
      <alignment horizontal="left" wrapText="1"/>
    </xf>
    <xf numFmtId="0" fontId="0" fillId="0" borderId="14" xfId="0" applyBorder="1" applyAlignment="1">
      <alignment horizontal="left" vertical="top" wrapText="1"/>
    </xf>
    <xf numFmtId="0" fontId="6" fillId="0" borderId="51" xfId="0" applyFont="1" applyBorder="1" applyAlignment="1">
      <alignment horizontal="left" vertical="top" wrapText="1"/>
    </xf>
    <xf numFmtId="0" fontId="6" fillId="0" borderId="44" xfId="0" applyFont="1" applyBorder="1" applyAlignment="1">
      <alignment horizontal="left" vertical="top" wrapText="1"/>
    </xf>
    <xf numFmtId="0" fontId="6" fillId="0" borderId="12" xfId="0" applyFont="1" applyBorder="1" applyAlignment="1">
      <alignment horizontal="left" wrapText="1"/>
    </xf>
    <xf numFmtId="0" fontId="6" fillId="0" borderId="13" xfId="0" applyFont="1" applyBorder="1" applyAlignment="1">
      <alignment horizontal="left" wrapText="1"/>
    </xf>
    <xf numFmtId="0" fontId="0" fillId="0" borderId="14" xfId="0" applyBorder="1" applyAlignment="1">
      <alignment wrapText="1"/>
    </xf>
    <xf numFmtId="0" fontId="0" fillId="0" borderId="44" xfId="0" applyBorder="1" applyAlignment="1">
      <alignment wrapText="1"/>
    </xf>
    <xf numFmtId="0" fontId="0" fillId="0" borderId="11" xfId="0" applyBorder="1" applyAlignment="1">
      <alignment wrapText="1"/>
    </xf>
    <xf numFmtId="0" fontId="151" fillId="0" borderId="11" xfId="0" applyFont="1" applyBorder="1" applyAlignment="1">
      <alignment horizontal="left"/>
    </xf>
    <xf numFmtId="0" fontId="151" fillId="0" borderId="12" xfId="0" applyFont="1" applyBorder="1" applyAlignment="1">
      <alignment horizontal="left"/>
    </xf>
    <xf numFmtId="0" fontId="151" fillId="0" borderId="13" xfId="0" applyFont="1" applyBorder="1" applyAlignment="1">
      <alignment horizontal="left"/>
    </xf>
    <xf numFmtId="0" fontId="151" fillId="0" borderId="41" xfId="0" applyFont="1" applyBorder="1" applyAlignment="1">
      <alignment horizontal="left"/>
    </xf>
    <xf numFmtId="0" fontId="0" fillId="0" borderId="11" xfId="0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6" fillId="0" borderId="66" xfId="0" applyFont="1" applyBorder="1" applyAlignment="1">
      <alignment wrapText="1"/>
    </xf>
    <xf numFmtId="0" fontId="6" fillId="0" borderId="67" xfId="0" applyFont="1" applyBorder="1" applyAlignment="1">
      <alignment wrapText="1"/>
    </xf>
    <xf numFmtId="0" fontId="0" fillId="0" borderId="61" xfId="0" applyFont="1" applyBorder="1" applyAlignment="1">
      <alignment wrapText="1"/>
    </xf>
    <xf numFmtId="0" fontId="0" fillId="0" borderId="64" xfId="0" applyFont="1" applyBorder="1" applyAlignment="1">
      <alignment wrapText="1"/>
    </xf>
    <xf numFmtId="0" fontId="6" fillId="0" borderId="61" xfId="0" applyFont="1" applyBorder="1" applyAlignment="1">
      <alignment wrapText="1"/>
    </xf>
    <xf numFmtId="0" fontId="6" fillId="0" borderId="64" xfId="0" applyFont="1" applyBorder="1" applyAlignment="1">
      <alignment wrapText="1"/>
    </xf>
    <xf numFmtId="0" fontId="0" fillId="0" borderId="70" xfId="0" applyBorder="1" applyAlignment="1">
      <alignment horizontal="left"/>
    </xf>
    <xf numFmtId="0" fontId="0" fillId="0" borderId="71" xfId="0" applyBorder="1" applyAlignment="1">
      <alignment horizontal="left"/>
    </xf>
    <xf numFmtId="0" fontId="0" fillId="0" borderId="72" xfId="0" applyBorder="1" applyAlignment="1">
      <alignment horizontal="left" wrapText="1"/>
    </xf>
    <xf numFmtId="0" fontId="0" fillId="0" borderId="71" xfId="0" applyBorder="1" applyAlignment="1">
      <alignment horizontal="left" wrapText="1"/>
    </xf>
    <xf numFmtId="0" fontId="0" fillId="0" borderId="74" xfId="0" applyBorder="1" applyAlignment="1">
      <alignment horizontal="left"/>
    </xf>
    <xf numFmtId="0" fontId="0" fillId="0" borderId="65" xfId="0" applyBorder="1" applyAlignment="1">
      <alignment horizontal="left"/>
    </xf>
    <xf numFmtId="0" fontId="0" fillId="0" borderId="75" xfId="0" applyBorder="1" applyAlignment="1">
      <alignment horizontal="left"/>
    </xf>
    <xf numFmtId="0" fontId="0" fillId="0" borderId="68" xfId="0" applyBorder="1" applyAlignment="1">
      <alignment horizontal="left"/>
    </xf>
    <xf numFmtId="0" fontId="0" fillId="0" borderId="67" xfId="0" applyBorder="1" applyAlignment="1">
      <alignment horizontal="left" wrapText="1"/>
    </xf>
    <xf numFmtId="0" fontId="0" fillId="0" borderId="68" xfId="0" applyBorder="1" applyAlignment="1">
      <alignment horizontal="left" wrapText="1"/>
    </xf>
    <xf numFmtId="0" fontId="0" fillId="0" borderId="33" xfId="0" applyBorder="1" applyAlignment="1">
      <alignment horizontal="center"/>
    </xf>
    <xf numFmtId="0" fontId="6" fillId="0" borderId="10" xfId="0" applyFont="1" applyBorder="1" applyAlignment="1">
      <alignment horizontal="center" vertical="center"/>
    </xf>
    <xf numFmtId="0" fontId="0" fillId="0" borderId="57" xfId="0" applyFont="1" applyBorder="1" applyAlignment="1">
      <alignment wrapText="1"/>
    </xf>
    <xf numFmtId="0" fontId="0" fillId="0" borderId="58" xfId="0" applyFont="1" applyBorder="1" applyAlignment="1">
      <alignment wrapText="1"/>
    </xf>
    <xf numFmtId="0" fontId="6" fillId="0" borderId="64" xfId="0" applyFont="1" applyBorder="1" applyAlignment="1"/>
    <xf numFmtId="0" fontId="6" fillId="0" borderId="65" xfId="0" applyFont="1" applyBorder="1" applyAlignment="1"/>
    <xf numFmtId="0" fontId="6" fillId="0" borderId="65" xfId="0" applyFont="1" applyBorder="1" applyAlignment="1">
      <alignment wrapText="1"/>
    </xf>
    <xf numFmtId="0" fontId="6" fillId="0" borderId="68" xfId="0" applyFont="1" applyBorder="1" applyAlignment="1">
      <alignment wrapText="1"/>
    </xf>
    <xf numFmtId="0" fontId="151" fillId="0" borderId="10" xfId="0" applyFont="1" applyBorder="1" applyAlignment="1">
      <alignment horizontal="left"/>
    </xf>
    <xf numFmtId="0" fontId="154" fillId="0" borderId="0" xfId="0" applyFont="1" applyAlignment="1">
      <alignment horizontal="left"/>
    </xf>
    <xf numFmtId="0" fontId="154" fillId="0" borderId="0" xfId="0" applyFont="1" applyAlignment="1">
      <alignment horizontal="center"/>
    </xf>
    <xf numFmtId="0" fontId="0" fillId="0" borderId="10" xfId="0" applyBorder="1" applyAlignment="1">
      <alignment horizontal="center" vertical="center"/>
    </xf>
    <xf numFmtId="0" fontId="155" fillId="0" borderId="0" xfId="0" applyFont="1" applyAlignment="1">
      <alignment wrapText="1"/>
    </xf>
    <xf numFmtId="0" fontId="0" fillId="0" borderId="0" xfId="0" applyAlignment="1">
      <alignment wrapText="1"/>
    </xf>
    <xf numFmtId="0" fontId="154" fillId="0" borderId="41" xfId="0" applyFont="1" applyBorder="1" applyAlignment="1">
      <alignment horizontal="left"/>
    </xf>
    <xf numFmtId="0" fontId="6" fillId="0" borderId="11" xfId="0" applyFont="1" applyBorder="1" applyAlignment="1">
      <alignment horizontal="center" vertical="center" wrapText="1"/>
    </xf>
    <xf numFmtId="0" fontId="6" fillId="0" borderId="57" xfId="0" applyFont="1" applyBorder="1" applyAlignment="1"/>
    <xf numFmtId="0" fontId="6" fillId="0" borderId="58" xfId="0" applyFont="1" applyBorder="1" applyAlignment="1"/>
    <xf numFmtId="0" fontId="6" fillId="0" borderId="59" xfId="0" applyFont="1" applyBorder="1" applyAlignment="1"/>
    <xf numFmtId="0" fontId="0" fillId="0" borderId="64" xfId="0" applyBorder="1" applyAlignment="1"/>
    <xf numFmtId="0" fontId="6" fillId="0" borderId="64" xfId="0" applyFont="1" applyBorder="1" applyAlignment="1">
      <alignment vertical="top" wrapText="1"/>
    </xf>
    <xf numFmtId="0" fontId="6" fillId="0" borderId="65" xfId="0" applyFont="1" applyBorder="1" applyAlignment="1">
      <alignment vertical="top" wrapText="1"/>
    </xf>
    <xf numFmtId="0" fontId="6" fillId="0" borderId="61" xfId="0" applyFont="1" applyBorder="1" applyAlignment="1"/>
    <xf numFmtId="0" fontId="0" fillId="0" borderId="61" xfId="0" applyFont="1" applyBorder="1" applyAlignment="1"/>
    <xf numFmtId="0" fontId="6" fillId="0" borderId="61" xfId="0" applyFont="1" applyBorder="1" applyAlignment="1">
      <alignment vertical="top" wrapText="1"/>
    </xf>
    <xf numFmtId="0" fontId="89" fillId="0" borderId="0" xfId="42" applyFont="1" applyAlignment="1">
      <alignment horizontal="center" vertical="center" wrapText="1"/>
    </xf>
    <xf numFmtId="0" fontId="37" fillId="0" borderId="0" xfId="42" applyAlignment="1">
      <alignment horizontal="center" vertical="center" wrapText="1"/>
    </xf>
    <xf numFmtId="0" fontId="37" fillId="0" borderId="0" xfId="42" applyAlignment="1"/>
    <xf numFmtId="0" fontId="38" fillId="0" borderId="41" xfId="43" applyBorder="1" applyAlignment="1">
      <alignment horizontal="center" vertical="center" wrapText="1"/>
    </xf>
    <xf numFmtId="0" fontId="38" fillId="0" borderId="41" xfId="43" applyBorder="1" applyAlignment="1">
      <alignment wrapText="1"/>
    </xf>
    <xf numFmtId="0" fontId="24" fillId="0" borderId="0" xfId="43" applyFont="1" applyBorder="1" applyAlignment="1">
      <alignment horizontal="left" wrapText="1"/>
    </xf>
    <xf numFmtId="0" fontId="38" fillId="0" borderId="0" xfId="43" applyBorder="1" applyAlignment="1"/>
    <xf numFmtId="0" fontId="38" fillId="0" borderId="41" xfId="43" applyBorder="1" applyAlignment="1">
      <alignment horizontal="center" vertical="center"/>
    </xf>
  </cellXfs>
  <cellStyles count="311">
    <cellStyle name="_CPI foodimp" xfId="198"/>
    <cellStyle name="_Ltre01Лесозав." xfId="46"/>
    <cellStyle name="_macro 2012 var 1" xfId="199"/>
    <cellStyle name="_v-2013-2030- 2b17.01.11Нах-cpiнов. курс inn 1-2-Е1xls" xfId="200"/>
    <cellStyle name="_Модель - 2(23)" xfId="201"/>
    <cellStyle name="_Сб-macro 2020" xfId="202"/>
    <cellStyle name="”€ќђќ‘ћ‚›‰" xfId="48"/>
    <cellStyle name="”€љ‘€ђћ‚ђќќ›‰" xfId="49"/>
    <cellStyle name="”ќђќ‘ћ‚›‰" xfId="50"/>
    <cellStyle name="”љ‘ђћ‚ђќќ›‰" xfId="51"/>
    <cellStyle name="„…ќ…†ќ›‰" xfId="52"/>
    <cellStyle name="„ђ’ђ" xfId="53"/>
    <cellStyle name="€’ћѓћ‚›‰" xfId="56"/>
    <cellStyle name="‡ђѓћ‹ћ‚ћљ1" xfId="54"/>
    <cellStyle name="‡ђѓћ‹ћ‚ћљ2" xfId="55"/>
    <cellStyle name="’ћѓћ‚›‰" xfId="47"/>
    <cellStyle name="20% - Акцент1" xfId="1" builtinId="30" customBuiltin="1"/>
    <cellStyle name="20% - Акцент1 2" xfId="57"/>
    <cellStyle name="20% - Акцент1 3" xfId="203"/>
    <cellStyle name="20% - Акцент2" xfId="2" builtinId="34" customBuiltin="1"/>
    <cellStyle name="20% - Акцент2 2" xfId="58"/>
    <cellStyle name="20% - Акцент2 3" xfId="204"/>
    <cellStyle name="20% - Акцент3" xfId="3" builtinId="38" customBuiltin="1"/>
    <cellStyle name="20% - Акцент3 2" xfId="59"/>
    <cellStyle name="20% - Акцент3 3" xfId="205"/>
    <cellStyle name="20% - Акцент4" xfId="4" builtinId="42" customBuiltin="1"/>
    <cellStyle name="20% - Акцент4 2" xfId="60"/>
    <cellStyle name="20% - Акцент4 3" xfId="206"/>
    <cellStyle name="20% - Акцент5" xfId="5" builtinId="46" customBuiltin="1"/>
    <cellStyle name="20% - Акцент5 2" xfId="61"/>
    <cellStyle name="20% - Акцент5 3" xfId="207"/>
    <cellStyle name="20% - Акцент6" xfId="6" builtinId="50" customBuiltin="1"/>
    <cellStyle name="20% - Акцент6 2" xfId="62"/>
    <cellStyle name="20% - Акцент6 3" xfId="208"/>
    <cellStyle name="40% - Акцент1" xfId="7" builtinId="31" customBuiltin="1"/>
    <cellStyle name="40% - Акцент1 2" xfId="63"/>
    <cellStyle name="40% - Акцент1 3" xfId="209"/>
    <cellStyle name="40% - Акцент2" xfId="8" builtinId="35" customBuiltin="1"/>
    <cellStyle name="40% - Акцент2 2" xfId="64"/>
    <cellStyle name="40% - Акцент2 3" xfId="210"/>
    <cellStyle name="40% - Акцент3" xfId="9" builtinId="39" customBuiltin="1"/>
    <cellStyle name="40% - Акцент3 2" xfId="65"/>
    <cellStyle name="40% - Акцент3 3" xfId="211"/>
    <cellStyle name="40% - Акцент4" xfId="10" builtinId="43" customBuiltin="1"/>
    <cellStyle name="40% - Акцент4 2" xfId="66"/>
    <cellStyle name="40% - Акцент4 3" xfId="212"/>
    <cellStyle name="40% - Акцент5" xfId="11" builtinId="47" customBuiltin="1"/>
    <cellStyle name="40% - Акцент5 2" xfId="67"/>
    <cellStyle name="40% - Акцент5 3" xfId="213"/>
    <cellStyle name="40% - Акцент6" xfId="12" builtinId="51" customBuiltin="1"/>
    <cellStyle name="40% - Акцент6 2" xfId="68"/>
    <cellStyle name="40% - Акцент6 3" xfId="214"/>
    <cellStyle name="60% - Акцент1" xfId="13" builtinId="32" customBuiltin="1"/>
    <cellStyle name="60% - Акцент1 2" xfId="69"/>
    <cellStyle name="60% - Акцент1 3" xfId="215"/>
    <cellStyle name="60% - Акцент2" xfId="14" builtinId="36" customBuiltin="1"/>
    <cellStyle name="60% - Акцент2 2" xfId="70"/>
    <cellStyle name="60% - Акцент2 3" xfId="216"/>
    <cellStyle name="60% - Акцент3" xfId="15" builtinId="40" customBuiltin="1"/>
    <cellStyle name="60% - Акцент3 2" xfId="71"/>
    <cellStyle name="60% - Акцент3 3" xfId="217"/>
    <cellStyle name="60% - Акцент4" xfId="16" builtinId="44" customBuiltin="1"/>
    <cellStyle name="60% - Акцент4 2" xfId="72"/>
    <cellStyle name="60% - Акцент4 3" xfId="218"/>
    <cellStyle name="60% - Акцент5" xfId="17" builtinId="48" customBuiltin="1"/>
    <cellStyle name="60% - Акцент5 2" xfId="73"/>
    <cellStyle name="60% - Акцент5 3" xfId="219"/>
    <cellStyle name="60% - Акцент6" xfId="18" builtinId="52" customBuiltin="1"/>
    <cellStyle name="60% - Акцент6 2" xfId="74"/>
    <cellStyle name="60% - Акцент6 3" xfId="220"/>
    <cellStyle name="Comma [0]_irl tel sep5" xfId="221"/>
    <cellStyle name="Comma_irl tel sep5" xfId="222"/>
    <cellStyle name="Currency [0]" xfId="75"/>
    <cellStyle name="Currency_irl tel sep5" xfId="223"/>
    <cellStyle name="Euro" xfId="224"/>
    <cellStyle name="F2" xfId="76"/>
    <cellStyle name="F3" xfId="77"/>
    <cellStyle name="F4" xfId="78"/>
    <cellStyle name="F5" xfId="79"/>
    <cellStyle name="F6" xfId="80"/>
    <cellStyle name="F7" xfId="81"/>
    <cellStyle name="F8" xfId="82"/>
    <cellStyle name="Iau?iue1" xfId="225"/>
    <cellStyle name="Normal_ASUS" xfId="83"/>
    <cellStyle name="Normal1" xfId="84"/>
    <cellStyle name="normбlnм_laroux" xfId="226"/>
    <cellStyle name="Ociriniaue [0]_5-C" xfId="227"/>
    <cellStyle name="Ociriniaue_5-C" xfId="228"/>
    <cellStyle name="oft Excel]_x000d__x000a_Comment=Строки open=/f добавляют пользовательские функции к списку Вставить функцию._x000d__x000a_Maximized=3_x000d__x000a_Basi" xfId="229"/>
    <cellStyle name="Price_Body" xfId="85"/>
    <cellStyle name="styleColumnTitles" xfId="230"/>
    <cellStyle name="styleDateRange" xfId="231"/>
    <cellStyle name="styleHidden" xfId="232"/>
    <cellStyle name="styleNormal" xfId="233"/>
    <cellStyle name="styleSeriesAttributes" xfId="234"/>
    <cellStyle name="styleSeriesData" xfId="235"/>
    <cellStyle name="styleSeriesDataForecast" xfId="236"/>
    <cellStyle name="styleSeriesDataForecastNA" xfId="237"/>
    <cellStyle name="styleSeriesDataNA" xfId="238"/>
    <cellStyle name="Акцент1" xfId="19" builtinId="29" customBuiltin="1"/>
    <cellStyle name="Акцент1 2" xfId="86"/>
    <cellStyle name="Акцент1 3" xfId="239"/>
    <cellStyle name="Акцент2" xfId="20" builtinId="33" customBuiltin="1"/>
    <cellStyle name="Акцент2 2" xfId="87"/>
    <cellStyle name="Акцент2 3" xfId="240"/>
    <cellStyle name="Акцент3" xfId="21" builtinId="37" customBuiltin="1"/>
    <cellStyle name="Акцент3 2" xfId="88"/>
    <cellStyle name="Акцент3 3" xfId="241"/>
    <cellStyle name="Акцент4" xfId="22" builtinId="41" customBuiltin="1"/>
    <cellStyle name="Акцент4 2" xfId="89"/>
    <cellStyle name="Акцент4 3" xfId="242"/>
    <cellStyle name="Акцент5" xfId="23" builtinId="45" customBuiltin="1"/>
    <cellStyle name="Акцент5 2" xfId="90"/>
    <cellStyle name="Акцент5 3" xfId="243"/>
    <cellStyle name="Акцент6" xfId="24" builtinId="49" customBuiltin="1"/>
    <cellStyle name="Акцент6 2" xfId="91"/>
    <cellStyle name="Акцент6 3" xfId="244"/>
    <cellStyle name="Беззащитный" xfId="92"/>
    <cellStyle name="Ввод " xfId="25" builtinId="20" customBuiltin="1"/>
    <cellStyle name="Ввод  2" xfId="93"/>
    <cellStyle name="Ввод  3" xfId="245"/>
    <cellStyle name="Вывод" xfId="26" builtinId="21" customBuiltin="1"/>
    <cellStyle name="Вывод 2" xfId="94"/>
    <cellStyle name="Вывод 3" xfId="189"/>
    <cellStyle name="Вычисление" xfId="27" builtinId="22" customBuiltin="1"/>
    <cellStyle name="Вычисление 2" xfId="95"/>
    <cellStyle name="Вычисление 3" xfId="246"/>
    <cellStyle name="Гиперссылка 2" xfId="190"/>
    <cellStyle name="Денежный 2" xfId="247"/>
    <cellStyle name="Заголовок" xfId="96"/>
    <cellStyle name="Заголовок 1" xfId="28" builtinId="16" customBuiltin="1"/>
    <cellStyle name="Заголовок 1 2" xfId="97"/>
    <cellStyle name="Заголовок 2" xfId="29" builtinId="17" customBuiltin="1"/>
    <cellStyle name="Заголовок 2 2" xfId="98"/>
    <cellStyle name="Заголовок 3" xfId="30" builtinId="18" customBuiltin="1"/>
    <cellStyle name="Заголовок 3 2" xfId="99"/>
    <cellStyle name="Заголовок 4" xfId="31" builtinId="19" customBuiltin="1"/>
    <cellStyle name="Заголовок 4 2" xfId="100"/>
    <cellStyle name="ЗаголовокСтолбца" xfId="101"/>
    <cellStyle name="Защитный" xfId="102"/>
    <cellStyle name="Значение" xfId="103"/>
    <cellStyle name="Итог" xfId="32" builtinId="25" customBuiltin="1"/>
    <cellStyle name="Итог 2" xfId="104"/>
    <cellStyle name="Итог 3" xfId="248"/>
    <cellStyle name="Контрольная ячейка" xfId="33" builtinId="23" customBuiltin="1"/>
    <cellStyle name="Контрольная ячейка 2" xfId="105"/>
    <cellStyle name="Контрольная ячейка 3" xfId="249"/>
    <cellStyle name="Мой заголовок" xfId="250"/>
    <cellStyle name="Мой заголовок листа" xfId="251"/>
    <cellStyle name="Мои наименования показателей" xfId="252"/>
    <cellStyle name="назв фил" xfId="253"/>
    <cellStyle name="Название" xfId="34" builtinId="15" customBuiltin="1"/>
    <cellStyle name="Название 2" xfId="106"/>
    <cellStyle name="Нейтральный" xfId="35" builtinId="28" customBuiltin="1"/>
    <cellStyle name="Нейтральный 2" xfId="107"/>
    <cellStyle name="Нейтральный 3" xfId="254"/>
    <cellStyle name="Обычный" xfId="0" builtinId="0"/>
    <cellStyle name="Обычный 2" xfId="42"/>
    <cellStyle name="Обычный 2 2" xfId="108"/>
    <cellStyle name="Обычный 2 2 3" xfId="309"/>
    <cellStyle name="Обычный 2 3" xfId="109"/>
    <cellStyle name="Обычный 2 4" xfId="139"/>
    <cellStyle name="Обычный 27" xfId="255"/>
    <cellStyle name="Обычный 3" xfId="43"/>
    <cellStyle name="Обычный 3 2" xfId="110"/>
    <cellStyle name="Обычный 3 2 2" xfId="191"/>
    <cellStyle name="Обычный 3 3" xfId="140"/>
    <cellStyle name="Обычный 3 3 2" xfId="256"/>
    <cellStyle name="Обычный 34" xfId="195"/>
    <cellStyle name="Обычный 4" xfId="111"/>
    <cellStyle name="Обычный 4 2" xfId="112"/>
    <cellStyle name="Обычный 5" xfId="113"/>
    <cellStyle name="Обычный 5 10" xfId="141"/>
    <cellStyle name="Обычный 5 10 2" xfId="257"/>
    <cellStyle name="Обычный 5 11" xfId="142"/>
    <cellStyle name="Обычный 5 11 2" xfId="258"/>
    <cellStyle name="Обычный 5 12" xfId="143"/>
    <cellStyle name="Обычный 5 12 2" xfId="259"/>
    <cellStyle name="Обычный 5 13" xfId="144"/>
    <cellStyle name="Обычный 5 13 2" xfId="260"/>
    <cellStyle name="Обычный 5 14" xfId="261"/>
    <cellStyle name="Обычный 5 15" xfId="262"/>
    <cellStyle name="Обычный 5 2" xfId="145"/>
    <cellStyle name="Обычный 5 2 2" xfId="263"/>
    <cellStyle name="Обычный 5 3" xfId="146"/>
    <cellStyle name="Обычный 5 3 2" xfId="264"/>
    <cellStyle name="Обычный 5 4" xfId="147"/>
    <cellStyle name="Обычный 5 4 2" xfId="265"/>
    <cellStyle name="Обычный 5 5" xfId="148"/>
    <cellStyle name="Обычный 5 5 2" xfId="266"/>
    <cellStyle name="Обычный 5 6" xfId="149"/>
    <cellStyle name="Обычный 5 6 2" xfId="267"/>
    <cellStyle name="Обычный 5 7" xfId="150"/>
    <cellStyle name="Обычный 5 7 2" xfId="268"/>
    <cellStyle name="Обычный 5 8" xfId="151"/>
    <cellStyle name="Обычный 5 8 2" xfId="269"/>
    <cellStyle name="Обычный 5 9" xfId="152"/>
    <cellStyle name="Обычный 5 9 2" xfId="270"/>
    <cellStyle name="Обычный 6" xfId="197"/>
    <cellStyle name="Обычный 7" xfId="271"/>
    <cellStyle name="Обычный 8 28" xfId="114"/>
    <cellStyle name="Обычный 9" xfId="308"/>
    <cellStyle name="Обычный_methodics230802-pril1-3" xfId="136"/>
    <cellStyle name="Обычный_Tarif_2002 год" xfId="135"/>
    <cellStyle name="Обычный_Алеутский 2002 тариф" xfId="138"/>
    <cellStyle name="Обычный_Алеутский 2002 тариф 2" xfId="44"/>
    <cellStyle name="Обычный_тарифы на 2002г с 1-01" xfId="45"/>
    <cellStyle name="Обычный_Цены   (Табл. П 1.10.xls; П1.11)2005 (26.05.05)" xfId="137"/>
    <cellStyle name="Обычный1" xfId="272"/>
    <cellStyle name="Плохой" xfId="36" builtinId="27" customBuiltin="1"/>
    <cellStyle name="Плохой 2" xfId="115"/>
    <cellStyle name="Плохой 3" xfId="273"/>
    <cellStyle name="Поле ввода" xfId="116"/>
    <cellStyle name="Пояснение" xfId="37" builtinId="53" customBuiltin="1"/>
    <cellStyle name="Пояснение 2" xfId="117"/>
    <cellStyle name="Пояснение 3" xfId="274"/>
    <cellStyle name="Примечание" xfId="38" builtinId="10" customBuiltin="1"/>
    <cellStyle name="Примечание 2" xfId="118"/>
    <cellStyle name="Процентный" xfId="310" builtinId="5"/>
    <cellStyle name="Процентный 2" xfId="119"/>
    <cellStyle name="Процентный 2 10" xfId="153"/>
    <cellStyle name="Процентный 2 11" xfId="154"/>
    <cellStyle name="Процентный 2 12" xfId="155"/>
    <cellStyle name="Процентный 2 13" xfId="156"/>
    <cellStyle name="Процентный 2 14" xfId="157"/>
    <cellStyle name="Процентный 2 15" xfId="158"/>
    <cellStyle name="Процентный 2 16" xfId="159"/>
    <cellStyle name="Процентный 2 17" xfId="192"/>
    <cellStyle name="Процентный 2 2" xfId="120"/>
    <cellStyle name="Процентный 2 3" xfId="121"/>
    <cellStyle name="Процентный 2 4" xfId="122"/>
    <cellStyle name="Процентный 2 5" xfId="160"/>
    <cellStyle name="Процентный 2 6" xfId="161"/>
    <cellStyle name="Процентный 2 7" xfId="162"/>
    <cellStyle name="Процентный 2 8" xfId="163"/>
    <cellStyle name="Процентный 2 9" xfId="164"/>
    <cellStyle name="Процентный 3" xfId="123"/>
    <cellStyle name="Процентный 3 10" xfId="165"/>
    <cellStyle name="Процентный 3 10 2" xfId="275"/>
    <cellStyle name="Процентный 3 11" xfId="166"/>
    <cellStyle name="Процентный 3 11 2" xfId="276"/>
    <cellStyle name="Процентный 3 12" xfId="167"/>
    <cellStyle name="Процентный 3 12 2" xfId="277"/>
    <cellStyle name="Процентный 3 13" xfId="168"/>
    <cellStyle name="Процентный 3 13 2" xfId="278"/>
    <cellStyle name="Процентный 3 14" xfId="279"/>
    <cellStyle name="Процентный 3 15" xfId="280"/>
    <cellStyle name="Процентный 3 2" xfId="169"/>
    <cellStyle name="Процентный 3 2 2" xfId="281"/>
    <cellStyle name="Процентный 3 3" xfId="170"/>
    <cellStyle name="Процентный 3 3 2" xfId="282"/>
    <cellStyle name="Процентный 3 4" xfId="171"/>
    <cellStyle name="Процентный 3 4 2" xfId="283"/>
    <cellStyle name="Процентный 3 5" xfId="172"/>
    <cellStyle name="Процентный 3 5 2" xfId="284"/>
    <cellStyle name="Процентный 3 6" xfId="173"/>
    <cellStyle name="Процентный 3 6 2" xfId="285"/>
    <cellStyle name="Процентный 3 7" xfId="174"/>
    <cellStyle name="Процентный 3 7 2" xfId="286"/>
    <cellStyle name="Процентный 3 8" xfId="175"/>
    <cellStyle name="Процентный 3 8 2" xfId="287"/>
    <cellStyle name="Процентный 3 9" xfId="176"/>
    <cellStyle name="Процентный 3 9 2" xfId="288"/>
    <cellStyle name="Процентный 4" xfId="193"/>
    <cellStyle name="Связанная ячейка" xfId="39" builtinId="24" customBuiltin="1"/>
    <cellStyle name="Связанная ячейка 2" xfId="124"/>
    <cellStyle name="Связанная ячейка 3" xfId="289"/>
    <cellStyle name="Стиль 1" xfId="125"/>
    <cellStyle name="Текст предупреждения" xfId="40" builtinId="11" customBuiltin="1"/>
    <cellStyle name="Текст предупреждения 2" xfId="126"/>
    <cellStyle name="Текст предупреждения 3" xfId="290"/>
    <cellStyle name="Текстовый" xfId="291"/>
    <cellStyle name="Тысячи [0]_3Com" xfId="127"/>
    <cellStyle name="Тысячи_3Com" xfId="128"/>
    <cellStyle name="Финансовый" xfId="196" builtinId="3"/>
    <cellStyle name="Финансовый [0] 2" xfId="194"/>
    <cellStyle name="Финансовый 2" xfId="129"/>
    <cellStyle name="Финансовый 3" xfId="130"/>
    <cellStyle name="Финансовый 3 10" xfId="177"/>
    <cellStyle name="Финансовый 3 10 2" xfId="292"/>
    <cellStyle name="Финансовый 3 11" xfId="178"/>
    <cellStyle name="Финансовый 3 11 2" xfId="293"/>
    <cellStyle name="Финансовый 3 12" xfId="179"/>
    <cellStyle name="Финансовый 3 12 2" xfId="294"/>
    <cellStyle name="Финансовый 3 13" xfId="180"/>
    <cellStyle name="Финансовый 3 13 2" xfId="295"/>
    <cellStyle name="Финансовый 3 14" xfId="296"/>
    <cellStyle name="Финансовый 3 15" xfId="297"/>
    <cellStyle name="Финансовый 3 2" xfId="181"/>
    <cellStyle name="Финансовый 3 2 2" xfId="298"/>
    <cellStyle name="Финансовый 3 3" xfId="182"/>
    <cellStyle name="Финансовый 3 3 2" xfId="299"/>
    <cellStyle name="Финансовый 3 4" xfId="183"/>
    <cellStyle name="Финансовый 3 4 2" xfId="300"/>
    <cellStyle name="Финансовый 3 5" xfId="184"/>
    <cellStyle name="Финансовый 3 5 2" xfId="301"/>
    <cellStyle name="Финансовый 3 6" xfId="185"/>
    <cellStyle name="Финансовый 3 6 2" xfId="302"/>
    <cellStyle name="Финансовый 3 7" xfId="186"/>
    <cellStyle name="Финансовый 3 7 2" xfId="303"/>
    <cellStyle name="Финансовый 3 8" xfId="187"/>
    <cellStyle name="Финансовый 3 8 2" xfId="304"/>
    <cellStyle name="Финансовый 3 9" xfId="188"/>
    <cellStyle name="Финансовый 3 9 2" xfId="305"/>
    <cellStyle name="Формула" xfId="131"/>
    <cellStyle name="ФормулаВБ" xfId="306"/>
    <cellStyle name="ФормулаНаКонтроль" xfId="132"/>
    <cellStyle name="Хороший" xfId="41" builtinId="26" customBuiltin="1"/>
    <cellStyle name="Хороший 2" xfId="133"/>
    <cellStyle name="Хороший 3" xfId="307"/>
    <cellStyle name="Џђћ–…ќ’ќ›‰" xfId="134"/>
  </cellStyles>
  <dxfs count="0"/>
  <tableStyles count="0" defaultTableStyle="TableStyleMedium9" defaultPivotStyle="PivotStyleLight16"/>
  <colors>
    <mruColors>
      <color rgb="FFCCFFFF"/>
      <color rgb="FF99FFCC"/>
      <color rgb="FF00FFFF"/>
      <color rgb="FF0000CC"/>
      <color rgb="FFFFFF99"/>
      <color rgb="FFFF66FF"/>
      <color rgb="FFFF99FF"/>
      <color rgb="FFCC99FF"/>
      <color rgb="FF9999FF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externalLink" Target="externalLinks/externalLink15.xml"/><Relationship Id="rId170" Type="http://schemas.openxmlformats.org/officeDocument/2006/relationships/externalLink" Target="externalLinks/externalLink10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externalLink" Target="externalLinks/externalLink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externalLink" Target="externalLinks/externalLink11.xml"/><Relationship Id="rId176" Type="http://schemas.openxmlformats.org/officeDocument/2006/relationships/theme" Target="theme/theme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externalLink" Target="externalLinks/externalLink1.xml"/><Relationship Id="rId166" Type="http://schemas.openxmlformats.org/officeDocument/2006/relationships/externalLink" Target="externalLinks/externalLink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64" Type="http://schemas.openxmlformats.org/officeDocument/2006/relationships/externalLink" Target="externalLinks/externalLink4.xml"/><Relationship Id="rId169" Type="http://schemas.openxmlformats.org/officeDocument/2006/relationships/externalLink" Target="externalLinks/externalLink9.xml"/><Relationship Id="rId177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72" Type="http://schemas.openxmlformats.org/officeDocument/2006/relationships/externalLink" Target="externalLinks/externalLink12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externalLink" Target="externalLinks/externalLink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sharedStrings" Target="sharedString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externalLink" Target="externalLinks/externalLink1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externalLink" Target="externalLinks/externalLink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externalLink" Target="externalLinks/externalLink14.xml"/><Relationship Id="rId179" Type="http://schemas.openxmlformats.org/officeDocument/2006/relationships/calcChain" Target="calcChain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-PL/NBPL/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M10SRV042\&#1054;&#1090;&#1076;&#1077;&#1083;&#1099;\Disk_F\Users\EconomDep\OT\&#1058;&#1040;&#1056;&#1048;&#1060;&#1067;_&#1101;&#1083;&#1077;&#1082;&#1090;&#1088;&#1086;,&#1090;&#1077;&#1087;&#1083;&#1086;\&#1058;&#1072;&#1088;&#1080;&#1092;&#1099;%20&#1062;&#1069;&#1059;%202014%20&#1075;&#1086;&#1076;\02%20&#1053;&#1040;&#1055;&#1056;&#1040;&#1042;&#1051;&#1045;&#1053;&#1054;%20&#1042;%20&#1056;&#1057;&#1058;.&#1056;&#1040;&#1057;&#1063;&#1045;&#1058;&#1067;%20&#1047;&#1044;&#1045;&#1057;&#1068;!!!\20.09_&#1058;&#1047;%20&#1074;%20&#1092;&#1086;&#1088;&#1084;&#1072;&#1090;&#1077;%20&#1085;&#1086;&#1074;&#1099;&#1093;%20&#1052;&#1059;\&#1085;&#1072;&#1087;&#1088;&#1072;&#1074;&#1083;&#1077;&#1085;&#1086;%20&#1074;%20&#1101;&#1083;.&#1074;&#1080;&#1076;&#1077;%2020.09.2013\&#1055;&#1050;&#1043;&#1054;,&#1082;&#1086;&#1090;&#1077;&#1083;&#1100;&#1085;&#1099;&#1077;_&#1085;&#1086;&#1074;&#1072;&#1103;%20&#1084;&#1077;&#1090;&#1086;&#1076;&#1080;&#1082;&#1072;_&#1076;&#1083;&#1103;%20&#1056;&#1057;&#1058;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M10SRV042\&#1054;&#1090;&#1076;&#1077;&#1083;&#1099;\Disk_F\Users\EconomDep\OT\&#1058;&#1040;&#1056;&#1048;&#1060;&#1067;_&#1101;&#1083;&#1077;&#1082;&#1090;&#1088;&#1086;,&#1090;&#1077;&#1087;&#1083;&#1086;\&#1058;&#1072;&#1088;&#1080;&#1092;&#1099;%20&#1062;&#1069;&#1059;%202014%20&#1075;&#1086;&#1076;\03%20&#1055;&#1054;&#1051;&#1059;&#1063;&#1045;&#1053;&#1054;%20&#1054;&#1058;%20&#1056;&#1057;&#1058;\&#1069;&#1050;&#1057;&#1055;&#1045;&#1056;&#1058;&#1053;&#1067;&#1045;_&#1087;&#1086;&#1083;&#1091;&#1095;&#1077;&#1085;&#1086;%20&#1086;&#1090;%20&#1056;&#1057;&#1058;\&#1087;&#1086;&#1089;&#1083;&#1077;&#1076;&#1085;&#1080;&#1077;%20&#1101;&#1082;&#1089;&#1087;&#1077;&#1088;&#1090;&#1085;&#1099;&#1077;_03.12.13\!!!&#1056;&#1040;&#1057;&#1063;&#1045;&#1058;%20&#1056;&#1057;&#1058;%202014_&#1069;&#1051;&#1045;&#1050;&#1058;&#1056;&#1054;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5;&#1069;&#1057;/&#1057;&#1045;&#1050;&#1058;&#1054;&#1056;%20&#1058;&#1040;&#1056;&#1048;&#1060;&#1054;&#1042;/05_2_&#1058;&#1040;&#1056;&#1048;&#1060;&#1053;&#1040;&#1071;%20&#1050;&#1040;&#1052;&#1055;&#1040;&#1053;&#1048;&#1071;%20&#1053;&#1040;%202014/&#1090;&#1077;&#1087;&#1083;&#1086;-&#1082;&#1086;&#1090;&#1077;&#1083;&#1100;&#1085;&#1099;&#1077;%20&#1052;&#1054;_&#1079;&#1103;&#1074;&#1082;&#1080;%20&#1085;&#1072;%202014/&#1090;&#1072;&#1088;&#1080;&#1092;&#1085;&#1099;&#1077;%20&#1079;&#1072;&#1103;&#1074;&#1082;&#1080;/&#1045;&#1083;&#1080;&#1079;&#1086;&#1074;&#1089;&#1082;&#1086;&#1077;%20&#1043;&#1055;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M10SRV042\&#1054;&#1090;&#1076;&#1077;&#1083;&#1099;\Disk_F\Users\EconomDep\OT\&#1058;&#1040;&#1056;&#1048;&#1060;&#1067;_&#1101;&#1083;&#1077;&#1082;&#1090;&#1088;&#1086;,&#1090;&#1077;&#1087;&#1083;&#1086;\&#1058;&#1072;&#1088;&#1080;&#1092;&#1099;%20&#1062;&#1069;&#1059;%202015%20&#1075;&#1086;&#1076;\&#1053;&#1040;&#1055;&#1056;&#1040;&#1042;&#1051;&#1045;&#1053;&#1054;%20&#1074;%20&#1056;&#1057;&#1058;\&#1056;&#1072;&#1089;&#1095;&#1077;&#1090;&#1099;%20&#1052;&#1054;%20&#1085;&#1072;&#1087;&#1088;&#1072;&#1074;&#1083;&#1077;&#1085;&#1086;%20&#1074;%20&#1056;&#1057;&#1058;%2030,04,14\1_&#1045;&#1051;&#1048;&#1047;&#1054;&#1042;&#1054;_24,04,14_&#1087;&#1086;%20&#1082;&#1086;&#1088;&#1088;%20&#1096;&#1072;&#1073;&#1083;&#1086;&#1085;&#1072;&#1084;%20&#1041;&#1083;&#1091;&#1054;&#1048;.xlsm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M10SRV042\&#1054;&#1090;&#1076;&#1077;&#1083;&#1099;\Disk_F\Users\EconomDep\OT\&#1050;&#1054;&#1052;&#1052;&#1059;&#1053;&#1040;&#1051;&#1068;&#1053;&#1040;&#1071;%20&#1069;&#1053;&#1045;&#1056;&#1043;&#1045;&#1058;&#1048;&#1050;&#1040;\2015\05_3_&#1058;&#1040;&#1056;&#1048;&#1060;&#1053;&#1040;&#1071;%20&#1050;&#1040;&#1052;&#1055;&#1040;&#1053;&#1048;&#1071;%20&#1053;&#1040;%202015\&#1056;&#1040;&#1057;&#1063;&#1045;&#1058;&#1067;_&#1052;&#1054;\&#1051;&#1040;&#1056;&#1048;&#1057;&#1040;\&#1056;&#1072;&#1079;&#1076;&#1086;&#1083;&#1100;&#1085;&#1077;&#1085;&#1089;&#1082;&#1086;&#1077;%20&#1057;&#1055;_%20&#1089;%20&#1076;&#1086;&#1083;&#1075;.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M10SRV042\Shares\IAU\Users\EconomDep\OT\&#1058;&#1040;&#1056;&#1048;&#1060;&#1067;_&#1101;&#1083;&#1077;&#1082;&#1090;&#1088;&#1086;,&#1090;&#1077;&#1087;&#1083;&#1086;\&#1058;&#1072;&#1088;&#1080;&#1092;&#1099;%20&#1062;&#1069;&#1059;%202016%20&#1075;&#1086;&#1076;\&#1058;&#1040;&#1056;&#1048;&#1060;&#1053;&#1040;&#1071;%20&#1047;&#1040;&#1071;&#1042;&#1050;&#1040;_30.04\&#1062;&#1069;&#1059;,&#1055;&#1050;&#1043;&#1054;,&#1052;&#1054;\02_&#1058;&#1045;&#1055;&#1051;&#1054;&#1057;&#1053;&#1040;&#1041;&#1046;&#1045;&#1053;&#1048;&#1045;_&#1090;&#1101;,&#1090;&#1085;&#1086;&#1089;&#1080;&#1090;&#1077;&#1083;&#1100;,&#1043;&#1042;&#1057;&#1086;&#1090;&#1082;&#1088;\&#1055;&#1050;&#1043;&#1054;_&#1090;&#1072;&#1088;&#1080;&#1092;&#1085;&#1072;&#1103;%20&#1079;&#1072;&#1103;&#1074;&#1082;&#1072;=&#1088;&#1072;&#1089;&#1095;&#1077;&#1090;\&#1045;&#1051;&#1048;&#1047;&#1054;&#1042;&#1054;_&#1096;&#1072;&#1073;&#1083;&#1086;&#1085;_&#1074;%20&#1088;&#1072;&#1073;&#1086;&#1090;&#1077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M10SRV042\B-PL\NBPL\_F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rofiles_Users/NAShershneva/Local%20Settings/Temporary%20Internet%20Files/Content.Outlook/0WG7YFN7/&#1087;&#1088;&#1080;&#1083;&#1086;&#1078;.5%20&#1087;&#1086;%20&#1085;&#1086;&#1074;.&#1084;&#1077;&#1090;&#1086;&#1076;&#1080;&#1082;&#1077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M10SRV042\Profiles_Users\NAShershneva\Local%20Settings\Temporary%20Internet%20Files\Content.Outlook\0WG7YFN7\&#1087;&#1088;&#1080;&#1083;&#1086;&#1078;.5%20&#1087;&#1086;%20&#1085;&#1086;&#1074;.&#1084;&#1077;&#1090;&#1086;&#1076;&#1080;&#1082;&#1077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44;&#1077;&#1087;&#1072;&#1088;&#1090;&#1072;&#1084;&#1077;&#1085;&#1090;\&#1058;&#1072;&#1088;&#1080;&#1092;&#1085;&#1086;&#1081;%20&#1087;&#1086;&#1083;&#1080;&#1090;&#1080;&#1082;&#1080;\58-4%20&#1055;&#1088;&#1086;&#1075;&#1085;&#1086;&#1079;&#1085;&#1099;&#1077;%20&#1088;&#1072;&#1089;&#1095;&#1105;&#1090;&#1099;%20&#1090;&#1072;&#1088;&#1080;&#1092;&#1086;&#1074;\&#1058;&#1072;&#1088;&#1080;&#1092;&#1099;%202012\&#1055;&#1088;&#1080;&#1082;&#1072;&#1079;&#1099;%20&#1080;%20&#1101;&#1082;&#1089;&#1087;&#1077;&#1088;&#1090;&#1085;&#1099;&#1077;%20&#1079;&#1072;&#1082;&#1083;&#1102;&#1095;&#1077;&#1085;&#1080;&#1103;%20&#1085;&#1072;%202012%20&#1075;&#1086;&#1076;\&#1044;&#1043;&#1050;\&#1101;&#1083;&#1077;&#1082;&#1090;&#1088;&#1086;&#1101;&#1085;&#1077;&#1088;&#1075;&#1080;&#1103;\&#1086;&#1090;%2016.01.2012\&#1055;&#1077;&#1088;&#1074;&#1086;&#1077;%20&#1087;&#1086;&#1083;&#1091;&#1075;&#1086;&#1076;&#1080;&#1077;\&#1054;&#1040;&#1054;%20&#1044;&#1043;&#1050;_&#1040;&#1084;&#1091;&#1088;&#1089;&#1082;&#1072;&#1103;%20&#1058;&#1069;&#1062;-1_&#1060;&#1057;&#1058;_1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&#1084;&#1086;&#1080;%20&#1076;&#1086;&#1082;&#1091;&#1084;&#1077;&#1085;&#1090;&#1099;\DOCUME~1\7FFE~1\LOCALS~1\Temp\Rar$DI00.344\warm.balance.2007year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9;&#1090;&#1074;&#1077;&#1088;&#1078;&#1076;&#1077;&#1085;&#1085;&#1099;&#1081;%20&#1087;&#1088;&#1080;&#1082;&#1072;&#1079;/7.%20&#1055;&#1088;&#1080;&#1083;&#1086;&#1078;&#1077;&#1085;&#1080;&#1077;%20&#8470;%205%20&#1082;%20&#1050;&#1072;&#1083;&#1077;&#1085;&#1076;.%20&#1087;&#1083;&#1072;&#1085;&#1091;_%20&#1056;&#1072;&#1089;&#1095;&#1077;&#1090;%20&#1090;&#1072;&#1088;&#1080;&#1092;&#1072;%20&#1074;%20&#1096;&#1072;&#1073;&#1083;&#1086;&#1085;&#1077;%20&#1045;&#1048;&#1040;&#1057;(&#1085;&#1077;&#1094;&#1077;&#1085;&#1086;&#1074;&#1072;&#1103;%20&#1079;&#1086;&#1085;&#1072;)%2004.03.201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M10SRV042\&#1059;&#1090;&#1074;&#1077;&#1088;&#1078;&#1076;&#1077;&#1085;&#1085;&#1099;&#1081;%20&#1087;&#1088;&#1080;&#1082;&#1072;&#1079;\7.%20&#1055;&#1088;&#1080;&#1083;&#1086;&#1078;&#1077;&#1085;&#1080;&#1077;%20&#8470;%205%20&#1082;%20&#1050;&#1072;&#1083;&#1077;&#1085;&#1076;.%20&#1087;&#1083;&#1072;&#1085;&#1091;_%20&#1056;&#1072;&#1089;&#1095;&#1077;&#1090;%20&#1090;&#1072;&#1088;&#1080;&#1092;&#1072;%20&#1074;%20&#1096;&#1072;&#1073;&#1083;&#1086;&#1085;&#1077;%20&#1045;&#1048;&#1040;&#1057;(&#1085;&#1077;&#1094;&#1077;&#1085;&#1086;&#1074;&#1072;&#1103;%20&#1079;&#1086;&#1085;&#1072;)%2004.03.201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M10SRV042\&#1055;&#1069;&#1057;\&#1057;&#1045;&#1050;&#1058;&#1054;&#1056;%20&#1058;&#1040;&#1056;&#1048;&#1060;&#1054;&#1042;\01_&#1058;&#1040;&#1056;&#1048;&#1060;&#1067;%20&#1059;&#1058;&#1042;&#1045;&#1056;&#1046;&#1044;&#1045;&#1053;&#1053;&#1067;&#1045;_&#1069;&#1050;&#1057;&#1055;&#1045;&#1056;&#1058;&#1053;&#1067;&#1045;%20&#1047;&#1040;&#1050;&#1051;&#1070;&#1063;&#1045;&#1053;&#1048;&#1071;_&#1057;&#1055;&#1056;&#1040;&#1042;&#1050;&#1048;\2014\06_&#1069;&#1050;&#1057;&#1055;&#1045;&#1056;&#1058;&#1053;&#1067;&#1045;%20&#1047;&#1040;&#1050;&#1051;&#1070;&#1063;&#1045;&#1053;&#1048;&#1071;\&#1055;&#1050;&#1043;&#1054;_&#1090;&#1077;&#1087;&#1083;&#1086;\!!!%20&#1056;&#1040;&#1057;&#1063;&#1045;&#1058;%20&#1056;&#1057;&#1058;%202014_&#1058;&#1045;&#1055;&#1051;&#1054;%20&#1053;&#1086;&#1074;&#1072;&#1103;%20&#1084;&#1077;&#1090;&#1086;&#1076;&#1080;&#1082;&#1072;%20(&#1076;&#1083;&#1103;%20&#1086;&#1090;&#1087;&#1088;&#1072;&#1074;&#1082;&#1080;%20&#1074;%20&#1050;&#1069;%2019.12.2013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УЗ-21"/>
      <sheetName val="УЗ-21(1кв)"/>
      <sheetName val="УЗ-21(1кв)факт"/>
      <sheetName val="УЗ-21(2кв)"/>
      <sheetName val="УЗ-21(3кв)"/>
      <sheetName val="УЗ-21(4кв)"/>
      <sheetName val="УЗ-22"/>
      <sheetName val="УЗ-22(1кв)"/>
      <sheetName val="УЗ-22(2кв)"/>
      <sheetName val="УЗ-22(3кв)"/>
      <sheetName val="УЗ-22(4кв)"/>
      <sheetName val="УЗ-23"/>
      <sheetName val="УЗ-24"/>
      <sheetName val="УЗ-25"/>
      <sheetName val="УЗ-26"/>
      <sheetName val="УЗ-26 (1)"/>
      <sheetName val="УЗ-26 (2)"/>
      <sheetName val="УЗ-26 (3)"/>
      <sheetName val="УЗ-26 (4)"/>
      <sheetName val="УЗ-27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1 (2)"/>
      <sheetName val="рост.зп"/>
      <sheetName val="Выпадающие списки"/>
      <sheetName val="ид для табл.2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март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SMetstrait"/>
      <sheetName val="2001"/>
      <sheetName val="ПОСЭ (январь)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1"/>
      <sheetName val="Показатели ТСО 3.1."/>
      <sheetName val="прил4"/>
      <sheetName val="4.1"/>
      <sheetName val="4.1_ПП"/>
      <sheetName val="4.2"/>
      <sheetName val="4.3"/>
      <sheetName val="4.3ПП"/>
      <sheetName val="4.4"/>
      <sheetName val="4.5"/>
      <sheetName val="4.4-расход по котел"/>
      <sheetName val="4.5 - баланс топлива по котел"/>
      <sheetName val="4.6_свод"/>
      <sheetName val="4.6_генерация"/>
      <sheetName val="4.6_транзит"/>
      <sheetName val="4.6_сбыт"/>
      <sheetName val="4.7"/>
      <sheetName val="4. 7-энерг.рес."/>
      <sheetName val="4.8"/>
      <sheetName val="4.8-приобр.ХВ и теплонос."/>
      <sheetName val="4.9_свод ККЭ"/>
      <sheetName val="4.9_пр-во ККЭ"/>
      <sheetName val="4.9_транзит ККЭ"/>
      <sheetName val="4.9_сбыт ККЭ"/>
      <sheetName val="4.10_свод"/>
      <sheetName val="4.10_пр-во"/>
      <sheetName val="4.10_транзит"/>
      <sheetName val="4.10_сбыт"/>
      <sheetName val="4.11"/>
      <sheetName val="4.12"/>
      <sheetName val="4.13"/>
      <sheetName val="4.14"/>
      <sheetName val="4.15"/>
      <sheetName val="прил.6"/>
      <sheetName val="6.1_генерация"/>
      <sheetName val="6.2_передача"/>
      <sheetName val="6.3_потери"/>
      <sheetName val="6.4_потребителям"/>
      <sheetName val="6.5_передача"/>
      <sheetName val="6.6_теплоноситель"/>
      <sheetName val="6.7-теплоноситель"/>
      <sheetName val="6.8_ГВСоткр"/>
    </sheetNames>
    <sheetDataSet>
      <sheetData sheetId="0">
        <row r="2">
          <cell r="A2" t="str">
            <v>ПКГО - выработка котельными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ставить в расчет!!!"/>
      <sheetName val="Старая табл.20_ПП"/>
      <sheetName val="Старая Таблица 20"/>
      <sheetName val="1"/>
      <sheetName val="2 (2)"/>
      <sheetName val="2"/>
      <sheetName val="2 _ПП"/>
      <sheetName val="3"/>
      <sheetName val="3_ПП"/>
      <sheetName val="4 "/>
      <sheetName val="4_ПП"/>
      <sheetName val="5 "/>
      <sheetName val="5_ПП"/>
      <sheetName val="6"/>
      <sheetName val="6_ПП"/>
      <sheetName val="9"/>
      <sheetName val="10"/>
      <sheetName val="11"/>
      <sheetName val="13"/>
      <sheetName val="14"/>
      <sheetName val="12"/>
      <sheetName val="Лист1"/>
      <sheetName val="Лист3"/>
      <sheetName val="Лист2"/>
      <sheetName val="15 (эл-всего, с косв.внутри)"/>
      <sheetName val="15 -0 (эл-произв,с косв)"/>
      <sheetName val="15-1 (эл-транз+сб,с косв)"/>
      <sheetName val="15-2 (эл-транз,с косв)"/>
      <sheetName val="15-3 (эл-сбыт,с косв)"/>
      <sheetName val="16 св эл"/>
      <sheetName val="16 пр эл"/>
      <sheetName val="16 тр сб эл"/>
      <sheetName val="16 тр эл"/>
      <sheetName val="16сб эл"/>
      <sheetName val="17 эл всего"/>
      <sheetName val="17 эл пр"/>
      <sheetName val="17 эл пер+сб"/>
      <sheetName val="17 эл пер"/>
      <sheetName val="17 эл сб"/>
      <sheetName val="21 Э"/>
      <sheetName val="21 Эпр"/>
      <sheetName val="21 Эпер+сб"/>
      <sheetName val="22 1П"/>
      <sheetName val="22 2П"/>
      <sheetName val="15 эл-всего_ПП"/>
      <sheetName val="21 Э_пр-во_ПП"/>
      <sheetName val="15 (эл-всего)"/>
      <sheetName val="15 эл-произв_ПП"/>
      <sheetName val="15 -0 (эл-произв)"/>
      <sheetName val="18"/>
      <sheetName val="18.1"/>
      <sheetName val="18.2"/>
      <sheetName val="15 эл-транзит_ПП"/>
      <sheetName val="15-1 (эл-тран+сб)"/>
      <sheetName val="15-2 (эл-транз)"/>
      <sheetName val="15 эл-сбыт_ПП"/>
      <sheetName val="15-3 (эл-сбыт)"/>
      <sheetName val="15-4 (эл-косв)"/>
      <sheetName val="15-8 (тепло-косвенные)"/>
      <sheetName val="15-4-1 (05)"/>
      <sheetName val="15-4-1 (06)"/>
      <sheetName val="15-4-1 (07)"/>
      <sheetName val="17.1-2005"/>
      <sheetName val="17 косв"/>
      <sheetName val="17.1-2011"/>
      <sheetName val="17.1-2012"/>
      <sheetName val="17.1-2013"/>
      <sheetName val="17.1-2008"/>
      <sheetName val="20.1-2005"/>
      <sheetName val="17.1-2014"/>
      <sheetName val="20-эл"/>
      <sheetName val="20-эл-1"/>
      <sheetName val="20-эл-2"/>
      <sheetName val="20-эл-3"/>
      <sheetName val="20-эл-4"/>
      <sheetName val="20.1-2011"/>
      <sheetName val="20.1-2012"/>
      <sheetName val="20.1-2013,2014-ОКС,ДСП"/>
      <sheetName val="21 Э_ПП"/>
      <sheetName val="21 Э_транзит_ПП"/>
      <sheetName val="21 Эсбыт_ПП"/>
      <sheetName val="23 "/>
      <sheetName val="24"/>
      <sheetName val="25-моя"/>
      <sheetName val="26"/>
      <sheetName val="26_ПП"/>
      <sheetName val="27 2014 1П "/>
      <sheetName val="27 2014 2П  "/>
      <sheetName val="27"/>
      <sheetName val="29"/>
      <sheetName val="2.1"/>
      <sheetName val="2.2"/>
      <sheetName val="усл.ед.электро"/>
      <sheetName val="НВВ-моя"/>
      <sheetName val="25-желательно убрать"/>
      <sheetName val="НВВ перед по напряж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101">
          <cell r="G101">
            <v>0</v>
          </cell>
          <cell r="H101">
            <v>0</v>
          </cell>
          <cell r="I101">
            <v>0</v>
          </cell>
        </row>
        <row r="102">
          <cell r="G102">
            <v>0</v>
          </cell>
          <cell r="H102">
            <v>0</v>
          </cell>
          <cell r="I102">
            <v>0</v>
          </cell>
        </row>
        <row r="103">
          <cell r="G103">
            <v>0</v>
          </cell>
          <cell r="H103">
            <v>0</v>
          </cell>
          <cell r="I103">
            <v>0</v>
          </cell>
        </row>
        <row r="104">
          <cell r="G104">
            <v>0</v>
          </cell>
          <cell r="H104">
            <v>0</v>
          </cell>
          <cell r="I104">
            <v>0</v>
          </cell>
        </row>
        <row r="105">
          <cell r="G105">
            <v>0</v>
          </cell>
          <cell r="H105">
            <v>0</v>
          </cell>
          <cell r="I105">
            <v>0</v>
          </cell>
        </row>
        <row r="106">
          <cell r="G106">
            <v>0</v>
          </cell>
          <cell r="H106">
            <v>0</v>
          </cell>
          <cell r="I106">
            <v>0</v>
          </cell>
        </row>
        <row r="107">
          <cell r="G107">
            <v>0</v>
          </cell>
          <cell r="H107">
            <v>0</v>
          </cell>
          <cell r="I107">
            <v>0</v>
          </cell>
        </row>
        <row r="108">
          <cell r="G108">
            <v>0</v>
          </cell>
          <cell r="H108">
            <v>0</v>
          </cell>
          <cell r="I108">
            <v>0</v>
          </cell>
        </row>
        <row r="109">
          <cell r="G109">
            <v>0</v>
          </cell>
          <cell r="H109">
            <v>0</v>
          </cell>
          <cell r="I109">
            <v>0</v>
          </cell>
        </row>
        <row r="110">
          <cell r="G110">
            <v>0</v>
          </cell>
          <cell r="H110">
            <v>0</v>
          </cell>
          <cell r="I110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</row>
        <row r="113">
          <cell r="G113">
            <v>0</v>
          </cell>
          <cell r="H113">
            <v>0</v>
          </cell>
          <cell r="I113">
            <v>0</v>
          </cell>
        </row>
        <row r="114">
          <cell r="G114">
            <v>0</v>
          </cell>
          <cell r="H114">
            <v>0</v>
          </cell>
          <cell r="I114">
            <v>0</v>
          </cell>
        </row>
        <row r="115">
          <cell r="G115">
            <v>0</v>
          </cell>
          <cell r="H115">
            <v>0</v>
          </cell>
          <cell r="I115">
            <v>0</v>
          </cell>
        </row>
        <row r="116">
          <cell r="G116">
            <v>0</v>
          </cell>
          <cell r="H116">
            <v>0</v>
          </cell>
          <cell r="I116">
            <v>0</v>
          </cell>
        </row>
        <row r="117">
          <cell r="G117">
            <v>0</v>
          </cell>
          <cell r="H117">
            <v>0</v>
          </cell>
          <cell r="I117">
            <v>0</v>
          </cell>
        </row>
        <row r="118">
          <cell r="G118">
            <v>0</v>
          </cell>
          <cell r="H118">
            <v>0</v>
          </cell>
          <cell r="I118">
            <v>0</v>
          </cell>
        </row>
        <row r="119">
          <cell r="G119">
            <v>0</v>
          </cell>
          <cell r="H119">
            <v>0</v>
          </cell>
          <cell r="I119">
            <v>0</v>
          </cell>
        </row>
        <row r="120">
          <cell r="G120">
            <v>0</v>
          </cell>
          <cell r="H120">
            <v>0</v>
          </cell>
          <cell r="I120">
            <v>0</v>
          </cell>
        </row>
        <row r="121">
          <cell r="G121">
            <v>0</v>
          </cell>
          <cell r="H121">
            <v>0</v>
          </cell>
          <cell r="I121">
            <v>0</v>
          </cell>
        </row>
        <row r="122">
          <cell r="G122">
            <v>0</v>
          </cell>
          <cell r="H122">
            <v>0</v>
          </cell>
          <cell r="I122">
            <v>0</v>
          </cell>
        </row>
        <row r="123">
          <cell r="G123">
            <v>0</v>
          </cell>
          <cell r="H123">
            <v>0</v>
          </cell>
          <cell r="I123">
            <v>0</v>
          </cell>
        </row>
        <row r="124">
          <cell r="G124">
            <v>0</v>
          </cell>
          <cell r="H124">
            <v>0</v>
          </cell>
          <cell r="I124">
            <v>0</v>
          </cell>
        </row>
        <row r="126">
          <cell r="G126">
            <v>0</v>
          </cell>
          <cell r="H126">
            <v>0</v>
          </cell>
          <cell r="I126">
            <v>0</v>
          </cell>
        </row>
        <row r="127">
          <cell r="G127">
            <v>0</v>
          </cell>
          <cell r="H127">
            <v>0</v>
          </cell>
          <cell r="I127">
            <v>0</v>
          </cell>
        </row>
        <row r="128">
          <cell r="G128">
            <v>0</v>
          </cell>
          <cell r="H128">
            <v>0</v>
          </cell>
          <cell r="I128">
            <v>0</v>
          </cell>
        </row>
        <row r="129">
          <cell r="G129">
            <v>0</v>
          </cell>
          <cell r="H129">
            <v>0</v>
          </cell>
          <cell r="I129">
            <v>0</v>
          </cell>
        </row>
        <row r="130">
          <cell r="G130">
            <v>0</v>
          </cell>
          <cell r="H130">
            <v>0</v>
          </cell>
          <cell r="I130">
            <v>0</v>
          </cell>
        </row>
        <row r="131">
          <cell r="G131">
            <v>0</v>
          </cell>
          <cell r="H131">
            <v>0</v>
          </cell>
          <cell r="I131">
            <v>0</v>
          </cell>
        </row>
        <row r="132">
          <cell r="G132">
            <v>0</v>
          </cell>
          <cell r="H132">
            <v>0</v>
          </cell>
          <cell r="I132">
            <v>0</v>
          </cell>
        </row>
        <row r="133">
          <cell r="G133">
            <v>0</v>
          </cell>
          <cell r="H133">
            <v>0</v>
          </cell>
          <cell r="I133">
            <v>0</v>
          </cell>
        </row>
        <row r="134">
          <cell r="G134">
            <v>0</v>
          </cell>
          <cell r="H134">
            <v>0</v>
          </cell>
          <cell r="I134">
            <v>0</v>
          </cell>
        </row>
        <row r="135">
          <cell r="G135">
            <v>0</v>
          </cell>
          <cell r="H135">
            <v>0</v>
          </cell>
          <cell r="I135">
            <v>0</v>
          </cell>
        </row>
        <row r="136">
          <cell r="G136">
            <v>0</v>
          </cell>
          <cell r="H136">
            <v>0</v>
          </cell>
          <cell r="I136">
            <v>0</v>
          </cell>
        </row>
        <row r="137">
          <cell r="G137">
            <v>0</v>
          </cell>
          <cell r="H137">
            <v>0</v>
          </cell>
          <cell r="I137">
            <v>0</v>
          </cell>
        </row>
        <row r="139">
          <cell r="G139">
            <v>0</v>
          </cell>
          <cell r="H139">
            <v>0</v>
          </cell>
          <cell r="I139">
            <v>0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язательно смотреть!!!"/>
      <sheetName val="инструкция"/>
      <sheetName val="Старая Таблица 20"/>
      <sheetName val="2 (2)"/>
      <sheetName val="Показатели ТСО"/>
      <sheetName val="7 "/>
      <sheetName val="7_ПП"/>
      <sheetName val="8 "/>
      <sheetName val="8_ПП"/>
      <sheetName val="9"/>
      <sheetName val="9_ПП"/>
      <sheetName val="1.9.1- котельн."/>
      <sheetName val="10"/>
      <sheetName val="10_ПП"/>
      <sheetName val="1.10.1"/>
      <sheetName val="11"/>
      <sheetName val="13"/>
      <sheetName val="14"/>
      <sheetName val="11_ПП"/>
      <sheetName val="1.12-тэ"/>
      <sheetName val="12-ээ"/>
      <sheetName val="12-ээ_ПП"/>
      <sheetName val="1.12.1-ээ_методика"/>
      <sheetName val="1.12.1-ээ"/>
      <sheetName val="1.12-вода"/>
      <sheetName val="1.12-вода_ПП"/>
      <sheetName val="1.12.1-вс_методика"/>
      <sheetName val="15-8 (тепло-косвенные)"/>
      <sheetName val="15-4-1 (05)"/>
      <sheetName val="15-4-1 (06)"/>
      <sheetName val="15-4-1 (07)"/>
      <sheetName val="15-5 (тепло-всего, с косв)"/>
      <sheetName val="1.12.1.-елизово"/>
      <sheetName val="15-6 (тепло-произв, с косв)"/>
      <sheetName val="15-7 (тепло-перед+сб, с косв)"/>
      <sheetName val="15-7 (тепло-перед+сб)"/>
      <sheetName val="15-7 (тепло-транз, с косв)"/>
      <sheetName val="15-7 (тепло-сбыт, с косв)"/>
      <sheetName val="15-7 (тепло-сбыт)"/>
      <sheetName val="19_СВОД"/>
      <sheetName val="19.1_производство"/>
      <sheetName val="19.2_передача"/>
      <sheetName val="19.2_сбыт"/>
      <sheetName val="19-расшифровка_СВОД"/>
      <sheetName val="19-расшифровка_пр_во"/>
      <sheetName val="19-расшифровка_передача"/>
      <sheetName val="19-расшифровка_сбыт"/>
      <sheetName val="15_смета_тепло-всего"/>
      <sheetName val="15_производство"/>
      <sheetName val="15_передача"/>
      <sheetName val="15_сбыт"/>
      <sheetName val="16 тр сб теп"/>
      <sheetName val="16 сб теп"/>
      <sheetName val="16 ремонт"/>
      <sheetName val="АнализЧисл."/>
      <sheetName val="Числ, Ткоэф"/>
      <sheetName val="17 теп всего"/>
      <sheetName val="17 теп пр"/>
      <sheetName val="17теп пер+сб"/>
      <sheetName val="17 теп пер"/>
      <sheetName val="17 теп сб"/>
      <sheetName val="17.1-2005"/>
      <sheetName val="17 косв"/>
      <sheetName val="20-теп"/>
      <sheetName val="20-т-1"/>
      <sheetName val="20-т-2"/>
      <sheetName val="20-т-3"/>
      <sheetName val="20-т-4"/>
      <sheetName val="20.1-2005"/>
      <sheetName val="20.1-2009"/>
      <sheetName val="20.1-2010"/>
      <sheetName val="20.1-2011,2012"/>
      <sheetName val="16_производств.персонал_СВОД"/>
      <sheetName val="16_пр.перс_пр-во"/>
      <sheetName val="16_пр.перс_передача"/>
      <sheetName val="16_пр.перс_сбыт"/>
      <sheetName val="16_ремонт-СВОД"/>
      <sheetName val="16_ремонт-пр-во"/>
      <sheetName val="16_ремонт-передача"/>
      <sheetName val="16_ремонт-сбыт"/>
      <sheetName val="16_цех-СВОД"/>
      <sheetName val="16_цех-пр-во"/>
      <sheetName val="16_цех-передача"/>
      <sheetName val="16_цех-сбыт"/>
      <sheetName val="16_общхоз-СВОД"/>
      <sheetName val="16_общхоз-пр-во"/>
      <sheetName val="16_общхоз-передача"/>
      <sheetName val="16_общхоз-сбыт"/>
      <sheetName val="16_СВОД_ВСЕГО"/>
      <sheetName val="16 производство всего"/>
      <sheetName val="16 транзит всего"/>
      <sheetName val="16 сбыт всего"/>
      <sheetName val="ЗАМЕЧАНИЯ_СМОТРЕТЬ!!"/>
      <sheetName val="17 всего"/>
      <sheetName val="17 пр"/>
      <sheetName val="17 пер"/>
      <sheetName val="17 сб"/>
      <sheetName val="21 Т"/>
      <sheetName val="21 Тпр"/>
      <sheetName val="21 Тпер+сб"/>
      <sheetName val="21 Тпер"/>
      <sheetName val="21 Тсбыт"/>
      <sheetName val="22"/>
      <sheetName val="22-1пг"/>
      <sheetName val="22-2пг"/>
      <sheetName val="24.1"/>
      <sheetName val="24.1-1пг"/>
      <sheetName val="24.1-2пг"/>
      <sheetName val="25.1"/>
      <sheetName val="25.1-1пг"/>
      <sheetName val="25.1-2пг"/>
      <sheetName val="28.1"/>
      <sheetName val="28"/>
      <sheetName val="28-1пг"/>
      <sheetName val="28-2пг"/>
      <sheetName val="28.1 новая"/>
      <sheetName val="28.1 новая-1пг"/>
      <sheetName val="28.1 новая-2пг "/>
      <sheetName val="28.2"/>
      <sheetName val="28.2-1пг"/>
      <sheetName val="28.2-2пг"/>
      <sheetName val="П1.28.3"/>
      <sheetName val="П1.28.3-1пг"/>
      <sheetName val="П1.28.3-2пг "/>
      <sheetName val="Произвпрограмма 2011 года "/>
      <sheetName val="Произвпрограмма 2012 года"/>
      <sheetName val="Произвпрограмма 2013 года "/>
      <sheetName val="Произвпрограмма 2014 года"/>
      <sheetName val="усл. ед. тепло"/>
      <sheetName val="НВВ-моя"/>
      <sheetName val="25-желательно убрать"/>
      <sheetName val="НВВ перед по напряж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9">
          <cell r="F9">
            <v>222.755</v>
          </cell>
          <cell r="AA9">
            <v>297.77000000000004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арая Таблица 20"/>
      <sheetName val="Показатели ТСО 3.1."/>
      <sheetName val="3.1"/>
      <sheetName val="4.1"/>
      <sheetName val="4.2"/>
      <sheetName val="4.1_ПП"/>
      <sheetName val="4.3"/>
      <sheetName val="4.3ПП"/>
      <sheetName val="4.4"/>
      <sheetName val="4.5"/>
      <sheetName val="4.5_ПП"/>
      <sheetName val=" 4.4."/>
      <sheetName val="4. 5"/>
      <sheetName val="4.6_свод"/>
      <sheetName val="4.6_генерация"/>
      <sheetName val="4.6_транзит"/>
      <sheetName val="4.6_сбыт"/>
      <sheetName val="4.7"/>
      <sheetName val="4. 7"/>
      <sheetName val="4.8"/>
      <sheetName val="4. 8 "/>
      <sheetName val="4.9_СВОД_ВСЕГО"/>
      <sheetName val="4.9 производство всего"/>
      <sheetName val="4.9 транзит всего"/>
      <sheetName val="4.9 сбыт всего"/>
      <sheetName val="4.9_производств.персонал_СВОД"/>
      <sheetName val="4.9_пр.перс_пр-во"/>
      <sheetName val="4.9_пр.перс_передача"/>
      <sheetName val="4.9_пр.перс_сбыт"/>
      <sheetName val="4.9_ремонт-СВОД"/>
      <sheetName val="4.9_ремонт-пр-во"/>
      <sheetName val="4.9_ремонт-передача"/>
      <sheetName val="4.9_ремонт-сбыт"/>
      <sheetName val="4.9_цех-СВОД"/>
      <sheetName val="4.9_цех-пр-во"/>
      <sheetName val="4.9_цех-передача"/>
      <sheetName val="4.9_цех-сбыт"/>
      <sheetName val="4.9_общхоз-СВОД"/>
      <sheetName val="4.9_общхоз-пр-во"/>
      <sheetName val="4.9_общхоз-передача"/>
      <sheetName val="4.9_общхоз-сбыт"/>
      <sheetName val="4.10_свод"/>
      <sheetName val="4.10_пр-во"/>
      <sheetName val="4.10_транзит"/>
      <sheetName val="4.10_сбыт"/>
      <sheetName val="4.11"/>
      <sheetName val="4.12"/>
      <sheetName val="4.13"/>
      <sheetName val="4.14"/>
      <sheetName val="4.15"/>
      <sheetName val="Исходные данные"/>
      <sheetName val="5.1_свод"/>
      <sheetName val="5.1_пр-во"/>
      <sheetName val="5.1_передача"/>
      <sheetName val="5.2_пр-во"/>
      <sheetName val="5.2_передача"/>
      <sheetName val="5.3"/>
      <sheetName val="5.3_пр-во"/>
      <sheetName val="5.3_передача"/>
      <sheetName val="5.4"/>
      <sheetName val="5.4_пр-во"/>
      <sheetName val="5.4_передача"/>
      <sheetName val="5.5"/>
      <sheetName val="5.6"/>
      <sheetName val="5.7"/>
      <sheetName val="5.9"/>
      <sheetName val="5.9_пр-во"/>
      <sheetName val="5.9_передача"/>
      <sheetName val="6.1_генерация"/>
      <sheetName val="6.2_передача"/>
      <sheetName val="6.3_потери"/>
      <sheetName val="6.4_потребителям"/>
      <sheetName val="6.5_передача"/>
      <sheetName val="6.6_теплоноситель"/>
      <sheetName val="6.7-теплоноситель"/>
      <sheetName val="6.8_ГВСоткр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33">
          <cell r="F33">
            <v>262.7</v>
          </cell>
        </row>
        <row r="36">
          <cell r="F36">
            <v>170.7</v>
          </cell>
        </row>
        <row r="61">
          <cell r="F61">
            <v>0.71</v>
          </cell>
          <cell r="H61">
            <v>0.71</v>
          </cell>
        </row>
        <row r="64">
          <cell r="H64">
            <v>1.129</v>
          </cell>
        </row>
      </sheetData>
      <sheetData sheetId="12">
        <row r="64">
          <cell r="N64">
            <v>4654.68</v>
          </cell>
        </row>
        <row r="82">
          <cell r="N82">
            <v>4830.6499999999996</v>
          </cell>
        </row>
        <row r="85">
          <cell r="N85">
            <v>5904.3200000000006</v>
          </cell>
        </row>
      </sheetData>
      <sheetData sheetId="13">
        <row r="108">
          <cell r="G108">
            <v>440740</v>
          </cell>
        </row>
        <row r="110">
          <cell r="G110">
            <v>1738834.2786218845</v>
          </cell>
        </row>
      </sheetData>
      <sheetData sheetId="14"/>
      <sheetData sheetId="15"/>
      <sheetData sheetId="16"/>
      <sheetData sheetId="17"/>
      <sheetData sheetId="18">
        <row r="111">
          <cell r="F111">
            <v>7715.3895142135198</v>
          </cell>
          <cell r="J111">
            <v>5.577015353547635</v>
          </cell>
        </row>
        <row r="143">
          <cell r="F143">
            <v>10396</v>
          </cell>
          <cell r="J143">
            <v>6.0560280477106581</v>
          </cell>
        </row>
      </sheetData>
      <sheetData sheetId="19"/>
      <sheetData sheetId="20">
        <row r="8">
          <cell r="U8">
            <v>991662.35</v>
          </cell>
          <cell r="V8">
            <v>8.05960881897963E-3</v>
          </cell>
          <cell r="AA8">
            <v>992000</v>
          </cell>
          <cell r="AB8">
            <v>8.3552206296612901E-3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>
        <row r="18">
          <cell r="D18">
            <v>1174102.3637604606</v>
          </cell>
        </row>
      </sheetData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арая Таблица 20"/>
      <sheetName val="Показатели ТСО 3.1."/>
      <sheetName val="3.1"/>
      <sheetName val="4.1"/>
      <sheetName val="4.1_ПП"/>
      <sheetName val="4.2"/>
      <sheetName val="4.3"/>
      <sheetName val="4.3ПП"/>
      <sheetName val="4.4"/>
      <sheetName val=" 4.4."/>
      <sheetName val="4.5"/>
      <sheetName val="4. 5"/>
      <sheetName val="4.5_ПП"/>
      <sheetName val="4.6_свод"/>
      <sheetName val="4.6_генерация"/>
      <sheetName val="4.6_транзит"/>
      <sheetName val="4.6_сбыт"/>
      <sheetName val="4.7"/>
      <sheetName val="4. 7"/>
      <sheetName val="4.8"/>
      <sheetName val="4. 8 "/>
      <sheetName val="4.9_СВОД_ВСЕГО"/>
      <sheetName val="4.9 производство всего"/>
      <sheetName val="4.9 транзит всего"/>
      <sheetName val="4.9 сбыт всего"/>
      <sheetName val="4.9_производств.персонал_СВОД"/>
      <sheetName val="4.9_пр.перс_пр-во"/>
      <sheetName val="4.9_пр.перс_передача"/>
      <sheetName val="4.9_пр.перс_сбыт"/>
      <sheetName val="4.9_ремонт-СВОД"/>
      <sheetName val="4.9_ремонт-пр-во"/>
      <sheetName val="4.9_ремонт-передача"/>
      <sheetName val="4.9_ремонт-сбыт"/>
      <sheetName val="4.9_цех-СВОД"/>
      <sheetName val="4.9_цех-пр-во"/>
      <sheetName val="4.9_цех-передача"/>
      <sheetName val="4.9_цех-сбыт"/>
      <sheetName val="4.9_общхоз-СВОД"/>
      <sheetName val="4.9_общхоз-пр-во"/>
      <sheetName val="4.9_общхоз-передача"/>
      <sheetName val="4.9_общхоз-сбыт"/>
      <sheetName val="4.10_свод"/>
      <sheetName val="4.10_пр-во"/>
      <sheetName val="4.10_транзит"/>
      <sheetName val="4.10_сбыт"/>
      <sheetName val="4.11"/>
      <sheetName val="4.12"/>
      <sheetName val="4.13"/>
      <sheetName val="4.14"/>
      <sheetName val="4.15"/>
      <sheetName val="Исходные данные"/>
      <sheetName val="5.1_свод"/>
      <sheetName val="5.1_пр-во"/>
      <sheetName val="5.1_передача"/>
      <sheetName val="5.2_пр-во"/>
      <sheetName val="5.2_передача"/>
      <sheetName val="5.3"/>
      <sheetName val="5.3_пр-во"/>
      <sheetName val="5.3_передача"/>
      <sheetName val="5.4"/>
      <sheetName val="5.4_пр-во"/>
      <sheetName val="5.4_передача"/>
      <sheetName val="5.5"/>
      <sheetName val="5.6"/>
      <sheetName val="5.7"/>
      <sheetName val="5.8"/>
      <sheetName val="5.9"/>
      <sheetName val="5.10"/>
      <sheetName val="6.1_генерация"/>
      <sheetName val="6.2_передача"/>
      <sheetName val="6.3_потери"/>
      <sheetName val="6.4_потребителям"/>
      <sheetName val="6.5_передача"/>
      <sheetName val="6.6_теплоноситель"/>
      <sheetName val="6.7-теплоноситель"/>
      <sheetName val="6.8_ГВСоткр"/>
      <sheetName val="Лист1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33">
          <cell r="F33">
            <v>216.1</v>
          </cell>
        </row>
      </sheetData>
      <sheetData sheetId="10" refreshError="1"/>
      <sheetData sheetId="11">
        <row r="64">
          <cell r="N64">
            <v>4723.95</v>
          </cell>
        </row>
      </sheetData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арая Таблица 20"/>
      <sheetName val="Показатели ТСО 3.1."/>
      <sheetName val="3.1"/>
      <sheetName val="4.1"/>
      <sheetName val="4.1_ПП"/>
      <sheetName val="4.2"/>
      <sheetName val="4.3"/>
      <sheetName val="4.3ПП"/>
      <sheetName val="4.4"/>
      <sheetName val=" 4.4."/>
      <sheetName val="4.5"/>
      <sheetName val="4. 5"/>
      <sheetName val="4.5_ПП"/>
      <sheetName val="4.6_свод"/>
      <sheetName val="4.6_генерация"/>
      <sheetName val="4.6_транзит"/>
      <sheetName val="4.6_сбыт"/>
      <sheetName val="4.7"/>
      <sheetName val="4. 7"/>
      <sheetName val="4.8"/>
      <sheetName val="4. 8 "/>
      <sheetName val="4.9_СВОД_ВСЕГО"/>
      <sheetName val="4.9 производство всего"/>
      <sheetName val="4.9 транзит всего"/>
      <sheetName val="4.9 сбыт всего"/>
      <sheetName val="4.9_производств.персонал_СВОД"/>
      <sheetName val="4.9_пр.перс_пр-во"/>
      <sheetName val="4.9_пр.перс_передача"/>
      <sheetName val="4.9_пр.перс_сбыт"/>
      <sheetName val="4.9_ремонт-СВОД"/>
      <sheetName val="4.9_ремонт-пр-во"/>
      <sheetName val="4.9_ремонт-передача"/>
      <sheetName val="4.9_ремонт-сбыт"/>
      <sheetName val="4.9_цех-СВОД"/>
      <sheetName val="4.9_цех-пр-во"/>
      <sheetName val="4.9_цех-передача"/>
      <sheetName val="4.9_цех-сбыт"/>
      <sheetName val="4.9_общхоз-СВОД"/>
      <sheetName val="4.9_общхоз-пр-во"/>
      <sheetName val="4.9_общхоз-передача"/>
      <sheetName val="4.9_общхоз-сбыт"/>
      <sheetName val="4.10_свод"/>
      <sheetName val="4.10_пр-во"/>
      <sheetName val="4.10_транзит"/>
      <sheetName val="4.10_сбыт"/>
      <sheetName val="4.11"/>
      <sheetName val="4.12"/>
      <sheetName val="4.13"/>
      <sheetName val="4.14"/>
      <sheetName val="4.15"/>
      <sheetName val="5.1_свод"/>
      <sheetName val="5.1_пр-во"/>
      <sheetName val="5.1_передача"/>
      <sheetName val="5.2_пр-во"/>
      <sheetName val="5.2_передача"/>
      <sheetName val="5.3"/>
      <sheetName val="5.3_пр-во"/>
      <sheetName val="5.3_передача"/>
      <sheetName val="5.4"/>
      <sheetName val="5.4_пр-во"/>
      <sheetName val="5.4_передача"/>
      <sheetName val="5.5"/>
      <sheetName val="5.6"/>
      <sheetName val="5.7"/>
      <sheetName val="5.8"/>
      <sheetName val="5.9_пр-во"/>
      <sheetName val="5.10"/>
      <sheetName val="5.9_передача"/>
      <sheetName val="6.1_генерация"/>
      <sheetName val="6.2_передача"/>
      <sheetName val="6.3_потери"/>
      <sheetName val="6.4_потребителям"/>
      <sheetName val="6.6_теплоноситель"/>
      <sheetName val="6.7-теплоноситель"/>
      <sheetName val="6.8_ГВСоткр"/>
    </sheetNames>
    <sheetDataSet>
      <sheetData sheetId="0" refreshError="1"/>
      <sheetData sheetId="1" refreshError="1"/>
      <sheetData sheetId="2" refreshError="1">
        <row r="2">
          <cell r="A2" t="str">
            <v>Елизовское ГП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8">
          <cell r="E8">
            <v>12670.653248000001</v>
          </cell>
        </row>
        <row r="82">
          <cell r="D82">
            <v>0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>
        <row r="73">
          <cell r="D73">
            <v>0</v>
          </cell>
        </row>
      </sheetData>
      <sheetData sheetId="69" refreshError="1">
        <row r="12">
          <cell r="F12">
            <v>0</v>
          </cell>
        </row>
      </sheetData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УЗ-21"/>
      <sheetName val="УЗ-21(1кв)"/>
      <sheetName val="УЗ-21(1кв)факт"/>
      <sheetName val="УЗ-21(2кв)"/>
      <sheetName val="УЗ-21(3кв)"/>
      <sheetName val="УЗ-21(4кв)"/>
      <sheetName val="УЗ-22"/>
      <sheetName val="УЗ-22(1кв)"/>
      <sheetName val="УЗ-22(2кв)"/>
      <sheetName val="УЗ-22(3кв)"/>
      <sheetName val="УЗ-22(4кв)"/>
      <sheetName val="УЗ-23"/>
      <sheetName val="УЗ-24"/>
      <sheetName val="УЗ-25"/>
      <sheetName val="УЗ-26"/>
      <sheetName val="УЗ-26 (1)"/>
      <sheetName val="УЗ-26 (2)"/>
      <sheetName val="УЗ-26 (3)"/>
      <sheetName val="УЗ-26 (4)"/>
      <sheetName val="УЗ-27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1 (2)"/>
      <sheetName val="ид для табл.2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март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SMetstrait"/>
      <sheetName val="2001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-опер.расх 1 год"/>
      <sheetName val="5.2-опер.рас ПП"/>
      <sheetName val="5.3-неподк.расх."/>
      <sheetName val="5.4-ресурсы"/>
      <sheetName val="5.5-экономия ОР"/>
      <sheetName val="5.6-экономия ПТ"/>
      <sheetName val="5.7-экономия ПР"/>
      <sheetName val="5.9-НВВ"/>
    </sheetNames>
    <definedNames>
      <definedName name="_tt1" refersTo="#ССЫЛКА!" sheetId="1"/>
      <definedName name="bbbbbb" refersTo="#ССЫЛКА!" sheetId="1"/>
      <definedName name="bnmnm" refersTo="#ССЫЛКА!" sheetId="1"/>
      <definedName name="ccc" refersTo="#ССЫЛКА!" sheetId="1"/>
      <definedName name="ccccdc" refersTo="#ССЫЛКА!" sheetId="1"/>
      <definedName name="cvfds" refersTo="#ССЫЛКА!" sheetId="1"/>
      <definedName name="dddddddd" refersTo="#ССЫЛКА!" sheetId="1"/>
      <definedName name="fffffffff" refersTo="#ССЫЛКА!" sheetId="1"/>
      <definedName name="kbcn" refersTo="#ССЫЛКА!" sheetId="1"/>
      <definedName name="kk" refersTo="#ССЫЛКА!" sheetId="1"/>
      <definedName name="n" refersTo="#ССЫЛКА!" sheetId="1"/>
      <definedName name="qasec" refersTo="#ССЫЛКА!" sheetId="1"/>
      <definedName name="qqq" refersTo="#ССЫЛКА!" sheetId="1"/>
      <definedName name="qqqq" refersTo="#ССЫЛКА!" sheetId="1"/>
      <definedName name="qwecn" refersTo="#ССЫЛКА!" sheetId="1"/>
      <definedName name="qwer" refersTo="#ССЫЛКА!" sheetId="1"/>
      <definedName name="qwertyt" refersTo="#ССЫЛКА!" sheetId="1"/>
      <definedName name="qwertyu" refersTo="#ССЫЛКА!" sheetId="1"/>
      <definedName name="qwertyui" refersTo="#ССЫЛКА!" sheetId="1"/>
      <definedName name="qwsde" refersTo="#ССЫЛКА!" sheetId="1"/>
      <definedName name="qwxxd" refersTo="#ССЫЛКА!" sheetId="1"/>
      <definedName name="rr" refersTo="#ССЫЛКА!" sheetId="1"/>
      <definedName name="sd" refersTo="#ССЫЛКА!" sheetId="1"/>
      <definedName name="tt" refersTo="#ССЫЛКА!" sheetId="1"/>
      <definedName name="vbh" refersTo="#ССЫЛКА!" sheetId="1"/>
      <definedName name="xdgfg" refersTo="#ССЫЛКА!" sheetId="1"/>
      <definedName name="абон.пл" refersTo="#ССЫЛКА!" sheetId="1"/>
      <definedName name="авт" refersTo="#ССЫЛКА!" sheetId="1"/>
      <definedName name="ан" refersTo="#ССЫЛКА!" sheetId="1"/>
      <definedName name="анализ" refersTo="#ССЫЛКА!" sheetId="1"/>
      <definedName name="ап" refersTo="#ССЫЛКА!" sheetId="1"/>
      <definedName name="дд" refersTo="#ССЫЛКА!" sheetId="1"/>
      <definedName name="зз" refersTo="#ССЫЛКА!" sheetId="1"/>
      <definedName name="Зин" refersTo="#ССЫЛКА!" sheetId="1"/>
      <definedName name="к1" refersTo="#ССЫЛКА!" sheetId="1"/>
      <definedName name="л" refersTo="#ССЫЛКА!" sheetId="1"/>
      <definedName name="лист" refersTo="#ССЫЛКА!" sheetId="1"/>
      <definedName name="лист1" refersTo="#ССЫЛКА!" sheetId="1"/>
      <definedName name="лист2" refersTo="#ССЫЛКА!" sheetId="1"/>
      <definedName name="лл" refersTo="#ССЫЛКА!" sheetId="1"/>
      <definedName name="мс" refersTo="#ССЫЛКА!" sheetId="1"/>
      <definedName name="план" refersTo="#ССЫЛКА!" sheetId="1"/>
      <definedName name="пром." refersTo="#ССЫЛКА!" sheetId="1"/>
      <definedName name="проч" refersTo="#ССЫЛКА!" sheetId="1"/>
      <definedName name="проч.расх" refersTo="#ССЫЛКА!" sheetId="1"/>
      <definedName name="расх" refersTo="#ССЫЛКА!" sheetId="1"/>
      <definedName name="РГРЭС" refersTo="#ССЫЛКА!" sheetId="1"/>
      <definedName name="рем" refersTo="#ССЫЛКА!" sheetId="1"/>
      <definedName name="сель" refersTo="#ССЫЛКА!" sheetId="1"/>
      <definedName name="сельск.хоз" refersTo="#ССЫЛКА!" sheetId="1"/>
      <definedName name="ссс" refersTo="#ССЫЛКА!" sheetId="1"/>
      <definedName name="тов" refersTo="#ССЫЛКА!" sheetId="1"/>
      <definedName name="тома" refersTo="#ССЫЛКА!" sheetId="1"/>
      <definedName name="три" refersTo="#ССЫЛКА!" sheetId="1"/>
      <definedName name="УФ56ОТ" refersTo="#ССЫЛКА!" sheetId="1"/>
      <definedName name="фф" refersTo="#ССЫЛКА!" sheetId="1"/>
      <definedName name="щ" refersTo="#ССЫЛКА!" sheetId="1"/>
      <definedName name="ывы" refersTo="#ССЫЛКА!" sheetId="1"/>
      <definedName name="Южные" refersTo="#ССЫЛКА!" sheetId="1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-опер.расх 1 год"/>
      <sheetName val="5.2-опер.рас ПП"/>
      <sheetName val="5.3-неподк.расх."/>
      <sheetName val="5.4-ресурсы"/>
      <sheetName val="5.5-экономия ОР"/>
      <sheetName val="5.6-экономия ПТ"/>
      <sheetName val="5.7-экономия ПР"/>
      <sheetName val="5.9-НВВ"/>
    </sheetNames>
    <definedNames>
      <definedName name="_tt1" refersTo="#ССЫЛКА!" sheetId="1"/>
      <definedName name="bbbbbb" refersTo="#ССЫЛКА!" sheetId="1"/>
      <definedName name="bnmnm" refersTo="#ССЫЛКА!" sheetId="1"/>
      <definedName name="ccc" refersTo="#ССЫЛКА!" sheetId="1"/>
      <definedName name="ccccdc" refersTo="#ССЫЛКА!" sheetId="1"/>
      <definedName name="cvfds" refersTo="#ССЫЛКА!" sheetId="1"/>
      <definedName name="dddddddd" refersTo="#ССЫЛКА!" sheetId="1"/>
      <definedName name="fffffffff" refersTo="#ССЫЛКА!" sheetId="1"/>
      <definedName name="kbcn" refersTo="#ССЫЛКА!" sheetId="1"/>
      <definedName name="kk" refersTo="#ССЫЛКА!" sheetId="1"/>
      <definedName name="n" refersTo="#ССЫЛКА!" sheetId="1"/>
      <definedName name="qasec" refersTo="#ССЫЛКА!" sheetId="1"/>
      <definedName name="qqq" refersTo="#ССЫЛКА!" sheetId="1"/>
      <definedName name="qqqq" refersTo="#ССЫЛКА!" sheetId="1"/>
      <definedName name="qwecn" refersTo="#ССЫЛКА!" sheetId="1"/>
      <definedName name="qwer" refersTo="#ССЫЛКА!" sheetId="1"/>
      <definedName name="qwertyt" refersTo="#ССЫЛКА!" sheetId="1"/>
      <definedName name="qwertyu" refersTo="#ССЫЛКА!" sheetId="1"/>
      <definedName name="qwertyui" refersTo="#ССЫЛКА!" sheetId="1"/>
      <definedName name="qwsde" refersTo="#ССЫЛКА!" sheetId="1"/>
      <definedName name="qwxxd" refersTo="#ССЫЛКА!" sheetId="1"/>
      <definedName name="rr" refersTo="#ССЫЛКА!" sheetId="1"/>
      <definedName name="sd" refersTo="#ССЫЛКА!" sheetId="1"/>
      <definedName name="tt" refersTo="#ССЫЛКА!" sheetId="1"/>
      <definedName name="vbh" refersTo="#ССЫЛКА!" sheetId="1"/>
      <definedName name="xdgfg" refersTo="#ССЫЛКА!" sheetId="1"/>
      <definedName name="абон.пл" refersTo="#ССЫЛКА!" sheetId="1"/>
      <definedName name="авт" refersTo="#ССЫЛКА!" sheetId="1"/>
      <definedName name="ан" refersTo="#ССЫЛКА!" sheetId="1"/>
      <definedName name="анализ" refersTo="#ССЫЛКА!" sheetId="1"/>
      <definedName name="ап" refersTo="#ССЫЛКА!" sheetId="1"/>
      <definedName name="дд" refersTo="#ССЫЛКА!" sheetId="1"/>
      <definedName name="зз" refersTo="#ССЫЛКА!" sheetId="1"/>
      <definedName name="Зин" refersTo="#ССЫЛКА!" sheetId="1"/>
      <definedName name="к1" refersTo="#ССЫЛКА!" sheetId="1"/>
      <definedName name="л" refersTo="#ССЫЛКА!" sheetId="1"/>
      <definedName name="лист" refersTo="#ССЫЛКА!" sheetId="1"/>
      <definedName name="лист1" refersTo="#ССЫЛКА!" sheetId="1"/>
      <definedName name="лист2" refersTo="#ССЫЛКА!" sheetId="1"/>
      <definedName name="лл" refersTo="#ССЫЛКА!" sheetId="1"/>
      <definedName name="мс" refersTo="#ССЫЛКА!" sheetId="1"/>
      <definedName name="план" refersTo="#ССЫЛКА!" sheetId="1"/>
      <definedName name="пром." refersTo="#ССЫЛКА!" sheetId="1"/>
      <definedName name="проч" refersTo="#ССЫЛКА!" sheetId="1"/>
      <definedName name="проч.расх" refersTo="#ССЫЛКА!" sheetId="1"/>
      <definedName name="расх" refersTo="#ССЫЛКА!" sheetId="1"/>
      <definedName name="РГРЭС" refersTo="#ССЫЛКА!" sheetId="1"/>
      <definedName name="рем" refersTo="#ССЫЛКА!" sheetId="1"/>
      <definedName name="сель" refersTo="#ССЫЛКА!" sheetId="1"/>
      <definedName name="сельск.хоз" refersTo="#ССЫЛКА!" sheetId="1"/>
      <definedName name="ссс" refersTo="#ССЫЛКА!" sheetId="1"/>
      <definedName name="тов" refersTo="#ССЫЛКА!" sheetId="1"/>
      <definedName name="тома" refersTo="#ССЫЛКА!" sheetId="1"/>
      <definedName name="три" refersTo="#ССЫЛКА!" sheetId="1"/>
      <definedName name="УФ56ОТ" refersTo="#ССЫЛКА!" sheetId="1"/>
      <definedName name="фф" refersTo="#ССЫЛКА!" sheetId="1"/>
      <definedName name="щ" refersTo="#ССЫЛКА!" sheetId="1"/>
      <definedName name="ывы" refersTo="#ССЫЛКА!" sheetId="1"/>
      <definedName name="Южные" refersTo="#ССЫЛКА!" sheetId="1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Выбор субъекта РФ"/>
      <sheetName val="Обновление"/>
      <sheetName val="Лог обновления"/>
      <sheetName val="Титульный"/>
      <sheetName val="Сопроводительные материалы"/>
      <sheetName val="Индексы"/>
      <sheetName val="0"/>
      <sheetName val="0.1"/>
      <sheetName val="1"/>
      <sheetName val="2"/>
      <sheetName val="2.1"/>
      <sheetName val="2.2"/>
      <sheetName val="2.3"/>
      <sheetName val="4"/>
      <sheetName val="РчСтЭЭ"/>
      <sheetName val="РчСтЭЭ_УП i-1"/>
      <sheetName val="РчСтЭЭ_УП i-2"/>
      <sheetName val="РчСтЭЭ_Ф"/>
      <sheetName val="ВД_ГЭС"/>
      <sheetName val="РчСтГМ"/>
      <sheetName val="ИП"/>
      <sheetName val="Источники финансирования"/>
      <sheetName val="Расчет прибыли"/>
      <sheetName val="Комментарии"/>
      <sheetName val="Проверка"/>
      <sheetName val="et_union"/>
      <sheetName val="TEHSHEET"/>
      <sheetName val="modfrmReestr"/>
      <sheetName val="modUpdTemplMain"/>
      <sheetName val="AllSheetsInThisWorkbook"/>
      <sheetName val="Ставки"/>
      <sheetName val="REESTR_ORG"/>
      <sheetName val="REESTR_FILTERED"/>
      <sheetName val="REESTR_MO"/>
      <sheetName val="modfrmDictionary"/>
      <sheetName val="modProv"/>
      <sheetName val="modCommandButton"/>
      <sheetName val="modReestr"/>
      <sheetName val="modClassifierValidate"/>
      <sheetName val="modHyp"/>
      <sheetName val="modList03"/>
      <sheetName val="modList00"/>
      <sheetName val="modList07"/>
      <sheetName val="modList08"/>
      <sheetName val="modList09"/>
      <sheetName val="modList10"/>
      <sheetName val="modList11"/>
      <sheetName val="modList18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0">
          <cell r="F10">
            <v>2012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2">
          <cell r="G2" t="str">
            <v>Азейский</v>
          </cell>
          <cell r="H2" t="str">
            <v>Авиационный керосин</v>
          </cell>
        </row>
        <row r="3">
          <cell r="G3" t="str">
            <v>Аларский</v>
          </cell>
          <cell r="H3" t="str">
            <v>Газ доменный</v>
          </cell>
        </row>
        <row r="4">
          <cell r="G4" t="str">
            <v>Апанасовский</v>
          </cell>
          <cell r="H4" t="str">
            <v>Газ коксовый</v>
          </cell>
        </row>
        <row r="5">
          <cell r="G5" t="str">
            <v>Березовский</v>
          </cell>
          <cell r="H5" t="str">
            <v>Газ отбензиненный</v>
          </cell>
        </row>
        <row r="6">
          <cell r="G6" t="str">
            <v>Бикинский</v>
          </cell>
          <cell r="H6" t="str">
            <v>Газ попутный</v>
          </cell>
        </row>
        <row r="7">
          <cell r="G7" t="str">
            <v>Бородинский</v>
          </cell>
          <cell r="H7" t="str">
            <v>Дизельное топливо</v>
          </cell>
        </row>
        <row r="8">
          <cell r="G8" t="str">
            <v>Волчанский</v>
          </cell>
          <cell r="H8" t="str">
            <v>Дистиллят</v>
          </cell>
        </row>
        <row r="9">
          <cell r="G9" t="str">
            <v>Воркутинский</v>
          </cell>
          <cell r="H9" t="str">
            <v>Кокс</v>
          </cell>
        </row>
        <row r="10">
          <cell r="G10" t="str">
            <v>Глинкинский</v>
          </cell>
          <cell r="H10" t="str">
            <v>Сланцы</v>
          </cell>
        </row>
        <row r="11">
          <cell r="G11" t="str">
            <v>Головинский</v>
          </cell>
          <cell r="H11" t="str">
            <v>Торф</v>
          </cell>
        </row>
        <row r="12">
          <cell r="G12" t="str">
            <v>Донецкий</v>
          </cell>
          <cell r="H12" t="str">
            <v>Шлам</v>
          </cell>
        </row>
        <row r="13">
          <cell r="G13" t="str">
            <v>Ерковецкий</v>
          </cell>
        </row>
        <row r="14">
          <cell r="G14" t="str">
            <v>Жеронский</v>
          </cell>
        </row>
        <row r="15">
          <cell r="G15" t="str">
            <v>Изыхский</v>
          </cell>
        </row>
        <row r="16">
          <cell r="G16" t="str">
            <v>Интинский</v>
          </cell>
        </row>
        <row r="17">
          <cell r="G17" t="str">
            <v>Ирбейский</v>
          </cell>
        </row>
        <row r="18">
          <cell r="G18" t="str">
            <v>Итатский</v>
          </cell>
        </row>
        <row r="19">
          <cell r="G19" t="str">
            <v>Калтанский (ТМСШ)</v>
          </cell>
        </row>
        <row r="20">
          <cell r="G20" t="str">
            <v>Калтанский (ТР)</v>
          </cell>
        </row>
        <row r="21">
          <cell r="G21" t="str">
            <v>Калтанский (ТРОК-1)</v>
          </cell>
        </row>
        <row r="22">
          <cell r="G22" t="str">
            <v>Калтанский (ТРОК-2)</v>
          </cell>
        </row>
        <row r="23">
          <cell r="G23" t="str">
            <v>Канский</v>
          </cell>
        </row>
        <row r="24">
          <cell r="G24" t="str">
            <v>Канско-Ачинский</v>
          </cell>
        </row>
        <row r="25">
          <cell r="G25" t="str">
            <v>Кизеловский</v>
          </cell>
        </row>
        <row r="26">
          <cell r="G26" t="str">
            <v>Красногорский</v>
          </cell>
        </row>
        <row r="27">
          <cell r="G27" t="str">
            <v>Красноярский</v>
          </cell>
        </row>
        <row r="28">
          <cell r="G28" t="str">
            <v>Кузнецкий</v>
          </cell>
        </row>
        <row r="29">
          <cell r="G29" t="str">
            <v>Липовецкий</v>
          </cell>
        </row>
        <row r="30">
          <cell r="G30" t="str">
            <v>Мугунский</v>
          </cell>
        </row>
        <row r="31">
          <cell r="G31" t="str">
            <v>Назаровский</v>
          </cell>
        </row>
        <row r="32">
          <cell r="G32" t="str">
            <v>Нежинский</v>
          </cell>
        </row>
        <row r="33">
          <cell r="G33" t="str">
            <v>Нерюнгринский К-0-30</v>
          </cell>
        </row>
        <row r="34">
          <cell r="G34" t="str">
            <v>Нерюнгринский КС-0-300</v>
          </cell>
        </row>
        <row r="35">
          <cell r="G35" t="str">
            <v>Нерюнгринский СС</v>
          </cell>
        </row>
        <row r="36">
          <cell r="G36" t="str">
            <v>Нерюнгринский СС-0-50</v>
          </cell>
        </row>
        <row r="37">
          <cell r="G37" t="str">
            <v>Нерюнгринский СС-0-70</v>
          </cell>
        </row>
        <row r="38">
          <cell r="G38" t="str">
            <v>Осинниковский</v>
          </cell>
        </row>
        <row r="39">
          <cell r="G39" t="str">
            <v>Павловский БОМСШ</v>
          </cell>
        </row>
        <row r="40">
          <cell r="G40" t="str">
            <v>Павловский БР</v>
          </cell>
        </row>
        <row r="41">
          <cell r="G41" t="str">
            <v>Переясловский</v>
          </cell>
        </row>
        <row r="42">
          <cell r="G42" t="str">
            <v>Подмосковный</v>
          </cell>
        </row>
        <row r="43">
          <cell r="G43" t="str">
            <v>Райчихинский БМСШ</v>
          </cell>
        </row>
        <row r="44">
          <cell r="G44" t="str">
            <v>Райчихинский БО</v>
          </cell>
        </row>
        <row r="45">
          <cell r="G45" t="str">
            <v>Райчихинский БОМСШ</v>
          </cell>
        </row>
        <row r="46">
          <cell r="G46" t="str">
            <v>Райчихинский БР</v>
          </cell>
        </row>
        <row r="47">
          <cell r="G47" t="str">
            <v>Раковский</v>
          </cell>
        </row>
        <row r="48">
          <cell r="G48" t="str">
            <v>Свердловский</v>
          </cell>
        </row>
        <row r="49">
          <cell r="G49" t="str">
            <v>Степановский</v>
          </cell>
        </row>
        <row r="50">
          <cell r="G50" t="str">
            <v>Талдинский</v>
          </cell>
        </row>
        <row r="51">
          <cell r="G51" t="str">
            <v>Татауровский</v>
          </cell>
        </row>
        <row r="52">
          <cell r="G52" t="str">
            <v>Тугнуйский</v>
          </cell>
        </row>
        <row r="53">
          <cell r="G53" t="str">
            <v>Ургальский</v>
          </cell>
        </row>
        <row r="54">
          <cell r="G54" t="str">
            <v>Уртуйский</v>
          </cell>
        </row>
        <row r="55">
          <cell r="G55" t="str">
            <v>Хакасский</v>
          </cell>
        </row>
        <row r="56">
          <cell r="G56" t="str">
            <v>Харанорский</v>
          </cell>
        </row>
        <row r="57">
          <cell r="G57" t="str">
            <v>Хингуйский</v>
          </cell>
        </row>
        <row r="58">
          <cell r="G58" t="str">
            <v>Черемховский</v>
          </cell>
        </row>
        <row r="59">
          <cell r="G59" t="str">
            <v>Черногорский</v>
          </cell>
        </row>
        <row r="60">
          <cell r="G60" t="str">
            <v>Экибастузский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Баланс тепло"/>
      <sheetName val="Тепло - калькуляция"/>
      <sheetName val="МО"/>
    </sheetNames>
    <sheetDataSet>
      <sheetData sheetId="0"/>
      <sheetData sheetId="1"/>
      <sheetData sheetId="2"/>
      <sheetData sheetId="3">
        <row r="3">
          <cell r="R3" t="str">
            <v>Да</v>
          </cell>
        </row>
        <row r="4">
          <cell r="R4" t="str">
            <v>Нет</v>
          </cell>
        </row>
      </sheetData>
      <sheetData sheetId="4"/>
      <sheetData sheetId="5"/>
      <sheetData sheetId="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</sheetNames>
    <sheetDataSet>
      <sheetData sheetId="0"/>
      <sheetData sheetId="1">
        <row r="14">
          <cell r="B14">
            <v>2012</v>
          </cell>
        </row>
        <row r="15">
          <cell r="B15">
            <v>2011</v>
          </cell>
        </row>
        <row r="16">
          <cell r="B16">
            <v>2010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</sheetNames>
    <sheetDataSet>
      <sheetData sheetId="0"/>
      <sheetData sheetId="1">
        <row r="14">
          <cell r="B14">
            <v>2012</v>
          </cell>
        </row>
        <row r="15">
          <cell r="B15">
            <v>2011</v>
          </cell>
        </row>
        <row r="16">
          <cell r="B16">
            <v>2010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1"/>
      <sheetName val="Показатели ТСО 3.1. ККЭ"/>
      <sheetName val="Показатели ТСО 3.1. КТЭЦ"/>
      <sheetName val="Лист1"/>
      <sheetName val="прил4"/>
      <sheetName val="4.1_ПП ККЭ"/>
      <sheetName val="4.1_ПП КТЭЦ"/>
      <sheetName val="4.3 ККЭ"/>
      <sheetName val="4.3 КТЭЦ"/>
      <sheetName val="4.4-расход топлива"/>
      <sheetName val="4.5 - баланс топлива "/>
      <sheetName val="4.1 ККЭ"/>
      <sheetName val="4.1 КТЭЦ"/>
      <sheetName val="4.1_СВОД"/>
      <sheetName val="4.1_СВОД_ПП"/>
      <sheetName val="4.2"/>
      <sheetName val="4.3ПП ККЭ"/>
      <sheetName val="4.4"/>
      <sheetName val="4.5"/>
      <sheetName val="4.3ПП КТЭЦ"/>
      <sheetName val="4.4-расход по КТЭЦ"/>
      <sheetName val="4.7 покупная"/>
      <sheetName val="4.6. СВОД"/>
      <sheetName val="4.6_свод ККЭ"/>
      <sheetName val="4.6_свод КТЭЦ"/>
      <sheetName val="4.6_произв СВОД"/>
      <sheetName val="4.6_произв КТЭЦ"/>
      <sheetName val="4.6_произв котельн"/>
      <sheetName val="4.6_транзит+сбыт"/>
      <sheetName val="4.6_СВОД транзит"/>
      <sheetName val="4.6_транзит ККЭ"/>
      <sheetName val="4.6_транзит КТЭЦ"/>
      <sheetName val="4.6_СВОД_сбыт"/>
      <sheetName val="4.6_сбыт ККЭ"/>
      <sheetName val="4.6_сбыт КТЭЦ"/>
      <sheetName val="4. 7-энерг.рес. ККЭ"/>
      <sheetName val="4.8"/>
      <sheetName val="4.8-приобр.ХВ и теплонос."/>
      <sheetName val="4.9_СВОД"/>
      <sheetName val="4.9_свод КТЭЦ"/>
      <sheetName val="4.9_свод ККЭ"/>
      <sheetName val="4.9_свод пр-во"/>
      <sheetName val="4.9_произв котельн"/>
      <sheetName val="4.9_произв КТЭЦ"/>
      <sheetName val="4.9_свод_транзит+сбыт"/>
      <sheetName val="4.9_свод_транзит "/>
      <sheetName val="4.9_транзит ККЭ"/>
      <sheetName val="4.9_транзит КТЭЦ"/>
      <sheetName val="4.9_свод_сбыт "/>
      <sheetName val="4.9_сбыт ККЭ"/>
      <sheetName val="4.9_сбыт КТЭЦ"/>
      <sheetName val="4.10_СВОД"/>
      <sheetName val="4.10_свод ККЭ"/>
      <sheetName val="4.10_свод КТЭЦ"/>
      <sheetName val="4.10_свод_пр-во"/>
      <sheetName val="4.10_произв котельн"/>
      <sheetName val="4.10_произв КТЭЦ"/>
      <sheetName val="4.10_свод_транзит+сбыт"/>
      <sheetName val="4.10_свод_транзит"/>
      <sheetName val="4.10_транзит ККЭ"/>
      <sheetName val="4.10_транзит КТЭЦ"/>
      <sheetName val="4.10_свод_сбыт"/>
      <sheetName val="4.10_сбыт ККЭ"/>
      <sheetName val="4.11"/>
      <sheetName val="4.12"/>
      <sheetName val="4.13"/>
      <sheetName val="4.14"/>
      <sheetName val="4.15"/>
      <sheetName val="4.10_сбыт КТЭЦ"/>
      <sheetName val="прил.6 "/>
      <sheetName val="П1.28.3 - 1П"/>
      <sheetName val="П1.28.3 - 2П"/>
      <sheetName val="6.1_производство (Свод) "/>
      <sheetName val="6.1_производство  (КТЭЦ)"/>
      <sheetName val="6.2_транзит"/>
      <sheetName val="6.3_потери ККЭ"/>
      <sheetName val="6.4_потребителям ККЭ"/>
      <sheetName val="6.5_передача ККЭ"/>
      <sheetName val="6.6_теплоноситель"/>
      <sheetName val="6.7-теплоноситель"/>
      <sheetName val="6.8_ГВСоткр"/>
      <sheetName val="1.28.3-1ПГ(по метод. 20-э1)"/>
      <sheetName val="1.28.3-2ПГ(по метод. 20-э1)"/>
    </sheetNames>
    <sheetDataSet>
      <sheetData sheetId="0">
        <row r="2">
          <cell r="A2" t="str">
            <v>ПКГО - выработка котельными</v>
          </cell>
        </row>
      </sheetData>
      <sheetData sheetId="1"/>
      <sheetData sheetId="2"/>
      <sheetData sheetId="3"/>
      <sheetData sheetId="4"/>
      <sheetData sheetId="5"/>
      <sheetData sheetId="6">
        <row r="10">
          <cell r="AY10">
            <v>1193.42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1.xml"/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4.xml"/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5.xml"/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6.xml"/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7.xml"/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8.xml"/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9.xml"/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0.xml"/><Relationship Id="rId2" Type="http://schemas.openxmlformats.org/officeDocument/2006/relationships/vmlDrawing" Target="../drawings/vmlDrawing50.v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1.xml"/><Relationship Id="rId2" Type="http://schemas.openxmlformats.org/officeDocument/2006/relationships/vmlDrawing" Target="../drawings/vmlDrawing51.v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2.xml"/><Relationship Id="rId2" Type="http://schemas.openxmlformats.org/officeDocument/2006/relationships/vmlDrawing" Target="../drawings/vmlDrawing52.v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3.xml"/><Relationship Id="rId2" Type="http://schemas.openxmlformats.org/officeDocument/2006/relationships/vmlDrawing" Target="../drawings/vmlDrawing53.v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2"/>
  <sheetViews>
    <sheetView view="pageBreakPreview" zoomScaleNormal="100" workbookViewId="0">
      <pane xSplit="2" ySplit="5" topLeftCell="C18" activePane="bottomRight" state="frozen"/>
      <selection pane="topRight" activeCell="C1" sqref="C1"/>
      <selection pane="bottomLeft" activeCell="A6" sqref="A6"/>
      <selection pane="bottomRight" activeCell="B8" sqref="B8"/>
    </sheetView>
  </sheetViews>
  <sheetFormatPr defaultColWidth="9.42578125" defaultRowHeight="15"/>
  <cols>
    <col min="1" max="1" width="9.42578125" style="21" customWidth="1"/>
    <col min="2" max="2" width="46" style="1" customWidth="1"/>
    <col min="3" max="3" width="12.42578125" style="21" customWidth="1"/>
    <col min="4" max="4" width="14.5703125" style="1" customWidth="1"/>
    <col min="5" max="5" width="15.140625" style="1" customWidth="1"/>
    <col min="6" max="16384" width="9.42578125" style="1"/>
  </cols>
  <sheetData>
    <row r="1" spans="1:5" ht="12.75" customHeight="1">
      <c r="A1" s="74" t="s">
        <v>765</v>
      </c>
      <c r="E1" s="23" t="s">
        <v>35</v>
      </c>
    </row>
    <row r="2" spans="1:5" ht="20.25" customHeight="1">
      <c r="A2" s="105" t="s">
        <v>939</v>
      </c>
    </row>
    <row r="3" spans="1:5" ht="15.75">
      <c r="A3" s="1815" t="s">
        <v>36</v>
      </c>
      <c r="B3" s="1815"/>
      <c r="C3" s="1815"/>
      <c r="D3" s="1815"/>
      <c r="E3" s="1815"/>
    </row>
    <row r="4" spans="1:5" ht="12.75" customHeight="1"/>
    <row r="5" spans="1:5" s="3" customFormat="1" ht="44.25" customHeight="1">
      <c r="A5" s="12" t="s">
        <v>59</v>
      </c>
      <c r="B5" s="12" t="s">
        <v>1</v>
      </c>
      <c r="C5" s="12" t="s">
        <v>2</v>
      </c>
      <c r="D5" s="12" t="s">
        <v>772</v>
      </c>
      <c r="E5" s="12" t="s">
        <v>773</v>
      </c>
    </row>
    <row r="6" spans="1:5" s="2" customFormat="1">
      <c r="A6" s="13">
        <v>1</v>
      </c>
      <c r="B6" s="13">
        <v>2</v>
      </c>
      <c r="C6" s="13">
        <v>3</v>
      </c>
      <c r="D6" s="13">
        <v>4</v>
      </c>
      <c r="E6" s="13">
        <v>5</v>
      </c>
    </row>
    <row r="7" spans="1:5" s="4" customFormat="1" ht="30" customHeight="1">
      <c r="A7" s="9" t="s">
        <v>4</v>
      </c>
      <c r="B7" s="16" t="s">
        <v>37</v>
      </c>
      <c r="C7" s="8" t="s">
        <v>52</v>
      </c>
      <c r="D7" s="18"/>
      <c r="E7" s="18"/>
    </row>
    <row r="8" spans="1:5" s="4" customFormat="1" ht="15" customHeight="1">
      <c r="A8" s="9" t="s">
        <v>5</v>
      </c>
      <c r="B8" s="16" t="s">
        <v>38</v>
      </c>
      <c r="C8" s="8" t="s">
        <v>52</v>
      </c>
      <c r="D8" s="18"/>
      <c r="E8" s="18"/>
    </row>
    <row r="9" spans="1:5" s="4" customFormat="1" ht="15" customHeight="1">
      <c r="A9" s="9" t="s">
        <v>6</v>
      </c>
      <c r="B9" s="16" t="s">
        <v>39</v>
      </c>
      <c r="C9" s="8" t="s">
        <v>52</v>
      </c>
      <c r="D9" s="18"/>
      <c r="E9" s="18"/>
    </row>
    <row r="10" spans="1:5" s="4" customFormat="1" ht="15" customHeight="1">
      <c r="A10" s="9" t="s">
        <v>7</v>
      </c>
      <c r="B10" s="16" t="s">
        <v>40</v>
      </c>
      <c r="C10" s="8" t="s">
        <v>52</v>
      </c>
      <c r="D10" s="18"/>
      <c r="E10" s="18"/>
    </row>
    <row r="11" spans="1:5" s="4" customFormat="1" ht="15" customHeight="1">
      <c r="A11" s="9" t="s">
        <v>8</v>
      </c>
      <c r="B11" s="16" t="s">
        <v>41</v>
      </c>
      <c r="C11" s="8" t="s">
        <v>52</v>
      </c>
      <c r="D11" s="18"/>
      <c r="E11" s="18"/>
    </row>
    <row r="12" spans="1:5" s="4" customFormat="1" ht="15" customHeight="1">
      <c r="A12" s="9" t="s">
        <v>9</v>
      </c>
      <c r="B12" s="16" t="s">
        <v>42</v>
      </c>
      <c r="C12" s="8" t="s">
        <v>52</v>
      </c>
      <c r="D12" s="18"/>
      <c r="E12" s="18"/>
    </row>
    <row r="13" spans="1:5" s="4" customFormat="1" ht="15" customHeight="1">
      <c r="A13" s="9" t="s">
        <v>10</v>
      </c>
      <c r="B13" s="16" t="s">
        <v>43</v>
      </c>
      <c r="C13" s="8" t="s">
        <v>52</v>
      </c>
      <c r="D13" s="18"/>
      <c r="E13" s="18"/>
    </row>
    <row r="14" spans="1:5" s="4" customFormat="1" ht="15" customHeight="1">
      <c r="A14" s="9" t="s">
        <v>11</v>
      </c>
      <c r="B14" s="16" t="s">
        <v>44</v>
      </c>
      <c r="C14" s="8" t="s">
        <v>52</v>
      </c>
      <c r="D14" s="18"/>
      <c r="E14" s="18"/>
    </row>
    <row r="15" spans="1:5" s="4" customFormat="1" ht="15" customHeight="1">
      <c r="A15" s="9" t="s">
        <v>12</v>
      </c>
      <c r="B15" s="16" t="s">
        <v>45</v>
      </c>
      <c r="C15" s="8" t="s">
        <v>52</v>
      </c>
      <c r="D15" s="18"/>
      <c r="E15" s="18"/>
    </row>
    <row r="16" spans="1:5" s="4" customFormat="1" ht="15" customHeight="1">
      <c r="A16" s="9" t="s">
        <v>13</v>
      </c>
      <c r="B16" s="16" t="s">
        <v>39</v>
      </c>
      <c r="C16" s="8" t="s">
        <v>52</v>
      </c>
      <c r="D16" s="18"/>
      <c r="E16" s="18"/>
    </row>
    <row r="17" spans="1:10" s="4" customFormat="1" ht="15" customHeight="1">
      <c r="A17" s="9" t="s">
        <v>14</v>
      </c>
      <c r="B17" s="16" t="s">
        <v>40</v>
      </c>
      <c r="C17" s="8" t="s">
        <v>52</v>
      </c>
      <c r="D17" s="18"/>
      <c r="E17" s="18"/>
      <c r="J17" s="19"/>
    </row>
    <row r="18" spans="1:10" s="4" customFormat="1" ht="15" customHeight="1">
      <c r="A18" s="9" t="s">
        <v>15</v>
      </c>
      <c r="B18" s="16" t="s">
        <v>41</v>
      </c>
      <c r="C18" s="8" t="s">
        <v>52</v>
      </c>
      <c r="D18" s="18"/>
      <c r="E18" s="18"/>
    </row>
    <row r="19" spans="1:10" s="4" customFormat="1" ht="15" customHeight="1">
      <c r="A19" s="9" t="s">
        <v>16</v>
      </c>
      <c r="B19" s="16" t="s">
        <v>42</v>
      </c>
      <c r="C19" s="8" t="s">
        <v>52</v>
      </c>
      <c r="D19" s="18"/>
      <c r="E19" s="18"/>
    </row>
    <row r="20" spans="1:10" s="4" customFormat="1" ht="15" customHeight="1">
      <c r="A20" s="9" t="s">
        <v>17</v>
      </c>
      <c r="B20" s="16" t="s">
        <v>43</v>
      </c>
      <c r="C20" s="8" t="s">
        <v>52</v>
      </c>
      <c r="D20" s="18"/>
      <c r="E20" s="18"/>
    </row>
    <row r="21" spans="1:10" s="4" customFormat="1" ht="15" customHeight="1">
      <c r="A21" s="9" t="s">
        <v>18</v>
      </c>
      <c r="B21" s="16" t="s">
        <v>46</v>
      </c>
      <c r="C21" s="8" t="s">
        <v>52</v>
      </c>
      <c r="D21" s="18"/>
      <c r="E21" s="18"/>
    </row>
    <row r="22" spans="1:10" s="4" customFormat="1" ht="15" customHeight="1">
      <c r="A22" s="9" t="s">
        <v>19</v>
      </c>
      <c r="B22" s="16" t="s">
        <v>39</v>
      </c>
      <c r="C22" s="8" t="s">
        <v>52</v>
      </c>
      <c r="D22" s="18"/>
      <c r="E22" s="18"/>
    </row>
    <row r="23" spans="1:10" s="4" customFormat="1" ht="15" customHeight="1">
      <c r="A23" s="9" t="s">
        <v>20</v>
      </c>
      <c r="B23" s="16" t="s">
        <v>40</v>
      </c>
      <c r="C23" s="8" t="s">
        <v>52</v>
      </c>
      <c r="D23" s="18"/>
      <c r="E23" s="18"/>
    </row>
    <row r="24" spans="1:10" s="4" customFormat="1" ht="15" customHeight="1">
      <c r="A24" s="9" t="s">
        <v>21</v>
      </c>
      <c r="B24" s="16" t="s">
        <v>41</v>
      </c>
      <c r="C24" s="8" t="s">
        <v>52</v>
      </c>
      <c r="D24" s="18"/>
      <c r="E24" s="18"/>
    </row>
    <row r="25" spans="1:10" s="4" customFormat="1" ht="15" customHeight="1">
      <c r="A25" s="9" t="s">
        <v>22</v>
      </c>
      <c r="B25" s="16" t="s">
        <v>42</v>
      </c>
      <c r="C25" s="8" t="s">
        <v>52</v>
      </c>
      <c r="D25" s="18"/>
      <c r="E25" s="18"/>
    </row>
    <row r="26" spans="1:10" s="4" customFormat="1" ht="15" customHeight="1">
      <c r="A26" s="9" t="s">
        <v>3</v>
      </c>
      <c r="B26" s="16" t="s">
        <v>43</v>
      </c>
      <c r="C26" s="8" t="s">
        <v>52</v>
      </c>
      <c r="D26" s="18"/>
      <c r="E26" s="18"/>
    </row>
    <row r="27" spans="1:10" s="4" customFormat="1" ht="30" customHeight="1">
      <c r="A27" s="9" t="s">
        <v>23</v>
      </c>
      <c r="B27" s="16" t="s">
        <v>47</v>
      </c>
      <c r="C27" s="8"/>
      <c r="D27" s="18"/>
      <c r="E27" s="18"/>
    </row>
    <row r="28" spans="1:10" s="4" customFormat="1" ht="15" customHeight="1">
      <c r="A28" s="9" t="s">
        <v>24</v>
      </c>
      <c r="B28" s="16" t="s">
        <v>48</v>
      </c>
      <c r="C28" s="8"/>
      <c r="D28" s="18"/>
      <c r="E28" s="18"/>
    </row>
    <row r="29" spans="1:10" s="4" customFormat="1" ht="30" customHeight="1">
      <c r="A29" s="9" t="s">
        <v>25</v>
      </c>
      <c r="B29" s="16" t="s">
        <v>49</v>
      </c>
      <c r="C29" s="8" t="s">
        <v>53</v>
      </c>
      <c r="D29" s="18"/>
      <c r="E29" s="18"/>
    </row>
    <row r="30" spans="1:10" s="4" customFormat="1" ht="15" customHeight="1">
      <c r="A30" s="9" t="s">
        <v>26</v>
      </c>
      <c r="B30" s="16" t="s">
        <v>50</v>
      </c>
      <c r="C30" s="8"/>
      <c r="D30" s="18"/>
      <c r="E30" s="18"/>
    </row>
    <row r="31" spans="1:10" s="4" customFormat="1" ht="30" customHeight="1">
      <c r="A31" s="9" t="s">
        <v>27</v>
      </c>
      <c r="B31" s="16" t="s">
        <v>51</v>
      </c>
      <c r="C31" s="8"/>
      <c r="D31" s="18"/>
      <c r="E31" s="18"/>
    </row>
    <row r="32" spans="1:10" s="4" customFormat="1" ht="15" customHeight="1">
      <c r="A32" s="9" t="s">
        <v>28</v>
      </c>
      <c r="B32" s="16" t="s">
        <v>48</v>
      </c>
      <c r="C32" s="8"/>
      <c r="D32" s="18"/>
      <c r="E32" s="18"/>
    </row>
    <row r="33" spans="1:5" s="4" customFormat="1" ht="30" customHeight="1">
      <c r="A33" s="9" t="s">
        <v>29</v>
      </c>
      <c r="B33" s="16" t="s">
        <v>49</v>
      </c>
      <c r="C33" s="8" t="s">
        <v>53</v>
      </c>
      <c r="D33" s="18"/>
      <c r="E33" s="18"/>
    </row>
    <row r="34" spans="1:5" s="4" customFormat="1" ht="15" customHeight="1">
      <c r="A34" s="9" t="s">
        <v>26</v>
      </c>
      <c r="B34" s="16" t="s">
        <v>50</v>
      </c>
      <c r="C34" s="8"/>
      <c r="D34" s="18"/>
      <c r="E34" s="18"/>
    </row>
    <row r="35" spans="1:5" s="4" customFormat="1" ht="30" customHeight="1">
      <c r="A35" s="9" t="s">
        <v>30</v>
      </c>
      <c r="B35" s="16" t="s">
        <v>54</v>
      </c>
      <c r="C35" s="8" t="s">
        <v>53</v>
      </c>
      <c r="D35" s="18"/>
      <c r="E35" s="18"/>
    </row>
    <row r="36" spans="1:5" s="4" customFormat="1" ht="15" customHeight="1">
      <c r="A36" s="9" t="s">
        <v>31</v>
      </c>
      <c r="B36" s="16" t="s">
        <v>55</v>
      </c>
      <c r="C36" s="8" t="s">
        <v>53</v>
      </c>
      <c r="D36" s="18"/>
      <c r="E36" s="18"/>
    </row>
    <row r="37" spans="1:5" s="4" customFormat="1" ht="15" customHeight="1">
      <c r="A37" s="9" t="s">
        <v>32</v>
      </c>
      <c r="B37" s="16" t="s">
        <v>56</v>
      </c>
      <c r="C37" s="8"/>
      <c r="D37" s="18"/>
      <c r="E37" s="18"/>
    </row>
    <row r="38" spans="1:5" s="4" customFormat="1" ht="15" customHeight="1">
      <c r="A38" s="9" t="s">
        <v>33</v>
      </c>
      <c r="B38" s="16" t="s">
        <v>57</v>
      </c>
      <c r="C38" s="8" t="s">
        <v>53</v>
      </c>
      <c r="D38" s="18"/>
      <c r="E38" s="18"/>
    </row>
    <row r="39" spans="1:5" s="4" customFormat="1" ht="15" customHeight="1">
      <c r="A39" s="9" t="s">
        <v>34</v>
      </c>
      <c r="B39" s="16" t="s">
        <v>58</v>
      </c>
      <c r="C39" s="8" t="s">
        <v>53</v>
      </c>
      <c r="D39" s="18"/>
      <c r="E39" s="18"/>
    </row>
    <row r="41" spans="1:5" ht="29.25" customHeight="1">
      <c r="A41" s="22"/>
      <c r="B41" s="15"/>
      <c r="C41" s="22"/>
      <c r="D41" s="15"/>
      <c r="E41" s="15"/>
    </row>
    <row r="42" spans="1:5" ht="18" customHeight="1"/>
  </sheetData>
  <mergeCells count="1">
    <mergeCell ref="A3:E3"/>
  </mergeCells>
  <pageMargins left="0.78740157480314965" right="0.51181102362204722" top="0.59055118110236227" bottom="0.39370078740157483" header="0.19685039370078741" footer="0.19685039370078741"/>
  <pageSetup paperSize="9" scale="92" orientation="portrait" r:id="rId1"/>
  <headerFooter alignWithMargins="0"/>
  <ignoredErrors>
    <ignoredError sqref="A7 A27 A31 A35" numberStoredAsText="1"/>
    <ignoredError sqref="A9:A13 A15 A21 A29 A33" twoDigitTextYear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AR35"/>
  <sheetViews>
    <sheetView view="pageBreakPreview" zoomScaleNormal="100" zoomScaleSheetLayoutView="100" workbookViewId="0">
      <pane xSplit="2" ySplit="8" topLeftCell="AB9" activePane="bottomRight" state="frozen"/>
      <selection activeCell="AG7" sqref="AG7:AG8"/>
      <selection pane="topRight" activeCell="AG7" sqref="AG7:AG8"/>
      <selection pane="bottomLeft" activeCell="AG7" sqref="AG7:AG8"/>
      <selection pane="bottomRight" activeCell="AS2" sqref="AS2"/>
    </sheetView>
  </sheetViews>
  <sheetFormatPr defaultColWidth="5.5703125" defaultRowHeight="12" customHeight="1"/>
  <cols>
    <col min="1" max="1" width="5.5703125" style="26" customWidth="1"/>
    <col min="2" max="2" width="46.42578125" style="26" customWidth="1"/>
    <col min="3" max="8" width="10.42578125" style="26" hidden="1" customWidth="1"/>
    <col min="9" max="35" width="10.42578125" style="26" customWidth="1"/>
    <col min="36" max="36" width="10.85546875" style="26" customWidth="1"/>
    <col min="37" max="37" width="9.85546875" style="26" customWidth="1"/>
    <col min="38" max="38" width="6.5703125" style="26" customWidth="1"/>
    <col min="39" max="39" width="10.42578125" style="26" customWidth="1"/>
    <col min="40" max="40" width="10.28515625" style="26" customWidth="1"/>
    <col min="41" max="41" width="6.42578125" style="26" customWidth="1"/>
    <col min="42" max="42" width="10.85546875" style="26" customWidth="1"/>
    <col min="43" max="43" width="9.85546875" style="26" customWidth="1"/>
    <col min="44" max="44" width="6" style="26" customWidth="1"/>
    <col min="45" max="16384" width="5.5703125" style="26"/>
  </cols>
  <sheetData>
    <row r="1" spans="1:44" s="24" customFormat="1" ht="14.25">
      <c r="A1" s="74" t="s">
        <v>1860</v>
      </c>
      <c r="T1" s="25"/>
      <c r="Y1" s="25" t="s">
        <v>99</v>
      </c>
      <c r="AC1" s="25"/>
      <c r="AF1" s="25"/>
      <c r="AI1" s="25"/>
      <c r="AO1" s="25" t="s">
        <v>99</v>
      </c>
      <c r="AR1" s="25"/>
    </row>
    <row r="2" spans="1:44" s="24" customFormat="1" ht="23.25" customHeight="1">
      <c r="A2" s="105" t="str">
        <f>'4.1_котельные'!A2</f>
        <v>ПКГО - выработка котельными</v>
      </c>
      <c r="AC2" s="25"/>
      <c r="AF2" s="25"/>
      <c r="AI2" s="25"/>
    </row>
    <row r="3" spans="1:44" ht="18.75">
      <c r="A3" s="1622"/>
      <c r="B3" s="1622"/>
      <c r="C3" s="1622"/>
      <c r="D3" s="1622"/>
      <c r="E3" s="1622"/>
      <c r="F3" s="1622" t="s">
        <v>100</v>
      </c>
      <c r="G3" s="1622"/>
      <c r="H3" s="1622"/>
      <c r="I3" s="1622"/>
      <c r="J3" s="1622"/>
      <c r="K3" s="1622" t="s">
        <v>100</v>
      </c>
      <c r="L3" s="1622"/>
      <c r="M3" s="1622"/>
      <c r="N3" s="1622"/>
      <c r="O3" s="1622"/>
      <c r="P3" s="1622"/>
      <c r="Q3" s="1622"/>
      <c r="R3" s="1622"/>
      <c r="S3" s="1622"/>
      <c r="U3" s="1622"/>
      <c r="V3" s="1622"/>
      <c r="W3" s="1622"/>
      <c r="X3" s="1622"/>
      <c r="Z3" s="1622"/>
      <c r="AA3" s="1622"/>
      <c r="AB3" s="1622"/>
      <c r="AC3" s="1622"/>
      <c r="AD3" s="1622"/>
      <c r="AE3" s="1622"/>
      <c r="AF3" s="1622"/>
      <c r="AG3" s="1788" t="s">
        <v>100</v>
      </c>
      <c r="AH3" s="1622"/>
      <c r="AI3" s="1622"/>
    </row>
    <row r="4" spans="1:44" ht="12.75" customHeight="1">
      <c r="A4" s="27"/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U4" s="27"/>
      <c r="V4" s="27"/>
      <c r="W4" s="27"/>
      <c r="X4" s="27"/>
      <c r="Z4" s="27"/>
      <c r="AA4" s="27"/>
      <c r="AB4" s="27"/>
      <c r="AC4" s="27"/>
      <c r="AD4" s="27"/>
      <c r="AE4" s="27"/>
      <c r="AF4" s="27"/>
      <c r="AG4" s="27"/>
      <c r="AH4" s="27"/>
      <c r="AI4" s="27"/>
    </row>
    <row r="5" spans="1:44" ht="18">
      <c r="S5" s="1679"/>
      <c r="T5" s="34"/>
      <c r="Y5" s="34" t="s">
        <v>101</v>
      </c>
      <c r="AC5" s="34"/>
      <c r="AF5" s="34"/>
      <c r="AI5" s="34"/>
      <c r="AO5" s="34" t="s">
        <v>101</v>
      </c>
      <c r="AR5" s="34"/>
    </row>
    <row r="6" spans="1:44" s="31" customFormat="1" ht="32.25" customHeight="1">
      <c r="A6" s="1873" t="s">
        <v>0</v>
      </c>
      <c r="B6" s="1873" t="s">
        <v>1</v>
      </c>
      <c r="C6" s="1834" t="s">
        <v>1721</v>
      </c>
      <c r="D6" s="1835"/>
      <c r="E6" s="1836"/>
      <c r="F6" s="1834" t="s">
        <v>1130</v>
      </c>
      <c r="G6" s="1835"/>
      <c r="H6" s="1836"/>
      <c r="I6" s="1834" t="s">
        <v>1718</v>
      </c>
      <c r="J6" s="1835"/>
      <c r="K6" s="1836"/>
      <c r="L6" s="1834" t="s">
        <v>1695</v>
      </c>
      <c r="M6" s="1835"/>
      <c r="N6" s="1836"/>
      <c r="O6" s="1834" t="s">
        <v>1696</v>
      </c>
      <c r="P6" s="1835"/>
      <c r="Q6" s="1836"/>
      <c r="R6" s="1834" t="s">
        <v>1828</v>
      </c>
      <c r="S6" s="1835"/>
      <c r="T6" s="1836"/>
      <c r="U6" s="1834" t="s">
        <v>1833</v>
      </c>
      <c r="V6" s="1835"/>
      <c r="W6" s="1836"/>
      <c r="X6" s="1844" t="s">
        <v>1861</v>
      </c>
      <c r="Y6" s="1845"/>
      <c r="Z6" s="1871"/>
      <c r="AA6" s="1834" t="s">
        <v>1862</v>
      </c>
      <c r="AB6" s="1835"/>
      <c r="AC6" s="1835"/>
      <c r="AD6" s="1834" t="s">
        <v>1830</v>
      </c>
      <c r="AE6" s="1835"/>
      <c r="AF6" s="1835"/>
      <c r="AG6" s="1834" t="s">
        <v>1831</v>
      </c>
      <c r="AH6" s="1835"/>
      <c r="AI6" s="1835"/>
      <c r="AJ6" s="1834" t="s">
        <v>1863</v>
      </c>
      <c r="AK6" s="1835"/>
      <c r="AL6" s="1835"/>
      <c r="AM6" s="1834" t="s">
        <v>1864</v>
      </c>
      <c r="AN6" s="1835"/>
      <c r="AO6" s="1835"/>
      <c r="AP6" s="1834" t="s">
        <v>1865</v>
      </c>
      <c r="AQ6" s="1835"/>
      <c r="AR6" s="1835"/>
    </row>
    <row r="7" spans="1:44" s="31" customFormat="1" ht="15" customHeight="1">
      <c r="A7" s="1873"/>
      <c r="B7" s="1873"/>
      <c r="C7" s="1837" t="s">
        <v>63</v>
      </c>
      <c r="D7" s="1834" t="s">
        <v>64</v>
      </c>
      <c r="E7" s="1836"/>
      <c r="F7" s="1837" t="s">
        <v>63</v>
      </c>
      <c r="G7" s="1834" t="s">
        <v>64</v>
      </c>
      <c r="H7" s="1836"/>
      <c r="I7" s="1837" t="s">
        <v>63</v>
      </c>
      <c r="J7" s="1834" t="s">
        <v>64</v>
      </c>
      <c r="K7" s="1836"/>
      <c r="L7" s="1837" t="s">
        <v>63</v>
      </c>
      <c r="M7" s="1834" t="s">
        <v>64</v>
      </c>
      <c r="N7" s="1836"/>
      <c r="O7" s="1837" t="s">
        <v>63</v>
      </c>
      <c r="P7" s="1834" t="s">
        <v>64</v>
      </c>
      <c r="Q7" s="1836"/>
      <c r="R7" s="1837" t="s">
        <v>63</v>
      </c>
      <c r="S7" s="1834" t="s">
        <v>64</v>
      </c>
      <c r="T7" s="1836"/>
      <c r="U7" s="1837" t="s">
        <v>63</v>
      </c>
      <c r="V7" s="1834" t="s">
        <v>64</v>
      </c>
      <c r="W7" s="1836"/>
      <c r="X7" s="1837" t="s">
        <v>63</v>
      </c>
      <c r="Y7" s="1834" t="s">
        <v>64</v>
      </c>
      <c r="Z7" s="1836"/>
      <c r="AA7" s="1837" t="s">
        <v>63</v>
      </c>
      <c r="AB7" s="1834" t="s">
        <v>64</v>
      </c>
      <c r="AC7" s="1835"/>
      <c r="AD7" s="1837" t="s">
        <v>63</v>
      </c>
      <c r="AE7" s="1834" t="s">
        <v>64</v>
      </c>
      <c r="AF7" s="1835"/>
      <c r="AG7" s="1846" t="s">
        <v>63</v>
      </c>
      <c r="AH7" s="1846" t="s">
        <v>64</v>
      </c>
      <c r="AI7" s="1846"/>
      <c r="AJ7" s="1837" t="s">
        <v>63</v>
      </c>
      <c r="AK7" s="1834" t="s">
        <v>64</v>
      </c>
      <c r="AL7" s="1835"/>
      <c r="AM7" s="1837" t="s">
        <v>63</v>
      </c>
      <c r="AN7" s="1834" t="s">
        <v>64</v>
      </c>
      <c r="AO7" s="1835"/>
      <c r="AP7" s="1846" t="s">
        <v>63</v>
      </c>
      <c r="AQ7" s="1846" t="s">
        <v>64</v>
      </c>
      <c r="AR7" s="1846"/>
    </row>
    <row r="8" spans="1:44" s="31" customFormat="1" ht="15">
      <c r="A8" s="1873"/>
      <c r="B8" s="1873"/>
      <c r="C8" s="1839"/>
      <c r="D8" s="538" t="s">
        <v>65</v>
      </c>
      <c r="E8" s="538" t="s">
        <v>102</v>
      </c>
      <c r="F8" s="1839"/>
      <c r="G8" s="538" t="s">
        <v>65</v>
      </c>
      <c r="H8" s="538" t="s">
        <v>102</v>
      </c>
      <c r="I8" s="1839"/>
      <c r="J8" s="538" t="s">
        <v>65</v>
      </c>
      <c r="K8" s="538" t="s">
        <v>102</v>
      </c>
      <c r="L8" s="1839"/>
      <c r="M8" s="538" t="s">
        <v>65</v>
      </c>
      <c r="N8" s="538" t="s">
        <v>102</v>
      </c>
      <c r="O8" s="1839"/>
      <c r="P8" s="1273" t="s">
        <v>65</v>
      </c>
      <c r="Q8" s="1273" t="s">
        <v>102</v>
      </c>
      <c r="R8" s="1839"/>
      <c r="S8" s="1273" t="s">
        <v>65</v>
      </c>
      <c r="T8" s="1273" t="s">
        <v>102</v>
      </c>
      <c r="U8" s="1839"/>
      <c r="V8" s="1571" t="s">
        <v>65</v>
      </c>
      <c r="W8" s="1571" t="s">
        <v>102</v>
      </c>
      <c r="X8" s="1839"/>
      <c r="Y8" s="1571" t="s">
        <v>65</v>
      </c>
      <c r="Z8" s="1571" t="s">
        <v>102</v>
      </c>
      <c r="AA8" s="1839"/>
      <c r="AB8" s="538" t="s">
        <v>65</v>
      </c>
      <c r="AC8" s="538" t="s">
        <v>102</v>
      </c>
      <c r="AD8" s="1839"/>
      <c r="AE8" s="538" t="s">
        <v>65</v>
      </c>
      <c r="AF8" s="538" t="s">
        <v>102</v>
      </c>
      <c r="AG8" s="1846"/>
      <c r="AH8" s="539" t="s">
        <v>65</v>
      </c>
      <c r="AI8" s="539" t="s">
        <v>102</v>
      </c>
      <c r="AJ8" s="1839"/>
      <c r="AK8" s="1621" t="s">
        <v>65</v>
      </c>
      <c r="AL8" s="1621" t="s">
        <v>102</v>
      </c>
      <c r="AM8" s="1839"/>
      <c r="AN8" s="1621" t="s">
        <v>65</v>
      </c>
      <c r="AO8" s="1621" t="s">
        <v>102</v>
      </c>
      <c r="AP8" s="1846"/>
      <c r="AQ8" s="1619" t="s">
        <v>65</v>
      </c>
      <c r="AR8" s="1619" t="s">
        <v>102</v>
      </c>
    </row>
    <row r="9" spans="1:44" s="48" customFormat="1" ht="15">
      <c r="A9" s="13">
        <v>1</v>
      </c>
      <c r="B9" s="13">
        <v>2</v>
      </c>
      <c r="C9" s="33">
        <v>3</v>
      </c>
      <c r="D9" s="33">
        <v>4</v>
      </c>
      <c r="E9" s="33">
        <v>5</v>
      </c>
      <c r="F9" s="33">
        <v>6</v>
      </c>
      <c r="G9" s="33">
        <v>7</v>
      </c>
      <c r="H9" s="33">
        <v>8</v>
      </c>
      <c r="I9" s="33">
        <v>3</v>
      </c>
      <c r="J9" s="33">
        <v>4</v>
      </c>
      <c r="K9" s="33">
        <v>5</v>
      </c>
      <c r="L9" s="33">
        <v>6</v>
      </c>
      <c r="M9" s="33">
        <v>7</v>
      </c>
      <c r="N9" s="33">
        <v>8</v>
      </c>
      <c r="O9" s="33">
        <v>9</v>
      </c>
      <c r="P9" s="33">
        <v>10</v>
      </c>
      <c r="Q9" s="33">
        <v>11</v>
      </c>
      <c r="R9" s="33">
        <v>12</v>
      </c>
      <c r="S9" s="33">
        <v>13</v>
      </c>
      <c r="T9" s="33">
        <v>14</v>
      </c>
      <c r="U9" s="33">
        <v>15</v>
      </c>
      <c r="V9" s="33">
        <v>16</v>
      </c>
      <c r="W9" s="33">
        <f t="shared" ref="W9:AI9" si="0">V9+1</f>
        <v>17</v>
      </c>
      <c r="X9" s="33">
        <f t="shared" si="0"/>
        <v>18</v>
      </c>
      <c r="Y9" s="33">
        <f t="shared" si="0"/>
        <v>19</v>
      </c>
      <c r="Z9" s="33">
        <f t="shared" si="0"/>
        <v>20</v>
      </c>
      <c r="AA9" s="33">
        <f t="shared" si="0"/>
        <v>21</v>
      </c>
      <c r="AB9" s="33">
        <f t="shared" si="0"/>
        <v>22</v>
      </c>
      <c r="AC9" s="33">
        <f t="shared" si="0"/>
        <v>23</v>
      </c>
      <c r="AD9" s="33">
        <f t="shared" si="0"/>
        <v>24</v>
      </c>
      <c r="AE9" s="33">
        <f t="shared" si="0"/>
        <v>25</v>
      </c>
      <c r="AF9" s="33">
        <f t="shared" si="0"/>
        <v>26</v>
      </c>
      <c r="AG9" s="33">
        <f t="shared" si="0"/>
        <v>27</v>
      </c>
      <c r="AH9" s="33">
        <f t="shared" si="0"/>
        <v>28</v>
      </c>
      <c r="AI9" s="33">
        <f t="shared" si="0"/>
        <v>29</v>
      </c>
      <c r="AJ9" s="33">
        <f t="shared" ref="AJ9" si="1">AI9+1</f>
        <v>30</v>
      </c>
      <c r="AK9" s="33">
        <f t="shared" ref="AK9" si="2">AJ9+1</f>
        <v>31</v>
      </c>
      <c r="AL9" s="33">
        <f t="shared" ref="AL9" si="3">AK9+1</f>
        <v>32</v>
      </c>
      <c r="AM9" s="33">
        <f t="shared" ref="AM9" si="4">AL9+1</f>
        <v>33</v>
      </c>
      <c r="AN9" s="33">
        <f t="shared" ref="AN9" si="5">AM9+1</f>
        <v>34</v>
      </c>
      <c r="AO9" s="33">
        <f t="shared" ref="AO9" si="6">AN9+1</f>
        <v>35</v>
      </c>
      <c r="AP9" s="33">
        <f t="shared" ref="AP9" si="7">AO9+1</f>
        <v>36</v>
      </c>
      <c r="AQ9" s="33">
        <f t="shared" ref="AQ9" si="8">AP9+1</f>
        <v>37</v>
      </c>
      <c r="AR9" s="33">
        <f t="shared" ref="AR9" si="9">AQ9+1</f>
        <v>38</v>
      </c>
    </row>
    <row r="10" spans="1:44" ht="15" customHeight="1">
      <c r="A10" s="17" t="s">
        <v>4</v>
      </c>
      <c r="B10" s="16" t="s">
        <v>103</v>
      </c>
      <c r="C10" s="879">
        <f>C14</f>
        <v>0</v>
      </c>
      <c r="D10" s="879">
        <f t="shared" ref="D10:E10" si="10">D12</f>
        <v>0</v>
      </c>
      <c r="E10" s="879">
        <f t="shared" si="10"/>
        <v>0</v>
      </c>
      <c r="F10" s="879">
        <f>F14</f>
        <v>1847.87</v>
      </c>
      <c r="G10" s="879">
        <f>G19+G21+G25</f>
        <v>1847.87</v>
      </c>
      <c r="H10" s="879">
        <f t="shared" ref="H10" si="11">H12</f>
        <v>0</v>
      </c>
      <c r="I10" s="879">
        <f>I14</f>
        <v>0</v>
      </c>
      <c r="J10" s="879">
        <f t="shared" ref="J10:K10" si="12">J12</f>
        <v>0</v>
      </c>
      <c r="K10" s="879">
        <f t="shared" si="12"/>
        <v>0</v>
      </c>
      <c r="L10" s="879">
        <v>1681.7319299999997</v>
      </c>
      <c r="M10" s="879">
        <v>1681.7319299999997</v>
      </c>
      <c r="N10" s="879">
        <v>0</v>
      </c>
      <c r="O10" s="879">
        <v>1010.2700000000001</v>
      </c>
      <c r="P10" s="879">
        <v>1010.2700000000001</v>
      </c>
      <c r="Q10" s="879">
        <v>0</v>
      </c>
      <c r="R10" s="879">
        <v>1527.42678</v>
      </c>
      <c r="S10" s="879">
        <v>1527.42678</v>
      </c>
      <c r="T10" s="879">
        <v>0</v>
      </c>
      <c r="U10" s="879">
        <v>1696.9379999999999</v>
      </c>
      <c r="V10" s="879">
        <v>1696.9379999999999</v>
      </c>
      <c r="W10" s="879">
        <v>0</v>
      </c>
      <c r="X10" s="879">
        <v>1599.3828000000001</v>
      </c>
      <c r="Y10" s="879">
        <v>1599.3828000000001</v>
      </c>
      <c r="Z10" s="879">
        <v>0</v>
      </c>
      <c r="AA10" s="879">
        <v>1599.3827999999999</v>
      </c>
      <c r="AB10" s="879">
        <v>1599.3827999999999</v>
      </c>
      <c r="AC10" s="879">
        <v>0</v>
      </c>
      <c r="AD10" s="879">
        <v>882.64919999999995</v>
      </c>
      <c r="AE10" s="879">
        <v>882.64919999999995</v>
      </c>
      <c r="AF10" s="879">
        <v>0</v>
      </c>
      <c r="AG10" s="879">
        <v>716.73359999999991</v>
      </c>
      <c r="AH10" s="879">
        <v>716.73359999999991</v>
      </c>
      <c r="AI10" s="879">
        <v>0</v>
      </c>
      <c r="AJ10" s="879">
        <v>1599.3827999999999</v>
      </c>
      <c r="AK10" s="879">
        <v>1599.3827999999999</v>
      </c>
      <c r="AL10" s="879">
        <v>0</v>
      </c>
      <c r="AM10" s="879">
        <v>882.64919999999995</v>
      </c>
      <c r="AN10" s="879">
        <v>882.64919999999995</v>
      </c>
      <c r="AO10" s="879">
        <v>0</v>
      </c>
      <c r="AP10" s="879">
        <v>716.73359999999991</v>
      </c>
      <c r="AQ10" s="879">
        <v>716.73359999999991</v>
      </c>
      <c r="AR10" s="879">
        <v>0</v>
      </c>
    </row>
    <row r="11" spans="1:44" ht="15" customHeight="1">
      <c r="A11" s="17"/>
      <c r="B11" s="16" t="s">
        <v>70</v>
      </c>
      <c r="C11" s="880"/>
      <c r="D11" s="880"/>
      <c r="E11" s="880"/>
      <c r="F11" s="880"/>
      <c r="G11" s="880"/>
      <c r="H11" s="880"/>
      <c r="I11" s="880"/>
      <c r="J11" s="880"/>
      <c r="K11" s="880"/>
      <c r="L11" s="880"/>
      <c r="M11" s="880"/>
      <c r="N11" s="880"/>
      <c r="O11" s="880"/>
      <c r="P11" s="880"/>
      <c r="Q11" s="880"/>
      <c r="R11" s="880"/>
      <c r="S11" s="880"/>
      <c r="T11" s="880"/>
      <c r="U11" s="880"/>
      <c r="V11" s="880"/>
      <c r="W11" s="880"/>
      <c r="X11" s="880"/>
      <c r="Y11" s="880"/>
      <c r="Z11" s="880"/>
      <c r="AA11" s="880"/>
      <c r="AB11" s="880"/>
      <c r="AC11" s="880"/>
      <c r="AD11" s="880"/>
      <c r="AE11" s="880"/>
      <c r="AF11" s="880"/>
      <c r="AG11" s="880"/>
      <c r="AH11" s="880"/>
      <c r="AI11" s="880"/>
      <c r="AJ11" s="880"/>
      <c r="AK11" s="880"/>
      <c r="AL11" s="880"/>
      <c r="AM11" s="880"/>
      <c r="AN11" s="880"/>
      <c r="AO11" s="880"/>
      <c r="AP11" s="880"/>
      <c r="AQ11" s="880"/>
      <c r="AR11" s="880"/>
    </row>
    <row r="12" spans="1:44" ht="15" customHeight="1">
      <c r="A12" s="17"/>
      <c r="B12" s="51" t="s">
        <v>71</v>
      </c>
      <c r="C12" s="879"/>
      <c r="D12" s="879"/>
      <c r="E12" s="879"/>
      <c r="F12" s="879"/>
      <c r="G12" s="879"/>
      <c r="H12" s="879"/>
      <c r="I12" s="879"/>
      <c r="J12" s="879"/>
      <c r="K12" s="879"/>
      <c r="L12" s="879"/>
      <c r="M12" s="879"/>
      <c r="N12" s="879"/>
      <c r="O12" s="879"/>
      <c r="P12" s="879"/>
      <c r="Q12" s="879"/>
      <c r="R12" s="879"/>
      <c r="S12" s="879"/>
      <c r="T12" s="879"/>
      <c r="U12" s="879"/>
      <c r="V12" s="879"/>
      <c r="W12" s="879"/>
      <c r="X12" s="879"/>
      <c r="Y12" s="879"/>
      <c r="Z12" s="879"/>
      <c r="AA12" s="879"/>
      <c r="AB12" s="879"/>
      <c r="AC12" s="879"/>
      <c r="AD12" s="879"/>
      <c r="AE12" s="879"/>
      <c r="AF12" s="879"/>
      <c r="AG12" s="879"/>
      <c r="AH12" s="879"/>
      <c r="AI12" s="879"/>
      <c r="AJ12" s="879"/>
      <c r="AK12" s="879"/>
      <c r="AL12" s="879"/>
      <c r="AM12" s="879"/>
      <c r="AN12" s="879"/>
      <c r="AO12" s="879"/>
      <c r="AP12" s="879"/>
      <c r="AQ12" s="879"/>
      <c r="AR12" s="879"/>
    </row>
    <row r="13" spans="1:44" ht="15" customHeight="1">
      <c r="A13" s="17"/>
      <c r="B13" s="51" t="s">
        <v>72</v>
      </c>
      <c r="C13" s="879"/>
      <c r="D13" s="879"/>
      <c r="E13" s="879"/>
      <c r="F13" s="879"/>
      <c r="G13" s="879"/>
      <c r="H13" s="879"/>
      <c r="I13" s="879"/>
      <c r="J13" s="879"/>
      <c r="K13" s="879"/>
      <c r="L13" s="879"/>
      <c r="M13" s="879"/>
      <c r="N13" s="879"/>
      <c r="O13" s="879"/>
      <c r="P13" s="879"/>
      <c r="Q13" s="879"/>
      <c r="R13" s="879"/>
      <c r="S13" s="879"/>
      <c r="T13" s="879"/>
      <c r="U13" s="879"/>
      <c r="V13" s="879"/>
      <c r="W13" s="879"/>
      <c r="X13" s="879"/>
      <c r="Y13" s="879"/>
      <c r="Z13" s="879"/>
      <c r="AA13" s="879"/>
      <c r="AB13" s="879"/>
      <c r="AC13" s="879"/>
      <c r="AD13" s="879"/>
      <c r="AE13" s="879"/>
      <c r="AF13" s="879"/>
      <c r="AG13" s="879"/>
      <c r="AH13" s="879"/>
      <c r="AI13" s="879"/>
      <c r="AJ13" s="879"/>
      <c r="AK13" s="879"/>
      <c r="AL13" s="879"/>
      <c r="AM13" s="879"/>
      <c r="AN13" s="879"/>
      <c r="AO13" s="879"/>
      <c r="AP13" s="879"/>
      <c r="AQ13" s="879"/>
      <c r="AR13" s="879"/>
    </row>
    <row r="14" spans="1:44" ht="15" customHeight="1">
      <c r="A14" s="17"/>
      <c r="B14" s="51" t="s">
        <v>73</v>
      </c>
      <c r="C14" s="879">
        <f>D14+E14</f>
        <v>0</v>
      </c>
      <c r="D14" s="879">
        <f>D19+D20</f>
        <v>0</v>
      </c>
      <c r="E14" s="879"/>
      <c r="F14" s="879">
        <f>G14+H14</f>
        <v>1847.87</v>
      </c>
      <c r="G14" s="879">
        <f>G19+G20</f>
        <v>1847.87</v>
      </c>
      <c r="H14" s="879"/>
      <c r="I14" s="879">
        <f>J14+K14</f>
        <v>0</v>
      </c>
      <c r="J14" s="879">
        <f>J19+J20</f>
        <v>0</v>
      </c>
      <c r="K14" s="879"/>
      <c r="L14" s="879">
        <v>1681.7319299999997</v>
      </c>
      <c r="M14" s="879">
        <v>1681.7319299999997</v>
      </c>
      <c r="N14" s="879"/>
      <c r="O14" s="879">
        <v>1010.2700000000001</v>
      </c>
      <c r="P14" s="879">
        <v>1010.2700000000001</v>
      </c>
      <c r="Q14" s="879"/>
      <c r="R14" s="879">
        <v>1527.42678</v>
      </c>
      <c r="S14" s="879">
        <v>1527.42678</v>
      </c>
      <c r="T14" s="879"/>
      <c r="U14" s="879">
        <v>1696.9379999999999</v>
      </c>
      <c r="V14" s="879">
        <v>1696.9379999999999</v>
      </c>
      <c r="W14" s="879"/>
      <c r="X14" s="879">
        <v>1599.3828000000001</v>
      </c>
      <c r="Y14" s="879">
        <v>1599.3828000000001</v>
      </c>
      <c r="Z14" s="879"/>
      <c r="AA14" s="879">
        <v>1599.3827999999999</v>
      </c>
      <c r="AB14" s="879">
        <v>1599.3827999999999</v>
      </c>
      <c r="AC14" s="879"/>
      <c r="AD14" s="879">
        <v>882.64919999999995</v>
      </c>
      <c r="AE14" s="879">
        <v>882.64919999999995</v>
      </c>
      <c r="AF14" s="879"/>
      <c r="AG14" s="879">
        <v>716.73359999999991</v>
      </c>
      <c r="AH14" s="879">
        <v>716.73359999999991</v>
      </c>
      <c r="AI14" s="879"/>
      <c r="AJ14" s="879">
        <v>1599.3827999999999</v>
      </c>
      <c r="AK14" s="879">
        <v>1599.3827999999999</v>
      </c>
      <c r="AL14" s="879"/>
      <c r="AM14" s="879">
        <v>882.64919999999995</v>
      </c>
      <c r="AN14" s="879">
        <v>882.64919999999995</v>
      </c>
      <c r="AO14" s="879"/>
      <c r="AP14" s="879">
        <v>716.73359999999991</v>
      </c>
      <c r="AQ14" s="879">
        <v>716.73359999999991</v>
      </c>
      <c r="AR14" s="879"/>
    </row>
    <row r="15" spans="1:44" ht="15" customHeight="1">
      <c r="A15" s="17"/>
      <c r="B15" s="51" t="s">
        <v>74</v>
      </c>
      <c r="C15" s="879"/>
      <c r="D15" s="879"/>
      <c r="E15" s="879"/>
      <c r="F15" s="879"/>
      <c r="G15" s="879"/>
      <c r="H15" s="879"/>
      <c r="I15" s="879"/>
      <c r="J15" s="879"/>
      <c r="K15" s="879"/>
      <c r="L15" s="879"/>
      <c r="M15" s="879"/>
      <c r="N15" s="879"/>
      <c r="O15" s="879"/>
      <c r="P15" s="879"/>
      <c r="Q15" s="879"/>
      <c r="R15" s="879"/>
      <c r="S15" s="879"/>
      <c r="T15" s="879"/>
      <c r="U15" s="879"/>
      <c r="V15" s="879"/>
      <c r="W15" s="879"/>
      <c r="X15" s="879"/>
      <c r="Y15" s="879"/>
      <c r="Z15" s="879"/>
      <c r="AA15" s="879"/>
      <c r="AB15" s="879"/>
      <c r="AC15" s="879"/>
      <c r="AD15" s="879"/>
      <c r="AE15" s="879"/>
      <c r="AF15" s="879"/>
      <c r="AG15" s="879"/>
      <c r="AH15" s="879"/>
      <c r="AI15" s="879"/>
      <c r="AJ15" s="879"/>
      <c r="AK15" s="879"/>
      <c r="AL15" s="879"/>
      <c r="AM15" s="879"/>
      <c r="AN15" s="879"/>
      <c r="AO15" s="879"/>
      <c r="AP15" s="879"/>
      <c r="AQ15" s="879"/>
      <c r="AR15" s="879"/>
    </row>
    <row r="16" spans="1:44" ht="15" customHeight="1">
      <c r="A16" s="17" t="s">
        <v>23</v>
      </c>
      <c r="B16" s="16" t="s">
        <v>104</v>
      </c>
      <c r="C16" s="879"/>
      <c r="D16" s="879"/>
      <c r="E16" s="879"/>
      <c r="F16" s="879"/>
      <c r="G16" s="879"/>
      <c r="H16" s="879"/>
      <c r="I16" s="879"/>
      <c r="J16" s="879"/>
      <c r="K16" s="879"/>
      <c r="L16" s="879"/>
      <c r="M16" s="879"/>
      <c r="N16" s="879"/>
      <c r="O16" s="879"/>
      <c r="P16" s="879"/>
      <c r="Q16" s="879"/>
      <c r="R16" s="879"/>
      <c r="S16" s="879"/>
      <c r="T16" s="879"/>
      <c r="U16" s="879"/>
      <c r="V16" s="879"/>
      <c r="W16" s="879"/>
      <c r="X16" s="879"/>
      <c r="Y16" s="879"/>
      <c r="Z16" s="879"/>
      <c r="AA16" s="879"/>
      <c r="AB16" s="879"/>
      <c r="AC16" s="879"/>
      <c r="AD16" s="879"/>
      <c r="AE16" s="879"/>
      <c r="AF16" s="879"/>
      <c r="AG16" s="879"/>
      <c r="AH16" s="879"/>
      <c r="AI16" s="879"/>
      <c r="AJ16" s="879"/>
      <c r="AK16" s="879"/>
      <c r="AL16" s="879"/>
      <c r="AM16" s="879"/>
      <c r="AN16" s="879"/>
      <c r="AO16" s="879"/>
      <c r="AP16" s="879"/>
      <c r="AQ16" s="879"/>
      <c r="AR16" s="879"/>
    </row>
    <row r="17" spans="1:44" ht="15" customHeight="1">
      <c r="A17" s="17"/>
      <c r="B17" s="16" t="s">
        <v>70</v>
      </c>
      <c r="C17" s="879"/>
      <c r="D17" s="879"/>
      <c r="E17" s="879"/>
      <c r="F17" s="879"/>
      <c r="G17" s="879"/>
      <c r="H17" s="879"/>
      <c r="I17" s="879"/>
      <c r="J17" s="879"/>
      <c r="K17" s="879"/>
      <c r="L17" s="879"/>
      <c r="M17" s="879"/>
      <c r="N17" s="879"/>
      <c r="O17" s="879"/>
      <c r="P17" s="879"/>
      <c r="Q17" s="879"/>
      <c r="R17" s="879"/>
      <c r="S17" s="879"/>
      <c r="T17" s="879"/>
      <c r="U17" s="879"/>
      <c r="V17" s="879"/>
      <c r="W17" s="879"/>
      <c r="X17" s="879"/>
      <c r="Y17" s="879"/>
      <c r="Z17" s="879"/>
      <c r="AA17" s="879"/>
      <c r="AB17" s="879"/>
      <c r="AC17" s="879"/>
      <c r="AD17" s="879"/>
      <c r="AE17" s="879"/>
      <c r="AF17" s="879"/>
      <c r="AG17" s="879"/>
      <c r="AH17" s="879"/>
      <c r="AI17" s="879"/>
      <c r="AJ17" s="879"/>
      <c r="AK17" s="879"/>
      <c r="AL17" s="879"/>
      <c r="AM17" s="879"/>
      <c r="AN17" s="879"/>
      <c r="AO17" s="879"/>
      <c r="AP17" s="879"/>
      <c r="AQ17" s="879"/>
      <c r="AR17" s="879"/>
    </row>
    <row r="18" spans="1:44" ht="15">
      <c r="A18" s="17"/>
      <c r="B18" s="16" t="s">
        <v>26</v>
      </c>
      <c r="C18" s="879"/>
      <c r="D18" s="879"/>
      <c r="E18" s="879"/>
      <c r="F18" s="879"/>
      <c r="G18" s="879"/>
      <c r="H18" s="879"/>
      <c r="I18" s="879"/>
      <c r="J18" s="879"/>
      <c r="K18" s="879"/>
      <c r="L18" s="879"/>
      <c r="M18" s="879"/>
      <c r="N18" s="879"/>
      <c r="O18" s="879"/>
      <c r="P18" s="879"/>
      <c r="Q18" s="879"/>
      <c r="R18" s="879"/>
      <c r="S18" s="879"/>
      <c r="T18" s="879"/>
      <c r="U18" s="879"/>
      <c r="V18" s="879"/>
      <c r="W18" s="879"/>
      <c r="X18" s="879"/>
      <c r="Y18" s="879"/>
      <c r="Z18" s="879"/>
      <c r="AA18" s="879"/>
      <c r="AB18" s="879"/>
      <c r="AC18" s="879"/>
      <c r="AD18" s="879"/>
      <c r="AE18" s="879"/>
      <c r="AF18" s="879"/>
      <c r="AG18" s="879"/>
      <c r="AH18" s="879"/>
      <c r="AI18" s="879"/>
      <c r="AJ18" s="879"/>
      <c r="AK18" s="879"/>
      <c r="AL18" s="879"/>
      <c r="AM18" s="879"/>
      <c r="AN18" s="879"/>
      <c r="AO18" s="879"/>
      <c r="AP18" s="879"/>
      <c r="AQ18" s="879"/>
      <c r="AR18" s="879"/>
    </row>
    <row r="19" spans="1:44" s="300" customFormat="1" ht="15" customHeight="1">
      <c r="A19" s="339" t="s">
        <v>27</v>
      </c>
      <c r="B19" s="886" t="s">
        <v>105</v>
      </c>
      <c r="C19" s="879">
        <f t="shared" ref="C19" si="13">D19+E19</f>
        <v>0</v>
      </c>
      <c r="D19" s="879"/>
      <c r="E19" s="879"/>
      <c r="F19" s="879">
        <f t="shared" ref="F19" si="14">G19+H19</f>
        <v>0</v>
      </c>
      <c r="G19" s="879"/>
      <c r="H19" s="879"/>
      <c r="I19" s="879"/>
      <c r="J19" s="879"/>
      <c r="K19" s="879"/>
      <c r="L19" s="879">
        <v>0</v>
      </c>
      <c r="M19" s="879"/>
      <c r="N19" s="879"/>
      <c r="O19" s="879">
        <v>0</v>
      </c>
      <c r="P19" s="879"/>
      <c r="Q19" s="879"/>
      <c r="R19" s="879">
        <v>0</v>
      </c>
      <c r="S19" s="879"/>
      <c r="T19" s="879"/>
      <c r="U19" s="879">
        <v>0</v>
      </c>
      <c r="V19" s="879"/>
      <c r="W19" s="879"/>
      <c r="X19" s="879">
        <v>0</v>
      </c>
      <c r="Y19" s="879"/>
      <c r="Z19" s="879"/>
      <c r="AA19" s="879">
        <v>0</v>
      </c>
      <c r="AB19" s="879">
        <v>0</v>
      </c>
      <c r="AC19" s="879"/>
      <c r="AD19" s="879">
        <v>0</v>
      </c>
      <c r="AE19" s="879"/>
      <c r="AF19" s="879"/>
      <c r="AG19" s="879">
        <v>0</v>
      </c>
      <c r="AH19" s="879"/>
      <c r="AI19" s="879"/>
      <c r="AJ19" s="879">
        <v>0</v>
      </c>
      <c r="AK19" s="879">
        <v>0</v>
      </c>
      <c r="AL19" s="879"/>
      <c r="AM19" s="879">
        <v>0</v>
      </c>
      <c r="AN19" s="879"/>
      <c r="AO19" s="879"/>
      <c r="AP19" s="879">
        <v>0</v>
      </c>
      <c r="AQ19" s="879"/>
      <c r="AR19" s="879"/>
    </row>
    <row r="20" spans="1:44" ht="15" customHeight="1">
      <c r="A20" s="17" t="s">
        <v>30</v>
      </c>
      <c r="B20" s="16" t="s">
        <v>106</v>
      </c>
      <c r="C20" s="879">
        <f>C10-C19</f>
        <v>0</v>
      </c>
      <c r="D20" s="879">
        <f t="shared" ref="D20:E20" si="15">D10-D19</f>
        <v>0</v>
      </c>
      <c r="E20" s="879">
        <f t="shared" si="15"/>
        <v>0</v>
      </c>
      <c r="F20" s="879">
        <f>F10-F19</f>
        <v>1847.87</v>
      </c>
      <c r="G20" s="879">
        <f>G21+G25</f>
        <v>1847.87</v>
      </c>
      <c r="H20" s="879">
        <f t="shared" ref="H20" si="16">H10-H19</f>
        <v>0</v>
      </c>
      <c r="I20" s="879">
        <f>I10-I19</f>
        <v>0</v>
      </c>
      <c r="J20" s="879">
        <f t="shared" ref="J20:K20" si="17">J10-J19</f>
        <v>0</v>
      </c>
      <c r="K20" s="879">
        <f t="shared" si="17"/>
        <v>0</v>
      </c>
      <c r="L20" s="879">
        <v>1681.7319299999997</v>
      </c>
      <c r="M20" s="879">
        <v>1681.7319299999997</v>
      </c>
      <c r="N20" s="879">
        <v>0</v>
      </c>
      <c r="O20" s="879">
        <v>1010.2700000000001</v>
      </c>
      <c r="P20" s="879">
        <v>1010.2700000000001</v>
      </c>
      <c r="Q20" s="879">
        <v>0</v>
      </c>
      <c r="R20" s="879">
        <v>1527.42678</v>
      </c>
      <c r="S20" s="879">
        <v>1527.42678</v>
      </c>
      <c r="T20" s="879">
        <v>0</v>
      </c>
      <c r="U20" s="879">
        <v>1696.9379999999999</v>
      </c>
      <c r="V20" s="879">
        <v>1696.9379999999999</v>
      </c>
      <c r="W20" s="879">
        <v>0</v>
      </c>
      <c r="X20" s="879">
        <v>1599.3828000000001</v>
      </c>
      <c r="Y20" s="879">
        <v>1599.3828000000001</v>
      </c>
      <c r="Z20" s="879">
        <v>0</v>
      </c>
      <c r="AA20" s="879">
        <v>1599.3827999999999</v>
      </c>
      <c r="AB20" s="879">
        <v>1599.3827999999999</v>
      </c>
      <c r="AC20" s="879">
        <v>0</v>
      </c>
      <c r="AD20" s="879">
        <v>882.64919999999995</v>
      </c>
      <c r="AE20" s="879">
        <v>882.64919999999995</v>
      </c>
      <c r="AF20" s="879">
        <v>0</v>
      </c>
      <c r="AG20" s="879">
        <v>716.73359999999991</v>
      </c>
      <c r="AH20" s="879">
        <v>716.73359999999991</v>
      </c>
      <c r="AI20" s="879">
        <v>0</v>
      </c>
      <c r="AJ20" s="879">
        <v>1599.3827999999999</v>
      </c>
      <c r="AK20" s="879">
        <v>1599.3827999999999</v>
      </c>
      <c r="AL20" s="879">
        <v>0</v>
      </c>
      <c r="AM20" s="879">
        <v>882.64919999999995</v>
      </c>
      <c r="AN20" s="879">
        <v>882.64919999999995</v>
      </c>
      <c r="AO20" s="879">
        <v>0</v>
      </c>
      <c r="AP20" s="879">
        <v>716.73359999999991</v>
      </c>
      <c r="AQ20" s="879">
        <v>716.73359999999991</v>
      </c>
      <c r="AR20" s="879">
        <v>0</v>
      </c>
    </row>
    <row r="21" spans="1:44" ht="15" customHeight="1">
      <c r="A21" s="17" t="s">
        <v>78</v>
      </c>
      <c r="B21" s="16" t="s">
        <v>107</v>
      </c>
      <c r="C21" s="879">
        <f>D21+E21</f>
        <v>0</v>
      </c>
      <c r="D21" s="879"/>
      <c r="E21" s="879"/>
      <c r="F21" s="879">
        <f>G21+H21</f>
        <v>126.023</v>
      </c>
      <c r="G21" s="879">
        <v>126.023</v>
      </c>
      <c r="H21" s="879"/>
      <c r="I21" s="879">
        <f>J21+K21</f>
        <v>0</v>
      </c>
      <c r="J21" s="879"/>
      <c r="K21" s="879"/>
      <c r="L21" s="879">
        <v>126.023</v>
      </c>
      <c r="M21" s="1277">
        <v>126.023</v>
      </c>
      <c r="N21" s="879"/>
      <c r="O21" s="879">
        <v>126.023</v>
      </c>
      <c r="P21" s="1277">
        <v>126.023</v>
      </c>
      <c r="Q21" s="879"/>
      <c r="R21" s="879">
        <v>84.414000000000001</v>
      </c>
      <c r="S21" s="1277">
        <v>84.414000000000001</v>
      </c>
      <c r="T21" s="879"/>
      <c r="U21" s="879">
        <v>113.809</v>
      </c>
      <c r="V21" s="1277">
        <v>113.809</v>
      </c>
      <c r="W21" s="879"/>
      <c r="X21" s="879">
        <v>84.414000000000001</v>
      </c>
      <c r="Y21" s="879">
        <v>84.414000000000001</v>
      </c>
      <c r="Z21" s="879"/>
      <c r="AA21" s="879">
        <v>84.414000000000001</v>
      </c>
      <c r="AB21" s="879">
        <v>84.414000000000001</v>
      </c>
      <c r="AC21" s="879">
        <v>0</v>
      </c>
      <c r="AD21" s="879">
        <v>53.180599999999998</v>
      </c>
      <c r="AE21" s="879">
        <v>53.180599999999998</v>
      </c>
      <c r="AF21" s="879"/>
      <c r="AG21" s="879">
        <v>31.233400000000003</v>
      </c>
      <c r="AH21" s="879">
        <v>31.233400000000003</v>
      </c>
      <c r="AI21" s="879"/>
      <c r="AJ21" s="879">
        <v>84.414000000000001</v>
      </c>
      <c r="AK21" s="879">
        <v>84.414000000000001</v>
      </c>
      <c r="AL21" s="879">
        <v>0</v>
      </c>
      <c r="AM21" s="879">
        <v>53.180599999999998</v>
      </c>
      <c r="AN21" s="879">
        <v>53.180599999999998</v>
      </c>
      <c r="AO21" s="879"/>
      <c r="AP21" s="879">
        <v>31.233400000000003</v>
      </c>
      <c r="AQ21" s="879">
        <v>31.233400000000003</v>
      </c>
      <c r="AR21" s="879"/>
    </row>
    <row r="22" spans="1:44" s="883" customFormat="1" ht="15" hidden="1" customHeight="1">
      <c r="A22" s="882"/>
      <c r="B22" s="884" t="s">
        <v>1503</v>
      </c>
      <c r="C22" s="885">
        <f>D22+E22</f>
        <v>0</v>
      </c>
      <c r="D22" s="885"/>
      <c r="E22" s="885"/>
      <c r="F22" s="885">
        <f>G22+H22</f>
        <v>0</v>
      </c>
      <c r="G22" s="885"/>
      <c r="H22" s="885"/>
      <c r="I22" s="885">
        <f>J22+K22</f>
        <v>0</v>
      </c>
      <c r="J22" s="885"/>
      <c r="K22" s="885"/>
      <c r="L22" s="885">
        <v>0</v>
      </c>
      <c r="M22" s="885"/>
      <c r="N22" s="885"/>
      <c r="O22" s="885">
        <v>0</v>
      </c>
      <c r="P22" s="885"/>
      <c r="Q22" s="885"/>
      <c r="R22" s="885">
        <v>0</v>
      </c>
      <c r="S22" s="885"/>
      <c r="T22" s="885"/>
      <c r="U22" s="885">
        <v>0</v>
      </c>
      <c r="V22" s="885"/>
      <c r="W22" s="885"/>
      <c r="X22" s="885">
        <v>0</v>
      </c>
      <c r="Y22" s="885"/>
      <c r="Z22" s="885"/>
      <c r="AA22" s="885">
        <v>0</v>
      </c>
      <c r="AB22" s="885">
        <v>0</v>
      </c>
      <c r="AC22" s="885"/>
      <c r="AD22" s="885">
        <v>0</v>
      </c>
      <c r="AE22" s="885"/>
      <c r="AF22" s="885"/>
      <c r="AG22" s="885">
        <v>0</v>
      </c>
      <c r="AH22" s="885"/>
      <c r="AI22" s="885"/>
      <c r="AJ22" s="885">
        <v>0</v>
      </c>
      <c r="AK22" s="885">
        <v>0</v>
      </c>
      <c r="AL22" s="885"/>
      <c r="AM22" s="885">
        <v>0</v>
      </c>
      <c r="AN22" s="885"/>
      <c r="AO22" s="885"/>
      <c r="AP22" s="885">
        <v>0</v>
      </c>
      <c r="AQ22" s="885"/>
      <c r="AR22" s="885"/>
    </row>
    <row r="23" spans="1:44" s="883" customFormat="1" ht="15" hidden="1" customHeight="1">
      <c r="A23" s="882"/>
      <c r="B23" s="884" t="s">
        <v>1504</v>
      </c>
      <c r="C23" s="885">
        <f>D23+E23</f>
        <v>0</v>
      </c>
      <c r="D23" s="885"/>
      <c r="E23" s="885"/>
      <c r="F23" s="885">
        <f>G23+H23</f>
        <v>126.023</v>
      </c>
      <c r="G23" s="885">
        <v>126.023</v>
      </c>
      <c r="H23" s="885"/>
      <c r="I23" s="885">
        <f>J23+K23</f>
        <v>0</v>
      </c>
      <c r="J23" s="885"/>
      <c r="K23" s="885"/>
      <c r="L23" s="885">
        <v>126.023</v>
      </c>
      <c r="M23" s="885">
        <v>126.023</v>
      </c>
      <c r="N23" s="885"/>
      <c r="O23" s="885">
        <v>126.023</v>
      </c>
      <c r="P23" s="885">
        <v>126.023</v>
      </c>
      <c r="Q23" s="885"/>
      <c r="R23" s="885">
        <v>126.023</v>
      </c>
      <c r="S23" s="885">
        <v>126.023</v>
      </c>
      <c r="T23" s="885"/>
      <c r="U23" s="885">
        <v>126.023</v>
      </c>
      <c r="V23" s="885">
        <v>126.023</v>
      </c>
      <c r="W23" s="885"/>
      <c r="X23" s="885">
        <v>126.023</v>
      </c>
      <c r="Y23" s="885">
        <v>126.023</v>
      </c>
      <c r="Z23" s="885"/>
      <c r="AA23" s="885">
        <v>126.023</v>
      </c>
      <c r="AB23" s="885">
        <v>126.023</v>
      </c>
      <c r="AC23" s="885"/>
      <c r="AD23" s="885">
        <v>80.655000000000001</v>
      </c>
      <c r="AE23" s="885">
        <v>80.655000000000001</v>
      </c>
      <c r="AF23" s="885"/>
      <c r="AG23" s="885">
        <v>45.368000000000002</v>
      </c>
      <c r="AH23" s="885">
        <v>45.368000000000002</v>
      </c>
      <c r="AI23" s="885"/>
      <c r="AJ23" s="885">
        <v>126.023</v>
      </c>
      <c r="AK23" s="885">
        <v>126.023</v>
      </c>
      <c r="AL23" s="885"/>
      <c r="AM23" s="885">
        <v>80.655000000000001</v>
      </c>
      <c r="AN23" s="885">
        <v>80.655000000000001</v>
      </c>
      <c r="AO23" s="885"/>
      <c r="AP23" s="885">
        <v>45.368000000000002</v>
      </c>
      <c r="AQ23" s="885">
        <v>45.368000000000002</v>
      </c>
      <c r="AR23" s="885"/>
    </row>
    <row r="24" spans="1:44" ht="15" customHeight="1">
      <c r="A24" s="17" t="s">
        <v>86</v>
      </c>
      <c r="B24" s="16" t="s">
        <v>108</v>
      </c>
      <c r="C24" s="879"/>
      <c r="D24" s="879"/>
      <c r="E24" s="879"/>
      <c r="F24" s="879"/>
      <c r="G24" s="879"/>
      <c r="H24" s="879"/>
      <c r="I24" s="879"/>
      <c r="J24" s="879"/>
      <c r="K24" s="879"/>
      <c r="L24" s="879"/>
      <c r="M24" s="879"/>
      <c r="N24" s="879"/>
      <c r="O24" s="879"/>
      <c r="P24" s="879"/>
      <c r="Q24" s="879"/>
      <c r="R24" s="879"/>
      <c r="S24" s="879"/>
      <c r="T24" s="879"/>
      <c r="U24" s="879"/>
      <c r="V24" s="879"/>
      <c r="W24" s="879"/>
      <c r="X24" s="879"/>
      <c r="Y24" s="879"/>
      <c r="Z24" s="879"/>
      <c r="AA24" s="879"/>
      <c r="AB24" s="879"/>
      <c r="AC24" s="879"/>
      <c r="AD24" s="879"/>
      <c r="AE24" s="879"/>
      <c r="AF24" s="879"/>
      <c r="AG24" s="879"/>
      <c r="AH24" s="879"/>
      <c r="AI24" s="879"/>
      <c r="AJ24" s="879"/>
      <c r="AK24" s="879"/>
      <c r="AL24" s="879"/>
      <c r="AM24" s="879"/>
      <c r="AN24" s="879"/>
      <c r="AO24" s="879"/>
      <c r="AP24" s="879"/>
      <c r="AQ24" s="879"/>
      <c r="AR24" s="879"/>
    </row>
    <row r="25" spans="1:44" ht="15" customHeight="1">
      <c r="A25" s="17" t="s">
        <v>109</v>
      </c>
      <c r="B25" s="16" t="s">
        <v>110</v>
      </c>
      <c r="C25" s="879">
        <f t="shared" ref="C25:AC25" si="18">C20-C21</f>
        <v>0</v>
      </c>
      <c r="D25" s="879">
        <f t="shared" si="18"/>
        <v>0</v>
      </c>
      <c r="E25" s="879">
        <f t="shared" si="18"/>
        <v>0</v>
      </c>
      <c r="F25" s="879">
        <f>G25+H25</f>
        <v>1721.847</v>
      </c>
      <c r="G25" s="879">
        <f>G26+G27</f>
        <v>1721.847</v>
      </c>
      <c r="H25" s="879">
        <f t="shared" si="18"/>
        <v>0</v>
      </c>
      <c r="I25" s="879">
        <f t="shared" si="18"/>
        <v>0</v>
      </c>
      <c r="J25" s="879">
        <f t="shared" si="18"/>
        <v>0</v>
      </c>
      <c r="K25" s="879">
        <f t="shared" si="18"/>
        <v>0</v>
      </c>
      <c r="L25" s="879">
        <v>1555.7089299999998</v>
      </c>
      <c r="M25" s="879">
        <v>1555.7089299999998</v>
      </c>
      <c r="N25" s="879">
        <v>0</v>
      </c>
      <c r="O25" s="879">
        <v>884.24700000000007</v>
      </c>
      <c r="P25" s="879">
        <v>884.24700000000007</v>
      </c>
      <c r="Q25" s="879">
        <v>0</v>
      </c>
      <c r="R25" s="879">
        <v>1443.01278</v>
      </c>
      <c r="S25" s="879">
        <v>1443.01278</v>
      </c>
      <c r="T25" s="879">
        <v>0</v>
      </c>
      <c r="U25" s="879">
        <v>1583.1289999999999</v>
      </c>
      <c r="V25" s="879">
        <v>1583.1289999999999</v>
      </c>
      <c r="W25" s="879">
        <v>0</v>
      </c>
      <c r="X25" s="879">
        <v>1514.9688000000001</v>
      </c>
      <c r="Y25" s="879">
        <v>1514.9688000000001</v>
      </c>
      <c r="Z25" s="879">
        <v>0</v>
      </c>
      <c r="AA25" s="879">
        <v>1514.9687999999999</v>
      </c>
      <c r="AB25" s="879">
        <v>1514.9687999999999</v>
      </c>
      <c r="AC25" s="879">
        <v>0</v>
      </c>
      <c r="AD25" s="879">
        <v>829.46859999999992</v>
      </c>
      <c r="AE25" s="879">
        <v>829.46859999999992</v>
      </c>
      <c r="AF25" s="879">
        <v>0</v>
      </c>
      <c r="AG25" s="879">
        <v>685.50019999999995</v>
      </c>
      <c r="AH25" s="879">
        <v>685.50019999999995</v>
      </c>
      <c r="AI25" s="879">
        <v>0</v>
      </c>
      <c r="AJ25" s="879">
        <v>1514.9687999999999</v>
      </c>
      <c r="AK25" s="879">
        <v>1514.9687999999999</v>
      </c>
      <c r="AL25" s="879">
        <v>0</v>
      </c>
      <c r="AM25" s="879">
        <v>829.46859999999992</v>
      </c>
      <c r="AN25" s="879">
        <v>829.46859999999992</v>
      </c>
      <c r="AO25" s="879">
        <v>0</v>
      </c>
      <c r="AP25" s="879">
        <v>685.50019999999995</v>
      </c>
      <c r="AQ25" s="879">
        <v>685.50019999999995</v>
      </c>
      <c r="AR25" s="879">
        <v>0</v>
      </c>
    </row>
    <row r="26" spans="1:44" ht="15" customHeight="1">
      <c r="A26" s="17"/>
      <c r="B26" s="16" t="s">
        <v>1505</v>
      </c>
      <c r="C26" s="879"/>
      <c r="D26" s="879"/>
      <c r="E26" s="879"/>
      <c r="F26" s="879">
        <f>G26+H26</f>
        <v>0</v>
      </c>
      <c r="G26" s="879"/>
      <c r="H26" s="879"/>
      <c r="I26" s="879"/>
      <c r="J26" s="879"/>
      <c r="K26" s="879"/>
      <c r="L26" s="879">
        <v>0</v>
      </c>
      <c r="M26" s="879"/>
      <c r="N26" s="879"/>
      <c r="O26" s="879">
        <v>0</v>
      </c>
      <c r="P26" s="879"/>
      <c r="Q26" s="879"/>
      <c r="R26" s="879">
        <v>0</v>
      </c>
      <c r="S26" s="879"/>
      <c r="T26" s="879"/>
      <c r="U26" s="879">
        <v>0</v>
      </c>
      <c r="V26" s="879"/>
      <c r="W26" s="879"/>
      <c r="X26" s="879">
        <v>0</v>
      </c>
      <c r="Y26" s="879"/>
      <c r="Z26" s="879"/>
      <c r="AA26" s="879">
        <v>0</v>
      </c>
      <c r="AB26" s="879">
        <v>0</v>
      </c>
      <c r="AC26" s="879"/>
      <c r="AD26" s="879">
        <v>0</v>
      </c>
      <c r="AE26" s="879"/>
      <c r="AF26" s="879"/>
      <c r="AG26" s="879">
        <v>0</v>
      </c>
      <c r="AH26" s="879"/>
      <c r="AI26" s="879"/>
      <c r="AJ26" s="879">
        <v>0</v>
      </c>
      <c r="AK26" s="879">
        <v>0</v>
      </c>
      <c r="AL26" s="879"/>
      <c r="AM26" s="879">
        <v>0</v>
      </c>
      <c r="AN26" s="879"/>
      <c r="AO26" s="879"/>
      <c r="AP26" s="879">
        <v>0</v>
      </c>
      <c r="AQ26" s="879"/>
      <c r="AR26" s="879"/>
    </row>
    <row r="27" spans="1:44" ht="15" customHeight="1">
      <c r="A27" s="17"/>
      <c r="B27" s="16" t="s">
        <v>1506</v>
      </c>
      <c r="C27" s="879"/>
      <c r="D27" s="879"/>
      <c r="E27" s="879"/>
      <c r="F27" s="879">
        <f t="shared" ref="F27:F29" si="19">G27</f>
        <v>1721.847</v>
      </c>
      <c r="G27" s="879">
        <f>G28+G29</f>
        <v>1721.847</v>
      </c>
      <c r="H27" s="879"/>
      <c r="I27" s="879"/>
      <c r="J27" s="879"/>
      <c r="K27" s="879"/>
      <c r="L27" s="879">
        <v>1555.7089299999998</v>
      </c>
      <c r="M27" s="879">
        <v>1555.7089299999998</v>
      </c>
      <c r="N27" s="879"/>
      <c r="O27" s="879">
        <v>884.24700000000007</v>
      </c>
      <c r="P27" s="879">
        <v>884.24700000000007</v>
      </c>
      <c r="Q27" s="879"/>
      <c r="R27" s="879">
        <v>1443.01278</v>
      </c>
      <c r="S27" s="879">
        <v>1443.01278</v>
      </c>
      <c r="T27" s="879"/>
      <c r="U27" s="879">
        <v>1583.1289999999999</v>
      </c>
      <c r="V27" s="879">
        <v>1583.1289999999999</v>
      </c>
      <c r="W27" s="879"/>
      <c r="X27" s="879">
        <v>1514.9688000000001</v>
      </c>
      <c r="Y27" s="879">
        <v>1514.9688000000001</v>
      </c>
      <c r="Z27" s="879"/>
      <c r="AA27" s="879">
        <v>1514.9687999999999</v>
      </c>
      <c r="AB27" s="879">
        <v>1514.9687999999999</v>
      </c>
      <c r="AC27" s="879"/>
      <c r="AD27" s="879">
        <v>829.46859999999992</v>
      </c>
      <c r="AE27" s="879">
        <v>829.46859999999992</v>
      </c>
      <c r="AF27" s="879"/>
      <c r="AG27" s="879">
        <v>685.50019999999995</v>
      </c>
      <c r="AH27" s="879">
        <v>685.50019999999995</v>
      </c>
      <c r="AI27" s="879"/>
      <c r="AJ27" s="879">
        <v>1514.9687999999999</v>
      </c>
      <c r="AK27" s="879">
        <v>1514.9687999999999</v>
      </c>
      <c r="AL27" s="879"/>
      <c r="AM27" s="879">
        <v>829.46859999999992</v>
      </c>
      <c r="AN27" s="879">
        <v>829.46859999999992</v>
      </c>
      <c r="AO27" s="879"/>
      <c r="AP27" s="879">
        <v>685.50019999999995</v>
      </c>
      <c r="AQ27" s="879">
        <v>685.50019999999995</v>
      </c>
      <c r="AR27" s="879"/>
    </row>
    <row r="28" spans="1:44" s="300" customFormat="1" ht="15" customHeight="1">
      <c r="A28" s="339"/>
      <c r="B28" s="1390" t="s">
        <v>1290</v>
      </c>
      <c r="C28" s="881"/>
      <c r="D28" s="881"/>
      <c r="E28" s="881"/>
      <c r="F28" s="881">
        <f t="shared" si="19"/>
        <v>757.62199999999996</v>
      </c>
      <c r="G28" s="881">
        <f>'4.8 - котельн.'!F20/1000</f>
        <v>757.62199999999996</v>
      </c>
      <c r="H28" s="881"/>
      <c r="I28" s="881"/>
      <c r="J28" s="881"/>
      <c r="K28" s="881"/>
      <c r="L28" s="881">
        <v>653.45369999999991</v>
      </c>
      <c r="M28" s="1276">
        <v>653.45369999999991</v>
      </c>
      <c r="N28" s="881"/>
      <c r="O28" s="881">
        <v>0</v>
      </c>
      <c r="P28" s="881">
        <v>0</v>
      </c>
      <c r="Q28" s="881"/>
      <c r="R28" s="881">
        <v>635.35942999999997</v>
      </c>
      <c r="S28" s="1276">
        <v>635.35942999999997</v>
      </c>
      <c r="T28" s="881"/>
      <c r="U28" s="881">
        <v>670.80600000000004</v>
      </c>
      <c r="V28" s="1276">
        <v>670.80600000000004</v>
      </c>
      <c r="W28" s="881"/>
      <c r="X28" s="881">
        <v>653.21799999999996</v>
      </c>
      <c r="Y28" s="881">
        <v>653.21799999999996</v>
      </c>
      <c r="Z28" s="881"/>
      <c r="AA28" s="881">
        <v>653.21799999999996</v>
      </c>
      <c r="AB28" s="881">
        <v>653.21799999999996</v>
      </c>
      <c r="AC28" s="881"/>
      <c r="AD28" s="881">
        <v>336.71699999999998</v>
      </c>
      <c r="AE28" s="881">
        <v>336.71699999999998</v>
      </c>
      <c r="AF28" s="881"/>
      <c r="AG28" s="881">
        <v>316.50099999999998</v>
      </c>
      <c r="AH28" s="881">
        <v>316.50099999999998</v>
      </c>
      <c r="AI28" s="881"/>
      <c r="AJ28" s="881">
        <v>653.21799999999996</v>
      </c>
      <c r="AK28" s="881">
        <v>653.21799999999996</v>
      </c>
      <c r="AL28" s="881"/>
      <c r="AM28" s="881">
        <v>336.71699999999998</v>
      </c>
      <c r="AN28" s="881">
        <v>336.71699999999998</v>
      </c>
      <c r="AO28" s="881"/>
      <c r="AP28" s="881">
        <v>316.50099999999998</v>
      </c>
      <c r="AQ28" s="881">
        <v>316.50099999999998</v>
      </c>
      <c r="AR28" s="881"/>
    </row>
    <row r="29" spans="1:44" ht="15" customHeight="1">
      <c r="A29" s="17"/>
      <c r="B29" s="878" t="s">
        <v>1507</v>
      </c>
      <c r="C29" s="881"/>
      <c r="D29" s="881"/>
      <c r="E29" s="881"/>
      <c r="F29" s="881">
        <f t="shared" si="19"/>
        <v>964.22500000000002</v>
      </c>
      <c r="G29" s="881">
        <v>964.22500000000002</v>
      </c>
      <c r="H29" s="881"/>
      <c r="I29" s="881"/>
      <c r="J29" s="881"/>
      <c r="K29" s="881"/>
      <c r="L29" s="881">
        <v>902.25522999999998</v>
      </c>
      <c r="M29" s="1276">
        <v>902.25522999999998</v>
      </c>
      <c r="N29" s="881"/>
      <c r="O29" s="881">
        <v>884.24700000000007</v>
      </c>
      <c r="P29" s="1276">
        <v>884.24700000000007</v>
      </c>
      <c r="Q29" s="881"/>
      <c r="R29" s="881">
        <v>807.65335000000005</v>
      </c>
      <c r="S29" s="1276">
        <v>807.65335000000005</v>
      </c>
      <c r="T29" s="881"/>
      <c r="U29" s="881">
        <v>912.32299999999998</v>
      </c>
      <c r="V29" s="1276">
        <v>912.32299999999998</v>
      </c>
      <c r="W29" s="881"/>
      <c r="X29" s="881">
        <v>861.75080000000003</v>
      </c>
      <c r="Y29" s="881">
        <v>861.75080000000003</v>
      </c>
      <c r="Z29" s="881"/>
      <c r="AA29" s="881">
        <v>861.75080000000003</v>
      </c>
      <c r="AB29" s="881">
        <v>861.75080000000003</v>
      </c>
      <c r="AC29" s="881"/>
      <c r="AD29" s="881">
        <v>492.7516</v>
      </c>
      <c r="AE29" s="881">
        <v>492.7516</v>
      </c>
      <c r="AF29" s="881"/>
      <c r="AG29" s="881">
        <v>368.99920000000003</v>
      </c>
      <c r="AH29" s="881">
        <v>368.99920000000003</v>
      </c>
      <c r="AI29" s="881"/>
      <c r="AJ29" s="881">
        <v>861.75080000000003</v>
      </c>
      <c r="AK29" s="881">
        <v>861.75080000000003</v>
      </c>
      <c r="AL29" s="881"/>
      <c r="AM29" s="881">
        <v>492.7516</v>
      </c>
      <c r="AN29" s="881">
        <v>492.7516</v>
      </c>
      <c r="AO29" s="881"/>
      <c r="AP29" s="881">
        <v>368.99920000000003</v>
      </c>
      <c r="AQ29" s="881">
        <v>368.99920000000003</v>
      </c>
      <c r="AR29" s="881"/>
    </row>
    <row r="30" spans="1:44" ht="15"/>
    <row r="31" spans="1:44" ht="15">
      <c r="A31" s="26" t="s">
        <v>88</v>
      </c>
    </row>
    <row r="32" spans="1:44" s="541" customFormat="1" ht="30.75" customHeight="1">
      <c r="A32" s="45" t="s">
        <v>89</v>
      </c>
      <c r="B32" s="1842" t="s">
        <v>111</v>
      </c>
      <c r="C32" s="1842"/>
      <c r="D32" s="1842"/>
      <c r="E32" s="1842"/>
      <c r="F32" s="1842"/>
      <c r="G32" s="1842"/>
      <c r="H32" s="1842"/>
      <c r="I32" s="1842"/>
      <c r="J32" s="1842"/>
      <c r="K32" s="1842"/>
      <c r="L32" s="1842"/>
      <c r="M32" s="1842"/>
      <c r="N32" s="1842"/>
      <c r="O32" s="1842"/>
      <c r="P32" s="1842"/>
      <c r="Q32" s="1842"/>
      <c r="R32" s="1842"/>
      <c r="S32" s="1842"/>
      <c r="T32" s="1842"/>
      <c r="U32" s="1842"/>
      <c r="V32" s="1842"/>
      <c r="W32" s="1842"/>
      <c r="X32" s="1842"/>
      <c r="Y32" s="1842"/>
      <c r="Z32" s="1842"/>
      <c r="AA32" s="1842"/>
      <c r="AB32" s="1842"/>
      <c r="AC32" s="1842"/>
      <c r="AD32" s="1842"/>
      <c r="AE32" s="1842"/>
      <c r="AF32" s="1842"/>
      <c r="AG32" s="1842"/>
      <c r="AH32" s="1842"/>
      <c r="AI32" s="1842"/>
    </row>
    <row r="33" spans="1:43" s="541" customFormat="1" ht="15" customHeight="1">
      <c r="A33" s="45" t="s">
        <v>91</v>
      </c>
      <c r="B33" s="541" t="s">
        <v>94</v>
      </c>
      <c r="O33" s="1275"/>
      <c r="P33" s="1275"/>
      <c r="Q33" s="1275"/>
      <c r="R33" s="1275"/>
      <c r="S33" s="1275"/>
      <c r="T33" s="1275"/>
      <c r="U33" s="1579"/>
      <c r="V33" s="1579"/>
      <c r="W33" s="1579"/>
      <c r="X33" s="1579"/>
      <c r="Y33" s="1579">
        <v>84.414000000000001</v>
      </c>
      <c r="Z33" s="1579"/>
      <c r="AE33" s="541">
        <v>53.180599999999998</v>
      </c>
      <c r="AH33" s="541">
        <v>31.233400000000003</v>
      </c>
      <c r="AN33" s="1678">
        <v>53.180599999999998</v>
      </c>
      <c r="AO33" s="1678"/>
      <c r="AP33" s="1678"/>
      <c r="AQ33" s="1678">
        <v>31.233400000000003</v>
      </c>
    </row>
    <row r="34" spans="1:43" s="541" customFormat="1" ht="15" customHeight="1">
      <c r="A34" s="45" t="s">
        <v>93</v>
      </c>
      <c r="B34" s="541" t="s">
        <v>112</v>
      </c>
      <c r="O34" s="1275"/>
      <c r="P34" s="1275"/>
      <c r="Q34" s="1275"/>
      <c r="R34" s="1275"/>
      <c r="S34" s="1275"/>
      <c r="T34" s="1275"/>
      <c r="U34" s="1579"/>
      <c r="V34" s="1579"/>
      <c r="W34" s="1579"/>
      <c r="X34" s="1579"/>
      <c r="Y34" s="1579">
        <v>653.21799999999996</v>
      </c>
      <c r="Z34" s="1579"/>
      <c r="AE34" s="541">
        <v>336.71699999999998</v>
      </c>
      <c r="AH34" s="541">
        <v>316.50099999999998</v>
      </c>
      <c r="AN34" s="1678">
        <v>336.71699999999998</v>
      </c>
      <c r="AO34" s="1678"/>
      <c r="AP34" s="1678"/>
      <c r="AQ34" s="1678">
        <v>316.50099999999998</v>
      </c>
    </row>
    <row r="35" spans="1:43" ht="12" customHeight="1">
      <c r="Y35" s="26">
        <v>861.75080000000003</v>
      </c>
      <c r="AE35" s="26">
        <v>492.7516</v>
      </c>
      <c r="AH35" s="26">
        <v>368.99920000000003</v>
      </c>
      <c r="AN35" s="26">
        <v>492.7516</v>
      </c>
      <c r="AQ35" s="26">
        <v>368.99920000000003</v>
      </c>
    </row>
  </sheetData>
  <mergeCells count="45">
    <mergeCell ref="AJ6:AL6"/>
    <mergeCell ref="AM6:AO6"/>
    <mergeCell ref="AP6:AR6"/>
    <mergeCell ref="AJ7:AJ8"/>
    <mergeCell ref="AK7:AL7"/>
    <mergeCell ref="AM7:AM8"/>
    <mergeCell ref="AN7:AO7"/>
    <mergeCell ref="AP7:AP8"/>
    <mergeCell ref="AQ7:AR7"/>
    <mergeCell ref="B32:AI32"/>
    <mergeCell ref="A6:A8"/>
    <mergeCell ref="B6:B8"/>
    <mergeCell ref="C6:E6"/>
    <mergeCell ref="AA6:AC6"/>
    <mergeCell ref="AD6:AF6"/>
    <mergeCell ref="AG6:AI6"/>
    <mergeCell ref="C7:C8"/>
    <mergeCell ref="D7:E7"/>
    <mergeCell ref="AA7:AA8"/>
    <mergeCell ref="AB7:AC7"/>
    <mergeCell ref="AD7:AD8"/>
    <mergeCell ref="AE7:AF7"/>
    <mergeCell ref="AG7:AG8"/>
    <mergeCell ref="AH7:AI7"/>
    <mergeCell ref="F6:H6"/>
    <mergeCell ref="I6:K6"/>
    <mergeCell ref="L6:N6"/>
    <mergeCell ref="F7:F8"/>
    <mergeCell ref="G7:H7"/>
    <mergeCell ref="I7:I8"/>
    <mergeCell ref="J7:K7"/>
    <mergeCell ref="L7:L8"/>
    <mergeCell ref="M7:N7"/>
    <mergeCell ref="O6:Q6"/>
    <mergeCell ref="R6:T6"/>
    <mergeCell ref="O7:O8"/>
    <mergeCell ref="P7:Q7"/>
    <mergeCell ref="R7:R8"/>
    <mergeCell ref="S7:T7"/>
    <mergeCell ref="U6:W6"/>
    <mergeCell ref="U7:U8"/>
    <mergeCell ref="V7:W7"/>
    <mergeCell ref="X6:Z6"/>
    <mergeCell ref="X7:X8"/>
    <mergeCell ref="Y7:Z7"/>
  </mergeCells>
  <pageMargins left="0.74803149606299213" right="0.23622047244094491" top="0.78740157480314965" bottom="0.39370078740157483" header="0.19685039370078741" footer="0.19685039370078741"/>
  <pageSetup paperSize="9" scale="55" orientation="landscape" r:id="rId1"/>
  <headerFooter alignWithMargins="0"/>
  <colBreaks count="1" manualBreakCount="1">
    <brk id="26" max="28" man="1"/>
  </colBreaks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H40"/>
  <sheetViews>
    <sheetView view="pageBreakPreview" topLeftCell="A8" zoomScaleNormal="100" workbookViewId="0">
      <selection activeCell="D22" sqref="D22"/>
    </sheetView>
  </sheetViews>
  <sheetFormatPr defaultColWidth="2.7109375" defaultRowHeight="15"/>
  <cols>
    <col min="1" max="1" width="6.140625" style="1" customWidth="1"/>
    <col min="2" max="2" width="49" style="1" customWidth="1"/>
    <col min="3" max="4" width="18.140625" style="1" customWidth="1"/>
    <col min="5" max="5" width="18.5703125" style="1" customWidth="1"/>
    <col min="6" max="6" width="11.5703125" style="1" customWidth="1"/>
    <col min="7" max="58" width="8.28515625" style="1" customWidth="1"/>
    <col min="59" max="16384" width="2.7109375" style="1"/>
  </cols>
  <sheetData>
    <row r="1" spans="1:6" s="5" customFormat="1" ht="18" customHeight="1">
      <c r="A1" s="74" t="s">
        <v>1860</v>
      </c>
      <c r="E1" s="6" t="s">
        <v>1291</v>
      </c>
      <c r="F1" s="6"/>
    </row>
    <row r="2" spans="1:6" ht="12.75" customHeight="1">
      <c r="A2" s="1222" t="s">
        <v>1681</v>
      </c>
    </row>
    <row r="3" spans="1:6" ht="57.75" customHeight="1">
      <c r="A3" s="1915" t="s">
        <v>1292</v>
      </c>
      <c r="B3" s="1915"/>
      <c r="C3" s="1915"/>
      <c r="D3" s="1915"/>
      <c r="E3" s="1915"/>
      <c r="F3" s="1449"/>
    </row>
    <row r="4" spans="1:6" ht="12.75" customHeight="1">
      <c r="B4" s="1221"/>
      <c r="C4" s="1221"/>
      <c r="D4" s="1751"/>
      <c r="E4" s="1221"/>
      <c r="F4" s="1447"/>
    </row>
    <row r="5" spans="1:6" ht="14.25" customHeight="1">
      <c r="A5" s="812" t="s">
        <v>1330</v>
      </c>
      <c r="E5" s="23" t="s">
        <v>360</v>
      </c>
      <c r="F5" s="23"/>
    </row>
    <row r="6" spans="1:6" s="3" customFormat="1" ht="75">
      <c r="A6" s="1858" t="s">
        <v>0</v>
      </c>
      <c r="B6" s="1858" t="s">
        <v>1293</v>
      </c>
      <c r="C6" s="1858" t="s">
        <v>1713</v>
      </c>
      <c r="D6" s="1858" t="s">
        <v>1959</v>
      </c>
      <c r="E6" s="1754" t="s">
        <v>1960</v>
      </c>
      <c r="F6" s="747"/>
    </row>
    <row r="7" spans="1:6" s="3" customFormat="1" ht="43.5" customHeight="1">
      <c r="A7" s="1971"/>
      <c r="B7" s="1971"/>
      <c r="C7" s="1971"/>
      <c r="D7" s="1971"/>
      <c r="E7" s="1754" t="s">
        <v>1961</v>
      </c>
      <c r="F7" s="747"/>
    </row>
    <row r="8" spans="1:6" s="2" customFormat="1">
      <c r="A8" s="13">
        <v>1</v>
      </c>
      <c r="B8" s="13">
        <v>2</v>
      </c>
      <c r="C8" s="13">
        <v>3</v>
      </c>
      <c r="D8" s="13">
        <v>4</v>
      </c>
      <c r="E8" s="13">
        <v>5</v>
      </c>
      <c r="F8" s="748"/>
    </row>
    <row r="9" spans="1:6" s="41" customFormat="1" ht="15" customHeight="1">
      <c r="A9" s="60" t="s">
        <v>89</v>
      </c>
      <c r="B9" s="68" t="s">
        <v>1294</v>
      </c>
      <c r="C9" s="250">
        <v>17799.74237484207</v>
      </c>
      <c r="D9" s="250">
        <v>30306.102551131611</v>
      </c>
      <c r="E9" s="250">
        <v>30305.5</v>
      </c>
      <c r="F9" s="1458"/>
    </row>
    <row r="10" spans="1:6" s="41" customFormat="1" ht="15" customHeight="1">
      <c r="A10" s="60" t="s">
        <v>91</v>
      </c>
      <c r="B10" s="68" t="s">
        <v>1295</v>
      </c>
      <c r="C10" s="805">
        <v>123390.78257581018</v>
      </c>
      <c r="D10" s="805">
        <v>80413.005577090677</v>
      </c>
      <c r="E10" s="805">
        <v>146622</v>
      </c>
      <c r="F10" s="1458"/>
    </row>
    <row r="11" spans="1:6" s="41" customFormat="1" ht="15" customHeight="1">
      <c r="A11" s="60" t="s">
        <v>93</v>
      </c>
      <c r="B11" s="70" t="s">
        <v>1296</v>
      </c>
      <c r="C11" s="805">
        <v>706868.68352383189</v>
      </c>
      <c r="D11" s="805">
        <v>831529.21024870896</v>
      </c>
      <c r="E11" s="805">
        <v>907418.03624000004</v>
      </c>
      <c r="F11" s="1458"/>
    </row>
    <row r="12" spans="1:6" s="41" customFormat="1" ht="45">
      <c r="A12" s="60" t="s">
        <v>95</v>
      </c>
      <c r="B12" s="70" t="s">
        <v>1297</v>
      </c>
      <c r="C12" s="241">
        <v>37375.055410680812</v>
      </c>
      <c r="D12" s="241">
        <v>45454</v>
      </c>
      <c r="E12" s="241">
        <v>45454</v>
      </c>
      <c r="F12" s="1458"/>
    </row>
    <row r="13" spans="1:6" s="41" customFormat="1" ht="30.75" customHeight="1">
      <c r="A13" s="60" t="s">
        <v>97</v>
      </c>
      <c r="B13" s="68" t="s">
        <v>1298</v>
      </c>
      <c r="C13" s="250">
        <v>40953.495999999999</v>
      </c>
      <c r="D13" s="250">
        <v>47440.79358851217</v>
      </c>
      <c r="E13" s="250">
        <v>47441.723106446269</v>
      </c>
      <c r="F13" s="1458"/>
    </row>
    <row r="14" spans="1:6" s="41" customFormat="1" ht="15" customHeight="1">
      <c r="A14" s="60" t="s">
        <v>915</v>
      </c>
      <c r="B14" s="70" t="s">
        <v>1299</v>
      </c>
      <c r="C14" s="250">
        <v>2556.8946000000001</v>
      </c>
      <c r="D14" s="250">
        <v>3427.0350181911126</v>
      </c>
      <c r="E14" s="250">
        <v>3427.0350181911126</v>
      </c>
      <c r="F14" s="1458"/>
    </row>
    <row r="15" spans="1:6" s="41" customFormat="1" ht="15" customHeight="1">
      <c r="A15" s="60" t="s">
        <v>916</v>
      </c>
      <c r="B15" s="70" t="s">
        <v>1300</v>
      </c>
      <c r="C15" s="250">
        <v>7520.0075999999999</v>
      </c>
      <c r="D15" s="250">
        <v>21121.937420466013</v>
      </c>
      <c r="E15" s="250">
        <v>21121.937420466013</v>
      </c>
      <c r="F15" s="1458"/>
    </row>
    <row r="16" spans="1:6" s="41" customFormat="1" ht="15" customHeight="1">
      <c r="A16" s="60" t="s">
        <v>917</v>
      </c>
      <c r="B16" s="70" t="s">
        <v>1301</v>
      </c>
      <c r="C16" s="250">
        <v>459.69660000000005</v>
      </c>
      <c r="D16" s="250">
        <v>0</v>
      </c>
      <c r="E16" s="250">
        <v>0</v>
      </c>
      <c r="F16" s="1458"/>
    </row>
    <row r="17" spans="1:6" s="41" customFormat="1" ht="30">
      <c r="A17" s="60" t="s">
        <v>918</v>
      </c>
      <c r="B17" s="70" t="s">
        <v>1302</v>
      </c>
      <c r="C17" s="250">
        <v>0</v>
      </c>
      <c r="D17" s="250">
        <v>1840.7889781806778</v>
      </c>
      <c r="E17" s="250">
        <v>1840.7889781806778</v>
      </c>
      <c r="F17" s="1458"/>
    </row>
    <row r="18" spans="1:6" s="41" customFormat="1" ht="30">
      <c r="A18" s="60" t="s">
        <v>919</v>
      </c>
      <c r="B18" s="68" t="s">
        <v>1303</v>
      </c>
      <c r="C18" s="805"/>
      <c r="D18" s="805">
        <v>0</v>
      </c>
      <c r="E18" s="805"/>
      <c r="F18" s="1458"/>
    </row>
    <row r="19" spans="1:6" s="41" customFormat="1" ht="15" customHeight="1">
      <c r="A19" s="60" t="s">
        <v>920</v>
      </c>
      <c r="B19" s="68" t="s">
        <v>1304</v>
      </c>
      <c r="C19" s="250">
        <v>30416.897199999999</v>
      </c>
      <c r="D19" s="250">
        <v>21051.032171674367</v>
      </c>
      <c r="E19" s="250">
        <v>21051.961689608463</v>
      </c>
      <c r="F19" s="1458"/>
    </row>
    <row r="20" spans="1:6" s="41" customFormat="1" ht="17.25" customHeight="1">
      <c r="A20" s="60" t="s">
        <v>582</v>
      </c>
      <c r="B20" s="68" t="s">
        <v>1305</v>
      </c>
      <c r="C20" s="241">
        <v>3459</v>
      </c>
      <c r="D20" s="241">
        <v>2927</v>
      </c>
      <c r="E20" s="241">
        <v>2927</v>
      </c>
      <c r="F20" s="1458"/>
    </row>
    <row r="21" spans="1:6" s="41" customFormat="1" ht="17.25" customHeight="1">
      <c r="A21" s="60" t="s">
        <v>615</v>
      </c>
      <c r="B21" s="68" t="s">
        <v>1306</v>
      </c>
      <c r="C21" s="241">
        <v>1062</v>
      </c>
      <c r="D21" s="241">
        <v>1212.9463282751203</v>
      </c>
      <c r="E21" s="241">
        <v>1213</v>
      </c>
      <c r="F21" s="1458"/>
    </row>
    <row r="22" spans="1:6" s="41" customFormat="1" ht="15" customHeight="1">
      <c r="A22" s="60" t="s">
        <v>649</v>
      </c>
      <c r="B22" s="1208" t="s">
        <v>1307</v>
      </c>
      <c r="C22" s="805"/>
      <c r="D22" s="805">
        <v>0</v>
      </c>
      <c r="E22" s="805"/>
      <c r="F22" s="1458"/>
    </row>
    <row r="23" spans="1:6" s="41" customFormat="1" ht="15" customHeight="1">
      <c r="A23" s="60" t="s">
        <v>1028</v>
      </c>
      <c r="B23" s="1208" t="s">
        <v>1308</v>
      </c>
      <c r="C23" s="805"/>
      <c r="D23" s="805">
        <v>0</v>
      </c>
      <c r="E23" s="805"/>
      <c r="F23" s="1458"/>
    </row>
    <row r="24" spans="1:6" s="41" customFormat="1" ht="15" customHeight="1">
      <c r="A24" s="60" t="s">
        <v>1309</v>
      </c>
      <c r="B24" s="68" t="s">
        <v>1310</v>
      </c>
      <c r="C24" s="250">
        <v>10264.504000000001</v>
      </c>
      <c r="D24" s="250">
        <v>21917.480843019588</v>
      </c>
      <c r="E24" s="250">
        <v>21916.276893553731</v>
      </c>
      <c r="F24" s="1458"/>
    </row>
    <row r="25" spans="1:6" s="41" customFormat="1">
      <c r="A25" s="60" t="s">
        <v>1311</v>
      </c>
      <c r="B25" s="830" t="s">
        <v>1312</v>
      </c>
      <c r="C25" s="250">
        <v>4738.0572000000002</v>
      </c>
      <c r="D25" s="250">
        <v>13931.971608196549</v>
      </c>
      <c r="E25" s="241">
        <v>13931.971608196549</v>
      </c>
      <c r="F25" s="1458"/>
    </row>
    <row r="26" spans="1:6" s="41" customFormat="1" ht="15" customHeight="1">
      <c r="A26" s="60" t="s">
        <v>1313</v>
      </c>
      <c r="B26" s="830" t="s">
        <v>1314</v>
      </c>
      <c r="C26" s="250">
        <v>953.51580000000001</v>
      </c>
      <c r="D26" s="250">
        <v>3433.6486312706643</v>
      </c>
      <c r="E26" s="241">
        <v>3433.6486312706643</v>
      </c>
      <c r="F26" s="1458"/>
    </row>
    <row r="27" spans="1:6" s="41" customFormat="1" ht="15" customHeight="1">
      <c r="A27" s="60" t="s">
        <v>1315</v>
      </c>
      <c r="B27" s="830" t="s">
        <v>1316</v>
      </c>
      <c r="C27" s="241">
        <v>624</v>
      </c>
      <c r="D27" s="241">
        <v>692.83128060042054</v>
      </c>
      <c r="E27" s="241">
        <v>693</v>
      </c>
      <c r="F27" s="1458"/>
    </row>
    <row r="28" spans="1:6" s="41" customFormat="1" ht="15" customHeight="1">
      <c r="A28" s="60" t="s">
        <v>1317</v>
      </c>
      <c r="B28" s="830" t="s">
        <v>1318</v>
      </c>
      <c r="C28" s="241">
        <v>0</v>
      </c>
      <c r="D28" s="241">
        <v>0</v>
      </c>
      <c r="E28" s="241">
        <v>0</v>
      </c>
      <c r="F28" s="1458"/>
    </row>
    <row r="29" spans="1:6" s="41" customFormat="1" ht="15" customHeight="1">
      <c r="A29" s="60" t="s">
        <v>1319</v>
      </c>
      <c r="B29" s="830" t="s">
        <v>1320</v>
      </c>
      <c r="C29" s="250">
        <v>1040.931</v>
      </c>
      <c r="D29" s="250">
        <v>2127.656654086516</v>
      </c>
      <c r="E29" s="241">
        <v>2127.656654086516</v>
      </c>
      <c r="F29" s="1458"/>
    </row>
    <row r="30" spans="1:6" s="41" customFormat="1" ht="15" customHeight="1">
      <c r="A30" s="60" t="s">
        <v>1321</v>
      </c>
      <c r="B30" s="830" t="s">
        <v>1677</v>
      </c>
      <c r="C30" s="241">
        <v>2908</v>
      </c>
      <c r="D30" s="241">
        <v>1731.3726688654356</v>
      </c>
      <c r="E30" s="241">
        <v>1731</v>
      </c>
      <c r="F30" s="1458"/>
    </row>
    <row r="31" spans="1:6" s="41" customFormat="1" ht="15" hidden="1" customHeight="1">
      <c r="A31" s="60" t="s">
        <v>1322</v>
      </c>
      <c r="B31" s="830"/>
      <c r="C31" s="337"/>
      <c r="D31" s="337"/>
      <c r="E31" s="337"/>
      <c r="F31" s="1458"/>
    </row>
    <row r="32" spans="1:6" s="41" customFormat="1" ht="15" hidden="1" customHeight="1">
      <c r="A32" s="60" t="s">
        <v>1323</v>
      </c>
      <c r="B32" s="833"/>
      <c r="C32" s="337"/>
      <c r="D32" s="337"/>
      <c r="E32" s="337"/>
      <c r="F32" s="1458"/>
    </row>
    <row r="33" spans="1:8" s="41" customFormat="1" ht="15" hidden="1" customHeight="1">
      <c r="A33" s="60" t="s">
        <v>1324</v>
      </c>
      <c r="B33" s="833"/>
      <c r="C33" s="337"/>
      <c r="D33" s="337"/>
      <c r="E33" s="337"/>
      <c r="F33" s="1458"/>
    </row>
    <row r="34" spans="1:8" s="41" customFormat="1" ht="15" hidden="1" customHeight="1">
      <c r="A34" s="60" t="s">
        <v>1325</v>
      </c>
      <c r="B34" s="833"/>
      <c r="C34" s="337"/>
      <c r="D34" s="337"/>
      <c r="E34" s="337"/>
      <c r="F34" s="1458"/>
    </row>
    <row r="35" spans="1:8" s="810" customFormat="1" ht="15" customHeight="1">
      <c r="A35" s="82"/>
      <c r="B35" s="808" t="s">
        <v>1326</v>
      </c>
      <c r="C35" s="809">
        <f>C9+C10+C11+C12+C13+C20+C21+C22+C23+C24</f>
        <v>941173.26388516498</v>
      </c>
      <c r="D35" s="809">
        <f>D9+D10+D11+D12+D13+D20+D21+D22+D23+D24</f>
        <v>1061200.5391367383</v>
      </c>
      <c r="E35" s="809">
        <f>E9+E10+E11+E12+E13+E20+E21+E22+E23+E24</f>
        <v>1203297.53624</v>
      </c>
      <c r="F35" s="1458"/>
    </row>
    <row r="37" spans="1:8" s="26" customFormat="1">
      <c r="A37" s="26" t="s">
        <v>1327</v>
      </c>
    </row>
    <row r="38" spans="1:8" s="1223" customFormat="1" ht="30" customHeight="1">
      <c r="A38" s="1223" t="s">
        <v>89</v>
      </c>
      <c r="B38" s="1842" t="s">
        <v>1328</v>
      </c>
      <c r="C38" s="1970"/>
      <c r="D38" s="1970"/>
      <c r="E38" s="1970"/>
      <c r="F38" s="1450"/>
      <c r="G38" s="1224"/>
      <c r="H38" s="1224"/>
    </row>
    <row r="39" spans="1:8" s="1223" customFormat="1">
      <c r="B39" s="1842"/>
      <c r="C39" s="1842"/>
      <c r="D39" s="1842"/>
      <c r="E39" s="1842"/>
      <c r="F39" s="1448"/>
    </row>
    <row r="40" spans="1:8" ht="15.75" customHeight="1"/>
  </sheetData>
  <mergeCells count="7">
    <mergeCell ref="A3:E3"/>
    <mergeCell ref="B38:E38"/>
    <mergeCell ref="B39:E39"/>
    <mergeCell ref="A6:A7"/>
    <mergeCell ref="B6:B7"/>
    <mergeCell ref="C6:C7"/>
    <mergeCell ref="D6:D7"/>
  </mergeCells>
  <pageMargins left="0.78740157480314965" right="0.51181102362204722" top="0.59055118110236227" bottom="0.39370078740157483" header="0.19685039370078741" footer="0.19685039370078741"/>
  <pageSetup paperSize="9" scale="77" orientation="portrait" r:id="rId1"/>
  <headerFooter alignWithMargins="0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EX26"/>
  <sheetViews>
    <sheetView view="pageBreakPreview" zoomScaleNormal="100" workbookViewId="0">
      <pane ySplit="9" topLeftCell="A10" activePane="bottomLeft" state="frozen"/>
      <selection activeCell="E15" sqref="E15"/>
      <selection pane="bottomLeft" activeCell="K14" sqref="K14"/>
    </sheetView>
  </sheetViews>
  <sheetFormatPr defaultColWidth="2.7109375" defaultRowHeight="15"/>
  <cols>
    <col min="1" max="1" width="5" style="1" customWidth="1"/>
    <col min="2" max="2" width="49" style="1" customWidth="1"/>
    <col min="3" max="7" width="13.7109375" style="1" customWidth="1"/>
    <col min="8" max="8" width="14.5703125" style="1" customWidth="1"/>
    <col min="9" max="9" width="13.7109375" style="1" customWidth="1"/>
    <col min="10" max="10" width="8.28515625" style="1" customWidth="1"/>
    <col min="11" max="11" width="12" style="1" customWidth="1"/>
    <col min="12" max="61" width="8.28515625" style="1" customWidth="1"/>
    <col min="62" max="16384" width="2.7109375" style="1"/>
  </cols>
  <sheetData>
    <row r="1" spans="1:10" s="5" customFormat="1" ht="18" customHeight="1">
      <c r="A1" s="74" t="s">
        <v>1860</v>
      </c>
      <c r="I1" s="6" t="s">
        <v>1331</v>
      </c>
    </row>
    <row r="2" spans="1:10" ht="12.75" customHeight="1">
      <c r="A2" s="1139" t="s">
        <v>1678</v>
      </c>
      <c r="J2" s="813" t="s">
        <v>1332</v>
      </c>
    </row>
    <row r="3" spans="1:10" ht="57.75" customHeight="1">
      <c r="A3" s="1915" t="s">
        <v>1333</v>
      </c>
      <c r="B3" s="1915"/>
      <c r="C3" s="1915"/>
      <c r="D3" s="1915"/>
      <c r="E3" s="1915"/>
      <c r="F3" s="1915"/>
      <c r="G3" s="1915"/>
      <c r="H3" s="1915"/>
      <c r="I3" s="1915"/>
    </row>
    <row r="4" spans="1:10" ht="12.75" customHeight="1">
      <c r="B4" s="769"/>
      <c r="C4" s="769"/>
      <c r="D4" s="1751"/>
      <c r="E4" s="1751"/>
      <c r="F4" s="1751"/>
      <c r="G4" s="769"/>
      <c r="H4" s="769"/>
      <c r="I4" s="769"/>
    </row>
    <row r="5" spans="1:10" ht="14.25" customHeight="1">
      <c r="A5" s="812" t="s">
        <v>1329</v>
      </c>
      <c r="I5" s="23" t="s">
        <v>360</v>
      </c>
    </row>
    <row r="6" spans="1:10" s="3" customFormat="1" ht="15" customHeight="1">
      <c r="A6" s="1858" t="s">
        <v>0</v>
      </c>
      <c r="B6" s="1858" t="s">
        <v>1334</v>
      </c>
      <c r="C6" s="1858" t="s">
        <v>2</v>
      </c>
      <c r="D6" s="1873" t="s">
        <v>1335</v>
      </c>
      <c r="E6" s="1975"/>
      <c r="F6" s="1975"/>
      <c r="G6" s="1975"/>
      <c r="H6" s="1975"/>
      <c r="I6" s="1975"/>
    </row>
    <row r="7" spans="1:10" s="3" customFormat="1">
      <c r="A7" s="1859"/>
      <c r="B7" s="1859"/>
      <c r="C7" s="1859"/>
      <c r="D7" s="1976" t="s">
        <v>1962</v>
      </c>
      <c r="E7" s="1976"/>
      <c r="F7" s="1977"/>
      <c r="G7" s="1978" t="s">
        <v>1961</v>
      </c>
      <c r="H7" s="1976"/>
      <c r="I7" s="1976"/>
    </row>
    <row r="8" spans="1:10" s="3" customFormat="1">
      <c r="A8" s="1971"/>
      <c r="B8" s="1971"/>
      <c r="C8" s="1971"/>
      <c r="D8" s="1753" t="s">
        <v>1336</v>
      </c>
      <c r="E8" s="1753" t="s">
        <v>1337</v>
      </c>
      <c r="F8" s="1753" t="s">
        <v>1715</v>
      </c>
      <c r="G8" s="1753" t="s">
        <v>1336</v>
      </c>
      <c r="H8" s="1753" t="s">
        <v>1337</v>
      </c>
      <c r="I8" s="1753" t="s">
        <v>1715</v>
      </c>
    </row>
    <row r="9" spans="1:10" s="2" customFormat="1">
      <c r="A9" s="13">
        <v>1</v>
      </c>
      <c r="B9" s="13">
        <v>2</v>
      </c>
      <c r="C9" s="13">
        <v>3</v>
      </c>
      <c r="D9" s="13">
        <v>4</v>
      </c>
      <c r="E9" s="13">
        <v>5</v>
      </c>
      <c r="F9" s="13">
        <v>6</v>
      </c>
      <c r="G9" s="13">
        <v>7</v>
      </c>
      <c r="H9" s="13">
        <v>8</v>
      </c>
      <c r="I9" s="13">
        <v>9</v>
      </c>
    </row>
    <row r="10" spans="1:10" s="41" customFormat="1" ht="30">
      <c r="A10" s="60" t="s">
        <v>89</v>
      </c>
      <c r="B10" s="68" t="s">
        <v>1338</v>
      </c>
      <c r="C10" s="68"/>
      <c r="D10" s="1212" t="s">
        <v>570</v>
      </c>
      <c r="E10" s="1772">
        <v>1.0580000000000001</v>
      </c>
      <c r="F10" s="1772">
        <v>1.0549999999999999</v>
      </c>
      <c r="G10" s="1212" t="s">
        <v>570</v>
      </c>
      <c r="H10" s="1772">
        <v>1.0680000000000001</v>
      </c>
      <c r="I10" s="1772">
        <v>1.0589999999999999</v>
      </c>
    </row>
    <row r="11" spans="1:10" s="41" customFormat="1" ht="15" customHeight="1">
      <c r="A11" s="60" t="s">
        <v>91</v>
      </c>
      <c r="B11" s="68" t="s">
        <v>1339</v>
      </c>
      <c r="C11" s="815" t="s">
        <v>138</v>
      </c>
      <c r="D11" s="814" t="s">
        <v>570</v>
      </c>
      <c r="E11" s="1770">
        <v>0.01</v>
      </c>
      <c r="F11" s="1770">
        <v>0.01</v>
      </c>
      <c r="G11" s="1774" t="s">
        <v>570</v>
      </c>
      <c r="H11" s="1770">
        <v>0.01</v>
      </c>
      <c r="I11" s="1770">
        <v>0.01</v>
      </c>
    </row>
    <row r="12" spans="1:10" s="41" customFormat="1" ht="15" customHeight="1">
      <c r="A12" s="60" t="s">
        <v>93</v>
      </c>
      <c r="B12" s="70" t="s">
        <v>1340</v>
      </c>
      <c r="C12" s="70"/>
      <c r="D12" s="814" t="s">
        <v>570</v>
      </c>
      <c r="E12" s="816">
        <v>0</v>
      </c>
      <c r="F12" s="816">
        <v>0</v>
      </c>
      <c r="G12" s="814" t="s">
        <v>570</v>
      </c>
      <c r="H12" s="816">
        <f>(H14-G14)/G14</f>
        <v>0</v>
      </c>
      <c r="I12" s="816">
        <f>(I14-H14)/H14</f>
        <v>0</v>
      </c>
    </row>
    <row r="13" spans="1:10" s="41" customFormat="1" ht="45">
      <c r="A13" s="60" t="s">
        <v>1246</v>
      </c>
      <c r="B13" s="70" t="s">
        <v>1341</v>
      </c>
      <c r="C13" s="817" t="s">
        <v>1342</v>
      </c>
      <c r="D13" s="1212" t="s">
        <v>570</v>
      </c>
      <c r="E13" s="805"/>
      <c r="F13" s="805"/>
      <c r="G13" s="1212" t="s">
        <v>570</v>
      </c>
      <c r="H13" s="805"/>
      <c r="I13" s="805"/>
    </row>
    <row r="14" spans="1:10" s="41" customFormat="1" ht="30.75" customHeight="1">
      <c r="A14" s="60" t="s">
        <v>1248</v>
      </c>
      <c r="B14" s="68" t="s">
        <v>1343</v>
      </c>
      <c r="C14" s="771" t="s">
        <v>53</v>
      </c>
      <c r="D14" s="1211">
        <v>577</v>
      </c>
      <c r="E14" s="308">
        <v>577</v>
      </c>
      <c r="F14" s="308">
        <v>577</v>
      </c>
      <c r="G14" s="1211">
        <v>577</v>
      </c>
      <c r="H14" s="308">
        <v>577</v>
      </c>
      <c r="I14" s="308">
        <v>577</v>
      </c>
    </row>
    <row r="15" spans="1:10" s="41" customFormat="1" ht="30">
      <c r="A15" s="60" t="s">
        <v>95</v>
      </c>
      <c r="B15" s="70" t="s">
        <v>1344</v>
      </c>
      <c r="C15" s="70"/>
      <c r="D15" s="814" t="s">
        <v>570</v>
      </c>
      <c r="E15" s="251">
        <v>0.75</v>
      </c>
      <c r="F15" s="251">
        <v>0.75</v>
      </c>
      <c r="G15" s="814" t="s">
        <v>570</v>
      </c>
      <c r="H15" s="251">
        <v>0.75</v>
      </c>
      <c r="I15" s="251">
        <v>0.75</v>
      </c>
    </row>
    <row r="16" spans="1:10" s="41" customFormat="1" ht="15" customHeight="1">
      <c r="A16" s="60" t="s">
        <v>97</v>
      </c>
      <c r="B16" s="70" t="s">
        <v>1345</v>
      </c>
      <c r="C16" s="817" t="s">
        <v>240</v>
      </c>
      <c r="D16" s="818">
        <v>396021.23095386027</v>
      </c>
      <c r="E16" s="337">
        <v>414800.55772569234</v>
      </c>
      <c r="F16" s="337">
        <v>433238.44251659937</v>
      </c>
      <c r="G16" s="1773">
        <v>495300.78736000002</v>
      </c>
      <c r="H16" s="337">
        <v>660102.79527999996</v>
      </c>
      <c r="I16" s="337">
        <v>695440.52293290605</v>
      </c>
    </row>
    <row r="17" spans="1:154">
      <c r="F17" s="1213"/>
      <c r="G17" s="23"/>
      <c r="H17" s="1213">
        <f>H16/G16</f>
        <v>1.3327311648309914</v>
      </c>
      <c r="I17" s="1213">
        <f>I16/H16</f>
        <v>1.0535336737029217</v>
      </c>
    </row>
    <row r="18" spans="1:154">
      <c r="G18" s="23"/>
      <c r="H18" s="1213"/>
      <c r="I18" s="1213"/>
    </row>
    <row r="19" spans="1:154">
      <c r="G19" s="23"/>
      <c r="H19" s="1778">
        <v>566781.61743999994</v>
      </c>
      <c r="I19" s="1778">
        <v>597601.6668736717</v>
      </c>
    </row>
    <row r="20" spans="1:154">
      <c r="G20" s="23"/>
      <c r="H20" s="1213"/>
      <c r="I20" s="1213"/>
    </row>
    <row r="21" spans="1:154">
      <c r="G21" s="23"/>
      <c r="H21" s="389">
        <f>(1-H11)*H10*(1+H12*H15)</f>
        <v>1.05732</v>
      </c>
      <c r="I21" s="389">
        <f>(1-I11)*I10*(1+I12*I15)</f>
        <v>1.0484099999999998</v>
      </c>
    </row>
    <row r="22" spans="1:154" s="26" customFormat="1">
      <c r="A22" s="26" t="s">
        <v>88</v>
      </c>
    </row>
    <row r="23" spans="1:154" s="773" customFormat="1" ht="30" customHeight="1">
      <c r="A23" s="819" t="s">
        <v>89</v>
      </c>
      <c r="B23" s="1972" t="s">
        <v>1346</v>
      </c>
      <c r="C23" s="1974"/>
      <c r="D23" s="1974"/>
      <c r="E23" s="1974"/>
      <c r="F23" s="1974"/>
      <c r="G23" s="1974"/>
      <c r="H23" s="1974"/>
      <c r="I23" s="1974"/>
      <c r="J23" s="819"/>
      <c r="K23" s="819"/>
      <c r="L23" s="819"/>
      <c r="M23" s="819"/>
      <c r="N23" s="819"/>
      <c r="O23" s="819"/>
      <c r="P23" s="819"/>
      <c r="Q23" s="819"/>
      <c r="R23" s="819"/>
      <c r="S23" s="819"/>
      <c r="T23" s="819"/>
      <c r="U23" s="819"/>
      <c r="V23" s="819"/>
      <c r="W23" s="819"/>
      <c r="X23" s="819"/>
      <c r="Y23" s="819"/>
      <c r="Z23" s="819"/>
      <c r="AA23" s="819"/>
      <c r="AB23" s="819"/>
      <c r="AC23" s="819"/>
      <c r="AD23" s="819"/>
      <c r="AE23" s="819"/>
      <c r="AF23" s="819"/>
      <c r="AG23" s="819"/>
      <c r="AH23" s="819"/>
      <c r="AI23" s="819"/>
      <c r="AJ23" s="819"/>
      <c r="AK23" s="819"/>
      <c r="AL23" s="819"/>
      <c r="AM23" s="819"/>
      <c r="AN23" s="819"/>
      <c r="AO23" s="819"/>
      <c r="AP23" s="819"/>
      <c r="AQ23" s="819"/>
      <c r="AR23" s="819"/>
      <c r="AS23" s="819"/>
      <c r="AT23" s="819"/>
      <c r="AU23" s="819"/>
      <c r="AV23" s="819"/>
      <c r="AW23" s="819"/>
      <c r="AX23" s="819"/>
      <c r="AY23" s="819"/>
      <c r="AZ23" s="819"/>
      <c r="BA23" s="819"/>
      <c r="BB23" s="819"/>
      <c r="BC23" s="819"/>
      <c r="BD23" s="819"/>
      <c r="BE23" s="819"/>
      <c r="BF23" s="819"/>
      <c r="BG23" s="819"/>
      <c r="BH23" s="819"/>
      <c r="BI23" s="819"/>
      <c r="BJ23" s="819"/>
      <c r="BK23" s="819"/>
      <c r="BL23" s="819"/>
      <c r="BM23" s="819"/>
      <c r="BN23" s="819"/>
      <c r="BO23" s="819"/>
      <c r="BP23" s="819"/>
      <c r="BQ23" s="819"/>
      <c r="BR23" s="819"/>
      <c r="BS23" s="819"/>
      <c r="BT23" s="819"/>
      <c r="BU23" s="819"/>
      <c r="BV23" s="819"/>
      <c r="BW23" s="819"/>
      <c r="BX23" s="819"/>
      <c r="BY23" s="819"/>
      <c r="BZ23" s="819"/>
      <c r="CA23" s="819"/>
      <c r="CB23" s="819"/>
      <c r="CC23" s="819"/>
      <c r="CD23" s="819"/>
      <c r="CE23" s="819"/>
      <c r="CF23" s="819"/>
      <c r="CG23" s="819"/>
      <c r="CH23" s="819"/>
      <c r="CI23" s="819"/>
      <c r="CJ23" s="819"/>
      <c r="CK23" s="819"/>
      <c r="CL23" s="819"/>
      <c r="CM23" s="819"/>
      <c r="CN23" s="819"/>
      <c r="CO23" s="819"/>
      <c r="CP23" s="819"/>
      <c r="CQ23" s="819"/>
      <c r="CR23" s="819"/>
      <c r="CS23" s="819"/>
      <c r="CT23" s="819"/>
      <c r="CU23" s="819"/>
      <c r="CV23" s="819"/>
      <c r="CW23" s="819"/>
      <c r="CX23" s="819"/>
      <c r="CY23" s="819"/>
      <c r="CZ23" s="819"/>
      <c r="DA23" s="819"/>
      <c r="DB23" s="819"/>
      <c r="DC23" s="819"/>
      <c r="DD23" s="819"/>
      <c r="DE23" s="819"/>
      <c r="DF23" s="819"/>
      <c r="DG23" s="819"/>
      <c r="DH23" s="819"/>
      <c r="DI23" s="819"/>
      <c r="DJ23" s="819"/>
      <c r="DK23" s="819"/>
      <c r="DL23" s="819"/>
      <c r="DM23" s="819"/>
      <c r="DN23" s="819"/>
      <c r="DO23" s="819"/>
      <c r="DP23" s="819"/>
      <c r="DQ23" s="819"/>
      <c r="DR23" s="819"/>
      <c r="DS23" s="819"/>
      <c r="DT23" s="819"/>
      <c r="DU23" s="819"/>
      <c r="DV23" s="819"/>
      <c r="DW23" s="819"/>
      <c r="DX23" s="819"/>
      <c r="DY23" s="819"/>
      <c r="DZ23" s="819"/>
      <c r="EA23" s="819"/>
      <c r="EB23" s="819"/>
      <c r="EC23" s="819"/>
      <c r="ED23" s="819"/>
      <c r="EE23" s="819"/>
      <c r="EF23" s="819"/>
      <c r="EG23" s="819"/>
      <c r="EH23" s="819"/>
      <c r="EI23" s="819"/>
      <c r="EJ23" s="819"/>
      <c r="EK23" s="819"/>
      <c r="EL23" s="819"/>
      <c r="EM23" s="819"/>
      <c r="EN23" s="819"/>
      <c r="EO23" s="819"/>
      <c r="EP23" s="819"/>
      <c r="EQ23" s="819"/>
      <c r="ER23" s="819"/>
      <c r="ES23" s="819"/>
      <c r="ET23" s="819"/>
      <c r="EU23" s="819"/>
      <c r="EV23" s="819"/>
      <c r="EW23" s="819"/>
      <c r="EX23" s="819"/>
    </row>
    <row r="24" spans="1:154" s="773" customFormat="1" ht="80.25" customHeight="1">
      <c r="A24" s="819" t="s">
        <v>91</v>
      </c>
      <c r="B24" s="1972" t="s">
        <v>1347</v>
      </c>
      <c r="C24" s="1973"/>
      <c r="D24" s="1973"/>
      <c r="E24" s="1973"/>
      <c r="F24" s="1973"/>
      <c r="G24" s="1973"/>
      <c r="H24" s="1973"/>
      <c r="I24" s="1973"/>
      <c r="J24" s="819"/>
      <c r="K24" s="819"/>
      <c r="L24" s="819"/>
      <c r="M24" s="819"/>
      <c r="N24" s="819"/>
      <c r="O24" s="819"/>
      <c r="P24" s="819"/>
      <c r="Q24" s="819"/>
      <c r="R24" s="819"/>
      <c r="S24" s="819"/>
      <c r="T24" s="819"/>
      <c r="U24" s="819"/>
      <c r="V24" s="819"/>
      <c r="W24" s="819"/>
      <c r="X24" s="819"/>
      <c r="Y24" s="819"/>
      <c r="Z24" s="819"/>
      <c r="AA24" s="819"/>
      <c r="AB24" s="819"/>
      <c r="AC24" s="819"/>
      <c r="AD24" s="819"/>
      <c r="AE24" s="819"/>
      <c r="AF24" s="819"/>
      <c r="AG24" s="819"/>
      <c r="AH24" s="819"/>
      <c r="AI24" s="819"/>
      <c r="AJ24" s="819"/>
      <c r="AK24" s="819"/>
      <c r="AL24" s="819"/>
      <c r="AM24" s="819"/>
      <c r="AN24" s="819"/>
      <c r="AO24" s="819"/>
      <c r="AP24" s="819"/>
      <c r="AQ24" s="819"/>
      <c r="AR24" s="819"/>
      <c r="AS24" s="819"/>
      <c r="AT24" s="819"/>
      <c r="AU24" s="819"/>
      <c r="AV24" s="819"/>
      <c r="AW24" s="819"/>
      <c r="AX24" s="819"/>
      <c r="AY24" s="819"/>
      <c r="AZ24" s="819"/>
      <c r="BA24" s="819"/>
      <c r="BB24" s="819"/>
      <c r="BC24" s="819"/>
      <c r="BD24" s="819"/>
      <c r="BE24" s="819"/>
      <c r="BF24" s="819"/>
      <c r="BG24" s="819"/>
      <c r="BH24" s="819"/>
      <c r="BI24" s="819"/>
      <c r="BJ24" s="819"/>
      <c r="BK24" s="819"/>
      <c r="BL24" s="819"/>
      <c r="BM24" s="819"/>
      <c r="BN24" s="819"/>
      <c r="BO24" s="819"/>
      <c r="BP24" s="819"/>
      <c r="BQ24" s="819"/>
      <c r="BR24" s="819"/>
      <c r="BS24" s="819"/>
      <c r="BT24" s="819"/>
      <c r="BU24" s="819"/>
      <c r="BV24" s="819"/>
      <c r="BW24" s="819"/>
      <c r="BX24" s="819"/>
      <c r="BY24" s="819"/>
      <c r="BZ24" s="819"/>
      <c r="CA24" s="819"/>
      <c r="CB24" s="819"/>
      <c r="CC24" s="819"/>
      <c r="CD24" s="819"/>
      <c r="CE24" s="819"/>
      <c r="CF24" s="819"/>
      <c r="CG24" s="819"/>
      <c r="CH24" s="819"/>
      <c r="CI24" s="819"/>
      <c r="CJ24" s="819"/>
      <c r="CK24" s="819"/>
      <c r="CL24" s="819"/>
      <c r="CM24" s="819"/>
      <c r="CN24" s="819"/>
      <c r="CO24" s="819"/>
      <c r="CP24" s="819"/>
      <c r="CQ24" s="819"/>
      <c r="CR24" s="819"/>
      <c r="CS24" s="819"/>
      <c r="CT24" s="819"/>
      <c r="CU24" s="819"/>
      <c r="CV24" s="819"/>
      <c r="CW24" s="819"/>
      <c r="CX24" s="819"/>
      <c r="CY24" s="819"/>
      <c r="CZ24" s="819"/>
      <c r="DA24" s="819"/>
      <c r="DB24" s="819"/>
      <c r="DC24" s="819"/>
      <c r="DD24" s="819"/>
    </row>
    <row r="25" spans="1:154" ht="15.75" customHeight="1">
      <c r="A25" s="819" t="s">
        <v>93</v>
      </c>
      <c r="B25" s="1972" t="s">
        <v>1348</v>
      </c>
      <c r="C25" s="1973"/>
      <c r="D25" s="1973"/>
      <c r="E25" s="1973"/>
      <c r="F25" s="1973"/>
      <c r="G25" s="1973"/>
      <c r="H25" s="1973"/>
      <c r="I25" s="1973"/>
      <c r="J25" s="819"/>
      <c r="K25" s="819"/>
      <c r="L25" s="819"/>
      <c r="M25" s="819"/>
      <c r="N25" s="819"/>
      <c r="O25" s="819"/>
      <c r="P25" s="819"/>
      <c r="Q25" s="819"/>
      <c r="R25" s="819"/>
      <c r="S25" s="819"/>
      <c r="T25" s="819"/>
      <c r="U25" s="819"/>
      <c r="V25" s="819"/>
      <c r="W25" s="819"/>
      <c r="X25" s="819"/>
      <c r="Y25" s="819"/>
      <c r="Z25" s="819"/>
      <c r="AA25" s="819"/>
      <c r="AB25" s="819"/>
      <c r="AC25" s="819"/>
      <c r="AD25" s="819"/>
      <c r="AE25" s="819"/>
      <c r="AF25" s="819"/>
      <c r="AG25" s="819"/>
      <c r="AH25" s="819"/>
      <c r="AI25" s="819"/>
      <c r="AJ25" s="819"/>
      <c r="AK25" s="819"/>
      <c r="AL25" s="819"/>
      <c r="AM25" s="819"/>
      <c r="AN25" s="819"/>
      <c r="AO25" s="819"/>
      <c r="AP25" s="819"/>
      <c r="AQ25" s="819"/>
      <c r="AR25" s="819"/>
      <c r="AS25" s="819"/>
      <c r="AT25" s="819"/>
      <c r="AU25" s="819"/>
      <c r="AV25" s="819"/>
      <c r="AW25" s="819"/>
      <c r="AX25" s="819"/>
      <c r="AY25" s="819"/>
      <c r="AZ25" s="819"/>
      <c r="BA25" s="819"/>
      <c r="BB25" s="819"/>
      <c r="BC25" s="819"/>
      <c r="BD25" s="819"/>
      <c r="BE25" s="819"/>
      <c r="BF25" s="819"/>
      <c r="BG25" s="819"/>
      <c r="BH25" s="819"/>
      <c r="BI25" s="819"/>
      <c r="BJ25" s="819"/>
      <c r="BK25" s="819"/>
      <c r="BL25" s="819"/>
      <c r="BM25" s="819"/>
      <c r="BN25" s="819"/>
      <c r="BO25" s="819"/>
      <c r="BP25" s="819"/>
      <c r="BQ25" s="819"/>
      <c r="BR25" s="819"/>
      <c r="BS25" s="819"/>
      <c r="BT25" s="819"/>
      <c r="BU25" s="819"/>
      <c r="BV25" s="819"/>
      <c r="BW25" s="819"/>
      <c r="BX25" s="819"/>
      <c r="BY25" s="819"/>
      <c r="BZ25" s="819"/>
      <c r="CA25" s="819"/>
      <c r="CB25" s="819"/>
      <c r="CC25" s="819"/>
      <c r="CD25" s="819"/>
      <c r="CE25" s="819"/>
      <c r="CF25" s="819"/>
      <c r="CG25" s="819"/>
      <c r="CH25" s="819"/>
      <c r="CI25" s="819"/>
      <c r="CJ25" s="819"/>
      <c r="CK25" s="819"/>
      <c r="CL25" s="819"/>
      <c r="CM25" s="819"/>
      <c r="CN25" s="819"/>
      <c r="CO25" s="819"/>
      <c r="CP25" s="819"/>
      <c r="CQ25" s="819"/>
      <c r="CR25" s="819"/>
      <c r="CS25" s="819"/>
      <c r="CT25" s="819"/>
      <c r="CU25" s="819"/>
      <c r="CV25" s="819"/>
      <c r="CW25" s="819"/>
      <c r="CX25" s="819"/>
      <c r="CY25" s="819"/>
      <c r="CZ25" s="819"/>
      <c r="DA25" s="819"/>
      <c r="DB25" s="819"/>
      <c r="DC25" s="819"/>
      <c r="DD25" s="819"/>
    </row>
    <row r="26" spans="1:154" ht="34.5" customHeight="1">
      <c r="A26" s="819" t="s">
        <v>95</v>
      </c>
      <c r="B26" s="1972" t="s">
        <v>1349</v>
      </c>
      <c r="C26" s="1973"/>
      <c r="D26" s="1973"/>
      <c r="E26" s="1973"/>
      <c r="F26" s="1973"/>
      <c r="G26" s="1973"/>
      <c r="H26" s="1973"/>
      <c r="I26" s="1973"/>
      <c r="J26" s="819"/>
      <c r="K26" s="819"/>
      <c r="L26" s="819"/>
      <c r="M26" s="819"/>
      <c r="N26" s="819"/>
      <c r="O26" s="819"/>
      <c r="P26" s="819"/>
      <c r="Q26" s="819"/>
      <c r="R26" s="819"/>
      <c r="S26" s="819"/>
      <c r="T26" s="819"/>
      <c r="U26" s="819"/>
      <c r="V26" s="819"/>
      <c r="W26" s="819"/>
      <c r="X26" s="819"/>
      <c r="Y26" s="819"/>
      <c r="Z26" s="819"/>
      <c r="AA26" s="819"/>
      <c r="AB26" s="819"/>
      <c r="AC26" s="819"/>
      <c r="AD26" s="819"/>
      <c r="AE26" s="819"/>
      <c r="AF26" s="819"/>
      <c r="AG26" s="819"/>
      <c r="AH26" s="819"/>
      <c r="AI26" s="819"/>
      <c r="AJ26" s="819"/>
      <c r="AK26" s="819"/>
      <c r="AL26" s="819"/>
      <c r="AM26" s="819"/>
      <c r="AN26" s="819"/>
      <c r="AO26" s="819"/>
      <c r="AP26" s="819"/>
      <c r="AQ26" s="819"/>
      <c r="AR26" s="819"/>
      <c r="AS26" s="819"/>
      <c r="AT26" s="819"/>
      <c r="AU26" s="819"/>
      <c r="AV26" s="819"/>
      <c r="AW26" s="819"/>
      <c r="AX26" s="819"/>
      <c r="AY26" s="819"/>
      <c r="AZ26" s="819"/>
      <c r="BA26" s="819"/>
      <c r="BB26" s="819"/>
      <c r="BC26" s="819"/>
      <c r="BD26" s="819"/>
      <c r="BE26" s="819"/>
      <c r="BF26" s="819"/>
      <c r="BG26" s="819"/>
      <c r="BH26" s="819"/>
      <c r="BI26" s="819"/>
      <c r="BJ26" s="819"/>
      <c r="BK26" s="819"/>
      <c r="BL26" s="819"/>
      <c r="BM26" s="819"/>
      <c r="BN26" s="819"/>
      <c r="BO26" s="819"/>
      <c r="BP26" s="819"/>
      <c r="BQ26" s="819"/>
      <c r="BR26" s="819"/>
      <c r="BS26" s="819"/>
      <c r="BT26" s="819"/>
      <c r="BU26" s="819"/>
      <c r="BV26" s="819"/>
      <c r="BW26" s="819"/>
      <c r="BX26" s="819"/>
      <c r="BY26" s="819"/>
      <c r="BZ26" s="819"/>
      <c r="CA26" s="819"/>
      <c r="CB26" s="819"/>
      <c r="CC26" s="819"/>
      <c r="CD26" s="819"/>
      <c r="CE26" s="819"/>
      <c r="CF26" s="819"/>
      <c r="CG26" s="819"/>
      <c r="CH26" s="819"/>
      <c r="CI26" s="819"/>
      <c r="CJ26" s="819"/>
      <c r="CK26" s="819"/>
      <c r="CL26" s="819"/>
      <c r="CM26" s="819"/>
      <c r="CN26" s="819"/>
      <c r="CO26" s="819"/>
      <c r="CP26" s="819"/>
      <c r="CQ26" s="819"/>
      <c r="CR26" s="819"/>
      <c r="CS26" s="819"/>
      <c r="CT26" s="819"/>
      <c r="CU26" s="819"/>
      <c r="CV26" s="819"/>
      <c r="CW26" s="819"/>
      <c r="CX26" s="819"/>
      <c r="CY26" s="819"/>
      <c r="CZ26" s="819"/>
      <c r="DA26" s="819"/>
      <c r="DB26" s="819"/>
      <c r="DC26" s="819"/>
      <c r="DD26" s="819"/>
    </row>
  </sheetData>
  <mergeCells count="11">
    <mergeCell ref="B24:I24"/>
    <mergeCell ref="B25:I25"/>
    <mergeCell ref="B26:I26"/>
    <mergeCell ref="A3:I3"/>
    <mergeCell ref="A6:A8"/>
    <mergeCell ref="B6:B8"/>
    <mergeCell ref="C6:C8"/>
    <mergeCell ref="B23:I23"/>
    <mergeCell ref="D6:I6"/>
    <mergeCell ref="D7:F7"/>
    <mergeCell ref="G7:I7"/>
  </mergeCells>
  <pageMargins left="0.78740157480314965" right="0.51181102362204722" top="0.59055118110236227" bottom="0.39370078740157483" header="0.19685039370078741" footer="0.19685039370078741"/>
  <pageSetup paperSize="9" scale="60" orientation="portrait" r:id="rId1"/>
  <headerFooter alignWithMargins="0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EX26"/>
  <sheetViews>
    <sheetView view="pageBreakPreview" zoomScaleNormal="100" workbookViewId="0">
      <pane ySplit="9" topLeftCell="A11" activePane="bottomLeft" state="frozen"/>
      <selection activeCell="G17" sqref="G17"/>
      <selection pane="bottomLeft" activeCell="H13" sqref="H13"/>
    </sheetView>
  </sheetViews>
  <sheetFormatPr defaultColWidth="2.7109375" defaultRowHeight="15"/>
  <cols>
    <col min="1" max="1" width="5" style="1" customWidth="1"/>
    <col min="2" max="2" width="49" style="1" customWidth="1"/>
    <col min="3" max="7" width="13.7109375" style="1" customWidth="1"/>
    <col min="8" max="8" width="14.5703125" style="1" customWidth="1"/>
    <col min="9" max="9" width="13.7109375" style="1" customWidth="1"/>
    <col min="10" max="61" width="8.28515625" style="1" customWidth="1"/>
    <col min="62" max="16384" width="2.7109375" style="1"/>
  </cols>
  <sheetData>
    <row r="1" spans="1:10" s="5" customFormat="1" ht="18" customHeight="1">
      <c r="A1" s="74" t="s">
        <v>1860</v>
      </c>
      <c r="I1" s="6" t="s">
        <v>1331</v>
      </c>
    </row>
    <row r="2" spans="1:10" ht="12.75" customHeight="1">
      <c r="A2" s="1139" t="s">
        <v>1678</v>
      </c>
      <c r="J2" s="813" t="s">
        <v>1332</v>
      </c>
    </row>
    <row r="3" spans="1:10" ht="57.75" customHeight="1">
      <c r="A3" s="1915" t="s">
        <v>1333</v>
      </c>
      <c r="B3" s="1915"/>
      <c r="C3" s="1915"/>
      <c r="D3" s="1915"/>
      <c r="E3" s="1915"/>
      <c r="F3" s="1915"/>
      <c r="G3" s="1915"/>
      <c r="H3" s="1915"/>
      <c r="I3" s="1915"/>
    </row>
    <row r="4" spans="1:10" ht="12.75" customHeight="1">
      <c r="B4" s="769"/>
      <c r="C4" s="769"/>
      <c r="D4" s="1751"/>
      <c r="E4" s="1751"/>
      <c r="F4" s="1751"/>
      <c r="G4" s="769"/>
      <c r="H4" s="769"/>
      <c r="I4" s="769"/>
    </row>
    <row r="5" spans="1:10" ht="14.25" customHeight="1">
      <c r="A5" s="812" t="s">
        <v>1330</v>
      </c>
      <c r="I5" s="23" t="s">
        <v>360</v>
      </c>
    </row>
    <row r="6" spans="1:10" s="3" customFormat="1" ht="15" customHeight="1">
      <c r="A6" s="1858" t="s">
        <v>0</v>
      </c>
      <c r="B6" s="1858" t="s">
        <v>1334</v>
      </c>
      <c r="C6" s="1858" t="s">
        <v>2</v>
      </c>
      <c r="D6" s="1873" t="s">
        <v>1335</v>
      </c>
      <c r="E6" s="1975"/>
      <c r="F6" s="1975"/>
      <c r="G6" s="1975"/>
      <c r="H6" s="1975"/>
      <c r="I6" s="1975"/>
    </row>
    <row r="7" spans="1:10" s="3" customFormat="1">
      <c r="A7" s="1859"/>
      <c r="B7" s="1859"/>
      <c r="C7" s="1859"/>
      <c r="D7" s="1976" t="s">
        <v>1964</v>
      </c>
      <c r="E7" s="1976"/>
      <c r="F7" s="1977"/>
      <c r="G7" s="1978" t="s">
        <v>1961</v>
      </c>
      <c r="H7" s="1976"/>
      <c r="I7" s="1976"/>
    </row>
    <row r="8" spans="1:10" s="3" customFormat="1" ht="30" customHeight="1">
      <c r="A8" s="1971"/>
      <c r="B8" s="1971"/>
      <c r="C8" s="1971"/>
      <c r="D8" s="1753" t="s">
        <v>1336</v>
      </c>
      <c r="E8" s="1753" t="s">
        <v>1337</v>
      </c>
      <c r="F8" s="1753" t="s">
        <v>1715</v>
      </c>
      <c r="G8" s="1753" t="s">
        <v>1336</v>
      </c>
      <c r="H8" s="1753" t="s">
        <v>1337</v>
      </c>
      <c r="I8" s="1753" t="s">
        <v>1715</v>
      </c>
    </row>
    <row r="9" spans="1:10" s="2" customFormat="1">
      <c r="A9" s="13">
        <v>1</v>
      </c>
      <c r="B9" s="13">
        <v>2</v>
      </c>
      <c r="C9" s="13">
        <v>3</v>
      </c>
      <c r="D9" s="13">
        <v>4</v>
      </c>
      <c r="E9" s="13">
        <v>5</v>
      </c>
      <c r="F9" s="13">
        <v>6</v>
      </c>
      <c r="G9" s="13">
        <v>7</v>
      </c>
      <c r="H9" s="13">
        <v>8</v>
      </c>
      <c r="I9" s="13">
        <v>9</v>
      </c>
    </row>
    <row r="10" spans="1:10" s="41" customFormat="1" ht="30">
      <c r="A10" s="60" t="s">
        <v>89</v>
      </c>
      <c r="B10" s="68" t="s">
        <v>1338</v>
      </c>
      <c r="C10" s="68"/>
      <c r="D10" s="68"/>
      <c r="E10" s="68"/>
      <c r="F10" s="68"/>
      <c r="G10" s="1212" t="s">
        <v>570</v>
      </c>
      <c r="H10" s="1772">
        <v>1.0680000000000001</v>
      </c>
      <c r="I10" s="1772">
        <v>1.0589999999999999</v>
      </c>
    </row>
    <row r="11" spans="1:10" s="41" customFormat="1" ht="15" customHeight="1">
      <c r="A11" s="60" t="s">
        <v>91</v>
      </c>
      <c r="B11" s="68" t="s">
        <v>1339</v>
      </c>
      <c r="C11" s="815" t="s">
        <v>138</v>
      </c>
      <c r="D11" s="815"/>
      <c r="E11" s="815"/>
      <c r="F11" s="815"/>
      <c r="G11" s="814" t="s">
        <v>570</v>
      </c>
      <c r="H11" s="1770">
        <v>0.01</v>
      </c>
      <c r="I11" s="1770">
        <v>0.01</v>
      </c>
    </row>
    <row r="12" spans="1:10" s="41" customFormat="1" ht="15" customHeight="1">
      <c r="A12" s="60" t="s">
        <v>93</v>
      </c>
      <c r="B12" s="70" t="s">
        <v>1340</v>
      </c>
      <c r="C12" s="70"/>
      <c r="D12" s="70"/>
      <c r="E12" s="70"/>
      <c r="F12" s="70"/>
      <c r="G12" s="814" t="s">
        <v>570</v>
      </c>
      <c r="H12" s="816">
        <f>(H13-G13)/G13</f>
        <v>0</v>
      </c>
      <c r="I12" s="816">
        <f>(I13-H13)/H13</f>
        <v>0</v>
      </c>
    </row>
    <row r="13" spans="1:10" s="41" customFormat="1" ht="45">
      <c r="A13" s="60" t="s">
        <v>1246</v>
      </c>
      <c r="B13" s="70" t="s">
        <v>1341</v>
      </c>
      <c r="C13" s="817" t="s">
        <v>1342</v>
      </c>
      <c r="D13" s="817"/>
      <c r="E13" s="817"/>
      <c r="F13" s="817"/>
      <c r="G13" s="1214">
        <v>17270.93</v>
      </c>
      <c r="H13" s="1214">
        <v>17270.93</v>
      </c>
      <c r="I13" s="1214">
        <v>17270.93</v>
      </c>
      <c r="J13" s="820" t="s">
        <v>1350</v>
      </c>
    </row>
    <row r="14" spans="1:10" s="41" customFormat="1" ht="30.75" customHeight="1">
      <c r="A14" s="60" t="s">
        <v>1248</v>
      </c>
      <c r="B14" s="68" t="s">
        <v>1343</v>
      </c>
      <c r="C14" s="771" t="s">
        <v>53</v>
      </c>
      <c r="D14" s="1752"/>
      <c r="E14" s="1752"/>
      <c r="F14" s="1752"/>
      <c r="G14" s="821"/>
      <c r="H14" s="805"/>
      <c r="I14" s="805"/>
    </row>
    <row r="15" spans="1:10" s="41" customFormat="1" ht="30">
      <c r="A15" s="60" t="s">
        <v>95</v>
      </c>
      <c r="B15" s="70" t="s">
        <v>1344</v>
      </c>
      <c r="C15" s="70"/>
      <c r="D15" s="70"/>
      <c r="E15" s="70"/>
      <c r="F15" s="70"/>
      <c r="G15" s="814" t="s">
        <v>570</v>
      </c>
      <c r="H15" s="251">
        <v>0.75</v>
      </c>
      <c r="I15" s="251">
        <v>0.75</v>
      </c>
    </row>
    <row r="16" spans="1:10" s="41" customFormat="1" ht="15" customHeight="1">
      <c r="A16" s="60" t="s">
        <v>97</v>
      </c>
      <c r="B16" s="70" t="s">
        <v>1345</v>
      </c>
      <c r="C16" s="817" t="s">
        <v>240</v>
      </c>
      <c r="D16" s="817"/>
      <c r="E16" s="817"/>
      <c r="F16" s="817"/>
      <c r="G16" s="818">
        <v>906659.31359999999</v>
      </c>
      <c r="H16" s="337">
        <v>927821.17887743993</v>
      </c>
      <c r="I16" s="337">
        <v>976959.25171105424</v>
      </c>
    </row>
    <row r="17" spans="1:154">
      <c r="G17" s="23"/>
      <c r="H17" s="1213">
        <f>H16/G16</f>
        <v>1.0233404818767198</v>
      </c>
      <c r="I17" s="1213">
        <f>I16/H16</f>
        <v>1.0529607147931952</v>
      </c>
    </row>
    <row r="18" spans="1:154">
      <c r="G18" s="23"/>
      <c r="H18" s="1213"/>
      <c r="I18" s="1213"/>
    </row>
    <row r="19" spans="1:154">
      <c r="G19" s="23"/>
      <c r="H19" s="1778">
        <v>784757.32431743992</v>
      </c>
      <c r="I19" s="1778">
        <v>826969.67595180462</v>
      </c>
    </row>
    <row r="20" spans="1:154">
      <c r="G20" s="23"/>
      <c r="H20" s="1213"/>
      <c r="I20" s="1213"/>
    </row>
    <row r="21" spans="1:154">
      <c r="G21" s="23"/>
      <c r="H21" s="389">
        <f>(1-H11)*H10*(1+H12*H15)</f>
        <v>1.05732</v>
      </c>
      <c r="I21" s="389">
        <f>(1-I11)*I10*(1+I12*I15)</f>
        <v>1.0484099999999998</v>
      </c>
    </row>
    <row r="22" spans="1:154" s="26" customFormat="1">
      <c r="A22" s="26" t="s">
        <v>88</v>
      </c>
    </row>
    <row r="23" spans="1:154" s="773" customFormat="1" ht="30" customHeight="1">
      <c r="A23" s="819" t="s">
        <v>89</v>
      </c>
      <c r="B23" s="1972" t="s">
        <v>1346</v>
      </c>
      <c r="C23" s="1974"/>
      <c r="D23" s="1974"/>
      <c r="E23" s="1974"/>
      <c r="F23" s="1974"/>
      <c r="G23" s="1974"/>
      <c r="H23" s="1974"/>
      <c r="I23" s="1974"/>
      <c r="J23" s="819"/>
      <c r="K23" s="819"/>
      <c r="L23" s="819"/>
      <c r="M23" s="819"/>
      <c r="N23" s="819"/>
      <c r="O23" s="819"/>
      <c r="P23" s="819"/>
      <c r="Q23" s="819"/>
      <c r="R23" s="819"/>
      <c r="S23" s="819"/>
      <c r="T23" s="819"/>
      <c r="U23" s="819"/>
      <c r="V23" s="819"/>
      <c r="W23" s="819"/>
      <c r="X23" s="819"/>
      <c r="Y23" s="819"/>
      <c r="Z23" s="819"/>
      <c r="AA23" s="819"/>
      <c r="AB23" s="819"/>
      <c r="AC23" s="819"/>
      <c r="AD23" s="819"/>
      <c r="AE23" s="819"/>
      <c r="AF23" s="819"/>
      <c r="AG23" s="819"/>
      <c r="AH23" s="819"/>
      <c r="AI23" s="819"/>
      <c r="AJ23" s="819"/>
      <c r="AK23" s="819"/>
      <c r="AL23" s="819"/>
      <c r="AM23" s="819"/>
      <c r="AN23" s="819"/>
      <c r="AO23" s="819"/>
      <c r="AP23" s="819"/>
      <c r="AQ23" s="819"/>
      <c r="AR23" s="819"/>
      <c r="AS23" s="819"/>
      <c r="AT23" s="819"/>
      <c r="AU23" s="819"/>
      <c r="AV23" s="819"/>
      <c r="AW23" s="819"/>
      <c r="AX23" s="819"/>
      <c r="AY23" s="819"/>
      <c r="AZ23" s="819"/>
      <c r="BA23" s="819"/>
      <c r="BB23" s="819"/>
      <c r="BC23" s="819"/>
      <c r="BD23" s="819"/>
      <c r="BE23" s="819"/>
      <c r="BF23" s="819"/>
      <c r="BG23" s="819"/>
      <c r="BH23" s="819"/>
      <c r="BI23" s="819"/>
      <c r="BJ23" s="819"/>
      <c r="BK23" s="819"/>
      <c r="BL23" s="819"/>
      <c r="BM23" s="819"/>
      <c r="BN23" s="819"/>
      <c r="BO23" s="819"/>
      <c r="BP23" s="819"/>
      <c r="BQ23" s="819"/>
      <c r="BR23" s="819"/>
      <c r="BS23" s="819"/>
      <c r="BT23" s="819"/>
      <c r="BU23" s="819"/>
      <c r="BV23" s="819"/>
      <c r="BW23" s="819"/>
      <c r="BX23" s="819"/>
      <c r="BY23" s="819"/>
      <c r="BZ23" s="819"/>
      <c r="CA23" s="819"/>
      <c r="CB23" s="819"/>
      <c r="CC23" s="819"/>
      <c r="CD23" s="819"/>
      <c r="CE23" s="819"/>
      <c r="CF23" s="819"/>
      <c r="CG23" s="819"/>
      <c r="CH23" s="819"/>
      <c r="CI23" s="819"/>
      <c r="CJ23" s="819"/>
      <c r="CK23" s="819"/>
      <c r="CL23" s="819"/>
      <c r="CM23" s="819"/>
      <c r="CN23" s="819"/>
      <c r="CO23" s="819"/>
      <c r="CP23" s="819"/>
      <c r="CQ23" s="819"/>
      <c r="CR23" s="819"/>
      <c r="CS23" s="819"/>
      <c r="CT23" s="819"/>
      <c r="CU23" s="819"/>
      <c r="CV23" s="819"/>
      <c r="CW23" s="819"/>
      <c r="CX23" s="819"/>
      <c r="CY23" s="819"/>
      <c r="CZ23" s="819"/>
      <c r="DA23" s="819"/>
      <c r="DB23" s="819"/>
      <c r="DC23" s="819"/>
      <c r="DD23" s="819"/>
      <c r="DE23" s="819"/>
      <c r="DF23" s="819"/>
      <c r="DG23" s="819"/>
      <c r="DH23" s="819"/>
      <c r="DI23" s="819"/>
      <c r="DJ23" s="819"/>
      <c r="DK23" s="819"/>
      <c r="DL23" s="819"/>
      <c r="DM23" s="819"/>
      <c r="DN23" s="819"/>
      <c r="DO23" s="819"/>
      <c r="DP23" s="819"/>
      <c r="DQ23" s="819"/>
      <c r="DR23" s="819"/>
      <c r="DS23" s="819"/>
      <c r="DT23" s="819"/>
      <c r="DU23" s="819"/>
      <c r="DV23" s="819"/>
      <c r="DW23" s="819"/>
      <c r="DX23" s="819"/>
      <c r="DY23" s="819"/>
      <c r="DZ23" s="819"/>
      <c r="EA23" s="819"/>
      <c r="EB23" s="819"/>
      <c r="EC23" s="819"/>
      <c r="ED23" s="819"/>
      <c r="EE23" s="819"/>
      <c r="EF23" s="819"/>
      <c r="EG23" s="819"/>
      <c r="EH23" s="819"/>
      <c r="EI23" s="819"/>
      <c r="EJ23" s="819"/>
      <c r="EK23" s="819"/>
      <c r="EL23" s="819"/>
      <c r="EM23" s="819"/>
      <c r="EN23" s="819"/>
      <c r="EO23" s="819"/>
      <c r="EP23" s="819"/>
      <c r="EQ23" s="819"/>
      <c r="ER23" s="819"/>
      <c r="ES23" s="819"/>
      <c r="ET23" s="819"/>
      <c r="EU23" s="819"/>
      <c r="EV23" s="819"/>
      <c r="EW23" s="819"/>
      <c r="EX23" s="819"/>
    </row>
    <row r="24" spans="1:154" s="773" customFormat="1" ht="80.25" customHeight="1">
      <c r="A24" s="819" t="s">
        <v>91</v>
      </c>
      <c r="B24" s="1972" t="s">
        <v>1347</v>
      </c>
      <c r="C24" s="1973"/>
      <c r="D24" s="1973"/>
      <c r="E24" s="1973"/>
      <c r="F24" s="1973"/>
      <c r="G24" s="1973"/>
      <c r="H24" s="1973"/>
      <c r="I24" s="1973"/>
      <c r="J24" s="819"/>
      <c r="K24" s="819"/>
      <c r="L24" s="819"/>
      <c r="M24" s="819"/>
      <c r="N24" s="819"/>
      <c r="O24" s="819"/>
      <c r="P24" s="819"/>
      <c r="Q24" s="819"/>
      <c r="R24" s="819"/>
      <c r="S24" s="819"/>
      <c r="T24" s="819"/>
      <c r="U24" s="819"/>
      <c r="V24" s="819"/>
      <c r="W24" s="819"/>
      <c r="X24" s="819"/>
      <c r="Y24" s="819"/>
      <c r="Z24" s="819"/>
      <c r="AA24" s="819"/>
      <c r="AB24" s="819"/>
      <c r="AC24" s="819"/>
      <c r="AD24" s="819"/>
      <c r="AE24" s="819"/>
      <c r="AF24" s="819"/>
      <c r="AG24" s="819"/>
      <c r="AH24" s="819"/>
      <c r="AI24" s="819"/>
      <c r="AJ24" s="819"/>
      <c r="AK24" s="819"/>
      <c r="AL24" s="819"/>
      <c r="AM24" s="819"/>
      <c r="AN24" s="819"/>
      <c r="AO24" s="819"/>
      <c r="AP24" s="819"/>
      <c r="AQ24" s="819"/>
      <c r="AR24" s="819"/>
      <c r="AS24" s="819"/>
      <c r="AT24" s="819"/>
      <c r="AU24" s="819"/>
      <c r="AV24" s="819"/>
      <c r="AW24" s="819"/>
      <c r="AX24" s="819"/>
      <c r="AY24" s="819"/>
      <c r="AZ24" s="819"/>
      <c r="BA24" s="819"/>
      <c r="BB24" s="819"/>
      <c r="BC24" s="819"/>
      <c r="BD24" s="819"/>
      <c r="BE24" s="819"/>
      <c r="BF24" s="819"/>
      <c r="BG24" s="819"/>
      <c r="BH24" s="819"/>
      <c r="BI24" s="819"/>
      <c r="BJ24" s="819"/>
      <c r="BK24" s="819"/>
      <c r="BL24" s="819"/>
      <c r="BM24" s="819"/>
      <c r="BN24" s="819"/>
      <c r="BO24" s="819"/>
      <c r="BP24" s="819"/>
      <c r="BQ24" s="819"/>
      <c r="BR24" s="819"/>
      <c r="BS24" s="819"/>
      <c r="BT24" s="819"/>
      <c r="BU24" s="819"/>
      <c r="BV24" s="819"/>
      <c r="BW24" s="819"/>
      <c r="BX24" s="819"/>
      <c r="BY24" s="819"/>
      <c r="BZ24" s="819"/>
      <c r="CA24" s="819"/>
      <c r="CB24" s="819"/>
      <c r="CC24" s="819"/>
      <c r="CD24" s="819"/>
      <c r="CE24" s="819"/>
      <c r="CF24" s="819"/>
      <c r="CG24" s="819"/>
      <c r="CH24" s="819"/>
      <c r="CI24" s="819"/>
      <c r="CJ24" s="819"/>
      <c r="CK24" s="819"/>
      <c r="CL24" s="819"/>
      <c r="CM24" s="819"/>
      <c r="CN24" s="819"/>
      <c r="CO24" s="819"/>
      <c r="CP24" s="819"/>
      <c r="CQ24" s="819"/>
      <c r="CR24" s="819"/>
      <c r="CS24" s="819"/>
      <c r="CT24" s="819"/>
      <c r="CU24" s="819"/>
      <c r="CV24" s="819"/>
      <c r="CW24" s="819"/>
      <c r="CX24" s="819"/>
      <c r="CY24" s="819"/>
      <c r="CZ24" s="819"/>
      <c r="DA24" s="819"/>
      <c r="DB24" s="819"/>
      <c r="DC24" s="819"/>
      <c r="DD24" s="819"/>
    </row>
    <row r="25" spans="1:154" ht="15.75" customHeight="1">
      <c r="A25" s="819" t="s">
        <v>93</v>
      </c>
      <c r="B25" s="1972" t="s">
        <v>1348</v>
      </c>
      <c r="C25" s="1973"/>
      <c r="D25" s="1973"/>
      <c r="E25" s="1973"/>
      <c r="F25" s="1973"/>
      <c r="G25" s="1973"/>
      <c r="H25" s="1973"/>
      <c r="I25" s="1973"/>
      <c r="J25" s="819"/>
      <c r="K25" s="819"/>
      <c r="L25" s="819"/>
      <c r="M25" s="819"/>
      <c r="N25" s="819"/>
      <c r="O25" s="819"/>
      <c r="P25" s="819"/>
      <c r="Q25" s="819"/>
      <c r="R25" s="819"/>
      <c r="S25" s="819"/>
      <c r="T25" s="819"/>
      <c r="U25" s="819"/>
      <c r="V25" s="819"/>
      <c r="W25" s="819"/>
      <c r="X25" s="819"/>
      <c r="Y25" s="819"/>
      <c r="Z25" s="819"/>
      <c r="AA25" s="819"/>
      <c r="AB25" s="819"/>
      <c r="AC25" s="819"/>
      <c r="AD25" s="819"/>
      <c r="AE25" s="819"/>
      <c r="AF25" s="819"/>
      <c r="AG25" s="819"/>
      <c r="AH25" s="819"/>
      <c r="AI25" s="819"/>
      <c r="AJ25" s="819"/>
      <c r="AK25" s="819"/>
      <c r="AL25" s="819"/>
      <c r="AM25" s="819"/>
      <c r="AN25" s="819"/>
      <c r="AO25" s="819"/>
      <c r="AP25" s="819"/>
      <c r="AQ25" s="819"/>
      <c r="AR25" s="819"/>
      <c r="AS25" s="819"/>
      <c r="AT25" s="819"/>
      <c r="AU25" s="819"/>
      <c r="AV25" s="819"/>
      <c r="AW25" s="819"/>
      <c r="AX25" s="819"/>
      <c r="AY25" s="819"/>
      <c r="AZ25" s="819"/>
      <c r="BA25" s="819"/>
      <c r="BB25" s="819"/>
      <c r="BC25" s="819"/>
      <c r="BD25" s="819"/>
      <c r="BE25" s="819"/>
      <c r="BF25" s="819"/>
      <c r="BG25" s="819"/>
      <c r="BH25" s="819"/>
      <c r="BI25" s="819"/>
      <c r="BJ25" s="819"/>
      <c r="BK25" s="819"/>
      <c r="BL25" s="819"/>
      <c r="BM25" s="819"/>
      <c r="BN25" s="819"/>
      <c r="BO25" s="819"/>
      <c r="BP25" s="819"/>
      <c r="BQ25" s="819"/>
      <c r="BR25" s="819"/>
      <c r="BS25" s="819"/>
      <c r="BT25" s="819"/>
      <c r="BU25" s="819"/>
      <c r="BV25" s="819"/>
      <c r="BW25" s="819"/>
      <c r="BX25" s="819"/>
      <c r="BY25" s="819"/>
      <c r="BZ25" s="819"/>
      <c r="CA25" s="819"/>
      <c r="CB25" s="819"/>
      <c r="CC25" s="819"/>
      <c r="CD25" s="819"/>
      <c r="CE25" s="819"/>
      <c r="CF25" s="819"/>
      <c r="CG25" s="819"/>
      <c r="CH25" s="819"/>
      <c r="CI25" s="819"/>
      <c r="CJ25" s="819"/>
      <c r="CK25" s="819"/>
      <c r="CL25" s="819"/>
      <c r="CM25" s="819"/>
      <c r="CN25" s="819"/>
      <c r="CO25" s="819"/>
      <c r="CP25" s="819"/>
      <c r="CQ25" s="819"/>
      <c r="CR25" s="819"/>
      <c r="CS25" s="819"/>
      <c r="CT25" s="819"/>
      <c r="CU25" s="819"/>
      <c r="CV25" s="819"/>
      <c r="CW25" s="819"/>
      <c r="CX25" s="819"/>
      <c r="CY25" s="819"/>
      <c r="CZ25" s="819"/>
      <c r="DA25" s="819"/>
      <c r="DB25" s="819"/>
      <c r="DC25" s="819"/>
      <c r="DD25" s="819"/>
    </row>
    <row r="26" spans="1:154" ht="34.5" customHeight="1">
      <c r="A26" s="819" t="s">
        <v>95</v>
      </c>
      <c r="B26" s="1972" t="s">
        <v>1349</v>
      </c>
      <c r="C26" s="1973"/>
      <c r="D26" s="1973"/>
      <c r="E26" s="1973"/>
      <c r="F26" s="1973"/>
      <c r="G26" s="1973"/>
      <c r="H26" s="1973"/>
      <c r="I26" s="1973"/>
      <c r="J26" s="819"/>
      <c r="K26" s="819"/>
      <c r="L26" s="819"/>
      <c r="M26" s="819"/>
      <c r="N26" s="819"/>
      <c r="O26" s="819"/>
      <c r="P26" s="819"/>
      <c r="Q26" s="819"/>
      <c r="R26" s="819"/>
      <c r="S26" s="819"/>
      <c r="T26" s="819"/>
      <c r="U26" s="819"/>
      <c r="V26" s="819"/>
      <c r="W26" s="819"/>
      <c r="X26" s="819"/>
      <c r="Y26" s="819"/>
      <c r="Z26" s="819"/>
      <c r="AA26" s="819"/>
      <c r="AB26" s="819"/>
      <c r="AC26" s="819"/>
      <c r="AD26" s="819"/>
      <c r="AE26" s="819"/>
      <c r="AF26" s="819"/>
      <c r="AG26" s="819"/>
      <c r="AH26" s="819"/>
      <c r="AI26" s="819"/>
      <c r="AJ26" s="819"/>
      <c r="AK26" s="819"/>
      <c r="AL26" s="819"/>
      <c r="AM26" s="819"/>
      <c r="AN26" s="819"/>
      <c r="AO26" s="819"/>
      <c r="AP26" s="819"/>
      <c r="AQ26" s="819"/>
      <c r="AR26" s="819"/>
      <c r="AS26" s="819"/>
      <c r="AT26" s="819"/>
      <c r="AU26" s="819"/>
      <c r="AV26" s="819"/>
      <c r="AW26" s="819"/>
      <c r="AX26" s="819"/>
      <c r="AY26" s="819"/>
      <c r="AZ26" s="819"/>
      <c r="BA26" s="819"/>
      <c r="BB26" s="819"/>
      <c r="BC26" s="819"/>
      <c r="BD26" s="819"/>
      <c r="BE26" s="819"/>
      <c r="BF26" s="819"/>
      <c r="BG26" s="819"/>
      <c r="BH26" s="819"/>
      <c r="BI26" s="819"/>
      <c r="BJ26" s="819"/>
      <c r="BK26" s="819"/>
      <c r="BL26" s="819"/>
      <c r="BM26" s="819"/>
      <c r="BN26" s="819"/>
      <c r="BO26" s="819"/>
      <c r="BP26" s="819"/>
      <c r="BQ26" s="819"/>
      <c r="BR26" s="819"/>
      <c r="BS26" s="819"/>
      <c r="BT26" s="819"/>
      <c r="BU26" s="819"/>
      <c r="BV26" s="819"/>
      <c r="BW26" s="819"/>
      <c r="BX26" s="819"/>
      <c r="BY26" s="819"/>
      <c r="BZ26" s="819"/>
      <c r="CA26" s="819"/>
      <c r="CB26" s="819"/>
      <c r="CC26" s="819"/>
      <c r="CD26" s="819"/>
      <c r="CE26" s="819"/>
      <c r="CF26" s="819"/>
      <c r="CG26" s="819"/>
      <c r="CH26" s="819"/>
      <c r="CI26" s="819"/>
      <c r="CJ26" s="819"/>
      <c r="CK26" s="819"/>
      <c r="CL26" s="819"/>
      <c r="CM26" s="819"/>
      <c r="CN26" s="819"/>
      <c r="CO26" s="819"/>
      <c r="CP26" s="819"/>
      <c r="CQ26" s="819"/>
      <c r="CR26" s="819"/>
      <c r="CS26" s="819"/>
      <c r="CT26" s="819"/>
      <c r="CU26" s="819"/>
      <c r="CV26" s="819"/>
      <c r="CW26" s="819"/>
      <c r="CX26" s="819"/>
      <c r="CY26" s="819"/>
      <c r="CZ26" s="819"/>
      <c r="DA26" s="819"/>
      <c r="DB26" s="819"/>
      <c r="DC26" s="819"/>
      <c r="DD26" s="819"/>
    </row>
  </sheetData>
  <mergeCells count="11">
    <mergeCell ref="B24:I24"/>
    <mergeCell ref="B25:I25"/>
    <mergeCell ref="B26:I26"/>
    <mergeCell ref="A3:I3"/>
    <mergeCell ref="A6:A8"/>
    <mergeCell ref="B6:B8"/>
    <mergeCell ref="C6:C8"/>
    <mergeCell ref="B23:I23"/>
    <mergeCell ref="D6:I6"/>
    <mergeCell ref="D7:F7"/>
    <mergeCell ref="G7:I7"/>
  </mergeCells>
  <pageMargins left="0.78740157480314965" right="0.51181102362204722" top="0.59055118110236227" bottom="0.39370078740157483" header="0.19685039370078741" footer="0.19685039370078741"/>
  <pageSetup paperSize="9" scale="60" orientation="portrait" r:id="rId1"/>
  <headerFooter alignWithMargins="0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EX26"/>
  <sheetViews>
    <sheetView view="pageBreakPreview" zoomScaleNormal="100" workbookViewId="0">
      <pane ySplit="9" topLeftCell="A10" activePane="bottomLeft" state="frozen"/>
      <selection activeCell="G17" sqref="G17"/>
      <selection pane="bottomLeft" activeCell="L11" sqref="L11"/>
    </sheetView>
  </sheetViews>
  <sheetFormatPr defaultColWidth="2.7109375" defaultRowHeight="15"/>
  <cols>
    <col min="1" max="1" width="5" style="1" customWidth="1"/>
    <col min="2" max="2" width="49" style="1" customWidth="1"/>
    <col min="3" max="7" width="13.7109375" style="1" customWidth="1"/>
    <col min="8" max="8" width="14.5703125" style="1" customWidth="1"/>
    <col min="9" max="9" width="13.7109375" style="1" customWidth="1"/>
    <col min="10" max="61" width="8.28515625" style="1" customWidth="1"/>
    <col min="62" max="16384" width="2.7109375" style="1"/>
  </cols>
  <sheetData>
    <row r="1" spans="1:12" s="5" customFormat="1" ht="18" customHeight="1">
      <c r="A1" s="74" t="s">
        <v>1860</v>
      </c>
      <c r="I1" s="6" t="s">
        <v>1331</v>
      </c>
    </row>
    <row r="2" spans="1:12" ht="12.75" customHeight="1">
      <c r="A2" s="1139" t="s">
        <v>1679</v>
      </c>
      <c r="J2" s="813" t="s">
        <v>1332</v>
      </c>
    </row>
    <row r="3" spans="1:12" ht="57.75" customHeight="1">
      <c r="A3" s="1915" t="s">
        <v>1333</v>
      </c>
      <c r="B3" s="1915"/>
      <c r="C3" s="1915"/>
      <c r="D3" s="1915"/>
      <c r="E3" s="1915"/>
      <c r="F3" s="1915"/>
      <c r="G3" s="1915"/>
      <c r="H3" s="1915"/>
      <c r="I3" s="1915"/>
    </row>
    <row r="4" spans="1:12" ht="12.75" customHeight="1">
      <c r="B4" s="1137"/>
      <c r="C4" s="1137"/>
      <c r="D4" s="1751"/>
      <c r="E4" s="1751"/>
      <c r="F4" s="1751"/>
      <c r="G4" s="1137"/>
      <c r="H4" s="1137"/>
      <c r="I4" s="1137"/>
    </row>
    <row r="5" spans="1:12" ht="14.25" customHeight="1">
      <c r="A5" s="812" t="s">
        <v>1329</v>
      </c>
      <c r="I5" s="23" t="s">
        <v>360</v>
      </c>
    </row>
    <row r="6" spans="1:12" s="3" customFormat="1" ht="15" customHeight="1">
      <c r="A6" s="1858" t="s">
        <v>0</v>
      </c>
      <c r="B6" s="1858" t="s">
        <v>1334</v>
      </c>
      <c r="C6" s="1858" t="s">
        <v>2</v>
      </c>
      <c r="D6" s="1873" t="s">
        <v>1335</v>
      </c>
      <c r="E6" s="1975"/>
      <c r="F6" s="1975"/>
      <c r="G6" s="1975"/>
      <c r="H6" s="1975"/>
      <c r="I6" s="1975"/>
    </row>
    <row r="7" spans="1:12" s="3" customFormat="1" ht="15" customHeight="1">
      <c r="A7" s="1859"/>
      <c r="B7" s="1859"/>
      <c r="C7" s="1859"/>
      <c r="D7" s="1976" t="s">
        <v>1964</v>
      </c>
      <c r="E7" s="1976"/>
      <c r="F7" s="1977"/>
      <c r="G7" s="1978" t="s">
        <v>1961</v>
      </c>
      <c r="H7" s="1976"/>
      <c r="I7" s="1976"/>
    </row>
    <row r="8" spans="1:12" s="3" customFormat="1" ht="30" customHeight="1">
      <c r="A8" s="1971"/>
      <c r="B8" s="1971"/>
      <c r="C8" s="1971"/>
      <c r="D8" s="1753" t="s">
        <v>1336</v>
      </c>
      <c r="E8" s="1753" t="s">
        <v>1337</v>
      </c>
      <c r="F8" s="1753" t="s">
        <v>1715</v>
      </c>
      <c r="G8" s="1753" t="s">
        <v>1336</v>
      </c>
      <c r="H8" s="1753" t="s">
        <v>1337</v>
      </c>
      <c r="I8" s="1753" t="s">
        <v>1715</v>
      </c>
    </row>
    <row r="9" spans="1:12" s="2" customFormat="1">
      <c r="A9" s="13">
        <v>1</v>
      </c>
      <c r="B9" s="13">
        <v>2</v>
      </c>
      <c r="C9" s="13">
        <v>3</v>
      </c>
      <c r="D9" s="13">
        <v>4</v>
      </c>
      <c r="E9" s="13">
        <v>5</v>
      </c>
      <c r="F9" s="13">
        <v>6</v>
      </c>
      <c r="G9" s="13">
        <v>7</v>
      </c>
      <c r="H9" s="13">
        <v>8</v>
      </c>
      <c r="I9" s="13">
        <v>9</v>
      </c>
    </row>
    <row r="10" spans="1:12" s="41" customFormat="1" ht="30">
      <c r="A10" s="60" t="s">
        <v>89</v>
      </c>
      <c r="B10" s="68" t="s">
        <v>1338</v>
      </c>
      <c r="C10" s="68"/>
      <c r="D10" s="68"/>
      <c r="E10" s="68"/>
      <c r="F10" s="68"/>
      <c r="G10" s="1212" t="s">
        <v>570</v>
      </c>
      <c r="H10" s="1772">
        <v>1.0680000000000001</v>
      </c>
      <c r="I10" s="1772">
        <v>1.0589999999999999</v>
      </c>
    </row>
    <row r="11" spans="1:12" s="41" customFormat="1" ht="15" customHeight="1">
      <c r="A11" s="60" t="s">
        <v>91</v>
      </c>
      <c r="B11" s="68" t="s">
        <v>1339</v>
      </c>
      <c r="C11" s="815" t="s">
        <v>138</v>
      </c>
      <c r="D11" s="815"/>
      <c r="E11" s="815"/>
      <c r="F11" s="815"/>
      <c r="G11" s="814" t="s">
        <v>570</v>
      </c>
      <c r="H11" s="1770">
        <v>0.01</v>
      </c>
      <c r="I11" s="1770">
        <v>0.01</v>
      </c>
    </row>
    <row r="12" spans="1:12" s="41" customFormat="1" ht="15" customHeight="1">
      <c r="A12" s="60" t="s">
        <v>93</v>
      </c>
      <c r="B12" s="70" t="s">
        <v>1340</v>
      </c>
      <c r="C12" s="70"/>
      <c r="D12" s="70"/>
      <c r="E12" s="70"/>
      <c r="F12" s="70"/>
      <c r="G12" s="814" t="s">
        <v>570</v>
      </c>
      <c r="H12" s="816">
        <f>(H14-G14)/G14</f>
        <v>0</v>
      </c>
      <c r="I12" s="816">
        <f>(I14-H14)/H14</f>
        <v>0</v>
      </c>
    </row>
    <row r="13" spans="1:12" s="41" customFormat="1" ht="45">
      <c r="A13" s="60" t="s">
        <v>1246</v>
      </c>
      <c r="B13" s="70" t="s">
        <v>1341</v>
      </c>
      <c r="C13" s="817" t="s">
        <v>1342</v>
      </c>
      <c r="D13" s="817"/>
      <c r="E13" s="817"/>
      <c r="F13" s="817"/>
      <c r="G13" s="1212" t="s">
        <v>570</v>
      </c>
      <c r="H13" s="805"/>
      <c r="I13" s="805"/>
    </row>
    <row r="14" spans="1:12" s="41" customFormat="1" ht="30.75" customHeight="1">
      <c r="A14" s="60" t="s">
        <v>1248</v>
      </c>
      <c r="B14" s="68" t="s">
        <v>1343</v>
      </c>
      <c r="C14" s="1138" t="s">
        <v>53</v>
      </c>
      <c r="D14" s="1752"/>
      <c r="E14" s="1752"/>
      <c r="F14" s="1752"/>
      <c r="G14" s="1211">
        <v>311.98</v>
      </c>
      <c r="H14" s="308">
        <v>311.98</v>
      </c>
      <c r="I14" s="308">
        <v>311.98</v>
      </c>
    </row>
    <row r="15" spans="1:12" s="41" customFormat="1" ht="30">
      <c r="A15" s="60" t="s">
        <v>95</v>
      </c>
      <c r="B15" s="70" t="s">
        <v>1344</v>
      </c>
      <c r="C15" s="70"/>
      <c r="D15" s="70"/>
      <c r="E15" s="70"/>
      <c r="F15" s="70"/>
      <c r="G15" s="814" t="s">
        <v>570</v>
      </c>
      <c r="H15" s="251">
        <v>0.75</v>
      </c>
      <c r="I15" s="251">
        <v>0.75</v>
      </c>
    </row>
    <row r="16" spans="1:12" s="41" customFormat="1" ht="15" customHeight="1">
      <c r="A16" s="60" t="s">
        <v>97</v>
      </c>
      <c r="B16" s="70" t="s">
        <v>1345</v>
      </c>
      <c r="C16" s="817" t="s">
        <v>240</v>
      </c>
      <c r="D16" s="817"/>
      <c r="E16" s="817"/>
      <c r="F16" s="817"/>
      <c r="G16" s="818">
        <v>727520.99343999987</v>
      </c>
      <c r="H16" s="337">
        <v>820039.51204000006</v>
      </c>
      <c r="I16" s="337">
        <v>855781.65818376071</v>
      </c>
      <c r="K16" s="41">
        <v>820040</v>
      </c>
      <c r="L16" s="1209">
        <f>K16-H16</f>
        <v>0.4879599999403581</v>
      </c>
    </row>
    <row r="17" spans="1:154">
      <c r="G17" s="23"/>
      <c r="H17" s="1213">
        <f>H16/G16</f>
        <v>1.1271695517163525</v>
      </c>
      <c r="I17" s="1213">
        <f>I16/H16</f>
        <v>1.0435858828983076</v>
      </c>
    </row>
    <row r="18" spans="1:154">
      <c r="G18" s="23"/>
      <c r="H18" s="1213"/>
      <c r="I18" s="1213"/>
    </row>
    <row r="19" spans="1:154">
      <c r="G19" s="23"/>
      <c r="H19" s="1778">
        <v>757749.61888000008</v>
      </c>
      <c r="I19" s="1778">
        <v>790476.31129588513</v>
      </c>
    </row>
    <row r="20" spans="1:154">
      <c r="G20" s="23"/>
      <c r="H20" s="1213"/>
      <c r="I20" s="1213"/>
    </row>
    <row r="21" spans="1:154">
      <c r="G21" s="23"/>
      <c r="H21" s="389">
        <f>(1-H11)*H10*(1+H12*H15)</f>
        <v>1.05732</v>
      </c>
      <c r="I21" s="389">
        <f>(1-I11)*I10*(1+I12*I15)</f>
        <v>1.0484099999999998</v>
      </c>
    </row>
    <row r="22" spans="1:154" s="26" customFormat="1">
      <c r="A22" s="26" t="s">
        <v>88</v>
      </c>
    </row>
    <row r="23" spans="1:154" s="1140" customFormat="1" ht="30" customHeight="1">
      <c r="A23" s="1142" t="s">
        <v>89</v>
      </c>
      <c r="B23" s="1972" t="s">
        <v>1346</v>
      </c>
      <c r="C23" s="1974"/>
      <c r="D23" s="1974"/>
      <c r="E23" s="1974"/>
      <c r="F23" s="1974"/>
      <c r="G23" s="1974"/>
      <c r="H23" s="1974"/>
      <c r="I23" s="1974"/>
      <c r="J23" s="1142"/>
      <c r="K23" s="1142"/>
      <c r="L23" s="1142"/>
      <c r="M23" s="1142"/>
      <c r="N23" s="1142"/>
      <c r="O23" s="1142"/>
      <c r="P23" s="1142"/>
      <c r="Q23" s="1142"/>
      <c r="R23" s="1142"/>
      <c r="S23" s="1142"/>
      <c r="T23" s="1142"/>
      <c r="U23" s="1142"/>
      <c r="V23" s="1142"/>
      <c r="W23" s="1142"/>
      <c r="X23" s="1142"/>
      <c r="Y23" s="1142"/>
      <c r="Z23" s="1142"/>
      <c r="AA23" s="1142"/>
      <c r="AB23" s="1142"/>
      <c r="AC23" s="1142"/>
      <c r="AD23" s="1142"/>
      <c r="AE23" s="1142"/>
      <c r="AF23" s="1142"/>
      <c r="AG23" s="1142"/>
      <c r="AH23" s="1142"/>
      <c r="AI23" s="1142"/>
      <c r="AJ23" s="1142"/>
      <c r="AK23" s="1142"/>
      <c r="AL23" s="1142"/>
      <c r="AM23" s="1142"/>
      <c r="AN23" s="1142"/>
      <c r="AO23" s="1142"/>
      <c r="AP23" s="1142"/>
      <c r="AQ23" s="1142"/>
      <c r="AR23" s="1142"/>
      <c r="AS23" s="1142"/>
      <c r="AT23" s="1142"/>
      <c r="AU23" s="1142"/>
      <c r="AV23" s="1142"/>
      <c r="AW23" s="1142"/>
      <c r="AX23" s="1142"/>
      <c r="AY23" s="1142"/>
      <c r="AZ23" s="1142"/>
      <c r="BA23" s="1142"/>
      <c r="BB23" s="1142"/>
      <c r="BC23" s="1142"/>
      <c r="BD23" s="1142"/>
      <c r="BE23" s="1142"/>
      <c r="BF23" s="1142"/>
      <c r="BG23" s="1142"/>
      <c r="BH23" s="1142"/>
      <c r="BI23" s="1142"/>
      <c r="BJ23" s="1142"/>
      <c r="BK23" s="1142"/>
      <c r="BL23" s="1142"/>
      <c r="BM23" s="1142"/>
      <c r="BN23" s="1142"/>
      <c r="BO23" s="1142"/>
      <c r="BP23" s="1142"/>
      <c r="BQ23" s="1142"/>
      <c r="BR23" s="1142"/>
      <c r="BS23" s="1142"/>
      <c r="BT23" s="1142"/>
      <c r="BU23" s="1142"/>
      <c r="BV23" s="1142"/>
      <c r="BW23" s="1142"/>
      <c r="BX23" s="1142"/>
      <c r="BY23" s="1142"/>
      <c r="BZ23" s="1142"/>
      <c r="CA23" s="1142"/>
      <c r="CB23" s="1142"/>
      <c r="CC23" s="1142"/>
      <c r="CD23" s="1142"/>
      <c r="CE23" s="1142"/>
      <c r="CF23" s="1142"/>
      <c r="CG23" s="1142"/>
      <c r="CH23" s="1142"/>
      <c r="CI23" s="1142"/>
      <c r="CJ23" s="1142"/>
      <c r="CK23" s="1142"/>
      <c r="CL23" s="1142"/>
      <c r="CM23" s="1142"/>
      <c r="CN23" s="1142"/>
      <c r="CO23" s="1142"/>
      <c r="CP23" s="1142"/>
      <c r="CQ23" s="1142"/>
      <c r="CR23" s="1142"/>
      <c r="CS23" s="1142"/>
      <c r="CT23" s="1142"/>
      <c r="CU23" s="1142"/>
      <c r="CV23" s="1142"/>
      <c r="CW23" s="1142"/>
      <c r="CX23" s="1142"/>
      <c r="CY23" s="1142"/>
      <c r="CZ23" s="1142"/>
      <c r="DA23" s="1142"/>
      <c r="DB23" s="1142"/>
      <c r="DC23" s="1142"/>
      <c r="DD23" s="1142"/>
      <c r="DE23" s="1142"/>
      <c r="DF23" s="1142"/>
      <c r="DG23" s="1142"/>
      <c r="DH23" s="1142"/>
      <c r="DI23" s="1142"/>
      <c r="DJ23" s="1142"/>
      <c r="DK23" s="1142"/>
      <c r="DL23" s="1142"/>
      <c r="DM23" s="1142"/>
      <c r="DN23" s="1142"/>
      <c r="DO23" s="1142"/>
      <c r="DP23" s="1142"/>
      <c r="DQ23" s="1142"/>
      <c r="DR23" s="1142"/>
      <c r="DS23" s="1142"/>
      <c r="DT23" s="1142"/>
      <c r="DU23" s="1142"/>
      <c r="DV23" s="1142"/>
      <c r="DW23" s="1142"/>
      <c r="DX23" s="1142"/>
      <c r="DY23" s="1142"/>
      <c r="DZ23" s="1142"/>
      <c r="EA23" s="1142"/>
      <c r="EB23" s="1142"/>
      <c r="EC23" s="1142"/>
      <c r="ED23" s="1142"/>
      <c r="EE23" s="1142"/>
      <c r="EF23" s="1142"/>
      <c r="EG23" s="1142"/>
      <c r="EH23" s="1142"/>
      <c r="EI23" s="1142"/>
      <c r="EJ23" s="1142"/>
      <c r="EK23" s="1142"/>
      <c r="EL23" s="1142"/>
      <c r="EM23" s="1142"/>
      <c r="EN23" s="1142"/>
      <c r="EO23" s="1142"/>
      <c r="EP23" s="1142"/>
      <c r="EQ23" s="1142"/>
      <c r="ER23" s="1142"/>
      <c r="ES23" s="1142"/>
      <c r="ET23" s="1142"/>
      <c r="EU23" s="1142"/>
      <c r="EV23" s="1142"/>
      <c r="EW23" s="1142"/>
      <c r="EX23" s="1142"/>
    </row>
    <row r="24" spans="1:154" s="1140" customFormat="1" ht="80.25" customHeight="1">
      <c r="A24" s="1142" t="s">
        <v>91</v>
      </c>
      <c r="B24" s="1972" t="s">
        <v>1347</v>
      </c>
      <c r="C24" s="1973"/>
      <c r="D24" s="1973"/>
      <c r="E24" s="1973"/>
      <c r="F24" s="1973"/>
      <c r="G24" s="1973"/>
      <c r="H24" s="1973"/>
      <c r="I24" s="1973"/>
      <c r="J24" s="1142"/>
      <c r="K24" s="1142"/>
      <c r="L24" s="1142"/>
      <c r="M24" s="1142"/>
      <c r="N24" s="1142"/>
      <c r="O24" s="1142"/>
      <c r="P24" s="1142"/>
      <c r="Q24" s="1142"/>
      <c r="R24" s="1142"/>
      <c r="S24" s="1142"/>
      <c r="T24" s="1142"/>
      <c r="U24" s="1142"/>
      <c r="V24" s="1142"/>
      <c r="W24" s="1142"/>
      <c r="X24" s="1142"/>
      <c r="Y24" s="1142"/>
      <c r="Z24" s="1142"/>
      <c r="AA24" s="1142"/>
      <c r="AB24" s="1142"/>
      <c r="AC24" s="1142"/>
      <c r="AD24" s="1142"/>
      <c r="AE24" s="1142"/>
      <c r="AF24" s="1142"/>
      <c r="AG24" s="1142"/>
      <c r="AH24" s="1142"/>
      <c r="AI24" s="1142"/>
      <c r="AJ24" s="1142"/>
      <c r="AK24" s="1142"/>
      <c r="AL24" s="1142"/>
      <c r="AM24" s="1142"/>
      <c r="AN24" s="1142"/>
      <c r="AO24" s="1142"/>
      <c r="AP24" s="1142"/>
      <c r="AQ24" s="1142"/>
      <c r="AR24" s="1142"/>
      <c r="AS24" s="1142"/>
      <c r="AT24" s="1142"/>
      <c r="AU24" s="1142"/>
      <c r="AV24" s="1142"/>
      <c r="AW24" s="1142"/>
      <c r="AX24" s="1142"/>
      <c r="AY24" s="1142"/>
      <c r="AZ24" s="1142"/>
      <c r="BA24" s="1142"/>
      <c r="BB24" s="1142"/>
      <c r="BC24" s="1142"/>
      <c r="BD24" s="1142"/>
      <c r="BE24" s="1142"/>
      <c r="BF24" s="1142"/>
      <c r="BG24" s="1142"/>
      <c r="BH24" s="1142"/>
      <c r="BI24" s="1142"/>
      <c r="BJ24" s="1142"/>
      <c r="BK24" s="1142"/>
      <c r="BL24" s="1142"/>
      <c r="BM24" s="1142"/>
      <c r="BN24" s="1142"/>
      <c r="BO24" s="1142"/>
      <c r="BP24" s="1142"/>
      <c r="BQ24" s="1142"/>
      <c r="BR24" s="1142"/>
      <c r="BS24" s="1142"/>
      <c r="BT24" s="1142"/>
      <c r="BU24" s="1142"/>
      <c r="BV24" s="1142"/>
      <c r="BW24" s="1142"/>
      <c r="BX24" s="1142"/>
      <c r="BY24" s="1142"/>
      <c r="BZ24" s="1142"/>
      <c r="CA24" s="1142"/>
      <c r="CB24" s="1142"/>
      <c r="CC24" s="1142"/>
      <c r="CD24" s="1142"/>
      <c r="CE24" s="1142"/>
      <c r="CF24" s="1142"/>
      <c r="CG24" s="1142"/>
      <c r="CH24" s="1142"/>
      <c r="CI24" s="1142"/>
      <c r="CJ24" s="1142"/>
      <c r="CK24" s="1142"/>
      <c r="CL24" s="1142"/>
      <c r="CM24" s="1142"/>
      <c r="CN24" s="1142"/>
      <c r="CO24" s="1142"/>
      <c r="CP24" s="1142"/>
      <c r="CQ24" s="1142"/>
      <c r="CR24" s="1142"/>
      <c r="CS24" s="1142"/>
      <c r="CT24" s="1142"/>
      <c r="CU24" s="1142"/>
      <c r="CV24" s="1142"/>
      <c r="CW24" s="1142"/>
      <c r="CX24" s="1142"/>
      <c r="CY24" s="1142"/>
      <c r="CZ24" s="1142"/>
      <c r="DA24" s="1142"/>
      <c r="DB24" s="1142"/>
      <c r="DC24" s="1142"/>
      <c r="DD24" s="1142"/>
    </row>
    <row r="25" spans="1:154" ht="15.75" customHeight="1">
      <c r="A25" s="1142" t="s">
        <v>93</v>
      </c>
      <c r="B25" s="1972" t="s">
        <v>1348</v>
      </c>
      <c r="C25" s="1973"/>
      <c r="D25" s="1973"/>
      <c r="E25" s="1973"/>
      <c r="F25" s="1973"/>
      <c r="G25" s="1973"/>
      <c r="H25" s="1973"/>
      <c r="I25" s="1973"/>
      <c r="J25" s="1142"/>
      <c r="K25" s="1142"/>
      <c r="L25" s="1142"/>
      <c r="M25" s="1142"/>
      <c r="N25" s="1142"/>
      <c r="O25" s="1142"/>
      <c r="P25" s="1142"/>
      <c r="Q25" s="1142"/>
      <c r="R25" s="1142"/>
      <c r="S25" s="1142"/>
      <c r="T25" s="1142"/>
      <c r="U25" s="1142"/>
      <c r="V25" s="1142"/>
      <c r="W25" s="1142"/>
      <c r="X25" s="1142"/>
      <c r="Y25" s="1142"/>
      <c r="Z25" s="1142"/>
      <c r="AA25" s="1142"/>
      <c r="AB25" s="1142"/>
      <c r="AC25" s="1142"/>
      <c r="AD25" s="1142"/>
      <c r="AE25" s="1142"/>
      <c r="AF25" s="1142"/>
      <c r="AG25" s="1142"/>
      <c r="AH25" s="1142"/>
      <c r="AI25" s="1142"/>
      <c r="AJ25" s="1142"/>
      <c r="AK25" s="1142"/>
      <c r="AL25" s="1142"/>
      <c r="AM25" s="1142"/>
      <c r="AN25" s="1142"/>
      <c r="AO25" s="1142"/>
      <c r="AP25" s="1142"/>
      <c r="AQ25" s="1142"/>
      <c r="AR25" s="1142"/>
      <c r="AS25" s="1142"/>
      <c r="AT25" s="1142"/>
      <c r="AU25" s="1142"/>
      <c r="AV25" s="1142"/>
      <c r="AW25" s="1142"/>
      <c r="AX25" s="1142"/>
      <c r="AY25" s="1142"/>
      <c r="AZ25" s="1142"/>
      <c r="BA25" s="1142"/>
      <c r="BB25" s="1142"/>
      <c r="BC25" s="1142"/>
      <c r="BD25" s="1142"/>
      <c r="BE25" s="1142"/>
      <c r="BF25" s="1142"/>
      <c r="BG25" s="1142"/>
      <c r="BH25" s="1142"/>
      <c r="BI25" s="1142"/>
      <c r="BJ25" s="1142"/>
      <c r="BK25" s="1142"/>
      <c r="BL25" s="1142"/>
      <c r="BM25" s="1142"/>
      <c r="BN25" s="1142"/>
      <c r="BO25" s="1142"/>
      <c r="BP25" s="1142"/>
      <c r="BQ25" s="1142"/>
      <c r="BR25" s="1142"/>
      <c r="BS25" s="1142"/>
      <c r="BT25" s="1142"/>
      <c r="BU25" s="1142"/>
      <c r="BV25" s="1142"/>
      <c r="BW25" s="1142"/>
      <c r="BX25" s="1142"/>
      <c r="BY25" s="1142"/>
      <c r="BZ25" s="1142"/>
      <c r="CA25" s="1142"/>
      <c r="CB25" s="1142"/>
      <c r="CC25" s="1142"/>
      <c r="CD25" s="1142"/>
      <c r="CE25" s="1142"/>
      <c r="CF25" s="1142"/>
      <c r="CG25" s="1142"/>
      <c r="CH25" s="1142"/>
      <c r="CI25" s="1142"/>
      <c r="CJ25" s="1142"/>
      <c r="CK25" s="1142"/>
      <c r="CL25" s="1142"/>
      <c r="CM25" s="1142"/>
      <c r="CN25" s="1142"/>
      <c r="CO25" s="1142"/>
      <c r="CP25" s="1142"/>
      <c r="CQ25" s="1142"/>
      <c r="CR25" s="1142"/>
      <c r="CS25" s="1142"/>
      <c r="CT25" s="1142"/>
      <c r="CU25" s="1142"/>
      <c r="CV25" s="1142"/>
      <c r="CW25" s="1142"/>
      <c r="CX25" s="1142"/>
      <c r="CY25" s="1142"/>
      <c r="CZ25" s="1142"/>
      <c r="DA25" s="1142"/>
      <c r="DB25" s="1142"/>
      <c r="DC25" s="1142"/>
      <c r="DD25" s="1142"/>
    </row>
    <row r="26" spans="1:154" ht="34.5" customHeight="1">
      <c r="A26" s="1142" t="s">
        <v>95</v>
      </c>
      <c r="B26" s="1972" t="s">
        <v>1349</v>
      </c>
      <c r="C26" s="1973"/>
      <c r="D26" s="1973"/>
      <c r="E26" s="1973"/>
      <c r="F26" s="1973"/>
      <c r="G26" s="1973"/>
      <c r="H26" s="1973"/>
      <c r="I26" s="1973"/>
      <c r="J26" s="1142"/>
      <c r="K26" s="1142"/>
      <c r="L26" s="1142"/>
      <c r="M26" s="1142"/>
      <c r="N26" s="1142"/>
      <c r="O26" s="1142"/>
      <c r="P26" s="1142"/>
      <c r="Q26" s="1142"/>
      <c r="R26" s="1142"/>
      <c r="S26" s="1142"/>
      <c r="T26" s="1142"/>
      <c r="U26" s="1142"/>
      <c r="V26" s="1142"/>
      <c r="W26" s="1142"/>
      <c r="X26" s="1142"/>
      <c r="Y26" s="1142"/>
      <c r="Z26" s="1142"/>
      <c r="AA26" s="1142"/>
      <c r="AB26" s="1142"/>
      <c r="AC26" s="1142"/>
      <c r="AD26" s="1142"/>
      <c r="AE26" s="1142"/>
      <c r="AF26" s="1142"/>
      <c r="AG26" s="1142"/>
      <c r="AH26" s="1142"/>
      <c r="AI26" s="1142"/>
      <c r="AJ26" s="1142"/>
      <c r="AK26" s="1142"/>
      <c r="AL26" s="1142"/>
      <c r="AM26" s="1142"/>
      <c r="AN26" s="1142"/>
      <c r="AO26" s="1142"/>
      <c r="AP26" s="1142"/>
      <c r="AQ26" s="1142"/>
      <c r="AR26" s="1142"/>
      <c r="AS26" s="1142"/>
      <c r="AT26" s="1142"/>
      <c r="AU26" s="1142"/>
      <c r="AV26" s="1142"/>
      <c r="AW26" s="1142"/>
      <c r="AX26" s="1142"/>
      <c r="AY26" s="1142"/>
      <c r="AZ26" s="1142"/>
      <c r="BA26" s="1142"/>
      <c r="BB26" s="1142"/>
      <c r="BC26" s="1142"/>
      <c r="BD26" s="1142"/>
      <c r="BE26" s="1142"/>
      <c r="BF26" s="1142"/>
      <c r="BG26" s="1142"/>
      <c r="BH26" s="1142"/>
      <c r="BI26" s="1142"/>
      <c r="BJ26" s="1142"/>
      <c r="BK26" s="1142"/>
      <c r="BL26" s="1142"/>
      <c r="BM26" s="1142"/>
      <c r="BN26" s="1142"/>
      <c r="BO26" s="1142"/>
      <c r="BP26" s="1142"/>
      <c r="BQ26" s="1142"/>
      <c r="BR26" s="1142"/>
      <c r="BS26" s="1142"/>
      <c r="BT26" s="1142"/>
      <c r="BU26" s="1142"/>
      <c r="BV26" s="1142"/>
      <c r="BW26" s="1142"/>
      <c r="BX26" s="1142"/>
      <c r="BY26" s="1142"/>
      <c r="BZ26" s="1142"/>
      <c r="CA26" s="1142"/>
      <c r="CB26" s="1142"/>
      <c r="CC26" s="1142"/>
      <c r="CD26" s="1142"/>
      <c r="CE26" s="1142"/>
      <c r="CF26" s="1142"/>
      <c r="CG26" s="1142"/>
      <c r="CH26" s="1142"/>
      <c r="CI26" s="1142"/>
      <c r="CJ26" s="1142"/>
      <c r="CK26" s="1142"/>
      <c r="CL26" s="1142"/>
      <c r="CM26" s="1142"/>
      <c r="CN26" s="1142"/>
      <c r="CO26" s="1142"/>
      <c r="CP26" s="1142"/>
      <c r="CQ26" s="1142"/>
      <c r="CR26" s="1142"/>
      <c r="CS26" s="1142"/>
      <c r="CT26" s="1142"/>
      <c r="CU26" s="1142"/>
      <c r="CV26" s="1142"/>
      <c r="CW26" s="1142"/>
      <c r="CX26" s="1142"/>
      <c r="CY26" s="1142"/>
      <c r="CZ26" s="1142"/>
      <c r="DA26" s="1142"/>
      <c r="DB26" s="1142"/>
      <c r="DC26" s="1142"/>
      <c r="DD26" s="1142"/>
    </row>
  </sheetData>
  <mergeCells count="11">
    <mergeCell ref="B24:I24"/>
    <mergeCell ref="B25:I25"/>
    <mergeCell ref="B26:I26"/>
    <mergeCell ref="A3:I3"/>
    <mergeCell ref="A6:A8"/>
    <mergeCell ref="B6:B8"/>
    <mergeCell ref="C6:C8"/>
    <mergeCell ref="B23:I23"/>
    <mergeCell ref="D6:I6"/>
    <mergeCell ref="D7:F7"/>
    <mergeCell ref="G7:I7"/>
  </mergeCells>
  <pageMargins left="0.78740157480314965" right="0.51181102362204722" top="0.59055118110236227" bottom="0.39370078740157483" header="0.19685039370078741" footer="0.19685039370078741"/>
  <pageSetup paperSize="9" scale="60" orientation="portrait" r:id="rId1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EX26"/>
  <sheetViews>
    <sheetView view="pageBreakPreview" zoomScaleNormal="100" workbookViewId="0">
      <pane ySplit="9" topLeftCell="A10" activePane="bottomLeft" state="frozen"/>
      <selection activeCell="G17" sqref="G17"/>
      <selection pane="bottomLeft" activeCell="N19" sqref="N19"/>
    </sheetView>
  </sheetViews>
  <sheetFormatPr defaultColWidth="2.7109375" defaultRowHeight="15"/>
  <cols>
    <col min="1" max="1" width="5" style="1" customWidth="1"/>
    <col min="2" max="2" width="49" style="1" customWidth="1"/>
    <col min="3" max="7" width="13.7109375" style="1" customWidth="1"/>
    <col min="8" max="8" width="14.5703125" style="1" customWidth="1"/>
    <col min="9" max="9" width="13.7109375" style="1" customWidth="1"/>
    <col min="10" max="61" width="8.28515625" style="1" customWidth="1"/>
    <col min="62" max="16384" width="2.7109375" style="1"/>
  </cols>
  <sheetData>
    <row r="1" spans="1:12" s="5" customFormat="1" ht="18" customHeight="1">
      <c r="A1" s="74" t="s">
        <v>1860</v>
      </c>
      <c r="I1" s="6" t="s">
        <v>1331</v>
      </c>
    </row>
    <row r="2" spans="1:12" ht="12.75" customHeight="1">
      <c r="A2" s="1139" t="s">
        <v>1679</v>
      </c>
      <c r="J2" s="813" t="s">
        <v>1332</v>
      </c>
    </row>
    <row r="3" spans="1:12" ht="57.75" customHeight="1">
      <c r="A3" s="1915" t="s">
        <v>1333</v>
      </c>
      <c r="B3" s="1915"/>
      <c r="C3" s="1915"/>
      <c r="D3" s="1915"/>
      <c r="E3" s="1915"/>
      <c r="F3" s="1915"/>
      <c r="G3" s="1915"/>
      <c r="H3" s="1915"/>
      <c r="I3" s="1915"/>
    </row>
    <row r="4" spans="1:12" ht="12.75" customHeight="1">
      <c r="B4" s="1137"/>
      <c r="C4" s="1137"/>
      <c r="D4" s="1751"/>
      <c r="E4" s="1751"/>
      <c r="F4" s="1751"/>
      <c r="G4" s="1137"/>
      <c r="H4" s="1137"/>
      <c r="I4" s="1137"/>
    </row>
    <row r="5" spans="1:12" ht="14.25" customHeight="1">
      <c r="A5" s="812" t="s">
        <v>1330</v>
      </c>
      <c r="I5" s="23" t="s">
        <v>360</v>
      </c>
    </row>
    <row r="6" spans="1:12" s="3" customFormat="1" ht="15" customHeight="1">
      <c r="A6" s="1858" t="s">
        <v>0</v>
      </c>
      <c r="B6" s="1858" t="s">
        <v>1334</v>
      </c>
      <c r="C6" s="1858" t="s">
        <v>2</v>
      </c>
      <c r="D6" s="1873" t="s">
        <v>1335</v>
      </c>
      <c r="E6" s="1975"/>
      <c r="F6" s="1975"/>
      <c r="G6" s="1975"/>
      <c r="H6" s="1975"/>
      <c r="I6" s="1975"/>
    </row>
    <row r="7" spans="1:12" s="3" customFormat="1" ht="15" customHeight="1">
      <c r="A7" s="1859"/>
      <c r="B7" s="1859"/>
      <c r="C7" s="1859"/>
      <c r="D7" s="1976" t="s">
        <v>1964</v>
      </c>
      <c r="E7" s="1976"/>
      <c r="F7" s="1977"/>
      <c r="G7" s="1978" t="s">
        <v>1961</v>
      </c>
      <c r="H7" s="1976"/>
      <c r="I7" s="1976"/>
    </row>
    <row r="8" spans="1:12" s="3" customFormat="1" ht="30" customHeight="1">
      <c r="A8" s="1971"/>
      <c r="B8" s="1971"/>
      <c r="C8" s="1971"/>
      <c r="D8" s="1753" t="s">
        <v>1336</v>
      </c>
      <c r="E8" s="1753" t="s">
        <v>1337</v>
      </c>
      <c r="F8" s="1753" t="s">
        <v>1715</v>
      </c>
      <c r="G8" s="1753" t="s">
        <v>1336</v>
      </c>
      <c r="H8" s="1753" t="s">
        <v>1337</v>
      </c>
      <c r="I8" s="1753" t="s">
        <v>1715</v>
      </c>
    </row>
    <row r="9" spans="1:12" s="2" customFormat="1">
      <c r="A9" s="13">
        <v>1</v>
      </c>
      <c r="B9" s="13">
        <v>2</v>
      </c>
      <c r="C9" s="13">
        <v>3</v>
      </c>
      <c r="D9" s="13">
        <v>4</v>
      </c>
      <c r="E9" s="13">
        <v>5</v>
      </c>
      <c r="F9" s="13">
        <v>6</v>
      </c>
      <c r="G9" s="13">
        <v>7</v>
      </c>
      <c r="H9" s="13">
        <v>8</v>
      </c>
      <c r="I9" s="13">
        <v>9</v>
      </c>
    </row>
    <row r="10" spans="1:12" s="41" customFormat="1" ht="30">
      <c r="A10" s="60" t="s">
        <v>89</v>
      </c>
      <c r="B10" s="68" t="s">
        <v>1338</v>
      </c>
      <c r="C10" s="68"/>
      <c r="D10" s="68"/>
      <c r="E10" s="68"/>
      <c r="F10" s="68"/>
      <c r="G10" s="1212" t="s">
        <v>570</v>
      </c>
      <c r="H10" s="1772">
        <v>1.0680000000000001</v>
      </c>
      <c r="I10" s="1772">
        <v>1.0589999999999999</v>
      </c>
    </row>
    <row r="11" spans="1:12" s="41" customFormat="1" ht="15" customHeight="1">
      <c r="A11" s="60" t="s">
        <v>91</v>
      </c>
      <c r="B11" s="68" t="s">
        <v>1339</v>
      </c>
      <c r="C11" s="815" t="s">
        <v>138</v>
      </c>
      <c r="D11" s="815"/>
      <c r="E11" s="815"/>
      <c r="F11" s="815"/>
      <c r="G11" s="814" t="s">
        <v>570</v>
      </c>
      <c r="H11" s="1770">
        <v>0.01</v>
      </c>
      <c r="I11" s="1770">
        <v>0.01</v>
      </c>
    </row>
    <row r="12" spans="1:12" s="41" customFormat="1" ht="15" customHeight="1">
      <c r="A12" s="60" t="s">
        <v>93</v>
      </c>
      <c r="B12" s="70" t="s">
        <v>1340</v>
      </c>
      <c r="C12" s="70"/>
      <c r="D12" s="70"/>
      <c r="E12" s="70"/>
      <c r="F12" s="70"/>
      <c r="G12" s="814" t="s">
        <v>570</v>
      </c>
      <c r="H12" s="816">
        <f>(H13-G13)/G13</f>
        <v>0</v>
      </c>
      <c r="I12" s="816">
        <f>(I13-H13)/H13</f>
        <v>0</v>
      </c>
    </row>
    <row r="13" spans="1:12" s="41" customFormat="1" ht="45">
      <c r="A13" s="60" t="s">
        <v>1246</v>
      </c>
      <c r="B13" s="70" t="s">
        <v>1341</v>
      </c>
      <c r="C13" s="817" t="s">
        <v>1342</v>
      </c>
      <c r="D13" s="817"/>
      <c r="E13" s="817"/>
      <c r="F13" s="817"/>
      <c r="G13" s="1214">
        <v>9832.23</v>
      </c>
      <c r="H13" s="1214">
        <v>9832.23</v>
      </c>
      <c r="I13" s="1214">
        <v>9832.23</v>
      </c>
      <c r="J13" s="820" t="s">
        <v>1350</v>
      </c>
    </row>
    <row r="14" spans="1:12" s="41" customFormat="1" ht="30.75" customHeight="1">
      <c r="A14" s="60" t="s">
        <v>1248</v>
      </c>
      <c r="B14" s="68" t="s">
        <v>1343</v>
      </c>
      <c r="C14" s="1138" t="s">
        <v>53</v>
      </c>
      <c r="D14" s="1752"/>
      <c r="E14" s="1752"/>
      <c r="F14" s="1752"/>
      <c r="G14" s="821"/>
      <c r="H14" s="805"/>
      <c r="I14" s="805"/>
    </row>
    <row r="15" spans="1:12" s="41" customFormat="1" ht="30">
      <c r="A15" s="60" t="s">
        <v>95</v>
      </c>
      <c r="B15" s="70" t="s">
        <v>1344</v>
      </c>
      <c r="C15" s="70"/>
      <c r="D15" s="70"/>
      <c r="E15" s="70"/>
      <c r="F15" s="70"/>
      <c r="G15" s="814" t="s">
        <v>570</v>
      </c>
      <c r="H15" s="251">
        <v>0.75</v>
      </c>
      <c r="I15" s="251">
        <v>0.75</v>
      </c>
    </row>
    <row r="16" spans="1:12" s="41" customFormat="1" ht="15" customHeight="1">
      <c r="A16" s="60" t="s">
        <v>97</v>
      </c>
      <c r="B16" s="70" t="s">
        <v>1345</v>
      </c>
      <c r="C16" s="817" t="s">
        <v>240</v>
      </c>
      <c r="D16" s="817"/>
      <c r="E16" s="817"/>
      <c r="F16" s="817"/>
      <c r="G16" s="818">
        <v>296638.22264000005</v>
      </c>
      <c r="H16" s="337">
        <v>325220.83619</v>
      </c>
      <c r="I16" s="337">
        <v>346185.34016499069</v>
      </c>
      <c r="K16" s="41">
        <v>325221</v>
      </c>
      <c r="L16" s="1209">
        <f>K16-H16</f>
        <v>0.16380999999819323</v>
      </c>
    </row>
    <row r="17" spans="1:154">
      <c r="G17" s="23"/>
      <c r="H17" s="1213">
        <f>H16/G16</f>
        <v>1.0963551267790861</v>
      </c>
      <c r="I17" s="1213">
        <f>I16/H16</f>
        <v>1.0644623641602804</v>
      </c>
    </row>
    <row r="18" spans="1:154">
      <c r="G18" s="23"/>
      <c r="H18" s="1213"/>
      <c r="I18" s="1213"/>
    </row>
    <row r="19" spans="1:154">
      <c r="G19" s="23"/>
      <c r="H19" s="1778">
        <v>310471.75084999995</v>
      </c>
      <c r="I19" s="1778">
        <v>330722.25160368124</v>
      </c>
    </row>
    <row r="20" spans="1:154">
      <c r="G20" s="23"/>
      <c r="H20" s="1213"/>
      <c r="I20" s="1213"/>
    </row>
    <row r="21" spans="1:154">
      <c r="G21" s="23"/>
      <c r="H21" s="389">
        <f>(1-H11)*H10*(1+H12*H15)</f>
        <v>1.05732</v>
      </c>
      <c r="I21" s="389">
        <f>(1-I11)*I10*(1+I12*I15)</f>
        <v>1.0484099999999998</v>
      </c>
    </row>
    <row r="22" spans="1:154" s="26" customFormat="1">
      <c r="A22" s="26" t="s">
        <v>88</v>
      </c>
    </row>
    <row r="23" spans="1:154" s="1140" customFormat="1" ht="30" customHeight="1">
      <c r="A23" s="1142" t="s">
        <v>89</v>
      </c>
      <c r="B23" s="1972" t="s">
        <v>1346</v>
      </c>
      <c r="C23" s="1974"/>
      <c r="D23" s="1974"/>
      <c r="E23" s="1974"/>
      <c r="F23" s="1974"/>
      <c r="G23" s="1974"/>
      <c r="H23" s="1974"/>
      <c r="I23" s="1974"/>
      <c r="J23" s="1142"/>
      <c r="K23" s="1142"/>
      <c r="L23" s="1142"/>
      <c r="M23" s="1142"/>
      <c r="N23" s="1142"/>
      <c r="O23" s="1142"/>
      <c r="P23" s="1142"/>
      <c r="Q23" s="1142"/>
      <c r="R23" s="1142"/>
      <c r="S23" s="1142"/>
      <c r="T23" s="1142"/>
      <c r="U23" s="1142"/>
      <c r="V23" s="1142"/>
      <c r="W23" s="1142"/>
      <c r="X23" s="1142"/>
      <c r="Y23" s="1142"/>
      <c r="Z23" s="1142"/>
      <c r="AA23" s="1142"/>
      <c r="AB23" s="1142"/>
      <c r="AC23" s="1142"/>
      <c r="AD23" s="1142"/>
      <c r="AE23" s="1142"/>
      <c r="AF23" s="1142"/>
      <c r="AG23" s="1142"/>
      <c r="AH23" s="1142"/>
      <c r="AI23" s="1142"/>
      <c r="AJ23" s="1142"/>
      <c r="AK23" s="1142"/>
      <c r="AL23" s="1142"/>
      <c r="AM23" s="1142"/>
      <c r="AN23" s="1142"/>
      <c r="AO23" s="1142"/>
      <c r="AP23" s="1142"/>
      <c r="AQ23" s="1142"/>
      <c r="AR23" s="1142"/>
      <c r="AS23" s="1142"/>
      <c r="AT23" s="1142"/>
      <c r="AU23" s="1142"/>
      <c r="AV23" s="1142"/>
      <c r="AW23" s="1142"/>
      <c r="AX23" s="1142"/>
      <c r="AY23" s="1142"/>
      <c r="AZ23" s="1142"/>
      <c r="BA23" s="1142"/>
      <c r="BB23" s="1142"/>
      <c r="BC23" s="1142"/>
      <c r="BD23" s="1142"/>
      <c r="BE23" s="1142"/>
      <c r="BF23" s="1142"/>
      <c r="BG23" s="1142"/>
      <c r="BH23" s="1142"/>
      <c r="BI23" s="1142"/>
      <c r="BJ23" s="1142"/>
      <c r="BK23" s="1142"/>
      <c r="BL23" s="1142"/>
      <c r="BM23" s="1142"/>
      <c r="BN23" s="1142"/>
      <c r="BO23" s="1142"/>
      <c r="BP23" s="1142"/>
      <c r="BQ23" s="1142"/>
      <c r="BR23" s="1142"/>
      <c r="BS23" s="1142"/>
      <c r="BT23" s="1142"/>
      <c r="BU23" s="1142"/>
      <c r="BV23" s="1142"/>
      <c r="BW23" s="1142"/>
      <c r="BX23" s="1142"/>
      <c r="BY23" s="1142"/>
      <c r="BZ23" s="1142"/>
      <c r="CA23" s="1142"/>
      <c r="CB23" s="1142"/>
      <c r="CC23" s="1142"/>
      <c r="CD23" s="1142"/>
      <c r="CE23" s="1142"/>
      <c r="CF23" s="1142"/>
      <c r="CG23" s="1142"/>
      <c r="CH23" s="1142"/>
      <c r="CI23" s="1142"/>
      <c r="CJ23" s="1142"/>
      <c r="CK23" s="1142"/>
      <c r="CL23" s="1142"/>
      <c r="CM23" s="1142"/>
      <c r="CN23" s="1142"/>
      <c r="CO23" s="1142"/>
      <c r="CP23" s="1142"/>
      <c r="CQ23" s="1142"/>
      <c r="CR23" s="1142"/>
      <c r="CS23" s="1142"/>
      <c r="CT23" s="1142"/>
      <c r="CU23" s="1142"/>
      <c r="CV23" s="1142"/>
      <c r="CW23" s="1142"/>
      <c r="CX23" s="1142"/>
      <c r="CY23" s="1142"/>
      <c r="CZ23" s="1142"/>
      <c r="DA23" s="1142"/>
      <c r="DB23" s="1142"/>
      <c r="DC23" s="1142"/>
      <c r="DD23" s="1142"/>
      <c r="DE23" s="1142"/>
      <c r="DF23" s="1142"/>
      <c r="DG23" s="1142"/>
      <c r="DH23" s="1142"/>
      <c r="DI23" s="1142"/>
      <c r="DJ23" s="1142"/>
      <c r="DK23" s="1142"/>
      <c r="DL23" s="1142"/>
      <c r="DM23" s="1142"/>
      <c r="DN23" s="1142"/>
      <c r="DO23" s="1142"/>
      <c r="DP23" s="1142"/>
      <c r="DQ23" s="1142"/>
      <c r="DR23" s="1142"/>
      <c r="DS23" s="1142"/>
      <c r="DT23" s="1142"/>
      <c r="DU23" s="1142"/>
      <c r="DV23" s="1142"/>
      <c r="DW23" s="1142"/>
      <c r="DX23" s="1142"/>
      <c r="DY23" s="1142"/>
      <c r="DZ23" s="1142"/>
      <c r="EA23" s="1142"/>
      <c r="EB23" s="1142"/>
      <c r="EC23" s="1142"/>
      <c r="ED23" s="1142"/>
      <c r="EE23" s="1142"/>
      <c r="EF23" s="1142"/>
      <c r="EG23" s="1142"/>
      <c r="EH23" s="1142"/>
      <c r="EI23" s="1142"/>
      <c r="EJ23" s="1142"/>
      <c r="EK23" s="1142"/>
      <c r="EL23" s="1142"/>
      <c r="EM23" s="1142"/>
      <c r="EN23" s="1142"/>
      <c r="EO23" s="1142"/>
      <c r="EP23" s="1142"/>
      <c r="EQ23" s="1142"/>
      <c r="ER23" s="1142"/>
      <c r="ES23" s="1142"/>
      <c r="ET23" s="1142"/>
      <c r="EU23" s="1142"/>
      <c r="EV23" s="1142"/>
      <c r="EW23" s="1142"/>
      <c r="EX23" s="1142"/>
    </row>
    <row r="24" spans="1:154" s="1140" customFormat="1" ht="80.25" customHeight="1">
      <c r="A24" s="1142" t="s">
        <v>91</v>
      </c>
      <c r="B24" s="1972" t="s">
        <v>1347</v>
      </c>
      <c r="C24" s="1973"/>
      <c r="D24" s="1973"/>
      <c r="E24" s="1973"/>
      <c r="F24" s="1973"/>
      <c r="G24" s="1973"/>
      <c r="H24" s="1973"/>
      <c r="I24" s="1973"/>
      <c r="J24" s="1142"/>
      <c r="K24" s="1142"/>
      <c r="L24" s="1142"/>
      <c r="M24" s="1142"/>
      <c r="N24" s="1142"/>
      <c r="O24" s="1142"/>
      <c r="P24" s="1142"/>
      <c r="Q24" s="1142"/>
      <c r="R24" s="1142"/>
      <c r="S24" s="1142"/>
      <c r="T24" s="1142"/>
      <c r="U24" s="1142"/>
      <c r="V24" s="1142"/>
      <c r="W24" s="1142"/>
      <c r="X24" s="1142"/>
      <c r="Y24" s="1142"/>
      <c r="Z24" s="1142"/>
      <c r="AA24" s="1142"/>
      <c r="AB24" s="1142"/>
      <c r="AC24" s="1142"/>
      <c r="AD24" s="1142"/>
      <c r="AE24" s="1142"/>
      <c r="AF24" s="1142"/>
      <c r="AG24" s="1142"/>
      <c r="AH24" s="1142"/>
      <c r="AI24" s="1142"/>
      <c r="AJ24" s="1142"/>
      <c r="AK24" s="1142"/>
      <c r="AL24" s="1142"/>
      <c r="AM24" s="1142"/>
      <c r="AN24" s="1142"/>
      <c r="AO24" s="1142"/>
      <c r="AP24" s="1142"/>
      <c r="AQ24" s="1142"/>
      <c r="AR24" s="1142"/>
      <c r="AS24" s="1142"/>
      <c r="AT24" s="1142"/>
      <c r="AU24" s="1142"/>
      <c r="AV24" s="1142"/>
      <c r="AW24" s="1142"/>
      <c r="AX24" s="1142"/>
      <c r="AY24" s="1142"/>
      <c r="AZ24" s="1142"/>
      <c r="BA24" s="1142"/>
      <c r="BB24" s="1142"/>
      <c r="BC24" s="1142"/>
      <c r="BD24" s="1142"/>
      <c r="BE24" s="1142"/>
      <c r="BF24" s="1142"/>
      <c r="BG24" s="1142"/>
      <c r="BH24" s="1142"/>
      <c r="BI24" s="1142"/>
      <c r="BJ24" s="1142"/>
      <c r="BK24" s="1142"/>
      <c r="BL24" s="1142"/>
      <c r="BM24" s="1142"/>
      <c r="BN24" s="1142"/>
      <c r="BO24" s="1142"/>
      <c r="BP24" s="1142"/>
      <c r="BQ24" s="1142"/>
      <c r="BR24" s="1142"/>
      <c r="BS24" s="1142"/>
      <c r="BT24" s="1142"/>
      <c r="BU24" s="1142"/>
      <c r="BV24" s="1142"/>
      <c r="BW24" s="1142"/>
      <c r="BX24" s="1142"/>
      <c r="BY24" s="1142"/>
      <c r="BZ24" s="1142"/>
      <c r="CA24" s="1142"/>
      <c r="CB24" s="1142"/>
      <c r="CC24" s="1142"/>
      <c r="CD24" s="1142"/>
      <c r="CE24" s="1142"/>
      <c r="CF24" s="1142"/>
      <c r="CG24" s="1142"/>
      <c r="CH24" s="1142"/>
      <c r="CI24" s="1142"/>
      <c r="CJ24" s="1142"/>
      <c r="CK24" s="1142"/>
      <c r="CL24" s="1142"/>
      <c r="CM24" s="1142"/>
      <c r="CN24" s="1142"/>
      <c r="CO24" s="1142"/>
      <c r="CP24" s="1142"/>
      <c r="CQ24" s="1142"/>
      <c r="CR24" s="1142"/>
      <c r="CS24" s="1142"/>
      <c r="CT24" s="1142"/>
      <c r="CU24" s="1142"/>
      <c r="CV24" s="1142"/>
      <c r="CW24" s="1142"/>
      <c r="CX24" s="1142"/>
      <c r="CY24" s="1142"/>
      <c r="CZ24" s="1142"/>
      <c r="DA24" s="1142"/>
      <c r="DB24" s="1142"/>
      <c r="DC24" s="1142"/>
      <c r="DD24" s="1142"/>
    </row>
    <row r="25" spans="1:154" ht="15.75" customHeight="1">
      <c r="A25" s="1142" t="s">
        <v>93</v>
      </c>
      <c r="B25" s="1972" t="s">
        <v>1348</v>
      </c>
      <c r="C25" s="1973"/>
      <c r="D25" s="1973"/>
      <c r="E25" s="1973"/>
      <c r="F25" s="1973"/>
      <c r="G25" s="1973"/>
      <c r="H25" s="1973"/>
      <c r="I25" s="1973"/>
      <c r="J25" s="1142"/>
      <c r="K25" s="1142"/>
      <c r="L25" s="1142"/>
      <c r="M25" s="1142"/>
      <c r="N25" s="1142"/>
      <c r="O25" s="1142"/>
      <c r="P25" s="1142"/>
      <c r="Q25" s="1142"/>
      <c r="R25" s="1142"/>
      <c r="S25" s="1142"/>
      <c r="T25" s="1142"/>
      <c r="U25" s="1142"/>
      <c r="V25" s="1142"/>
      <c r="W25" s="1142"/>
      <c r="X25" s="1142"/>
      <c r="Y25" s="1142"/>
      <c r="Z25" s="1142"/>
      <c r="AA25" s="1142"/>
      <c r="AB25" s="1142"/>
      <c r="AC25" s="1142"/>
      <c r="AD25" s="1142"/>
      <c r="AE25" s="1142"/>
      <c r="AF25" s="1142"/>
      <c r="AG25" s="1142"/>
      <c r="AH25" s="1142"/>
      <c r="AI25" s="1142"/>
      <c r="AJ25" s="1142"/>
      <c r="AK25" s="1142"/>
      <c r="AL25" s="1142"/>
      <c r="AM25" s="1142"/>
      <c r="AN25" s="1142"/>
      <c r="AO25" s="1142"/>
      <c r="AP25" s="1142"/>
      <c r="AQ25" s="1142"/>
      <c r="AR25" s="1142"/>
      <c r="AS25" s="1142"/>
      <c r="AT25" s="1142"/>
      <c r="AU25" s="1142"/>
      <c r="AV25" s="1142"/>
      <c r="AW25" s="1142"/>
      <c r="AX25" s="1142"/>
      <c r="AY25" s="1142"/>
      <c r="AZ25" s="1142"/>
      <c r="BA25" s="1142"/>
      <c r="BB25" s="1142"/>
      <c r="BC25" s="1142"/>
      <c r="BD25" s="1142"/>
      <c r="BE25" s="1142"/>
      <c r="BF25" s="1142"/>
      <c r="BG25" s="1142"/>
      <c r="BH25" s="1142"/>
      <c r="BI25" s="1142"/>
      <c r="BJ25" s="1142"/>
      <c r="BK25" s="1142"/>
      <c r="BL25" s="1142"/>
      <c r="BM25" s="1142"/>
      <c r="BN25" s="1142"/>
      <c r="BO25" s="1142"/>
      <c r="BP25" s="1142"/>
      <c r="BQ25" s="1142"/>
      <c r="BR25" s="1142"/>
      <c r="BS25" s="1142"/>
      <c r="BT25" s="1142"/>
      <c r="BU25" s="1142"/>
      <c r="BV25" s="1142"/>
      <c r="BW25" s="1142"/>
      <c r="BX25" s="1142"/>
      <c r="BY25" s="1142"/>
      <c r="BZ25" s="1142"/>
      <c r="CA25" s="1142"/>
      <c r="CB25" s="1142"/>
      <c r="CC25" s="1142"/>
      <c r="CD25" s="1142"/>
      <c r="CE25" s="1142"/>
      <c r="CF25" s="1142"/>
      <c r="CG25" s="1142"/>
      <c r="CH25" s="1142"/>
      <c r="CI25" s="1142"/>
      <c r="CJ25" s="1142"/>
      <c r="CK25" s="1142"/>
      <c r="CL25" s="1142"/>
      <c r="CM25" s="1142"/>
      <c r="CN25" s="1142"/>
      <c r="CO25" s="1142"/>
      <c r="CP25" s="1142"/>
      <c r="CQ25" s="1142"/>
      <c r="CR25" s="1142"/>
      <c r="CS25" s="1142"/>
      <c r="CT25" s="1142"/>
      <c r="CU25" s="1142"/>
      <c r="CV25" s="1142"/>
      <c r="CW25" s="1142"/>
      <c r="CX25" s="1142"/>
      <c r="CY25" s="1142"/>
      <c r="CZ25" s="1142"/>
      <c r="DA25" s="1142"/>
      <c r="DB25" s="1142"/>
      <c r="DC25" s="1142"/>
      <c r="DD25" s="1142"/>
    </row>
    <row r="26" spans="1:154" ht="34.5" customHeight="1">
      <c r="A26" s="1142" t="s">
        <v>95</v>
      </c>
      <c r="B26" s="1972" t="s">
        <v>1349</v>
      </c>
      <c r="C26" s="1973"/>
      <c r="D26" s="1973"/>
      <c r="E26" s="1973"/>
      <c r="F26" s="1973"/>
      <c r="G26" s="1973"/>
      <c r="H26" s="1973"/>
      <c r="I26" s="1973"/>
      <c r="J26" s="1142"/>
      <c r="K26" s="1142"/>
      <c r="L26" s="1142"/>
      <c r="M26" s="1142"/>
      <c r="N26" s="1142"/>
      <c r="O26" s="1142"/>
      <c r="P26" s="1142"/>
      <c r="Q26" s="1142"/>
      <c r="R26" s="1142"/>
      <c r="S26" s="1142"/>
      <c r="T26" s="1142"/>
      <c r="U26" s="1142"/>
      <c r="V26" s="1142"/>
      <c r="W26" s="1142"/>
      <c r="X26" s="1142"/>
      <c r="Y26" s="1142"/>
      <c r="Z26" s="1142"/>
      <c r="AA26" s="1142"/>
      <c r="AB26" s="1142"/>
      <c r="AC26" s="1142"/>
      <c r="AD26" s="1142"/>
      <c r="AE26" s="1142"/>
      <c r="AF26" s="1142"/>
      <c r="AG26" s="1142"/>
      <c r="AH26" s="1142"/>
      <c r="AI26" s="1142"/>
      <c r="AJ26" s="1142"/>
      <c r="AK26" s="1142"/>
      <c r="AL26" s="1142"/>
      <c r="AM26" s="1142"/>
      <c r="AN26" s="1142"/>
      <c r="AO26" s="1142"/>
      <c r="AP26" s="1142"/>
      <c r="AQ26" s="1142"/>
      <c r="AR26" s="1142"/>
      <c r="AS26" s="1142"/>
      <c r="AT26" s="1142"/>
      <c r="AU26" s="1142"/>
      <c r="AV26" s="1142"/>
      <c r="AW26" s="1142"/>
      <c r="AX26" s="1142"/>
      <c r="AY26" s="1142"/>
      <c r="AZ26" s="1142"/>
      <c r="BA26" s="1142"/>
      <c r="BB26" s="1142"/>
      <c r="BC26" s="1142"/>
      <c r="BD26" s="1142"/>
      <c r="BE26" s="1142"/>
      <c r="BF26" s="1142"/>
      <c r="BG26" s="1142"/>
      <c r="BH26" s="1142"/>
      <c r="BI26" s="1142"/>
      <c r="BJ26" s="1142"/>
      <c r="BK26" s="1142"/>
      <c r="BL26" s="1142"/>
      <c r="BM26" s="1142"/>
      <c r="BN26" s="1142"/>
      <c r="BO26" s="1142"/>
      <c r="BP26" s="1142"/>
      <c r="BQ26" s="1142"/>
      <c r="BR26" s="1142"/>
      <c r="BS26" s="1142"/>
      <c r="BT26" s="1142"/>
      <c r="BU26" s="1142"/>
      <c r="BV26" s="1142"/>
      <c r="BW26" s="1142"/>
      <c r="BX26" s="1142"/>
      <c r="BY26" s="1142"/>
      <c r="BZ26" s="1142"/>
      <c r="CA26" s="1142"/>
      <c r="CB26" s="1142"/>
      <c r="CC26" s="1142"/>
      <c r="CD26" s="1142"/>
      <c r="CE26" s="1142"/>
      <c r="CF26" s="1142"/>
      <c r="CG26" s="1142"/>
      <c r="CH26" s="1142"/>
      <c r="CI26" s="1142"/>
      <c r="CJ26" s="1142"/>
      <c r="CK26" s="1142"/>
      <c r="CL26" s="1142"/>
      <c r="CM26" s="1142"/>
      <c r="CN26" s="1142"/>
      <c r="CO26" s="1142"/>
      <c r="CP26" s="1142"/>
      <c r="CQ26" s="1142"/>
      <c r="CR26" s="1142"/>
      <c r="CS26" s="1142"/>
      <c r="CT26" s="1142"/>
      <c r="CU26" s="1142"/>
      <c r="CV26" s="1142"/>
      <c r="CW26" s="1142"/>
      <c r="CX26" s="1142"/>
      <c r="CY26" s="1142"/>
      <c r="CZ26" s="1142"/>
      <c r="DA26" s="1142"/>
      <c r="DB26" s="1142"/>
      <c r="DC26" s="1142"/>
      <c r="DD26" s="1142"/>
    </row>
  </sheetData>
  <mergeCells count="11">
    <mergeCell ref="B24:I24"/>
    <mergeCell ref="B25:I25"/>
    <mergeCell ref="B26:I26"/>
    <mergeCell ref="A3:I3"/>
    <mergeCell ref="A6:A8"/>
    <mergeCell ref="B6:B8"/>
    <mergeCell ref="C6:C8"/>
    <mergeCell ref="B23:I23"/>
    <mergeCell ref="D6:I6"/>
    <mergeCell ref="D7:F7"/>
    <mergeCell ref="G7:I7"/>
  </mergeCells>
  <pageMargins left="0.78740157480314965" right="0.51181102362204722" top="0.59055118110236227" bottom="0.39370078740157483" header="0.19685039370078741" footer="0.19685039370078741"/>
  <pageSetup paperSize="9" scale="60" orientation="portrait" r:id="rId1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EX26"/>
  <sheetViews>
    <sheetView view="pageBreakPreview" zoomScaleNormal="100" workbookViewId="0">
      <pane ySplit="9" topLeftCell="A10" activePane="bottomLeft" state="frozen"/>
      <selection activeCell="G17" sqref="G17"/>
      <selection pane="bottomLeft" activeCell="F14" sqref="F14"/>
    </sheetView>
  </sheetViews>
  <sheetFormatPr defaultColWidth="2.7109375" defaultRowHeight="15"/>
  <cols>
    <col min="1" max="1" width="5" style="1" customWidth="1"/>
    <col min="2" max="2" width="49" style="1" customWidth="1"/>
    <col min="3" max="7" width="13.7109375" style="1" customWidth="1"/>
    <col min="8" max="8" width="14.5703125" style="1" customWidth="1"/>
    <col min="9" max="9" width="13.7109375" style="1" customWidth="1"/>
    <col min="10" max="61" width="8.28515625" style="1" customWidth="1"/>
    <col min="62" max="16384" width="2.7109375" style="1"/>
  </cols>
  <sheetData>
    <row r="1" spans="1:10" s="5" customFormat="1" ht="18" customHeight="1">
      <c r="A1" s="74" t="s">
        <v>1860</v>
      </c>
      <c r="I1" s="6" t="s">
        <v>1331</v>
      </c>
    </row>
    <row r="2" spans="1:10" ht="12.75" customHeight="1">
      <c r="A2" s="1755" t="s">
        <v>1681</v>
      </c>
      <c r="J2" s="813" t="s">
        <v>1332</v>
      </c>
    </row>
    <row r="3" spans="1:10" ht="57.75" customHeight="1">
      <c r="A3" s="1915" t="s">
        <v>1333</v>
      </c>
      <c r="B3" s="1915"/>
      <c r="C3" s="1915"/>
      <c r="D3" s="1915"/>
      <c r="E3" s="1915"/>
      <c r="F3" s="1915"/>
      <c r="G3" s="1915"/>
      <c r="H3" s="1915"/>
      <c r="I3" s="1915"/>
    </row>
    <row r="4" spans="1:10" ht="12.75" customHeight="1">
      <c r="B4" s="1751"/>
      <c r="C4" s="1751"/>
      <c r="D4" s="1751"/>
      <c r="E4" s="1751"/>
      <c r="F4" s="1751"/>
      <c r="G4" s="1751"/>
      <c r="H4" s="1751"/>
      <c r="I4" s="1751"/>
    </row>
    <row r="5" spans="1:10" ht="14.25" customHeight="1">
      <c r="A5" s="812" t="s">
        <v>1329</v>
      </c>
      <c r="I5" s="23" t="s">
        <v>360</v>
      </c>
    </row>
    <row r="6" spans="1:10" s="3" customFormat="1" ht="15" customHeight="1">
      <c r="A6" s="1858" t="s">
        <v>0</v>
      </c>
      <c r="B6" s="1858" t="s">
        <v>1334</v>
      </c>
      <c r="C6" s="1858" t="s">
        <v>2</v>
      </c>
      <c r="D6" s="1873" t="s">
        <v>1335</v>
      </c>
      <c r="E6" s="1975"/>
      <c r="F6" s="1975"/>
      <c r="G6" s="1975"/>
      <c r="H6" s="1975"/>
      <c r="I6" s="1975"/>
    </row>
    <row r="7" spans="1:10" s="3" customFormat="1">
      <c r="A7" s="1859"/>
      <c r="B7" s="1859"/>
      <c r="C7" s="1859"/>
      <c r="D7" s="1976" t="s">
        <v>1962</v>
      </c>
      <c r="E7" s="1976"/>
      <c r="F7" s="1977"/>
      <c r="G7" s="1978" t="s">
        <v>1961</v>
      </c>
      <c r="H7" s="1976"/>
      <c r="I7" s="1976"/>
    </row>
    <row r="8" spans="1:10" s="3" customFormat="1" ht="30" customHeight="1">
      <c r="A8" s="1971"/>
      <c r="B8" s="1971"/>
      <c r="C8" s="1971"/>
      <c r="D8" s="1753" t="s">
        <v>1336</v>
      </c>
      <c r="E8" s="1753" t="s">
        <v>1337</v>
      </c>
      <c r="F8" s="1753" t="s">
        <v>1715</v>
      </c>
      <c r="G8" s="1753" t="s">
        <v>1336</v>
      </c>
      <c r="H8" s="1753" t="s">
        <v>1337</v>
      </c>
      <c r="I8" s="1753" t="s">
        <v>1715</v>
      </c>
    </row>
    <row r="9" spans="1:10" s="2" customFormat="1">
      <c r="A9" s="13">
        <v>1</v>
      </c>
      <c r="B9" s="13">
        <v>2</v>
      </c>
      <c r="C9" s="13">
        <v>3</v>
      </c>
      <c r="D9" s="13">
        <v>4</v>
      </c>
      <c r="E9" s="13">
        <v>5</v>
      </c>
      <c r="F9" s="13">
        <v>6</v>
      </c>
      <c r="G9" s="13">
        <v>7</v>
      </c>
      <c r="H9" s="13">
        <v>8</v>
      </c>
      <c r="I9" s="13">
        <v>9</v>
      </c>
    </row>
    <row r="10" spans="1:10" s="41" customFormat="1" ht="30">
      <c r="A10" s="60" t="s">
        <v>89</v>
      </c>
      <c r="B10" s="68" t="s">
        <v>1338</v>
      </c>
      <c r="C10" s="68"/>
      <c r="D10" s="1212" t="s">
        <v>570</v>
      </c>
      <c r="E10" s="1772">
        <v>1.0580000000000001</v>
      </c>
      <c r="F10" s="1772">
        <v>1.0549999999999999</v>
      </c>
      <c r="G10" s="1212" t="s">
        <v>570</v>
      </c>
      <c r="H10" s="1772">
        <v>1.0680000000000001</v>
      </c>
      <c r="I10" s="1772">
        <v>1.0589999999999999</v>
      </c>
    </row>
    <row r="11" spans="1:10" s="41" customFormat="1" ht="15" customHeight="1">
      <c r="A11" s="60" t="s">
        <v>91</v>
      </c>
      <c r="B11" s="68" t="s">
        <v>1339</v>
      </c>
      <c r="C11" s="815" t="s">
        <v>138</v>
      </c>
      <c r="D11" s="814" t="s">
        <v>570</v>
      </c>
      <c r="E11" s="1770">
        <v>0.01</v>
      </c>
      <c r="F11" s="1770">
        <v>0.01</v>
      </c>
      <c r="G11" s="1774" t="s">
        <v>570</v>
      </c>
      <c r="H11" s="1770">
        <v>0.01</v>
      </c>
      <c r="I11" s="1770">
        <v>0.01</v>
      </c>
    </row>
    <row r="12" spans="1:10" s="41" customFormat="1" ht="15" customHeight="1">
      <c r="A12" s="60" t="s">
        <v>93</v>
      </c>
      <c r="B12" s="70" t="s">
        <v>1340</v>
      </c>
      <c r="C12" s="70"/>
      <c r="D12" s="814" t="s">
        <v>570</v>
      </c>
      <c r="E12" s="816">
        <f>(E14-D14)/D14</f>
        <v>0</v>
      </c>
      <c r="F12" s="816">
        <f>(F14-E14)/E14</f>
        <v>0</v>
      </c>
      <c r="G12" s="1774" t="s">
        <v>570</v>
      </c>
      <c r="H12" s="816">
        <f>(H14-G14)/G14</f>
        <v>0</v>
      </c>
      <c r="I12" s="816">
        <f>(I14-H14)/H14</f>
        <v>0</v>
      </c>
    </row>
    <row r="13" spans="1:10" s="41" customFormat="1" ht="45">
      <c r="A13" s="60" t="s">
        <v>1246</v>
      </c>
      <c r="B13" s="70" t="s">
        <v>1341</v>
      </c>
      <c r="C13" s="817" t="s">
        <v>1342</v>
      </c>
      <c r="D13" s="1211">
        <v>26444.12</v>
      </c>
      <c r="E13" s="1211">
        <v>26444.12</v>
      </c>
      <c r="F13" s="1211">
        <v>26444.12</v>
      </c>
      <c r="G13" s="1211">
        <v>27103.16</v>
      </c>
      <c r="H13" s="1211">
        <v>27103.16</v>
      </c>
      <c r="I13" s="1211">
        <v>27103.16</v>
      </c>
    </row>
    <row r="14" spans="1:10" s="41" customFormat="1" ht="30.75" customHeight="1">
      <c r="A14" s="60" t="s">
        <v>1248</v>
      </c>
      <c r="B14" s="68" t="s">
        <v>1343</v>
      </c>
      <c r="C14" s="1752" t="s">
        <v>53</v>
      </c>
      <c r="D14" s="1211">
        <v>872.98</v>
      </c>
      <c r="E14" s="308">
        <v>872.98</v>
      </c>
      <c r="F14" s="308">
        <v>872.98</v>
      </c>
      <c r="G14" s="1211">
        <v>888.98</v>
      </c>
      <c r="H14" s="308">
        <v>888.98</v>
      </c>
      <c r="I14" s="308">
        <v>888.98</v>
      </c>
    </row>
    <row r="15" spans="1:10" s="41" customFormat="1" ht="30">
      <c r="A15" s="60" t="s">
        <v>95</v>
      </c>
      <c r="B15" s="70" t="s">
        <v>1344</v>
      </c>
      <c r="C15" s="70"/>
      <c r="D15" s="814" t="s">
        <v>570</v>
      </c>
      <c r="E15" s="251">
        <v>0.75</v>
      </c>
      <c r="F15" s="251">
        <v>0.75</v>
      </c>
      <c r="G15" s="814" t="s">
        <v>570</v>
      </c>
      <c r="H15" s="251">
        <v>0.75</v>
      </c>
      <c r="I15" s="251">
        <v>0.75</v>
      </c>
    </row>
    <row r="16" spans="1:10" s="41" customFormat="1" ht="15" customHeight="1">
      <c r="A16" s="60" t="s">
        <v>97</v>
      </c>
      <c r="B16" s="70" t="s">
        <v>1345</v>
      </c>
      <c r="C16" s="817" t="s">
        <v>240</v>
      </c>
      <c r="D16" s="818">
        <v>2228416.9369408893</v>
      </c>
      <c r="E16" s="337">
        <v>2334088.4680906264</v>
      </c>
      <c r="F16" s="337">
        <v>2437838.7004972547</v>
      </c>
      <c r="G16" s="1773">
        <v>2426119.3170400001</v>
      </c>
      <c r="H16" s="337">
        <v>2733183.2650674405</v>
      </c>
      <c r="I16" s="337">
        <v>2874365.6644878509</v>
      </c>
    </row>
    <row r="17" spans="1:154">
      <c r="G17" s="1213"/>
      <c r="H17" s="1213">
        <f>H16/G16</f>
        <v>1.1265658889366066</v>
      </c>
      <c r="I17" s="1213">
        <f>I16/H16</f>
        <v>1.0516549333609821</v>
      </c>
    </row>
    <row r="18" spans="1:154">
      <c r="G18" s="1213"/>
      <c r="H18" s="1213"/>
      <c r="I18" s="1213"/>
    </row>
    <row r="19" spans="1:154">
      <c r="G19" s="1213"/>
      <c r="H19" s="1213"/>
      <c r="I19" s="1213"/>
    </row>
    <row r="20" spans="1:154">
      <c r="G20" s="1213"/>
      <c r="H20" s="1794">
        <v>2733185</v>
      </c>
      <c r="I20" s="1213"/>
    </row>
    <row r="21" spans="1:154">
      <c r="G21" s="1213"/>
      <c r="H21" s="1213">
        <f>H20-H16</f>
        <v>1.7349325595423579</v>
      </c>
      <c r="I21" s="1213"/>
    </row>
    <row r="22" spans="1:154" s="26" customFormat="1">
      <c r="A22" s="26" t="s">
        <v>88</v>
      </c>
    </row>
    <row r="23" spans="1:154" s="1756" customFormat="1" ht="30" customHeight="1">
      <c r="A23" s="1757" t="s">
        <v>89</v>
      </c>
      <c r="B23" s="1972" t="s">
        <v>1346</v>
      </c>
      <c r="C23" s="1974"/>
      <c r="D23" s="1974"/>
      <c r="E23" s="1974"/>
      <c r="F23" s="1974"/>
      <c r="G23" s="1974"/>
      <c r="H23" s="1974"/>
      <c r="I23" s="1974"/>
      <c r="J23" s="1757"/>
      <c r="K23" s="1757"/>
      <c r="L23" s="1757"/>
      <c r="M23" s="1757"/>
      <c r="N23" s="1757"/>
      <c r="O23" s="1757"/>
      <c r="P23" s="1757"/>
      <c r="Q23" s="1757"/>
      <c r="R23" s="1757"/>
      <c r="S23" s="1757"/>
      <c r="T23" s="1757"/>
      <c r="U23" s="1757"/>
      <c r="V23" s="1757"/>
      <c r="W23" s="1757"/>
      <c r="X23" s="1757"/>
      <c r="Y23" s="1757"/>
      <c r="Z23" s="1757"/>
      <c r="AA23" s="1757"/>
      <c r="AB23" s="1757"/>
      <c r="AC23" s="1757"/>
      <c r="AD23" s="1757"/>
      <c r="AE23" s="1757"/>
      <c r="AF23" s="1757"/>
      <c r="AG23" s="1757"/>
      <c r="AH23" s="1757"/>
      <c r="AI23" s="1757"/>
      <c r="AJ23" s="1757"/>
      <c r="AK23" s="1757"/>
      <c r="AL23" s="1757"/>
      <c r="AM23" s="1757"/>
      <c r="AN23" s="1757"/>
      <c r="AO23" s="1757"/>
      <c r="AP23" s="1757"/>
      <c r="AQ23" s="1757"/>
      <c r="AR23" s="1757"/>
      <c r="AS23" s="1757"/>
      <c r="AT23" s="1757"/>
      <c r="AU23" s="1757"/>
      <c r="AV23" s="1757"/>
      <c r="AW23" s="1757"/>
      <c r="AX23" s="1757"/>
      <c r="AY23" s="1757"/>
      <c r="AZ23" s="1757"/>
      <c r="BA23" s="1757"/>
      <c r="BB23" s="1757"/>
      <c r="BC23" s="1757"/>
      <c r="BD23" s="1757"/>
      <c r="BE23" s="1757"/>
      <c r="BF23" s="1757"/>
      <c r="BG23" s="1757"/>
      <c r="BH23" s="1757"/>
      <c r="BI23" s="1757"/>
      <c r="BJ23" s="1757"/>
      <c r="BK23" s="1757"/>
      <c r="BL23" s="1757"/>
      <c r="BM23" s="1757"/>
      <c r="BN23" s="1757"/>
      <c r="BO23" s="1757"/>
      <c r="BP23" s="1757"/>
      <c r="BQ23" s="1757"/>
      <c r="BR23" s="1757"/>
      <c r="BS23" s="1757"/>
      <c r="BT23" s="1757"/>
      <c r="BU23" s="1757"/>
      <c r="BV23" s="1757"/>
      <c r="BW23" s="1757"/>
      <c r="BX23" s="1757"/>
      <c r="BY23" s="1757"/>
      <c r="BZ23" s="1757"/>
      <c r="CA23" s="1757"/>
      <c r="CB23" s="1757"/>
      <c r="CC23" s="1757"/>
      <c r="CD23" s="1757"/>
      <c r="CE23" s="1757"/>
      <c r="CF23" s="1757"/>
      <c r="CG23" s="1757"/>
      <c r="CH23" s="1757"/>
      <c r="CI23" s="1757"/>
      <c r="CJ23" s="1757"/>
      <c r="CK23" s="1757"/>
      <c r="CL23" s="1757"/>
      <c r="CM23" s="1757"/>
      <c r="CN23" s="1757"/>
      <c r="CO23" s="1757"/>
      <c r="CP23" s="1757"/>
      <c r="CQ23" s="1757"/>
      <c r="CR23" s="1757"/>
      <c r="CS23" s="1757"/>
      <c r="CT23" s="1757"/>
      <c r="CU23" s="1757"/>
      <c r="CV23" s="1757"/>
      <c r="CW23" s="1757"/>
      <c r="CX23" s="1757"/>
      <c r="CY23" s="1757"/>
      <c r="CZ23" s="1757"/>
      <c r="DA23" s="1757"/>
      <c r="DB23" s="1757"/>
      <c r="DC23" s="1757"/>
      <c r="DD23" s="1757"/>
      <c r="DE23" s="1757"/>
      <c r="DF23" s="1757"/>
      <c r="DG23" s="1757"/>
      <c r="DH23" s="1757"/>
      <c r="DI23" s="1757"/>
      <c r="DJ23" s="1757"/>
      <c r="DK23" s="1757"/>
      <c r="DL23" s="1757"/>
      <c r="DM23" s="1757"/>
      <c r="DN23" s="1757"/>
      <c r="DO23" s="1757"/>
      <c r="DP23" s="1757"/>
      <c r="DQ23" s="1757"/>
      <c r="DR23" s="1757"/>
      <c r="DS23" s="1757"/>
      <c r="DT23" s="1757"/>
      <c r="DU23" s="1757"/>
      <c r="DV23" s="1757"/>
      <c r="DW23" s="1757"/>
      <c r="DX23" s="1757"/>
      <c r="DY23" s="1757"/>
      <c r="DZ23" s="1757"/>
      <c r="EA23" s="1757"/>
      <c r="EB23" s="1757"/>
      <c r="EC23" s="1757"/>
      <c r="ED23" s="1757"/>
      <c r="EE23" s="1757"/>
      <c r="EF23" s="1757"/>
      <c r="EG23" s="1757"/>
      <c r="EH23" s="1757"/>
      <c r="EI23" s="1757"/>
      <c r="EJ23" s="1757"/>
      <c r="EK23" s="1757"/>
      <c r="EL23" s="1757"/>
      <c r="EM23" s="1757"/>
      <c r="EN23" s="1757"/>
      <c r="EO23" s="1757"/>
      <c r="EP23" s="1757"/>
      <c r="EQ23" s="1757"/>
      <c r="ER23" s="1757"/>
      <c r="ES23" s="1757"/>
      <c r="ET23" s="1757"/>
      <c r="EU23" s="1757"/>
      <c r="EV23" s="1757"/>
      <c r="EW23" s="1757"/>
      <c r="EX23" s="1757"/>
    </row>
    <row r="24" spans="1:154" s="1756" customFormat="1" ht="80.25" customHeight="1">
      <c r="A24" s="1757" t="s">
        <v>91</v>
      </c>
      <c r="B24" s="1972" t="s">
        <v>1347</v>
      </c>
      <c r="C24" s="1973"/>
      <c r="D24" s="1973"/>
      <c r="E24" s="1973"/>
      <c r="F24" s="1973"/>
      <c r="G24" s="1973"/>
      <c r="H24" s="1973"/>
      <c r="I24" s="1973"/>
      <c r="J24" s="1757"/>
      <c r="K24" s="1757"/>
      <c r="L24" s="1757"/>
      <c r="M24" s="1757"/>
      <c r="N24" s="1757"/>
      <c r="O24" s="1757"/>
      <c r="P24" s="1757"/>
      <c r="Q24" s="1757"/>
      <c r="R24" s="1757"/>
      <c r="S24" s="1757"/>
      <c r="T24" s="1757"/>
      <c r="U24" s="1757"/>
      <c r="V24" s="1757"/>
      <c r="W24" s="1757"/>
      <c r="X24" s="1757"/>
      <c r="Y24" s="1757"/>
      <c r="Z24" s="1757"/>
      <c r="AA24" s="1757"/>
      <c r="AB24" s="1757"/>
      <c r="AC24" s="1757"/>
      <c r="AD24" s="1757"/>
      <c r="AE24" s="1757"/>
      <c r="AF24" s="1757"/>
      <c r="AG24" s="1757"/>
      <c r="AH24" s="1757"/>
      <c r="AI24" s="1757"/>
      <c r="AJ24" s="1757"/>
      <c r="AK24" s="1757"/>
      <c r="AL24" s="1757"/>
      <c r="AM24" s="1757"/>
      <c r="AN24" s="1757"/>
      <c r="AO24" s="1757"/>
      <c r="AP24" s="1757"/>
      <c r="AQ24" s="1757"/>
      <c r="AR24" s="1757"/>
      <c r="AS24" s="1757"/>
      <c r="AT24" s="1757"/>
      <c r="AU24" s="1757"/>
      <c r="AV24" s="1757"/>
      <c r="AW24" s="1757"/>
      <c r="AX24" s="1757"/>
      <c r="AY24" s="1757"/>
      <c r="AZ24" s="1757"/>
      <c r="BA24" s="1757"/>
      <c r="BB24" s="1757"/>
      <c r="BC24" s="1757"/>
      <c r="BD24" s="1757"/>
      <c r="BE24" s="1757"/>
      <c r="BF24" s="1757"/>
      <c r="BG24" s="1757"/>
      <c r="BH24" s="1757"/>
      <c r="BI24" s="1757"/>
      <c r="BJ24" s="1757"/>
      <c r="BK24" s="1757"/>
      <c r="BL24" s="1757"/>
      <c r="BM24" s="1757"/>
      <c r="BN24" s="1757"/>
      <c r="BO24" s="1757"/>
      <c r="BP24" s="1757"/>
      <c r="BQ24" s="1757"/>
      <c r="BR24" s="1757"/>
      <c r="BS24" s="1757"/>
      <c r="BT24" s="1757"/>
      <c r="BU24" s="1757"/>
      <c r="BV24" s="1757"/>
      <c r="BW24" s="1757"/>
      <c r="BX24" s="1757"/>
      <c r="BY24" s="1757"/>
      <c r="BZ24" s="1757"/>
      <c r="CA24" s="1757"/>
      <c r="CB24" s="1757"/>
      <c r="CC24" s="1757"/>
      <c r="CD24" s="1757"/>
      <c r="CE24" s="1757"/>
      <c r="CF24" s="1757"/>
      <c r="CG24" s="1757"/>
      <c r="CH24" s="1757"/>
      <c r="CI24" s="1757"/>
      <c r="CJ24" s="1757"/>
      <c r="CK24" s="1757"/>
      <c r="CL24" s="1757"/>
      <c r="CM24" s="1757"/>
      <c r="CN24" s="1757"/>
      <c r="CO24" s="1757"/>
      <c r="CP24" s="1757"/>
      <c r="CQ24" s="1757"/>
      <c r="CR24" s="1757"/>
      <c r="CS24" s="1757"/>
      <c r="CT24" s="1757"/>
      <c r="CU24" s="1757"/>
      <c r="CV24" s="1757"/>
      <c r="CW24" s="1757"/>
      <c r="CX24" s="1757"/>
      <c r="CY24" s="1757"/>
      <c r="CZ24" s="1757"/>
      <c r="DA24" s="1757"/>
      <c r="DB24" s="1757"/>
      <c r="DC24" s="1757"/>
      <c r="DD24" s="1757"/>
    </row>
    <row r="25" spans="1:154" ht="15.75" customHeight="1">
      <c r="A25" s="1757" t="s">
        <v>93</v>
      </c>
      <c r="B25" s="1972" t="s">
        <v>1348</v>
      </c>
      <c r="C25" s="1973"/>
      <c r="D25" s="1973"/>
      <c r="E25" s="1973"/>
      <c r="F25" s="1973"/>
      <c r="G25" s="1973"/>
      <c r="H25" s="1973"/>
      <c r="I25" s="1973"/>
      <c r="J25" s="1757"/>
      <c r="K25" s="1757"/>
      <c r="L25" s="1757"/>
      <c r="M25" s="1757"/>
      <c r="N25" s="1757"/>
      <c r="O25" s="1757"/>
      <c r="P25" s="1757"/>
      <c r="Q25" s="1757"/>
      <c r="R25" s="1757"/>
      <c r="S25" s="1757"/>
      <c r="T25" s="1757"/>
      <c r="U25" s="1757"/>
      <c r="V25" s="1757"/>
      <c r="W25" s="1757"/>
      <c r="X25" s="1757"/>
      <c r="Y25" s="1757"/>
      <c r="Z25" s="1757"/>
      <c r="AA25" s="1757"/>
      <c r="AB25" s="1757"/>
      <c r="AC25" s="1757"/>
      <c r="AD25" s="1757"/>
      <c r="AE25" s="1757"/>
      <c r="AF25" s="1757"/>
      <c r="AG25" s="1757"/>
      <c r="AH25" s="1757"/>
      <c r="AI25" s="1757"/>
      <c r="AJ25" s="1757"/>
      <c r="AK25" s="1757"/>
      <c r="AL25" s="1757"/>
      <c r="AM25" s="1757"/>
      <c r="AN25" s="1757"/>
      <c r="AO25" s="1757"/>
      <c r="AP25" s="1757"/>
      <c r="AQ25" s="1757"/>
      <c r="AR25" s="1757"/>
      <c r="AS25" s="1757"/>
      <c r="AT25" s="1757"/>
      <c r="AU25" s="1757"/>
      <c r="AV25" s="1757"/>
      <c r="AW25" s="1757"/>
      <c r="AX25" s="1757"/>
      <c r="AY25" s="1757"/>
      <c r="AZ25" s="1757"/>
      <c r="BA25" s="1757"/>
      <c r="BB25" s="1757"/>
      <c r="BC25" s="1757"/>
      <c r="BD25" s="1757"/>
      <c r="BE25" s="1757"/>
      <c r="BF25" s="1757"/>
      <c r="BG25" s="1757"/>
      <c r="BH25" s="1757"/>
      <c r="BI25" s="1757"/>
      <c r="BJ25" s="1757"/>
      <c r="BK25" s="1757"/>
      <c r="BL25" s="1757"/>
      <c r="BM25" s="1757"/>
      <c r="BN25" s="1757"/>
      <c r="BO25" s="1757"/>
      <c r="BP25" s="1757"/>
      <c r="BQ25" s="1757"/>
      <c r="BR25" s="1757"/>
      <c r="BS25" s="1757"/>
      <c r="BT25" s="1757"/>
      <c r="BU25" s="1757"/>
      <c r="BV25" s="1757"/>
      <c r="BW25" s="1757"/>
      <c r="BX25" s="1757"/>
      <c r="BY25" s="1757"/>
      <c r="BZ25" s="1757"/>
      <c r="CA25" s="1757"/>
      <c r="CB25" s="1757"/>
      <c r="CC25" s="1757"/>
      <c r="CD25" s="1757"/>
      <c r="CE25" s="1757"/>
      <c r="CF25" s="1757"/>
      <c r="CG25" s="1757"/>
      <c r="CH25" s="1757"/>
      <c r="CI25" s="1757"/>
      <c r="CJ25" s="1757"/>
      <c r="CK25" s="1757"/>
      <c r="CL25" s="1757"/>
      <c r="CM25" s="1757"/>
      <c r="CN25" s="1757"/>
      <c r="CO25" s="1757"/>
      <c r="CP25" s="1757"/>
      <c r="CQ25" s="1757"/>
      <c r="CR25" s="1757"/>
      <c r="CS25" s="1757"/>
      <c r="CT25" s="1757"/>
      <c r="CU25" s="1757"/>
      <c r="CV25" s="1757"/>
      <c r="CW25" s="1757"/>
      <c r="CX25" s="1757"/>
      <c r="CY25" s="1757"/>
      <c r="CZ25" s="1757"/>
      <c r="DA25" s="1757"/>
      <c r="DB25" s="1757"/>
      <c r="DC25" s="1757"/>
      <c r="DD25" s="1757"/>
    </row>
    <row r="26" spans="1:154" ht="34.5" customHeight="1">
      <c r="A26" s="1757" t="s">
        <v>95</v>
      </c>
      <c r="B26" s="1972" t="s">
        <v>1349</v>
      </c>
      <c r="C26" s="1973"/>
      <c r="D26" s="1973"/>
      <c r="E26" s="1973"/>
      <c r="F26" s="1973"/>
      <c r="G26" s="1973"/>
      <c r="H26" s="1973"/>
      <c r="I26" s="1973"/>
      <c r="J26" s="1757"/>
      <c r="K26" s="1757"/>
      <c r="L26" s="1757"/>
      <c r="M26" s="1757"/>
      <c r="N26" s="1757"/>
      <c r="O26" s="1757"/>
      <c r="P26" s="1757"/>
      <c r="Q26" s="1757"/>
      <c r="R26" s="1757"/>
      <c r="S26" s="1757"/>
      <c r="T26" s="1757"/>
      <c r="U26" s="1757"/>
      <c r="V26" s="1757"/>
      <c r="W26" s="1757"/>
      <c r="X26" s="1757"/>
      <c r="Y26" s="1757"/>
      <c r="Z26" s="1757"/>
      <c r="AA26" s="1757"/>
      <c r="AB26" s="1757"/>
      <c r="AC26" s="1757"/>
      <c r="AD26" s="1757"/>
      <c r="AE26" s="1757"/>
      <c r="AF26" s="1757"/>
      <c r="AG26" s="1757"/>
      <c r="AH26" s="1757"/>
      <c r="AI26" s="1757"/>
      <c r="AJ26" s="1757"/>
      <c r="AK26" s="1757"/>
      <c r="AL26" s="1757"/>
      <c r="AM26" s="1757"/>
      <c r="AN26" s="1757"/>
      <c r="AO26" s="1757"/>
      <c r="AP26" s="1757"/>
      <c r="AQ26" s="1757"/>
      <c r="AR26" s="1757"/>
      <c r="AS26" s="1757"/>
      <c r="AT26" s="1757"/>
      <c r="AU26" s="1757"/>
      <c r="AV26" s="1757"/>
      <c r="AW26" s="1757"/>
      <c r="AX26" s="1757"/>
      <c r="AY26" s="1757"/>
      <c r="AZ26" s="1757"/>
      <c r="BA26" s="1757"/>
      <c r="BB26" s="1757"/>
      <c r="BC26" s="1757"/>
      <c r="BD26" s="1757"/>
      <c r="BE26" s="1757"/>
      <c r="BF26" s="1757"/>
      <c r="BG26" s="1757"/>
      <c r="BH26" s="1757"/>
      <c r="BI26" s="1757"/>
      <c r="BJ26" s="1757"/>
      <c r="BK26" s="1757"/>
      <c r="BL26" s="1757"/>
      <c r="BM26" s="1757"/>
      <c r="BN26" s="1757"/>
      <c r="BO26" s="1757"/>
      <c r="BP26" s="1757"/>
      <c r="BQ26" s="1757"/>
      <c r="BR26" s="1757"/>
      <c r="BS26" s="1757"/>
      <c r="BT26" s="1757"/>
      <c r="BU26" s="1757"/>
      <c r="BV26" s="1757"/>
      <c r="BW26" s="1757"/>
      <c r="BX26" s="1757"/>
      <c r="BY26" s="1757"/>
      <c r="BZ26" s="1757"/>
      <c r="CA26" s="1757"/>
      <c r="CB26" s="1757"/>
      <c r="CC26" s="1757"/>
      <c r="CD26" s="1757"/>
      <c r="CE26" s="1757"/>
      <c r="CF26" s="1757"/>
      <c r="CG26" s="1757"/>
      <c r="CH26" s="1757"/>
      <c r="CI26" s="1757"/>
      <c r="CJ26" s="1757"/>
      <c r="CK26" s="1757"/>
      <c r="CL26" s="1757"/>
      <c r="CM26" s="1757"/>
      <c r="CN26" s="1757"/>
      <c r="CO26" s="1757"/>
      <c r="CP26" s="1757"/>
      <c r="CQ26" s="1757"/>
      <c r="CR26" s="1757"/>
      <c r="CS26" s="1757"/>
      <c r="CT26" s="1757"/>
      <c r="CU26" s="1757"/>
      <c r="CV26" s="1757"/>
      <c r="CW26" s="1757"/>
      <c r="CX26" s="1757"/>
      <c r="CY26" s="1757"/>
      <c r="CZ26" s="1757"/>
      <c r="DA26" s="1757"/>
      <c r="DB26" s="1757"/>
      <c r="DC26" s="1757"/>
      <c r="DD26" s="1757"/>
    </row>
  </sheetData>
  <mergeCells count="11">
    <mergeCell ref="B23:I23"/>
    <mergeCell ref="B24:I24"/>
    <mergeCell ref="B25:I25"/>
    <mergeCell ref="B26:I26"/>
    <mergeCell ref="A3:I3"/>
    <mergeCell ref="A6:A8"/>
    <mergeCell ref="B6:B8"/>
    <mergeCell ref="C6:C8"/>
    <mergeCell ref="D6:I6"/>
    <mergeCell ref="D7:F7"/>
    <mergeCell ref="G7:I7"/>
  </mergeCells>
  <pageMargins left="0.78740157480314965" right="0.51181102362204722" top="0.59055118110236227" bottom="0.39370078740157483" header="0.19685039370078741" footer="0.19685039370078741"/>
  <pageSetup paperSize="9" scale="60" orientation="portrait" r:id="rId1"/>
  <headerFooter alignWithMargins="0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EX26"/>
  <sheetViews>
    <sheetView view="pageBreakPreview" zoomScaleNormal="100" workbookViewId="0">
      <pane ySplit="9" topLeftCell="A10" activePane="bottomLeft" state="frozen"/>
      <selection activeCell="G17" sqref="G17"/>
      <selection pane="bottomLeft" activeCell="L13" sqref="L13"/>
    </sheetView>
  </sheetViews>
  <sheetFormatPr defaultColWidth="2.7109375" defaultRowHeight="15"/>
  <cols>
    <col min="1" max="1" width="5" style="1" customWidth="1"/>
    <col min="2" max="2" width="49" style="1" customWidth="1"/>
    <col min="3" max="7" width="13.7109375" style="1" customWidth="1"/>
    <col min="8" max="8" width="14.5703125" style="1" customWidth="1"/>
    <col min="9" max="9" width="13.7109375" style="1" customWidth="1"/>
    <col min="10" max="10" width="8.28515625" style="1" customWidth="1"/>
    <col min="11" max="11" width="10.85546875" style="1" customWidth="1"/>
    <col min="12" max="61" width="8.28515625" style="1" customWidth="1"/>
    <col min="62" max="16384" width="2.7109375" style="1"/>
  </cols>
  <sheetData>
    <row r="1" spans="1:12" s="5" customFormat="1" ht="18" customHeight="1">
      <c r="A1" s="74" t="s">
        <v>1860</v>
      </c>
      <c r="I1" s="6" t="s">
        <v>1331</v>
      </c>
    </row>
    <row r="2" spans="1:12" ht="12.75" customHeight="1">
      <c r="A2" s="1244" t="s">
        <v>1681</v>
      </c>
      <c r="J2" s="813" t="s">
        <v>1332</v>
      </c>
    </row>
    <row r="3" spans="1:12" ht="57.75" customHeight="1">
      <c r="A3" s="1915" t="s">
        <v>1333</v>
      </c>
      <c r="B3" s="1915"/>
      <c r="C3" s="1915"/>
      <c r="D3" s="1915"/>
      <c r="E3" s="1915"/>
      <c r="F3" s="1915"/>
      <c r="G3" s="1915"/>
      <c r="H3" s="1915"/>
      <c r="I3" s="1915"/>
    </row>
    <row r="4" spans="1:12" ht="12.75" customHeight="1">
      <c r="B4" s="1232"/>
      <c r="C4" s="1232"/>
      <c r="D4" s="1751"/>
      <c r="E4" s="1751"/>
      <c r="F4" s="1751"/>
      <c r="G4" s="1232"/>
      <c r="H4" s="1232"/>
      <c r="I4" s="1232"/>
    </row>
    <row r="5" spans="1:12" ht="14.25" customHeight="1">
      <c r="A5" s="812" t="s">
        <v>1329</v>
      </c>
      <c r="I5" s="23" t="s">
        <v>360</v>
      </c>
    </row>
    <row r="6" spans="1:12" s="3" customFormat="1" ht="15" customHeight="1">
      <c r="A6" s="1858" t="s">
        <v>0</v>
      </c>
      <c r="B6" s="1858" t="s">
        <v>1334</v>
      </c>
      <c r="C6" s="1858" t="s">
        <v>2</v>
      </c>
      <c r="D6" s="1873" t="s">
        <v>1335</v>
      </c>
      <c r="E6" s="1975"/>
      <c r="F6" s="1975"/>
      <c r="G6" s="1975"/>
      <c r="H6" s="1975"/>
      <c r="I6" s="1975"/>
    </row>
    <row r="7" spans="1:12" s="3" customFormat="1">
      <c r="A7" s="1859"/>
      <c r="B7" s="1859"/>
      <c r="C7" s="1859"/>
      <c r="D7" s="1976" t="s">
        <v>1962</v>
      </c>
      <c r="E7" s="1976"/>
      <c r="F7" s="1977"/>
      <c r="G7" s="1978" t="s">
        <v>1961</v>
      </c>
      <c r="H7" s="1976"/>
      <c r="I7" s="1976"/>
    </row>
    <row r="8" spans="1:12" s="3" customFormat="1" ht="30" customHeight="1">
      <c r="A8" s="1971"/>
      <c r="B8" s="1971"/>
      <c r="C8" s="1971"/>
      <c r="D8" s="1753" t="s">
        <v>1336</v>
      </c>
      <c r="E8" s="1753" t="s">
        <v>1337</v>
      </c>
      <c r="F8" s="1753" t="s">
        <v>1715</v>
      </c>
      <c r="G8" s="1753" t="s">
        <v>1336</v>
      </c>
      <c r="H8" s="1753" t="s">
        <v>1337</v>
      </c>
      <c r="I8" s="1753" t="s">
        <v>1715</v>
      </c>
    </row>
    <row r="9" spans="1:12" s="2" customFormat="1">
      <c r="A9" s="13">
        <v>1</v>
      </c>
      <c r="B9" s="13">
        <v>2</v>
      </c>
      <c r="C9" s="13">
        <v>3</v>
      </c>
      <c r="D9" s="13">
        <v>4</v>
      </c>
      <c r="E9" s="13">
        <v>5</v>
      </c>
      <c r="F9" s="13">
        <v>6</v>
      </c>
      <c r="G9" s="13">
        <v>7</v>
      </c>
      <c r="H9" s="13">
        <v>8</v>
      </c>
      <c r="I9" s="13">
        <v>9</v>
      </c>
    </row>
    <row r="10" spans="1:12" s="41" customFormat="1" ht="30">
      <c r="A10" s="60" t="s">
        <v>89</v>
      </c>
      <c r="B10" s="68" t="s">
        <v>1338</v>
      </c>
      <c r="C10" s="68"/>
      <c r="D10" s="1212" t="s">
        <v>570</v>
      </c>
      <c r="E10" s="1772">
        <v>1.0580000000000001</v>
      </c>
      <c r="F10" s="1772">
        <v>1.0549999999999999</v>
      </c>
      <c r="G10" s="1212" t="s">
        <v>570</v>
      </c>
      <c r="H10" s="1772">
        <v>1.0680000000000001</v>
      </c>
      <c r="I10" s="1772">
        <v>1.0589999999999999</v>
      </c>
    </row>
    <row r="11" spans="1:12" s="41" customFormat="1" ht="15" customHeight="1">
      <c r="A11" s="60" t="s">
        <v>91</v>
      </c>
      <c r="B11" s="68" t="s">
        <v>1339</v>
      </c>
      <c r="C11" s="815" t="s">
        <v>138</v>
      </c>
      <c r="D11" s="814" t="s">
        <v>570</v>
      </c>
      <c r="E11" s="1770">
        <v>0.01</v>
      </c>
      <c r="F11" s="1770">
        <v>0.01</v>
      </c>
      <c r="G11" s="1774" t="s">
        <v>570</v>
      </c>
      <c r="H11" s="1770">
        <v>0.01</v>
      </c>
      <c r="I11" s="1771">
        <v>0.01</v>
      </c>
    </row>
    <row r="12" spans="1:12" s="41" customFormat="1" ht="15" customHeight="1">
      <c r="A12" s="60" t="s">
        <v>93</v>
      </c>
      <c r="B12" s="70" t="s">
        <v>1340</v>
      </c>
      <c r="C12" s="70"/>
      <c r="D12" s="814" t="s">
        <v>570</v>
      </c>
      <c r="E12" s="816">
        <f>(E14-D14)/D14</f>
        <v>0</v>
      </c>
      <c r="F12" s="816">
        <f>(F14-E14)/E14</f>
        <v>0</v>
      </c>
      <c r="G12" s="1774" t="s">
        <v>570</v>
      </c>
      <c r="H12" s="816">
        <f>(H14-G14)/G14</f>
        <v>0</v>
      </c>
      <c r="I12" s="816">
        <f>(I14-H14)/H14</f>
        <v>0</v>
      </c>
    </row>
    <row r="13" spans="1:12" s="41" customFormat="1" ht="45">
      <c r="A13" s="60" t="s">
        <v>1246</v>
      </c>
      <c r="B13" s="70" t="s">
        <v>1341</v>
      </c>
      <c r="C13" s="817" t="s">
        <v>1342</v>
      </c>
      <c r="D13" s="1212" t="s">
        <v>570</v>
      </c>
      <c r="E13" s="805"/>
      <c r="F13" s="805"/>
      <c r="G13" s="1212" t="s">
        <v>570</v>
      </c>
      <c r="H13" s="805"/>
      <c r="I13" s="805"/>
    </row>
    <row r="14" spans="1:12" s="41" customFormat="1" ht="30.75" customHeight="1">
      <c r="A14" s="60" t="s">
        <v>1248</v>
      </c>
      <c r="B14" s="68" t="s">
        <v>1343</v>
      </c>
      <c r="C14" s="1233" t="s">
        <v>53</v>
      </c>
      <c r="D14" s="1211">
        <v>872.98</v>
      </c>
      <c r="E14" s="308">
        <v>872.98</v>
      </c>
      <c r="F14" s="308">
        <v>872.98</v>
      </c>
      <c r="G14" s="1211">
        <v>888.98</v>
      </c>
      <c r="H14" s="308">
        <v>888.98</v>
      </c>
      <c r="I14" s="308">
        <v>888.98</v>
      </c>
    </row>
    <row r="15" spans="1:12" s="41" customFormat="1" ht="30">
      <c r="A15" s="60" t="s">
        <v>95</v>
      </c>
      <c r="B15" s="70" t="s">
        <v>1344</v>
      </c>
      <c r="C15" s="70"/>
      <c r="D15" s="814" t="s">
        <v>570</v>
      </c>
      <c r="E15" s="251">
        <v>0.75</v>
      </c>
      <c r="F15" s="251">
        <v>0.75</v>
      </c>
      <c r="G15" s="814" t="s">
        <v>570</v>
      </c>
      <c r="H15" s="251">
        <v>0.75</v>
      </c>
      <c r="I15" s="251">
        <v>0.75</v>
      </c>
    </row>
    <row r="16" spans="1:12" s="41" customFormat="1" ht="15" customHeight="1">
      <c r="A16" s="60" t="s">
        <v>97</v>
      </c>
      <c r="B16" s="70" t="s">
        <v>1345</v>
      </c>
      <c r="C16" s="817" t="s">
        <v>240</v>
      </c>
      <c r="D16" s="818">
        <v>1167216.3978041511</v>
      </c>
      <c r="E16" s="337">
        <v>1222565.7993880238</v>
      </c>
      <c r="F16" s="337">
        <v>1276908.8491708213</v>
      </c>
      <c r="G16" s="1773">
        <v>1222820.7807999998</v>
      </c>
      <c r="H16" s="337">
        <v>1480141.2500000002</v>
      </c>
      <c r="I16" s="337">
        <v>1551221.0726118055</v>
      </c>
      <c r="K16" s="1209"/>
      <c r="L16" s="1209"/>
    </row>
    <row r="17" spans="1:154">
      <c r="G17" s="1213"/>
      <c r="H17" s="1213">
        <f>H16/G16</f>
        <v>1.210431874597073</v>
      </c>
      <c r="I17" s="1213">
        <f>I16/H16</f>
        <v>1.0480223239584772</v>
      </c>
      <c r="L17" s="1445"/>
    </row>
    <row r="18" spans="1:154">
      <c r="G18" s="1213"/>
      <c r="H18" s="1213"/>
      <c r="I18" s="1213"/>
    </row>
    <row r="19" spans="1:154">
      <c r="G19" s="1213"/>
      <c r="H19" s="1778">
        <v>1324531.2363200001</v>
      </c>
      <c r="I19" s="1778">
        <v>1388077.9781695567</v>
      </c>
    </row>
    <row r="20" spans="1:154">
      <c r="G20" s="1213"/>
      <c r="H20" s="1213"/>
      <c r="I20" s="1213"/>
    </row>
    <row r="21" spans="1:154">
      <c r="G21" s="1213"/>
      <c r="H21" s="389">
        <f>(1-H11)*H10*(1+H12*H15)</f>
        <v>1.05732</v>
      </c>
      <c r="I21" s="389">
        <f>(1-I11)*I10*(1+I12*I15)</f>
        <v>1.0484099999999998</v>
      </c>
    </row>
    <row r="22" spans="1:154" s="26" customFormat="1">
      <c r="A22" s="26" t="s">
        <v>88</v>
      </c>
    </row>
    <row r="23" spans="1:154" s="1234" customFormat="1" ht="30" customHeight="1">
      <c r="A23" s="1235" t="s">
        <v>89</v>
      </c>
      <c r="B23" s="1972" t="s">
        <v>1346</v>
      </c>
      <c r="C23" s="1974"/>
      <c r="D23" s="1974"/>
      <c r="E23" s="1974"/>
      <c r="F23" s="1974"/>
      <c r="G23" s="1974"/>
      <c r="H23" s="1974"/>
      <c r="I23" s="1974"/>
      <c r="J23" s="1235"/>
      <c r="K23" s="1235"/>
      <c r="L23" s="1235"/>
      <c r="M23" s="1235"/>
      <c r="N23" s="1235"/>
      <c r="O23" s="1235"/>
      <c r="P23" s="1235"/>
      <c r="Q23" s="1235"/>
      <c r="R23" s="1235"/>
      <c r="S23" s="1235"/>
      <c r="T23" s="1235"/>
      <c r="U23" s="1235"/>
      <c r="V23" s="1235"/>
      <c r="W23" s="1235"/>
      <c r="X23" s="1235"/>
      <c r="Y23" s="1235"/>
      <c r="Z23" s="1235"/>
      <c r="AA23" s="1235"/>
      <c r="AB23" s="1235"/>
      <c r="AC23" s="1235"/>
      <c r="AD23" s="1235"/>
      <c r="AE23" s="1235"/>
      <c r="AF23" s="1235"/>
      <c r="AG23" s="1235"/>
      <c r="AH23" s="1235"/>
      <c r="AI23" s="1235"/>
      <c r="AJ23" s="1235"/>
      <c r="AK23" s="1235"/>
      <c r="AL23" s="1235"/>
      <c r="AM23" s="1235"/>
      <c r="AN23" s="1235"/>
      <c r="AO23" s="1235"/>
      <c r="AP23" s="1235"/>
      <c r="AQ23" s="1235"/>
      <c r="AR23" s="1235"/>
      <c r="AS23" s="1235"/>
      <c r="AT23" s="1235"/>
      <c r="AU23" s="1235"/>
      <c r="AV23" s="1235"/>
      <c r="AW23" s="1235"/>
      <c r="AX23" s="1235"/>
      <c r="AY23" s="1235"/>
      <c r="AZ23" s="1235"/>
      <c r="BA23" s="1235"/>
      <c r="BB23" s="1235"/>
      <c r="BC23" s="1235"/>
      <c r="BD23" s="1235"/>
      <c r="BE23" s="1235"/>
      <c r="BF23" s="1235"/>
      <c r="BG23" s="1235"/>
      <c r="BH23" s="1235"/>
      <c r="BI23" s="1235"/>
      <c r="BJ23" s="1235"/>
      <c r="BK23" s="1235"/>
      <c r="BL23" s="1235"/>
      <c r="BM23" s="1235"/>
      <c r="BN23" s="1235"/>
      <c r="BO23" s="1235"/>
      <c r="BP23" s="1235"/>
      <c r="BQ23" s="1235"/>
      <c r="BR23" s="1235"/>
      <c r="BS23" s="1235"/>
      <c r="BT23" s="1235"/>
      <c r="BU23" s="1235"/>
      <c r="BV23" s="1235"/>
      <c r="BW23" s="1235"/>
      <c r="BX23" s="1235"/>
      <c r="BY23" s="1235"/>
      <c r="BZ23" s="1235"/>
      <c r="CA23" s="1235"/>
      <c r="CB23" s="1235"/>
      <c r="CC23" s="1235"/>
      <c r="CD23" s="1235"/>
      <c r="CE23" s="1235"/>
      <c r="CF23" s="1235"/>
      <c r="CG23" s="1235"/>
      <c r="CH23" s="1235"/>
      <c r="CI23" s="1235"/>
      <c r="CJ23" s="1235"/>
      <c r="CK23" s="1235"/>
      <c r="CL23" s="1235"/>
      <c r="CM23" s="1235"/>
      <c r="CN23" s="1235"/>
      <c r="CO23" s="1235"/>
      <c r="CP23" s="1235"/>
      <c r="CQ23" s="1235"/>
      <c r="CR23" s="1235"/>
      <c r="CS23" s="1235"/>
      <c r="CT23" s="1235"/>
      <c r="CU23" s="1235"/>
      <c r="CV23" s="1235"/>
      <c r="CW23" s="1235"/>
      <c r="CX23" s="1235"/>
      <c r="CY23" s="1235"/>
      <c r="CZ23" s="1235"/>
      <c r="DA23" s="1235"/>
      <c r="DB23" s="1235"/>
      <c r="DC23" s="1235"/>
      <c r="DD23" s="1235"/>
      <c r="DE23" s="1235"/>
      <c r="DF23" s="1235"/>
      <c r="DG23" s="1235"/>
      <c r="DH23" s="1235"/>
      <c r="DI23" s="1235"/>
      <c r="DJ23" s="1235"/>
      <c r="DK23" s="1235"/>
      <c r="DL23" s="1235"/>
      <c r="DM23" s="1235"/>
      <c r="DN23" s="1235"/>
      <c r="DO23" s="1235"/>
      <c r="DP23" s="1235"/>
      <c r="DQ23" s="1235"/>
      <c r="DR23" s="1235"/>
      <c r="DS23" s="1235"/>
      <c r="DT23" s="1235"/>
      <c r="DU23" s="1235"/>
      <c r="DV23" s="1235"/>
      <c r="DW23" s="1235"/>
      <c r="DX23" s="1235"/>
      <c r="DY23" s="1235"/>
      <c r="DZ23" s="1235"/>
      <c r="EA23" s="1235"/>
      <c r="EB23" s="1235"/>
      <c r="EC23" s="1235"/>
      <c r="ED23" s="1235"/>
      <c r="EE23" s="1235"/>
      <c r="EF23" s="1235"/>
      <c r="EG23" s="1235"/>
      <c r="EH23" s="1235"/>
      <c r="EI23" s="1235"/>
      <c r="EJ23" s="1235"/>
      <c r="EK23" s="1235"/>
      <c r="EL23" s="1235"/>
      <c r="EM23" s="1235"/>
      <c r="EN23" s="1235"/>
      <c r="EO23" s="1235"/>
      <c r="EP23" s="1235"/>
      <c r="EQ23" s="1235"/>
      <c r="ER23" s="1235"/>
      <c r="ES23" s="1235"/>
      <c r="ET23" s="1235"/>
      <c r="EU23" s="1235"/>
      <c r="EV23" s="1235"/>
      <c r="EW23" s="1235"/>
      <c r="EX23" s="1235"/>
    </row>
    <row r="24" spans="1:154" s="1234" customFormat="1" ht="80.25" customHeight="1">
      <c r="A24" s="1235" t="s">
        <v>91</v>
      </c>
      <c r="B24" s="1972" t="s">
        <v>1347</v>
      </c>
      <c r="C24" s="1973"/>
      <c r="D24" s="1973"/>
      <c r="E24" s="1973"/>
      <c r="F24" s="1973"/>
      <c r="G24" s="1973"/>
      <c r="H24" s="1973"/>
      <c r="I24" s="1973"/>
      <c r="J24" s="1235"/>
      <c r="K24" s="1235"/>
      <c r="L24" s="1235"/>
      <c r="M24" s="1235"/>
      <c r="N24" s="1235"/>
      <c r="O24" s="1235"/>
      <c r="P24" s="1235"/>
      <c r="Q24" s="1235"/>
      <c r="R24" s="1235"/>
      <c r="S24" s="1235"/>
      <c r="T24" s="1235"/>
      <c r="U24" s="1235"/>
      <c r="V24" s="1235"/>
      <c r="W24" s="1235"/>
      <c r="X24" s="1235"/>
      <c r="Y24" s="1235"/>
      <c r="Z24" s="1235"/>
      <c r="AA24" s="1235"/>
      <c r="AB24" s="1235"/>
      <c r="AC24" s="1235"/>
      <c r="AD24" s="1235"/>
      <c r="AE24" s="1235"/>
      <c r="AF24" s="1235"/>
      <c r="AG24" s="1235"/>
      <c r="AH24" s="1235"/>
      <c r="AI24" s="1235"/>
      <c r="AJ24" s="1235"/>
      <c r="AK24" s="1235"/>
      <c r="AL24" s="1235"/>
      <c r="AM24" s="1235"/>
      <c r="AN24" s="1235"/>
      <c r="AO24" s="1235"/>
      <c r="AP24" s="1235"/>
      <c r="AQ24" s="1235"/>
      <c r="AR24" s="1235"/>
      <c r="AS24" s="1235"/>
      <c r="AT24" s="1235"/>
      <c r="AU24" s="1235"/>
      <c r="AV24" s="1235"/>
      <c r="AW24" s="1235"/>
      <c r="AX24" s="1235"/>
      <c r="AY24" s="1235"/>
      <c r="AZ24" s="1235"/>
      <c r="BA24" s="1235"/>
      <c r="BB24" s="1235"/>
      <c r="BC24" s="1235"/>
      <c r="BD24" s="1235"/>
      <c r="BE24" s="1235"/>
      <c r="BF24" s="1235"/>
      <c r="BG24" s="1235"/>
      <c r="BH24" s="1235"/>
      <c r="BI24" s="1235"/>
      <c r="BJ24" s="1235"/>
      <c r="BK24" s="1235"/>
      <c r="BL24" s="1235"/>
      <c r="BM24" s="1235"/>
      <c r="BN24" s="1235"/>
      <c r="BO24" s="1235"/>
      <c r="BP24" s="1235"/>
      <c r="BQ24" s="1235"/>
      <c r="BR24" s="1235"/>
      <c r="BS24" s="1235"/>
      <c r="BT24" s="1235"/>
      <c r="BU24" s="1235"/>
      <c r="BV24" s="1235"/>
      <c r="BW24" s="1235"/>
      <c r="BX24" s="1235"/>
      <c r="BY24" s="1235"/>
      <c r="BZ24" s="1235"/>
      <c r="CA24" s="1235"/>
      <c r="CB24" s="1235"/>
      <c r="CC24" s="1235"/>
      <c r="CD24" s="1235"/>
      <c r="CE24" s="1235"/>
      <c r="CF24" s="1235"/>
      <c r="CG24" s="1235"/>
      <c r="CH24" s="1235"/>
      <c r="CI24" s="1235"/>
      <c r="CJ24" s="1235"/>
      <c r="CK24" s="1235"/>
      <c r="CL24" s="1235"/>
      <c r="CM24" s="1235"/>
      <c r="CN24" s="1235"/>
      <c r="CO24" s="1235"/>
      <c r="CP24" s="1235"/>
      <c r="CQ24" s="1235"/>
      <c r="CR24" s="1235"/>
      <c r="CS24" s="1235"/>
      <c r="CT24" s="1235"/>
      <c r="CU24" s="1235"/>
      <c r="CV24" s="1235"/>
      <c r="CW24" s="1235"/>
      <c r="CX24" s="1235"/>
      <c r="CY24" s="1235"/>
      <c r="CZ24" s="1235"/>
      <c r="DA24" s="1235"/>
      <c r="DB24" s="1235"/>
      <c r="DC24" s="1235"/>
      <c r="DD24" s="1235"/>
    </row>
    <row r="25" spans="1:154" ht="15.75" customHeight="1">
      <c r="A25" s="1235" t="s">
        <v>93</v>
      </c>
      <c r="B25" s="1972" t="s">
        <v>1348</v>
      </c>
      <c r="C25" s="1973"/>
      <c r="D25" s="1973"/>
      <c r="E25" s="1973"/>
      <c r="F25" s="1973"/>
      <c r="G25" s="1973"/>
      <c r="H25" s="1973"/>
      <c r="I25" s="1973"/>
      <c r="J25" s="1235"/>
      <c r="K25" s="1235"/>
      <c r="L25" s="1235"/>
      <c r="M25" s="1235"/>
      <c r="N25" s="1235"/>
      <c r="O25" s="1235"/>
      <c r="P25" s="1235"/>
      <c r="Q25" s="1235"/>
      <c r="R25" s="1235"/>
      <c r="S25" s="1235"/>
      <c r="T25" s="1235"/>
      <c r="U25" s="1235"/>
      <c r="V25" s="1235"/>
      <c r="W25" s="1235"/>
      <c r="X25" s="1235"/>
      <c r="Y25" s="1235"/>
      <c r="Z25" s="1235"/>
      <c r="AA25" s="1235"/>
      <c r="AB25" s="1235"/>
      <c r="AC25" s="1235"/>
      <c r="AD25" s="1235"/>
      <c r="AE25" s="1235"/>
      <c r="AF25" s="1235"/>
      <c r="AG25" s="1235"/>
      <c r="AH25" s="1235"/>
      <c r="AI25" s="1235"/>
      <c r="AJ25" s="1235"/>
      <c r="AK25" s="1235"/>
      <c r="AL25" s="1235"/>
      <c r="AM25" s="1235"/>
      <c r="AN25" s="1235"/>
      <c r="AO25" s="1235"/>
      <c r="AP25" s="1235"/>
      <c r="AQ25" s="1235"/>
      <c r="AR25" s="1235"/>
      <c r="AS25" s="1235"/>
      <c r="AT25" s="1235"/>
      <c r="AU25" s="1235"/>
      <c r="AV25" s="1235"/>
      <c r="AW25" s="1235"/>
      <c r="AX25" s="1235"/>
      <c r="AY25" s="1235"/>
      <c r="AZ25" s="1235"/>
      <c r="BA25" s="1235"/>
      <c r="BB25" s="1235"/>
      <c r="BC25" s="1235"/>
      <c r="BD25" s="1235"/>
      <c r="BE25" s="1235"/>
      <c r="BF25" s="1235"/>
      <c r="BG25" s="1235"/>
      <c r="BH25" s="1235"/>
      <c r="BI25" s="1235"/>
      <c r="BJ25" s="1235"/>
      <c r="BK25" s="1235"/>
      <c r="BL25" s="1235"/>
      <c r="BM25" s="1235"/>
      <c r="BN25" s="1235"/>
      <c r="BO25" s="1235"/>
      <c r="BP25" s="1235"/>
      <c r="BQ25" s="1235"/>
      <c r="BR25" s="1235"/>
      <c r="BS25" s="1235"/>
      <c r="BT25" s="1235"/>
      <c r="BU25" s="1235"/>
      <c r="BV25" s="1235"/>
      <c r="BW25" s="1235"/>
      <c r="BX25" s="1235"/>
      <c r="BY25" s="1235"/>
      <c r="BZ25" s="1235"/>
      <c r="CA25" s="1235"/>
      <c r="CB25" s="1235"/>
      <c r="CC25" s="1235"/>
      <c r="CD25" s="1235"/>
      <c r="CE25" s="1235"/>
      <c r="CF25" s="1235"/>
      <c r="CG25" s="1235"/>
      <c r="CH25" s="1235"/>
      <c r="CI25" s="1235"/>
      <c r="CJ25" s="1235"/>
      <c r="CK25" s="1235"/>
      <c r="CL25" s="1235"/>
      <c r="CM25" s="1235"/>
      <c r="CN25" s="1235"/>
      <c r="CO25" s="1235"/>
      <c r="CP25" s="1235"/>
      <c r="CQ25" s="1235"/>
      <c r="CR25" s="1235"/>
      <c r="CS25" s="1235"/>
      <c r="CT25" s="1235"/>
      <c r="CU25" s="1235"/>
      <c r="CV25" s="1235"/>
      <c r="CW25" s="1235"/>
      <c r="CX25" s="1235"/>
      <c r="CY25" s="1235"/>
      <c r="CZ25" s="1235"/>
      <c r="DA25" s="1235"/>
      <c r="DB25" s="1235"/>
      <c r="DC25" s="1235"/>
      <c r="DD25" s="1235"/>
    </row>
    <row r="26" spans="1:154" ht="34.5" customHeight="1">
      <c r="A26" s="1235" t="s">
        <v>95</v>
      </c>
      <c r="B26" s="1972" t="s">
        <v>1349</v>
      </c>
      <c r="C26" s="1973"/>
      <c r="D26" s="1973"/>
      <c r="E26" s="1973"/>
      <c r="F26" s="1973"/>
      <c r="G26" s="1973"/>
      <c r="H26" s="1973"/>
      <c r="I26" s="1973"/>
      <c r="J26" s="1235"/>
      <c r="K26" s="1235"/>
      <c r="L26" s="1235"/>
      <c r="M26" s="1235"/>
      <c r="N26" s="1235"/>
      <c r="O26" s="1235"/>
      <c r="P26" s="1235"/>
      <c r="Q26" s="1235"/>
      <c r="R26" s="1235"/>
      <c r="S26" s="1235"/>
      <c r="T26" s="1235"/>
      <c r="U26" s="1235"/>
      <c r="V26" s="1235"/>
      <c r="W26" s="1235"/>
      <c r="X26" s="1235"/>
      <c r="Y26" s="1235"/>
      <c r="Z26" s="1235"/>
      <c r="AA26" s="1235"/>
      <c r="AB26" s="1235"/>
      <c r="AC26" s="1235"/>
      <c r="AD26" s="1235"/>
      <c r="AE26" s="1235"/>
      <c r="AF26" s="1235"/>
      <c r="AG26" s="1235"/>
      <c r="AH26" s="1235"/>
      <c r="AI26" s="1235"/>
      <c r="AJ26" s="1235"/>
      <c r="AK26" s="1235"/>
      <c r="AL26" s="1235"/>
      <c r="AM26" s="1235"/>
      <c r="AN26" s="1235"/>
      <c r="AO26" s="1235"/>
      <c r="AP26" s="1235"/>
      <c r="AQ26" s="1235"/>
      <c r="AR26" s="1235"/>
      <c r="AS26" s="1235"/>
      <c r="AT26" s="1235"/>
      <c r="AU26" s="1235"/>
      <c r="AV26" s="1235"/>
      <c r="AW26" s="1235"/>
      <c r="AX26" s="1235"/>
      <c r="AY26" s="1235"/>
      <c r="AZ26" s="1235"/>
      <c r="BA26" s="1235"/>
      <c r="BB26" s="1235"/>
      <c r="BC26" s="1235"/>
      <c r="BD26" s="1235"/>
      <c r="BE26" s="1235"/>
      <c r="BF26" s="1235"/>
      <c r="BG26" s="1235"/>
      <c r="BH26" s="1235"/>
      <c r="BI26" s="1235"/>
      <c r="BJ26" s="1235"/>
      <c r="BK26" s="1235"/>
      <c r="BL26" s="1235"/>
      <c r="BM26" s="1235"/>
      <c r="BN26" s="1235"/>
      <c r="BO26" s="1235"/>
      <c r="BP26" s="1235"/>
      <c r="BQ26" s="1235"/>
      <c r="BR26" s="1235"/>
      <c r="BS26" s="1235"/>
      <c r="BT26" s="1235"/>
      <c r="BU26" s="1235"/>
      <c r="BV26" s="1235"/>
      <c r="BW26" s="1235"/>
      <c r="BX26" s="1235"/>
      <c r="BY26" s="1235"/>
      <c r="BZ26" s="1235"/>
      <c r="CA26" s="1235"/>
      <c r="CB26" s="1235"/>
      <c r="CC26" s="1235"/>
      <c r="CD26" s="1235"/>
      <c r="CE26" s="1235"/>
      <c r="CF26" s="1235"/>
      <c r="CG26" s="1235"/>
      <c r="CH26" s="1235"/>
      <c r="CI26" s="1235"/>
      <c r="CJ26" s="1235"/>
      <c r="CK26" s="1235"/>
      <c r="CL26" s="1235"/>
      <c r="CM26" s="1235"/>
      <c r="CN26" s="1235"/>
      <c r="CO26" s="1235"/>
      <c r="CP26" s="1235"/>
      <c r="CQ26" s="1235"/>
      <c r="CR26" s="1235"/>
      <c r="CS26" s="1235"/>
      <c r="CT26" s="1235"/>
      <c r="CU26" s="1235"/>
      <c r="CV26" s="1235"/>
      <c r="CW26" s="1235"/>
      <c r="CX26" s="1235"/>
      <c r="CY26" s="1235"/>
      <c r="CZ26" s="1235"/>
      <c r="DA26" s="1235"/>
      <c r="DB26" s="1235"/>
      <c r="DC26" s="1235"/>
      <c r="DD26" s="1235"/>
    </row>
  </sheetData>
  <mergeCells count="11">
    <mergeCell ref="B24:I24"/>
    <mergeCell ref="B25:I25"/>
    <mergeCell ref="B26:I26"/>
    <mergeCell ref="A3:I3"/>
    <mergeCell ref="A6:A8"/>
    <mergeCell ref="B6:B8"/>
    <mergeCell ref="C6:C8"/>
    <mergeCell ref="B23:I23"/>
    <mergeCell ref="D6:I6"/>
    <mergeCell ref="D7:F7"/>
    <mergeCell ref="G7:I7"/>
  </mergeCells>
  <pageMargins left="0.78740157480314965" right="0.51181102362204722" top="0.59055118110236227" bottom="0.39370078740157483" header="0.19685039370078741" footer="0.19685039370078741"/>
  <pageSetup paperSize="9" scale="60" orientation="portrait" r:id="rId1"/>
  <headerFooter alignWithMargins="0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EX26"/>
  <sheetViews>
    <sheetView view="pageBreakPreview" zoomScaleNormal="100" workbookViewId="0">
      <pane ySplit="9" topLeftCell="A10" activePane="bottomLeft" state="frozen"/>
      <selection activeCell="G17" sqref="G17"/>
      <selection pane="bottomLeft" activeCell="M14" sqref="M14"/>
    </sheetView>
  </sheetViews>
  <sheetFormatPr defaultColWidth="2.7109375" defaultRowHeight="15"/>
  <cols>
    <col min="1" max="1" width="5" style="1" customWidth="1"/>
    <col min="2" max="2" width="49" style="1" customWidth="1"/>
    <col min="3" max="7" width="13.7109375" style="1" customWidth="1"/>
    <col min="8" max="8" width="14.5703125" style="1" customWidth="1"/>
    <col min="9" max="9" width="13.7109375" style="1" customWidth="1"/>
    <col min="10" max="10" width="8.28515625" style="1" customWidth="1"/>
    <col min="11" max="11" width="10.28515625" style="1" customWidth="1"/>
    <col min="12" max="61" width="8.28515625" style="1" customWidth="1"/>
    <col min="62" max="16384" width="2.7109375" style="1"/>
  </cols>
  <sheetData>
    <row r="1" spans="1:12" s="5" customFormat="1" ht="18" customHeight="1">
      <c r="A1" s="74" t="s">
        <v>1860</v>
      </c>
      <c r="I1" s="6" t="s">
        <v>1331</v>
      </c>
    </row>
    <row r="2" spans="1:12" ht="12.75" customHeight="1">
      <c r="A2" s="1244" t="s">
        <v>1681</v>
      </c>
      <c r="J2" s="813" t="s">
        <v>1332</v>
      </c>
    </row>
    <row r="3" spans="1:12" ht="57.75" customHeight="1">
      <c r="A3" s="1915" t="s">
        <v>1333</v>
      </c>
      <c r="B3" s="1915"/>
      <c r="C3" s="1915"/>
      <c r="D3" s="1915"/>
      <c r="E3" s="1915"/>
      <c r="F3" s="1915"/>
      <c r="G3" s="1915"/>
      <c r="H3" s="1915"/>
      <c r="I3" s="1915"/>
    </row>
    <row r="4" spans="1:12" ht="12.75" customHeight="1">
      <c r="B4" s="1232"/>
      <c r="C4" s="1232"/>
      <c r="D4" s="1751"/>
      <c r="E4" s="1751"/>
      <c r="F4" s="1751"/>
      <c r="G4" s="1232"/>
      <c r="H4" s="1232"/>
      <c r="I4" s="1232"/>
    </row>
    <row r="5" spans="1:12" ht="14.25" customHeight="1">
      <c r="A5" s="812" t="s">
        <v>1330</v>
      </c>
      <c r="I5" s="23" t="s">
        <v>360</v>
      </c>
    </row>
    <row r="6" spans="1:12" s="3" customFormat="1" ht="15" customHeight="1">
      <c r="A6" s="1858" t="s">
        <v>0</v>
      </c>
      <c r="B6" s="1858" t="s">
        <v>1334</v>
      </c>
      <c r="C6" s="1858" t="s">
        <v>2</v>
      </c>
      <c r="D6" s="1873" t="s">
        <v>1335</v>
      </c>
      <c r="E6" s="1975"/>
      <c r="F6" s="1975"/>
      <c r="G6" s="1975"/>
      <c r="H6" s="1975"/>
      <c r="I6" s="1975"/>
    </row>
    <row r="7" spans="1:12" s="3" customFormat="1">
      <c r="A7" s="1859"/>
      <c r="B7" s="1859"/>
      <c r="C7" s="1859"/>
      <c r="D7" s="1976" t="s">
        <v>1962</v>
      </c>
      <c r="E7" s="1976"/>
      <c r="F7" s="1977"/>
      <c r="G7" s="1978" t="s">
        <v>1961</v>
      </c>
      <c r="H7" s="1976"/>
      <c r="I7" s="1976"/>
    </row>
    <row r="8" spans="1:12" s="3" customFormat="1" ht="30" customHeight="1">
      <c r="A8" s="1971"/>
      <c r="B8" s="1971"/>
      <c r="C8" s="1971"/>
      <c r="D8" s="1753" t="s">
        <v>1336</v>
      </c>
      <c r="E8" s="1753" t="s">
        <v>1337</v>
      </c>
      <c r="F8" s="1753" t="s">
        <v>1715</v>
      </c>
      <c r="G8" s="1753" t="s">
        <v>1336</v>
      </c>
      <c r="H8" s="1753" t="s">
        <v>1337</v>
      </c>
      <c r="I8" s="1753" t="s">
        <v>1715</v>
      </c>
    </row>
    <row r="9" spans="1:12" s="2" customFormat="1">
      <c r="A9" s="13">
        <v>1</v>
      </c>
      <c r="B9" s="13">
        <v>2</v>
      </c>
      <c r="C9" s="13">
        <v>3</v>
      </c>
      <c r="D9" s="13">
        <v>4</v>
      </c>
      <c r="E9" s="13">
        <v>5</v>
      </c>
      <c r="F9" s="13">
        <v>6</v>
      </c>
      <c r="G9" s="13">
        <v>7</v>
      </c>
      <c r="H9" s="13">
        <v>8</v>
      </c>
      <c r="I9" s="13">
        <v>9</v>
      </c>
    </row>
    <row r="10" spans="1:12" s="41" customFormat="1" ht="30">
      <c r="A10" s="60" t="s">
        <v>89</v>
      </c>
      <c r="B10" s="68" t="s">
        <v>1338</v>
      </c>
      <c r="C10" s="68"/>
      <c r="D10" s="1212" t="s">
        <v>570</v>
      </c>
      <c r="E10" s="1772">
        <v>1.0580000000000001</v>
      </c>
      <c r="F10" s="1772">
        <v>1.0549999999999999</v>
      </c>
      <c r="G10" s="1212" t="s">
        <v>570</v>
      </c>
      <c r="H10" s="1772">
        <v>1.0680000000000001</v>
      </c>
      <c r="I10" s="1772">
        <v>1.0589999999999999</v>
      </c>
    </row>
    <row r="11" spans="1:12" s="41" customFormat="1" ht="15" customHeight="1">
      <c r="A11" s="60" t="s">
        <v>91</v>
      </c>
      <c r="B11" s="68" t="s">
        <v>1339</v>
      </c>
      <c r="C11" s="815" t="s">
        <v>138</v>
      </c>
      <c r="D11" s="814" t="s">
        <v>570</v>
      </c>
      <c r="E11" s="1770">
        <v>0.01</v>
      </c>
      <c r="F11" s="1770">
        <v>0.01</v>
      </c>
      <c r="G11" s="1774" t="s">
        <v>570</v>
      </c>
      <c r="H11" s="1770">
        <v>0.01</v>
      </c>
      <c r="I11" s="1770">
        <v>0.01</v>
      </c>
    </row>
    <row r="12" spans="1:12" s="41" customFormat="1" ht="15" customHeight="1">
      <c r="A12" s="60" t="s">
        <v>93</v>
      </c>
      <c r="B12" s="70" t="s">
        <v>1340</v>
      </c>
      <c r="C12" s="70"/>
      <c r="D12" s="814" t="s">
        <v>570</v>
      </c>
      <c r="E12" s="816">
        <f>(E13-D13)/D13</f>
        <v>0</v>
      </c>
      <c r="F12" s="816">
        <f>(F13-E13)/E13</f>
        <v>0</v>
      </c>
      <c r="G12" s="814" t="s">
        <v>570</v>
      </c>
      <c r="H12" s="816">
        <f>(H13-G13)/G13</f>
        <v>0</v>
      </c>
      <c r="I12" s="816">
        <f>(I13-H13)/H13</f>
        <v>0</v>
      </c>
    </row>
    <row r="13" spans="1:12" s="41" customFormat="1" ht="45">
      <c r="A13" s="60" t="s">
        <v>1246</v>
      </c>
      <c r="B13" s="70" t="s">
        <v>1341</v>
      </c>
      <c r="C13" s="817" t="s">
        <v>1342</v>
      </c>
      <c r="D13" s="1214">
        <v>26444.12</v>
      </c>
      <c r="E13" s="1215">
        <v>26444.12</v>
      </c>
      <c r="F13" s="1215">
        <v>26444.12</v>
      </c>
      <c r="G13" s="1214">
        <v>27103.16</v>
      </c>
      <c r="H13" s="1215">
        <v>27103.16</v>
      </c>
      <c r="I13" s="1215">
        <v>27103.16</v>
      </c>
      <c r="J13" s="820" t="s">
        <v>1350</v>
      </c>
    </row>
    <row r="14" spans="1:12" s="41" customFormat="1" ht="30.75" customHeight="1">
      <c r="A14" s="60" t="s">
        <v>1248</v>
      </c>
      <c r="B14" s="68" t="s">
        <v>1343</v>
      </c>
      <c r="C14" s="1233" t="s">
        <v>53</v>
      </c>
      <c r="D14" s="821"/>
      <c r="E14" s="805"/>
      <c r="F14" s="805"/>
      <c r="G14" s="821"/>
      <c r="H14" s="805"/>
      <c r="I14" s="805"/>
    </row>
    <row r="15" spans="1:12" s="41" customFormat="1" ht="30">
      <c r="A15" s="60" t="s">
        <v>95</v>
      </c>
      <c r="B15" s="70" t="s">
        <v>1344</v>
      </c>
      <c r="C15" s="70"/>
      <c r="D15" s="814" t="s">
        <v>570</v>
      </c>
      <c r="E15" s="251">
        <v>0.75</v>
      </c>
      <c r="F15" s="251">
        <v>0.75</v>
      </c>
      <c r="G15" s="814" t="s">
        <v>570</v>
      </c>
      <c r="H15" s="251">
        <v>0.75</v>
      </c>
      <c r="I15" s="251">
        <v>0.75</v>
      </c>
    </row>
    <row r="16" spans="1:12" s="41" customFormat="1" ht="15" customHeight="1">
      <c r="A16" s="60" t="s">
        <v>97</v>
      </c>
      <c r="B16" s="70" t="s">
        <v>1345</v>
      </c>
      <c r="C16" s="817" t="s">
        <v>240</v>
      </c>
      <c r="D16" s="818">
        <v>1061200.5391367383</v>
      </c>
      <c r="E16" s="337">
        <v>1111522.6687026024</v>
      </c>
      <c r="F16" s="337">
        <v>1160929.851326433</v>
      </c>
      <c r="G16" s="1773">
        <v>1203297.53624</v>
      </c>
      <c r="H16" s="337">
        <v>1253042.01506744</v>
      </c>
      <c r="I16" s="337">
        <v>1323144.5918760451</v>
      </c>
      <c r="K16" s="1209"/>
      <c r="L16" s="1209"/>
    </row>
    <row r="17" spans="1:154">
      <c r="E17" s="1213">
        <f>E16/D16</f>
        <v>1.04742</v>
      </c>
      <c r="G17" s="1213"/>
      <c r="H17" s="1213">
        <f>H16/G16</f>
        <v>1.0413401318703592</v>
      </c>
      <c r="I17" s="1213">
        <f>I16/H16</f>
        <v>1.0559459108039821</v>
      </c>
      <c r="L17" s="1445"/>
    </row>
    <row r="18" spans="1:154">
      <c r="E18" s="1213"/>
      <c r="G18" s="1213"/>
      <c r="H18" s="1213"/>
      <c r="I18" s="1213"/>
    </row>
    <row r="19" spans="1:154">
      <c r="E19" s="1213"/>
      <c r="G19" s="1213"/>
      <c r="H19" s="1778">
        <v>1095229.0751674399</v>
      </c>
      <c r="I19" s="1778">
        <v>1157691.9275554861</v>
      </c>
    </row>
    <row r="20" spans="1:154">
      <c r="E20" s="1213"/>
      <c r="G20" s="1213"/>
      <c r="H20" s="1213"/>
      <c r="I20" s="1213"/>
    </row>
    <row r="21" spans="1:154">
      <c r="E21" s="1213"/>
      <c r="G21" s="1213"/>
      <c r="H21" s="389">
        <f>(1-H11)*H10*(1+H12*H15)</f>
        <v>1.05732</v>
      </c>
      <c r="I21" s="389">
        <f>(1-I11)*I10*(1+I12*I15)</f>
        <v>1.0484099999999998</v>
      </c>
    </row>
    <row r="22" spans="1:154" s="26" customFormat="1">
      <c r="A22" s="26" t="s">
        <v>88</v>
      </c>
    </row>
    <row r="23" spans="1:154" s="1234" customFormat="1" ht="30" customHeight="1">
      <c r="A23" s="1235" t="s">
        <v>89</v>
      </c>
      <c r="B23" s="1972" t="s">
        <v>1346</v>
      </c>
      <c r="C23" s="1974"/>
      <c r="D23" s="1974"/>
      <c r="E23" s="1974"/>
      <c r="F23" s="1974"/>
      <c r="G23" s="1974"/>
      <c r="H23" s="1974"/>
      <c r="I23" s="1974"/>
      <c r="J23" s="1235"/>
      <c r="K23" s="1235"/>
      <c r="L23" s="1235"/>
      <c r="M23" s="1235"/>
      <c r="N23" s="1235"/>
      <c r="O23" s="1235"/>
      <c r="P23" s="1235"/>
      <c r="Q23" s="1235"/>
      <c r="R23" s="1235"/>
      <c r="S23" s="1235"/>
      <c r="T23" s="1235"/>
      <c r="U23" s="1235"/>
      <c r="V23" s="1235"/>
      <c r="W23" s="1235"/>
      <c r="X23" s="1235"/>
      <c r="Y23" s="1235"/>
      <c r="Z23" s="1235"/>
      <c r="AA23" s="1235"/>
      <c r="AB23" s="1235"/>
      <c r="AC23" s="1235"/>
      <c r="AD23" s="1235"/>
      <c r="AE23" s="1235"/>
      <c r="AF23" s="1235"/>
      <c r="AG23" s="1235"/>
      <c r="AH23" s="1235"/>
      <c r="AI23" s="1235"/>
      <c r="AJ23" s="1235"/>
      <c r="AK23" s="1235"/>
      <c r="AL23" s="1235"/>
      <c r="AM23" s="1235"/>
      <c r="AN23" s="1235"/>
      <c r="AO23" s="1235"/>
      <c r="AP23" s="1235"/>
      <c r="AQ23" s="1235"/>
      <c r="AR23" s="1235"/>
      <c r="AS23" s="1235"/>
      <c r="AT23" s="1235"/>
      <c r="AU23" s="1235"/>
      <c r="AV23" s="1235"/>
      <c r="AW23" s="1235"/>
      <c r="AX23" s="1235"/>
      <c r="AY23" s="1235"/>
      <c r="AZ23" s="1235"/>
      <c r="BA23" s="1235"/>
      <c r="BB23" s="1235"/>
      <c r="BC23" s="1235"/>
      <c r="BD23" s="1235"/>
      <c r="BE23" s="1235"/>
      <c r="BF23" s="1235"/>
      <c r="BG23" s="1235"/>
      <c r="BH23" s="1235"/>
      <c r="BI23" s="1235"/>
      <c r="BJ23" s="1235"/>
      <c r="BK23" s="1235"/>
      <c r="BL23" s="1235"/>
      <c r="BM23" s="1235"/>
      <c r="BN23" s="1235"/>
      <c r="BO23" s="1235"/>
      <c r="BP23" s="1235"/>
      <c r="BQ23" s="1235"/>
      <c r="BR23" s="1235"/>
      <c r="BS23" s="1235"/>
      <c r="BT23" s="1235"/>
      <c r="BU23" s="1235"/>
      <c r="BV23" s="1235"/>
      <c r="BW23" s="1235"/>
      <c r="BX23" s="1235"/>
      <c r="BY23" s="1235"/>
      <c r="BZ23" s="1235"/>
      <c r="CA23" s="1235"/>
      <c r="CB23" s="1235"/>
      <c r="CC23" s="1235"/>
      <c r="CD23" s="1235"/>
      <c r="CE23" s="1235"/>
      <c r="CF23" s="1235"/>
      <c r="CG23" s="1235"/>
      <c r="CH23" s="1235"/>
      <c r="CI23" s="1235"/>
      <c r="CJ23" s="1235"/>
      <c r="CK23" s="1235"/>
      <c r="CL23" s="1235"/>
      <c r="CM23" s="1235"/>
      <c r="CN23" s="1235"/>
      <c r="CO23" s="1235"/>
      <c r="CP23" s="1235"/>
      <c r="CQ23" s="1235"/>
      <c r="CR23" s="1235"/>
      <c r="CS23" s="1235"/>
      <c r="CT23" s="1235"/>
      <c r="CU23" s="1235"/>
      <c r="CV23" s="1235"/>
      <c r="CW23" s="1235"/>
      <c r="CX23" s="1235"/>
      <c r="CY23" s="1235"/>
      <c r="CZ23" s="1235"/>
      <c r="DA23" s="1235"/>
      <c r="DB23" s="1235"/>
      <c r="DC23" s="1235"/>
      <c r="DD23" s="1235"/>
      <c r="DE23" s="1235"/>
      <c r="DF23" s="1235"/>
      <c r="DG23" s="1235"/>
      <c r="DH23" s="1235"/>
      <c r="DI23" s="1235"/>
      <c r="DJ23" s="1235"/>
      <c r="DK23" s="1235"/>
      <c r="DL23" s="1235"/>
      <c r="DM23" s="1235"/>
      <c r="DN23" s="1235"/>
      <c r="DO23" s="1235"/>
      <c r="DP23" s="1235"/>
      <c r="DQ23" s="1235"/>
      <c r="DR23" s="1235"/>
      <c r="DS23" s="1235"/>
      <c r="DT23" s="1235"/>
      <c r="DU23" s="1235"/>
      <c r="DV23" s="1235"/>
      <c r="DW23" s="1235"/>
      <c r="DX23" s="1235"/>
      <c r="DY23" s="1235"/>
      <c r="DZ23" s="1235"/>
      <c r="EA23" s="1235"/>
      <c r="EB23" s="1235"/>
      <c r="EC23" s="1235"/>
      <c r="ED23" s="1235"/>
      <c r="EE23" s="1235"/>
      <c r="EF23" s="1235"/>
      <c r="EG23" s="1235"/>
      <c r="EH23" s="1235"/>
      <c r="EI23" s="1235"/>
      <c r="EJ23" s="1235"/>
      <c r="EK23" s="1235"/>
      <c r="EL23" s="1235"/>
      <c r="EM23" s="1235"/>
      <c r="EN23" s="1235"/>
      <c r="EO23" s="1235"/>
      <c r="EP23" s="1235"/>
      <c r="EQ23" s="1235"/>
      <c r="ER23" s="1235"/>
      <c r="ES23" s="1235"/>
      <c r="ET23" s="1235"/>
      <c r="EU23" s="1235"/>
      <c r="EV23" s="1235"/>
      <c r="EW23" s="1235"/>
      <c r="EX23" s="1235"/>
    </row>
    <row r="24" spans="1:154" s="1234" customFormat="1" ht="80.25" customHeight="1">
      <c r="A24" s="1235" t="s">
        <v>91</v>
      </c>
      <c r="B24" s="1972" t="s">
        <v>1347</v>
      </c>
      <c r="C24" s="1973"/>
      <c r="D24" s="1973"/>
      <c r="E24" s="1973"/>
      <c r="F24" s="1973"/>
      <c r="G24" s="1973"/>
      <c r="H24" s="1973"/>
      <c r="I24" s="1973"/>
      <c r="J24" s="1235"/>
      <c r="K24" s="1235"/>
      <c r="L24" s="1235"/>
      <c r="M24" s="1235"/>
      <c r="N24" s="1235"/>
      <c r="O24" s="1235"/>
      <c r="P24" s="1235"/>
      <c r="Q24" s="1235"/>
      <c r="R24" s="1235"/>
      <c r="S24" s="1235"/>
      <c r="T24" s="1235"/>
      <c r="U24" s="1235"/>
      <c r="V24" s="1235"/>
      <c r="W24" s="1235"/>
      <c r="X24" s="1235"/>
      <c r="Y24" s="1235"/>
      <c r="Z24" s="1235"/>
      <c r="AA24" s="1235"/>
      <c r="AB24" s="1235"/>
      <c r="AC24" s="1235"/>
      <c r="AD24" s="1235"/>
      <c r="AE24" s="1235"/>
      <c r="AF24" s="1235"/>
      <c r="AG24" s="1235"/>
      <c r="AH24" s="1235"/>
      <c r="AI24" s="1235"/>
      <c r="AJ24" s="1235"/>
      <c r="AK24" s="1235"/>
      <c r="AL24" s="1235"/>
      <c r="AM24" s="1235"/>
      <c r="AN24" s="1235"/>
      <c r="AO24" s="1235"/>
      <c r="AP24" s="1235"/>
      <c r="AQ24" s="1235"/>
      <c r="AR24" s="1235"/>
      <c r="AS24" s="1235"/>
      <c r="AT24" s="1235"/>
      <c r="AU24" s="1235"/>
      <c r="AV24" s="1235"/>
      <c r="AW24" s="1235"/>
      <c r="AX24" s="1235"/>
      <c r="AY24" s="1235"/>
      <c r="AZ24" s="1235"/>
      <c r="BA24" s="1235"/>
      <c r="BB24" s="1235"/>
      <c r="BC24" s="1235"/>
      <c r="BD24" s="1235"/>
      <c r="BE24" s="1235"/>
      <c r="BF24" s="1235"/>
      <c r="BG24" s="1235"/>
      <c r="BH24" s="1235"/>
      <c r="BI24" s="1235"/>
      <c r="BJ24" s="1235"/>
      <c r="BK24" s="1235"/>
      <c r="BL24" s="1235"/>
      <c r="BM24" s="1235"/>
      <c r="BN24" s="1235"/>
      <c r="BO24" s="1235"/>
      <c r="BP24" s="1235"/>
      <c r="BQ24" s="1235"/>
      <c r="BR24" s="1235"/>
      <c r="BS24" s="1235"/>
      <c r="BT24" s="1235"/>
      <c r="BU24" s="1235"/>
      <c r="BV24" s="1235"/>
      <c r="BW24" s="1235"/>
      <c r="BX24" s="1235"/>
      <c r="BY24" s="1235"/>
      <c r="BZ24" s="1235"/>
      <c r="CA24" s="1235"/>
      <c r="CB24" s="1235"/>
      <c r="CC24" s="1235"/>
      <c r="CD24" s="1235"/>
      <c r="CE24" s="1235"/>
      <c r="CF24" s="1235"/>
      <c r="CG24" s="1235"/>
      <c r="CH24" s="1235"/>
      <c r="CI24" s="1235"/>
      <c r="CJ24" s="1235"/>
      <c r="CK24" s="1235"/>
      <c r="CL24" s="1235"/>
      <c r="CM24" s="1235"/>
      <c r="CN24" s="1235"/>
      <c r="CO24" s="1235"/>
      <c r="CP24" s="1235"/>
      <c r="CQ24" s="1235"/>
      <c r="CR24" s="1235"/>
      <c r="CS24" s="1235"/>
      <c r="CT24" s="1235"/>
      <c r="CU24" s="1235"/>
      <c r="CV24" s="1235"/>
      <c r="CW24" s="1235"/>
      <c r="CX24" s="1235"/>
      <c r="CY24" s="1235"/>
      <c r="CZ24" s="1235"/>
      <c r="DA24" s="1235"/>
      <c r="DB24" s="1235"/>
      <c r="DC24" s="1235"/>
      <c r="DD24" s="1235"/>
    </row>
    <row r="25" spans="1:154" ht="15.75" customHeight="1">
      <c r="A25" s="1235" t="s">
        <v>93</v>
      </c>
      <c r="B25" s="1972" t="s">
        <v>1348</v>
      </c>
      <c r="C25" s="1973"/>
      <c r="D25" s="1973"/>
      <c r="E25" s="1973"/>
      <c r="F25" s="1973"/>
      <c r="G25" s="1973"/>
      <c r="H25" s="1973"/>
      <c r="I25" s="1973"/>
      <c r="J25" s="1235"/>
      <c r="K25" s="1235"/>
      <c r="L25" s="1235"/>
      <c r="M25" s="1235"/>
      <c r="N25" s="1235"/>
      <c r="O25" s="1235"/>
      <c r="P25" s="1235"/>
      <c r="Q25" s="1235"/>
      <c r="R25" s="1235"/>
      <c r="S25" s="1235"/>
      <c r="T25" s="1235"/>
      <c r="U25" s="1235"/>
      <c r="V25" s="1235"/>
      <c r="W25" s="1235"/>
      <c r="X25" s="1235"/>
      <c r="Y25" s="1235"/>
      <c r="Z25" s="1235"/>
      <c r="AA25" s="1235"/>
      <c r="AB25" s="1235"/>
      <c r="AC25" s="1235"/>
      <c r="AD25" s="1235"/>
      <c r="AE25" s="1235"/>
      <c r="AF25" s="1235"/>
      <c r="AG25" s="1235"/>
      <c r="AH25" s="1235"/>
      <c r="AI25" s="1235"/>
      <c r="AJ25" s="1235"/>
      <c r="AK25" s="1235"/>
      <c r="AL25" s="1235"/>
      <c r="AM25" s="1235"/>
      <c r="AN25" s="1235"/>
      <c r="AO25" s="1235"/>
      <c r="AP25" s="1235"/>
      <c r="AQ25" s="1235"/>
      <c r="AR25" s="1235"/>
      <c r="AS25" s="1235"/>
      <c r="AT25" s="1235"/>
      <c r="AU25" s="1235"/>
      <c r="AV25" s="1235"/>
      <c r="AW25" s="1235"/>
      <c r="AX25" s="1235"/>
      <c r="AY25" s="1235"/>
      <c r="AZ25" s="1235"/>
      <c r="BA25" s="1235"/>
      <c r="BB25" s="1235"/>
      <c r="BC25" s="1235"/>
      <c r="BD25" s="1235"/>
      <c r="BE25" s="1235"/>
      <c r="BF25" s="1235"/>
      <c r="BG25" s="1235"/>
      <c r="BH25" s="1235"/>
      <c r="BI25" s="1235"/>
      <c r="BJ25" s="1235"/>
      <c r="BK25" s="1235"/>
      <c r="BL25" s="1235"/>
      <c r="BM25" s="1235"/>
      <c r="BN25" s="1235"/>
      <c r="BO25" s="1235"/>
      <c r="BP25" s="1235"/>
      <c r="BQ25" s="1235"/>
      <c r="BR25" s="1235"/>
      <c r="BS25" s="1235"/>
      <c r="BT25" s="1235"/>
      <c r="BU25" s="1235"/>
      <c r="BV25" s="1235"/>
      <c r="BW25" s="1235"/>
      <c r="BX25" s="1235"/>
      <c r="BY25" s="1235"/>
      <c r="BZ25" s="1235"/>
      <c r="CA25" s="1235"/>
      <c r="CB25" s="1235"/>
      <c r="CC25" s="1235"/>
      <c r="CD25" s="1235"/>
      <c r="CE25" s="1235"/>
      <c r="CF25" s="1235"/>
      <c r="CG25" s="1235"/>
      <c r="CH25" s="1235"/>
      <c r="CI25" s="1235"/>
      <c r="CJ25" s="1235"/>
      <c r="CK25" s="1235"/>
      <c r="CL25" s="1235"/>
      <c r="CM25" s="1235"/>
      <c r="CN25" s="1235"/>
      <c r="CO25" s="1235"/>
      <c r="CP25" s="1235"/>
      <c r="CQ25" s="1235"/>
      <c r="CR25" s="1235"/>
      <c r="CS25" s="1235"/>
      <c r="CT25" s="1235"/>
      <c r="CU25" s="1235"/>
      <c r="CV25" s="1235"/>
      <c r="CW25" s="1235"/>
      <c r="CX25" s="1235"/>
      <c r="CY25" s="1235"/>
      <c r="CZ25" s="1235"/>
      <c r="DA25" s="1235"/>
      <c r="DB25" s="1235"/>
      <c r="DC25" s="1235"/>
      <c r="DD25" s="1235"/>
    </row>
    <row r="26" spans="1:154" ht="34.5" customHeight="1">
      <c r="A26" s="1235" t="s">
        <v>95</v>
      </c>
      <c r="B26" s="1972" t="s">
        <v>1349</v>
      </c>
      <c r="C26" s="1973"/>
      <c r="D26" s="1973"/>
      <c r="E26" s="1973"/>
      <c r="F26" s="1973"/>
      <c r="G26" s="1973"/>
      <c r="H26" s="1973"/>
      <c r="I26" s="1973"/>
      <c r="J26" s="1235"/>
      <c r="K26" s="1235"/>
      <c r="L26" s="1235"/>
      <c r="M26" s="1235"/>
      <c r="N26" s="1235"/>
      <c r="O26" s="1235"/>
      <c r="P26" s="1235"/>
      <c r="Q26" s="1235"/>
      <c r="R26" s="1235"/>
      <c r="S26" s="1235"/>
      <c r="T26" s="1235"/>
      <c r="U26" s="1235"/>
      <c r="V26" s="1235"/>
      <c r="W26" s="1235"/>
      <c r="X26" s="1235"/>
      <c r="Y26" s="1235"/>
      <c r="Z26" s="1235"/>
      <c r="AA26" s="1235"/>
      <c r="AB26" s="1235"/>
      <c r="AC26" s="1235"/>
      <c r="AD26" s="1235"/>
      <c r="AE26" s="1235"/>
      <c r="AF26" s="1235"/>
      <c r="AG26" s="1235"/>
      <c r="AH26" s="1235"/>
      <c r="AI26" s="1235"/>
      <c r="AJ26" s="1235"/>
      <c r="AK26" s="1235"/>
      <c r="AL26" s="1235"/>
      <c r="AM26" s="1235"/>
      <c r="AN26" s="1235"/>
      <c r="AO26" s="1235"/>
      <c r="AP26" s="1235"/>
      <c r="AQ26" s="1235"/>
      <c r="AR26" s="1235"/>
      <c r="AS26" s="1235"/>
      <c r="AT26" s="1235"/>
      <c r="AU26" s="1235"/>
      <c r="AV26" s="1235"/>
      <c r="AW26" s="1235"/>
      <c r="AX26" s="1235"/>
      <c r="AY26" s="1235"/>
      <c r="AZ26" s="1235"/>
      <c r="BA26" s="1235"/>
      <c r="BB26" s="1235"/>
      <c r="BC26" s="1235"/>
      <c r="BD26" s="1235"/>
      <c r="BE26" s="1235"/>
      <c r="BF26" s="1235"/>
      <c r="BG26" s="1235"/>
      <c r="BH26" s="1235"/>
      <c r="BI26" s="1235"/>
      <c r="BJ26" s="1235"/>
      <c r="BK26" s="1235"/>
      <c r="BL26" s="1235"/>
      <c r="BM26" s="1235"/>
      <c r="BN26" s="1235"/>
      <c r="BO26" s="1235"/>
      <c r="BP26" s="1235"/>
      <c r="BQ26" s="1235"/>
      <c r="BR26" s="1235"/>
      <c r="BS26" s="1235"/>
      <c r="BT26" s="1235"/>
      <c r="BU26" s="1235"/>
      <c r="BV26" s="1235"/>
      <c r="BW26" s="1235"/>
      <c r="BX26" s="1235"/>
      <c r="BY26" s="1235"/>
      <c r="BZ26" s="1235"/>
      <c r="CA26" s="1235"/>
      <c r="CB26" s="1235"/>
      <c r="CC26" s="1235"/>
      <c r="CD26" s="1235"/>
      <c r="CE26" s="1235"/>
      <c r="CF26" s="1235"/>
      <c r="CG26" s="1235"/>
      <c r="CH26" s="1235"/>
      <c r="CI26" s="1235"/>
      <c r="CJ26" s="1235"/>
      <c r="CK26" s="1235"/>
      <c r="CL26" s="1235"/>
      <c r="CM26" s="1235"/>
      <c r="CN26" s="1235"/>
      <c r="CO26" s="1235"/>
      <c r="CP26" s="1235"/>
      <c r="CQ26" s="1235"/>
      <c r="CR26" s="1235"/>
      <c r="CS26" s="1235"/>
      <c r="CT26" s="1235"/>
      <c r="CU26" s="1235"/>
      <c r="CV26" s="1235"/>
      <c r="CW26" s="1235"/>
      <c r="CX26" s="1235"/>
      <c r="CY26" s="1235"/>
      <c r="CZ26" s="1235"/>
      <c r="DA26" s="1235"/>
      <c r="DB26" s="1235"/>
      <c r="DC26" s="1235"/>
      <c r="DD26" s="1235"/>
    </row>
  </sheetData>
  <mergeCells count="11">
    <mergeCell ref="B24:I24"/>
    <mergeCell ref="B25:I25"/>
    <mergeCell ref="B26:I26"/>
    <mergeCell ref="A3:I3"/>
    <mergeCell ref="A6:A8"/>
    <mergeCell ref="B6:B8"/>
    <mergeCell ref="C6:C8"/>
    <mergeCell ref="B23:I23"/>
    <mergeCell ref="D6:I6"/>
    <mergeCell ref="D7:F7"/>
    <mergeCell ref="G7:I7"/>
  </mergeCells>
  <pageMargins left="0.78740157480314965" right="0.51181102362204722" top="0.59055118110236227" bottom="0.39370078740157483" header="0.19685039370078741" footer="0.19685039370078741"/>
  <pageSetup paperSize="9" scale="60" orientation="portrait" r:id="rId1"/>
  <headerFooter alignWithMargins="0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EW31"/>
  <sheetViews>
    <sheetView view="pageBreakPreview" zoomScaleNormal="100" workbookViewId="0">
      <pane ySplit="8" topLeftCell="A9" activePane="bottomLeft" state="frozen"/>
      <selection activeCell="D9" sqref="D9"/>
      <selection pane="bottomLeft" activeCell="I18" sqref="I18"/>
    </sheetView>
  </sheetViews>
  <sheetFormatPr defaultColWidth="2.7109375" defaultRowHeight="15"/>
  <cols>
    <col min="1" max="1" width="6.5703125" style="1" customWidth="1"/>
    <col min="2" max="2" width="49" style="1" customWidth="1"/>
    <col min="3" max="8" width="13.7109375" style="1" customWidth="1"/>
    <col min="9" max="60" width="8.28515625" style="1" customWidth="1"/>
    <col min="61" max="16384" width="2.7109375" style="1"/>
  </cols>
  <sheetData>
    <row r="1" spans="1:9" s="5" customFormat="1" ht="18" customHeight="1">
      <c r="A1" s="74" t="s">
        <v>1860</v>
      </c>
      <c r="H1" s="6" t="s">
        <v>1351</v>
      </c>
    </row>
    <row r="2" spans="1:9" ht="12.75" customHeight="1">
      <c r="A2" s="1139" t="s">
        <v>1678</v>
      </c>
    </row>
    <row r="3" spans="1:9" ht="29.25" customHeight="1">
      <c r="A3" s="1980" t="s">
        <v>1352</v>
      </c>
      <c r="B3" s="1980"/>
      <c r="C3" s="1980"/>
      <c r="D3" s="1980"/>
      <c r="E3" s="1980"/>
      <c r="F3" s="1980"/>
      <c r="G3" s="1980"/>
      <c r="H3" s="1980"/>
    </row>
    <row r="4" spans="1:9" ht="12.75" customHeight="1">
      <c r="B4" s="769"/>
      <c r="C4" s="769"/>
      <c r="D4" s="769"/>
      <c r="E4" s="769"/>
      <c r="F4" s="769"/>
      <c r="G4" s="769"/>
      <c r="H4" s="769"/>
    </row>
    <row r="5" spans="1:9" ht="14.25" customHeight="1">
      <c r="H5" s="23" t="s">
        <v>360</v>
      </c>
    </row>
    <row r="6" spans="1:9" s="3" customFormat="1" ht="15" customHeight="1">
      <c r="A6" s="1858" t="s">
        <v>0</v>
      </c>
      <c r="B6" s="1858" t="s">
        <v>1293</v>
      </c>
      <c r="C6" s="1981" t="s">
        <v>1336</v>
      </c>
      <c r="D6" s="1982"/>
      <c r="E6" s="1981" t="s">
        <v>1337</v>
      </c>
      <c r="F6" s="1983"/>
      <c r="G6" s="1981" t="s">
        <v>1715</v>
      </c>
      <c r="H6" s="1983"/>
    </row>
    <row r="7" spans="1:9" s="3" customFormat="1" ht="105">
      <c r="A7" s="1971"/>
      <c r="B7" s="1971"/>
      <c r="C7" s="822" t="s">
        <v>1353</v>
      </c>
      <c r="D7" s="822" t="s">
        <v>1354</v>
      </c>
      <c r="E7" s="822" t="s">
        <v>1353</v>
      </c>
      <c r="F7" s="822" t="s">
        <v>1354</v>
      </c>
      <c r="G7" s="822" t="s">
        <v>1353</v>
      </c>
      <c r="H7" s="822" t="s">
        <v>1354</v>
      </c>
    </row>
    <row r="8" spans="1:9" s="2" customFormat="1">
      <c r="A8" s="13">
        <v>1</v>
      </c>
      <c r="B8" s="13">
        <v>2</v>
      </c>
      <c r="C8" s="13">
        <v>3</v>
      </c>
      <c r="D8" s="13">
        <v>4</v>
      </c>
      <c r="E8" s="13">
        <v>5</v>
      </c>
      <c r="F8" s="13">
        <v>6</v>
      </c>
      <c r="G8" s="13">
        <v>7</v>
      </c>
      <c r="H8" s="13">
        <v>8</v>
      </c>
    </row>
    <row r="9" spans="1:9" s="41" customFormat="1" ht="45">
      <c r="A9" s="60" t="s">
        <v>893</v>
      </c>
      <c r="B9" s="68" t="s">
        <v>1355</v>
      </c>
      <c r="C9" s="823"/>
      <c r="D9" s="823">
        <v>110132</v>
      </c>
      <c r="E9" s="823"/>
      <c r="F9" s="823">
        <v>123132</v>
      </c>
      <c r="G9" s="823"/>
      <c r="H9" s="823">
        <v>129952</v>
      </c>
    </row>
    <row r="10" spans="1:9" s="825" customFormat="1" ht="15" customHeight="1">
      <c r="A10" s="829" t="s">
        <v>895</v>
      </c>
      <c r="B10" s="830" t="s">
        <v>1308</v>
      </c>
      <c r="C10" s="1236"/>
      <c r="D10" s="849">
        <v>109737</v>
      </c>
      <c r="E10" s="849"/>
      <c r="F10" s="849">
        <v>120688</v>
      </c>
      <c r="G10" s="849"/>
      <c r="H10" s="849">
        <v>127809</v>
      </c>
      <c r="I10" s="825" t="s">
        <v>1356</v>
      </c>
    </row>
    <row r="11" spans="1:9" s="825" customFormat="1" ht="15" customHeight="1">
      <c r="A11" s="829" t="s">
        <v>896</v>
      </c>
      <c r="B11" s="833" t="s">
        <v>1357</v>
      </c>
      <c r="C11" s="849"/>
      <c r="D11" s="849"/>
      <c r="E11" s="849"/>
      <c r="F11" s="849"/>
      <c r="G11" s="849"/>
      <c r="H11" s="849"/>
    </row>
    <row r="12" spans="1:9" s="41" customFormat="1" ht="30">
      <c r="A12" s="60" t="s">
        <v>897</v>
      </c>
      <c r="B12" s="70" t="s">
        <v>1358</v>
      </c>
      <c r="C12" s="826">
        <f>C13+C14+C15</f>
        <v>0</v>
      </c>
      <c r="D12" s="826">
        <v>33246.5</v>
      </c>
      <c r="E12" s="826">
        <v>0</v>
      </c>
      <c r="F12" s="826">
        <v>35563.300000000003</v>
      </c>
      <c r="G12" s="826">
        <v>0</v>
      </c>
      <c r="H12" s="826">
        <v>39858.300000000003</v>
      </c>
    </row>
    <row r="13" spans="1:9" s="41" customFormat="1" ht="75">
      <c r="A13" s="60" t="s">
        <v>1359</v>
      </c>
      <c r="B13" s="68" t="s">
        <v>1360</v>
      </c>
      <c r="C13" s="826"/>
      <c r="D13" s="823">
        <v>1587</v>
      </c>
      <c r="E13" s="826"/>
      <c r="F13" s="823">
        <v>126</v>
      </c>
      <c r="G13" s="826"/>
      <c r="H13" s="823">
        <v>126</v>
      </c>
    </row>
    <row r="14" spans="1:9" s="41" customFormat="1">
      <c r="A14" s="60" t="s">
        <v>1361</v>
      </c>
      <c r="B14" s="68" t="s">
        <v>1362</v>
      </c>
      <c r="C14" s="826"/>
      <c r="D14" s="823">
        <v>7768.5</v>
      </c>
      <c r="E14" s="826"/>
      <c r="F14" s="823">
        <v>10741.3</v>
      </c>
      <c r="G14" s="826"/>
      <c r="H14" s="823">
        <v>11375.3</v>
      </c>
    </row>
    <row r="15" spans="1:9" s="41" customFormat="1">
      <c r="A15" s="60" t="s">
        <v>1363</v>
      </c>
      <c r="B15" s="68" t="s">
        <v>1680</v>
      </c>
      <c r="C15" s="826"/>
      <c r="D15" s="823">
        <v>23891</v>
      </c>
      <c r="E15" s="826"/>
      <c r="F15" s="823">
        <v>24696</v>
      </c>
      <c r="G15" s="826"/>
      <c r="H15" s="823">
        <v>28357</v>
      </c>
    </row>
    <row r="16" spans="1:9" s="41" customFormat="1">
      <c r="A16" s="60" t="s">
        <v>1036</v>
      </c>
      <c r="B16" s="70" t="s">
        <v>1365</v>
      </c>
      <c r="C16" s="826"/>
      <c r="D16" s="823">
        <v>247869</v>
      </c>
      <c r="E16" s="1211"/>
      <c r="F16" s="823">
        <v>284871</v>
      </c>
      <c r="G16" s="1211"/>
      <c r="H16" s="823">
        <v>303905</v>
      </c>
    </row>
    <row r="17" spans="1:153" s="41" customFormat="1">
      <c r="A17" s="60" t="s">
        <v>1035</v>
      </c>
      <c r="B17" s="70" t="s">
        <v>1366</v>
      </c>
      <c r="C17" s="826"/>
      <c r="D17" s="823">
        <v>51834.396944683991</v>
      </c>
      <c r="E17" s="826"/>
      <c r="F17" s="823">
        <v>50529</v>
      </c>
      <c r="G17" s="826"/>
      <c r="H17" s="823">
        <v>0</v>
      </c>
    </row>
    <row r="18" spans="1:153" s="41" customFormat="1" ht="30">
      <c r="A18" s="60" t="s">
        <v>1034</v>
      </c>
      <c r="B18" s="70" t="s">
        <v>1367</v>
      </c>
      <c r="C18" s="826"/>
      <c r="D18" s="823">
        <v>118305</v>
      </c>
      <c r="E18" s="826"/>
      <c r="F18" s="823">
        <v>138098</v>
      </c>
      <c r="G18" s="826"/>
      <c r="H18" s="823">
        <v>149846</v>
      </c>
    </row>
    <row r="19" spans="1:153" s="41" customFormat="1" ht="30">
      <c r="A19" s="60" t="s">
        <v>1033</v>
      </c>
      <c r="B19" s="70" t="s">
        <v>1368</v>
      </c>
      <c r="C19" s="826"/>
      <c r="D19" s="823">
        <v>165948</v>
      </c>
      <c r="E19" s="826"/>
      <c r="F19" s="823">
        <v>139707</v>
      </c>
      <c r="G19" s="826"/>
      <c r="H19" s="823">
        <v>177026</v>
      </c>
    </row>
    <row r="20" spans="1:153" s="810" customFormat="1" ht="14.25">
      <c r="A20" s="82"/>
      <c r="B20" s="808" t="s">
        <v>770</v>
      </c>
      <c r="C20" s="827">
        <f>C9+C10+C11+C12+C16+C17+C18+C19</f>
        <v>0</v>
      </c>
      <c r="D20" s="827">
        <f t="shared" ref="D20:G20" si="0">D9+D10+D11+D12+D16+D17+D18+D19</f>
        <v>837071.89694468398</v>
      </c>
      <c r="E20" s="827">
        <f t="shared" si="0"/>
        <v>0</v>
      </c>
      <c r="F20" s="827">
        <f t="shared" ref="F20:H20" si="1">F9+F10+F11+F12+F16+F17+F18+F19</f>
        <v>892588.3</v>
      </c>
      <c r="G20" s="827">
        <f t="shared" si="0"/>
        <v>0</v>
      </c>
      <c r="H20" s="827">
        <f t="shared" si="1"/>
        <v>928396.3</v>
      </c>
    </row>
    <row r="21" spans="1:153" s="41" customFormat="1">
      <c r="A21" s="60" t="s">
        <v>91</v>
      </c>
      <c r="B21" s="70" t="s">
        <v>396</v>
      </c>
      <c r="C21" s="826"/>
      <c r="D21" s="823">
        <f>'4.6_КТЭЦ свод с косв.'!J83</f>
        <v>41852.085236170999</v>
      </c>
      <c r="E21" s="826"/>
      <c r="F21" s="823">
        <f>'4.6_КТЭЦ свод с косв.'!K83</f>
        <v>95522.53</v>
      </c>
      <c r="G21" s="826"/>
      <c r="H21" s="823">
        <f>'4.6_КТЭЦ свод с косв.'!N83</f>
        <v>70771.317559999996</v>
      </c>
    </row>
    <row r="22" spans="1:153" s="41" customFormat="1" ht="48" customHeight="1">
      <c r="A22" s="60" t="s">
        <v>1369</v>
      </c>
      <c r="B22" s="70" t="s">
        <v>1370</v>
      </c>
      <c r="C22" s="1216"/>
      <c r="D22" s="1216"/>
      <c r="E22" s="826"/>
      <c r="F22" s="826"/>
      <c r="G22" s="826"/>
      <c r="H22" s="826"/>
    </row>
    <row r="23" spans="1:153" s="810" customFormat="1" ht="15" customHeight="1">
      <c r="A23" s="82" t="s">
        <v>95</v>
      </c>
      <c r="B23" s="808" t="s">
        <v>1371</v>
      </c>
      <c r="C23" s="827">
        <f>C20+C21+C22</f>
        <v>0</v>
      </c>
      <c r="D23" s="827">
        <f t="shared" ref="D23:H23" si="2">D20+D21+D22</f>
        <v>878923.982180855</v>
      </c>
      <c r="E23" s="827">
        <f t="shared" si="2"/>
        <v>0</v>
      </c>
      <c r="F23" s="827">
        <f t="shared" si="2"/>
        <v>988110.83000000007</v>
      </c>
      <c r="G23" s="827">
        <f t="shared" si="2"/>
        <v>0</v>
      </c>
      <c r="H23" s="827">
        <f t="shared" si="2"/>
        <v>999167.61756000004</v>
      </c>
    </row>
    <row r="26" spans="1:153">
      <c r="F26" s="1445">
        <f>'5.3_пр-во КТЭЦ'!F23+'5.3_передача КТЭЦ'!F23</f>
        <v>988110.83</v>
      </c>
      <c r="H26" s="1445">
        <f>'5.3_пр-во КТЭЦ'!H23+'5.3_передача КТЭЦ'!H23</f>
        <v>999167.61756000004</v>
      </c>
    </row>
    <row r="27" spans="1:153" s="26" customFormat="1">
      <c r="A27" s="26" t="s">
        <v>88</v>
      </c>
    </row>
    <row r="28" spans="1:153" s="773" customFormat="1">
      <c r="A28" s="819" t="s">
        <v>89</v>
      </c>
      <c r="B28" s="1972" t="s">
        <v>1346</v>
      </c>
      <c r="C28" s="1973"/>
      <c r="D28" s="1973"/>
      <c r="E28" s="1973"/>
      <c r="F28" s="1973"/>
      <c r="G28" s="1973"/>
      <c r="H28" s="1973"/>
      <c r="I28" s="819"/>
      <c r="J28" s="819"/>
      <c r="K28" s="819"/>
      <c r="L28" s="819"/>
      <c r="M28" s="819"/>
      <c r="N28" s="819"/>
      <c r="O28" s="819"/>
      <c r="P28" s="819"/>
      <c r="Q28" s="819"/>
      <c r="R28" s="819"/>
      <c r="S28" s="819"/>
      <c r="T28" s="819"/>
      <c r="U28" s="819"/>
      <c r="V28" s="819"/>
      <c r="W28" s="819"/>
      <c r="X28" s="819"/>
      <c r="Y28" s="819"/>
      <c r="Z28" s="819"/>
      <c r="AA28" s="819"/>
      <c r="AB28" s="819"/>
      <c r="AC28" s="819"/>
      <c r="AD28" s="819"/>
      <c r="AE28" s="819"/>
      <c r="AF28" s="819"/>
      <c r="AG28" s="819"/>
      <c r="AH28" s="819"/>
      <c r="AI28" s="819"/>
      <c r="AJ28" s="819"/>
      <c r="AK28" s="819"/>
      <c r="AL28" s="819"/>
      <c r="AM28" s="819"/>
      <c r="AN28" s="819"/>
      <c r="AO28" s="819"/>
      <c r="AP28" s="819"/>
      <c r="AQ28" s="819"/>
      <c r="AR28" s="819"/>
      <c r="AS28" s="819"/>
      <c r="AT28" s="819"/>
      <c r="AU28" s="819"/>
      <c r="AV28" s="819"/>
      <c r="AW28" s="819"/>
      <c r="AX28" s="819"/>
      <c r="AY28" s="819"/>
      <c r="AZ28" s="819"/>
      <c r="BA28" s="819"/>
      <c r="BB28" s="819"/>
      <c r="BC28" s="819"/>
      <c r="BD28" s="819"/>
      <c r="BE28" s="819"/>
      <c r="BF28" s="819"/>
      <c r="BG28" s="819"/>
      <c r="BH28" s="819"/>
      <c r="BI28" s="819"/>
      <c r="BJ28" s="819"/>
      <c r="BK28" s="819"/>
      <c r="BL28" s="819"/>
      <c r="BM28" s="819"/>
      <c r="BN28" s="819"/>
      <c r="BO28" s="819"/>
      <c r="BP28" s="819"/>
      <c r="BQ28" s="819"/>
      <c r="BR28" s="819"/>
      <c r="BS28" s="819"/>
      <c r="BT28" s="819"/>
      <c r="BU28" s="819"/>
      <c r="BV28" s="819"/>
      <c r="BW28" s="819"/>
      <c r="BX28" s="819"/>
      <c r="BY28" s="819"/>
      <c r="BZ28" s="819"/>
      <c r="CA28" s="819"/>
      <c r="CB28" s="819"/>
      <c r="CC28" s="819"/>
      <c r="CD28" s="819"/>
      <c r="CE28" s="819"/>
      <c r="CF28" s="819"/>
      <c r="CG28" s="819"/>
      <c r="CH28" s="819"/>
      <c r="CI28" s="819"/>
      <c r="CJ28" s="819"/>
      <c r="CK28" s="819"/>
      <c r="CL28" s="819"/>
      <c r="CM28" s="819"/>
      <c r="CN28" s="819"/>
      <c r="CO28" s="819"/>
      <c r="CP28" s="819"/>
      <c r="CQ28" s="819"/>
      <c r="CR28" s="819"/>
      <c r="CS28" s="819"/>
      <c r="CT28" s="819"/>
      <c r="CU28" s="819"/>
      <c r="CV28" s="819"/>
      <c r="CW28" s="819"/>
      <c r="CX28" s="819"/>
      <c r="CY28" s="819"/>
      <c r="CZ28" s="819"/>
      <c r="DA28" s="819"/>
      <c r="DB28" s="819"/>
      <c r="DC28" s="819"/>
      <c r="DD28" s="819"/>
      <c r="DE28" s="819"/>
      <c r="DF28" s="819"/>
      <c r="DG28" s="819"/>
      <c r="DH28" s="819"/>
      <c r="DI28" s="819"/>
      <c r="DJ28" s="819"/>
      <c r="DK28" s="819"/>
      <c r="DL28" s="819"/>
      <c r="DM28" s="819"/>
      <c r="DN28" s="819"/>
      <c r="DO28" s="819"/>
      <c r="DP28" s="819"/>
      <c r="DQ28" s="819"/>
      <c r="DR28" s="819"/>
      <c r="DS28" s="819"/>
      <c r="DT28" s="819"/>
      <c r="DU28" s="819"/>
      <c r="DV28" s="819"/>
      <c r="DW28" s="819"/>
      <c r="DX28" s="819"/>
      <c r="DY28" s="819"/>
      <c r="DZ28" s="819"/>
      <c r="EA28" s="819"/>
      <c r="EB28" s="819"/>
      <c r="EC28" s="819"/>
      <c r="ED28" s="819"/>
      <c r="EE28" s="819"/>
      <c r="EF28" s="819"/>
      <c r="EG28" s="819"/>
      <c r="EH28" s="819"/>
      <c r="EI28" s="819"/>
      <c r="EJ28" s="819"/>
      <c r="EK28" s="819"/>
      <c r="EL28" s="819"/>
      <c r="EM28" s="819"/>
      <c r="EN28" s="819"/>
      <c r="EO28" s="819"/>
      <c r="EP28" s="819"/>
      <c r="EQ28" s="819"/>
      <c r="ER28" s="819"/>
      <c r="ES28" s="819"/>
      <c r="ET28" s="819"/>
      <c r="EU28" s="819"/>
      <c r="EV28" s="819"/>
      <c r="EW28" s="819"/>
    </row>
    <row r="29" spans="1:153" s="773" customFormat="1">
      <c r="A29" s="819" t="s">
        <v>91</v>
      </c>
      <c r="B29" s="1967" t="s">
        <v>1372</v>
      </c>
      <c r="C29" s="1979"/>
      <c r="D29" s="1979"/>
      <c r="E29" s="1979"/>
      <c r="F29" s="1979"/>
      <c r="G29" s="1979"/>
      <c r="H29" s="1979"/>
    </row>
    <row r="30" spans="1:153" ht="33" customHeight="1">
      <c r="A30" s="819" t="s">
        <v>93</v>
      </c>
      <c r="B30" s="1972" t="s">
        <v>1373</v>
      </c>
      <c r="C30" s="1973"/>
      <c r="D30" s="1973"/>
      <c r="E30" s="1973"/>
      <c r="F30" s="1973"/>
      <c r="G30" s="1973"/>
      <c r="H30" s="1973"/>
      <c r="I30" s="819"/>
      <c r="J30" s="819"/>
      <c r="K30" s="819"/>
      <c r="L30" s="819"/>
      <c r="M30" s="819"/>
      <c r="N30" s="819"/>
      <c r="O30" s="819"/>
      <c r="P30" s="819"/>
      <c r="Q30" s="819"/>
      <c r="R30" s="819"/>
      <c r="S30" s="819"/>
      <c r="T30" s="819"/>
      <c r="U30" s="819"/>
      <c r="V30" s="819"/>
      <c r="W30" s="819"/>
      <c r="X30" s="819"/>
      <c r="Y30" s="819"/>
      <c r="Z30" s="819"/>
      <c r="AA30" s="819"/>
      <c r="AB30" s="819"/>
      <c r="AC30" s="819"/>
      <c r="AD30" s="819"/>
      <c r="AE30" s="819"/>
      <c r="AF30" s="819"/>
      <c r="AG30" s="819"/>
      <c r="AH30" s="819"/>
      <c r="AI30" s="819"/>
      <c r="AJ30" s="819"/>
      <c r="AK30" s="819"/>
      <c r="AL30" s="819"/>
      <c r="AM30" s="819"/>
      <c r="AN30" s="819"/>
      <c r="AO30" s="819"/>
      <c r="AP30" s="819"/>
      <c r="AQ30" s="819"/>
      <c r="AR30" s="819"/>
      <c r="AS30" s="819"/>
      <c r="AT30" s="819"/>
      <c r="AU30" s="819"/>
      <c r="AV30" s="819"/>
      <c r="AW30" s="819"/>
      <c r="AX30" s="819"/>
      <c r="AY30" s="819"/>
      <c r="AZ30" s="819"/>
      <c r="BA30" s="819"/>
      <c r="BB30" s="819"/>
      <c r="BC30" s="819"/>
      <c r="BD30" s="819"/>
      <c r="BE30" s="819"/>
      <c r="BF30" s="819"/>
      <c r="BG30" s="819"/>
      <c r="BH30" s="819"/>
      <c r="BI30" s="819"/>
      <c r="BJ30" s="819"/>
      <c r="BK30" s="819"/>
      <c r="BL30" s="819"/>
      <c r="BM30" s="819"/>
      <c r="BN30" s="819"/>
      <c r="BO30" s="819"/>
      <c r="BP30" s="819"/>
      <c r="BQ30" s="819"/>
      <c r="BR30" s="819"/>
      <c r="BS30" s="819"/>
      <c r="BT30" s="819"/>
      <c r="BU30" s="819"/>
      <c r="BV30" s="819"/>
      <c r="BW30" s="819"/>
      <c r="BX30" s="819"/>
      <c r="BY30" s="819"/>
      <c r="BZ30" s="819"/>
      <c r="CA30" s="819"/>
      <c r="CB30" s="819"/>
      <c r="CC30" s="819"/>
      <c r="CD30" s="819"/>
      <c r="CE30" s="819"/>
      <c r="CF30" s="819"/>
      <c r="CG30" s="819"/>
      <c r="CH30" s="819"/>
      <c r="CI30" s="819"/>
      <c r="CJ30" s="819"/>
      <c r="CK30" s="819"/>
      <c r="CL30" s="819"/>
      <c r="CM30" s="819"/>
      <c r="CN30" s="819"/>
      <c r="CO30" s="819"/>
      <c r="CP30" s="819"/>
      <c r="CQ30" s="819"/>
      <c r="CR30" s="819"/>
      <c r="CS30" s="819"/>
      <c r="CT30" s="819"/>
      <c r="CU30" s="819"/>
      <c r="CV30" s="819"/>
      <c r="CW30" s="819"/>
      <c r="CX30" s="819"/>
      <c r="CY30" s="819"/>
      <c r="CZ30" s="819"/>
      <c r="DA30" s="819"/>
      <c r="DB30" s="819"/>
      <c r="DC30" s="819"/>
      <c r="DD30" s="819"/>
      <c r="DE30" s="819"/>
      <c r="DF30" s="819"/>
      <c r="DG30" s="819"/>
      <c r="DH30" s="819"/>
      <c r="DI30" s="819"/>
      <c r="DJ30" s="819"/>
      <c r="DK30" s="819"/>
      <c r="DL30" s="819"/>
      <c r="DM30" s="819"/>
      <c r="DN30" s="819"/>
      <c r="DO30" s="819"/>
      <c r="DP30" s="819"/>
      <c r="DQ30" s="819"/>
      <c r="DR30" s="819"/>
      <c r="DS30" s="819"/>
      <c r="DT30" s="819"/>
      <c r="DU30" s="819"/>
      <c r="DV30" s="819"/>
      <c r="DW30" s="819"/>
      <c r="DX30" s="819"/>
      <c r="DY30" s="819"/>
      <c r="DZ30" s="819"/>
      <c r="EA30" s="819"/>
      <c r="EB30" s="819"/>
      <c r="EC30" s="819"/>
      <c r="ED30" s="819"/>
      <c r="EE30" s="819"/>
      <c r="EF30" s="819"/>
      <c r="EG30" s="819"/>
      <c r="EH30" s="819"/>
      <c r="EI30" s="819"/>
      <c r="EJ30" s="819"/>
      <c r="EK30" s="819"/>
      <c r="EL30" s="819"/>
      <c r="EM30" s="819"/>
      <c r="EN30" s="819"/>
      <c r="EO30" s="819"/>
      <c r="EP30" s="819"/>
      <c r="EQ30" s="819"/>
      <c r="ER30" s="819"/>
    </row>
    <row r="31" spans="1:153" ht="34.5" customHeight="1">
      <c r="A31" s="819" t="s">
        <v>95</v>
      </c>
      <c r="B31" s="1972" t="s">
        <v>1374</v>
      </c>
      <c r="C31" s="1973"/>
      <c r="D31" s="1973"/>
      <c r="E31" s="1973"/>
      <c r="F31" s="1973"/>
      <c r="G31" s="1973"/>
      <c r="H31" s="1973"/>
      <c r="I31" s="819"/>
      <c r="J31" s="819"/>
      <c r="K31" s="819"/>
      <c r="L31" s="819"/>
      <c r="M31" s="819"/>
      <c r="N31" s="819"/>
      <c r="O31" s="819"/>
      <c r="P31" s="819"/>
      <c r="Q31" s="819"/>
      <c r="R31" s="819"/>
      <c r="S31" s="819"/>
      <c r="T31" s="819"/>
      <c r="U31" s="819"/>
      <c r="V31" s="819"/>
      <c r="W31" s="819"/>
      <c r="X31" s="819"/>
      <c r="Y31" s="819"/>
      <c r="Z31" s="819"/>
      <c r="AA31" s="819"/>
      <c r="AB31" s="819"/>
      <c r="AC31" s="819"/>
      <c r="AD31" s="819"/>
      <c r="AE31" s="819"/>
      <c r="AF31" s="819"/>
      <c r="AG31" s="819"/>
      <c r="AH31" s="819"/>
      <c r="AI31" s="819"/>
      <c r="AJ31" s="819"/>
      <c r="AK31" s="819"/>
      <c r="AL31" s="819"/>
      <c r="AM31" s="819"/>
      <c r="AN31" s="819"/>
      <c r="AO31" s="819"/>
      <c r="AP31" s="819"/>
      <c r="AQ31" s="819"/>
      <c r="AR31" s="819"/>
      <c r="AS31" s="819"/>
      <c r="AT31" s="819"/>
      <c r="AU31" s="819"/>
      <c r="AV31" s="819"/>
      <c r="AW31" s="819"/>
      <c r="AX31" s="819"/>
      <c r="AY31" s="819"/>
      <c r="AZ31" s="819"/>
      <c r="BA31" s="819"/>
      <c r="BB31" s="819"/>
      <c r="BC31" s="819"/>
      <c r="BD31" s="819"/>
      <c r="BE31" s="819"/>
      <c r="BF31" s="819"/>
      <c r="BG31" s="819"/>
      <c r="BH31" s="819"/>
      <c r="BI31" s="819"/>
      <c r="BJ31" s="819"/>
      <c r="BK31" s="819"/>
      <c r="BL31" s="819"/>
      <c r="BM31" s="819"/>
      <c r="BN31" s="819"/>
      <c r="BO31" s="819"/>
      <c r="BP31" s="819"/>
      <c r="BQ31" s="819"/>
      <c r="BR31" s="819"/>
      <c r="BS31" s="819"/>
      <c r="BT31" s="819"/>
      <c r="BU31" s="819"/>
      <c r="BV31" s="819"/>
      <c r="BW31" s="819"/>
      <c r="BX31" s="819"/>
      <c r="BY31" s="819"/>
      <c r="BZ31" s="819"/>
      <c r="CA31" s="819"/>
      <c r="CB31" s="819"/>
      <c r="CC31" s="819"/>
      <c r="CD31" s="819"/>
      <c r="CE31" s="819"/>
      <c r="CF31" s="819"/>
      <c r="CG31" s="819"/>
      <c r="CH31" s="819"/>
      <c r="CI31" s="819"/>
      <c r="CJ31" s="819"/>
      <c r="CK31" s="819"/>
      <c r="CL31" s="819"/>
      <c r="CM31" s="819"/>
      <c r="CN31" s="819"/>
      <c r="CO31" s="819"/>
      <c r="CP31" s="819"/>
      <c r="CQ31" s="819"/>
      <c r="CR31" s="819"/>
      <c r="CS31" s="819"/>
      <c r="CT31" s="819"/>
      <c r="CU31" s="819"/>
      <c r="CV31" s="819"/>
      <c r="CW31" s="819"/>
      <c r="CX31" s="819"/>
      <c r="CY31" s="819"/>
      <c r="CZ31" s="819"/>
      <c r="DA31" s="819"/>
      <c r="DB31" s="819"/>
      <c r="DC31" s="819"/>
      <c r="DD31" s="819"/>
      <c r="DE31" s="819"/>
      <c r="DF31" s="819"/>
      <c r="DG31" s="819"/>
      <c r="DH31" s="819"/>
      <c r="DI31" s="819"/>
      <c r="DJ31" s="819"/>
      <c r="DK31" s="819"/>
      <c r="DL31" s="819"/>
      <c r="DM31" s="819"/>
      <c r="DN31" s="819"/>
      <c r="DO31" s="819"/>
      <c r="DP31" s="819"/>
      <c r="DQ31" s="819"/>
      <c r="DR31" s="819"/>
      <c r="DS31" s="819"/>
      <c r="DT31" s="819"/>
      <c r="DU31" s="819"/>
      <c r="DV31" s="819"/>
      <c r="DW31" s="819"/>
      <c r="DX31" s="819"/>
      <c r="DY31" s="819"/>
      <c r="DZ31" s="819"/>
      <c r="EA31" s="819"/>
      <c r="EB31" s="819"/>
      <c r="EC31" s="819"/>
      <c r="ED31" s="819"/>
      <c r="EE31" s="819"/>
      <c r="EF31" s="819"/>
      <c r="EG31" s="819"/>
      <c r="EH31" s="819"/>
      <c r="EI31" s="819"/>
      <c r="EJ31" s="819"/>
      <c r="EK31" s="819"/>
      <c r="EL31" s="819"/>
      <c r="EM31" s="819"/>
      <c r="EN31" s="819"/>
      <c r="EO31" s="819"/>
      <c r="EP31" s="819"/>
      <c r="EQ31" s="819"/>
      <c r="ER31" s="819"/>
    </row>
  </sheetData>
  <mergeCells count="10">
    <mergeCell ref="B28:H28"/>
    <mergeCell ref="B29:H29"/>
    <mergeCell ref="B30:H30"/>
    <mergeCell ref="B31:H31"/>
    <mergeCell ref="A3:H3"/>
    <mergeCell ref="A6:A7"/>
    <mergeCell ref="B6:B7"/>
    <mergeCell ref="C6:D6"/>
    <mergeCell ref="E6:F6"/>
    <mergeCell ref="G6:H6"/>
  </mergeCells>
  <pageMargins left="0.78740157480314965" right="0.51181102362204722" top="0.59055118110236227" bottom="0.39370078740157483" header="0.19685039370078741" footer="0.19685039370078741"/>
  <pageSetup paperSize="9" scale="65" orientation="portrait" r:id="rId1"/>
  <headerFooter alignWithMargins="0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EW29"/>
  <sheetViews>
    <sheetView view="pageBreakPreview" zoomScaleNormal="100" workbookViewId="0">
      <pane ySplit="8" topLeftCell="A9" activePane="bottomLeft" state="frozen"/>
      <selection activeCell="A2" sqref="A2"/>
      <selection pane="bottomLeft" activeCell="J18" sqref="J18"/>
    </sheetView>
  </sheetViews>
  <sheetFormatPr defaultColWidth="2.7109375" defaultRowHeight="15"/>
  <cols>
    <col min="1" max="1" width="6.5703125" style="1" customWidth="1"/>
    <col min="2" max="2" width="49" style="1" customWidth="1"/>
    <col min="3" max="8" width="13.7109375" style="1" customWidth="1"/>
    <col min="9" max="60" width="8.28515625" style="1" customWidth="1"/>
    <col min="61" max="16384" width="2.7109375" style="1"/>
  </cols>
  <sheetData>
    <row r="1" spans="1:9" s="5" customFormat="1" ht="18" customHeight="1">
      <c r="A1" s="74" t="s">
        <v>1860</v>
      </c>
      <c r="H1" s="6" t="s">
        <v>1351</v>
      </c>
    </row>
    <row r="2" spans="1:9" ht="12.75" customHeight="1">
      <c r="A2" s="1139" t="s">
        <v>1678</v>
      </c>
    </row>
    <row r="3" spans="1:9" ht="29.25" customHeight="1">
      <c r="A3" s="1980" t="s">
        <v>1352</v>
      </c>
      <c r="B3" s="1980"/>
      <c r="C3" s="1980"/>
      <c r="D3" s="1980"/>
      <c r="E3" s="1980"/>
      <c r="F3" s="1980"/>
      <c r="G3" s="1980"/>
      <c r="H3" s="1980"/>
    </row>
    <row r="4" spans="1:9" ht="12.75" customHeight="1">
      <c r="B4" s="769"/>
      <c r="C4" s="769"/>
      <c r="D4" s="769"/>
      <c r="E4" s="769"/>
      <c r="F4" s="769"/>
      <c r="G4" s="769"/>
      <c r="H4" s="769"/>
    </row>
    <row r="5" spans="1:9" ht="14.25" customHeight="1">
      <c r="A5" s="812" t="s">
        <v>1329</v>
      </c>
      <c r="H5" s="23" t="s">
        <v>360</v>
      </c>
    </row>
    <row r="6" spans="1:9" s="3" customFormat="1" ht="15" customHeight="1">
      <c r="A6" s="1858" t="s">
        <v>0</v>
      </c>
      <c r="B6" s="1858" t="s">
        <v>1293</v>
      </c>
      <c r="C6" s="1981" t="s">
        <v>1336</v>
      </c>
      <c r="D6" s="1983"/>
      <c r="E6" s="1981" t="s">
        <v>1337</v>
      </c>
      <c r="F6" s="1983"/>
      <c r="G6" s="1981" t="s">
        <v>1715</v>
      </c>
      <c r="H6" s="1983"/>
    </row>
    <row r="7" spans="1:9" s="3" customFormat="1" ht="105">
      <c r="A7" s="1971"/>
      <c r="B7" s="1971"/>
      <c r="C7" s="822" t="s">
        <v>1353</v>
      </c>
      <c r="D7" s="822" t="s">
        <v>1354</v>
      </c>
      <c r="E7" s="822" t="s">
        <v>1353</v>
      </c>
      <c r="F7" s="822" t="s">
        <v>1354</v>
      </c>
      <c r="G7" s="822" t="s">
        <v>1353</v>
      </c>
      <c r="H7" s="822" t="s">
        <v>1354</v>
      </c>
    </row>
    <row r="8" spans="1:9" s="2" customFormat="1">
      <c r="A8" s="13">
        <v>1</v>
      </c>
      <c r="B8" s="13">
        <v>2</v>
      </c>
      <c r="C8" s="13">
        <v>3</v>
      </c>
      <c r="D8" s="13">
        <v>4</v>
      </c>
      <c r="E8" s="13">
        <v>5</v>
      </c>
      <c r="F8" s="13">
        <v>6</v>
      </c>
      <c r="G8" s="13">
        <v>7</v>
      </c>
      <c r="H8" s="13">
        <v>8</v>
      </c>
    </row>
    <row r="9" spans="1:9" s="41" customFormat="1" ht="45">
      <c r="A9" s="60" t="s">
        <v>893</v>
      </c>
      <c r="B9" s="68" t="s">
        <v>1355</v>
      </c>
      <c r="C9" s="823"/>
      <c r="D9" s="823">
        <v>0</v>
      </c>
      <c r="E9" s="823"/>
      <c r="F9" s="823">
        <v>0</v>
      </c>
      <c r="G9" s="823"/>
      <c r="H9" s="823">
        <v>0</v>
      </c>
    </row>
    <row r="10" spans="1:9" s="832" customFormat="1" ht="15" customHeight="1">
      <c r="A10" s="829" t="s">
        <v>895</v>
      </c>
      <c r="B10" s="830" t="s">
        <v>1308</v>
      </c>
      <c r="C10" s="1236"/>
      <c r="D10" s="337">
        <v>0</v>
      </c>
      <c r="E10" s="1236"/>
      <c r="F10" s="337">
        <v>0</v>
      </c>
      <c r="G10" s="1236"/>
      <c r="H10" s="337">
        <v>0</v>
      </c>
      <c r="I10" s="832" t="s">
        <v>1356</v>
      </c>
    </row>
    <row r="11" spans="1:9" s="832" customFormat="1" ht="15" customHeight="1">
      <c r="A11" s="829" t="s">
        <v>896</v>
      </c>
      <c r="B11" s="833" t="s">
        <v>1357</v>
      </c>
      <c r="C11" s="849"/>
      <c r="D11" s="1211"/>
      <c r="E11" s="849"/>
      <c r="F11" s="1211"/>
      <c r="G11" s="849"/>
      <c r="H11" s="1211"/>
    </row>
    <row r="12" spans="1:9" s="41" customFormat="1" ht="30">
      <c r="A12" s="60" t="s">
        <v>897</v>
      </c>
      <c r="B12" s="70" t="s">
        <v>1358</v>
      </c>
      <c r="C12" s="826">
        <f>C13+C14+C15</f>
        <v>0</v>
      </c>
      <c r="D12" s="826">
        <v>18754.099999999999</v>
      </c>
      <c r="E12" s="826">
        <v>0</v>
      </c>
      <c r="F12" s="826">
        <v>18736.099999999999</v>
      </c>
      <c r="G12" s="826">
        <v>0</v>
      </c>
      <c r="H12" s="826">
        <v>19882</v>
      </c>
    </row>
    <row r="13" spans="1:9" s="41" customFormat="1" ht="75">
      <c r="A13" s="60" t="s">
        <v>1359</v>
      </c>
      <c r="B13" s="68" t="s">
        <v>1360</v>
      </c>
      <c r="C13" s="826"/>
      <c r="D13" s="826">
        <v>1587</v>
      </c>
      <c r="E13" s="826"/>
      <c r="F13" s="826">
        <v>126</v>
      </c>
      <c r="G13" s="826"/>
      <c r="H13" s="826">
        <v>126</v>
      </c>
    </row>
    <row r="14" spans="1:9" s="41" customFormat="1">
      <c r="A14" s="60" t="s">
        <v>1361</v>
      </c>
      <c r="B14" s="68" t="s">
        <v>1362</v>
      </c>
      <c r="C14" s="826"/>
      <c r="D14" s="826">
        <v>3089.1</v>
      </c>
      <c r="E14" s="826"/>
      <c r="F14" s="826">
        <v>4306.1000000000004</v>
      </c>
      <c r="G14" s="826"/>
      <c r="H14" s="826">
        <v>4560</v>
      </c>
    </row>
    <row r="15" spans="1:9" s="41" customFormat="1">
      <c r="A15" s="60" t="s">
        <v>1363</v>
      </c>
      <c r="B15" s="68" t="s">
        <v>1364</v>
      </c>
      <c r="C15" s="826"/>
      <c r="D15" s="826">
        <v>14078</v>
      </c>
      <c r="E15" s="826"/>
      <c r="F15" s="826">
        <v>14304</v>
      </c>
      <c r="G15" s="826"/>
      <c r="H15" s="826">
        <v>15196</v>
      </c>
    </row>
    <row r="16" spans="1:9" s="41" customFormat="1">
      <c r="A16" s="60" t="s">
        <v>1036</v>
      </c>
      <c r="B16" s="70" t="s">
        <v>1365</v>
      </c>
      <c r="C16" s="826"/>
      <c r="D16" s="826">
        <v>79493</v>
      </c>
      <c r="E16" s="826"/>
      <c r="F16" s="826">
        <v>91603</v>
      </c>
      <c r="G16" s="826"/>
      <c r="H16" s="826">
        <v>98569</v>
      </c>
    </row>
    <row r="17" spans="1:153" s="41" customFormat="1">
      <c r="A17" s="60" t="s">
        <v>1035</v>
      </c>
      <c r="B17" s="70" t="s">
        <v>1366</v>
      </c>
      <c r="C17" s="826"/>
      <c r="D17" s="826">
        <v>0</v>
      </c>
      <c r="E17" s="826"/>
      <c r="F17" s="826">
        <v>0</v>
      </c>
      <c r="G17" s="826"/>
      <c r="H17" s="826">
        <v>0</v>
      </c>
    </row>
    <row r="18" spans="1:153" s="41" customFormat="1" ht="30">
      <c r="A18" s="60" t="s">
        <v>1034</v>
      </c>
      <c r="B18" s="70" t="s">
        <v>1367</v>
      </c>
      <c r="C18" s="826"/>
      <c r="D18" s="826">
        <v>74292</v>
      </c>
      <c r="E18" s="826"/>
      <c r="F18" s="826">
        <v>79244</v>
      </c>
      <c r="G18" s="826"/>
      <c r="H18" s="826">
        <v>87642</v>
      </c>
    </row>
    <row r="19" spans="1:153" s="41" customFormat="1" ht="30">
      <c r="A19" s="60" t="s">
        <v>1033</v>
      </c>
      <c r="B19" s="70" t="s">
        <v>1368</v>
      </c>
      <c r="C19" s="826"/>
      <c r="D19" s="826">
        <v>165948</v>
      </c>
      <c r="E19" s="826"/>
      <c r="F19" s="826">
        <v>139707</v>
      </c>
      <c r="G19" s="826"/>
      <c r="H19" s="826">
        <v>177026</v>
      </c>
    </row>
    <row r="20" spans="1:153" s="810" customFormat="1" ht="14.25">
      <c r="A20" s="82"/>
      <c r="B20" s="808" t="s">
        <v>770</v>
      </c>
      <c r="C20" s="827">
        <f>C9+C10+C11+C12+C16+C17+C18+C19</f>
        <v>0</v>
      </c>
      <c r="D20" s="827">
        <f>D9+D10+D11+D12+D16+D17+D18+D19</f>
        <v>338487.1</v>
      </c>
      <c r="E20" s="827">
        <f t="shared" ref="E20:G20" si="0">E9+E10+E11+E12+E16+E17+E18+E19</f>
        <v>0</v>
      </c>
      <c r="F20" s="827">
        <f>F9+F10+F11+F12+F16+F17+F18+F19</f>
        <v>329290.09999999998</v>
      </c>
      <c r="G20" s="827">
        <f t="shared" si="0"/>
        <v>0</v>
      </c>
      <c r="H20" s="827">
        <f>H9+H10+H11+H12+H16+H17+H18+H19</f>
        <v>383119</v>
      </c>
    </row>
    <row r="21" spans="1:153" s="41" customFormat="1">
      <c r="A21" s="60" t="s">
        <v>91</v>
      </c>
      <c r="B21" s="70" t="s">
        <v>396</v>
      </c>
      <c r="C21" s="826"/>
      <c r="D21" s="826">
        <f>'4.6_генерация_КТЭЦ с косв.'!J83</f>
        <v>1151.75</v>
      </c>
      <c r="E21" s="826"/>
      <c r="F21" s="826">
        <f>'4.6_генерация_КТЭЦ с косв.'!K83</f>
        <v>1230.069</v>
      </c>
      <c r="G21" s="826"/>
      <c r="H21" s="826">
        <f>'4.6_генерация_КТЭЦ с косв.'!N83</f>
        <v>1302.643071</v>
      </c>
    </row>
    <row r="22" spans="1:153" s="41" customFormat="1" ht="48" customHeight="1">
      <c r="A22" s="60" t="s">
        <v>1369</v>
      </c>
      <c r="B22" s="70" t="s">
        <v>1370</v>
      </c>
      <c r="C22" s="1216"/>
      <c r="D22" s="1216"/>
      <c r="E22" s="826"/>
      <c r="F22" s="826"/>
      <c r="G22" s="826"/>
      <c r="H22" s="826"/>
    </row>
    <row r="23" spans="1:153" s="810" customFormat="1" ht="15" customHeight="1">
      <c r="A23" s="82" t="s">
        <v>95</v>
      </c>
      <c r="B23" s="808" t="s">
        <v>1371</v>
      </c>
      <c r="C23" s="827">
        <f>C20+C21+C22</f>
        <v>0</v>
      </c>
      <c r="D23" s="827">
        <f t="shared" ref="D23:H23" si="1">D20+D21+D22</f>
        <v>339638.85</v>
      </c>
      <c r="E23" s="827">
        <f t="shared" si="1"/>
        <v>0</v>
      </c>
      <c r="F23" s="827">
        <f t="shared" si="1"/>
        <v>330520.16899999999</v>
      </c>
      <c r="G23" s="827">
        <f t="shared" si="1"/>
        <v>0</v>
      </c>
      <c r="H23" s="827">
        <f t="shared" si="1"/>
        <v>384421.643071</v>
      </c>
    </row>
    <row r="25" spans="1:153" s="26" customFormat="1">
      <c r="A25" s="26" t="s">
        <v>88</v>
      </c>
    </row>
    <row r="26" spans="1:153" s="773" customFormat="1">
      <c r="A26" s="819" t="s">
        <v>89</v>
      </c>
      <c r="B26" s="1972" t="s">
        <v>1346</v>
      </c>
      <c r="C26" s="1973"/>
      <c r="D26" s="1973"/>
      <c r="E26" s="1973"/>
      <c r="F26" s="1973"/>
      <c r="G26" s="1973"/>
      <c r="H26" s="1973"/>
      <c r="I26" s="819"/>
      <c r="J26" s="819"/>
      <c r="K26" s="819"/>
      <c r="L26" s="819"/>
      <c r="M26" s="819"/>
      <c r="N26" s="819"/>
      <c r="O26" s="819"/>
      <c r="P26" s="819"/>
      <c r="Q26" s="819"/>
      <c r="R26" s="819"/>
      <c r="S26" s="819"/>
      <c r="T26" s="819"/>
      <c r="U26" s="819"/>
      <c r="V26" s="819"/>
      <c r="W26" s="819"/>
      <c r="X26" s="819"/>
      <c r="Y26" s="819"/>
      <c r="Z26" s="819"/>
      <c r="AA26" s="819"/>
      <c r="AB26" s="819"/>
      <c r="AC26" s="819"/>
      <c r="AD26" s="819"/>
      <c r="AE26" s="819"/>
      <c r="AF26" s="819"/>
      <c r="AG26" s="819"/>
      <c r="AH26" s="819"/>
      <c r="AI26" s="819"/>
      <c r="AJ26" s="819"/>
      <c r="AK26" s="819"/>
      <c r="AL26" s="819"/>
      <c r="AM26" s="819"/>
      <c r="AN26" s="819"/>
      <c r="AO26" s="819"/>
      <c r="AP26" s="819"/>
      <c r="AQ26" s="819"/>
      <c r="AR26" s="819"/>
      <c r="AS26" s="819"/>
      <c r="AT26" s="819"/>
      <c r="AU26" s="819"/>
      <c r="AV26" s="819"/>
      <c r="AW26" s="819"/>
      <c r="AX26" s="819"/>
      <c r="AY26" s="819"/>
      <c r="AZ26" s="819"/>
      <c r="BA26" s="819"/>
      <c r="BB26" s="819"/>
      <c r="BC26" s="819"/>
      <c r="BD26" s="819"/>
      <c r="BE26" s="819"/>
      <c r="BF26" s="819"/>
      <c r="BG26" s="819"/>
      <c r="BH26" s="819"/>
      <c r="BI26" s="819"/>
      <c r="BJ26" s="819"/>
      <c r="BK26" s="819"/>
      <c r="BL26" s="819"/>
      <c r="BM26" s="819"/>
      <c r="BN26" s="819"/>
      <c r="BO26" s="819"/>
      <c r="BP26" s="819"/>
      <c r="BQ26" s="819"/>
      <c r="BR26" s="819"/>
      <c r="BS26" s="819"/>
      <c r="BT26" s="819"/>
      <c r="BU26" s="819"/>
      <c r="BV26" s="819"/>
      <c r="BW26" s="819"/>
      <c r="BX26" s="819"/>
      <c r="BY26" s="819"/>
      <c r="BZ26" s="819"/>
      <c r="CA26" s="819"/>
      <c r="CB26" s="819"/>
      <c r="CC26" s="819"/>
      <c r="CD26" s="819"/>
      <c r="CE26" s="819"/>
      <c r="CF26" s="819"/>
      <c r="CG26" s="819"/>
      <c r="CH26" s="819"/>
      <c r="CI26" s="819"/>
      <c r="CJ26" s="819"/>
      <c r="CK26" s="819"/>
      <c r="CL26" s="819"/>
      <c r="CM26" s="819"/>
      <c r="CN26" s="819"/>
      <c r="CO26" s="819"/>
      <c r="CP26" s="819"/>
      <c r="CQ26" s="819"/>
      <c r="CR26" s="819"/>
      <c r="CS26" s="819"/>
      <c r="CT26" s="819"/>
      <c r="CU26" s="819"/>
      <c r="CV26" s="819"/>
      <c r="CW26" s="819"/>
      <c r="CX26" s="819"/>
      <c r="CY26" s="819"/>
      <c r="CZ26" s="819"/>
      <c r="DA26" s="819"/>
      <c r="DB26" s="819"/>
      <c r="DC26" s="819"/>
      <c r="DD26" s="819"/>
      <c r="DE26" s="819"/>
      <c r="DF26" s="819"/>
      <c r="DG26" s="819"/>
      <c r="DH26" s="819"/>
      <c r="DI26" s="819"/>
      <c r="DJ26" s="819"/>
      <c r="DK26" s="819"/>
      <c r="DL26" s="819"/>
      <c r="DM26" s="819"/>
      <c r="DN26" s="819"/>
      <c r="DO26" s="819"/>
      <c r="DP26" s="819"/>
      <c r="DQ26" s="819"/>
      <c r="DR26" s="819"/>
      <c r="DS26" s="819"/>
      <c r="DT26" s="819"/>
      <c r="DU26" s="819"/>
      <c r="DV26" s="819"/>
      <c r="DW26" s="819"/>
      <c r="DX26" s="819"/>
      <c r="DY26" s="819"/>
      <c r="DZ26" s="819"/>
      <c r="EA26" s="819"/>
      <c r="EB26" s="819"/>
      <c r="EC26" s="819"/>
      <c r="ED26" s="819"/>
      <c r="EE26" s="819"/>
      <c r="EF26" s="819"/>
      <c r="EG26" s="819"/>
      <c r="EH26" s="819"/>
      <c r="EI26" s="819"/>
      <c r="EJ26" s="819"/>
      <c r="EK26" s="819"/>
      <c r="EL26" s="819"/>
      <c r="EM26" s="819"/>
      <c r="EN26" s="819"/>
      <c r="EO26" s="819"/>
      <c r="EP26" s="819"/>
      <c r="EQ26" s="819"/>
      <c r="ER26" s="819"/>
      <c r="ES26" s="819"/>
      <c r="ET26" s="819"/>
      <c r="EU26" s="819"/>
      <c r="EV26" s="819"/>
      <c r="EW26" s="819"/>
    </row>
    <row r="27" spans="1:153" s="773" customFormat="1">
      <c r="A27" s="819" t="s">
        <v>91</v>
      </c>
      <c r="B27" s="1967" t="s">
        <v>1372</v>
      </c>
      <c r="C27" s="1979"/>
      <c r="D27" s="1979"/>
      <c r="E27" s="1979"/>
      <c r="F27" s="1979"/>
      <c r="G27" s="1979"/>
      <c r="H27" s="1979"/>
    </row>
    <row r="28" spans="1:153" ht="33" customHeight="1">
      <c r="A28" s="819" t="s">
        <v>93</v>
      </c>
      <c r="B28" s="1972" t="s">
        <v>1373</v>
      </c>
      <c r="C28" s="1973"/>
      <c r="D28" s="1973"/>
      <c r="E28" s="1973"/>
      <c r="F28" s="1973"/>
      <c r="G28" s="1973"/>
      <c r="H28" s="1973"/>
      <c r="I28" s="819"/>
      <c r="J28" s="819"/>
      <c r="K28" s="819"/>
      <c r="L28" s="819"/>
      <c r="M28" s="819"/>
      <c r="N28" s="819"/>
      <c r="O28" s="819"/>
      <c r="P28" s="819"/>
      <c r="Q28" s="819"/>
      <c r="R28" s="819"/>
      <c r="S28" s="819"/>
      <c r="T28" s="819"/>
      <c r="U28" s="819"/>
      <c r="V28" s="819"/>
      <c r="W28" s="819"/>
      <c r="X28" s="819"/>
      <c r="Y28" s="819"/>
      <c r="Z28" s="819"/>
      <c r="AA28" s="819"/>
      <c r="AB28" s="819"/>
      <c r="AC28" s="819"/>
      <c r="AD28" s="819"/>
      <c r="AE28" s="819"/>
      <c r="AF28" s="819"/>
      <c r="AG28" s="819"/>
      <c r="AH28" s="819"/>
      <c r="AI28" s="819"/>
      <c r="AJ28" s="819"/>
      <c r="AK28" s="819"/>
      <c r="AL28" s="819"/>
      <c r="AM28" s="819"/>
      <c r="AN28" s="819"/>
      <c r="AO28" s="819"/>
      <c r="AP28" s="819"/>
      <c r="AQ28" s="819"/>
      <c r="AR28" s="819"/>
      <c r="AS28" s="819"/>
      <c r="AT28" s="819"/>
      <c r="AU28" s="819"/>
      <c r="AV28" s="819"/>
      <c r="AW28" s="819"/>
      <c r="AX28" s="819"/>
      <c r="AY28" s="819"/>
      <c r="AZ28" s="819"/>
      <c r="BA28" s="819"/>
      <c r="BB28" s="819"/>
      <c r="BC28" s="819"/>
      <c r="BD28" s="819"/>
      <c r="BE28" s="819"/>
      <c r="BF28" s="819"/>
      <c r="BG28" s="819"/>
      <c r="BH28" s="819"/>
      <c r="BI28" s="819"/>
      <c r="BJ28" s="819"/>
      <c r="BK28" s="819"/>
      <c r="BL28" s="819"/>
      <c r="BM28" s="819"/>
      <c r="BN28" s="819"/>
      <c r="BO28" s="819"/>
      <c r="BP28" s="819"/>
      <c r="BQ28" s="819"/>
      <c r="BR28" s="819"/>
      <c r="BS28" s="819"/>
      <c r="BT28" s="819"/>
      <c r="BU28" s="819"/>
      <c r="BV28" s="819"/>
      <c r="BW28" s="819"/>
      <c r="BX28" s="819"/>
      <c r="BY28" s="819"/>
      <c r="BZ28" s="819"/>
      <c r="CA28" s="819"/>
      <c r="CB28" s="819"/>
      <c r="CC28" s="819"/>
      <c r="CD28" s="819"/>
      <c r="CE28" s="819"/>
      <c r="CF28" s="819"/>
      <c r="CG28" s="819"/>
      <c r="CH28" s="819"/>
      <c r="CI28" s="819"/>
      <c r="CJ28" s="819"/>
      <c r="CK28" s="819"/>
      <c r="CL28" s="819"/>
      <c r="CM28" s="819"/>
      <c r="CN28" s="819"/>
      <c r="CO28" s="819"/>
      <c r="CP28" s="819"/>
      <c r="CQ28" s="819"/>
      <c r="CR28" s="819"/>
      <c r="CS28" s="819"/>
      <c r="CT28" s="819"/>
      <c r="CU28" s="819"/>
      <c r="CV28" s="819"/>
      <c r="CW28" s="819"/>
      <c r="CX28" s="819"/>
      <c r="CY28" s="819"/>
      <c r="CZ28" s="819"/>
      <c r="DA28" s="819"/>
      <c r="DB28" s="819"/>
      <c r="DC28" s="819"/>
      <c r="DD28" s="819"/>
      <c r="DE28" s="819"/>
      <c r="DF28" s="819"/>
      <c r="DG28" s="819"/>
      <c r="DH28" s="819"/>
      <c r="DI28" s="819"/>
      <c r="DJ28" s="819"/>
      <c r="DK28" s="819"/>
      <c r="DL28" s="819"/>
      <c r="DM28" s="819"/>
      <c r="DN28" s="819"/>
      <c r="DO28" s="819"/>
      <c r="DP28" s="819"/>
      <c r="DQ28" s="819"/>
      <c r="DR28" s="819"/>
      <c r="DS28" s="819"/>
      <c r="DT28" s="819"/>
      <c r="DU28" s="819"/>
      <c r="DV28" s="819"/>
      <c r="DW28" s="819"/>
      <c r="DX28" s="819"/>
      <c r="DY28" s="819"/>
      <c r="DZ28" s="819"/>
      <c r="EA28" s="819"/>
      <c r="EB28" s="819"/>
      <c r="EC28" s="819"/>
      <c r="ED28" s="819"/>
      <c r="EE28" s="819"/>
      <c r="EF28" s="819"/>
      <c r="EG28" s="819"/>
      <c r="EH28" s="819"/>
      <c r="EI28" s="819"/>
      <c r="EJ28" s="819"/>
      <c r="EK28" s="819"/>
      <c r="EL28" s="819"/>
      <c r="EM28" s="819"/>
      <c r="EN28" s="819"/>
      <c r="EO28" s="819"/>
      <c r="EP28" s="819"/>
      <c r="EQ28" s="819"/>
      <c r="ER28" s="819"/>
    </row>
    <row r="29" spans="1:153" ht="34.5" customHeight="1">
      <c r="A29" s="819" t="s">
        <v>95</v>
      </c>
      <c r="B29" s="1972" t="s">
        <v>1374</v>
      </c>
      <c r="C29" s="1973"/>
      <c r="D29" s="1973"/>
      <c r="E29" s="1973"/>
      <c r="F29" s="1973"/>
      <c r="G29" s="1973"/>
      <c r="H29" s="1973"/>
      <c r="I29" s="819"/>
      <c r="J29" s="819"/>
      <c r="K29" s="819"/>
      <c r="L29" s="819"/>
      <c r="M29" s="819"/>
      <c r="N29" s="819"/>
      <c r="O29" s="819"/>
      <c r="P29" s="819"/>
      <c r="Q29" s="819"/>
      <c r="R29" s="819"/>
      <c r="S29" s="819"/>
      <c r="T29" s="819"/>
      <c r="U29" s="819"/>
      <c r="V29" s="819"/>
      <c r="W29" s="819"/>
      <c r="X29" s="819"/>
      <c r="Y29" s="819"/>
      <c r="Z29" s="819"/>
      <c r="AA29" s="819"/>
      <c r="AB29" s="819"/>
      <c r="AC29" s="819"/>
      <c r="AD29" s="819"/>
      <c r="AE29" s="819"/>
      <c r="AF29" s="819"/>
      <c r="AG29" s="819"/>
      <c r="AH29" s="819"/>
      <c r="AI29" s="819"/>
      <c r="AJ29" s="819"/>
      <c r="AK29" s="819"/>
      <c r="AL29" s="819"/>
      <c r="AM29" s="819"/>
      <c r="AN29" s="819"/>
      <c r="AO29" s="819"/>
      <c r="AP29" s="819"/>
      <c r="AQ29" s="819"/>
      <c r="AR29" s="819"/>
      <c r="AS29" s="819"/>
      <c r="AT29" s="819"/>
      <c r="AU29" s="819"/>
      <c r="AV29" s="819"/>
      <c r="AW29" s="819"/>
      <c r="AX29" s="819"/>
      <c r="AY29" s="819"/>
      <c r="AZ29" s="819"/>
      <c r="BA29" s="819"/>
      <c r="BB29" s="819"/>
      <c r="BC29" s="819"/>
      <c r="BD29" s="819"/>
      <c r="BE29" s="819"/>
      <c r="BF29" s="819"/>
      <c r="BG29" s="819"/>
      <c r="BH29" s="819"/>
      <c r="BI29" s="819"/>
      <c r="BJ29" s="819"/>
      <c r="BK29" s="819"/>
      <c r="BL29" s="819"/>
      <c r="BM29" s="819"/>
      <c r="BN29" s="819"/>
      <c r="BO29" s="819"/>
      <c r="BP29" s="819"/>
      <c r="BQ29" s="819"/>
      <c r="BR29" s="819"/>
      <c r="BS29" s="819"/>
      <c r="BT29" s="819"/>
      <c r="BU29" s="819"/>
      <c r="BV29" s="819"/>
      <c r="BW29" s="819"/>
      <c r="BX29" s="819"/>
      <c r="BY29" s="819"/>
      <c r="BZ29" s="819"/>
      <c r="CA29" s="819"/>
      <c r="CB29" s="819"/>
      <c r="CC29" s="819"/>
      <c r="CD29" s="819"/>
      <c r="CE29" s="819"/>
      <c r="CF29" s="819"/>
      <c r="CG29" s="819"/>
      <c r="CH29" s="819"/>
      <c r="CI29" s="819"/>
      <c r="CJ29" s="819"/>
      <c r="CK29" s="819"/>
      <c r="CL29" s="819"/>
      <c r="CM29" s="819"/>
      <c r="CN29" s="819"/>
      <c r="CO29" s="819"/>
      <c r="CP29" s="819"/>
      <c r="CQ29" s="819"/>
      <c r="CR29" s="819"/>
      <c r="CS29" s="819"/>
      <c r="CT29" s="819"/>
      <c r="CU29" s="819"/>
      <c r="CV29" s="819"/>
      <c r="CW29" s="819"/>
      <c r="CX29" s="819"/>
      <c r="CY29" s="819"/>
      <c r="CZ29" s="819"/>
      <c r="DA29" s="819"/>
      <c r="DB29" s="819"/>
      <c r="DC29" s="819"/>
      <c r="DD29" s="819"/>
      <c r="DE29" s="819"/>
      <c r="DF29" s="819"/>
      <c r="DG29" s="819"/>
      <c r="DH29" s="819"/>
      <c r="DI29" s="819"/>
      <c r="DJ29" s="819"/>
      <c r="DK29" s="819"/>
      <c r="DL29" s="819"/>
      <c r="DM29" s="819"/>
      <c r="DN29" s="819"/>
      <c r="DO29" s="819"/>
      <c r="DP29" s="819"/>
      <c r="DQ29" s="819"/>
      <c r="DR29" s="819"/>
      <c r="DS29" s="819"/>
      <c r="DT29" s="819"/>
      <c r="DU29" s="819"/>
      <c r="DV29" s="819"/>
      <c r="DW29" s="819"/>
      <c r="DX29" s="819"/>
      <c r="DY29" s="819"/>
      <c r="DZ29" s="819"/>
      <c r="EA29" s="819"/>
      <c r="EB29" s="819"/>
      <c r="EC29" s="819"/>
      <c r="ED29" s="819"/>
      <c r="EE29" s="819"/>
      <c r="EF29" s="819"/>
      <c r="EG29" s="819"/>
      <c r="EH29" s="819"/>
      <c r="EI29" s="819"/>
      <c r="EJ29" s="819"/>
      <c r="EK29" s="819"/>
      <c r="EL29" s="819"/>
      <c r="EM29" s="819"/>
      <c r="EN29" s="819"/>
      <c r="EO29" s="819"/>
      <c r="EP29" s="819"/>
      <c r="EQ29" s="819"/>
      <c r="ER29" s="819"/>
    </row>
  </sheetData>
  <mergeCells count="10">
    <mergeCell ref="B26:H26"/>
    <mergeCell ref="B27:H27"/>
    <mergeCell ref="B28:H28"/>
    <mergeCell ref="B29:H29"/>
    <mergeCell ref="A3:H3"/>
    <mergeCell ref="A6:A7"/>
    <mergeCell ref="B6:B7"/>
    <mergeCell ref="C6:D6"/>
    <mergeCell ref="E6:F6"/>
    <mergeCell ref="G6:H6"/>
  </mergeCells>
  <pageMargins left="0.78740157480314965" right="0.51181102362204722" top="0.59055118110236227" bottom="0.39370078740157483" header="0.19685039370078741" footer="0.19685039370078741"/>
  <pageSetup paperSize="9" scale="65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FF00"/>
  </sheetPr>
  <dimension ref="A1:BG55"/>
  <sheetViews>
    <sheetView view="pageBreakPreview" zoomScale="90" zoomScaleNormal="100" zoomScaleSheetLayoutView="90" workbookViewId="0">
      <pane xSplit="2" ySplit="6" topLeftCell="AQ7" activePane="bottomRight" state="frozen"/>
      <selection activeCell="I8" sqref="I8"/>
      <selection pane="topRight" activeCell="I8" sqref="I8"/>
      <selection pane="bottomLeft" activeCell="I8" sqref="I8"/>
      <selection pane="bottomRight" activeCell="BB13" sqref="BB13"/>
    </sheetView>
  </sheetViews>
  <sheetFormatPr defaultColWidth="7.85546875" defaultRowHeight="12" customHeight="1"/>
  <cols>
    <col min="1" max="1" width="4.28515625" style="26" customWidth="1"/>
    <col min="2" max="2" width="30.140625" style="26" customWidth="1"/>
    <col min="3" max="6" width="13.85546875" style="26" hidden="1" customWidth="1"/>
    <col min="7" max="10" width="13.7109375" style="26" hidden="1" customWidth="1"/>
    <col min="11" max="35" width="13.7109375" style="26" customWidth="1"/>
    <col min="36" max="36" width="11" style="26" customWidth="1"/>
    <col min="37" max="38" width="13.7109375" style="26" customWidth="1"/>
    <col min="39" max="41" width="12.140625" style="26" customWidth="1"/>
    <col min="42" max="42" width="11.28515625" style="26" customWidth="1"/>
    <col min="43" max="43" width="12.140625" style="26" customWidth="1"/>
    <col min="44" max="44" width="10.85546875" style="26" customWidth="1"/>
    <col min="45" max="45" width="12.140625" style="26" customWidth="1"/>
    <col min="46" max="58" width="11.7109375" style="26" customWidth="1"/>
    <col min="59" max="16384" width="7.85546875" style="26"/>
  </cols>
  <sheetData>
    <row r="1" spans="1:59" s="24" customFormat="1" ht="18" customHeight="1">
      <c r="A1" s="74" t="s">
        <v>1860</v>
      </c>
      <c r="Z1" s="25" t="s">
        <v>113</v>
      </c>
      <c r="AL1" s="25"/>
      <c r="AS1" s="25" t="s">
        <v>113</v>
      </c>
      <c r="BF1" s="25" t="s">
        <v>113</v>
      </c>
    </row>
    <row r="2" spans="1:59" ht="16.5" customHeight="1">
      <c r="A2" s="589" t="str">
        <f>'4.1 (свод)'!A2</f>
        <v>КТЭЦ + котельные СВОД</v>
      </c>
      <c r="S2" s="1282"/>
    </row>
    <row r="3" spans="1:59" ht="21" customHeight="1">
      <c r="A3" s="1788"/>
      <c r="B3" s="1788"/>
      <c r="C3" s="1788"/>
      <c r="D3" s="1788"/>
      <c r="E3" s="1788"/>
      <c r="F3" s="1788"/>
      <c r="G3" s="1788"/>
      <c r="H3" s="1788"/>
      <c r="I3" s="1788"/>
      <c r="J3" s="1788"/>
      <c r="K3" s="1788"/>
      <c r="L3" s="1788"/>
      <c r="M3" s="1788"/>
      <c r="N3" s="1788"/>
      <c r="O3" s="1788"/>
      <c r="P3" s="1788"/>
      <c r="Q3" s="1788" t="s">
        <v>114</v>
      </c>
      <c r="R3" s="1788"/>
      <c r="S3" s="1788"/>
      <c r="T3" s="1788"/>
      <c r="U3" s="1788"/>
      <c r="V3" s="1788"/>
      <c r="W3" s="1788"/>
      <c r="X3" s="1788"/>
      <c r="Y3" s="1788"/>
      <c r="Z3" s="1788"/>
      <c r="AA3" s="1788"/>
      <c r="AB3" s="1788"/>
      <c r="AC3" s="1788"/>
      <c r="AD3" s="1788"/>
      <c r="AE3" s="1788"/>
      <c r="AF3" s="1788" t="s">
        <v>114</v>
      </c>
      <c r="AG3" s="1788"/>
      <c r="AH3" s="1788"/>
      <c r="AI3" s="1788"/>
      <c r="AJ3" s="1788"/>
      <c r="AK3" s="1788"/>
      <c r="AL3" s="1788"/>
      <c r="AZ3" s="1788" t="s">
        <v>114</v>
      </c>
    </row>
    <row r="4" spans="1:59" s="544" customFormat="1" ht="15" customHeight="1">
      <c r="S4" s="1275"/>
      <c r="T4" s="1275"/>
      <c r="U4" s="1275"/>
      <c r="V4" s="1275"/>
      <c r="W4" s="1275"/>
      <c r="X4" s="1275"/>
      <c r="Y4" s="1275"/>
      <c r="Z4" s="1275"/>
      <c r="AA4" s="1579"/>
      <c r="AB4" s="1579"/>
      <c r="AC4" s="1579"/>
      <c r="AD4" s="1579"/>
      <c r="AE4" s="1579"/>
      <c r="AF4" s="1579"/>
      <c r="AG4" s="1579"/>
      <c r="AH4" s="1579"/>
      <c r="AU4" s="1628"/>
      <c r="AV4" s="1628"/>
      <c r="AW4" s="1628"/>
      <c r="AX4" s="1628"/>
      <c r="AY4" s="1628"/>
      <c r="AZ4" s="1628"/>
      <c r="BA4" s="1628"/>
      <c r="BB4" s="1628"/>
      <c r="BC4" s="1628"/>
      <c r="BD4" s="1628"/>
      <c r="BE4" s="1628"/>
      <c r="BF4" s="1628"/>
    </row>
    <row r="5" spans="1:59" s="31" customFormat="1" ht="27" customHeight="1">
      <c r="A5" s="1873" t="s">
        <v>0</v>
      </c>
      <c r="B5" s="1858" t="s">
        <v>1</v>
      </c>
      <c r="C5" s="1846" t="s">
        <v>1129</v>
      </c>
      <c r="D5" s="1846"/>
      <c r="E5" s="1846"/>
      <c r="F5" s="1834"/>
      <c r="G5" s="1874" t="s">
        <v>1130</v>
      </c>
      <c r="H5" s="1846"/>
      <c r="I5" s="1846"/>
      <c r="J5" s="1875"/>
      <c r="K5" s="1836" t="s">
        <v>1131</v>
      </c>
      <c r="L5" s="1846"/>
      <c r="M5" s="1846"/>
      <c r="N5" s="1834"/>
      <c r="O5" s="1874" t="s">
        <v>1695</v>
      </c>
      <c r="P5" s="1846"/>
      <c r="Q5" s="1846"/>
      <c r="R5" s="1875"/>
      <c r="S5" s="1836" t="s">
        <v>1696</v>
      </c>
      <c r="T5" s="1846"/>
      <c r="U5" s="1846"/>
      <c r="V5" s="1834"/>
      <c r="W5" s="1874" t="s">
        <v>1828</v>
      </c>
      <c r="X5" s="1846"/>
      <c r="Y5" s="1846"/>
      <c r="Z5" s="1875"/>
      <c r="AA5" s="1874" t="s">
        <v>1833</v>
      </c>
      <c r="AB5" s="1846"/>
      <c r="AC5" s="1846"/>
      <c r="AD5" s="1875"/>
      <c r="AE5" s="1844" t="s">
        <v>1861</v>
      </c>
      <c r="AF5" s="1845"/>
      <c r="AG5" s="1845"/>
      <c r="AH5" s="1871"/>
      <c r="AI5" s="1846" t="s">
        <v>1862</v>
      </c>
      <c r="AJ5" s="1846"/>
      <c r="AK5" s="1846"/>
      <c r="AL5" s="1846"/>
      <c r="AM5" s="1846" t="s">
        <v>767</v>
      </c>
      <c r="AN5" s="1846"/>
      <c r="AO5" s="1846"/>
      <c r="AP5" s="1846"/>
      <c r="AQ5" s="1846" t="s">
        <v>766</v>
      </c>
      <c r="AR5" s="1846"/>
      <c r="AS5" s="1846"/>
      <c r="AT5" s="1846"/>
      <c r="AU5" s="1846" t="s">
        <v>1863</v>
      </c>
      <c r="AV5" s="1846"/>
      <c r="AW5" s="1846"/>
      <c r="AX5" s="1846"/>
      <c r="AY5" s="1846" t="s">
        <v>767</v>
      </c>
      <c r="AZ5" s="1846"/>
      <c r="BA5" s="1846"/>
      <c r="BB5" s="1846"/>
      <c r="BC5" s="1846" t="s">
        <v>766</v>
      </c>
      <c r="BD5" s="1846"/>
      <c r="BE5" s="1846"/>
      <c r="BF5" s="1846"/>
    </row>
    <row r="6" spans="1:59" s="31" customFormat="1" ht="141.75" customHeight="1">
      <c r="A6" s="1873"/>
      <c r="B6" s="1860"/>
      <c r="C6" s="543" t="s">
        <v>115</v>
      </c>
      <c r="D6" s="543" t="s">
        <v>116</v>
      </c>
      <c r="E6" s="543" t="s">
        <v>117</v>
      </c>
      <c r="F6" s="1286" t="s">
        <v>118</v>
      </c>
      <c r="G6" s="1329" t="s">
        <v>115</v>
      </c>
      <c r="H6" s="1288" t="s">
        <v>116</v>
      </c>
      <c r="I6" s="1288" t="s">
        <v>117</v>
      </c>
      <c r="J6" s="1320" t="s">
        <v>118</v>
      </c>
      <c r="K6" s="1287" t="s">
        <v>115</v>
      </c>
      <c r="L6" s="543" t="s">
        <v>116</v>
      </c>
      <c r="M6" s="543" t="s">
        <v>117</v>
      </c>
      <c r="N6" s="1286" t="s">
        <v>118</v>
      </c>
      <c r="O6" s="1329" t="s">
        <v>115</v>
      </c>
      <c r="P6" s="1288" t="s">
        <v>116</v>
      </c>
      <c r="Q6" s="1288" t="s">
        <v>117</v>
      </c>
      <c r="R6" s="1320" t="s">
        <v>118</v>
      </c>
      <c r="S6" s="1287" t="s">
        <v>115</v>
      </c>
      <c r="T6" s="1274" t="s">
        <v>116</v>
      </c>
      <c r="U6" s="1274" t="s">
        <v>117</v>
      </c>
      <c r="V6" s="1286" t="s">
        <v>118</v>
      </c>
      <c r="W6" s="1329" t="s">
        <v>115</v>
      </c>
      <c r="X6" s="1288" t="s">
        <v>116</v>
      </c>
      <c r="Y6" s="1288" t="s">
        <v>117</v>
      </c>
      <c r="Z6" s="1320" t="s">
        <v>118</v>
      </c>
      <c r="AA6" s="1577" t="s">
        <v>115</v>
      </c>
      <c r="AB6" s="1574" t="s">
        <v>116</v>
      </c>
      <c r="AC6" s="1574" t="s">
        <v>117</v>
      </c>
      <c r="AD6" s="1578" t="s">
        <v>118</v>
      </c>
      <c r="AE6" s="1577" t="s">
        <v>115</v>
      </c>
      <c r="AF6" s="1574" t="s">
        <v>116</v>
      </c>
      <c r="AG6" s="1574" t="s">
        <v>117</v>
      </c>
      <c r="AH6" s="1578" t="s">
        <v>118</v>
      </c>
      <c r="AI6" s="1287" t="s">
        <v>115</v>
      </c>
      <c r="AJ6" s="543" t="s">
        <v>116</v>
      </c>
      <c r="AK6" s="543" t="s">
        <v>117</v>
      </c>
      <c r="AL6" s="1286" t="s">
        <v>118</v>
      </c>
      <c r="AM6" s="1329" t="s">
        <v>115</v>
      </c>
      <c r="AN6" s="1288" t="s">
        <v>116</v>
      </c>
      <c r="AO6" s="1288" t="s">
        <v>117</v>
      </c>
      <c r="AP6" s="1320" t="s">
        <v>118</v>
      </c>
      <c r="AQ6" s="1287" t="s">
        <v>115</v>
      </c>
      <c r="AR6" s="543" t="s">
        <v>116</v>
      </c>
      <c r="AS6" s="543" t="s">
        <v>117</v>
      </c>
      <c r="AT6" s="543" t="s">
        <v>118</v>
      </c>
      <c r="AU6" s="1623" t="s">
        <v>115</v>
      </c>
      <c r="AV6" s="1619" t="s">
        <v>116</v>
      </c>
      <c r="AW6" s="1619" t="s">
        <v>117</v>
      </c>
      <c r="AX6" s="1621" t="s">
        <v>118</v>
      </c>
      <c r="AY6" s="1626" t="s">
        <v>115</v>
      </c>
      <c r="AZ6" s="1619" t="s">
        <v>116</v>
      </c>
      <c r="BA6" s="1619" t="s">
        <v>117</v>
      </c>
      <c r="BB6" s="1627" t="s">
        <v>118</v>
      </c>
      <c r="BC6" s="1623" t="s">
        <v>115</v>
      </c>
      <c r="BD6" s="1619" t="s">
        <v>116</v>
      </c>
      <c r="BE6" s="1619" t="s">
        <v>117</v>
      </c>
      <c r="BF6" s="1619" t="s">
        <v>118</v>
      </c>
    </row>
    <row r="7" spans="1:59" s="53" customFormat="1" ht="13.5" customHeight="1">
      <c r="A7" s="8">
        <v>1</v>
      </c>
      <c r="B7" s="8">
        <v>2</v>
      </c>
      <c r="C7" s="8">
        <v>3</v>
      </c>
      <c r="D7" s="8">
        <v>4</v>
      </c>
      <c r="E7" s="8">
        <v>5</v>
      </c>
      <c r="F7" s="91">
        <v>6</v>
      </c>
      <c r="G7" s="1330">
        <v>7</v>
      </c>
      <c r="H7" s="54">
        <v>8</v>
      </c>
      <c r="I7" s="54">
        <v>9</v>
      </c>
      <c r="J7" s="1321">
        <v>10</v>
      </c>
      <c r="K7" s="8">
        <v>3</v>
      </c>
      <c r="L7" s="8">
        <v>4</v>
      </c>
      <c r="M7" s="8">
        <v>5</v>
      </c>
      <c r="N7" s="91">
        <v>6</v>
      </c>
      <c r="O7" s="1330">
        <v>7</v>
      </c>
      <c r="P7" s="54">
        <v>8</v>
      </c>
      <c r="Q7" s="54">
        <v>9</v>
      </c>
      <c r="R7" s="1321">
        <v>10</v>
      </c>
      <c r="S7" s="1314">
        <v>11</v>
      </c>
      <c r="T7" s="54">
        <v>12</v>
      </c>
      <c r="U7" s="54">
        <v>13</v>
      </c>
      <c r="V7" s="1339">
        <v>14</v>
      </c>
      <c r="W7" s="1330">
        <v>15</v>
      </c>
      <c r="X7" s="54">
        <v>16</v>
      </c>
      <c r="Y7" s="54">
        <v>17</v>
      </c>
      <c r="Z7" s="1321">
        <v>18</v>
      </c>
      <c r="AA7" s="1314">
        <v>19</v>
      </c>
      <c r="AB7" s="54">
        <v>20</v>
      </c>
      <c r="AC7" s="54">
        <v>21</v>
      </c>
      <c r="AD7" s="1339">
        <v>22</v>
      </c>
      <c r="AE7" s="1330">
        <v>23</v>
      </c>
      <c r="AF7" s="54">
        <v>24</v>
      </c>
      <c r="AG7" s="54">
        <v>25</v>
      </c>
      <c r="AH7" s="1321">
        <v>26</v>
      </c>
      <c r="AI7" s="1330">
        <v>27</v>
      </c>
      <c r="AJ7" s="54">
        <v>28</v>
      </c>
      <c r="AK7" s="54">
        <v>29</v>
      </c>
      <c r="AL7" s="1321">
        <v>30</v>
      </c>
      <c r="AM7" s="1330">
        <v>31</v>
      </c>
      <c r="AN7" s="54">
        <v>32</v>
      </c>
      <c r="AO7" s="54">
        <v>33</v>
      </c>
      <c r="AP7" s="1321">
        <v>34</v>
      </c>
      <c r="AQ7" s="1314">
        <v>35</v>
      </c>
      <c r="AR7" s="54">
        <v>36</v>
      </c>
      <c r="AS7" s="54">
        <v>37</v>
      </c>
      <c r="AT7" s="1339">
        <v>38</v>
      </c>
      <c r="AU7" s="1330">
        <v>39</v>
      </c>
      <c r="AV7" s="54">
        <v>40</v>
      </c>
      <c r="AW7" s="54">
        <v>41</v>
      </c>
      <c r="AX7" s="1321">
        <v>42</v>
      </c>
      <c r="AY7" s="1314">
        <v>43</v>
      </c>
      <c r="AZ7" s="54">
        <v>44</v>
      </c>
      <c r="BA7" s="54">
        <v>45</v>
      </c>
      <c r="BB7" s="54">
        <v>46</v>
      </c>
      <c r="BC7" s="1314">
        <v>47</v>
      </c>
      <c r="BD7" s="54">
        <v>48</v>
      </c>
      <c r="BE7" s="54">
        <v>49</v>
      </c>
      <c r="BF7" s="1339">
        <v>50</v>
      </c>
    </row>
    <row r="8" spans="1:59" s="77" customFormat="1" ht="32.25" customHeight="1">
      <c r="A8" s="119">
        <v>1</v>
      </c>
      <c r="B8" s="116" t="s">
        <v>119</v>
      </c>
      <c r="C8" s="118">
        <f>C9+C13+C18</f>
        <v>466.99599999999998</v>
      </c>
      <c r="D8" s="118">
        <f t="shared" ref="D8:AT8" si="0">D9+D13+D18</f>
        <v>0</v>
      </c>
      <c r="E8" s="118">
        <f t="shared" si="0"/>
        <v>1379.6589999999999</v>
      </c>
      <c r="F8" s="1340">
        <f t="shared" si="0"/>
        <v>0</v>
      </c>
      <c r="G8" s="1331">
        <f t="shared" si="0"/>
        <v>465.62599999999992</v>
      </c>
      <c r="H8" s="118">
        <f t="shared" si="0"/>
        <v>0</v>
      </c>
      <c r="I8" s="118">
        <f t="shared" si="0"/>
        <v>1317.6889999999999</v>
      </c>
      <c r="J8" s="1322">
        <f t="shared" si="0"/>
        <v>0</v>
      </c>
      <c r="K8" s="1315">
        <v>480.54500000000002</v>
      </c>
      <c r="L8" s="118">
        <v>0</v>
      </c>
      <c r="M8" s="118">
        <v>1373.1469999999997</v>
      </c>
      <c r="N8" s="1340">
        <v>0</v>
      </c>
      <c r="O8" s="1331">
        <v>451.67099999999999</v>
      </c>
      <c r="P8" s="118">
        <v>0</v>
      </c>
      <c r="Q8" s="118">
        <v>1257.6792</v>
      </c>
      <c r="R8" s="1322">
        <v>0</v>
      </c>
      <c r="S8" s="1315">
        <v>465.62599999999992</v>
      </c>
      <c r="T8" s="118">
        <v>0</v>
      </c>
      <c r="U8" s="118">
        <v>1370.5355758999997</v>
      </c>
      <c r="V8" s="1340">
        <v>0</v>
      </c>
      <c r="W8" s="1331">
        <v>451.67099999999999</v>
      </c>
      <c r="X8" s="118">
        <v>0</v>
      </c>
      <c r="Y8" s="118">
        <v>1213.5347615570001</v>
      </c>
      <c r="Z8" s="1322">
        <v>0</v>
      </c>
      <c r="AA8" s="1331">
        <v>451.67099999999999</v>
      </c>
      <c r="AB8" s="118">
        <v>0</v>
      </c>
      <c r="AC8" s="118">
        <v>1265.6859999999999</v>
      </c>
      <c r="AD8" s="1322">
        <v>0</v>
      </c>
      <c r="AE8" s="1331">
        <v>451.67099999999999</v>
      </c>
      <c r="AF8" s="118">
        <v>0</v>
      </c>
      <c r="AG8" s="118">
        <v>1261.1354999999999</v>
      </c>
      <c r="AH8" s="1322">
        <v>0</v>
      </c>
      <c r="AI8" s="1315">
        <v>451.67099999999999</v>
      </c>
      <c r="AJ8" s="118">
        <v>0</v>
      </c>
      <c r="AK8" s="118">
        <v>1249.7249999999999</v>
      </c>
      <c r="AL8" s="1340">
        <v>0</v>
      </c>
      <c r="AM8" s="1331">
        <v>451.67099999999999</v>
      </c>
      <c r="AN8" s="118">
        <v>0</v>
      </c>
      <c r="AO8" s="118">
        <v>760.1579999999999</v>
      </c>
      <c r="AP8" s="1322">
        <v>0</v>
      </c>
      <c r="AQ8" s="1315">
        <v>451.67099999999999</v>
      </c>
      <c r="AR8" s="118">
        <v>0</v>
      </c>
      <c r="AS8" s="118">
        <v>489.56699999999995</v>
      </c>
      <c r="AT8" s="118">
        <v>0</v>
      </c>
      <c r="AU8" s="1315">
        <v>451.67099999999999</v>
      </c>
      <c r="AV8" s="118">
        <v>0</v>
      </c>
      <c r="AW8" s="118">
        <v>1249.7249999999999</v>
      </c>
      <c r="AX8" s="1340">
        <v>0</v>
      </c>
      <c r="AY8" s="1331">
        <v>451.67099999999999</v>
      </c>
      <c r="AZ8" s="118">
        <v>0</v>
      </c>
      <c r="BA8" s="118">
        <v>760.1579999999999</v>
      </c>
      <c r="BB8" s="1322">
        <v>0</v>
      </c>
      <c r="BC8" s="1315">
        <v>451.67099999999999</v>
      </c>
      <c r="BD8" s="118">
        <v>0</v>
      </c>
      <c r="BE8" s="118">
        <v>489.56699999999995</v>
      </c>
      <c r="BF8" s="118">
        <v>0</v>
      </c>
      <c r="BG8" s="1295"/>
    </row>
    <row r="9" spans="1:59" s="78" customFormat="1" ht="15">
      <c r="A9" s="86"/>
      <c r="B9" s="121" t="s">
        <v>120</v>
      </c>
      <c r="C9" s="122">
        <f t="shared" ref="C9:J9" si="1">C20+C31+C42</f>
        <v>466.55799999999999</v>
      </c>
      <c r="D9" s="122">
        <f t="shared" si="1"/>
        <v>0</v>
      </c>
      <c r="E9" s="122">
        <f t="shared" si="1"/>
        <v>1377.2769999999998</v>
      </c>
      <c r="F9" s="1341">
        <f t="shared" si="1"/>
        <v>0</v>
      </c>
      <c r="G9" s="1332">
        <f t="shared" si="1"/>
        <v>464.98799999999994</v>
      </c>
      <c r="H9" s="122">
        <f t="shared" si="1"/>
        <v>0</v>
      </c>
      <c r="I9" s="122">
        <f t="shared" si="1"/>
        <v>1313.2459999999999</v>
      </c>
      <c r="J9" s="1323">
        <f t="shared" si="1"/>
        <v>0</v>
      </c>
      <c r="K9" s="1316">
        <v>480.10700000000003</v>
      </c>
      <c r="L9" s="122">
        <v>0</v>
      </c>
      <c r="M9" s="122">
        <v>1368.9599999999998</v>
      </c>
      <c r="N9" s="1341">
        <v>0</v>
      </c>
      <c r="O9" s="1332">
        <v>450.67599999999999</v>
      </c>
      <c r="P9" s="122">
        <v>0</v>
      </c>
      <c r="Q9" s="122">
        <v>1253.4302</v>
      </c>
      <c r="R9" s="1323">
        <v>0</v>
      </c>
      <c r="S9" s="1316">
        <v>464.98799999999994</v>
      </c>
      <c r="T9" s="122">
        <v>0</v>
      </c>
      <c r="U9" s="122">
        <v>1366.3725758999997</v>
      </c>
      <c r="V9" s="1341">
        <v>0</v>
      </c>
      <c r="W9" s="1332">
        <v>450.67599999999999</v>
      </c>
      <c r="X9" s="122">
        <v>0</v>
      </c>
      <c r="Y9" s="122">
        <v>1210.1142615570002</v>
      </c>
      <c r="Z9" s="1323">
        <v>0</v>
      </c>
      <c r="AA9" s="1332">
        <v>450.67599999999999</v>
      </c>
      <c r="AB9" s="122">
        <v>0</v>
      </c>
      <c r="AC9" s="122">
        <v>1261.8779999999999</v>
      </c>
      <c r="AD9" s="1323">
        <v>0</v>
      </c>
      <c r="AE9" s="1332">
        <v>450.67599999999999</v>
      </c>
      <c r="AF9" s="122">
        <v>0</v>
      </c>
      <c r="AG9" s="122">
        <v>1257.0394999999999</v>
      </c>
      <c r="AH9" s="1323">
        <v>0</v>
      </c>
      <c r="AI9" s="1316">
        <v>450.67599999999999</v>
      </c>
      <c r="AJ9" s="122">
        <v>0</v>
      </c>
      <c r="AK9" s="122">
        <v>1245.6289999999999</v>
      </c>
      <c r="AL9" s="1341">
        <v>0</v>
      </c>
      <c r="AM9" s="1332">
        <v>450.67599999999999</v>
      </c>
      <c r="AN9" s="122">
        <v>0</v>
      </c>
      <c r="AO9" s="122">
        <v>758.22299999999996</v>
      </c>
      <c r="AP9" s="1323">
        <v>0</v>
      </c>
      <c r="AQ9" s="1316">
        <v>450.67599999999999</v>
      </c>
      <c r="AR9" s="122">
        <v>0</v>
      </c>
      <c r="AS9" s="122">
        <v>487.40599999999995</v>
      </c>
      <c r="AT9" s="122">
        <v>0</v>
      </c>
      <c r="AU9" s="1316">
        <v>450.67599999999999</v>
      </c>
      <c r="AV9" s="122">
        <v>0</v>
      </c>
      <c r="AW9" s="122">
        <v>1245.6289999999999</v>
      </c>
      <c r="AX9" s="1341">
        <v>0</v>
      </c>
      <c r="AY9" s="1332">
        <v>450.67599999999999</v>
      </c>
      <c r="AZ9" s="122">
        <v>0</v>
      </c>
      <c r="BA9" s="122">
        <v>758.22299999999996</v>
      </c>
      <c r="BB9" s="1323">
        <v>0</v>
      </c>
      <c r="BC9" s="1316">
        <v>450.67599999999999</v>
      </c>
      <c r="BD9" s="122">
        <v>0</v>
      </c>
      <c r="BE9" s="122">
        <v>487.40599999999995</v>
      </c>
      <c r="BF9" s="122">
        <v>0</v>
      </c>
      <c r="BG9" s="1295"/>
    </row>
    <row r="10" spans="1:59" s="1280" customFormat="1" ht="15">
      <c r="A10" s="1278"/>
      <c r="B10" s="1281" t="s">
        <v>1697</v>
      </c>
      <c r="C10" s="1279"/>
      <c r="D10" s="1279"/>
      <c r="E10" s="1279"/>
      <c r="F10" s="1342"/>
      <c r="G10" s="1348"/>
      <c r="H10" s="1279"/>
      <c r="I10" s="1279"/>
      <c r="J10" s="1338"/>
      <c r="K10" s="1347"/>
      <c r="L10" s="1279"/>
      <c r="M10" s="1279"/>
      <c r="N10" s="1342"/>
      <c r="O10" s="1333">
        <v>1.6659999999999999</v>
      </c>
      <c r="P10" s="616">
        <v>0</v>
      </c>
      <c r="Q10" s="616">
        <v>4.3281919999999996</v>
      </c>
      <c r="R10" s="1324">
        <v>0</v>
      </c>
      <c r="S10" s="1347"/>
      <c r="T10" s="1279"/>
      <c r="U10" s="1279"/>
      <c r="V10" s="1342"/>
      <c r="W10" s="1333">
        <v>1.6659999999999999</v>
      </c>
      <c r="X10" s="616">
        <v>0</v>
      </c>
      <c r="Y10" s="616">
        <v>4.4152000000000005</v>
      </c>
      <c r="Z10" s="1324">
        <v>0</v>
      </c>
      <c r="AA10" s="1333">
        <v>1.6659999999999999</v>
      </c>
      <c r="AB10" s="616">
        <v>0</v>
      </c>
      <c r="AC10" s="616">
        <v>4.4269999999999996</v>
      </c>
      <c r="AD10" s="1324">
        <v>0</v>
      </c>
      <c r="AE10" s="1333">
        <v>1.6659999999999999</v>
      </c>
      <c r="AF10" s="616">
        <v>0</v>
      </c>
      <c r="AG10" s="616">
        <v>4.4000000000000004</v>
      </c>
      <c r="AH10" s="1324">
        <v>0</v>
      </c>
      <c r="AI10" s="1328">
        <v>1.6659999999999999</v>
      </c>
      <c r="AJ10" s="876">
        <v>0</v>
      </c>
      <c r="AK10" s="876">
        <v>4.4000000000000004</v>
      </c>
      <c r="AL10" s="1351">
        <v>0</v>
      </c>
      <c r="AM10" s="1333">
        <v>1.6659999999999999</v>
      </c>
      <c r="AN10" s="616">
        <v>0</v>
      </c>
      <c r="AO10" s="616">
        <v>2.9899999999999998</v>
      </c>
      <c r="AP10" s="1324">
        <v>0</v>
      </c>
      <c r="AQ10" s="1317">
        <v>1.6659999999999999</v>
      </c>
      <c r="AR10" s="616">
        <v>0</v>
      </c>
      <c r="AS10" s="616">
        <v>1.41</v>
      </c>
      <c r="AT10" s="616">
        <v>0</v>
      </c>
      <c r="AU10" s="1328">
        <v>1.6659999999999999</v>
      </c>
      <c r="AV10" s="876">
        <v>0</v>
      </c>
      <c r="AW10" s="876">
        <v>4.4000000000000004</v>
      </c>
      <c r="AX10" s="1351">
        <v>0</v>
      </c>
      <c r="AY10" s="1333">
        <v>1.6659999999999999</v>
      </c>
      <c r="AZ10" s="616">
        <v>0</v>
      </c>
      <c r="BA10" s="616">
        <v>2.9899999999999998</v>
      </c>
      <c r="BB10" s="1324">
        <v>0</v>
      </c>
      <c r="BC10" s="1317">
        <v>1.6659999999999999</v>
      </c>
      <c r="BD10" s="616">
        <v>0</v>
      </c>
      <c r="BE10" s="616">
        <v>1.41</v>
      </c>
      <c r="BF10" s="616">
        <v>0</v>
      </c>
      <c r="BG10" s="1295"/>
    </row>
    <row r="11" spans="1:59" s="1280" customFormat="1" ht="15">
      <c r="A11" s="1278"/>
      <c r="B11" s="1281" t="s">
        <v>1512</v>
      </c>
      <c r="C11" s="1279"/>
      <c r="D11" s="1279"/>
      <c r="E11" s="1279"/>
      <c r="F11" s="1342"/>
      <c r="G11" s="1348"/>
      <c r="H11" s="1279"/>
      <c r="I11" s="1279"/>
      <c r="J11" s="1338"/>
      <c r="K11" s="1347"/>
      <c r="L11" s="1279"/>
      <c r="M11" s="1279"/>
      <c r="N11" s="1342"/>
      <c r="O11" s="1333">
        <v>25.507000000000001</v>
      </c>
      <c r="P11" s="616">
        <v>0</v>
      </c>
      <c r="Q11" s="616">
        <v>51.038416066240387</v>
      </c>
      <c r="R11" s="1324">
        <v>0</v>
      </c>
      <c r="S11" s="1347"/>
      <c r="T11" s="1279"/>
      <c r="U11" s="1279"/>
      <c r="V11" s="1342"/>
      <c r="W11" s="1333">
        <v>25.507000000000001</v>
      </c>
      <c r="X11" s="616">
        <v>0</v>
      </c>
      <c r="Y11" s="616">
        <v>53.831000000000003</v>
      </c>
      <c r="Z11" s="1324">
        <v>0</v>
      </c>
      <c r="AA11" s="1333">
        <v>25.507000000000001</v>
      </c>
      <c r="AB11" s="616">
        <v>0</v>
      </c>
      <c r="AC11" s="616">
        <v>47.965662252890503</v>
      </c>
      <c r="AD11" s="1324">
        <v>0</v>
      </c>
      <c r="AE11" s="1333">
        <v>25.507000000000001</v>
      </c>
      <c r="AF11" s="616">
        <v>0</v>
      </c>
      <c r="AG11" s="616">
        <v>49.5899</v>
      </c>
      <c r="AH11" s="1324">
        <v>0</v>
      </c>
      <c r="AI11" s="1328">
        <v>25.507000000000001</v>
      </c>
      <c r="AJ11" s="876">
        <v>0</v>
      </c>
      <c r="AK11" s="876">
        <v>49.59</v>
      </c>
      <c r="AL11" s="1351">
        <v>0</v>
      </c>
      <c r="AM11" s="1333">
        <v>25.507000000000001</v>
      </c>
      <c r="AN11" s="616">
        <v>0</v>
      </c>
      <c r="AO11" s="616">
        <v>31.891000000000002</v>
      </c>
      <c r="AP11" s="1324">
        <v>0</v>
      </c>
      <c r="AQ11" s="1317">
        <v>25.507000000000001</v>
      </c>
      <c r="AR11" s="616">
        <v>0</v>
      </c>
      <c r="AS11" s="616">
        <v>17.698999999999998</v>
      </c>
      <c r="AT11" s="616">
        <v>0</v>
      </c>
      <c r="AU11" s="1328">
        <v>25.507000000000001</v>
      </c>
      <c r="AV11" s="876">
        <v>0</v>
      </c>
      <c r="AW11" s="876">
        <v>49.59</v>
      </c>
      <c r="AX11" s="1351">
        <v>0</v>
      </c>
      <c r="AY11" s="1333">
        <v>25.507000000000001</v>
      </c>
      <c r="AZ11" s="616">
        <v>0</v>
      </c>
      <c r="BA11" s="616">
        <v>31.891000000000002</v>
      </c>
      <c r="BB11" s="1324">
        <v>0</v>
      </c>
      <c r="BC11" s="1317">
        <v>25.507000000000001</v>
      </c>
      <c r="BD11" s="616">
        <v>0</v>
      </c>
      <c r="BE11" s="616">
        <v>17.698999999999998</v>
      </c>
      <c r="BF11" s="616">
        <v>0</v>
      </c>
      <c r="BG11" s="1295"/>
    </row>
    <row r="12" spans="1:59" s="1280" customFormat="1" ht="15">
      <c r="A12" s="1278"/>
      <c r="B12" s="1281" t="s">
        <v>1513</v>
      </c>
      <c r="C12" s="1279"/>
      <c r="D12" s="1279"/>
      <c r="E12" s="1279"/>
      <c r="F12" s="1342"/>
      <c r="G12" s="1348"/>
      <c r="H12" s="1279"/>
      <c r="I12" s="1279"/>
      <c r="J12" s="1338"/>
      <c r="K12" s="1347"/>
      <c r="L12" s="1279"/>
      <c r="M12" s="1279"/>
      <c r="N12" s="1342"/>
      <c r="O12" s="1333">
        <v>423.50299999999999</v>
      </c>
      <c r="P12" s="616">
        <v>0</v>
      </c>
      <c r="Q12" s="616">
        <v>1198.0635919337597</v>
      </c>
      <c r="R12" s="1324">
        <v>0</v>
      </c>
      <c r="S12" s="1347"/>
      <c r="T12" s="1279"/>
      <c r="U12" s="1279"/>
      <c r="V12" s="1342"/>
      <c r="W12" s="1333">
        <v>423.50299999999999</v>
      </c>
      <c r="X12" s="616">
        <v>0</v>
      </c>
      <c r="Y12" s="616">
        <v>1151.8680615569999</v>
      </c>
      <c r="Z12" s="1324">
        <v>0</v>
      </c>
      <c r="AA12" s="1333">
        <v>423.50299999999999</v>
      </c>
      <c r="AB12" s="616">
        <v>0</v>
      </c>
      <c r="AC12" s="616">
        <v>1209.4857348807084</v>
      </c>
      <c r="AD12" s="1324">
        <v>0</v>
      </c>
      <c r="AE12" s="1333">
        <v>423.50299999999999</v>
      </c>
      <c r="AF12" s="616">
        <v>0</v>
      </c>
      <c r="AG12" s="616">
        <v>1203.0496000000001</v>
      </c>
      <c r="AH12" s="1324">
        <v>0</v>
      </c>
      <c r="AI12" s="1328">
        <v>423.50299999999999</v>
      </c>
      <c r="AJ12" s="876">
        <v>0</v>
      </c>
      <c r="AK12" s="876">
        <v>1191.6389999999999</v>
      </c>
      <c r="AL12" s="1351">
        <v>0</v>
      </c>
      <c r="AM12" s="1333">
        <v>423.50299999999999</v>
      </c>
      <c r="AN12" s="616">
        <v>0</v>
      </c>
      <c r="AO12" s="616">
        <v>723.34199999999998</v>
      </c>
      <c r="AP12" s="1324">
        <v>0</v>
      </c>
      <c r="AQ12" s="1317">
        <v>423.50299999999999</v>
      </c>
      <c r="AR12" s="616">
        <v>0</v>
      </c>
      <c r="AS12" s="616">
        <v>468.29700000000003</v>
      </c>
      <c r="AT12" s="616">
        <v>0</v>
      </c>
      <c r="AU12" s="1328">
        <v>423.50299999999999</v>
      </c>
      <c r="AV12" s="876">
        <v>0</v>
      </c>
      <c r="AW12" s="876">
        <v>1191.6389999999999</v>
      </c>
      <c r="AX12" s="1351">
        <v>0</v>
      </c>
      <c r="AY12" s="1333">
        <v>423.50299999999999</v>
      </c>
      <c r="AZ12" s="616">
        <v>0</v>
      </c>
      <c r="BA12" s="616">
        <v>723.34199999999998</v>
      </c>
      <c r="BB12" s="1324">
        <v>0</v>
      </c>
      <c r="BC12" s="1317">
        <v>423.50299999999999</v>
      </c>
      <c r="BD12" s="616">
        <v>0</v>
      </c>
      <c r="BE12" s="616">
        <v>468.29700000000003</v>
      </c>
      <c r="BF12" s="616">
        <v>0</v>
      </c>
      <c r="BG12" s="1295"/>
    </row>
    <row r="13" spans="1:59" s="544" customFormat="1" ht="15" customHeight="1">
      <c r="A13" s="55"/>
      <c r="B13" s="57" t="s">
        <v>121</v>
      </c>
      <c r="C13" s="50">
        <f t="shared" ref="C13:R13" si="2">C24+C35+C46</f>
        <v>0.438</v>
      </c>
      <c r="D13" s="50">
        <f t="shared" si="2"/>
        <v>0</v>
      </c>
      <c r="E13" s="50">
        <f t="shared" si="2"/>
        <v>2.3820000000000001</v>
      </c>
      <c r="F13" s="1343">
        <f t="shared" si="2"/>
        <v>0</v>
      </c>
      <c r="G13" s="1334">
        <f t="shared" si="2"/>
        <v>0.63800000000000001</v>
      </c>
      <c r="H13" s="50">
        <f t="shared" si="2"/>
        <v>0</v>
      </c>
      <c r="I13" s="50">
        <f t="shared" si="2"/>
        <v>4.4429999999999996</v>
      </c>
      <c r="J13" s="1325">
        <f t="shared" si="2"/>
        <v>0</v>
      </c>
      <c r="K13" s="1318">
        <v>0.438</v>
      </c>
      <c r="L13" s="50">
        <v>0</v>
      </c>
      <c r="M13" s="50">
        <v>4.1870000000000003</v>
      </c>
      <c r="N13" s="1343">
        <v>0</v>
      </c>
      <c r="O13" s="1337">
        <v>0.99500000000000011</v>
      </c>
      <c r="P13" s="876">
        <v>0</v>
      </c>
      <c r="Q13" s="876">
        <v>4.2489999999999997</v>
      </c>
      <c r="R13" s="1350">
        <v>0</v>
      </c>
      <c r="S13" s="1318">
        <v>0.63800000000000001</v>
      </c>
      <c r="T13" s="50">
        <v>0</v>
      </c>
      <c r="U13" s="50">
        <v>4.163000000000002</v>
      </c>
      <c r="V13" s="1343">
        <v>0</v>
      </c>
      <c r="W13" s="1337">
        <v>0.99500000000000011</v>
      </c>
      <c r="X13" s="876">
        <v>0</v>
      </c>
      <c r="Y13" s="876">
        <v>3.4205000000000001</v>
      </c>
      <c r="Z13" s="1350">
        <v>0</v>
      </c>
      <c r="AA13" s="1337">
        <v>0.99500000000000011</v>
      </c>
      <c r="AB13" s="876">
        <v>0</v>
      </c>
      <c r="AC13" s="876">
        <v>3.8073147061196608</v>
      </c>
      <c r="AD13" s="1350">
        <v>0</v>
      </c>
      <c r="AE13" s="1337">
        <v>0.99500000000000011</v>
      </c>
      <c r="AF13" s="876">
        <v>0</v>
      </c>
      <c r="AG13" s="876">
        <v>4.0960000000000001</v>
      </c>
      <c r="AH13" s="1350">
        <v>0</v>
      </c>
      <c r="AI13" s="1328">
        <v>0.99500000000000011</v>
      </c>
      <c r="AJ13" s="876">
        <v>0</v>
      </c>
      <c r="AK13" s="876">
        <v>4.0960000000000001</v>
      </c>
      <c r="AL13" s="1351">
        <v>0</v>
      </c>
      <c r="AM13" s="1337">
        <v>0.99500000000000011</v>
      </c>
      <c r="AN13" s="876">
        <v>0</v>
      </c>
      <c r="AO13" s="876">
        <v>1.9350000000000001</v>
      </c>
      <c r="AP13" s="1350">
        <v>0</v>
      </c>
      <c r="AQ13" s="1328">
        <v>0.99500000000000011</v>
      </c>
      <c r="AR13" s="876">
        <v>0</v>
      </c>
      <c r="AS13" s="876">
        <v>2.161</v>
      </c>
      <c r="AT13" s="876">
        <v>0</v>
      </c>
      <c r="AU13" s="1328">
        <v>0.99500000000000011</v>
      </c>
      <c r="AV13" s="876">
        <v>0</v>
      </c>
      <c r="AW13" s="876">
        <v>4.0960000000000001</v>
      </c>
      <c r="AX13" s="1351">
        <v>0</v>
      </c>
      <c r="AY13" s="1337">
        <v>0.99500000000000011</v>
      </c>
      <c r="AZ13" s="876">
        <v>0</v>
      </c>
      <c r="BA13" s="876">
        <v>1.9350000000000001</v>
      </c>
      <c r="BB13" s="1350">
        <v>0</v>
      </c>
      <c r="BC13" s="1328">
        <v>0.99500000000000011</v>
      </c>
      <c r="BD13" s="876">
        <v>0</v>
      </c>
      <c r="BE13" s="876">
        <v>2.161</v>
      </c>
      <c r="BF13" s="876">
        <v>0</v>
      </c>
      <c r="BG13" s="1295"/>
    </row>
    <row r="14" spans="1:59" s="544" customFormat="1" ht="15" customHeight="1">
      <c r="A14" s="55"/>
      <c r="B14" s="57" t="s">
        <v>122</v>
      </c>
      <c r="C14" s="50">
        <f t="shared" ref="C14:R14" si="3">C25+C36+C47</f>
        <v>0</v>
      </c>
      <c r="D14" s="50">
        <f t="shared" si="3"/>
        <v>0</v>
      </c>
      <c r="E14" s="50">
        <f t="shared" si="3"/>
        <v>0</v>
      </c>
      <c r="F14" s="1343">
        <f t="shared" si="3"/>
        <v>0</v>
      </c>
      <c r="G14" s="1334">
        <f t="shared" si="3"/>
        <v>0</v>
      </c>
      <c r="H14" s="50">
        <f t="shared" si="3"/>
        <v>0</v>
      </c>
      <c r="I14" s="50">
        <f t="shared" si="3"/>
        <v>0</v>
      </c>
      <c r="J14" s="1325">
        <f t="shared" si="3"/>
        <v>0</v>
      </c>
      <c r="K14" s="1318">
        <v>0</v>
      </c>
      <c r="L14" s="50">
        <v>0</v>
      </c>
      <c r="M14" s="50">
        <v>0</v>
      </c>
      <c r="N14" s="1343">
        <v>0</v>
      </c>
      <c r="O14" s="1337">
        <v>0</v>
      </c>
      <c r="P14" s="876">
        <v>0</v>
      </c>
      <c r="Q14" s="876">
        <v>0</v>
      </c>
      <c r="R14" s="1350">
        <v>0</v>
      </c>
      <c r="S14" s="1318">
        <v>0</v>
      </c>
      <c r="T14" s="50">
        <v>0</v>
      </c>
      <c r="U14" s="50">
        <v>0</v>
      </c>
      <c r="V14" s="1343">
        <v>0</v>
      </c>
      <c r="W14" s="1337">
        <v>0</v>
      </c>
      <c r="X14" s="876">
        <v>0</v>
      </c>
      <c r="Y14" s="876">
        <v>0</v>
      </c>
      <c r="Z14" s="1350">
        <v>0</v>
      </c>
      <c r="AA14" s="1337">
        <v>0</v>
      </c>
      <c r="AB14" s="876">
        <v>0</v>
      </c>
      <c r="AC14" s="876">
        <v>0</v>
      </c>
      <c r="AD14" s="1350">
        <v>0</v>
      </c>
      <c r="AE14" s="1337">
        <v>0</v>
      </c>
      <c r="AF14" s="876">
        <v>0</v>
      </c>
      <c r="AG14" s="876">
        <v>0</v>
      </c>
      <c r="AH14" s="1350">
        <v>0</v>
      </c>
      <c r="AI14" s="1328">
        <v>0</v>
      </c>
      <c r="AJ14" s="876">
        <v>0</v>
      </c>
      <c r="AK14" s="876">
        <v>0</v>
      </c>
      <c r="AL14" s="1351">
        <v>0</v>
      </c>
      <c r="AM14" s="1337">
        <v>0</v>
      </c>
      <c r="AN14" s="876">
        <v>0</v>
      </c>
      <c r="AO14" s="876">
        <v>0</v>
      </c>
      <c r="AP14" s="1350">
        <v>0</v>
      </c>
      <c r="AQ14" s="1328">
        <v>0</v>
      </c>
      <c r="AR14" s="876">
        <v>0</v>
      </c>
      <c r="AS14" s="876">
        <v>0</v>
      </c>
      <c r="AT14" s="876">
        <v>0</v>
      </c>
      <c r="AU14" s="1328">
        <v>0</v>
      </c>
      <c r="AV14" s="876">
        <v>0</v>
      </c>
      <c r="AW14" s="876">
        <v>0</v>
      </c>
      <c r="AX14" s="1351">
        <v>0</v>
      </c>
      <c r="AY14" s="1337">
        <v>0</v>
      </c>
      <c r="AZ14" s="876">
        <v>0</v>
      </c>
      <c r="BA14" s="876">
        <v>0</v>
      </c>
      <c r="BB14" s="1350">
        <v>0</v>
      </c>
      <c r="BC14" s="1328">
        <v>0</v>
      </c>
      <c r="BD14" s="876">
        <v>0</v>
      </c>
      <c r="BE14" s="876">
        <v>0</v>
      </c>
      <c r="BF14" s="876">
        <v>0</v>
      </c>
      <c r="BG14" s="1295"/>
    </row>
    <row r="15" spans="1:59" s="544" customFormat="1" ht="15" customHeight="1">
      <c r="A15" s="55"/>
      <c r="B15" s="57" t="s">
        <v>123</v>
      </c>
      <c r="C15" s="50">
        <f t="shared" ref="C15:R15" si="4">C26+C37+C48</f>
        <v>0.438</v>
      </c>
      <c r="D15" s="50">
        <f t="shared" si="4"/>
        <v>0</v>
      </c>
      <c r="E15" s="50">
        <f t="shared" si="4"/>
        <v>2.3820000000000001</v>
      </c>
      <c r="F15" s="1343">
        <f t="shared" si="4"/>
        <v>0</v>
      </c>
      <c r="G15" s="1334">
        <f t="shared" si="4"/>
        <v>0.63800000000000001</v>
      </c>
      <c r="H15" s="50">
        <f t="shared" si="4"/>
        <v>0</v>
      </c>
      <c r="I15" s="50">
        <f t="shared" si="4"/>
        <v>4.4429999999999996</v>
      </c>
      <c r="J15" s="1325">
        <f t="shared" si="4"/>
        <v>0</v>
      </c>
      <c r="K15" s="1318">
        <v>0.438</v>
      </c>
      <c r="L15" s="50">
        <v>0</v>
      </c>
      <c r="M15" s="50">
        <v>4.1870000000000003</v>
      </c>
      <c r="N15" s="1343">
        <v>0</v>
      </c>
      <c r="O15" s="1337">
        <v>0.99500000000000011</v>
      </c>
      <c r="P15" s="876">
        <v>0</v>
      </c>
      <c r="Q15" s="876">
        <v>4.2489999999999997</v>
      </c>
      <c r="R15" s="1350">
        <v>0</v>
      </c>
      <c r="S15" s="1318">
        <v>0.63800000000000001</v>
      </c>
      <c r="T15" s="50">
        <v>0</v>
      </c>
      <c r="U15" s="50">
        <v>4.163000000000002</v>
      </c>
      <c r="V15" s="1343">
        <v>0</v>
      </c>
      <c r="W15" s="1337">
        <v>0.99500000000000011</v>
      </c>
      <c r="X15" s="876">
        <v>0</v>
      </c>
      <c r="Y15" s="876">
        <v>3.4205000000000001</v>
      </c>
      <c r="Z15" s="1350">
        <v>0</v>
      </c>
      <c r="AA15" s="1337">
        <v>0.99500000000000011</v>
      </c>
      <c r="AB15" s="876">
        <v>0</v>
      </c>
      <c r="AC15" s="876">
        <v>3.8073147061196608</v>
      </c>
      <c r="AD15" s="1350">
        <v>0</v>
      </c>
      <c r="AE15" s="1337">
        <v>0.99500000000000011</v>
      </c>
      <c r="AF15" s="876">
        <v>0</v>
      </c>
      <c r="AG15" s="876">
        <v>4.0960000000000001</v>
      </c>
      <c r="AH15" s="1350">
        <v>0</v>
      </c>
      <c r="AI15" s="1328">
        <v>0.99500000000000011</v>
      </c>
      <c r="AJ15" s="876">
        <v>0</v>
      </c>
      <c r="AK15" s="876">
        <v>4.0960000000000001</v>
      </c>
      <c r="AL15" s="1351">
        <v>0</v>
      </c>
      <c r="AM15" s="1337">
        <v>0.99500000000000011</v>
      </c>
      <c r="AN15" s="876">
        <v>0</v>
      </c>
      <c r="AO15" s="876">
        <v>1.9350000000000001</v>
      </c>
      <c r="AP15" s="1350">
        <v>0</v>
      </c>
      <c r="AQ15" s="1328">
        <v>0.99500000000000011</v>
      </c>
      <c r="AR15" s="876">
        <v>0</v>
      </c>
      <c r="AS15" s="876">
        <v>2.161</v>
      </c>
      <c r="AT15" s="876">
        <v>0</v>
      </c>
      <c r="AU15" s="1328">
        <v>0.99500000000000011</v>
      </c>
      <c r="AV15" s="876">
        <v>0</v>
      </c>
      <c r="AW15" s="876">
        <v>4.0960000000000001</v>
      </c>
      <c r="AX15" s="1351">
        <v>0</v>
      </c>
      <c r="AY15" s="1337">
        <v>0.99500000000000011</v>
      </c>
      <c r="AZ15" s="876">
        <v>0</v>
      </c>
      <c r="BA15" s="876">
        <v>1.9350000000000001</v>
      </c>
      <c r="BB15" s="1350">
        <v>0</v>
      </c>
      <c r="BC15" s="1328">
        <v>0.99500000000000011</v>
      </c>
      <c r="BD15" s="876">
        <v>0</v>
      </c>
      <c r="BE15" s="876">
        <v>2.161</v>
      </c>
      <c r="BF15" s="876">
        <v>0</v>
      </c>
      <c r="BG15" s="1295"/>
    </row>
    <row r="16" spans="1:59" s="544" customFormat="1" ht="15" customHeight="1">
      <c r="A16" s="55"/>
      <c r="B16" s="57" t="s">
        <v>124</v>
      </c>
      <c r="C16" s="50">
        <f t="shared" ref="C16:R16" si="5">C27+C38+C49</f>
        <v>0</v>
      </c>
      <c r="D16" s="50">
        <f t="shared" si="5"/>
        <v>0</v>
      </c>
      <c r="E16" s="50">
        <f t="shared" si="5"/>
        <v>0</v>
      </c>
      <c r="F16" s="1343">
        <f t="shared" si="5"/>
        <v>0</v>
      </c>
      <c r="G16" s="1334">
        <f t="shared" si="5"/>
        <v>0</v>
      </c>
      <c r="H16" s="50">
        <f t="shared" si="5"/>
        <v>0</v>
      </c>
      <c r="I16" s="50">
        <f t="shared" si="5"/>
        <v>0</v>
      </c>
      <c r="J16" s="1325">
        <f t="shared" si="5"/>
        <v>0</v>
      </c>
      <c r="K16" s="1318">
        <v>0</v>
      </c>
      <c r="L16" s="50">
        <v>0</v>
      </c>
      <c r="M16" s="50">
        <v>0</v>
      </c>
      <c r="N16" s="1343">
        <v>0</v>
      </c>
      <c r="O16" s="1337">
        <v>0</v>
      </c>
      <c r="P16" s="876">
        <v>0</v>
      </c>
      <c r="Q16" s="876">
        <v>0</v>
      </c>
      <c r="R16" s="1350">
        <v>0</v>
      </c>
      <c r="S16" s="1318">
        <v>0</v>
      </c>
      <c r="T16" s="50">
        <v>0</v>
      </c>
      <c r="U16" s="50">
        <v>0</v>
      </c>
      <c r="V16" s="1343">
        <v>0</v>
      </c>
      <c r="W16" s="1337">
        <v>0</v>
      </c>
      <c r="X16" s="876">
        <v>0</v>
      </c>
      <c r="Y16" s="876">
        <v>0</v>
      </c>
      <c r="Z16" s="1350">
        <v>0</v>
      </c>
      <c r="AA16" s="1337">
        <v>0</v>
      </c>
      <c r="AB16" s="876">
        <v>0</v>
      </c>
      <c r="AC16" s="876">
        <v>0</v>
      </c>
      <c r="AD16" s="1350">
        <v>0</v>
      </c>
      <c r="AE16" s="1337">
        <v>0</v>
      </c>
      <c r="AF16" s="876">
        <v>0</v>
      </c>
      <c r="AG16" s="876">
        <v>0</v>
      </c>
      <c r="AH16" s="1350">
        <v>0</v>
      </c>
      <c r="AI16" s="1328">
        <v>0</v>
      </c>
      <c r="AJ16" s="876">
        <v>0</v>
      </c>
      <c r="AK16" s="876">
        <v>0</v>
      </c>
      <c r="AL16" s="1351">
        <v>0</v>
      </c>
      <c r="AM16" s="1337">
        <v>0</v>
      </c>
      <c r="AN16" s="876">
        <v>0</v>
      </c>
      <c r="AO16" s="876">
        <v>0</v>
      </c>
      <c r="AP16" s="1350">
        <v>0</v>
      </c>
      <c r="AQ16" s="1328">
        <v>0</v>
      </c>
      <c r="AR16" s="876">
        <v>0</v>
      </c>
      <c r="AS16" s="876">
        <v>0</v>
      </c>
      <c r="AT16" s="876">
        <v>0</v>
      </c>
      <c r="AU16" s="1328">
        <v>0</v>
      </c>
      <c r="AV16" s="876">
        <v>0</v>
      </c>
      <c r="AW16" s="876">
        <v>0</v>
      </c>
      <c r="AX16" s="1351">
        <v>0</v>
      </c>
      <c r="AY16" s="1337">
        <v>0</v>
      </c>
      <c r="AZ16" s="876">
        <v>0</v>
      </c>
      <c r="BA16" s="876">
        <v>0</v>
      </c>
      <c r="BB16" s="1350">
        <v>0</v>
      </c>
      <c r="BC16" s="1328">
        <v>0</v>
      </c>
      <c r="BD16" s="876">
        <v>0</v>
      </c>
      <c r="BE16" s="876">
        <v>0</v>
      </c>
      <c r="BF16" s="876">
        <v>0</v>
      </c>
      <c r="BG16" s="1295"/>
    </row>
    <row r="17" spans="1:59" s="544" customFormat="1" ht="15" customHeight="1">
      <c r="A17" s="55"/>
      <c r="B17" s="57" t="s">
        <v>125</v>
      </c>
      <c r="C17" s="50">
        <f t="shared" ref="C17:R17" si="6">C28+C39+C50</f>
        <v>0</v>
      </c>
      <c r="D17" s="50">
        <f t="shared" si="6"/>
        <v>0</v>
      </c>
      <c r="E17" s="50">
        <f t="shared" si="6"/>
        <v>0</v>
      </c>
      <c r="F17" s="1343">
        <f t="shared" si="6"/>
        <v>0</v>
      </c>
      <c r="G17" s="1334">
        <f t="shared" si="6"/>
        <v>0</v>
      </c>
      <c r="H17" s="50">
        <f t="shared" si="6"/>
        <v>0</v>
      </c>
      <c r="I17" s="50">
        <f t="shared" si="6"/>
        <v>0</v>
      </c>
      <c r="J17" s="1325">
        <f t="shared" si="6"/>
        <v>0</v>
      </c>
      <c r="K17" s="1318">
        <v>0</v>
      </c>
      <c r="L17" s="50">
        <v>0</v>
      </c>
      <c r="M17" s="50">
        <v>0</v>
      </c>
      <c r="N17" s="1343">
        <v>0</v>
      </c>
      <c r="O17" s="1337">
        <v>0</v>
      </c>
      <c r="P17" s="876">
        <v>0</v>
      </c>
      <c r="Q17" s="876">
        <v>0</v>
      </c>
      <c r="R17" s="1350">
        <v>0</v>
      </c>
      <c r="S17" s="1318">
        <v>0</v>
      </c>
      <c r="T17" s="50">
        <v>0</v>
      </c>
      <c r="U17" s="50">
        <v>0</v>
      </c>
      <c r="V17" s="1343">
        <v>0</v>
      </c>
      <c r="W17" s="1337">
        <v>0</v>
      </c>
      <c r="X17" s="876">
        <v>0</v>
      </c>
      <c r="Y17" s="876">
        <v>0</v>
      </c>
      <c r="Z17" s="1350">
        <v>0</v>
      </c>
      <c r="AA17" s="1337">
        <v>0</v>
      </c>
      <c r="AB17" s="876">
        <v>0</v>
      </c>
      <c r="AC17" s="876">
        <v>0</v>
      </c>
      <c r="AD17" s="1350">
        <v>0</v>
      </c>
      <c r="AE17" s="1337">
        <v>0</v>
      </c>
      <c r="AF17" s="876">
        <v>0</v>
      </c>
      <c r="AG17" s="876">
        <v>0</v>
      </c>
      <c r="AH17" s="1350">
        <v>0</v>
      </c>
      <c r="AI17" s="1328">
        <v>0</v>
      </c>
      <c r="AJ17" s="876">
        <v>0</v>
      </c>
      <c r="AK17" s="876">
        <v>0</v>
      </c>
      <c r="AL17" s="1351">
        <v>0</v>
      </c>
      <c r="AM17" s="1337">
        <v>0</v>
      </c>
      <c r="AN17" s="876">
        <v>0</v>
      </c>
      <c r="AO17" s="876">
        <v>0</v>
      </c>
      <c r="AP17" s="1350">
        <v>0</v>
      </c>
      <c r="AQ17" s="1328">
        <v>0</v>
      </c>
      <c r="AR17" s="876">
        <v>0</v>
      </c>
      <c r="AS17" s="876">
        <v>0</v>
      </c>
      <c r="AT17" s="876">
        <v>0</v>
      </c>
      <c r="AU17" s="1328">
        <v>0</v>
      </c>
      <c r="AV17" s="876">
        <v>0</v>
      </c>
      <c r="AW17" s="876">
        <v>0</v>
      </c>
      <c r="AX17" s="1351">
        <v>0</v>
      </c>
      <c r="AY17" s="1337">
        <v>0</v>
      </c>
      <c r="AZ17" s="876">
        <v>0</v>
      </c>
      <c r="BA17" s="876">
        <v>0</v>
      </c>
      <c r="BB17" s="1350">
        <v>0</v>
      </c>
      <c r="BC17" s="1328">
        <v>0</v>
      </c>
      <c r="BD17" s="876">
        <v>0</v>
      </c>
      <c r="BE17" s="876">
        <v>0</v>
      </c>
      <c r="BF17" s="876">
        <v>0</v>
      </c>
      <c r="BG17" s="1295"/>
    </row>
    <row r="18" spans="1:59" s="294" customFormat="1" ht="15" customHeight="1">
      <c r="A18" s="292"/>
      <c r="B18" s="293" t="s">
        <v>126</v>
      </c>
      <c r="C18" s="50">
        <f t="shared" ref="C18:R18" si="7">C29+C40+C51</f>
        <v>0</v>
      </c>
      <c r="D18" s="50">
        <f t="shared" si="7"/>
        <v>0</v>
      </c>
      <c r="E18" s="50">
        <f t="shared" si="7"/>
        <v>0</v>
      </c>
      <c r="F18" s="1343">
        <f t="shared" si="7"/>
        <v>0</v>
      </c>
      <c r="G18" s="1334">
        <f t="shared" si="7"/>
        <v>0</v>
      </c>
      <c r="H18" s="50">
        <f t="shared" si="7"/>
        <v>0</v>
      </c>
      <c r="I18" s="50">
        <f t="shared" si="7"/>
        <v>0</v>
      </c>
      <c r="J18" s="1325">
        <f t="shared" si="7"/>
        <v>0</v>
      </c>
      <c r="K18" s="1318">
        <v>0</v>
      </c>
      <c r="L18" s="50">
        <v>0</v>
      </c>
      <c r="M18" s="50">
        <v>0</v>
      </c>
      <c r="N18" s="1343">
        <v>0</v>
      </c>
      <c r="O18" s="1337">
        <v>0</v>
      </c>
      <c r="P18" s="876">
        <v>0</v>
      </c>
      <c r="Q18" s="876">
        <v>0</v>
      </c>
      <c r="R18" s="1350">
        <v>0</v>
      </c>
      <c r="S18" s="1318">
        <v>0</v>
      </c>
      <c r="T18" s="50">
        <v>0</v>
      </c>
      <c r="U18" s="50">
        <v>0</v>
      </c>
      <c r="V18" s="1343">
        <v>0</v>
      </c>
      <c r="W18" s="1337">
        <v>0</v>
      </c>
      <c r="X18" s="876">
        <v>0</v>
      </c>
      <c r="Y18" s="876">
        <v>0</v>
      </c>
      <c r="Z18" s="1350">
        <v>0</v>
      </c>
      <c r="AA18" s="1337">
        <v>0</v>
      </c>
      <c r="AB18" s="876">
        <v>0</v>
      </c>
      <c r="AC18" s="876">
        <v>0</v>
      </c>
      <c r="AD18" s="1350">
        <v>0</v>
      </c>
      <c r="AE18" s="1337">
        <v>0</v>
      </c>
      <c r="AF18" s="876">
        <v>0</v>
      </c>
      <c r="AG18" s="876">
        <v>0</v>
      </c>
      <c r="AH18" s="1350">
        <v>0</v>
      </c>
      <c r="AI18" s="1328">
        <v>0</v>
      </c>
      <c r="AJ18" s="876">
        <v>0</v>
      </c>
      <c r="AK18" s="876">
        <v>0</v>
      </c>
      <c r="AL18" s="1351">
        <v>0</v>
      </c>
      <c r="AM18" s="1337">
        <v>0</v>
      </c>
      <c r="AN18" s="876">
        <v>0</v>
      </c>
      <c r="AO18" s="876">
        <v>0</v>
      </c>
      <c r="AP18" s="1350">
        <v>0</v>
      </c>
      <c r="AQ18" s="1328">
        <v>0</v>
      </c>
      <c r="AR18" s="876">
        <v>0</v>
      </c>
      <c r="AS18" s="876">
        <v>0</v>
      </c>
      <c r="AT18" s="876">
        <v>0</v>
      </c>
      <c r="AU18" s="1328">
        <v>0</v>
      </c>
      <c r="AV18" s="876">
        <v>0</v>
      </c>
      <c r="AW18" s="876">
        <v>0</v>
      </c>
      <c r="AX18" s="1351">
        <v>0</v>
      </c>
      <c r="AY18" s="1337">
        <v>0</v>
      </c>
      <c r="AZ18" s="876">
        <v>0</v>
      </c>
      <c r="BA18" s="876">
        <v>0</v>
      </c>
      <c r="BB18" s="1350">
        <v>0</v>
      </c>
      <c r="BC18" s="1328">
        <v>0</v>
      </c>
      <c r="BD18" s="876">
        <v>0</v>
      </c>
      <c r="BE18" s="876">
        <v>0</v>
      </c>
      <c r="BF18" s="876">
        <v>0</v>
      </c>
      <c r="BG18" s="1295"/>
    </row>
    <row r="19" spans="1:59" s="77" customFormat="1" ht="29.25" customHeight="1">
      <c r="A19" s="115"/>
      <c r="B19" s="116" t="s">
        <v>127</v>
      </c>
      <c r="C19" s="118">
        <f>C20+C24+C29</f>
        <v>359.09100000000001</v>
      </c>
      <c r="D19" s="118">
        <f t="shared" ref="D19:AT19" si="8">D20+D24+D29</f>
        <v>0</v>
      </c>
      <c r="E19" s="118">
        <f t="shared" si="8"/>
        <v>1060.9279999999999</v>
      </c>
      <c r="F19" s="1340">
        <f t="shared" si="8"/>
        <v>0</v>
      </c>
      <c r="G19" s="1331">
        <f t="shared" si="8"/>
        <v>358.57099999999997</v>
      </c>
      <c r="H19" s="118">
        <f t="shared" si="8"/>
        <v>0</v>
      </c>
      <c r="I19" s="118">
        <f t="shared" si="8"/>
        <v>1050.82</v>
      </c>
      <c r="J19" s="1322">
        <f t="shared" si="8"/>
        <v>0</v>
      </c>
      <c r="K19" s="1315">
        <v>358.79300000000001</v>
      </c>
      <c r="L19" s="118">
        <v>0</v>
      </c>
      <c r="M19" s="118">
        <v>1089.8589999999999</v>
      </c>
      <c r="N19" s="1340">
        <v>0</v>
      </c>
      <c r="O19" s="1331">
        <v>327.84100000000001</v>
      </c>
      <c r="P19" s="118">
        <v>0</v>
      </c>
      <c r="Q19" s="118">
        <v>997.38149999999996</v>
      </c>
      <c r="R19" s="1322">
        <v>0</v>
      </c>
      <c r="S19" s="1315">
        <v>358.57099999999997</v>
      </c>
      <c r="T19" s="118">
        <v>0</v>
      </c>
      <c r="U19" s="118">
        <v>1106.8975758999995</v>
      </c>
      <c r="V19" s="1340">
        <v>0</v>
      </c>
      <c r="W19" s="1331">
        <v>327.84100000000001</v>
      </c>
      <c r="X19" s="118">
        <v>0</v>
      </c>
      <c r="Y19" s="118">
        <v>962.47156155700009</v>
      </c>
      <c r="Z19" s="1322">
        <v>0</v>
      </c>
      <c r="AA19" s="1331">
        <v>327.84100000000001</v>
      </c>
      <c r="AB19" s="118">
        <v>0</v>
      </c>
      <c r="AC19" s="118">
        <v>1006.5078891335988</v>
      </c>
      <c r="AD19" s="1322">
        <v>0</v>
      </c>
      <c r="AE19" s="1331">
        <v>327.84100000000001</v>
      </c>
      <c r="AF19" s="118">
        <v>0</v>
      </c>
      <c r="AG19" s="118">
        <v>1013.0500999999999</v>
      </c>
      <c r="AH19" s="1322">
        <v>0</v>
      </c>
      <c r="AI19" s="1315">
        <v>327.84100000000001</v>
      </c>
      <c r="AJ19" s="118">
        <v>0</v>
      </c>
      <c r="AK19" s="118">
        <v>1001.6249999999999</v>
      </c>
      <c r="AL19" s="1340">
        <v>0</v>
      </c>
      <c r="AM19" s="1331">
        <v>327.84100000000001</v>
      </c>
      <c r="AN19" s="118">
        <v>0</v>
      </c>
      <c r="AO19" s="118">
        <v>598.09799999999996</v>
      </c>
      <c r="AP19" s="1322">
        <v>0</v>
      </c>
      <c r="AQ19" s="1315">
        <v>327.84100000000001</v>
      </c>
      <c r="AR19" s="118">
        <v>0</v>
      </c>
      <c r="AS19" s="118">
        <v>403.52699999999999</v>
      </c>
      <c r="AT19" s="118">
        <v>0</v>
      </c>
      <c r="AU19" s="1315">
        <v>327.84100000000001</v>
      </c>
      <c r="AV19" s="118">
        <v>0</v>
      </c>
      <c r="AW19" s="118">
        <v>1001.6249999999999</v>
      </c>
      <c r="AX19" s="1340">
        <v>0</v>
      </c>
      <c r="AY19" s="1331">
        <v>327.84100000000001</v>
      </c>
      <c r="AZ19" s="118">
        <v>0</v>
      </c>
      <c r="BA19" s="118">
        <v>598.09799999999996</v>
      </c>
      <c r="BB19" s="1322">
        <v>0</v>
      </c>
      <c r="BC19" s="1315">
        <v>327.84100000000001</v>
      </c>
      <c r="BD19" s="118">
        <v>0</v>
      </c>
      <c r="BE19" s="118">
        <v>403.52699999999999</v>
      </c>
      <c r="BF19" s="118">
        <v>0</v>
      </c>
      <c r="BG19" s="1295"/>
    </row>
    <row r="20" spans="1:59" s="108" customFormat="1" ht="15">
      <c r="A20" s="295"/>
      <c r="B20" s="296" t="s">
        <v>120</v>
      </c>
      <c r="C20" s="297">
        <f>'4.3_КТЭЦ'!C20+'4.3_котельные'!C20</f>
        <v>359.09100000000001</v>
      </c>
      <c r="D20" s="297"/>
      <c r="E20" s="297">
        <f>'4.3_КТЭЦ'!E20+'4.3_котельные'!E20</f>
        <v>1060.9279999999999</v>
      </c>
      <c r="F20" s="1344"/>
      <c r="G20" s="1335">
        <f>'4.3_КТЭЦ'!G20+'4.3_котельные'!G20</f>
        <v>358.57099999999997</v>
      </c>
      <c r="H20" s="297"/>
      <c r="I20" s="297">
        <f>'4.3_КТЭЦ'!I20+'4.3_котельные'!I20</f>
        <v>1050.82</v>
      </c>
      <c r="J20" s="1326"/>
      <c r="K20" s="1319">
        <v>358.79300000000001</v>
      </c>
      <c r="L20" s="297"/>
      <c r="M20" s="297">
        <v>1089.8589999999999</v>
      </c>
      <c r="N20" s="1344"/>
      <c r="O20" s="1335">
        <v>327.84100000000001</v>
      </c>
      <c r="P20" s="297"/>
      <c r="Q20" s="297">
        <v>997.38149999999996</v>
      </c>
      <c r="R20" s="1326"/>
      <c r="S20" s="1319">
        <v>358.57099999999997</v>
      </c>
      <c r="T20" s="297"/>
      <c r="U20" s="297">
        <v>1106.8975758999995</v>
      </c>
      <c r="V20" s="1344"/>
      <c r="W20" s="1335">
        <v>327.84100000000001</v>
      </c>
      <c r="X20" s="297"/>
      <c r="Y20" s="297">
        <v>962.47156155700009</v>
      </c>
      <c r="Z20" s="1326"/>
      <c r="AA20" s="1335">
        <v>327.84100000000001</v>
      </c>
      <c r="AB20" s="297"/>
      <c r="AC20" s="297">
        <v>1006.5078891335988</v>
      </c>
      <c r="AD20" s="1326"/>
      <c r="AE20" s="1335">
        <v>327.84100000000001</v>
      </c>
      <c r="AF20" s="297"/>
      <c r="AG20" s="297">
        <v>1013.0500999999999</v>
      </c>
      <c r="AH20" s="1326"/>
      <c r="AI20" s="1319">
        <v>327.84100000000001</v>
      </c>
      <c r="AJ20" s="297"/>
      <c r="AK20" s="297">
        <v>1001.6249999999999</v>
      </c>
      <c r="AL20" s="1344"/>
      <c r="AM20" s="1335">
        <v>327.84100000000001</v>
      </c>
      <c r="AN20" s="297"/>
      <c r="AO20" s="297">
        <v>598.09799999999996</v>
      </c>
      <c r="AP20" s="1326"/>
      <c r="AQ20" s="1319">
        <v>327.84100000000001</v>
      </c>
      <c r="AR20" s="297"/>
      <c r="AS20" s="297">
        <v>403.52699999999999</v>
      </c>
      <c r="AT20" s="297"/>
      <c r="AU20" s="1319">
        <v>327.84100000000001</v>
      </c>
      <c r="AV20" s="297"/>
      <c r="AW20" s="297">
        <v>1001.6249999999999</v>
      </c>
      <c r="AX20" s="1344"/>
      <c r="AY20" s="1335">
        <v>327.84100000000001</v>
      </c>
      <c r="AZ20" s="297"/>
      <c r="BA20" s="297">
        <v>598.09799999999996</v>
      </c>
      <c r="BB20" s="1326"/>
      <c r="BC20" s="1319">
        <v>327.84100000000001</v>
      </c>
      <c r="BD20" s="297"/>
      <c r="BE20" s="297">
        <v>403.52699999999999</v>
      </c>
      <c r="BF20" s="297"/>
      <c r="BG20" s="1295"/>
    </row>
    <row r="21" spans="1:59" s="294" customFormat="1" ht="15">
      <c r="A21" s="292"/>
      <c r="B21" s="1281" t="s">
        <v>1697</v>
      </c>
      <c r="C21" s="616"/>
      <c r="D21" s="616"/>
      <c r="E21" s="616"/>
      <c r="F21" s="1345"/>
      <c r="G21" s="1333"/>
      <c r="H21" s="616"/>
      <c r="I21" s="616"/>
      <c r="J21" s="1324"/>
      <c r="K21" s="1317"/>
      <c r="L21" s="616"/>
      <c r="M21" s="616"/>
      <c r="N21" s="1345"/>
      <c r="O21" s="1333">
        <v>0</v>
      </c>
      <c r="P21" s="616"/>
      <c r="Q21" s="616">
        <v>0</v>
      </c>
      <c r="R21" s="1324"/>
      <c r="S21" s="1317"/>
      <c r="T21" s="616"/>
      <c r="U21" s="616"/>
      <c r="V21" s="1345"/>
      <c r="W21" s="1333">
        <v>0</v>
      </c>
      <c r="X21" s="616"/>
      <c r="Y21" s="616">
        <v>0</v>
      </c>
      <c r="Z21" s="1324"/>
      <c r="AA21" s="1333">
        <v>0</v>
      </c>
      <c r="AB21" s="616"/>
      <c r="AC21" s="616">
        <v>0</v>
      </c>
      <c r="AD21" s="1324"/>
      <c r="AE21" s="1333">
        <v>0</v>
      </c>
      <c r="AF21" s="616"/>
      <c r="AG21" s="616">
        <v>0</v>
      </c>
      <c r="AH21" s="1324"/>
      <c r="AI21" s="1317">
        <v>0</v>
      </c>
      <c r="AJ21" s="616"/>
      <c r="AK21" s="616">
        <v>0</v>
      </c>
      <c r="AL21" s="1345"/>
      <c r="AM21" s="1333">
        <v>0</v>
      </c>
      <c r="AN21" s="616"/>
      <c r="AO21" s="616">
        <v>0</v>
      </c>
      <c r="AP21" s="1324"/>
      <c r="AQ21" s="1317">
        <v>0</v>
      </c>
      <c r="AR21" s="616"/>
      <c r="AS21" s="616">
        <v>0</v>
      </c>
      <c r="AT21" s="616"/>
      <c r="AU21" s="1317">
        <v>0</v>
      </c>
      <c r="AV21" s="616"/>
      <c r="AW21" s="616">
        <v>0</v>
      </c>
      <c r="AX21" s="1345"/>
      <c r="AY21" s="1333">
        <v>0</v>
      </c>
      <c r="AZ21" s="616"/>
      <c r="BA21" s="616">
        <v>0</v>
      </c>
      <c r="BB21" s="1324"/>
      <c r="BC21" s="1317">
        <v>0</v>
      </c>
      <c r="BD21" s="616"/>
      <c r="BE21" s="616">
        <v>0</v>
      </c>
      <c r="BF21" s="616"/>
      <c r="BG21" s="1295"/>
    </row>
    <row r="22" spans="1:59" s="294" customFormat="1" ht="15">
      <c r="A22" s="292"/>
      <c r="B22" s="1281" t="s">
        <v>1512</v>
      </c>
      <c r="C22" s="616"/>
      <c r="D22" s="616"/>
      <c r="E22" s="616"/>
      <c r="F22" s="1345"/>
      <c r="G22" s="1333"/>
      <c r="H22" s="616"/>
      <c r="I22" s="616"/>
      <c r="J22" s="1324"/>
      <c r="K22" s="1317"/>
      <c r="L22" s="616"/>
      <c r="M22" s="616"/>
      <c r="N22" s="1345"/>
      <c r="O22" s="1333">
        <v>3.218</v>
      </c>
      <c r="P22" s="616"/>
      <c r="Q22" s="616">
        <v>10.352256916240385</v>
      </c>
      <c r="R22" s="1324"/>
      <c r="S22" s="1317"/>
      <c r="T22" s="616"/>
      <c r="U22" s="616"/>
      <c r="V22" s="1345"/>
      <c r="W22" s="1333">
        <v>3.218</v>
      </c>
      <c r="X22" s="616"/>
      <c r="Y22" s="616">
        <v>11.763</v>
      </c>
      <c r="Z22" s="1324"/>
      <c r="AA22" s="1333">
        <v>3.218</v>
      </c>
      <c r="AB22" s="616"/>
      <c r="AC22" s="616">
        <v>7.2795031028905015</v>
      </c>
      <c r="AD22" s="1324"/>
      <c r="AE22" s="1333">
        <v>3.218</v>
      </c>
      <c r="AF22" s="616"/>
      <c r="AG22" s="616">
        <v>10.675000000000001</v>
      </c>
      <c r="AH22" s="1324"/>
      <c r="AI22" s="1317">
        <v>3.218</v>
      </c>
      <c r="AJ22" s="616"/>
      <c r="AK22" s="616">
        <v>10.675000000000001</v>
      </c>
      <c r="AL22" s="1345"/>
      <c r="AM22" s="1333">
        <v>3.218</v>
      </c>
      <c r="AN22" s="616"/>
      <c r="AO22" s="616">
        <v>6.4169999999999998</v>
      </c>
      <c r="AP22" s="1324"/>
      <c r="AQ22" s="1317">
        <v>3.218</v>
      </c>
      <c r="AR22" s="616"/>
      <c r="AS22" s="616">
        <v>4.258</v>
      </c>
      <c r="AT22" s="616"/>
      <c r="AU22" s="1317">
        <v>3.218</v>
      </c>
      <c r="AV22" s="616"/>
      <c r="AW22" s="616">
        <v>10.675000000000001</v>
      </c>
      <c r="AX22" s="1345"/>
      <c r="AY22" s="1333">
        <v>3.218</v>
      </c>
      <c r="AZ22" s="616"/>
      <c r="BA22" s="616">
        <v>6.4169999999999998</v>
      </c>
      <c r="BB22" s="1324"/>
      <c r="BC22" s="1317">
        <v>3.218</v>
      </c>
      <c r="BD22" s="616"/>
      <c r="BE22" s="616">
        <v>4.258</v>
      </c>
      <c r="BF22" s="616"/>
      <c r="BG22" s="1295"/>
    </row>
    <row r="23" spans="1:59" s="294" customFormat="1" ht="15">
      <c r="A23" s="292"/>
      <c r="B23" s="1281" t="s">
        <v>1513</v>
      </c>
      <c r="C23" s="616"/>
      <c r="D23" s="616"/>
      <c r="E23" s="616"/>
      <c r="F23" s="1345"/>
      <c r="G23" s="1333"/>
      <c r="H23" s="616"/>
      <c r="I23" s="616"/>
      <c r="J23" s="1324"/>
      <c r="K23" s="1317"/>
      <c r="L23" s="616"/>
      <c r="M23" s="616"/>
      <c r="N23" s="1345"/>
      <c r="O23" s="1333">
        <v>324.62299999999999</v>
      </c>
      <c r="P23" s="616"/>
      <c r="Q23" s="616">
        <v>987.02924308375964</v>
      </c>
      <c r="R23" s="1324"/>
      <c r="S23" s="1317"/>
      <c r="T23" s="616"/>
      <c r="U23" s="616"/>
      <c r="V23" s="1345"/>
      <c r="W23" s="1333">
        <v>324.62299999999999</v>
      </c>
      <c r="X23" s="616"/>
      <c r="Y23" s="616">
        <v>950.70856155699994</v>
      </c>
      <c r="Z23" s="1324"/>
      <c r="AA23" s="1333">
        <v>324.62299999999999</v>
      </c>
      <c r="AB23" s="616"/>
      <c r="AC23" s="616">
        <v>999.22838603070829</v>
      </c>
      <c r="AD23" s="1324"/>
      <c r="AE23" s="1333">
        <v>324.62299999999999</v>
      </c>
      <c r="AF23" s="616"/>
      <c r="AG23" s="616">
        <v>1002.3751</v>
      </c>
      <c r="AH23" s="1324"/>
      <c r="AI23" s="1317">
        <v>324.62299999999999</v>
      </c>
      <c r="AJ23" s="616"/>
      <c r="AK23" s="616">
        <v>990.94999999999993</v>
      </c>
      <c r="AL23" s="1345"/>
      <c r="AM23" s="1333">
        <v>324.62299999999999</v>
      </c>
      <c r="AN23" s="616"/>
      <c r="AO23" s="616">
        <v>591.68100000000004</v>
      </c>
      <c r="AP23" s="1324"/>
      <c r="AQ23" s="1317">
        <v>324.62299999999999</v>
      </c>
      <c r="AR23" s="616"/>
      <c r="AS23" s="616">
        <v>399.26900000000001</v>
      </c>
      <c r="AT23" s="616"/>
      <c r="AU23" s="1317">
        <v>324.62299999999999</v>
      </c>
      <c r="AV23" s="616"/>
      <c r="AW23" s="616">
        <v>990.94999999999993</v>
      </c>
      <c r="AX23" s="1345"/>
      <c r="AY23" s="1333">
        <v>324.62299999999999</v>
      </c>
      <c r="AZ23" s="616"/>
      <c r="BA23" s="616">
        <v>591.68100000000004</v>
      </c>
      <c r="BB23" s="1324"/>
      <c r="BC23" s="1317">
        <v>324.62299999999999</v>
      </c>
      <c r="BD23" s="616"/>
      <c r="BE23" s="616">
        <v>399.26900000000001</v>
      </c>
      <c r="BF23" s="616"/>
      <c r="BG23" s="1295"/>
    </row>
    <row r="24" spans="1:59" s="544" customFormat="1" ht="15" customHeight="1">
      <c r="A24" s="55"/>
      <c r="B24" s="57" t="s">
        <v>121</v>
      </c>
      <c r="C24" s="50"/>
      <c r="D24" s="50"/>
      <c r="E24" s="50"/>
      <c r="F24" s="1343"/>
      <c r="G24" s="1334"/>
      <c r="H24" s="50"/>
      <c r="I24" s="50"/>
      <c r="J24" s="1325"/>
      <c r="K24" s="1318"/>
      <c r="L24" s="50"/>
      <c r="M24" s="50"/>
      <c r="N24" s="1343"/>
      <c r="O24" s="1333">
        <v>0</v>
      </c>
      <c r="P24" s="616"/>
      <c r="Q24" s="616">
        <v>0</v>
      </c>
      <c r="R24" s="1325"/>
      <c r="S24" s="1318"/>
      <c r="T24" s="50"/>
      <c r="U24" s="50"/>
      <c r="V24" s="1343"/>
      <c r="W24" s="1333">
        <v>0</v>
      </c>
      <c r="X24" s="616"/>
      <c r="Y24" s="616">
        <v>0</v>
      </c>
      <c r="Z24" s="1325"/>
      <c r="AA24" s="1333">
        <v>0</v>
      </c>
      <c r="AB24" s="616"/>
      <c r="AC24" s="616">
        <v>0</v>
      </c>
      <c r="AD24" s="1325"/>
      <c r="AE24" s="1333">
        <v>0</v>
      </c>
      <c r="AF24" s="616"/>
      <c r="AG24" s="616">
        <v>0</v>
      </c>
      <c r="AH24" s="1325"/>
      <c r="AI24" s="1317">
        <v>0</v>
      </c>
      <c r="AJ24" s="616"/>
      <c r="AK24" s="616">
        <v>0</v>
      </c>
      <c r="AL24" s="1343"/>
      <c r="AM24" s="1333">
        <v>0</v>
      </c>
      <c r="AN24" s="616"/>
      <c r="AO24" s="616">
        <v>0</v>
      </c>
      <c r="AP24" s="1325"/>
      <c r="AQ24" s="1317">
        <v>0</v>
      </c>
      <c r="AR24" s="616"/>
      <c r="AS24" s="616">
        <v>0</v>
      </c>
      <c r="AT24" s="50"/>
      <c r="AU24" s="1317">
        <v>0</v>
      </c>
      <c r="AV24" s="616"/>
      <c r="AW24" s="616">
        <v>0</v>
      </c>
      <c r="AX24" s="1343"/>
      <c r="AY24" s="1333">
        <v>0</v>
      </c>
      <c r="AZ24" s="616"/>
      <c r="BA24" s="616">
        <v>0</v>
      </c>
      <c r="BB24" s="1325"/>
      <c r="BC24" s="1317">
        <v>0</v>
      </c>
      <c r="BD24" s="616"/>
      <c r="BE24" s="616">
        <v>0</v>
      </c>
      <c r="BF24" s="50"/>
      <c r="BG24" s="1295"/>
    </row>
    <row r="25" spans="1:59" s="544" customFormat="1" ht="15" customHeight="1">
      <c r="A25" s="55"/>
      <c r="B25" s="57" t="s">
        <v>122</v>
      </c>
      <c r="C25" s="50"/>
      <c r="D25" s="50"/>
      <c r="E25" s="50"/>
      <c r="F25" s="1343"/>
      <c r="G25" s="1334"/>
      <c r="H25" s="50"/>
      <c r="I25" s="50"/>
      <c r="J25" s="1325"/>
      <c r="K25" s="1318"/>
      <c r="L25" s="50"/>
      <c r="M25" s="50"/>
      <c r="N25" s="1343"/>
      <c r="O25" s="1334"/>
      <c r="P25" s="50"/>
      <c r="Q25" s="50"/>
      <c r="R25" s="1325"/>
      <c r="S25" s="1318"/>
      <c r="T25" s="50"/>
      <c r="U25" s="50"/>
      <c r="V25" s="1343"/>
      <c r="W25" s="1334"/>
      <c r="X25" s="50"/>
      <c r="Y25" s="50"/>
      <c r="Z25" s="1325"/>
      <c r="AA25" s="1334"/>
      <c r="AB25" s="50"/>
      <c r="AC25" s="50"/>
      <c r="AD25" s="1325"/>
      <c r="AE25" s="1334"/>
      <c r="AF25" s="50"/>
      <c r="AG25" s="50"/>
      <c r="AH25" s="1325"/>
      <c r="AI25" s="1318"/>
      <c r="AJ25" s="50"/>
      <c r="AK25" s="50"/>
      <c r="AL25" s="1343"/>
      <c r="AM25" s="1334"/>
      <c r="AN25" s="50"/>
      <c r="AO25" s="50"/>
      <c r="AP25" s="1325"/>
      <c r="AQ25" s="1318"/>
      <c r="AR25" s="50"/>
      <c r="AS25" s="50"/>
      <c r="AT25" s="50"/>
      <c r="AU25" s="1318"/>
      <c r="AV25" s="50"/>
      <c r="AW25" s="50"/>
      <c r="AX25" s="1343"/>
      <c r="AY25" s="1334"/>
      <c r="AZ25" s="50"/>
      <c r="BA25" s="50"/>
      <c r="BB25" s="1325"/>
      <c r="BC25" s="1318"/>
      <c r="BD25" s="50"/>
      <c r="BE25" s="50"/>
      <c r="BF25" s="50"/>
      <c r="BG25" s="1295"/>
    </row>
    <row r="26" spans="1:59" s="544" customFormat="1" ht="15" customHeight="1">
      <c r="A26" s="55"/>
      <c r="B26" s="57" t="s">
        <v>123</v>
      </c>
      <c r="C26" s="50"/>
      <c r="D26" s="50"/>
      <c r="E26" s="50"/>
      <c r="F26" s="1343"/>
      <c r="G26" s="1334"/>
      <c r="H26" s="50"/>
      <c r="I26" s="50"/>
      <c r="J26" s="1325"/>
      <c r="K26" s="1318"/>
      <c r="L26" s="50"/>
      <c r="M26" s="50"/>
      <c r="N26" s="1343"/>
      <c r="O26" s="1333">
        <v>0</v>
      </c>
      <c r="P26" s="616"/>
      <c r="Q26" s="616">
        <v>0</v>
      </c>
      <c r="R26" s="1325"/>
      <c r="S26" s="1318"/>
      <c r="T26" s="50"/>
      <c r="U26" s="50"/>
      <c r="V26" s="1343"/>
      <c r="W26" s="1333">
        <v>0</v>
      </c>
      <c r="X26" s="616"/>
      <c r="Y26" s="616">
        <v>0</v>
      </c>
      <c r="Z26" s="1325"/>
      <c r="AA26" s="1333">
        <v>0</v>
      </c>
      <c r="AB26" s="616"/>
      <c r="AC26" s="616">
        <v>0</v>
      </c>
      <c r="AD26" s="1325"/>
      <c r="AE26" s="1333">
        <v>0</v>
      </c>
      <c r="AF26" s="616"/>
      <c r="AG26" s="616">
        <v>0</v>
      </c>
      <c r="AH26" s="1325"/>
      <c r="AI26" s="1317">
        <v>0</v>
      </c>
      <c r="AJ26" s="616"/>
      <c r="AK26" s="616">
        <v>0</v>
      </c>
      <c r="AL26" s="1343"/>
      <c r="AM26" s="1333">
        <v>0</v>
      </c>
      <c r="AN26" s="616"/>
      <c r="AO26" s="616">
        <v>0</v>
      </c>
      <c r="AP26" s="1325"/>
      <c r="AQ26" s="1317">
        <v>0</v>
      </c>
      <c r="AR26" s="616"/>
      <c r="AS26" s="616">
        <v>0</v>
      </c>
      <c r="AT26" s="50"/>
      <c r="AU26" s="1317">
        <v>0</v>
      </c>
      <c r="AV26" s="616"/>
      <c r="AW26" s="616">
        <v>0</v>
      </c>
      <c r="AX26" s="1343"/>
      <c r="AY26" s="1333">
        <v>0</v>
      </c>
      <c r="AZ26" s="616"/>
      <c r="BA26" s="616">
        <v>0</v>
      </c>
      <c r="BB26" s="1325"/>
      <c r="BC26" s="1317">
        <v>0</v>
      </c>
      <c r="BD26" s="616"/>
      <c r="BE26" s="616">
        <v>0</v>
      </c>
      <c r="BF26" s="50"/>
      <c r="BG26" s="1295"/>
    </row>
    <row r="27" spans="1:59" s="544" customFormat="1" ht="15" customHeight="1">
      <c r="A27" s="55"/>
      <c r="B27" s="57" t="s">
        <v>124</v>
      </c>
      <c r="C27" s="50"/>
      <c r="D27" s="50"/>
      <c r="E27" s="50"/>
      <c r="F27" s="1343"/>
      <c r="G27" s="1334"/>
      <c r="H27" s="50"/>
      <c r="I27" s="50"/>
      <c r="J27" s="1325"/>
      <c r="K27" s="1318"/>
      <c r="L27" s="50"/>
      <c r="M27" s="50"/>
      <c r="N27" s="1343"/>
      <c r="O27" s="1334"/>
      <c r="P27" s="50"/>
      <c r="Q27" s="50"/>
      <c r="R27" s="1325"/>
      <c r="S27" s="1318"/>
      <c r="T27" s="50"/>
      <c r="U27" s="50"/>
      <c r="V27" s="1343"/>
      <c r="W27" s="1334"/>
      <c r="X27" s="50"/>
      <c r="Y27" s="50"/>
      <c r="Z27" s="1325"/>
      <c r="AA27" s="1334"/>
      <c r="AB27" s="50"/>
      <c r="AC27" s="50"/>
      <c r="AD27" s="1325"/>
      <c r="AE27" s="1334"/>
      <c r="AF27" s="50"/>
      <c r="AG27" s="50"/>
      <c r="AH27" s="1325"/>
      <c r="AI27" s="1318"/>
      <c r="AJ27" s="50"/>
      <c r="AK27" s="50"/>
      <c r="AL27" s="1343"/>
      <c r="AM27" s="1334"/>
      <c r="AN27" s="50"/>
      <c r="AO27" s="50"/>
      <c r="AP27" s="1325"/>
      <c r="AQ27" s="1318"/>
      <c r="AR27" s="50"/>
      <c r="AS27" s="50"/>
      <c r="AT27" s="50"/>
      <c r="AU27" s="1318"/>
      <c r="AV27" s="50"/>
      <c r="AW27" s="50"/>
      <c r="AX27" s="1343"/>
      <c r="AY27" s="1334"/>
      <c r="AZ27" s="50"/>
      <c r="BA27" s="50"/>
      <c r="BB27" s="1325"/>
      <c r="BC27" s="1318"/>
      <c r="BD27" s="50"/>
      <c r="BE27" s="50"/>
      <c r="BF27" s="50"/>
      <c r="BG27" s="1295"/>
    </row>
    <row r="28" spans="1:59" s="544" customFormat="1" ht="15" customHeight="1">
      <c r="A28" s="55"/>
      <c r="B28" s="57" t="s">
        <v>125</v>
      </c>
      <c r="C28" s="50"/>
      <c r="D28" s="50"/>
      <c r="E28" s="50"/>
      <c r="F28" s="1343"/>
      <c r="G28" s="1334"/>
      <c r="H28" s="50"/>
      <c r="I28" s="50"/>
      <c r="J28" s="1325"/>
      <c r="K28" s="1318"/>
      <c r="L28" s="50"/>
      <c r="M28" s="50"/>
      <c r="N28" s="1343"/>
      <c r="O28" s="1334"/>
      <c r="P28" s="50"/>
      <c r="Q28" s="50"/>
      <c r="R28" s="1325"/>
      <c r="S28" s="1318"/>
      <c r="T28" s="50"/>
      <c r="U28" s="50"/>
      <c r="V28" s="1343"/>
      <c r="W28" s="1334"/>
      <c r="X28" s="50"/>
      <c r="Y28" s="50"/>
      <c r="Z28" s="1325"/>
      <c r="AA28" s="1334"/>
      <c r="AB28" s="50"/>
      <c r="AC28" s="50"/>
      <c r="AD28" s="1325"/>
      <c r="AE28" s="1334"/>
      <c r="AF28" s="50"/>
      <c r="AG28" s="50"/>
      <c r="AH28" s="1325"/>
      <c r="AI28" s="1318"/>
      <c r="AJ28" s="50"/>
      <c r="AK28" s="50"/>
      <c r="AL28" s="1343"/>
      <c r="AM28" s="1334"/>
      <c r="AN28" s="50"/>
      <c r="AO28" s="50"/>
      <c r="AP28" s="1325"/>
      <c r="AQ28" s="1318"/>
      <c r="AR28" s="50"/>
      <c r="AS28" s="50"/>
      <c r="AT28" s="50"/>
      <c r="AU28" s="1318"/>
      <c r="AV28" s="50"/>
      <c r="AW28" s="50"/>
      <c r="AX28" s="1343"/>
      <c r="AY28" s="1334"/>
      <c r="AZ28" s="50"/>
      <c r="BA28" s="50"/>
      <c r="BB28" s="1325"/>
      <c r="BC28" s="1318"/>
      <c r="BD28" s="50"/>
      <c r="BE28" s="50"/>
      <c r="BF28" s="50"/>
      <c r="BG28" s="1295"/>
    </row>
    <row r="29" spans="1:59" s="544" customFormat="1" ht="15" customHeight="1">
      <c r="A29" s="55"/>
      <c r="B29" s="56" t="s">
        <v>126</v>
      </c>
      <c r="C29" s="50"/>
      <c r="D29" s="50"/>
      <c r="E29" s="50"/>
      <c r="F29" s="1343"/>
      <c r="G29" s="1334"/>
      <c r="H29" s="50"/>
      <c r="I29" s="50"/>
      <c r="J29" s="1325"/>
      <c r="K29" s="1318"/>
      <c r="L29" s="50"/>
      <c r="M29" s="50"/>
      <c r="N29" s="1343"/>
      <c r="O29" s="1334"/>
      <c r="P29" s="50"/>
      <c r="Q29" s="50"/>
      <c r="R29" s="1325"/>
      <c r="S29" s="1318"/>
      <c r="T29" s="50"/>
      <c r="U29" s="50"/>
      <c r="V29" s="1343"/>
      <c r="W29" s="1334"/>
      <c r="X29" s="50"/>
      <c r="Y29" s="50"/>
      <c r="Z29" s="1325"/>
      <c r="AA29" s="1334"/>
      <c r="AB29" s="50"/>
      <c r="AC29" s="50"/>
      <c r="AD29" s="1325"/>
      <c r="AE29" s="1334"/>
      <c r="AF29" s="50"/>
      <c r="AG29" s="50"/>
      <c r="AH29" s="1325"/>
      <c r="AI29" s="1318"/>
      <c r="AJ29" s="50"/>
      <c r="AK29" s="50"/>
      <c r="AL29" s="1343"/>
      <c r="AM29" s="1334"/>
      <c r="AN29" s="50"/>
      <c r="AO29" s="50"/>
      <c r="AP29" s="1325"/>
      <c r="AQ29" s="1318"/>
      <c r="AR29" s="50"/>
      <c r="AS29" s="50"/>
      <c r="AT29" s="50"/>
      <c r="AU29" s="1318"/>
      <c r="AV29" s="50"/>
      <c r="AW29" s="50"/>
      <c r="AX29" s="1343"/>
      <c r="AY29" s="1334"/>
      <c r="AZ29" s="50"/>
      <c r="BA29" s="50"/>
      <c r="BB29" s="1325"/>
      <c r="BC29" s="1318"/>
      <c r="BD29" s="50"/>
      <c r="BE29" s="50"/>
      <c r="BF29" s="50"/>
      <c r="BG29" s="1295"/>
    </row>
    <row r="30" spans="1:59" s="544" customFormat="1" ht="15" customHeight="1">
      <c r="A30" s="115"/>
      <c r="B30" s="116" t="s">
        <v>1198</v>
      </c>
      <c r="C30" s="118">
        <f>C31+C35+C40</f>
        <v>67.245000000000005</v>
      </c>
      <c r="D30" s="118">
        <f t="shared" ref="D30:AT30" si="9">D31+D35+D40</f>
        <v>0</v>
      </c>
      <c r="E30" s="118">
        <f t="shared" si="9"/>
        <v>149.95699999999999</v>
      </c>
      <c r="F30" s="1340">
        <f t="shared" si="9"/>
        <v>0</v>
      </c>
      <c r="G30" s="1331">
        <f t="shared" si="9"/>
        <v>34.4</v>
      </c>
      <c r="H30" s="118">
        <f t="shared" si="9"/>
        <v>0</v>
      </c>
      <c r="I30" s="118">
        <f t="shared" si="9"/>
        <v>144.14099999999999</v>
      </c>
      <c r="J30" s="1322">
        <f t="shared" si="9"/>
        <v>0</v>
      </c>
      <c r="K30" s="1315">
        <v>69.113</v>
      </c>
      <c r="L30" s="118">
        <v>0</v>
      </c>
      <c r="M30" s="118">
        <v>148.65600000000001</v>
      </c>
      <c r="N30" s="1340">
        <v>0</v>
      </c>
      <c r="O30" s="1331">
        <v>65.099000000000004</v>
      </c>
      <c r="P30" s="118">
        <v>0</v>
      </c>
      <c r="Q30" s="118">
        <v>137.78039999999999</v>
      </c>
      <c r="R30" s="1322">
        <v>0</v>
      </c>
      <c r="S30" s="1315">
        <v>34.4</v>
      </c>
      <c r="T30" s="118">
        <v>0</v>
      </c>
      <c r="U30" s="118">
        <v>142.25800000000001</v>
      </c>
      <c r="V30" s="1340">
        <v>0</v>
      </c>
      <c r="W30" s="1331">
        <v>65.099000000000004</v>
      </c>
      <c r="X30" s="118">
        <v>0</v>
      </c>
      <c r="Y30" s="118">
        <v>130.67929999999998</v>
      </c>
      <c r="Z30" s="1322">
        <v>0</v>
      </c>
      <c r="AA30" s="1331">
        <v>65.099000000000004</v>
      </c>
      <c r="AB30" s="118">
        <v>0</v>
      </c>
      <c r="AC30" s="118">
        <v>137.78039999999999</v>
      </c>
      <c r="AD30" s="1322">
        <v>0</v>
      </c>
      <c r="AE30" s="1331">
        <v>65.099000000000004</v>
      </c>
      <c r="AF30" s="118">
        <v>0</v>
      </c>
      <c r="AG30" s="118">
        <v>130.5437</v>
      </c>
      <c r="AH30" s="1322">
        <v>0</v>
      </c>
      <c r="AI30" s="1315">
        <v>65.099000000000004</v>
      </c>
      <c r="AJ30" s="118">
        <v>0</v>
      </c>
      <c r="AK30" s="118">
        <v>130.54399999999998</v>
      </c>
      <c r="AL30" s="1340">
        <v>0</v>
      </c>
      <c r="AM30" s="1331">
        <v>65.099000000000004</v>
      </c>
      <c r="AN30" s="118">
        <v>0</v>
      </c>
      <c r="AO30" s="118">
        <v>84.971000000000004</v>
      </c>
      <c r="AP30" s="1322">
        <v>0</v>
      </c>
      <c r="AQ30" s="1315">
        <v>65.099000000000004</v>
      </c>
      <c r="AR30" s="118">
        <v>0</v>
      </c>
      <c r="AS30" s="118">
        <v>45.573</v>
      </c>
      <c r="AT30" s="118">
        <v>0</v>
      </c>
      <c r="AU30" s="1315">
        <v>65.099000000000004</v>
      </c>
      <c r="AV30" s="118">
        <v>0</v>
      </c>
      <c r="AW30" s="118">
        <v>130.54399999999998</v>
      </c>
      <c r="AX30" s="1340">
        <v>0</v>
      </c>
      <c r="AY30" s="1331">
        <v>65.099000000000004</v>
      </c>
      <c r="AZ30" s="118">
        <v>0</v>
      </c>
      <c r="BA30" s="118">
        <v>84.971000000000004</v>
      </c>
      <c r="BB30" s="1322">
        <v>0</v>
      </c>
      <c r="BC30" s="1315">
        <v>65.099000000000004</v>
      </c>
      <c r="BD30" s="118">
        <v>0</v>
      </c>
      <c r="BE30" s="118">
        <v>45.573</v>
      </c>
      <c r="BF30" s="118">
        <v>0</v>
      </c>
      <c r="BG30" s="1295"/>
    </row>
    <row r="31" spans="1:59" s="108" customFormat="1" ht="15" customHeight="1">
      <c r="A31" s="295"/>
      <c r="B31" s="296" t="s">
        <v>120</v>
      </c>
      <c r="C31" s="297">
        <f>'4.3_КТЭЦ'!C31+'4.3_котельные'!C31</f>
        <v>67.245000000000005</v>
      </c>
      <c r="D31" s="297"/>
      <c r="E31" s="297">
        <f>'4.3_КТЭЦ'!E31+'4.3_котельные'!E31</f>
        <v>149.95699999999999</v>
      </c>
      <c r="F31" s="1344"/>
      <c r="G31" s="1335">
        <f>'4.3_КТЭЦ'!G31+'4.3_котельные'!G31</f>
        <v>34.4</v>
      </c>
      <c r="H31" s="297"/>
      <c r="I31" s="297">
        <f>'4.3_КТЭЦ'!I31+'4.3_котельные'!I31</f>
        <v>144.14099999999999</v>
      </c>
      <c r="J31" s="1326"/>
      <c r="K31" s="1319">
        <v>69.113</v>
      </c>
      <c r="L31" s="297"/>
      <c r="M31" s="297">
        <v>148.65600000000001</v>
      </c>
      <c r="N31" s="1344"/>
      <c r="O31" s="1335">
        <v>65.099000000000004</v>
      </c>
      <c r="P31" s="297"/>
      <c r="Q31" s="297">
        <v>137.78039999999999</v>
      </c>
      <c r="R31" s="1326"/>
      <c r="S31" s="1319">
        <v>34.4</v>
      </c>
      <c r="T31" s="297"/>
      <c r="U31" s="297">
        <v>142.25800000000001</v>
      </c>
      <c r="V31" s="1344"/>
      <c r="W31" s="1335">
        <v>65.099000000000004</v>
      </c>
      <c r="X31" s="297"/>
      <c r="Y31" s="297">
        <v>130.67929999999998</v>
      </c>
      <c r="Z31" s="1326"/>
      <c r="AA31" s="1335">
        <v>65.099000000000004</v>
      </c>
      <c r="AB31" s="297"/>
      <c r="AC31" s="297">
        <v>137.78039999999999</v>
      </c>
      <c r="AD31" s="1326"/>
      <c r="AE31" s="1335">
        <v>65.099000000000004</v>
      </c>
      <c r="AF31" s="297"/>
      <c r="AG31" s="297">
        <v>130.5437</v>
      </c>
      <c r="AH31" s="1326"/>
      <c r="AI31" s="1319">
        <v>65.099000000000004</v>
      </c>
      <c r="AJ31" s="297"/>
      <c r="AK31" s="297">
        <v>130.54399999999998</v>
      </c>
      <c r="AL31" s="1344"/>
      <c r="AM31" s="1335">
        <v>65.099000000000004</v>
      </c>
      <c r="AN31" s="297"/>
      <c r="AO31" s="297">
        <v>84.971000000000004</v>
      </c>
      <c r="AP31" s="1326"/>
      <c r="AQ31" s="1319">
        <v>65.099000000000004</v>
      </c>
      <c r="AR31" s="297"/>
      <c r="AS31" s="297">
        <v>45.573</v>
      </c>
      <c r="AT31" s="297"/>
      <c r="AU31" s="1319">
        <v>65.099000000000004</v>
      </c>
      <c r="AV31" s="297"/>
      <c r="AW31" s="297">
        <v>130.54399999999998</v>
      </c>
      <c r="AX31" s="1344"/>
      <c r="AY31" s="1335">
        <v>65.099000000000004</v>
      </c>
      <c r="AZ31" s="297"/>
      <c r="BA31" s="297">
        <v>84.971000000000004</v>
      </c>
      <c r="BB31" s="1326"/>
      <c r="BC31" s="1319">
        <v>65.099000000000004</v>
      </c>
      <c r="BD31" s="297"/>
      <c r="BE31" s="297">
        <v>45.573</v>
      </c>
      <c r="BF31" s="297"/>
      <c r="BG31" s="1295"/>
    </row>
    <row r="32" spans="1:59" s="294" customFormat="1" ht="15" customHeight="1">
      <c r="A32" s="292"/>
      <c r="B32" s="1281" t="s">
        <v>1697</v>
      </c>
      <c r="C32" s="616"/>
      <c r="D32" s="616"/>
      <c r="E32" s="616"/>
      <c r="F32" s="1345"/>
      <c r="G32" s="1333"/>
      <c r="H32" s="616"/>
      <c r="I32" s="616"/>
      <c r="J32" s="1324"/>
      <c r="K32" s="1317"/>
      <c r="L32" s="616"/>
      <c r="M32" s="616"/>
      <c r="N32" s="1345"/>
      <c r="O32" s="1333">
        <v>0.371</v>
      </c>
      <c r="P32" s="616"/>
      <c r="Q32" s="616">
        <v>1.111443</v>
      </c>
      <c r="R32" s="1324"/>
      <c r="S32" s="1317"/>
      <c r="T32" s="616"/>
      <c r="U32" s="616"/>
      <c r="V32" s="1345"/>
      <c r="W32" s="1333">
        <v>0.371</v>
      </c>
      <c r="X32" s="616"/>
      <c r="Y32" s="616">
        <v>0.82450000000000001</v>
      </c>
      <c r="Z32" s="1324"/>
      <c r="AA32" s="1333">
        <v>0.371</v>
      </c>
      <c r="AB32" s="616"/>
      <c r="AC32" s="616">
        <v>1.111443</v>
      </c>
      <c r="AD32" s="1324"/>
      <c r="AE32" s="1333">
        <v>0.371</v>
      </c>
      <c r="AF32" s="616"/>
      <c r="AG32" s="616">
        <v>0.94</v>
      </c>
      <c r="AH32" s="1324"/>
      <c r="AI32" s="1317">
        <v>0.371</v>
      </c>
      <c r="AJ32" s="616"/>
      <c r="AK32" s="616">
        <v>0.94</v>
      </c>
      <c r="AL32" s="1345"/>
      <c r="AM32" s="1333">
        <v>0.371</v>
      </c>
      <c r="AN32" s="616"/>
      <c r="AO32" s="616">
        <v>0.48</v>
      </c>
      <c r="AP32" s="1324"/>
      <c r="AQ32" s="1317">
        <v>0.371</v>
      </c>
      <c r="AR32" s="616"/>
      <c r="AS32" s="616">
        <v>0.46</v>
      </c>
      <c r="AT32" s="616"/>
      <c r="AU32" s="1317">
        <v>0.371</v>
      </c>
      <c r="AV32" s="616"/>
      <c r="AW32" s="616">
        <v>0.94</v>
      </c>
      <c r="AX32" s="1345"/>
      <c r="AY32" s="1333">
        <v>0.371</v>
      </c>
      <c r="AZ32" s="616"/>
      <c r="BA32" s="616">
        <v>0.48</v>
      </c>
      <c r="BB32" s="1324"/>
      <c r="BC32" s="1317">
        <v>0.371</v>
      </c>
      <c r="BD32" s="616"/>
      <c r="BE32" s="616">
        <v>0.46</v>
      </c>
      <c r="BF32" s="616"/>
      <c r="BG32" s="1295"/>
    </row>
    <row r="33" spans="1:59" s="294" customFormat="1" ht="15" customHeight="1">
      <c r="A33" s="292"/>
      <c r="B33" s="1281" t="s">
        <v>1512</v>
      </c>
      <c r="C33" s="616"/>
      <c r="D33" s="616"/>
      <c r="E33" s="616"/>
      <c r="F33" s="1345"/>
      <c r="G33" s="1333"/>
      <c r="H33" s="616"/>
      <c r="I33" s="616"/>
      <c r="J33" s="1324"/>
      <c r="K33" s="1317"/>
      <c r="L33" s="616"/>
      <c r="M33" s="616"/>
      <c r="N33" s="1345"/>
      <c r="O33" s="1333">
        <v>5.0289999999999999</v>
      </c>
      <c r="P33" s="616"/>
      <c r="Q33" s="616">
        <v>9.1497820000000001</v>
      </c>
      <c r="R33" s="1324"/>
      <c r="S33" s="1317"/>
      <c r="T33" s="616"/>
      <c r="U33" s="616"/>
      <c r="V33" s="1345"/>
      <c r="W33" s="1333">
        <v>5.0289999999999999</v>
      </c>
      <c r="X33" s="616"/>
      <c r="Y33" s="616">
        <v>9.31</v>
      </c>
      <c r="Z33" s="1324"/>
      <c r="AA33" s="1333">
        <v>5.0289999999999999</v>
      </c>
      <c r="AB33" s="616"/>
      <c r="AC33" s="616">
        <v>9.1497820000000001</v>
      </c>
      <c r="AD33" s="1324"/>
      <c r="AE33" s="1333">
        <v>5.0289999999999999</v>
      </c>
      <c r="AF33" s="616"/>
      <c r="AG33" s="616">
        <v>9.1137999999999995</v>
      </c>
      <c r="AH33" s="1324"/>
      <c r="AI33" s="1317">
        <v>5.0289999999999999</v>
      </c>
      <c r="AJ33" s="616"/>
      <c r="AK33" s="616">
        <v>9.1140000000000008</v>
      </c>
      <c r="AL33" s="1345"/>
      <c r="AM33" s="1333">
        <v>5.0289999999999999</v>
      </c>
      <c r="AN33" s="616"/>
      <c r="AO33" s="616">
        <v>6.1150000000000002</v>
      </c>
      <c r="AP33" s="1324"/>
      <c r="AQ33" s="1317">
        <v>5.0289999999999999</v>
      </c>
      <c r="AR33" s="616"/>
      <c r="AS33" s="616">
        <v>2.9989999999999997</v>
      </c>
      <c r="AT33" s="616"/>
      <c r="AU33" s="1317">
        <v>5.0289999999999999</v>
      </c>
      <c r="AV33" s="616"/>
      <c r="AW33" s="616">
        <v>9.1140000000000008</v>
      </c>
      <c r="AX33" s="1345"/>
      <c r="AY33" s="1333">
        <v>5.0289999999999999</v>
      </c>
      <c r="AZ33" s="616"/>
      <c r="BA33" s="616">
        <v>6.1150000000000002</v>
      </c>
      <c r="BB33" s="1324"/>
      <c r="BC33" s="1317">
        <v>5.0289999999999999</v>
      </c>
      <c r="BD33" s="616"/>
      <c r="BE33" s="616">
        <v>2.9989999999999997</v>
      </c>
      <c r="BF33" s="616"/>
      <c r="BG33" s="1295"/>
    </row>
    <row r="34" spans="1:59" s="294" customFormat="1" ht="15" customHeight="1">
      <c r="A34" s="292"/>
      <c r="B34" s="1281" t="s">
        <v>1513</v>
      </c>
      <c r="C34" s="616"/>
      <c r="D34" s="616"/>
      <c r="E34" s="616"/>
      <c r="F34" s="1345"/>
      <c r="G34" s="1333"/>
      <c r="H34" s="616"/>
      <c r="I34" s="616"/>
      <c r="J34" s="1324"/>
      <c r="K34" s="1317"/>
      <c r="L34" s="616"/>
      <c r="M34" s="616"/>
      <c r="N34" s="1345"/>
      <c r="O34" s="1333">
        <v>59.699000000000005</v>
      </c>
      <c r="P34" s="616"/>
      <c r="Q34" s="616">
        <v>127.51917499999999</v>
      </c>
      <c r="R34" s="1324"/>
      <c r="S34" s="1317"/>
      <c r="T34" s="616"/>
      <c r="U34" s="616"/>
      <c r="V34" s="1345"/>
      <c r="W34" s="1333">
        <v>59.699000000000005</v>
      </c>
      <c r="X34" s="616"/>
      <c r="Y34" s="616">
        <v>120.5448</v>
      </c>
      <c r="Z34" s="1324"/>
      <c r="AA34" s="1333">
        <v>59.699000000000005</v>
      </c>
      <c r="AB34" s="616"/>
      <c r="AC34" s="616">
        <v>127.51917499999999</v>
      </c>
      <c r="AD34" s="1324"/>
      <c r="AE34" s="1333">
        <v>59.699000000000005</v>
      </c>
      <c r="AF34" s="616"/>
      <c r="AG34" s="616">
        <v>120.48990000000001</v>
      </c>
      <c r="AH34" s="1324"/>
      <c r="AI34" s="1317">
        <v>59.699000000000005</v>
      </c>
      <c r="AJ34" s="616"/>
      <c r="AK34" s="616">
        <v>120.49</v>
      </c>
      <c r="AL34" s="1345"/>
      <c r="AM34" s="1333">
        <v>59.699000000000005</v>
      </c>
      <c r="AN34" s="616"/>
      <c r="AO34" s="616">
        <v>78.376000000000005</v>
      </c>
      <c r="AP34" s="1324"/>
      <c r="AQ34" s="1317">
        <v>59.699000000000005</v>
      </c>
      <c r="AR34" s="616"/>
      <c r="AS34" s="616">
        <v>42.114000000000004</v>
      </c>
      <c r="AT34" s="616"/>
      <c r="AU34" s="1317">
        <v>59.699000000000005</v>
      </c>
      <c r="AV34" s="616"/>
      <c r="AW34" s="616">
        <v>120.49</v>
      </c>
      <c r="AX34" s="1345"/>
      <c r="AY34" s="1333">
        <v>59.699000000000005</v>
      </c>
      <c r="AZ34" s="616"/>
      <c r="BA34" s="616">
        <v>78.376000000000005</v>
      </c>
      <c r="BB34" s="1324"/>
      <c r="BC34" s="1317">
        <v>59.699000000000005</v>
      </c>
      <c r="BD34" s="616"/>
      <c r="BE34" s="616">
        <v>42.114000000000004</v>
      </c>
      <c r="BF34" s="616"/>
      <c r="BG34" s="1295"/>
    </row>
    <row r="35" spans="1:59" s="544" customFormat="1" ht="15" customHeight="1">
      <c r="A35" s="55"/>
      <c r="B35" s="57" t="s">
        <v>121</v>
      </c>
      <c r="C35" s="50"/>
      <c r="D35" s="50"/>
      <c r="E35" s="50"/>
      <c r="F35" s="1343"/>
      <c r="G35" s="1334"/>
      <c r="H35" s="50"/>
      <c r="I35" s="50"/>
      <c r="J35" s="1325"/>
      <c r="K35" s="1318"/>
      <c r="L35" s="50"/>
      <c r="M35" s="50"/>
      <c r="N35" s="1343"/>
      <c r="O35" s="1333">
        <v>0</v>
      </c>
      <c r="P35" s="616"/>
      <c r="Q35" s="616">
        <v>0</v>
      </c>
      <c r="R35" s="1325"/>
      <c r="S35" s="1318"/>
      <c r="T35" s="50"/>
      <c r="U35" s="50"/>
      <c r="V35" s="1343"/>
      <c r="W35" s="1333">
        <v>0</v>
      </c>
      <c r="X35" s="616"/>
      <c r="Y35" s="616">
        <v>0</v>
      </c>
      <c r="Z35" s="1325"/>
      <c r="AA35" s="1333">
        <v>0</v>
      </c>
      <c r="AB35" s="616"/>
      <c r="AC35" s="616">
        <v>0</v>
      </c>
      <c r="AD35" s="1325"/>
      <c r="AE35" s="1333">
        <v>0</v>
      </c>
      <c r="AF35" s="616"/>
      <c r="AG35" s="616">
        <v>0</v>
      </c>
      <c r="AH35" s="1325"/>
      <c r="AI35" s="1317">
        <v>0</v>
      </c>
      <c r="AJ35" s="616"/>
      <c r="AK35" s="616">
        <v>0</v>
      </c>
      <c r="AL35" s="1343"/>
      <c r="AM35" s="1333">
        <v>0</v>
      </c>
      <c r="AN35" s="616"/>
      <c r="AO35" s="616">
        <v>0</v>
      </c>
      <c r="AP35" s="1325"/>
      <c r="AQ35" s="1317">
        <v>0</v>
      </c>
      <c r="AR35" s="616"/>
      <c r="AS35" s="616">
        <v>0</v>
      </c>
      <c r="AT35" s="50"/>
      <c r="AU35" s="1317">
        <v>0</v>
      </c>
      <c r="AV35" s="616"/>
      <c r="AW35" s="616">
        <v>0</v>
      </c>
      <c r="AX35" s="1343"/>
      <c r="AY35" s="1333">
        <v>0</v>
      </c>
      <c r="AZ35" s="616"/>
      <c r="BA35" s="616">
        <v>0</v>
      </c>
      <c r="BB35" s="1325"/>
      <c r="BC35" s="1317">
        <v>0</v>
      </c>
      <c r="BD35" s="616"/>
      <c r="BE35" s="616">
        <v>0</v>
      </c>
      <c r="BF35" s="50"/>
      <c r="BG35" s="1295"/>
    </row>
    <row r="36" spans="1:59" s="544" customFormat="1" ht="15" customHeight="1">
      <c r="A36" s="55"/>
      <c r="B36" s="57" t="s">
        <v>122</v>
      </c>
      <c r="C36" s="50"/>
      <c r="D36" s="50"/>
      <c r="E36" s="50"/>
      <c r="F36" s="1343"/>
      <c r="G36" s="1334"/>
      <c r="H36" s="50"/>
      <c r="I36" s="50"/>
      <c r="J36" s="1325"/>
      <c r="K36" s="1318"/>
      <c r="L36" s="50"/>
      <c r="M36" s="50"/>
      <c r="N36" s="1343"/>
      <c r="O36" s="1334"/>
      <c r="P36" s="50"/>
      <c r="Q36" s="50"/>
      <c r="R36" s="1325"/>
      <c r="S36" s="1318"/>
      <c r="T36" s="50"/>
      <c r="U36" s="50"/>
      <c r="V36" s="1343"/>
      <c r="W36" s="1334"/>
      <c r="X36" s="50"/>
      <c r="Y36" s="50"/>
      <c r="Z36" s="1325"/>
      <c r="AA36" s="1334"/>
      <c r="AB36" s="50"/>
      <c r="AC36" s="50"/>
      <c r="AD36" s="1325"/>
      <c r="AE36" s="1334"/>
      <c r="AF36" s="50"/>
      <c r="AG36" s="50"/>
      <c r="AH36" s="1325"/>
      <c r="AI36" s="1318"/>
      <c r="AJ36" s="50"/>
      <c r="AK36" s="50"/>
      <c r="AL36" s="1343"/>
      <c r="AM36" s="1334"/>
      <c r="AN36" s="50"/>
      <c r="AO36" s="50"/>
      <c r="AP36" s="1325"/>
      <c r="AQ36" s="1318"/>
      <c r="AR36" s="50"/>
      <c r="AS36" s="50"/>
      <c r="AT36" s="50"/>
      <c r="AU36" s="1318"/>
      <c r="AV36" s="50"/>
      <c r="AW36" s="50"/>
      <c r="AX36" s="1343"/>
      <c r="AY36" s="1334"/>
      <c r="AZ36" s="50"/>
      <c r="BA36" s="50"/>
      <c r="BB36" s="1325"/>
      <c r="BC36" s="1318"/>
      <c r="BD36" s="50"/>
      <c r="BE36" s="50"/>
      <c r="BF36" s="50"/>
      <c r="BG36" s="1295"/>
    </row>
    <row r="37" spans="1:59" s="544" customFormat="1" ht="15" customHeight="1">
      <c r="A37" s="55"/>
      <c r="B37" s="57" t="s">
        <v>123</v>
      </c>
      <c r="C37" s="50"/>
      <c r="D37" s="50"/>
      <c r="E37" s="50"/>
      <c r="F37" s="1343"/>
      <c r="G37" s="1334"/>
      <c r="H37" s="50"/>
      <c r="I37" s="50"/>
      <c r="J37" s="1325"/>
      <c r="K37" s="1318"/>
      <c r="L37" s="50"/>
      <c r="M37" s="50"/>
      <c r="N37" s="1343"/>
      <c r="O37" s="1333">
        <v>0</v>
      </c>
      <c r="P37" s="616"/>
      <c r="Q37" s="616">
        <v>0</v>
      </c>
      <c r="R37" s="1325"/>
      <c r="S37" s="1318"/>
      <c r="T37" s="50"/>
      <c r="U37" s="50"/>
      <c r="V37" s="1343"/>
      <c r="W37" s="1333">
        <v>0</v>
      </c>
      <c r="X37" s="616"/>
      <c r="Y37" s="616">
        <v>0</v>
      </c>
      <c r="Z37" s="1325"/>
      <c r="AA37" s="1333">
        <v>0</v>
      </c>
      <c r="AB37" s="616"/>
      <c r="AC37" s="616">
        <v>0</v>
      </c>
      <c r="AD37" s="1325"/>
      <c r="AE37" s="1333">
        <v>0</v>
      </c>
      <c r="AF37" s="616"/>
      <c r="AG37" s="616">
        <v>0</v>
      </c>
      <c r="AH37" s="1325"/>
      <c r="AI37" s="1317">
        <v>0</v>
      </c>
      <c r="AJ37" s="616"/>
      <c r="AK37" s="616">
        <v>0</v>
      </c>
      <c r="AL37" s="1343"/>
      <c r="AM37" s="1333">
        <v>0</v>
      </c>
      <c r="AN37" s="616"/>
      <c r="AO37" s="616">
        <v>0</v>
      </c>
      <c r="AP37" s="1325"/>
      <c r="AQ37" s="1317">
        <v>0</v>
      </c>
      <c r="AR37" s="616"/>
      <c r="AS37" s="616">
        <v>0</v>
      </c>
      <c r="AT37" s="50"/>
      <c r="AU37" s="1317">
        <v>0</v>
      </c>
      <c r="AV37" s="616"/>
      <c r="AW37" s="616">
        <v>0</v>
      </c>
      <c r="AX37" s="1343"/>
      <c r="AY37" s="1333">
        <v>0</v>
      </c>
      <c r="AZ37" s="616"/>
      <c r="BA37" s="616">
        <v>0</v>
      </c>
      <c r="BB37" s="1325"/>
      <c r="BC37" s="1317">
        <v>0</v>
      </c>
      <c r="BD37" s="616"/>
      <c r="BE37" s="616">
        <v>0</v>
      </c>
      <c r="BF37" s="50"/>
      <c r="BG37" s="1295"/>
    </row>
    <row r="38" spans="1:59" s="544" customFormat="1" ht="15" customHeight="1">
      <c r="A38" s="55"/>
      <c r="B38" s="57" t="s">
        <v>124</v>
      </c>
      <c r="C38" s="50"/>
      <c r="D38" s="50"/>
      <c r="E38" s="50"/>
      <c r="F38" s="1343"/>
      <c r="G38" s="1334"/>
      <c r="H38" s="50"/>
      <c r="I38" s="50"/>
      <c r="J38" s="1325"/>
      <c r="K38" s="1318"/>
      <c r="L38" s="50"/>
      <c r="M38" s="50"/>
      <c r="N38" s="1343"/>
      <c r="O38" s="1334"/>
      <c r="P38" s="50"/>
      <c r="Q38" s="50"/>
      <c r="R38" s="1325"/>
      <c r="S38" s="1318"/>
      <c r="T38" s="50"/>
      <c r="U38" s="50"/>
      <c r="V38" s="1343"/>
      <c r="W38" s="1334"/>
      <c r="X38" s="50"/>
      <c r="Y38" s="50"/>
      <c r="Z38" s="1325"/>
      <c r="AA38" s="1334"/>
      <c r="AB38" s="50"/>
      <c r="AC38" s="50"/>
      <c r="AD38" s="1325"/>
      <c r="AE38" s="1334"/>
      <c r="AF38" s="50"/>
      <c r="AG38" s="50"/>
      <c r="AH38" s="1325"/>
      <c r="AI38" s="1318"/>
      <c r="AJ38" s="50"/>
      <c r="AK38" s="50"/>
      <c r="AL38" s="1343"/>
      <c r="AM38" s="1334"/>
      <c r="AN38" s="50"/>
      <c r="AO38" s="50"/>
      <c r="AP38" s="1325"/>
      <c r="AQ38" s="1318"/>
      <c r="AR38" s="50"/>
      <c r="AS38" s="50"/>
      <c r="AT38" s="50"/>
      <c r="AU38" s="1318"/>
      <c r="AV38" s="50"/>
      <c r="AW38" s="50"/>
      <c r="AX38" s="1343"/>
      <c r="AY38" s="1334"/>
      <c r="AZ38" s="50"/>
      <c r="BA38" s="50"/>
      <c r="BB38" s="1325"/>
      <c r="BC38" s="1318"/>
      <c r="BD38" s="50"/>
      <c r="BE38" s="50"/>
      <c r="BF38" s="50"/>
      <c r="BG38" s="1295"/>
    </row>
    <row r="39" spans="1:59" s="544" customFormat="1" ht="15" customHeight="1">
      <c r="A39" s="55"/>
      <c r="B39" s="57" t="s">
        <v>125</v>
      </c>
      <c r="C39" s="50"/>
      <c r="D39" s="50"/>
      <c r="E39" s="50"/>
      <c r="F39" s="1343"/>
      <c r="G39" s="1334"/>
      <c r="H39" s="50"/>
      <c r="I39" s="50"/>
      <c r="J39" s="1325"/>
      <c r="K39" s="1318"/>
      <c r="L39" s="50"/>
      <c r="M39" s="50"/>
      <c r="N39" s="1343"/>
      <c r="O39" s="1334"/>
      <c r="P39" s="50"/>
      <c r="Q39" s="50"/>
      <c r="R39" s="1325"/>
      <c r="S39" s="1318"/>
      <c r="T39" s="50"/>
      <c r="U39" s="50"/>
      <c r="V39" s="1343"/>
      <c r="W39" s="1334"/>
      <c r="X39" s="50"/>
      <c r="Y39" s="50"/>
      <c r="Z39" s="1325"/>
      <c r="AA39" s="1334"/>
      <c r="AB39" s="50"/>
      <c r="AC39" s="50"/>
      <c r="AD39" s="1325"/>
      <c r="AE39" s="1334"/>
      <c r="AF39" s="50"/>
      <c r="AG39" s="50"/>
      <c r="AH39" s="1325"/>
      <c r="AI39" s="1318"/>
      <c r="AJ39" s="50"/>
      <c r="AK39" s="50"/>
      <c r="AL39" s="1343"/>
      <c r="AM39" s="1334"/>
      <c r="AN39" s="50"/>
      <c r="AO39" s="50"/>
      <c r="AP39" s="1325"/>
      <c r="AQ39" s="1318"/>
      <c r="AR39" s="50"/>
      <c r="AS39" s="50"/>
      <c r="AT39" s="50"/>
      <c r="AU39" s="1318"/>
      <c r="AV39" s="50"/>
      <c r="AW39" s="50"/>
      <c r="AX39" s="1343"/>
      <c r="AY39" s="1334"/>
      <c r="AZ39" s="50"/>
      <c r="BA39" s="50"/>
      <c r="BB39" s="1325"/>
      <c r="BC39" s="1318"/>
      <c r="BD39" s="50"/>
      <c r="BE39" s="50"/>
      <c r="BF39" s="50"/>
      <c r="BG39" s="1295"/>
    </row>
    <row r="40" spans="1:59" s="544" customFormat="1" ht="15" customHeight="1">
      <c r="A40" s="55"/>
      <c r="B40" s="56" t="s">
        <v>126</v>
      </c>
      <c r="C40" s="50"/>
      <c r="D40" s="50"/>
      <c r="E40" s="50"/>
      <c r="F40" s="1343"/>
      <c r="G40" s="1334"/>
      <c r="H40" s="50"/>
      <c r="I40" s="50"/>
      <c r="J40" s="1325"/>
      <c r="K40" s="1318"/>
      <c r="L40" s="50"/>
      <c r="M40" s="50"/>
      <c r="N40" s="1343"/>
      <c r="O40" s="1334"/>
      <c r="P40" s="50"/>
      <c r="Q40" s="50"/>
      <c r="R40" s="1325"/>
      <c r="S40" s="1318"/>
      <c r="T40" s="50"/>
      <c r="U40" s="50"/>
      <c r="V40" s="1343"/>
      <c r="W40" s="1334"/>
      <c r="X40" s="50"/>
      <c r="Y40" s="50"/>
      <c r="Z40" s="1325"/>
      <c r="AA40" s="1334"/>
      <c r="AB40" s="50"/>
      <c r="AC40" s="50"/>
      <c r="AD40" s="1325"/>
      <c r="AE40" s="1334"/>
      <c r="AF40" s="50"/>
      <c r="AG40" s="50"/>
      <c r="AH40" s="1325"/>
      <c r="AI40" s="1318"/>
      <c r="AJ40" s="50"/>
      <c r="AK40" s="50"/>
      <c r="AL40" s="1343"/>
      <c r="AM40" s="1334"/>
      <c r="AN40" s="50"/>
      <c r="AO40" s="50"/>
      <c r="AP40" s="1325"/>
      <c r="AQ40" s="1318"/>
      <c r="AR40" s="50"/>
      <c r="AS40" s="50"/>
      <c r="AT40" s="50"/>
      <c r="AU40" s="1318"/>
      <c r="AV40" s="50"/>
      <c r="AW40" s="50"/>
      <c r="AX40" s="1343"/>
      <c r="AY40" s="1334"/>
      <c r="AZ40" s="50"/>
      <c r="BA40" s="50"/>
      <c r="BB40" s="1325"/>
      <c r="BC40" s="1318"/>
      <c r="BD40" s="50"/>
      <c r="BE40" s="50"/>
      <c r="BF40" s="50"/>
      <c r="BG40" s="1295"/>
    </row>
    <row r="41" spans="1:59" s="544" customFormat="1" ht="15" customHeight="1">
      <c r="A41" s="115"/>
      <c r="B41" s="116" t="s">
        <v>1199</v>
      </c>
      <c r="C41" s="118">
        <f>C42+C46+C51</f>
        <v>40.660000000000004</v>
      </c>
      <c r="D41" s="118">
        <f t="shared" ref="D41:AT41" si="10">D42+D46+D51</f>
        <v>0</v>
      </c>
      <c r="E41" s="118">
        <f t="shared" si="10"/>
        <v>168.774</v>
      </c>
      <c r="F41" s="1340">
        <f t="shared" si="10"/>
        <v>0</v>
      </c>
      <c r="G41" s="1331">
        <f t="shared" si="10"/>
        <v>72.655000000000015</v>
      </c>
      <c r="H41" s="118">
        <f t="shared" si="10"/>
        <v>0</v>
      </c>
      <c r="I41" s="118">
        <f t="shared" si="10"/>
        <v>122.72799999999994</v>
      </c>
      <c r="J41" s="1322">
        <f t="shared" si="10"/>
        <v>0</v>
      </c>
      <c r="K41" s="1315">
        <v>38.317000000000007</v>
      </c>
      <c r="L41" s="118">
        <v>0</v>
      </c>
      <c r="M41" s="118">
        <v>134.63200000000001</v>
      </c>
      <c r="N41" s="1340">
        <v>0</v>
      </c>
      <c r="O41" s="1331">
        <v>58.730999999999995</v>
      </c>
      <c r="P41" s="118">
        <v>0</v>
      </c>
      <c r="Q41" s="118">
        <v>122.51729999999999</v>
      </c>
      <c r="R41" s="1322">
        <v>0</v>
      </c>
      <c r="S41" s="1315">
        <v>72.655000000000015</v>
      </c>
      <c r="T41" s="118">
        <v>0</v>
      </c>
      <c r="U41" s="118">
        <v>121.38000000000009</v>
      </c>
      <c r="V41" s="1340">
        <v>0</v>
      </c>
      <c r="W41" s="1331">
        <v>58.730999999999995</v>
      </c>
      <c r="X41" s="118">
        <v>0</v>
      </c>
      <c r="Y41" s="118">
        <v>120.38390000000001</v>
      </c>
      <c r="Z41" s="1322">
        <v>0</v>
      </c>
      <c r="AA41" s="1331">
        <v>58.730999999999995</v>
      </c>
      <c r="AB41" s="118">
        <v>0</v>
      </c>
      <c r="AC41" s="118">
        <v>121.54300000000001</v>
      </c>
      <c r="AD41" s="1322">
        <v>0</v>
      </c>
      <c r="AE41" s="1331">
        <v>58.730999999999995</v>
      </c>
      <c r="AF41" s="118">
        <v>0</v>
      </c>
      <c r="AG41" s="118">
        <v>117.54170000000001</v>
      </c>
      <c r="AH41" s="1322">
        <v>0</v>
      </c>
      <c r="AI41" s="1315">
        <v>58.730999999999995</v>
      </c>
      <c r="AJ41" s="118">
        <v>0</v>
      </c>
      <c r="AK41" s="118">
        <v>117.55600000000001</v>
      </c>
      <c r="AL41" s="1340">
        <v>0</v>
      </c>
      <c r="AM41" s="1331">
        <v>58.730999999999995</v>
      </c>
      <c r="AN41" s="118">
        <v>0</v>
      </c>
      <c r="AO41" s="118">
        <v>77.088999999999999</v>
      </c>
      <c r="AP41" s="1322">
        <v>0</v>
      </c>
      <c r="AQ41" s="1315">
        <v>58.730999999999995</v>
      </c>
      <c r="AR41" s="118">
        <v>0</v>
      </c>
      <c r="AS41" s="118">
        <v>40.466999999999999</v>
      </c>
      <c r="AT41" s="118">
        <v>0</v>
      </c>
      <c r="AU41" s="1315">
        <v>58.730999999999995</v>
      </c>
      <c r="AV41" s="118">
        <v>0</v>
      </c>
      <c r="AW41" s="118">
        <v>117.55600000000001</v>
      </c>
      <c r="AX41" s="1340">
        <v>0</v>
      </c>
      <c r="AY41" s="1331">
        <v>58.730999999999995</v>
      </c>
      <c r="AZ41" s="118">
        <v>0</v>
      </c>
      <c r="BA41" s="118">
        <v>77.088999999999999</v>
      </c>
      <c r="BB41" s="1322">
        <v>0</v>
      </c>
      <c r="BC41" s="1315">
        <v>58.730999999999995</v>
      </c>
      <c r="BD41" s="118">
        <v>0</v>
      </c>
      <c r="BE41" s="118">
        <v>40.466999999999999</v>
      </c>
      <c r="BF41" s="118">
        <v>0</v>
      </c>
      <c r="BG41" s="1295"/>
    </row>
    <row r="42" spans="1:59" s="108" customFormat="1" ht="15" customHeight="1">
      <c r="A42" s="295"/>
      <c r="B42" s="296" t="s">
        <v>120</v>
      </c>
      <c r="C42" s="297">
        <f>'4.3_КТЭЦ'!C42+'4.3_котельные'!C42</f>
        <v>40.222000000000001</v>
      </c>
      <c r="D42" s="297"/>
      <c r="E42" s="297">
        <f>'4.3_КТЭЦ'!E42+'4.3_котельные'!E42</f>
        <v>166.392</v>
      </c>
      <c r="F42" s="1344"/>
      <c r="G42" s="1335">
        <f>'4.3_КТЭЦ'!G42+'4.3_котельные'!G42</f>
        <v>72.01700000000001</v>
      </c>
      <c r="H42" s="297"/>
      <c r="I42" s="297">
        <f>'4.3_КТЭЦ'!I42+'4.3_котельные'!I42</f>
        <v>118.28499999999994</v>
      </c>
      <c r="J42" s="1326"/>
      <c r="K42" s="1319">
        <v>37.879000000000005</v>
      </c>
      <c r="L42" s="297"/>
      <c r="M42" s="297">
        <v>130.44499999999999</v>
      </c>
      <c r="N42" s="1344"/>
      <c r="O42" s="1335">
        <v>57.735999999999997</v>
      </c>
      <c r="P42" s="297"/>
      <c r="Q42" s="297">
        <v>118.2683</v>
      </c>
      <c r="R42" s="1326"/>
      <c r="S42" s="1319">
        <v>72.01700000000001</v>
      </c>
      <c r="T42" s="297"/>
      <c r="U42" s="297">
        <v>117.2170000000001</v>
      </c>
      <c r="V42" s="1344"/>
      <c r="W42" s="1335">
        <v>57.735999999999997</v>
      </c>
      <c r="X42" s="297"/>
      <c r="Y42" s="297">
        <v>116.96340000000001</v>
      </c>
      <c r="Z42" s="1326"/>
      <c r="AA42" s="1335">
        <v>57.735999999999997</v>
      </c>
      <c r="AB42" s="297"/>
      <c r="AC42" s="297">
        <v>117.71</v>
      </c>
      <c r="AD42" s="1326"/>
      <c r="AE42" s="1335">
        <v>57.735999999999997</v>
      </c>
      <c r="AF42" s="297"/>
      <c r="AG42" s="297">
        <v>113.4457</v>
      </c>
      <c r="AH42" s="1326"/>
      <c r="AI42" s="1319">
        <v>57.735999999999997</v>
      </c>
      <c r="AJ42" s="297"/>
      <c r="AK42" s="297">
        <v>113.46000000000001</v>
      </c>
      <c r="AL42" s="1344"/>
      <c r="AM42" s="1335">
        <v>57.735999999999997</v>
      </c>
      <c r="AN42" s="297"/>
      <c r="AO42" s="297">
        <v>75.153999999999996</v>
      </c>
      <c r="AP42" s="1326"/>
      <c r="AQ42" s="1319">
        <v>57.735999999999997</v>
      </c>
      <c r="AR42" s="297"/>
      <c r="AS42" s="297">
        <v>38.305999999999997</v>
      </c>
      <c r="AT42" s="297"/>
      <c r="AU42" s="1319">
        <v>57.735999999999997</v>
      </c>
      <c r="AV42" s="297"/>
      <c r="AW42" s="297">
        <v>113.46000000000001</v>
      </c>
      <c r="AX42" s="1344"/>
      <c r="AY42" s="1335">
        <v>57.735999999999997</v>
      </c>
      <c r="AZ42" s="297"/>
      <c r="BA42" s="297">
        <v>75.153999999999996</v>
      </c>
      <c r="BB42" s="1326"/>
      <c r="BC42" s="1319">
        <v>57.735999999999997</v>
      </c>
      <c r="BD42" s="297"/>
      <c r="BE42" s="297">
        <v>38.305999999999997</v>
      </c>
      <c r="BF42" s="297"/>
      <c r="BG42" s="1295"/>
    </row>
    <row r="43" spans="1:59" s="294" customFormat="1" ht="15" customHeight="1">
      <c r="A43" s="292"/>
      <c r="B43" s="1281" t="s">
        <v>1697</v>
      </c>
      <c r="C43" s="616"/>
      <c r="D43" s="616"/>
      <c r="E43" s="616"/>
      <c r="F43" s="1345"/>
      <c r="G43" s="1333"/>
      <c r="H43" s="616"/>
      <c r="I43" s="616"/>
      <c r="J43" s="1324"/>
      <c r="K43" s="1317"/>
      <c r="L43" s="616"/>
      <c r="M43" s="616"/>
      <c r="N43" s="1345"/>
      <c r="O43" s="1333">
        <v>1.2949999999999999</v>
      </c>
      <c r="P43" s="616"/>
      <c r="Q43" s="616">
        <v>3.2167489999999996</v>
      </c>
      <c r="R43" s="1324"/>
      <c r="S43" s="1317"/>
      <c r="T43" s="616"/>
      <c r="U43" s="616"/>
      <c r="V43" s="1345"/>
      <c r="W43" s="1333">
        <v>1.2949999999999999</v>
      </c>
      <c r="X43" s="616"/>
      <c r="Y43" s="616">
        <v>3.5907</v>
      </c>
      <c r="Z43" s="1324"/>
      <c r="AA43" s="1333">
        <v>1.2949999999999999</v>
      </c>
      <c r="AB43" s="616"/>
      <c r="AC43" s="616">
        <v>3.4359999999999999</v>
      </c>
      <c r="AD43" s="1324"/>
      <c r="AE43" s="1333">
        <v>1.2949999999999999</v>
      </c>
      <c r="AF43" s="616"/>
      <c r="AG43" s="616">
        <v>3.46</v>
      </c>
      <c r="AH43" s="1324"/>
      <c r="AI43" s="1317">
        <v>1.2949999999999999</v>
      </c>
      <c r="AJ43" s="616"/>
      <c r="AK43" s="616">
        <v>3.46</v>
      </c>
      <c r="AL43" s="1345"/>
      <c r="AM43" s="1333">
        <v>1.2949999999999999</v>
      </c>
      <c r="AN43" s="616"/>
      <c r="AO43" s="616">
        <v>2.5099999999999998</v>
      </c>
      <c r="AP43" s="1324"/>
      <c r="AQ43" s="1317">
        <v>1.2949999999999999</v>
      </c>
      <c r="AR43" s="616"/>
      <c r="AS43" s="616">
        <v>0.95</v>
      </c>
      <c r="AT43" s="616"/>
      <c r="AU43" s="1317">
        <v>1.2949999999999999</v>
      </c>
      <c r="AV43" s="616"/>
      <c r="AW43" s="616">
        <v>3.46</v>
      </c>
      <c r="AX43" s="1345"/>
      <c r="AY43" s="1333">
        <v>1.2949999999999999</v>
      </c>
      <c r="AZ43" s="616"/>
      <c r="BA43" s="616">
        <v>2.5099999999999998</v>
      </c>
      <c r="BB43" s="1324"/>
      <c r="BC43" s="1317">
        <v>1.2949999999999999</v>
      </c>
      <c r="BD43" s="616"/>
      <c r="BE43" s="616">
        <v>0.95</v>
      </c>
      <c r="BF43" s="616"/>
      <c r="BG43" s="1295"/>
    </row>
    <row r="44" spans="1:59" s="294" customFormat="1" ht="15" customHeight="1">
      <c r="A44" s="292"/>
      <c r="B44" s="1281" t="s">
        <v>1512</v>
      </c>
      <c r="C44" s="616"/>
      <c r="D44" s="616"/>
      <c r="E44" s="616"/>
      <c r="F44" s="1345"/>
      <c r="G44" s="1333"/>
      <c r="H44" s="616"/>
      <c r="I44" s="616"/>
      <c r="J44" s="1324"/>
      <c r="K44" s="1317"/>
      <c r="L44" s="616"/>
      <c r="M44" s="616"/>
      <c r="N44" s="1345"/>
      <c r="O44" s="1333">
        <v>17.260000000000002</v>
      </c>
      <c r="P44" s="616"/>
      <c r="Q44" s="616">
        <v>31.53637715</v>
      </c>
      <c r="R44" s="1324"/>
      <c r="S44" s="1317"/>
      <c r="T44" s="616"/>
      <c r="U44" s="616"/>
      <c r="V44" s="1345"/>
      <c r="W44" s="1333">
        <v>17.260000000000002</v>
      </c>
      <c r="X44" s="616"/>
      <c r="Y44" s="616">
        <v>32.758000000000003</v>
      </c>
      <c r="Z44" s="1324"/>
      <c r="AA44" s="1333">
        <v>17.260000000000002</v>
      </c>
      <c r="AB44" s="616"/>
      <c r="AC44" s="616">
        <v>31.53637715</v>
      </c>
      <c r="AD44" s="1324"/>
      <c r="AE44" s="1333">
        <v>17.260000000000002</v>
      </c>
      <c r="AF44" s="616"/>
      <c r="AG44" s="616">
        <v>29.801099999999998</v>
      </c>
      <c r="AH44" s="1324"/>
      <c r="AI44" s="1317">
        <v>17.260000000000002</v>
      </c>
      <c r="AJ44" s="616"/>
      <c r="AK44" s="616">
        <v>29.801000000000002</v>
      </c>
      <c r="AL44" s="1345"/>
      <c r="AM44" s="1333">
        <v>17.260000000000002</v>
      </c>
      <c r="AN44" s="616"/>
      <c r="AO44" s="616">
        <v>19.359000000000002</v>
      </c>
      <c r="AP44" s="1324"/>
      <c r="AQ44" s="1317">
        <v>17.260000000000002</v>
      </c>
      <c r="AR44" s="616"/>
      <c r="AS44" s="616">
        <v>10.442</v>
      </c>
      <c r="AT44" s="616"/>
      <c r="AU44" s="1317">
        <v>17.260000000000002</v>
      </c>
      <c r="AV44" s="616"/>
      <c r="AW44" s="616">
        <v>29.801000000000002</v>
      </c>
      <c r="AX44" s="1345"/>
      <c r="AY44" s="1333">
        <v>17.260000000000002</v>
      </c>
      <c r="AZ44" s="616"/>
      <c r="BA44" s="616">
        <v>19.359000000000002</v>
      </c>
      <c r="BB44" s="1324"/>
      <c r="BC44" s="1317">
        <v>17.260000000000002</v>
      </c>
      <c r="BD44" s="616"/>
      <c r="BE44" s="616">
        <v>10.442</v>
      </c>
      <c r="BF44" s="616"/>
      <c r="BG44" s="1295"/>
    </row>
    <row r="45" spans="1:59" s="294" customFormat="1" ht="15" customHeight="1">
      <c r="A45" s="292"/>
      <c r="B45" s="1281" t="s">
        <v>1513</v>
      </c>
      <c r="C45" s="616"/>
      <c r="D45" s="616"/>
      <c r="E45" s="616"/>
      <c r="F45" s="1345"/>
      <c r="G45" s="1333"/>
      <c r="H45" s="616"/>
      <c r="I45" s="616"/>
      <c r="J45" s="1324"/>
      <c r="K45" s="1317"/>
      <c r="L45" s="616"/>
      <c r="M45" s="616"/>
      <c r="N45" s="1345"/>
      <c r="O45" s="1333">
        <v>39.180999999999997</v>
      </c>
      <c r="P45" s="616"/>
      <c r="Q45" s="616">
        <v>83.515173850000011</v>
      </c>
      <c r="R45" s="1324"/>
      <c r="S45" s="1317"/>
      <c r="T45" s="616"/>
      <c r="U45" s="616"/>
      <c r="V45" s="1345"/>
      <c r="W45" s="1333">
        <v>39.180999999999997</v>
      </c>
      <c r="X45" s="616"/>
      <c r="Y45" s="616">
        <v>80.614699999999999</v>
      </c>
      <c r="Z45" s="1324"/>
      <c r="AA45" s="1333">
        <v>39.180999999999997</v>
      </c>
      <c r="AB45" s="616"/>
      <c r="AC45" s="616">
        <v>82.738173849999995</v>
      </c>
      <c r="AD45" s="1324"/>
      <c r="AE45" s="1333">
        <v>39.180999999999997</v>
      </c>
      <c r="AF45" s="616"/>
      <c r="AG45" s="616">
        <v>80.184600000000003</v>
      </c>
      <c r="AH45" s="1324"/>
      <c r="AI45" s="1317">
        <v>39.180999999999997</v>
      </c>
      <c r="AJ45" s="616"/>
      <c r="AK45" s="616">
        <v>80.198999999999998</v>
      </c>
      <c r="AL45" s="1345"/>
      <c r="AM45" s="1333">
        <v>39.180999999999997</v>
      </c>
      <c r="AN45" s="616"/>
      <c r="AO45" s="616">
        <v>53.284999999999997</v>
      </c>
      <c r="AP45" s="1324"/>
      <c r="AQ45" s="1317">
        <v>39.180999999999997</v>
      </c>
      <c r="AR45" s="616"/>
      <c r="AS45" s="616">
        <v>26.914000000000001</v>
      </c>
      <c r="AT45" s="616"/>
      <c r="AU45" s="1317">
        <v>39.180999999999997</v>
      </c>
      <c r="AV45" s="616"/>
      <c r="AW45" s="616">
        <v>80.198999999999998</v>
      </c>
      <c r="AX45" s="1345"/>
      <c r="AY45" s="1333">
        <v>39.180999999999997</v>
      </c>
      <c r="AZ45" s="616"/>
      <c r="BA45" s="616">
        <v>53.284999999999997</v>
      </c>
      <c r="BB45" s="1324"/>
      <c r="BC45" s="1317">
        <v>39.180999999999997</v>
      </c>
      <c r="BD45" s="616"/>
      <c r="BE45" s="616">
        <v>26.914000000000001</v>
      </c>
      <c r="BF45" s="616"/>
      <c r="BG45" s="1295"/>
    </row>
    <row r="46" spans="1:59" s="544" customFormat="1" ht="15" customHeight="1">
      <c r="A46" s="295"/>
      <c r="B46" s="296" t="s">
        <v>121</v>
      </c>
      <c r="C46" s="89">
        <f>C48</f>
        <v>0.438</v>
      </c>
      <c r="D46" s="89"/>
      <c r="E46" s="89">
        <f>E48</f>
        <v>2.3820000000000001</v>
      </c>
      <c r="F46" s="1346"/>
      <c r="G46" s="1349">
        <f>G48</f>
        <v>0.63800000000000001</v>
      </c>
      <c r="H46" s="89"/>
      <c r="I46" s="89">
        <f>I48</f>
        <v>4.4429999999999996</v>
      </c>
      <c r="J46" s="1327"/>
      <c r="K46" s="1336">
        <v>0.438</v>
      </c>
      <c r="L46" s="89"/>
      <c r="M46" s="89">
        <v>4.1870000000000003</v>
      </c>
      <c r="N46" s="1346"/>
      <c r="O46" s="1335">
        <v>0.99500000000000011</v>
      </c>
      <c r="P46" s="297"/>
      <c r="Q46" s="297">
        <v>4.2489999999999997</v>
      </c>
      <c r="R46" s="1326"/>
      <c r="S46" s="1319">
        <v>0.63800000000000001</v>
      </c>
      <c r="T46" s="297"/>
      <c r="U46" s="297">
        <v>4.163000000000002</v>
      </c>
      <c r="V46" s="1344"/>
      <c r="W46" s="1335">
        <v>0.99500000000000011</v>
      </c>
      <c r="X46" s="297"/>
      <c r="Y46" s="297">
        <v>3.4205000000000001</v>
      </c>
      <c r="Z46" s="1326"/>
      <c r="AA46" s="1335">
        <v>0.99500000000000011</v>
      </c>
      <c r="AB46" s="297"/>
      <c r="AC46" s="297">
        <v>3.8073147061196608</v>
      </c>
      <c r="AD46" s="1326"/>
      <c r="AE46" s="1335">
        <v>0.99500000000000011</v>
      </c>
      <c r="AF46" s="297"/>
      <c r="AG46" s="297">
        <v>4.0960000000000001</v>
      </c>
      <c r="AH46" s="1326"/>
      <c r="AI46" s="1319">
        <v>0.99500000000000011</v>
      </c>
      <c r="AJ46" s="297"/>
      <c r="AK46" s="297">
        <v>4.0960000000000001</v>
      </c>
      <c r="AL46" s="1344"/>
      <c r="AM46" s="1335">
        <v>0.99500000000000011</v>
      </c>
      <c r="AN46" s="297"/>
      <c r="AO46" s="297">
        <v>1.9350000000000001</v>
      </c>
      <c r="AP46" s="1326"/>
      <c r="AQ46" s="1319">
        <v>0.99500000000000011</v>
      </c>
      <c r="AR46" s="297"/>
      <c r="AS46" s="297">
        <v>2.161</v>
      </c>
      <c r="AT46" s="297"/>
      <c r="AU46" s="1319">
        <v>0.99500000000000011</v>
      </c>
      <c r="AV46" s="297"/>
      <c r="AW46" s="297">
        <v>4.0960000000000001</v>
      </c>
      <c r="AX46" s="1344"/>
      <c r="AY46" s="1335">
        <v>0.99500000000000011</v>
      </c>
      <c r="AZ46" s="297"/>
      <c r="BA46" s="297">
        <v>1.9350000000000001</v>
      </c>
      <c r="BB46" s="1326"/>
      <c r="BC46" s="1319">
        <v>0.99500000000000011</v>
      </c>
      <c r="BD46" s="297"/>
      <c r="BE46" s="297">
        <v>2.161</v>
      </c>
      <c r="BF46" s="297"/>
      <c r="BG46" s="1295"/>
    </row>
    <row r="47" spans="1:59" s="544" customFormat="1" ht="15" customHeight="1">
      <c r="A47" s="55"/>
      <c r="B47" s="57" t="s">
        <v>122</v>
      </c>
      <c r="C47" s="50"/>
      <c r="D47" s="50"/>
      <c r="E47" s="50"/>
      <c r="F47" s="1343"/>
      <c r="G47" s="1334"/>
      <c r="H47" s="50"/>
      <c r="I47" s="50"/>
      <c r="J47" s="1325"/>
      <c r="K47" s="1318"/>
      <c r="L47" s="50"/>
      <c r="M47" s="50"/>
      <c r="N47" s="1343"/>
      <c r="O47" s="1334"/>
      <c r="P47" s="50"/>
      <c r="Q47" s="50"/>
      <c r="R47" s="1325"/>
      <c r="S47" s="1318"/>
      <c r="T47" s="50"/>
      <c r="U47" s="50"/>
      <c r="V47" s="1343"/>
      <c r="W47" s="1334"/>
      <c r="X47" s="50"/>
      <c r="Y47" s="50"/>
      <c r="Z47" s="1325"/>
      <c r="AA47" s="1334"/>
      <c r="AB47" s="50"/>
      <c r="AC47" s="50"/>
      <c r="AD47" s="1325"/>
      <c r="AE47" s="1334"/>
      <c r="AF47" s="50"/>
      <c r="AG47" s="50"/>
      <c r="AH47" s="1325"/>
      <c r="AI47" s="1318"/>
      <c r="AJ47" s="50"/>
      <c r="AK47" s="50"/>
      <c r="AL47" s="1343"/>
      <c r="AM47" s="1334"/>
      <c r="AN47" s="50"/>
      <c r="AO47" s="50"/>
      <c r="AP47" s="1325"/>
      <c r="AQ47" s="1318"/>
      <c r="AR47" s="50"/>
      <c r="AS47" s="50"/>
      <c r="AT47" s="50"/>
      <c r="AU47" s="1318"/>
      <c r="AV47" s="50"/>
      <c r="AW47" s="50"/>
      <c r="AX47" s="1343"/>
      <c r="AY47" s="1334"/>
      <c r="AZ47" s="50"/>
      <c r="BA47" s="50"/>
      <c r="BB47" s="1325"/>
      <c r="BC47" s="1318"/>
      <c r="BD47" s="50"/>
      <c r="BE47" s="50"/>
      <c r="BF47" s="50"/>
      <c r="BG47" s="1295"/>
    </row>
    <row r="48" spans="1:59" s="544" customFormat="1" ht="15" customHeight="1">
      <c r="A48" s="55"/>
      <c r="B48" s="57" t="s">
        <v>123</v>
      </c>
      <c r="C48" s="616">
        <f>'4.3_КТЭЦ'!C48+'4.3_котельные'!C48</f>
        <v>0.438</v>
      </c>
      <c r="D48" s="616"/>
      <c r="E48" s="616">
        <f>'4.3_КТЭЦ'!E48+'4.3_котельные'!E48</f>
        <v>2.3820000000000001</v>
      </c>
      <c r="F48" s="1343"/>
      <c r="G48" s="1333">
        <f>'4.3_КТЭЦ'!G48+'4.3_котельные'!G48</f>
        <v>0.63800000000000001</v>
      </c>
      <c r="H48" s="616"/>
      <c r="I48" s="616">
        <f>'4.3_КТЭЦ'!I48+'4.3_котельные'!I48</f>
        <v>4.4429999999999996</v>
      </c>
      <c r="J48" s="1325"/>
      <c r="K48" s="1317">
        <v>0.438</v>
      </c>
      <c r="L48" s="616"/>
      <c r="M48" s="616">
        <v>4.1870000000000003</v>
      </c>
      <c r="N48" s="1343"/>
      <c r="O48" s="1333">
        <v>0.99500000000000011</v>
      </c>
      <c r="P48" s="616"/>
      <c r="Q48" s="616">
        <v>4.2489999999999997</v>
      </c>
      <c r="R48" s="1325"/>
      <c r="S48" s="1317">
        <v>0.63800000000000001</v>
      </c>
      <c r="T48" s="616"/>
      <c r="U48" s="616">
        <v>4.163000000000002</v>
      </c>
      <c r="V48" s="1343"/>
      <c r="W48" s="1333">
        <v>0.99500000000000011</v>
      </c>
      <c r="X48" s="616"/>
      <c r="Y48" s="616">
        <v>3.4205000000000001</v>
      </c>
      <c r="Z48" s="1325"/>
      <c r="AA48" s="1333">
        <v>0.99500000000000011</v>
      </c>
      <c r="AB48" s="616"/>
      <c r="AC48" s="616">
        <v>3.8073147061196608</v>
      </c>
      <c r="AD48" s="1325"/>
      <c r="AE48" s="1333">
        <v>0.99500000000000011</v>
      </c>
      <c r="AF48" s="616"/>
      <c r="AG48" s="616">
        <v>4.0960000000000001</v>
      </c>
      <c r="AH48" s="1325"/>
      <c r="AI48" s="1317">
        <v>0.99500000000000011</v>
      </c>
      <c r="AJ48" s="616"/>
      <c r="AK48" s="616">
        <v>4.0960000000000001</v>
      </c>
      <c r="AL48" s="1343"/>
      <c r="AM48" s="1333">
        <v>0.99500000000000011</v>
      </c>
      <c r="AN48" s="616"/>
      <c r="AO48" s="616">
        <v>1.9350000000000001</v>
      </c>
      <c r="AP48" s="1325"/>
      <c r="AQ48" s="1317">
        <v>0.99500000000000011</v>
      </c>
      <c r="AR48" s="616"/>
      <c r="AS48" s="616">
        <v>2.161</v>
      </c>
      <c r="AT48" s="50"/>
      <c r="AU48" s="1317">
        <v>0.99500000000000011</v>
      </c>
      <c r="AV48" s="616"/>
      <c r="AW48" s="616">
        <v>4.0960000000000001</v>
      </c>
      <c r="AX48" s="1343"/>
      <c r="AY48" s="1333">
        <v>0.99500000000000011</v>
      </c>
      <c r="AZ48" s="616"/>
      <c r="BA48" s="616">
        <v>1.9350000000000001</v>
      </c>
      <c r="BB48" s="1325"/>
      <c r="BC48" s="1317">
        <v>0.99500000000000011</v>
      </c>
      <c r="BD48" s="616"/>
      <c r="BE48" s="616">
        <v>2.161</v>
      </c>
      <c r="BF48" s="50"/>
      <c r="BG48" s="1295"/>
    </row>
    <row r="49" spans="1:58" s="544" customFormat="1" ht="15" customHeight="1">
      <c r="A49" s="55"/>
      <c r="B49" s="57" t="s">
        <v>124</v>
      </c>
      <c r="C49" s="50"/>
      <c r="D49" s="50"/>
      <c r="E49" s="50"/>
      <c r="F49" s="1343"/>
      <c r="G49" s="1334"/>
      <c r="H49" s="50"/>
      <c r="I49" s="50"/>
      <c r="J49" s="1325"/>
      <c r="K49" s="1318"/>
      <c r="L49" s="50"/>
      <c r="M49" s="50"/>
      <c r="N49" s="1343"/>
      <c r="O49" s="1334"/>
      <c r="P49" s="50"/>
      <c r="Q49" s="50"/>
      <c r="R49" s="1325"/>
      <c r="S49" s="1318"/>
      <c r="T49" s="50"/>
      <c r="U49" s="50"/>
      <c r="V49" s="1343"/>
      <c r="W49" s="1334"/>
      <c r="X49" s="50"/>
      <c r="Y49" s="50"/>
      <c r="Z49" s="1325"/>
      <c r="AA49" s="1334"/>
      <c r="AB49" s="50"/>
      <c r="AC49" s="50"/>
      <c r="AD49" s="1325"/>
      <c r="AE49" s="1334"/>
      <c r="AF49" s="50"/>
      <c r="AG49" s="50"/>
      <c r="AH49" s="1325"/>
      <c r="AI49" s="1318"/>
      <c r="AJ49" s="50"/>
      <c r="AK49" s="50"/>
      <c r="AL49" s="1343"/>
      <c r="AM49" s="1334"/>
      <c r="AN49" s="50"/>
      <c r="AO49" s="50"/>
      <c r="AP49" s="1325"/>
      <c r="AQ49" s="1318"/>
      <c r="AR49" s="50"/>
      <c r="AS49" s="50"/>
      <c r="AT49" s="50"/>
      <c r="AU49" s="1318"/>
      <c r="AV49" s="50"/>
      <c r="AW49" s="50"/>
      <c r="AX49" s="1343"/>
      <c r="AY49" s="1334"/>
      <c r="AZ49" s="50"/>
      <c r="BA49" s="50"/>
      <c r="BB49" s="1325"/>
      <c r="BC49" s="1318"/>
      <c r="BD49" s="50"/>
      <c r="BE49" s="50"/>
      <c r="BF49" s="50"/>
    </row>
    <row r="50" spans="1:58" s="544" customFormat="1" ht="15" customHeight="1">
      <c r="A50" s="55"/>
      <c r="B50" s="57" t="s">
        <v>125</v>
      </c>
      <c r="C50" s="50"/>
      <c r="D50" s="50"/>
      <c r="E50" s="50"/>
      <c r="F50" s="1343"/>
      <c r="G50" s="1334"/>
      <c r="H50" s="50"/>
      <c r="I50" s="50"/>
      <c r="J50" s="1325"/>
      <c r="K50" s="1318"/>
      <c r="L50" s="50"/>
      <c r="M50" s="50"/>
      <c r="N50" s="1343"/>
      <c r="O50" s="1334"/>
      <c r="P50" s="50"/>
      <c r="Q50" s="50"/>
      <c r="R50" s="1325"/>
      <c r="S50" s="1318"/>
      <c r="T50" s="50"/>
      <c r="U50" s="50"/>
      <c r="V50" s="1343"/>
      <c r="W50" s="1334"/>
      <c r="X50" s="50"/>
      <c r="Y50" s="50"/>
      <c r="Z50" s="1325"/>
      <c r="AA50" s="1334"/>
      <c r="AB50" s="50"/>
      <c r="AC50" s="50"/>
      <c r="AD50" s="1325"/>
      <c r="AE50" s="1334"/>
      <c r="AF50" s="50"/>
      <c r="AG50" s="50"/>
      <c r="AH50" s="1325"/>
      <c r="AI50" s="1318"/>
      <c r="AJ50" s="50"/>
      <c r="AK50" s="50"/>
      <c r="AL50" s="1343"/>
      <c r="AM50" s="1334"/>
      <c r="AN50" s="50"/>
      <c r="AO50" s="50"/>
      <c r="AP50" s="1325"/>
      <c r="AQ50" s="1318"/>
      <c r="AR50" s="50"/>
      <c r="AS50" s="50"/>
      <c r="AT50" s="50"/>
      <c r="AU50" s="1318"/>
      <c r="AV50" s="50"/>
      <c r="AW50" s="50"/>
      <c r="AX50" s="1343"/>
      <c r="AY50" s="1334"/>
      <c r="AZ50" s="50"/>
      <c r="BA50" s="50"/>
      <c r="BB50" s="1325"/>
      <c r="BC50" s="1318"/>
      <c r="BD50" s="50"/>
      <c r="BE50" s="50"/>
      <c r="BF50" s="50"/>
    </row>
    <row r="51" spans="1:58" s="544" customFormat="1" ht="15" customHeight="1">
      <c r="A51" s="55"/>
      <c r="B51" s="56" t="s">
        <v>126</v>
      </c>
      <c r="C51" s="50"/>
      <c r="D51" s="50"/>
      <c r="E51" s="50"/>
      <c r="F51" s="1343"/>
      <c r="G51" s="1334"/>
      <c r="H51" s="50"/>
      <c r="I51" s="50"/>
      <c r="J51" s="1325"/>
      <c r="K51" s="1318"/>
      <c r="L51" s="50"/>
      <c r="M51" s="50"/>
      <c r="N51" s="1343"/>
      <c r="O51" s="1334"/>
      <c r="P51" s="50"/>
      <c r="Q51" s="50"/>
      <c r="R51" s="1325"/>
      <c r="S51" s="1318"/>
      <c r="T51" s="50"/>
      <c r="U51" s="50"/>
      <c r="V51" s="1343"/>
      <c r="W51" s="1334"/>
      <c r="X51" s="50"/>
      <c r="Y51" s="50"/>
      <c r="Z51" s="1325"/>
      <c r="AA51" s="1334"/>
      <c r="AB51" s="50"/>
      <c r="AC51" s="50"/>
      <c r="AD51" s="1325"/>
      <c r="AE51" s="1334"/>
      <c r="AF51" s="50"/>
      <c r="AG51" s="50"/>
      <c r="AH51" s="1325"/>
      <c r="AI51" s="1318"/>
      <c r="AJ51" s="50"/>
      <c r="AK51" s="50"/>
      <c r="AL51" s="1343"/>
      <c r="AM51" s="1334"/>
      <c r="AN51" s="50"/>
      <c r="AO51" s="50"/>
      <c r="AP51" s="1325"/>
      <c r="AQ51" s="1318"/>
      <c r="AR51" s="50"/>
      <c r="AS51" s="50"/>
      <c r="AT51" s="50"/>
      <c r="AU51" s="1318"/>
      <c r="AV51" s="50"/>
      <c r="AW51" s="50"/>
      <c r="AX51" s="1343"/>
      <c r="AY51" s="1334"/>
      <c r="AZ51" s="50"/>
      <c r="BA51" s="50"/>
      <c r="BB51" s="1325"/>
      <c r="BC51" s="1318"/>
      <c r="BD51" s="50"/>
      <c r="BE51" s="50"/>
      <c r="BF51" s="50"/>
    </row>
    <row r="52" spans="1:58" ht="16.5" customHeight="1"/>
    <row r="53" spans="1:58" ht="13.5" customHeight="1">
      <c r="A53" s="26" t="s">
        <v>88</v>
      </c>
    </row>
    <row r="54" spans="1:58" s="544" customFormat="1" ht="29.25" customHeight="1">
      <c r="A54" s="45" t="s">
        <v>89</v>
      </c>
      <c r="B54" s="1842" t="s">
        <v>128</v>
      </c>
      <c r="C54" s="1842"/>
      <c r="D54" s="1842"/>
      <c r="E54" s="1842"/>
      <c r="F54" s="1842"/>
      <c r="G54" s="1842"/>
      <c r="H54" s="1842"/>
      <c r="I54" s="1842"/>
      <c r="J54" s="1842"/>
      <c r="K54" s="1842"/>
      <c r="L54" s="1842"/>
      <c r="M54" s="1842"/>
      <c r="N54" s="1842"/>
      <c r="O54" s="1842"/>
      <c r="P54" s="1842"/>
      <c r="Q54" s="1842"/>
      <c r="R54" s="1842"/>
      <c r="S54" s="1842"/>
      <c r="T54" s="1842"/>
      <c r="U54" s="1842"/>
      <c r="V54" s="1842"/>
      <c r="W54" s="1842"/>
      <c r="X54" s="1842"/>
      <c r="Y54" s="1842"/>
      <c r="Z54" s="1842"/>
      <c r="AA54" s="1842"/>
      <c r="AB54" s="1842"/>
      <c r="AC54" s="1842"/>
      <c r="AD54" s="1842"/>
      <c r="AE54" s="1842"/>
      <c r="AF54" s="1842"/>
      <c r="AG54" s="1842"/>
      <c r="AH54" s="1842"/>
      <c r="AI54" s="1842"/>
      <c r="AJ54" s="1842"/>
      <c r="AK54" s="1842"/>
      <c r="AL54" s="1842"/>
      <c r="AU54" s="1628"/>
      <c r="AV54" s="1628"/>
      <c r="AW54" s="1628"/>
      <c r="AX54" s="1628"/>
      <c r="AY54" s="1628"/>
      <c r="AZ54" s="1628"/>
      <c r="BA54" s="1628"/>
      <c r="BB54" s="1628"/>
      <c r="BC54" s="1628"/>
      <c r="BD54" s="1628"/>
      <c r="BE54" s="1628"/>
      <c r="BF54" s="1628"/>
    </row>
    <row r="55" spans="1:58" s="544" customFormat="1" ht="15">
      <c r="A55" s="45" t="s">
        <v>91</v>
      </c>
      <c r="B55" s="544" t="s">
        <v>129</v>
      </c>
      <c r="S55" s="1275"/>
      <c r="T55" s="1275"/>
      <c r="U55" s="1275"/>
      <c r="V55" s="1275"/>
      <c r="W55" s="1275"/>
      <c r="X55" s="1275"/>
      <c r="Y55" s="1275"/>
      <c r="Z55" s="1275"/>
      <c r="AA55" s="1579"/>
      <c r="AB55" s="1579"/>
      <c r="AC55" s="1579"/>
      <c r="AD55" s="1579"/>
      <c r="AE55" s="1579"/>
      <c r="AF55" s="1579"/>
      <c r="AG55" s="1579"/>
      <c r="AH55" s="1579"/>
      <c r="AU55" s="1628"/>
      <c r="AV55" s="1628"/>
      <c r="AW55" s="1628"/>
      <c r="AX55" s="1628"/>
      <c r="AY55" s="1628"/>
      <c r="AZ55" s="1628"/>
      <c r="BA55" s="1628"/>
      <c r="BB55" s="1628"/>
      <c r="BC55" s="1628"/>
      <c r="BD55" s="1628"/>
      <c r="BE55" s="1628"/>
      <c r="BF55" s="1628"/>
    </row>
  </sheetData>
  <mergeCells count="17">
    <mergeCell ref="AU5:AX5"/>
    <mergeCell ref="AY5:BB5"/>
    <mergeCell ref="BC5:BF5"/>
    <mergeCell ref="AM5:AP5"/>
    <mergeCell ref="AQ5:AT5"/>
    <mergeCell ref="B54:AL54"/>
    <mergeCell ref="A5:A6"/>
    <mergeCell ref="B5:B6"/>
    <mergeCell ref="C5:F5"/>
    <mergeCell ref="G5:J5"/>
    <mergeCell ref="K5:N5"/>
    <mergeCell ref="O5:R5"/>
    <mergeCell ref="AI5:AL5"/>
    <mergeCell ref="S5:V5"/>
    <mergeCell ref="W5:Z5"/>
    <mergeCell ref="AA5:AD5"/>
    <mergeCell ref="AE5:AH5"/>
  </mergeCells>
  <pageMargins left="0.78740157480314965" right="0.23622047244094491" top="0.78740157480314965" bottom="0.39370078740157483" header="0.19685039370078741" footer="0.19685039370078741"/>
  <pageSetup paperSize="9" scale="47" orientation="landscape" r:id="rId1"/>
  <headerFooter alignWithMargins="0"/>
  <rowBreaks count="1" manualBreakCount="1">
    <brk id="51" max="29" man="1"/>
  </rowBreaks>
  <colBreaks count="2" manualBreakCount="2">
    <brk id="26" max="50" man="1"/>
    <brk id="46" max="50" man="1"/>
  </colBreaks>
  <legacy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EW29"/>
  <sheetViews>
    <sheetView view="pageBreakPreview" zoomScaleNormal="100" workbookViewId="0">
      <pane ySplit="8" topLeftCell="A9" activePane="bottomLeft" state="frozen"/>
      <selection activeCell="C6" sqref="C6:H6"/>
      <selection pane="bottomLeft" activeCell="L19" sqref="L19"/>
    </sheetView>
  </sheetViews>
  <sheetFormatPr defaultColWidth="2.7109375" defaultRowHeight="15"/>
  <cols>
    <col min="1" max="1" width="6.5703125" style="1" customWidth="1"/>
    <col min="2" max="2" width="49" style="1" customWidth="1"/>
    <col min="3" max="8" width="13.7109375" style="1" customWidth="1"/>
    <col min="9" max="60" width="8.28515625" style="1" customWidth="1"/>
    <col min="61" max="16384" width="2.7109375" style="1"/>
  </cols>
  <sheetData>
    <row r="1" spans="1:9" s="5" customFormat="1" ht="18" customHeight="1">
      <c r="A1" s="74" t="s">
        <v>1860</v>
      </c>
      <c r="H1" s="6" t="s">
        <v>1351</v>
      </c>
    </row>
    <row r="2" spans="1:9" ht="12.75" customHeight="1">
      <c r="A2" s="1139" t="s">
        <v>1678</v>
      </c>
    </row>
    <row r="3" spans="1:9" ht="29.25" customHeight="1">
      <c r="A3" s="1980" t="s">
        <v>1352</v>
      </c>
      <c r="B3" s="1980"/>
      <c r="C3" s="1980"/>
      <c r="D3" s="1980"/>
      <c r="E3" s="1980"/>
      <c r="F3" s="1980"/>
      <c r="G3" s="1980"/>
      <c r="H3" s="1980"/>
    </row>
    <row r="4" spans="1:9" ht="12.75" customHeight="1">
      <c r="B4" s="769"/>
      <c r="C4" s="769"/>
      <c r="D4" s="769"/>
      <c r="E4" s="769"/>
      <c r="F4" s="769"/>
      <c r="G4" s="769"/>
      <c r="H4" s="769"/>
    </row>
    <row r="5" spans="1:9" ht="14.25" customHeight="1">
      <c r="A5" s="812" t="s">
        <v>1330</v>
      </c>
      <c r="H5" s="23" t="s">
        <v>360</v>
      </c>
    </row>
    <row r="6" spans="1:9" s="3" customFormat="1" ht="15" customHeight="1">
      <c r="A6" s="1858" t="s">
        <v>0</v>
      </c>
      <c r="B6" s="1858" t="s">
        <v>1293</v>
      </c>
      <c r="C6" s="1981" t="s">
        <v>1336</v>
      </c>
      <c r="D6" s="1983"/>
      <c r="E6" s="1981" t="s">
        <v>1337</v>
      </c>
      <c r="F6" s="1983"/>
      <c r="G6" s="1981" t="s">
        <v>1715</v>
      </c>
      <c r="H6" s="1983"/>
    </row>
    <row r="7" spans="1:9" s="3" customFormat="1" ht="105">
      <c r="A7" s="1971"/>
      <c r="B7" s="1971"/>
      <c r="C7" s="822" t="s">
        <v>1353</v>
      </c>
      <c r="D7" s="822" t="s">
        <v>1354</v>
      </c>
      <c r="E7" s="822" t="s">
        <v>1353</v>
      </c>
      <c r="F7" s="822" t="s">
        <v>1354</v>
      </c>
      <c r="G7" s="822" t="s">
        <v>1353</v>
      </c>
      <c r="H7" s="822" t="s">
        <v>1354</v>
      </c>
    </row>
    <row r="8" spans="1:9" s="2" customFormat="1">
      <c r="A8" s="13">
        <v>1</v>
      </c>
      <c r="B8" s="13">
        <v>2</v>
      </c>
      <c r="C8" s="13">
        <v>3</v>
      </c>
      <c r="D8" s="13">
        <v>4</v>
      </c>
      <c r="E8" s="13">
        <v>5</v>
      </c>
      <c r="F8" s="13">
        <v>6</v>
      </c>
      <c r="G8" s="13">
        <v>7</v>
      </c>
      <c r="H8" s="13">
        <v>8</v>
      </c>
    </row>
    <row r="9" spans="1:9" s="41" customFormat="1" ht="45">
      <c r="A9" s="60" t="s">
        <v>893</v>
      </c>
      <c r="B9" s="68" t="s">
        <v>1355</v>
      </c>
      <c r="C9" s="823"/>
      <c r="D9" s="823">
        <v>110132</v>
      </c>
      <c r="E9" s="823"/>
      <c r="F9" s="823">
        <v>123132</v>
      </c>
      <c r="G9" s="823"/>
      <c r="H9" s="823">
        <v>129952</v>
      </c>
    </row>
    <row r="10" spans="1:9" s="832" customFormat="1" ht="15" customHeight="1">
      <c r="A10" s="829" t="s">
        <v>895</v>
      </c>
      <c r="B10" s="830" t="s">
        <v>1308</v>
      </c>
      <c r="C10" s="1236"/>
      <c r="D10" s="823">
        <v>109737</v>
      </c>
      <c r="E10" s="1236"/>
      <c r="F10" s="823">
        <v>120688</v>
      </c>
      <c r="G10" s="1236"/>
      <c r="H10" s="823">
        <v>127809</v>
      </c>
      <c r="I10" s="832" t="s">
        <v>1356</v>
      </c>
    </row>
    <row r="11" spans="1:9" s="832" customFormat="1" ht="15" customHeight="1">
      <c r="A11" s="829" t="s">
        <v>896</v>
      </c>
      <c r="B11" s="833" t="s">
        <v>1357</v>
      </c>
      <c r="C11" s="849"/>
      <c r="D11" s="1211"/>
      <c r="E11" s="849"/>
      <c r="F11" s="1211"/>
      <c r="G11" s="849"/>
      <c r="H11" s="1211"/>
    </row>
    <row r="12" spans="1:9" s="41" customFormat="1" ht="30">
      <c r="A12" s="60" t="s">
        <v>897</v>
      </c>
      <c r="B12" s="70" t="s">
        <v>1358</v>
      </c>
      <c r="C12" s="826">
        <f>C13+C14+C15</f>
        <v>0</v>
      </c>
      <c r="D12" s="826">
        <v>14492.400000000001</v>
      </c>
      <c r="E12" s="826">
        <v>0</v>
      </c>
      <c r="F12" s="826">
        <v>16827.2</v>
      </c>
      <c r="G12" s="826">
        <v>0</v>
      </c>
      <c r="H12" s="826">
        <v>19976.3</v>
      </c>
    </row>
    <row r="13" spans="1:9" s="41" customFormat="1" ht="75">
      <c r="A13" s="60" t="s">
        <v>1359</v>
      </c>
      <c r="B13" s="68" t="s">
        <v>1360</v>
      </c>
      <c r="C13" s="826"/>
      <c r="D13" s="823">
        <v>0</v>
      </c>
      <c r="E13" s="826"/>
      <c r="F13" s="823">
        <v>0</v>
      </c>
      <c r="G13" s="826"/>
      <c r="H13" s="823">
        <v>0</v>
      </c>
    </row>
    <row r="14" spans="1:9" s="41" customFormat="1">
      <c r="A14" s="60" t="s">
        <v>1361</v>
      </c>
      <c r="B14" s="68" t="s">
        <v>1362</v>
      </c>
      <c r="C14" s="826"/>
      <c r="D14" s="823">
        <v>4679.4000000000005</v>
      </c>
      <c r="E14" s="826"/>
      <c r="F14" s="823">
        <v>6435.2</v>
      </c>
      <c r="G14" s="826"/>
      <c r="H14" s="823">
        <v>6815.3</v>
      </c>
    </row>
    <row r="15" spans="1:9" s="41" customFormat="1">
      <c r="A15" s="60" t="s">
        <v>1363</v>
      </c>
      <c r="B15" s="68" t="s">
        <v>1364</v>
      </c>
      <c r="C15" s="826"/>
      <c r="D15" s="823">
        <v>9813</v>
      </c>
      <c r="E15" s="826"/>
      <c r="F15" s="823">
        <v>10392</v>
      </c>
      <c r="G15" s="826"/>
      <c r="H15" s="823">
        <v>13161</v>
      </c>
    </row>
    <row r="16" spans="1:9" s="41" customFormat="1">
      <c r="A16" s="60" t="s">
        <v>1036</v>
      </c>
      <c r="B16" s="70" t="s">
        <v>1365</v>
      </c>
      <c r="C16" s="826"/>
      <c r="D16" s="826">
        <v>168376</v>
      </c>
      <c r="E16" s="826"/>
      <c r="F16" s="826">
        <v>193268</v>
      </c>
      <c r="G16" s="826"/>
      <c r="H16" s="826">
        <v>205336</v>
      </c>
    </row>
    <row r="17" spans="1:153" s="41" customFormat="1">
      <c r="A17" s="60" t="s">
        <v>1035</v>
      </c>
      <c r="B17" s="70" t="s">
        <v>1366</v>
      </c>
      <c r="C17" s="826"/>
      <c r="D17" s="826">
        <v>51834.396944683991</v>
      </c>
      <c r="E17" s="826"/>
      <c r="F17" s="826">
        <v>50529</v>
      </c>
      <c r="G17" s="826"/>
      <c r="H17" s="826">
        <v>0</v>
      </c>
    </row>
    <row r="18" spans="1:153" s="41" customFormat="1" ht="30">
      <c r="A18" s="60" t="s">
        <v>1034</v>
      </c>
      <c r="B18" s="70" t="s">
        <v>1367</v>
      </c>
      <c r="C18" s="826"/>
      <c r="D18" s="826">
        <v>44013</v>
      </c>
      <c r="E18" s="826"/>
      <c r="F18" s="826">
        <v>58854</v>
      </c>
      <c r="G18" s="826"/>
      <c r="H18" s="826">
        <v>62204</v>
      </c>
    </row>
    <row r="19" spans="1:153" s="41" customFormat="1" ht="30">
      <c r="A19" s="60" t="s">
        <v>1033</v>
      </c>
      <c r="B19" s="70" t="s">
        <v>1368</v>
      </c>
      <c r="C19" s="826"/>
      <c r="D19" s="826">
        <v>0</v>
      </c>
      <c r="E19" s="826"/>
      <c r="F19" s="826">
        <v>0</v>
      </c>
      <c r="G19" s="826"/>
      <c r="H19" s="826">
        <v>0</v>
      </c>
    </row>
    <row r="20" spans="1:153" s="810" customFormat="1" ht="14.25">
      <c r="A20" s="82"/>
      <c r="B20" s="808" t="s">
        <v>770</v>
      </c>
      <c r="C20" s="827">
        <f>C9+C10+C11+C12+C16+C17+C18+C19</f>
        <v>0</v>
      </c>
      <c r="D20" s="827">
        <f t="shared" ref="D20:G20" si="0">D9+D10+D11+D12+D16+D17+D18+D19</f>
        <v>498584.796944684</v>
      </c>
      <c r="E20" s="827">
        <f t="shared" si="0"/>
        <v>0</v>
      </c>
      <c r="F20" s="827">
        <f t="shared" ref="F20:H20" si="1">F9+F10+F11+F12+F16+F17+F18+F19</f>
        <v>563298.19999999995</v>
      </c>
      <c r="G20" s="827">
        <f t="shared" si="0"/>
        <v>0</v>
      </c>
      <c r="H20" s="827">
        <f t="shared" si="1"/>
        <v>545277.30000000005</v>
      </c>
    </row>
    <row r="21" spans="1:153" s="41" customFormat="1">
      <c r="A21" s="60" t="s">
        <v>91</v>
      </c>
      <c r="B21" s="70" t="s">
        <v>396</v>
      </c>
      <c r="C21" s="826"/>
      <c r="D21" s="826">
        <f>'4.6_транзит+сбыт_КТЭЦ с косв.'!J83</f>
        <v>40700.335236170999</v>
      </c>
      <c r="E21" s="826"/>
      <c r="F21" s="826">
        <f>'4.6_транзит+сбыт_КТЭЦ с косв.'!K83</f>
        <v>94292.46100000001</v>
      </c>
      <c r="G21" s="826"/>
      <c r="H21" s="826">
        <f>'4.6_транзит+сбыт_КТЭЦ с косв.'!N83</f>
        <v>69468.674488999997</v>
      </c>
    </row>
    <row r="22" spans="1:153" s="41" customFormat="1" ht="48" customHeight="1">
      <c r="A22" s="60" t="s">
        <v>1369</v>
      </c>
      <c r="B22" s="70" t="s">
        <v>1370</v>
      </c>
      <c r="C22" s="1216"/>
      <c r="D22" s="1216"/>
      <c r="E22" s="826"/>
      <c r="F22" s="826"/>
      <c r="G22" s="826"/>
      <c r="H22" s="826"/>
    </row>
    <row r="23" spans="1:153" s="810" customFormat="1" ht="15" customHeight="1">
      <c r="A23" s="82" t="s">
        <v>95</v>
      </c>
      <c r="B23" s="808" t="s">
        <v>1371</v>
      </c>
      <c r="C23" s="827">
        <f>C20+C21+C22</f>
        <v>0</v>
      </c>
      <c r="D23" s="827">
        <f t="shared" ref="D23:H23" si="2">D20+D21+D22</f>
        <v>539285.13218085503</v>
      </c>
      <c r="E23" s="827">
        <f t="shared" si="2"/>
        <v>0</v>
      </c>
      <c r="F23" s="827">
        <f t="shared" si="2"/>
        <v>657590.66099999996</v>
      </c>
      <c r="G23" s="827">
        <f t="shared" si="2"/>
        <v>0</v>
      </c>
      <c r="H23" s="827">
        <f t="shared" si="2"/>
        <v>614745.97448900004</v>
      </c>
    </row>
    <row r="25" spans="1:153" s="26" customFormat="1">
      <c r="A25" s="26" t="s">
        <v>88</v>
      </c>
    </row>
    <row r="26" spans="1:153" s="773" customFormat="1">
      <c r="A26" s="819" t="s">
        <v>89</v>
      </c>
      <c r="B26" s="1972" t="s">
        <v>1346</v>
      </c>
      <c r="C26" s="1973"/>
      <c r="D26" s="1973"/>
      <c r="E26" s="1973"/>
      <c r="F26" s="1973"/>
      <c r="G26" s="1973"/>
      <c r="H26" s="1973"/>
      <c r="I26" s="819"/>
      <c r="J26" s="819"/>
      <c r="K26" s="819"/>
      <c r="L26" s="819"/>
      <c r="M26" s="819"/>
      <c r="N26" s="819"/>
      <c r="O26" s="819"/>
      <c r="P26" s="819"/>
      <c r="Q26" s="819"/>
      <c r="R26" s="819"/>
      <c r="S26" s="819"/>
      <c r="T26" s="819"/>
      <c r="U26" s="819"/>
      <c r="V26" s="819"/>
      <c r="W26" s="819"/>
      <c r="X26" s="819"/>
      <c r="Y26" s="819"/>
      <c r="Z26" s="819"/>
      <c r="AA26" s="819"/>
      <c r="AB26" s="819"/>
      <c r="AC26" s="819"/>
      <c r="AD26" s="819"/>
      <c r="AE26" s="819"/>
      <c r="AF26" s="819"/>
      <c r="AG26" s="819"/>
      <c r="AH26" s="819"/>
      <c r="AI26" s="819"/>
      <c r="AJ26" s="819"/>
      <c r="AK26" s="819"/>
      <c r="AL26" s="819"/>
      <c r="AM26" s="819"/>
      <c r="AN26" s="819"/>
      <c r="AO26" s="819"/>
      <c r="AP26" s="819"/>
      <c r="AQ26" s="819"/>
      <c r="AR26" s="819"/>
      <c r="AS26" s="819"/>
      <c r="AT26" s="819"/>
      <c r="AU26" s="819"/>
      <c r="AV26" s="819"/>
      <c r="AW26" s="819"/>
      <c r="AX26" s="819"/>
      <c r="AY26" s="819"/>
      <c r="AZ26" s="819"/>
      <c r="BA26" s="819"/>
      <c r="BB26" s="819"/>
      <c r="BC26" s="819"/>
      <c r="BD26" s="819"/>
      <c r="BE26" s="819"/>
      <c r="BF26" s="819"/>
      <c r="BG26" s="819"/>
      <c r="BH26" s="819"/>
      <c r="BI26" s="819"/>
      <c r="BJ26" s="819"/>
      <c r="BK26" s="819"/>
      <c r="BL26" s="819"/>
      <c r="BM26" s="819"/>
      <c r="BN26" s="819"/>
      <c r="BO26" s="819"/>
      <c r="BP26" s="819"/>
      <c r="BQ26" s="819"/>
      <c r="BR26" s="819"/>
      <c r="BS26" s="819"/>
      <c r="BT26" s="819"/>
      <c r="BU26" s="819"/>
      <c r="BV26" s="819"/>
      <c r="BW26" s="819"/>
      <c r="BX26" s="819"/>
      <c r="BY26" s="819"/>
      <c r="BZ26" s="819"/>
      <c r="CA26" s="819"/>
      <c r="CB26" s="819"/>
      <c r="CC26" s="819"/>
      <c r="CD26" s="819"/>
      <c r="CE26" s="819"/>
      <c r="CF26" s="819"/>
      <c r="CG26" s="819"/>
      <c r="CH26" s="819"/>
      <c r="CI26" s="819"/>
      <c r="CJ26" s="819"/>
      <c r="CK26" s="819"/>
      <c r="CL26" s="819"/>
      <c r="CM26" s="819"/>
      <c r="CN26" s="819"/>
      <c r="CO26" s="819"/>
      <c r="CP26" s="819"/>
      <c r="CQ26" s="819"/>
      <c r="CR26" s="819"/>
      <c r="CS26" s="819"/>
      <c r="CT26" s="819"/>
      <c r="CU26" s="819"/>
      <c r="CV26" s="819"/>
      <c r="CW26" s="819"/>
      <c r="CX26" s="819"/>
      <c r="CY26" s="819"/>
      <c r="CZ26" s="819"/>
      <c r="DA26" s="819"/>
      <c r="DB26" s="819"/>
      <c r="DC26" s="819"/>
      <c r="DD26" s="819"/>
      <c r="DE26" s="819"/>
      <c r="DF26" s="819"/>
      <c r="DG26" s="819"/>
      <c r="DH26" s="819"/>
      <c r="DI26" s="819"/>
      <c r="DJ26" s="819"/>
      <c r="DK26" s="819"/>
      <c r="DL26" s="819"/>
      <c r="DM26" s="819"/>
      <c r="DN26" s="819"/>
      <c r="DO26" s="819"/>
      <c r="DP26" s="819"/>
      <c r="DQ26" s="819"/>
      <c r="DR26" s="819"/>
      <c r="DS26" s="819"/>
      <c r="DT26" s="819"/>
      <c r="DU26" s="819"/>
      <c r="DV26" s="819"/>
      <c r="DW26" s="819"/>
      <c r="DX26" s="819"/>
      <c r="DY26" s="819"/>
      <c r="DZ26" s="819"/>
      <c r="EA26" s="819"/>
      <c r="EB26" s="819"/>
      <c r="EC26" s="819"/>
      <c r="ED26" s="819"/>
      <c r="EE26" s="819"/>
      <c r="EF26" s="819"/>
      <c r="EG26" s="819"/>
      <c r="EH26" s="819"/>
      <c r="EI26" s="819"/>
      <c r="EJ26" s="819"/>
      <c r="EK26" s="819"/>
      <c r="EL26" s="819"/>
      <c r="EM26" s="819"/>
      <c r="EN26" s="819"/>
      <c r="EO26" s="819"/>
      <c r="EP26" s="819"/>
      <c r="EQ26" s="819"/>
      <c r="ER26" s="819"/>
      <c r="ES26" s="819"/>
      <c r="ET26" s="819"/>
      <c r="EU26" s="819"/>
      <c r="EV26" s="819"/>
      <c r="EW26" s="819"/>
    </row>
    <row r="27" spans="1:153" s="773" customFormat="1">
      <c r="A27" s="819" t="s">
        <v>91</v>
      </c>
      <c r="B27" s="1967" t="s">
        <v>1372</v>
      </c>
      <c r="C27" s="1979"/>
      <c r="D27" s="1979"/>
      <c r="E27" s="1979"/>
      <c r="F27" s="1979"/>
      <c r="G27" s="1979"/>
      <c r="H27" s="1979"/>
    </row>
    <row r="28" spans="1:153" ht="33" customHeight="1">
      <c r="A28" s="819" t="s">
        <v>93</v>
      </c>
      <c r="B28" s="1972" t="s">
        <v>1373</v>
      </c>
      <c r="C28" s="1973"/>
      <c r="D28" s="1973"/>
      <c r="E28" s="1973"/>
      <c r="F28" s="1973"/>
      <c r="G28" s="1973"/>
      <c r="H28" s="1973"/>
      <c r="I28" s="819"/>
      <c r="J28" s="819"/>
      <c r="K28" s="819"/>
      <c r="L28" s="819"/>
      <c r="M28" s="819"/>
      <c r="N28" s="819"/>
      <c r="O28" s="819"/>
      <c r="P28" s="819"/>
      <c r="Q28" s="819"/>
      <c r="R28" s="819"/>
      <c r="S28" s="819"/>
      <c r="T28" s="819"/>
      <c r="U28" s="819"/>
      <c r="V28" s="819"/>
      <c r="W28" s="819"/>
      <c r="X28" s="819"/>
      <c r="Y28" s="819"/>
      <c r="Z28" s="819"/>
      <c r="AA28" s="819"/>
      <c r="AB28" s="819"/>
      <c r="AC28" s="819"/>
      <c r="AD28" s="819"/>
      <c r="AE28" s="819"/>
      <c r="AF28" s="819"/>
      <c r="AG28" s="819"/>
      <c r="AH28" s="819"/>
      <c r="AI28" s="819"/>
      <c r="AJ28" s="819"/>
      <c r="AK28" s="819"/>
      <c r="AL28" s="819"/>
      <c r="AM28" s="819"/>
      <c r="AN28" s="819"/>
      <c r="AO28" s="819"/>
      <c r="AP28" s="819"/>
      <c r="AQ28" s="819"/>
      <c r="AR28" s="819"/>
      <c r="AS28" s="819"/>
      <c r="AT28" s="819"/>
      <c r="AU28" s="819"/>
      <c r="AV28" s="819"/>
      <c r="AW28" s="819"/>
      <c r="AX28" s="819"/>
      <c r="AY28" s="819"/>
      <c r="AZ28" s="819"/>
      <c r="BA28" s="819"/>
      <c r="BB28" s="819"/>
      <c r="BC28" s="819"/>
      <c r="BD28" s="819"/>
      <c r="BE28" s="819"/>
      <c r="BF28" s="819"/>
      <c r="BG28" s="819"/>
      <c r="BH28" s="819"/>
      <c r="BI28" s="819"/>
      <c r="BJ28" s="819"/>
      <c r="BK28" s="819"/>
      <c r="BL28" s="819"/>
      <c r="BM28" s="819"/>
      <c r="BN28" s="819"/>
      <c r="BO28" s="819"/>
      <c r="BP28" s="819"/>
      <c r="BQ28" s="819"/>
      <c r="BR28" s="819"/>
      <c r="BS28" s="819"/>
      <c r="BT28" s="819"/>
      <c r="BU28" s="819"/>
      <c r="BV28" s="819"/>
      <c r="BW28" s="819"/>
      <c r="BX28" s="819"/>
      <c r="BY28" s="819"/>
      <c r="BZ28" s="819"/>
      <c r="CA28" s="819"/>
      <c r="CB28" s="819"/>
      <c r="CC28" s="819"/>
      <c r="CD28" s="819"/>
      <c r="CE28" s="819"/>
      <c r="CF28" s="819"/>
      <c r="CG28" s="819"/>
      <c r="CH28" s="819"/>
      <c r="CI28" s="819"/>
      <c r="CJ28" s="819"/>
      <c r="CK28" s="819"/>
      <c r="CL28" s="819"/>
      <c r="CM28" s="819"/>
      <c r="CN28" s="819"/>
      <c r="CO28" s="819"/>
      <c r="CP28" s="819"/>
      <c r="CQ28" s="819"/>
      <c r="CR28" s="819"/>
      <c r="CS28" s="819"/>
      <c r="CT28" s="819"/>
      <c r="CU28" s="819"/>
      <c r="CV28" s="819"/>
      <c r="CW28" s="819"/>
      <c r="CX28" s="819"/>
      <c r="CY28" s="819"/>
      <c r="CZ28" s="819"/>
      <c r="DA28" s="819"/>
      <c r="DB28" s="819"/>
      <c r="DC28" s="819"/>
      <c r="DD28" s="819"/>
      <c r="DE28" s="819"/>
      <c r="DF28" s="819"/>
      <c r="DG28" s="819"/>
      <c r="DH28" s="819"/>
      <c r="DI28" s="819"/>
      <c r="DJ28" s="819"/>
      <c r="DK28" s="819"/>
      <c r="DL28" s="819"/>
      <c r="DM28" s="819"/>
      <c r="DN28" s="819"/>
      <c r="DO28" s="819"/>
      <c r="DP28" s="819"/>
      <c r="DQ28" s="819"/>
      <c r="DR28" s="819"/>
      <c r="DS28" s="819"/>
      <c r="DT28" s="819"/>
      <c r="DU28" s="819"/>
      <c r="DV28" s="819"/>
      <c r="DW28" s="819"/>
      <c r="DX28" s="819"/>
      <c r="DY28" s="819"/>
      <c r="DZ28" s="819"/>
      <c r="EA28" s="819"/>
      <c r="EB28" s="819"/>
      <c r="EC28" s="819"/>
      <c r="ED28" s="819"/>
      <c r="EE28" s="819"/>
      <c r="EF28" s="819"/>
      <c r="EG28" s="819"/>
      <c r="EH28" s="819"/>
      <c r="EI28" s="819"/>
      <c r="EJ28" s="819"/>
      <c r="EK28" s="819"/>
      <c r="EL28" s="819"/>
      <c r="EM28" s="819"/>
      <c r="EN28" s="819"/>
      <c r="EO28" s="819"/>
      <c r="EP28" s="819"/>
      <c r="EQ28" s="819"/>
      <c r="ER28" s="819"/>
    </row>
    <row r="29" spans="1:153" ht="34.5" customHeight="1">
      <c r="A29" s="819" t="s">
        <v>95</v>
      </c>
      <c r="B29" s="1972" t="s">
        <v>1374</v>
      </c>
      <c r="C29" s="1973"/>
      <c r="D29" s="1973"/>
      <c r="E29" s="1973"/>
      <c r="F29" s="1973"/>
      <c r="G29" s="1973"/>
      <c r="H29" s="1973"/>
      <c r="I29" s="819"/>
      <c r="J29" s="819"/>
      <c r="K29" s="819"/>
      <c r="L29" s="819"/>
      <c r="M29" s="819"/>
      <c r="N29" s="819"/>
      <c r="O29" s="819"/>
      <c r="P29" s="819"/>
      <c r="Q29" s="819"/>
      <c r="R29" s="819"/>
      <c r="S29" s="819"/>
      <c r="T29" s="819"/>
      <c r="U29" s="819"/>
      <c r="V29" s="819"/>
      <c r="W29" s="819"/>
      <c r="X29" s="819"/>
      <c r="Y29" s="819"/>
      <c r="Z29" s="819"/>
      <c r="AA29" s="819"/>
      <c r="AB29" s="819"/>
      <c r="AC29" s="819"/>
      <c r="AD29" s="819"/>
      <c r="AE29" s="819"/>
      <c r="AF29" s="819"/>
      <c r="AG29" s="819"/>
      <c r="AH29" s="819"/>
      <c r="AI29" s="819"/>
      <c r="AJ29" s="819"/>
      <c r="AK29" s="819"/>
      <c r="AL29" s="819"/>
      <c r="AM29" s="819"/>
      <c r="AN29" s="819"/>
      <c r="AO29" s="819"/>
      <c r="AP29" s="819"/>
      <c r="AQ29" s="819"/>
      <c r="AR29" s="819"/>
      <c r="AS29" s="819"/>
      <c r="AT29" s="819"/>
      <c r="AU29" s="819"/>
      <c r="AV29" s="819"/>
      <c r="AW29" s="819"/>
      <c r="AX29" s="819"/>
      <c r="AY29" s="819"/>
      <c r="AZ29" s="819"/>
      <c r="BA29" s="819"/>
      <c r="BB29" s="819"/>
      <c r="BC29" s="819"/>
      <c r="BD29" s="819"/>
      <c r="BE29" s="819"/>
      <c r="BF29" s="819"/>
      <c r="BG29" s="819"/>
      <c r="BH29" s="819"/>
      <c r="BI29" s="819"/>
      <c r="BJ29" s="819"/>
      <c r="BK29" s="819"/>
      <c r="BL29" s="819"/>
      <c r="BM29" s="819"/>
      <c r="BN29" s="819"/>
      <c r="BO29" s="819"/>
      <c r="BP29" s="819"/>
      <c r="BQ29" s="819"/>
      <c r="BR29" s="819"/>
      <c r="BS29" s="819"/>
      <c r="BT29" s="819"/>
      <c r="BU29" s="819"/>
      <c r="BV29" s="819"/>
      <c r="BW29" s="819"/>
      <c r="BX29" s="819"/>
      <c r="BY29" s="819"/>
      <c r="BZ29" s="819"/>
      <c r="CA29" s="819"/>
      <c r="CB29" s="819"/>
      <c r="CC29" s="819"/>
      <c r="CD29" s="819"/>
      <c r="CE29" s="819"/>
      <c r="CF29" s="819"/>
      <c r="CG29" s="819"/>
      <c r="CH29" s="819"/>
      <c r="CI29" s="819"/>
      <c r="CJ29" s="819"/>
      <c r="CK29" s="819"/>
      <c r="CL29" s="819"/>
      <c r="CM29" s="819"/>
      <c r="CN29" s="819"/>
      <c r="CO29" s="819"/>
      <c r="CP29" s="819"/>
      <c r="CQ29" s="819"/>
      <c r="CR29" s="819"/>
      <c r="CS29" s="819"/>
      <c r="CT29" s="819"/>
      <c r="CU29" s="819"/>
      <c r="CV29" s="819"/>
      <c r="CW29" s="819"/>
      <c r="CX29" s="819"/>
      <c r="CY29" s="819"/>
      <c r="CZ29" s="819"/>
      <c r="DA29" s="819"/>
      <c r="DB29" s="819"/>
      <c r="DC29" s="819"/>
      <c r="DD29" s="819"/>
      <c r="DE29" s="819"/>
      <c r="DF29" s="819"/>
      <c r="DG29" s="819"/>
      <c r="DH29" s="819"/>
      <c r="DI29" s="819"/>
      <c r="DJ29" s="819"/>
      <c r="DK29" s="819"/>
      <c r="DL29" s="819"/>
      <c r="DM29" s="819"/>
      <c r="DN29" s="819"/>
      <c r="DO29" s="819"/>
      <c r="DP29" s="819"/>
      <c r="DQ29" s="819"/>
      <c r="DR29" s="819"/>
      <c r="DS29" s="819"/>
      <c r="DT29" s="819"/>
      <c r="DU29" s="819"/>
      <c r="DV29" s="819"/>
      <c r="DW29" s="819"/>
      <c r="DX29" s="819"/>
      <c r="DY29" s="819"/>
      <c r="DZ29" s="819"/>
      <c r="EA29" s="819"/>
      <c r="EB29" s="819"/>
      <c r="EC29" s="819"/>
      <c r="ED29" s="819"/>
      <c r="EE29" s="819"/>
      <c r="EF29" s="819"/>
      <c r="EG29" s="819"/>
      <c r="EH29" s="819"/>
      <c r="EI29" s="819"/>
      <c r="EJ29" s="819"/>
      <c r="EK29" s="819"/>
      <c r="EL29" s="819"/>
      <c r="EM29" s="819"/>
      <c r="EN29" s="819"/>
      <c r="EO29" s="819"/>
      <c r="EP29" s="819"/>
      <c r="EQ29" s="819"/>
      <c r="ER29" s="819"/>
    </row>
  </sheetData>
  <mergeCells count="10">
    <mergeCell ref="B26:H26"/>
    <mergeCell ref="B27:H27"/>
    <mergeCell ref="B28:H28"/>
    <mergeCell ref="B29:H29"/>
    <mergeCell ref="A3:H3"/>
    <mergeCell ref="A6:A7"/>
    <mergeCell ref="B6:B7"/>
    <mergeCell ref="C6:D6"/>
    <mergeCell ref="E6:F6"/>
    <mergeCell ref="G6:H6"/>
  </mergeCells>
  <pageMargins left="0.78740157480314965" right="0.51181102362204722" top="0.59055118110236227" bottom="0.39370078740157483" header="0.19685039370078741" footer="0.19685039370078741"/>
  <pageSetup paperSize="9" scale="65" orientation="portrait" r:id="rId1"/>
  <headerFooter alignWithMargins="0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EW31"/>
  <sheetViews>
    <sheetView view="pageBreakPreview" zoomScaleNormal="100" workbookViewId="0">
      <pane ySplit="8" topLeftCell="A9" activePane="bottomLeft" state="frozen"/>
      <selection activeCell="C6" sqref="C6:H6"/>
      <selection pane="bottomLeft" activeCell="J18" sqref="J18"/>
    </sheetView>
  </sheetViews>
  <sheetFormatPr defaultColWidth="2.7109375" defaultRowHeight="15"/>
  <cols>
    <col min="1" max="1" width="6.5703125" style="1" customWidth="1"/>
    <col min="2" max="2" width="49" style="1" customWidth="1"/>
    <col min="3" max="8" width="13.7109375" style="1" customWidth="1"/>
    <col min="9" max="60" width="8.28515625" style="1" customWidth="1"/>
    <col min="61" max="16384" width="2.7109375" style="1"/>
  </cols>
  <sheetData>
    <row r="1" spans="1:9" s="5" customFormat="1" ht="18" customHeight="1">
      <c r="A1" s="74" t="s">
        <v>1860</v>
      </c>
      <c r="H1" s="6" t="s">
        <v>1351</v>
      </c>
    </row>
    <row r="2" spans="1:9" ht="12.75" customHeight="1">
      <c r="A2" s="1139" t="s">
        <v>1679</v>
      </c>
    </row>
    <row r="3" spans="1:9" ht="29.25" customHeight="1">
      <c r="A3" s="1980" t="s">
        <v>1352</v>
      </c>
      <c r="B3" s="1980"/>
      <c r="C3" s="1980"/>
      <c r="D3" s="1980"/>
      <c r="E3" s="1980"/>
      <c r="F3" s="1980"/>
      <c r="G3" s="1980"/>
      <c r="H3" s="1980"/>
    </row>
    <row r="4" spans="1:9" ht="12.75" customHeight="1">
      <c r="B4" s="1137"/>
      <c r="C4" s="1137"/>
      <c r="D4" s="1137"/>
      <c r="E4" s="1137"/>
      <c r="F4" s="1137"/>
      <c r="G4" s="1137"/>
      <c r="H4" s="1137"/>
    </row>
    <row r="5" spans="1:9" ht="14.25" customHeight="1">
      <c r="H5" s="23" t="s">
        <v>360</v>
      </c>
    </row>
    <row r="6" spans="1:9" s="3" customFormat="1" ht="15" customHeight="1">
      <c r="A6" s="1858" t="s">
        <v>0</v>
      </c>
      <c r="B6" s="1858" t="s">
        <v>1293</v>
      </c>
      <c r="C6" s="1981" t="s">
        <v>1336</v>
      </c>
      <c r="D6" s="1982"/>
      <c r="E6" s="1981" t="s">
        <v>1337</v>
      </c>
      <c r="F6" s="1983"/>
      <c r="G6" s="1981" t="s">
        <v>1715</v>
      </c>
      <c r="H6" s="1983"/>
    </row>
    <row r="7" spans="1:9" s="3" customFormat="1" ht="105">
      <c r="A7" s="1971"/>
      <c r="B7" s="1971"/>
      <c r="C7" s="822" t="s">
        <v>1353</v>
      </c>
      <c r="D7" s="822" t="s">
        <v>1354</v>
      </c>
      <c r="E7" s="822" t="s">
        <v>1353</v>
      </c>
      <c r="F7" s="822" t="s">
        <v>1354</v>
      </c>
      <c r="G7" s="822" t="s">
        <v>1353</v>
      </c>
      <c r="H7" s="822" t="s">
        <v>1354</v>
      </c>
    </row>
    <row r="8" spans="1:9" s="2" customFormat="1">
      <c r="A8" s="13">
        <v>1</v>
      </c>
      <c r="B8" s="13">
        <v>2</v>
      </c>
      <c r="C8" s="13">
        <v>3</v>
      </c>
      <c r="D8" s="13">
        <v>4</v>
      </c>
      <c r="E8" s="13">
        <v>5</v>
      </c>
      <c r="F8" s="13">
        <v>6</v>
      </c>
      <c r="G8" s="13">
        <v>7</v>
      </c>
      <c r="H8" s="13">
        <v>8</v>
      </c>
    </row>
    <row r="9" spans="1:9" s="41" customFormat="1" ht="45">
      <c r="A9" s="60" t="s">
        <v>893</v>
      </c>
      <c r="B9" s="68" t="s">
        <v>1355</v>
      </c>
      <c r="C9" s="823"/>
      <c r="D9" s="823">
        <v>2743</v>
      </c>
      <c r="E9" s="823"/>
      <c r="F9" s="823">
        <v>2975</v>
      </c>
      <c r="G9" s="823"/>
      <c r="H9" s="823">
        <v>3167</v>
      </c>
    </row>
    <row r="10" spans="1:9" s="825" customFormat="1" ht="15" customHeight="1">
      <c r="A10" s="829" t="s">
        <v>895</v>
      </c>
      <c r="B10" s="830" t="s">
        <v>1308</v>
      </c>
      <c r="C10" s="1236"/>
      <c r="D10" s="823">
        <v>94960</v>
      </c>
      <c r="E10" s="849"/>
      <c r="F10" s="823">
        <v>88756</v>
      </c>
      <c r="G10" s="849"/>
      <c r="H10" s="823">
        <v>93994</v>
      </c>
      <c r="I10" s="825" t="s">
        <v>1356</v>
      </c>
    </row>
    <row r="11" spans="1:9" s="825" customFormat="1" ht="15" customHeight="1">
      <c r="A11" s="829" t="s">
        <v>896</v>
      </c>
      <c r="B11" s="833" t="s">
        <v>1357</v>
      </c>
      <c r="C11" s="849"/>
      <c r="D11" s="849"/>
      <c r="E11" s="849"/>
      <c r="F11" s="849"/>
      <c r="G11" s="849"/>
      <c r="H11" s="849"/>
    </row>
    <row r="12" spans="1:9" s="41" customFormat="1" ht="30">
      <c r="A12" s="60" t="s">
        <v>897</v>
      </c>
      <c r="B12" s="70" t="s">
        <v>1358</v>
      </c>
      <c r="C12" s="826">
        <f>C13+C14+C15</f>
        <v>0</v>
      </c>
      <c r="D12" s="826">
        <v>3662</v>
      </c>
      <c r="E12" s="826">
        <v>0</v>
      </c>
      <c r="F12" s="826">
        <v>4366.3999999999996</v>
      </c>
      <c r="G12" s="826">
        <v>0</v>
      </c>
      <c r="H12" s="826">
        <v>4636.6000000000004</v>
      </c>
    </row>
    <row r="13" spans="1:9" s="41" customFormat="1" ht="75">
      <c r="A13" s="60" t="s">
        <v>1359</v>
      </c>
      <c r="B13" s="68" t="s">
        <v>1360</v>
      </c>
      <c r="C13" s="826"/>
      <c r="D13" s="823">
        <v>540</v>
      </c>
      <c r="E13" s="826"/>
      <c r="F13" s="823">
        <v>593.9</v>
      </c>
      <c r="G13" s="826"/>
      <c r="H13" s="823">
        <v>593.9</v>
      </c>
    </row>
    <row r="14" spans="1:9" s="41" customFormat="1">
      <c r="A14" s="60" t="s">
        <v>1361</v>
      </c>
      <c r="B14" s="68" t="s">
        <v>1362</v>
      </c>
      <c r="C14" s="826"/>
      <c r="D14" s="823">
        <v>2150</v>
      </c>
      <c r="E14" s="826"/>
      <c r="F14" s="823">
        <v>2440.5</v>
      </c>
      <c r="G14" s="826"/>
      <c r="H14" s="823">
        <v>2585.6999999999998</v>
      </c>
    </row>
    <row r="15" spans="1:9" s="41" customFormat="1">
      <c r="A15" s="60" t="s">
        <v>1363</v>
      </c>
      <c r="B15" s="68" t="s">
        <v>1680</v>
      </c>
      <c r="C15" s="826"/>
      <c r="D15" s="823">
        <v>972</v>
      </c>
      <c r="E15" s="826"/>
      <c r="F15" s="823">
        <v>1332</v>
      </c>
      <c r="G15" s="826"/>
      <c r="H15" s="823">
        <v>1457</v>
      </c>
    </row>
    <row r="16" spans="1:9" s="41" customFormat="1">
      <c r="A16" s="60" t="s">
        <v>1036</v>
      </c>
      <c r="B16" s="70" t="s">
        <v>1365</v>
      </c>
      <c r="C16" s="826"/>
      <c r="D16" s="823">
        <v>267016</v>
      </c>
      <c r="E16" s="1211"/>
      <c r="F16" s="823">
        <v>305625</v>
      </c>
      <c r="G16" s="1211"/>
      <c r="H16" s="823">
        <v>325600</v>
      </c>
    </row>
    <row r="17" spans="1:153" s="41" customFormat="1">
      <c r="A17" s="60" t="s">
        <v>1035</v>
      </c>
      <c r="B17" s="70" t="s">
        <v>1366</v>
      </c>
      <c r="C17" s="826"/>
      <c r="D17" s="823">
        <v>25685.603055315998</v>
      </c>
      <c r="E17" s="826"/>
      <c r="F17" s="823">
        <v>25020</v>
      </c>
      <c r="G17" s="826"/>
      <c r="H17" s="823">
        <v>0</v>
      </c>
    </row>
    <row r="18" spans="1:153" s="41" customFormat="1" ht="30">
      <c r="A18" s="60" t="s">
        <v>1034</v>
      </c>
      <c r="B18" s="70" t="s">
        <v>1367</v>
      </c>
      <c r="C18" s="826"/>
      <c r="D18" s="823">
        <v>36247</v>
      </c>
      <c r="E18" s="826"/>
      <c r="F18" s="823">
        <v>15472</v>
      </c>
      <c r="G18" s="826"/>
      <c r="H18" s="823">
        <v>13972</v>
      </c>
    </row>
    <row r="19" spans="1:153" s="41" customFormat="1" ht="30">
      <c r="A19" s="60" t="s">
        <v>1033</v>
      </c>
      <c r="B19" s="70" t="s">
        <v>1368</v>
      </c>
      <c r="C19" s="826"/>
      <c r="D19" s="823">
        <v>77200</v>
      </c>
      <c r="E19" s="826"/>
      <c r="F19" s="823">
        <v>63140</v>
      </c>
      <c r="G19" s="826"/>
      <c r="H19" s="823">
        <v>80006</v>
      </c>
    </row>
    <row r="20" spans="1:153" s="810" customFormat="1" ht="14.25">
      <c r="A20" s="82"/>
      <c r="B20" s="808" t="s">
        <v>770</v>
      </c>
      <c r="C20" s="827">
        <f>C9+C10+C11+C12+C16+C17+C18+C19</f>
        <v>0</v>
      </c>
      <c r="D20" s="827">
        <f t="shared" ref="D20:G20" si="0">D9+D10+D11+D12+D16+D17+D18+D19</f>
        <v>507513.60305531602</v>
      </c>
      <c r="E20" s="827">
        <f t="shared" si="0"/>
        <v>0</v>
      </c>
      <c r="F20" s="827">
        <f t="shared" ref="F20:H20" si="1">F9+F10+F11+F12+F16+F17+F18+F19</f>
        <v>505354.4</v>
      </c>
      <c r="G20" s="827">
        <f t="shared" si="0"/>
        <v>0</v>
      </c>
      <c r="H20" s="827">
        <f t="shared" si="1"/>
        <v>521375.6</v>
      </c>
    </row>
    <row r="21" spans="1:153" s="41" customFormat="1">
      <c r="A21" s="60" t="s">
        <v>91</v>
      </c>
      <c r="B21" s="70" t="s">
        <v>396</v>
      </c>
      <c r="C21" s="826"/>
      <c r="D21" s="823">
        <f>'4.6_котельные'!J83</f>
        <v>28407.900763828995</v>
      </c>
      <c r="E21" s="826"/>
      <c r="F21" s="823">
        <f>'4.6_котельные'!K83</f>
        <v>30263.235000000001</v>
      </c>
      <c r="G21" s="826"/>
      <c r="H21" s="823">
        <f>'4.6_котельные'!N83</f>
        <v>25349.676615</v>
      </c>
    </row>
    <row r="22" spans="1:153" s="41" customFormat="1" ht="48" customHeight="1">
      <c r="A22" s="60" t="s">
        <v>1369</v>
      </c>
      <c r="B22" s="70" t="s">
        <v>1370</v>
      </c>
      <c r="C22" s="1216"/>
      <c r="D22" s="1216"/>
      <c r="E22" s="826"/>
      <c r="F22" s="826"/>
      <c r="G22" s="826"/>
      <c r="H22" s="826"/>
    </row>
    <row r="23" spans="1:153" s="810" customFormat="1" ht="15" customHeight="1">
      <c r="A23" s="82" t="s">
        <v>95</v>
      </c>
      <c r="B23" s="808" t="s">
        <v>1371</v>
      </c>
      <c r="C23" s="827">
        <f>C20+C21+C22</f>
        <v>0</v>
      </c>
      <c r="D23" s="827">
        <f t="shared" ref="D23:H23" si="2">D20+D21+D22</f>
        <v>535921.50381914503</v>
      </c>
      <c r="E23" s="827">
        <f t="shared" si="2"/>
        <v>0</v>
      </c>
      <c r="F23" s="827">
        <f t="shared" si="2"/>
        <v>535617.63500000001</v>
      </c>
      <c r="G23" s="827">
        <f t="shared" si="2"/>
        <v>0</v>
      </c>
      <c r="H23" s="827">
        <f t="shared" si="2"/>
        <v>546725.27661499998</v>
      </c>
    </row>
    <row r="26" spans="1:153">
      <c r="F26" s="1445">
        <f>'5.3_пр-во котельные'!F23+'5.3_передача котельные'!F23</f>
        <v>535617.63500000001</v>
      </c>
      <c r="H26" s="1445">
        <f>'5.3_пр-во котельные'!H23+'5.3_передача котельные'!H23</f>
        <v>546725.27661499998</v>
      </c>
    </row>
    <row r="27" spans="1:153" s="26" customFormat="1">
      <c r="A27" s="26" t="s">
        <v>88</v>
      </c>
    </row>
    <row r="28" spans="1:153" s="1140" customFormat="1">
      <c r="A28" s="1142" t="s">
        <v>89</v>
      </c>
      <c r="B28" s="1972" t="s">
        <v>1346</v>
      </c>
      <c r="C28" s="1973"/>
      <c r="D28" s="1973"/>
      <c r="E28" s="1973"/>
      <c r="F28" s="1973"/>
      <c r="G28" s="1973"/>
      <c r="H28" s="1973"/>
      <c r="I28" s="1142"/>
      <c r="J28" s="1142"/>
      <c r="K28" s="1142"/>
      <c r="L28" s="1142"/>
      <c r="M28" s="1142"/>
      <c r="N28" s="1142"/>
      <c r="O28" s="1142"/>
      <c r="P28" s="1142"/>
      <c r="Q28" s="1142"/>
      <c r="R28" s="1142"/>
      <c r="S28" s="1142"/>
      <c r="T28" s="1142"/>
      <c r="U28" s="1142"/>
      <c r="V28" s="1142"/>
      <c r="W28" s="1142"/>
      <c r="X28" s="1142"/>
      <c r="Y28" s="1142"/>
      <c r="Z28" s="1142"/>
      <c r="AA28" s="1142"/>
      <c r="AB28" s="1142"/>
      <c r="AC28" s="1142"/>
      <c r="AD28" s="1142"/>
      <c r="AE28" s="1142"/>
      <c r="AF28" s="1142"/>
      <c r="AG28" s="1142"/>
      <c r="AH28" s="1142"/>
      <c r="AI28" s="1142"/>
      <c r="AJ28" s="1142"/>
      <c r="AK28" s="1142"/>
      <c r="AL28" s="1142"/>
      <c r="AM28" s="1142"/>
      <c r="AN28" s="1142"/>
      <c r="AO28" s="1142"/>
      <c r="AP28" s="1142"/>
      <c r="AQ28" s="1142"/>
      <c r="AR28" s="1142"/>
      <c r="AS28" s="1142"/>
      <c r="AT28" s="1142"/>
      <c r="AU28" s="1142"/>
      <c r="AV28" s="1142"/>
      <c r="AW28" s="1142"/>
      <c r="AX28" s="1142"/>
      <c r="AY28" s="1142"/>
      <c r="AZ28" s="1142"/>
      <c r="BA28" s="1142"/>
      <c r="BB28" s="1142"/>
      <c r="BC28" s="1142"/>
      <c r="BD28" s="1142"/>
      <c r="BE28" s="1142"/>
      <c r="BF28" s="1142"/>
      <c r="BG28" s="1142"/>
      <c r="BH28" s="1142"/>
      <c r="BI28" s="1142"/>
      <c r="BJ28" s="1142"/>
      <c r="BK28" s="1142"/>
      <c r="BL28" s="1142"/>
      <c r="BM28" s="1142"/>
      <c r="BN28" s="1142"/>
      <c r="BO28" s="1142"/>
      <c r="BP28" s="1142"/>
      <c r="BQ28" s="1142"/>
      <c r="BR28" s="1142"/>
      <c r="BS28" s="1142"/>
      <c r="BT28" s="1142"/>
      <c r="BU28" s="1142"/>
      <c r="BV28" s="1142"/>
      <c r="BW28" s="1142"/>
      <c r="BX28" s="1142"/>
      <c r="BY28" s="1142"/>
      <c r="BZ28" s="1142"/>
      <c r="CA28" s="1142"/>
      <c r="CB28" s="1142"/>
      <c r="CC28" s="1142"/>
      <c r="CD28" s="1142"/>
      <c r="CE28" s="1142"/>
      <c r="CF28" s="1142"/>
      <c r="CG28" s="1142"/>
      <c r="CH28" s="1142"/>
      <c r="CI28" s="1142"/>
      <c r="CJ28" s="1142"/>
      <c r="CK28" s="1142"/>
      <c r="CL28" s="1142"/>
      <c r="CM28" s="1142"/>
      <c r="CN28" s="1142"/>
      <c r="CO28" s="1142"/>
      <c r="CP28" s="1142"/>
      <c r="CQ28" s="1142"/>
      <c r="CR28" s="1142"/>
      <c r="CS28" s="1142"/>
      <c r="CT28" s="1142"/>
      <c r="CU28" s="1142"/>
      <c r="CV28" s="1142"/>
      <c r="CW28" s="1142"/>
      <c r="CX28" s="1142"/>
      <c r="CY28" s="1142"/>
      <c r="CZ28" s="1142"/>
      <c r="DA28" s="1142"/>
      <c r="DB28" s="1142"/>
      <c r="DC28" s="1142"/>
      <c r="DD28" s="1142"/>
      <c r="DE28" s="1142"/>
      <c r="DF28" s="1142"/>
      <c r="DG28" s="1142"/>
      <c r="DH28" s="1142"/>
      <c r="DI28" s="1142"/>
      <c r="DJ28" s="1142"/>
      <c r="DK28" s="1142"/>
      <c r="DL28" s="1142"/>
      <c r="DM28" s="1142"/>
      <c r="DN28" s="1142"/>
      <c r="DO28" s="1142"/>
      <c r="DP28" s="1142"/>
      <c r="DQ28" s="1142"/>
      <c r="DR28" s="1142"/>
      <c r="DS28" s="1142"/>
      <c r="DT28" s="1142"/>
      <c r="DU28" s="1142"/>
      <c r="DV28" s="1142"/>
      <c r="DW28" s="1142"/>
      <c r="DX28" s="1142"/>
      <c r="DY28" s="1142"/>
      <c r="DZ28" s="1142"/>
      <c r="EA28" s="1142"/>
      <c r="EB28" s="1142"/>
      <c r="EC28" s="1142"/>
      <c r="ED28" s="1142"/>
      <c r="EE28" s="1142"/>
      <c r="EF28" s="1142"/>
      <c r="EG28" s="1142"/>
      <c r="EH28" s="1142"/>
      <c r="EI28" s="1142"/>
      <c r="EJ28" s="1142"/>
      <c r="EK28" s="1142"/>
      <c r="EL28" s="1142"/>
      <c r="EM28" s="1142"/>
      <c r="EN28" s="1142"/>
      <c r="EO28" s="1142"/>
      <c r="EP28" s="1142"/>
      <c r="EQ28" s="1142"/>
      <c r="ER28" s="1142"/>
      <c r="ES28" s="1142"/>
      <c r="ET28" s="1142"/>
      <c r="EU28" s="1142"/>
      <c r="EV28" s="1142"/>
      <c r="EW28" s="1142"/>
    </row>
    <row r="29" spans="1:153" s="1140" customFormat="1">
      <c r="A29" s="1142" t="s">
        <v>91</v>
      </c>
      <c r="B29" s="1967" t="s">
        <v>1372</v>
      </c>
      <c r="C29" s="1979"/>
      <c r="D29" s="1979"/>
      <c r="E29" s="1979"/>
      <c r="F29" s="1979"/>
      <c r="G29" s="1979"/>
      <c r="H29" s="1979"/>
    </row>
    <row r="30" spans="1:153" ht="33" customHeight="1">
      <c r="A30" s="1142" t="s">
        <v>93</v>
      </c>
      <c r="B30" s="1972" t="s">
        <v>1373</v>
      </c>
      <c r="C30" s="1973"/>
      <c r="D30" s="1973"/>
      <c r="E30" s="1973"/>
      <c r="F30" s="1973"/>
      <c r="G30" s="1973"/>
      <c r="H30" s="1973"/>
      <c r="I30" s="1142"/>
      <c r="J30" s="1142"/>
      <c r="K30" s="1142"/>
      <c r="L30" s="1142"/>
      <c r="M30" s="1142"/>
      <c r="N30" s="1142"/>
      <c r="O30" s="1142"/>
      <c r="P30" s="1142"/>
      <c r="Q30" s="1142"/>
      <c r="R30" s="1142"/>
      <c r="S30" s="1142"/>
      <c r="T30" s="1142"/>
      <c r="U30" s="1142"/>
      <c r="V30" s="1142"/>
      <c r="W30" s="1142"/>
      <c r="X30" s="1142"/>
      <c r="Y30" s="1142"/>
      <c r="Z30" s="1142"/>
      <c r="AA30" s="1142"/>
      <c r="AB30" s="1142"/>
      <c r="AC30" s="1142"/>
      <c r="AD30" s="1142"/>
      <c r="AE30" s="1142"/>
      <c r="AF30" s="1142"/>
      <c r="AG30" s="1142"/>
      <c r="AH30" s="1142"/>
      <c r="AI30" s="1142"/>
      <c r="AJ30" s="1142"/>
      <c r="AK30" s="1142"/>
      <c r="AL30" s="1142"/>
      <c r="AM30" s="1142"/>
      <c r="AN30" s="1142"/>
      <c r="AO30" s="1142"/>
      <c r="AP30" s="1142"/>
      <c r="AQ30" s="1142"/>
      <c r="AR30" s="1142"/>
      <c r="AS30" s="1142"/>
      <c r="AT30" s="1142"/>
      <c r="AU30" s="1142"/>
      <c r="AV30" s="1142"/>
      <c r="AW30" s="1142"/>
      <c r="AX30" s="1142"/>
      <c r="AY30" s="1142"/>
      <c r="AZ30" s="1142"/>
      <c r="BA30" s="1142"/>
      <c r="BB30" s="1142"/>
      <c r="BC30" s="1142"/>
      <c r="BD30" s="1142"/>
      <c r="BE30" s="1142"/>
      <c r="BF30" s="1142"/>
      <c r="BG30" s="1142"/>
      <c r="BH30" s="1142"/>
      <c r="BI30" s="1142"/>
      <c r="BJ30" s="1142"/>
      <c r="BK30" s="1142"/>
      <c r="BL30" s="1142"/>
      <c r="BM30" s="1142"/>
      <c r="BN30" s="1142"/>
      <c r="BO30" s="1142"/>
      <c r="BP30" s="1142"/>
      <c r="BQ30" s="1142"/>
      <c r="BR30" s="1142"/>
      <c r="BS30" s="1142"/>
      <c r="BT30" s="1142"/>
      <c r="BU30" s="1142"/>
      <c r="BV30" s="1142"/>
      <c r="BW30" s="1142"/>
      <c r="BX30" s="1142"/>
      <c r="BY30" s="1142"/>
      <c r="BZ30" s="1142"/>
      <c r="CA30" s="1142"/>
      <c r="CB30" s="1142"/>
      <c r="CC30" s="1142"/>
      <c r="CD30" s="1142"/>
      <c r="CE30" s="1142"/>
      <c r="CF30" s="1142"/>
      <c r="CG30" s="1142"/>
      <c r="CH30" s="1142"/>
      <c r="CI30" s="1142"/>
      <c r="CJ30" s="1142"/>
      <c r="CK30" s="1142"/>
      <c r="CL30" s="1142"/>
      <c r="CM30" s="1142"/>
      <c r="CN30" s="1142"/>
      <c r="CO30" s="1142"/>
      <c r="CP30" s="1142"/>
      <c r="CQ30" s="1142"/>
      <c r="CR30" s="1142"/>
      <c r="CS30" s="1142"/>
      <c r="CT30" s="1142"/>
      <c r="CU30" s="1142"/>
      <c r="CV30" s="1142"/>
      <c r="CW30" s="1142"/>
      <c r="CX30" s="1142"/>
      <c r="CY30" s="1142"/>
      <c r="CZ30" s="1142"/>
      <c r="DA30" s="1142"/>
      <c r="DB30" s="1142"/>
      <c r="DC30" s="1142"/>
      <c r="DD30" s="1142"/>
      <c r="DE30" s="1142"/>
      <c r="DF30" s="1142"/>
      <c r="DG30" s="1142"/>
      <c r="DH30" s="1142"/>
      <c r="DI30" s="1142"/>
      <c r="DJ30" s="1142"/>
      <c r="DK30" s="1142"/>
      <c r="DL30" s="1142"/>
      <c r="DM30" s="1142"/>
      <c r="DN30" s="1142"/>
      <c r="DO30" s="1142"/>
      <c r="DP30" s="1142"/>
      <c r="DQ30" s="1142"/>
      <c r="DR30" s="1142"/>
      <c r="DS30" s="1142"/>
      <c r="DT30" s="1142"/>
      <c r="DU30" s="1142"/>
      <c r="DV30" s="1142"/>
      <c r="DW30" s="1142"/>
      <c r="DX30" s="1142"/>
      <c r="DY30" s="1142"/>
      <c r="DZ30" s="1142"/>
      <c r="EA30" s="1142"/>
      <c r="EB30" s="1142"/>
      <c r="EC30" s="1142"/>
      <c r="ED30" s="1142"/>
      <c r="EE30" s="1142"/>
      <c r="EF30" s="1142"/>
      <c r="EG30" s="1142"/>
      <c r="EH30" s="1142"/>
      <c r="EI30" s="1142"/>
      <c r="EJ30" s="1142"/>
      <c r="EK30" s="1142"/>
      <c r="EL30" s="1142"/>
      <c r="EM30" s="1142"/>
      <c r="EN30" s="1142"/>
      <c r="EO30" s="1142"/>
      <c r="EP30" s="1142"/>
      <c r="EQ30" s="1142"/>
      <c r="ER30" s="1142"/>
    </row>
    <row r="31" spans="1:153" ht="34.5" customHeight="1">
      <c r="A31" s="1142" t="s">
        <v>95</v>
      </c>
      <c r="B31" s="1972" t="s">
        <v>1374</v>
      </c>
      <c r="C31" s="1973"/>
      <c r="D31" s="1973"/>
      <c r="E31" s="1973"/>
      <c r="F31" s="1973"/>
      <c r="G31" s="1973"/>
      <c r="H31" s="1973"/>
      <c r="I31" s="1142"/>
      <c r="J31" s="1142"/>
      <c r="K31" s="1142"/>
      <c r="L31" s="1142"/>
      <c r="M31" s="1142"/>
      <c r="N31" s="1142"/>
      <c r="O31" s="1142"/>
      <c r="P31" s="1142"/>
      <c r="Q31" s="1142"/>
      <c r="R31" s="1142"/>
      <c r="S31" s="1142"/>
      <c r="T31" s="1142"/>
      <c r="U31" s="1142"/>
      <c r="V31" s="1142"/>
      <c r="W31" s="1142"/>
      <c r="X31" s="1142"/>
      <c r="Y31" s="1142"/>
      <c r="Z31" s="1142"/>
      <c r="AA31" s="1142"/>
      <c r="AB31" s="1142"/>
      <c r="AC31" s="1142"/>
      <c r="AD31" s="1142"/>
      <c r="AE31" s="1142"/>
      <c r="AF31" s="1142"/>
      <c r="AG31" s="1142"/>
      <c r="AH31" s="1142"/>
      <c r="AI31" s="1142"/>
      <c r="AJ31" s="1142"/>
      <c r="AK31" s="1142"/>
      <c r="AL31" s="1142"/>
      <c r="AM31" s="1142"/>
      <c r="AN31" s="1142"/>
      <c r="AO31" s="1142"/>
      <c r="AP31" s="1142"/>
      <c r="AQ31" s="1142"/>
      <c r="AR31" s="1142"/>
      <c r="AS31" s="1142"/>
      <c r="AT31" s="1142"/>
      <c r="AU31" s="1142"/>
      <c r="AV31" s="1142"/>
      <c r="AW31" s="1142"/>
      <c r="AX31" s="1142"/>
      <c r="AY31" s="1142"/>
      <c r="AZ31" s="1142"/>
      <c r="BA31" s="1142"/>
      <c r="BB31" s="1142"/>
      <c r="BC31" s="1142"/>
      <c r="BD31" s="1142"/>
      <c r="BE31" s="1142"/>
      <c r="BF31" s="1142"/>
      <c r="BG31" s="1142"/>
      <c r="BH31" s="1142"/>
      <c r="BI31" s="1142"/>
      <c r="BJ31" s="1142"/>
      <c r="BK31" s="1142"/>
      <c r="BL31" s="1142"/>
      <c r="BM31" s="1142"/>
      <c r="BN31" s="1142"/>
      <c r="BO31" s="1142"/>
      <c r="BP31" s="1142"/>
      <c r="BQ31" s="1142"/>
      <c r="BR31" s="1142"/>
      <c r="BS31" s="1142"/>
      <c r="BT31" s="1142"/>
      <c r="BU31" s="1142"/>
      <c r="BV31" s="1142"/>
      <c r="BW31" s="1142"/>
      <c r="BX31" s="1142"/>
      <c r="BY31" s="1142"/>
      <c r="BZ31" s="1142"/>
      <c r="CA31" s="1142"/>
      <c r="CB31" s="1142"/>
      <c r="CC31" s="1142"/>
      <c r="CD31" s="1142"/>
      <c r="CE31" s="1142"/>
      <c r="CF31" s="1142"/>
      <c r="CG31" s="1142"/>
      <c r="CH31" s="1142"/>
      <c r="CI31" s="1142"/>
      <c r="CJ31" s="1142"/>
      <c r="CK31" s="1142"/>
      <c r="CL31" s="1142"/>
      <c r="CM31" s="1142"/>
      <c r="CN31" s="1142"/>
      <c r="CO31" s="1142"/>
      <c r="CP31" s="1142"/>
      <c r="CQ31" s="1142"/>
      <c r="CR31" s="1142"/>
      <c r="CS31" s="1142"/>
      <c r="CT31" s="1142"/>
      <c r="CU31" s="1142"/>
      <c r="CV31" s="1142"/>
      <c r="CW31" s="1142"/>
      <c r="CX31" s="1142"/>
      <c r="CY31" s="1142"/>
      <c r="CZ31" s="1142"/>
      <c r="DA31" s="1142"/>
      <c r="DB31" s="1142"/>
      <c r="DC31" s="1142"/>
      <c r="DD31" s="1142"/>
      <c r="DE31" s="1142"/>
      <c r="DF31" s="1142"/>
      <c r="DG31" s="1142"/>
      <c r="DH31" s="1142"/>
      <c r="DI31" s="1142"/>
      <c r="DJ31" s="1142"/>
      <c r="DK31" s="1142"/>
      <c r="DL31" s="1142"/>
      <c r="DM31" s="1142"/>
      <c r="DN31" s="1142"/>
      <c r="DO31" s="1142"/>
      <c r="DP31" s="1142"/>
      <c r="DQ31" s="1142"/>
      <c r="DR31" s="1142"/>
      <c r="DS31" s="1142"/>
      <c r="DT31" s="1142"/>
      <c r="DU31" s="1142"/>
      <c r="DV31" s="1142"/>
      <c r="DW31" s="1142"/>
      <c r="DX31" s="1142"/>
      <c r="DY31" s="1142"/>
      <c r="DZ31" s="1142"/>
      <c r="EA31" s="1142"/>
      <c r="EB31" s="1142"/>
      <c r="EC31" s="1142"/>
      <c r="ED31" s="1142"/>
      <c r="EE31" s="1142"/>
      <c r="EF31" s="1142"/>
      <c r="EG31" s="1142"/>
      <c r="EH31" s="1142"/>
      <c r="EI31" s="1142"/>
      <c r="EJ31" s="1142"/>
      <c r="EK31" s="1142"/>
      <c r="EL31" s="1142"/>
      <c r="EM31" s="1142"/>
      <c r="EN31" s="1142"/>
      <c r="EO31" s="1142"/>
      <c r="EP31" s="1142"/>
      <c r="EQ31" s="1142"/>
      <c r="ER31" s="1142"/>
    </row>
  </sheetData>
  <mergeCells count="10">
    <mergeCell ref="B28:H28"/>
    <mergeCell ref="B29:H29"/>
    <mergeCell ref="B30:H30"/>
    <mergeCell ref="B31:H31"/>
    <mergeCell ref="A3:H3"/>
    <mergeCell ref="A6:A7"/>
    <mergeCell ref="B6:B7"/>
    <mergeCell ref="C6:D6"/>
    <mergeCell ref="E6:F6"/>
    <mergeCell ref="G6:H6"/>
  </mergeCells>
  <pageMargins left="0.78740157480314965" right="0.51181102362204722" top="0.59055118110236227" bottom="0.39370078740157483" header="0.19685039370078741" footer="0.19685039370078741"/>
  <pageSetup paperSize="9" scale="65" orientation="portrait" r:id="rId1"/>
  <headerFooter alignWithMargins="0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EW29"/>
  <sheetViews>
    <sheetView view="pageBreakPreview" zoomScaleNormal="100" workbookViewId="0">
      <pane ySplit="8" topLeftCell="A9" activePane="bottomLeft" state="frozen"/>
      <selection activeCell="C6" sqref="C6:H6"/>
      <selection pane="bottomLeft" activeCell="J15" sqref="J15"/>
    </sheetView>
  </sheetViews>
  <sheetFormatPr defaultColWidth="2.7109375" defaultRowHeight="15"/>
  <cols>
    <col min="1" max="1" width="6.5703125" style="1" customWidth="1"/>
    <col min="2" max="2" width="49" style="1" customWidth="1"/>
    <col min="3" max="8" width="13.7109375" style="1" customWidth="1"/>
    <col min="9" max="60" width="8.28515625" style="1" customWidth="1"/>
    <col min="61" max="16384" width="2.7109375" style="1"/>
  </cols>
  <sheetData>
    <row r="1" spans="1:9" s="5" customFormat="1" ht="18" customHeight="1">
      <c r="A1" s="74" t="s">
        <v>1860</v>
      </c>
      <c r="H1" s="6" t="s">
        <v>1351</v>
      </c>
    </row>
    <row r="2" spans="1:9" ht="12.75" customHeight="1">
      <c r="A2" s="1139" t="s">
        <v>1679</v>
      </c>
    </row>
    <row r="3" spans="1:9" ht="29.25" customHeight="1">
      <c r="A3" s="1980" t="s">
        <v>1352</v>
      </c>
      <c r="B3" s="1980"/>
      <c r="C3" s="1980"/>
      <c r="D3" s="1980"/>
      <c r="E3" s="1980"/>
      <c r="F3" s="1980"/>
      <c r="G3" s="1980"/>
      <c r="H3" s="1980"/>
    </row>
    <row r="4" spans="1:9" ht="12.75" customHeight="1">
      <c r="B4" s="1137"/>
      <c r="C4" s="1137"/>
      <c r="D4" s="1137"/>
      <c r="E4" s="1137"/>
      <c r="F4" s="1137"/>
      <c r="G4" s="1137"/>
      <c r="H4" s="1137"/>
    </row>
    <row r="5" spans="1:9" ht="14.25" customHeight="1">
      <c r="A5" s="812" t="s">
        <v>1329</v>
      </c>
      <c r="H5" s="23" t="s">
        <v>360</v>
      </c>
    </row>
    <row r="6" spans="1:9" s="3" customFormat="1" ht="15" customHeight="1">
      <c r="A6" s="1858" t="s">
        <v>0</v>
      </c>
      <c r="B6" s="1858" t="s">
        <v>1293</v>
      </c>
      <c r="C6" s="1981" t="s">
        <v>1336</v>
      </c>
      <c r="D6" s="1982"/>
      <c r="E6" s="1981" t="s">
        <v>1337</v>
      </c>
      <c r="F6" s="1983"/>
      <c r="G6" s="1981" t="s">
        <v>1715</v>
      </c>
      <c r="H6" s="1983"/>
    </row>
    <row r="7" spans="1:9" s="3" customFormat="1" ht="105">
      <c r="A7" s="1971"/>
      <c r="B7" s="1971"/>
      <c r="C7" s="822" t="s">
        <v>1353</v>
      </c>
      <c r="D7" s="822" t="s">
        <v>1354</v>
      </c>
      <c r="E7" s="822" t="s">
        <v>1353</v>
      </c>
      <c r="F7" s="822" t="s">
        <v>1354</v>
      </c>
      <c r="G7" s="822" t="s">
        <v>1353</v>
      </c>
      <c r="H7" s="822" t="s">
        <v>1354</v>
      </c>
    </row>
    <row r="8" spans="1:9" s="2" customFormat="1">
      <c r="A8" s="13">
        <v>1</v>
      </c>
      <c r="B8" s="13">
        <v>2</v>
      </c>
      <c r="C8" s="13">
        <v>3</v>
      </c>
      <c r="D8" s="13">
        <v>4</v>
      </c>
      <c r="E8" s="13">
        <v>5</v>
      </c>
      <c r="F8" s="13">
        <v>6</v>
      </c>
      <c r="G8" s="13">
        <v>7</v>
      </c>
      <c r="H8" s="13">
        <v>8</v>
      </c>
    </row>
    <row r="9" spans="1:9" s="41" customFormat="1" ht="45">
      <c r="A9" s="60" t="s">
        <v>893</v>
      </c>
      <c r="B9" s="68" t="s">
        <v>1355</v>
      </c>
      <c r="C9" s="823"/>
      <c r="D9" s="823">
        <v>0</v>
      </c>
      <c r="E9" s="823"/>
      <c r="F9" s="823">
        <v>0</v>
      </c>
      <c r="G9" s="823"/>
      <c r="H9" s="823">
        <v>0</v>
      </c>
    </row>
    <row r="10" spans="1:9" s="832" customFormat="1" ht="15" customHeight="1">
      <c r="A10" s="829" t="s">
        <v>895</v>
      </c>
      <c r="B10" s="830" t="s">
        <v>1308</v>
      </c>
      <c r="C10" s="1236"/>
      <c r="D10" s="823">
        <v>69572</v>
      </c>
      <c r="E10" s="1236"/>
      <c r="F10" s="823">
        <v>65027</v>
      </c>
      <c r="G10" s="1236"/>
      <c r="H10" s="823">
        <v>68864</v>
      </c>
      <c r="I10" s="832" t="s">
        <v>1356</v>
      </c>
    </row>
    <row r="11" spans="1:9" s="832" customFormat="1" ht="15" customHeight="1">
      <c r="A11" s="829" t="s">
        <v>896</v>
      </c>
      <c r="B11" s="833" t="s">
        <v>1357</v>
      </c>
      <c r="C11" s="849"/>
      <c r="D11" s="1211"/>
      <c r="E11" s="849"/>
      <c r="F11" s="1211"/>
      <c r="G11" s="849"/>
      <c r="H11" s="1211"/>
    </row>
    <row r="12" spans="1:9" s="41" customFormat="1" ht="30">
      <c r="A12" s="60" t="s">
        <v>897</v>
      </c>
      <c r="B12" s="70" t="s">
        <v>1358</v>
      </c>
      <c r="C12" s="826">
        <f>C13+C14+C15</f>
        <v>0</v>
      </c>
      <c r="D12" s="826">
        <v>2809</v>
      </c>
      <c r="E12" s="826">
        <v>0</v>
      </c>
      <c r="F12" s="826">
        <v>3323.4</v>
      </c>
      <c r="G12" s="826">
        <v>0</v>
      </c>
      <c r="H12" s="826">
        <v>3493.6</v>
      </c>
    </row>
    <row r="13" spans="1:9" s="41" customFormat="1" ht="75">
      <c r="A13" s="60" t="s">
        <v>1359</v>
      </c>
      <c r="B13" s="68" t="s">
        <v>1360</v>
      </c>
      <c r="C13" s="826"/>
      <c r="D13" s="823">
        <v>540</v>
      </c>
      <c r="E13" s="826"/>
      <c r="F13" s="823">
        <v>593.9</v>
      </c>
      <c r="G13" s="826"/>
      <c r="H13" s="823">
        <v>593.9</v>
      </c>
    </row>
    <row r="14" spans="1:9" s="41" customFormat="1">
      <c r="A14" s="60" t="s">
        <v>1361</v>
      </c>
      <c r="B14" s="68" t="s">
        <v>1362</v>
      </c>
      <c r="C14" s="826"/>
      <c r="D14" s="823">
        <v>1641</v>
      </c>
      <c r="E14" s="826"/>
      <c r="F14" s="823">
        <v>1863.5</v>
      </c>
      <c r="G14" s="826"/>
      <c r="H14" s="823">
        <v>1974.7</v>
      </c>
    </row>
    <row r="15" spans="1:9" s="41" customFormat="1">
      <c r="A15" s="60" t="s">
        <v>1363</v>
      </c>
      <c r="B15" s="68" t="s">
        <v>1364</v>
      </c>
      <c r="C15" s="826"/>
      <c r="D15" s="823">
        <v>628</v>
      </c>
      <c r="E15" s="826"/>
      <c r="F15" s="823">
        <v>866</v>
      </c>
      <c r="G15" s="826"/>
      <c r="H15" s="823">
        <v>925</v>
      </c>
    </row>
    <row r="16" spans="1:9" s="41" customFormat="1">
      <c r="A16" s="60" t="s">
        <v>1036</v>
      </c>
      <c r="B16" s="70" t="s">
        <v>1365</v>
      </c>
      <c r="C16" s="826"/>
      <c r="D16" s="826">
        <v>193958</v>
      </c>
      <c r="E16" s="826"/>
      <c r="F16" s="826">
        <v>218452</v>
      </c>
      <c r="G16" s="826"/>
      <c r="H16" s="826">
        <v>231526</v>
      </c>
    </row>
    <row r="17" spans="1:153" s="41" customFormat="1">
      <c r="A17" s="60" t="s">
        <v>1035</v>
      </c>
      <c r="B17" s="70" t="s">
        <v>1366</v>
      </c>
      <c r="C17" s="826"/>
      <c r="D17" s="826">
        <v>0</v>
      </c>
      <c r="E17" s="826"/>
      <c r="F17" s="826">
        <v>0</v>
      </c>
      <c r="G17" s="826"/>
      <c r="H17" s="826">
        <v>0</v>
      </c>
    </row>
    <row r="18" spans="1:153" s="41" customFormat="1" ht="30">
      <c r="A18" s="60" t="s">
        <v>1034</v>
      </c>
      <c r="B18" s="70" t="s">
        <v>1367</v>
      </c>
      <c r="C18" s="826"/>
      <c r="D18" s="826">
        <v>5154</v>
      </c>
      <c r="E18" s="826"/>
      <c r="F18" s="826">
        <v>5588</v>
      </c>
      <c r="G18" s="826"/>
      <c r="H18" s="826">
        <v>5005</v>
      </c>
    </row>
    <row r="19" spans="1:153" s="41" customFormat="1" ht="30">
      <c r="A19" s="60" t="s">
        <v>1033</v>
      </c>
      <c r="B19" s="70" t="s">
        <v>1368</v>
      </c>
      <c r="C19" s="826"/>
      <c r="D19" s="826">
        <v>77200</v>
      </c>
      <c r="E19" s="826"/>
      <c r="F19" s="826">
        <v>63140</v>
      </c>
      <c r="G19" s="826"/>
      <c r="H19" s="826">
        <v>80006</v>
      </c>
    </row>
    <row r="20" spans="1:153" s="810" customFormat="1" ht="14.25">
      <c r="A20" s="82"/>
      <c r="B20" s="808" t="s">
        <v>770</v>
      </c>
      <c r="C20" s="827">
        <f>C9+C10+C11+C12+C16+C17+C18+C19</f>
        <v>0</v>
      </c>
      <c r="D20" s="827">
        <f>D9+D10+D11+D12+D16+D17+D18+D19</f>
        <v>348693</v>
      </c>
      <c r="E20" s="827">
        <f t="shared" ref="E20:G20" si="0">E9+E10+E11+E12+E16+E17+E18+E19</f>
        <v>0</v>
      </c>
      <c r="F20" s="827">
        <f>F9+F10+F11+F12+F16+F17+F18+F19</f>
        <v>355530.4</v>
      </c>
      <c r="G20" s="827">
        <f t="shared" si="0"/>
        <v>0</v>
      </c>
      <c r="H20" s="827">
        <f>H9+H10+H11+H12+H16+H17+H18+H19</f>
        <v>388894.6</v>
      </c>
    </row>
    <row r="21" spans="1:153" s="41" customFormat="1">
      <c r="A21" s="60" t="s">
        <v>91</v>
      </c>
      <c r="B21" s="70" t="s">
        <v>396</v>
      </c>
      <c r="C21" s="826"/>
      <c r="D21" s="826">
        <f>'4.6_генерация_котельн.'!J83</f>
        <v>1390.25</v>
      </c>
      <c r="E21" s="826"/>
      <c r="F21" s="826">
        <f>'4.6_генерация_котельн.'!K83</f>
        <v>1484.787</v>
      </c>
      <c r="G21" s="826"/>
      <c r="H21" s="826">
        <f>'4.6_генерация_котельн.'!N83</f>
        <v>1572.3894330000001</v>
      </c>
    </row>
    <row r="22" spans="1:153" s="41" customFormat="1" ht="48" customHeight="1">
      <c r="A22" s="60" t="s">
        <v>1369</v>
      </c>
      <c r="B22" s="70" t="s">
        <v>1370</v>
      </c>
      <c r="C22" s="1216"/>
      <c r="D22" s="1216"/>
      <c r="E22" s="826"/>
      <c r="F22" s="826"/>
      <c r="G22" s="826"/>
      <c r="H22" s="826"/>
    </row>
    <row r="23" spans="1:153" s="810" customFormat="1" ht="15" customHeight="1">
      <c r="A23" s="82" t="s">
        <v>95</v>
      </c>
      <c r="B23" s="808" t="s">
        <v>1371</v>
      </c>
      <c r="C23" s="827">
        <f>C20+C21+C22</f>
        <v>0</v>
      </c>
      <c r="D23" s="827">
        <f t="shared" ref="D23:H23" si="1">D20+D21+D22</f>
        <v>350083.25</v>
      </c>
      <c r="E23" s="827">
        <f t="shared" si="1"/>
        <v>0</v>
      </c>
      <c r="F23" s="827">
        <f t="shared" si="1"/>
        <v>357015.18700000003</v>
      </c>
      <c r="G23" s="827">
        <f t="shared" si="1"/>
        <v>0</v>
      </c>
      <c r="H23" s="827">
        <f t="shared" si="1"/>
        <v>390466.98943299998</v>
      </c>
    </row>
    <row r="25" spans="1:153" s="26" customFormat="1">
      <c r="A25" s="26" t="s">
        <v>88</v>
      </c>
    </row>
    <row r="26" spans="1:153" s="1140" customFormat="1">
      <c r="A26" s="1142" t="s">
        <v>89</v>
      </c>
      <c r="B26" s="1972" t="s">
        <v>1346</v>
      </c>
      <c r="C26" s="1973"/>
      <c r="D26" s="1973"/>
      <c r="E26" s="1973"/>
      <c r="F26" s="1973"/>
      <c r="G26" s="1973"/>
      <c r="H26" s="1973"/>
      <c r="I26" s="1142"/>
      <c r="J26" s="1142"/>
      <c r="K26" s="1142"/>
      <c r="L26" s="1142"/>
      <c r="M26" s="1142"/>
      <c r="N26" s="1142"/>
      <c r="O26" s="1142"/>
      <c r="P26" s="1142"/>
      <c r="Q26" s="1142"/>
      <c r="R26" s="1142"/>
      <c r="S26" s="1142"/>
      <c r="T26" s="1142"/>
      <c r="U26" s="1142"/>
      <c r="V26" s="1142"/>
      <c r="W26" s="1142"/>
      <c r="X26" s="1142"/>
      <c r="Y26" s="1142"/>
      <c r="Z26" s="1142"/>
      <c r="AA26" s="1142"/>
      <c r="AB26" s="1142"/>
      <c r="AC26" s="1142"/>
      <c r="AD26" s="1142"/>
      <c r="AE26" s="1142"/>
      <c r="AF26" s="1142"/>
      <c r="AG26" s="1142"/>
      <c r="AH26" s="1142"/>
      <c r="AI26" s="1142"/>
      <c r="AJ26" s="1142"/>
      <c r="AK26" s="1142"/>
      <c r="AL26" s="1142"/>
      <c r="AM26" s="1142"/>
      <c r="AN26" s="1142"/>
      <c r="AO26" s="1142"/>
      <c r="AP26" s="1142"/>
      <c r="AQ26" s="1142"/>
      <c r="AR26" s="1142"/>
      <c r="AS26" s="1142"/>
      <c r="AT26" s="1142"/>
      <c r="AU26" s="1142"/>
      <c r="AV26" s="1142"/>
      <c r="AW26" s="1142"/>
      <c r="AX26" s="1142"/>
      <c r="AY26" s="1142"/>
      <c r="AZ26" s="1142"/>
      <c r="BA26" s="1142"/>
      <c r="BB26" s="1142"/>
      <c r="BC26" s="1142"/>
      <c r="BD26" s="1142"/>
      <c r="BE26" s="1142"/>
      <c r="BF26" s="1142"/>
      <c r="BG26" s="1142"/>
      <c r="BH26" s="1142"/>
      <c r="BI26" s="1142"/>
      <c r="BJ26" s="1142"/>
      <c r="BK26" s="1142"/>
      <c r="BL26" s="1142"/>
      <c r="BM26" s="1142"/>
      <c r="BN26" s="1142"/>
      <c r="BO26" s="1142"/>
      <c r="BP26" s="1142"/>
      <c r="BQ26" s="1142"/>
      <c r="BR26" s="1142"/>
      <c r="BS26" s="1142"/>
      <c r="BT26" s="1142"/>
      <c r="BU26" s="1142"/>
      <c r="BV26" s="1142"/>
      <c r="BW26" s="1142"/>
      <c r="BX26" s="1142"/>
      <c r="BY26" s="1142"/>
      <c r="BZ26" s="1142"/>
      <c r="CA26" s="1142"/>
      <c r="CB26" s="1142"/>
      <c r="CC26" s="1142"/>
      <c r="CD26" s="1142"/>
      <c r="CE26" s="1142"/>
      <c r="CF26" s="1142"/>
      <c r="CG26" s="1142"/>
      <c r="CH26" s="1142"/>
      <c r="CI26" s="1142"/>
      <c r="CJ26" s="1142"/>
      <c r="CK26" s="1142"/>
      <c r="CL26" s="1142"/>
      <c r="CM26" s="1142"/>
      <c r="CN26" s="1142"/>
      <c r="CO26" s="1142"/>
      <c r="CP26" s="1142"/>
      <c r="CQ26" s="1142"/>
      <c r="CR26" s="1142"/>
      <c r="CS26" s="1142"/>
      <c r="CT26" s="1142"/>
      <c r="CU26" s="1142"/>
      <c r="CV26" s="1142"/>
      <c r="CW26" s="1142"/>
      <c r="CX26" s="1142"/>
      <c r="CY26" s="1142"/>
      <c r="CZ26" s="1142"/>
      <c r="DA26" s="1142"/>
      <c r="DB26" s="1142"/>
      <c r="DC26" s="1142"/>
      <c r="DD26" s="1142"/>
      <c r="DE26" s="1142"/>
      <c r="DF26" s="1142"/>
      <c r="DG26" s="1142"/>
      <c r="DH26" s="1142"/>
      <c r="DI26" s="1142"/>
      <c r="DJ26" s="1142"/>
      <c r="DK26" s="1142"/>
      <c r="DL26" s="1142"/>
      <c r="DM26" s="1142"/>
      <c r="DN26" s="1142"/>
      <c r="DO26" s="1142"/>
      <c r="DP26" s="1142"/>
      <c r="DQ26" s="1142"/>
      <c r="DR26" s="1142"/>
      <c r="DS26" s="1142"/>
      <c r="DT26" s="1142"/>
      <c r="DU26" s="1142"/>
      <c r="DV26" s="1142"/>
      <c r="DW26" s="1142"/>
      <c r="DX26" s="1142"/>
      <c r="DY26" s="1142"/>
      <c r="DZ26" s="1142"/>
      <c r="EA26" s="1142"/>
      <c r="EB26" s="1142"/>
      <c r="EC26" s="1142"/>
      <c r="ED26" s="1142"/>
      <c r="EE26" s="1142"/>
      <c r="EF26" s="1142"/>
      <c r="EG26" s="1142"/>
      <c r="EH26" s="1142"/>
      <c r="EI26" s="1142"/>
      <c r="EJ26" s="1142"/>
      <c r="EK26" s="1142"/>
      <c r="EL26" s="1142"/>
      <c r="EM26" s="1142"/>
      <c r="EN26" s="1142"/>
      <c r="EO26" s="1142"/>
      <c r="EP26" s="1142"/>
      <c r="EQ26" s="1142"/>
      <c r="ER26" s="1142"/>
      <c r="ES26" s="1142"/>
      <c r="ET26" s="1142"/>
      <c r="EU26" s="1142"/>
      <c r="EV26" s="1142"/>
      <c r="EW26" s="1142"/>
    </row>
    <row r="27" spans="1:153" s="1140" customFormat="1">
      <c r="A27" s="1142" t="s">
        <v>91</v>
      </c>
      <c r="B27" s="1967" t="s">
        <v>1372</v>
      </c>
      <c r="C27" s="1979"/>
      <c r="D27" s="1979"/>
      <c r="E27" s="1979"/>
      <c r="F27" s="1979"/>
      <c r="G27" s="1979"/>
      <c r="H27" s="1979"/>
    </row>
    <row r="28" spans="1:153" ht="33" customHeight="1">
      <c r="A28" s="1142" t="s">
        <v>93</v>
      </c>
      <c r="B28" s="1972" t="s">
        <v>1373</v>
      </c>
      <c r="C28" s="1973"/>
      <c r="D28" s="1973"/>
      <c r="E28" s="1973"/>
      <c r="F28" s="1973"/>
      <c r="G28" s="1973"/>
      <c r="H28" s="1973"/>
      <c r="I28" s="1142"/>
      <c r="J28" s="1142"/>
      <c r="K28" s="1142"/>
      <c r="L28" s="1142"/>
      <c r="M28" s="1142"/>
      <c r="N28" s="1142"/>
      <c r="O28" s="1142"/>
      <c r="P28" s="1142"/>
      <c r="Q28" s="1142"/>
      <c r="R28" s="1142"/>
      <c r="S28" s="1142"/>
      <c r="T28" s="1142"/>
      <c r="U28" s="1142"/>
      <c r="V28" s="1142"/>
      <c r="W28" s="1142"/>
      <c r="X28" s="1142"/>
      <c r="Y28" s="1142"/>
      <c r="Z28" s="1142"/>
      <c r="AA28" s="1142"/>
      <c r="AB28" s="1142"/>
      <c r="AC28" s="1142"/>
      <c r="AD28" s="1142"/>
      <c r="AE28" s="1142"/>
      <c r="AF28" s="1142"/>
      <c r="AG28" s="1142"/>
      <c r="AH28" s="1142"/>
      <c r="AI28" s="1142"/>
      <c r="AJ28" s="1142"/>
      <c r="AK28" s="1142"/>
      <c r="AL28" s="1142"/>
      <c r="AM28" s="1142"/>
      <c r="AN28" s="1142"/>
      <c r="AO28" s="1142"/>
      <c r="AP28" s="1142"/>
      <c r="AQ28" s="1142"/>
      <c r="AR28" s="1142"/>
      <c r="AS28" s="1142"/>
      <c r="AT28" s="1142"/>
      <c r="AU28" s="1142"/>
      <c r="AV28" s="1142"/>
      <c r="AW28" s="1142"/>
      <c r="AX28" s="1142"/>
      <c r="AY28" s="1142"/>
      <c r="AZ28" s="1142"/>
      <c r="BA28" s="1142"/>
      <c r="BB28" s="1142"/>
      <c r="BC28" s="1142"/>
      <c r="BD28" s="1142"/>
      <c r="BE28" s="1142"/>
      <c r="BF28" s="1142"/>
      <c r="BG28" s="1142"/>
      <c r="BH28" s="1142"/>
      <c r="BI28" s="1142"/>
      <c r="BJ28" s="1142"/>
      <c r="BK28" s="1142"/>
      <c r="BL28" s="1142"/>
      <c r="BM28" s="1142"/>
      <c r="BN28" s="1142"/>
      <c r="BO28" s="1142"/>
      <c r="BP28" s="1142"/>
      <c r="BQ28" s="1142"/>
      <c r="BR28" s="1142"/>
      <c r="BS28" s="1142"/>
      <c r="BT28" s="1142"/>
      <c r="BU28" s="1142"/>
      <c r="BV28" s="1142"/>
      <c r="BW28" s="1142"/>
      <c r="BX28" s="1142"/>
      <c r="BY28" s="1142"/>
      <c r="BZ28" s="1142"/>
      <c r="CA28" s="1142"/>
      <c r="CB28" s="1142"/>
      <c r="CC28" s="1142"/>
      <c r="CD28" s="1142"/>
      <c r="CE28" s="1142"/>
      <c r="CF28" s="1142"/>
      <c r="CG28" s="1142"/>
      <c r="CH28" s="1142"/>
      <c r="CI28" s="1142"/>
      <c r="CJ28" s="1142"/>
      <c r="CK28" s="1142"/>
      <c r="CL28" s="1142"/>
      <c r="CM28" s="1142"/>
      <c r="CN28" s="1142"/>
      <c r="CO28" s="1142"/>
      <c r="CP28" s="1142"/>
      <c r="CQ28" s="1142"/>
      <c r="CR28" s="1142"/>
      <c r="CS28" s="1142"/>
      <c r="CT28" s="1142"/>
      <c r="CU28" s="1142"/>
      <c r="CV28" s="1142"/>
      <c r="CW28" s="1142"/>
      <c r="CX28" s="1142"/>
      <c r="CY28" s="1142"/>
      <c r="CZ28" s="1142"/>
      <c r="DA28" s="1142"/>
      <c r="DB28" s="1142"/>
      <c r="DC28" s="1142"/>
      <c r="DD28" s="1142"/>
      <c r="DE28" s="1142"/>
      <c r="DF28" s="1142"/>
      <c r="DG28" s="1142"/>
      <c r="DH28" s="1142"/>
      <c r="DI28" s="1142"/>
      <c r="DJ28" s="1142"/>
      <c r="DK28" s="1142"/>
      <c r="DL28" s="1142"/>
      <c r="DM28" s="1142"/>
      <c r="DN28" s="1142"/>
      <c r="DO28" s="1142"/>
      <c r="DP28" s="1142"/>
      <c r="DQ28" s="1142"/>
      <c r="DR28" s="1142"/>
      <c r="DS28" s="1142"/>
      <c r="DT28" s="1142"/>
      <c r="DU28" s="1142"/>
      <c r="DV28" s="1142"/>
      <c r="DW28" s="1142"/>
      <c r="DX28" s="1142"/>
      <c r="DY28" s="1142"/>
      <c r="DZ28" s="1142"/>
      <c r="EA28" s="1142"/>
      <c r="EB28" s="1142"/>
      <c r="EC28" s="1142"/>
      <c r="ED28" s="1142"/>
      <c r="EE28" s="1142"/>
      <c r="EF28" s="1142"/>
      <c r="EG28" s="1142"/>
      <c r="EH28" s="1142"/>
      <c r="EI28" s="1142"/>
      <c r="EJ28" s="1142"/>
      <c r="EK28" s="1142"/>
      <c r="EL28" s="1142"/>
      <c r="EM28" s="1142"/>
      <c r="EN28" s="1142"/>
      <c r="EO28" s="1142"/>
      <c r="EP28" s="1142"/>
      <c r="EQ28" s="1142"/>
      <c r="ER28" s="1142"/>
    </row>
    <row r="29" spans="1:153" ht="34.5" customHeight="1">
      <c r="A29" s="1142" t="s">
        <v>95</v>
      </c>
      <c r="B29" s="1972" t="s">
        <v>1374</v>
      </c>
      <c r="C29" s="1973"/>
      <c r="D29" s="1973"/>
      <c r="E29" s="1973"/>
      <c r="F29" s="1973"/>
      <c r="G29" s="1973"/>
      <c r="H29" s="1973"/>
      <c r="I29" s="1142"/>
      <c r="J29" s="1142"/>
      <c r="K29" s="1142"/>
      <c r="L29" s="1142"/>
      <c r="M29" s="1142"/>
      <c r="N29" s="1142"/>
      <c r="O29" s="1142"/>
      <c r="P29" s="1142"/>
      <c r="Q29" s="1142"/>
      <c r="R29" s="1142"/>
      <c r="S29" s="1142"/>
      <c r="T29" s="1142"/>
      <c r="U29" s="1142"/>
      <c r="V29" s="1142"/>
      <c r="W29" s="1142"/>
      <c r="X29" s="1142"/>
      <c r="Y29" s="1142"/>
      <c r="Z29" s="1142"/>
      <c r="AA29" s="1142"/>
      <c r="AB29" s="1142"/>
      <c r="AC29" s="1142"/>
      <c r="AD29" s="1142"/>
      <c r="AE29" s="1142"/>
      <c r="AF29" s="1142"/>
      <c r="AG29" s="1142"/>
      <c r="AH29" s="1142"/>
      <c r="AI29" s="1142"/>
      <c r="AJ29" s="1142"/>
      <c r="AK29" s="1142"/>
      <c r="AL29" s="1142"/>
      <c r="AM29" s="1142"/>
      <c r="AN29" s="1142"/>
      <c r="AO29" s="1142"/>
      <c r="AP29" s="1142"/>
      <c r="AQ29" s="1142"/>
      <c r="AR29" s="1142"/>
      <c r="AS29" s="1142"/>
      <c r="AT29" s="1142"/>
      <c r="AU29" s="1142"/>
      <c r="AV29" s="1142"/>
      <c r="AW29" s="1142"/>
      <c r="AX29" s="1142"/>
      <c r="AY29" s="1142"/>
      <c r="AZ29" s="1142"/>
      <c r="BA29" s="1142"/>
      <c r="BB29" s="1142"/>
      <c r="BC29" s="1142"/>
      <c r="BD29" s="1142"/>
      <c r="BE29" s="1142"/>
      <c r="BF29" s="1142"/>
      <c r="BG29" s="1142"/>
      <c r="BH29" s="1142"/>
      <c r="BI29" s="1142"/>
      <c r="BJ29" s="1142"/>
      <c r="BK29" s="1142"/>
      <c r="BL29" s="1142"/>
      <c r="BM29" s="1142"/>
      <c r="BN29" s="1142"/>
      <c r="BO29" s="1142"/>
      <c r="BP29" s="1142"/>
      <c r="BQ29" s="1142"/>
      <c r="BR29" s="1142"/>
      <c r="BS29" s="1142"/>
      <c r="BT29" s="1142"/>
      <c r="BU29" s="1142"/>
      <c r="BV29" s="1142"/>
      <c r="BW29" s="1142"/>
      <c r="BX29" s="1142"/>
      <c r="BY29" s="1142"/>
      <c r="BZ29" s="1142"/>
      <c r="CA29" s="1142"/>
      <c r="CB29" s="1142"/>
      <c r="CC29" s="1142"/>
      <c r="CD29" s="1142"/>
      <c r="CE29" s="1142"/>
      <c r="CF29" s="1142"/>
      <c r="CG29" s="1142"/>
      <c r="CH29" s="1142"/>
      <c r="CI29" s="1142"/>
      <c r="CJ29" s="1142"/>
      <c r="CK29" s="1142"/>
      <c r="CL29" s="1142"/>
      <c r="CM29" s="1142"/>
      <c r="CN29" s="1142"/>
      <c r="CO29" s="1142"/>
      <c r="CP29" s="1142"/>
      <c r="CQ29" s="1142"/>
      <c r="CR29" s="1142"/>
      <c r="CS29" s="1142"/>
      <c r="CT29" s="1142"/>
      <c r="CU29" s="1142"/>
      <c r="CV29" s="1142"/>
      <c r="CW29" s="1142"/>
      <c r="CX29" s="1142"/>
      <c r="CY29" s="1142"/>
      <c r="CZ29" s="1142"/>
      <c r="DA29" s="1142"/>
      <c r="DB29" s="1142"/>
      <c r="DC29" s="1142"/>
      <c r="DD29" s="1142"/>
      <c r="DE29" s="1142"/>
      <c r="DF29" s="1142"/>
      <c r="DG29" s="1142"/>
      <c r="DH29" s="1142"/>
      <c r="DI29" s="1142"/>
      <c r="DJ29" s="1142"/>
      <c r="DK29" s="1142"/>
      <c r="DL29" s="1142"/>
      <c r="DM29" s="1142"/>
      <c r="DN29" s="1142"/>
      <c r="DO29" s="1142"/>
      <c r="DP29" s="1142"/>
      <c r="DQ29" s="1142"/>
      <c r="DR29" s="1142"/>
      <c r="DS29" s="1142"/>
      <c r="DT29" s="1142"/>
      <c r="DU29" s="1142"/>
      <c r="DV29" s="1142"/>
      <c r="DW29" s="1142"/>
      <c r="DX29" s="1142"/>
      <c r="DY29" s="1142"/>
      <c r="DZ29" s="1142"/>
      <c r="EA29" s="1142"/>
      <c r="EB29" s="1142"/>
      <c r="EC29" s="1142"/>
      <c r="ED29" s="1142"/>
      <c r="EE29" s="1142"/>
      <c r="EF29" s="1142"/>
      <c r="EG29" s="1142"/>
      <c r="EH29" s="1142"/>
      <c r="EI29" s="1142"/>
      <c r="EJ29" s="1142"/>
      <c r="EK29" s="1142"/>
      <c r="EL29" s="1142"/>
      <c r="EM29" s="1142"/>
      <c r="EN29" s="1142"/>
      <c r="EO29" s="1142"/>
      <c r="EP29" s="1142"/>
      <c r="EQ29" s="1142"/>
      <c r="ER29" s="1142"/>
    </row>
  </sheetData>
  <mergeCells count="10">
    <mergeCell ref="B26:H26"/>
    <mergeCell ref="B27:H27"/>
    <mergeCell ref="B28:H28"/>
    <mergeCell ref="B29:H29"/>
    <mergeCell ref="A3:H3"/>
    <mergeCell ref="A6:A7"/>
    <mergeCell ref="B6:B7"/>
    <mergeCell ref="C6:D6"/>
    <mergeCell ref="E6:F6"/>
    <mergeCell ref="G6:H6"/>
  </mergeCells>
  <pageMargins left="0.78740157480314965" right="0.51181102362204722" top="0.59055118110236227" bottom="0.39370078740157483" header="0.19685039370078741" footer="0.19685039370078741"/>
  <pageSetup paperSize="9" scale="65" orientation="portrait" r:id="rId1"/>
  <headerFooter alignWithMargins="0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EW29"/>
  <sheetViews>
    <sheetView view="pageBreakPreview" zoomScaleNormal="100" workbookViewId="0">
      <pane ySplit="8" topLeftCell="A14" activePane="bottomLeft" state="frozen"/>
      <selection activeCell="C6" sqref="C6:H6"/>
      <selection pane="bottomLeft" activeCell="I18" sqref="I18"/>
    </sheetView>
  </sheetViews>
  <sheetFormatPr defaultColWidth="2.7109375" defaultRowHeight="15"/>
  <cols>
    <col min="1" max="1" width="6.5703125" style="1" customWidth="1"/>
    <col min="2" max="2" width="49" style="1" customWidth="1"/>
    <col min="3" max="8" width="13.7109375" style="1" customWidth="1"/>
    <col min="9" max="60" width="8.28515625" style="1" customWidth="1"/>
    <col min="61" max="16384" width="2.7109375" style="1"/>
  </cols>
  <sheetData>
    <row r="1" spans="1:9" s="5" customFormat="1" ht="18" customHeight="1">
      <c r="A1" s="74" t="s">
        <v>1860</v>
      </c>
      <c r="H1" s="6" t="s">
        <v>1351</v>
      </c>
    </row>
    <row r="2" spans="1:9" ht="12.75" customHeight="1">
      <c r="A2" s="1139" t="s">
        <v>1679</v>
      </c>
    </row>
    <row r="3" spans="1:9" ht="29.25" customHeight="1">
      <c r="A3" s="1980" t="s">
        <v>1352</v>
      </c>
      <c r="B3" s="1980"/>
      <c r="C3" s="1980"/>
      <c r="D3" s="1980"/>
      <c r="E3" s="1980"/>
      <c r="F3" s="1980"/>
      <c r="G3" s="1980"/>
      <c r="H3" s="1980"/>
    </row>
    <row r="4" spans="1:9" ht="12.75" customHeight="1">
      <c r="B4" s="1137"/>
      <c r="C4" s="1137"/>
      <c r="D4" s="1137"/>
      <c r="E4" s="1137"/>
      <c r="F4" s="1137"/>
      <c r="G4" s="1137"/>
      <c r="H4" s="1137"/>
    </row>
    <row r="5" spans="1:9" ht="14.25" customHeight="1">
      <c r="A5" s="812" t="s">
        <v>1330</v>
      </c>
      <c r="H5" s="23" t="s">
        <v>360</v>
      </c>
    </row>
    <row r="6" spans="1:9" s="3" customFormat="1" ht="15" customHeight="1">
      <c r="A6" s="1858" t="s">
        <v>0</v>
      </c>
      <c r="B6" s="1858" t="s">
        <v>1293</v>
      </c>
      <c r="C6" s="1981" t="s">
        <v>1336</v>
      </c>
      <c r="D6" s="1982"/>
      <c r="E6" s="1981" t="s">
        <v>1337</v>
      </c>
      <c r="F6" s="1983"/>
      <c r="G6" s="1981" t="s">
        <v>1715</v>
      </c>
      <c r="H6" s="1983"/>
    </row>
    <row r="7" spans="1:9" s="3" customFormat="1" ht="105">
      <c r="A7" s="1971"/>
      <c r="B7" s="1971"/>
      <c r="C7" s="822" t="s">
        <v>1353</v>
      </c>
      <c r="D7" s="822" t="s">
        <v>1354</v>
      </c>
      <c r="E7" s="822" t="s">
        <v>1353</v>
      </c>
      <c r="F7" s="822" t="s">
        <v>1354</v>
      </c>
      <c r="G7" s="822" t="s">
        <v>1353</v>
      </c>
      <c r="H7" s="822" t="s">
        <v>1354</v>
      </c>
    </row>
    <row r="8" spans="1:9" s="2" customFormat="1">
      <c r="A8" s="13">
        <v>1</v>
      </c>
      <c r="B8" s="13">
        <v>2</v>
      </c>
      <c r="C8" s="13">
        <v>3</v>
      </c>
      <c r="D8" s="13">
        <v>4</v>
      </c>
      <c r="E8" s="13">
        <v>5</v>
      </c>
      <c r="F8" s="13">
        <v>6</v>
      </c>
      <c r="G8" s="13">
        <v>7</v>
      </c>
      <c r="H8" s="13">
        <v>8</v>
      </c>
    </row>
    <row r="9" spans="1:9" s="41" customFormat="1" ht="45">
      <c r="A9" s="60" t="s">
        <v>893</v>
      </c>
      <c r="B9" s="68" t="s">
        <v>1355</v>
      </c>
      <c r="C9" s="823"/>
      <c r="D9" s="823">
        <v>2743</v>
      </c>
      <c r="E9" s="823"/>
      <c r="F9" s="823">
        <v>2975</v>
      </c>
      <c r="G9" s="823"/>
      <c r="H9" s="823">
        <v>3167</v>
      </c>
    </row>
    <row r="10" spans="1:9" s="832" customFormat="1" ht="15" customHeight="1">
      <c r="A10" s="829" t="s">
        <v>895</v>
      </c>
      <c r="B10" s="830" t="s">
        <v>1308</v>
      </c>
      <c r="C10" s="1236"/>
      <c r="D10" s="823">
        <v>25388</v>
      </c>
      <c r="E10" s="1236"/>
      <c r="F10" s="823">
        <v>23729</v>
      </c>
      <c r="G10" s="1236"/>
      <c r="H10" s="823">
        <v>25130</v>
      </c>
      <c r="I10" s="832" t="s">
        <v>1356</v>
      </c>
    </row>
    <row r="11" spans="1:9" s="832" customFormat="1" ht="15" customHeight="1">
      <c r="A11" s="829" t="s">
        <v>896</v>
      </c>
      <c r="B11" s="833" t="s">
        <v>1357</v>
      </c>
      <c r="C11" s="849"/>
      <c r="D11" s="1211"/>
      <c r="E11" s="849"/>
      <c r="F11" s="1211"/>
      <c r="G11" s="849"/>
      <c r="H11" s="1211"/>
    </row>
    <row r="12" spans="1:9" s="41" customFormat="1" ht="30">
      <c r="A12" s="60" t="s">
        <v>897</v>
      </c>
      <c r="B12" s="70" t="s">
        <v>1358</v>
      </c>
      <c r="C12" s="826">
        <f>C13+C14+C15</f>
        <v>0</v>
      </c>
      <c r="D12" s="826">
        <v>853</v>
      </c>
      <c r="E12" s="826">
        <v>0</v>
      </c>
      <c r="F12" s="826">
        <v>1043</v>
      </c>
      <c r="G12" s="826">
        <v>0</v>
      </c>
      <c r="H12" s="826">
        <v>1143</v>
      </c>
    </row>
    <row r="13" spans="1:9" s="41" customFormat="1" ht="75">
      <c r="A13" s="60" t="s">
        <v>1359</v>
      </c>
      <c r="B13" s="68" t="s">
        <v>1360</v>
      </c>
      <c r="C13" s="826"/>
      <c r="D13" s="823">
        <v>0</v>
      </c>
      <c r="E13" s="826"/>
      <c r="F13" s="823">
        <v>0</v>
      </c>
      <c r="G13" s="826"/>
      <c r="H13" s="823">
        <v>0</v>
      </c>
    </row>
    <row r="14" spans="1:9" s="41" customFormat="1">
      <c r="A14" s="60" t="s">
        <v>1361</v>
      </c>
      <c r="B14" s="68" t="s">
        <v>1362</v>
      </c>
      <c r="C14" s="826"/>
      <c r="D14" s="823">
        <v>509</v>
      </c>
      <c r="E14" s="826"/>
      <c r="F14" s="823">
        <v>577</v>
      </c>
      <c r="G14" s="826"/>
      <c r="H14" s="823">
        <v>611</v>
      </c>
    </row>
    <row r="15" spans="1:9" s="41" customFormat="1">
      <c r="A15" s="60" t="s">
        <v>1363</v>
      </c>
      <c r="B15" s="68" t="s">
        <v>1364</v>
      </c>
      <c r="C15" s="826"/>
      <c r="D15" s="823">
        <v>344</v>
      </c>
      <c r="E15" s="826"/>
      <c r="F15" s="823">
        <v>466</v>
      </c>
      <c r="G15" s="826"/>
      <c r="H15" s="823">
        <v>532</v>
      </c>
    </row>
    <row r="16" spans="1:9" s="41" customFormat="1">
      <c r="A16" s="60" t="s">
        <v>1036</v>
      </c>
      <c r="B16" s="70" t="s">
        <v>1365</v>
      </c>
      <c r="C16" s="826"/>
      <c r="D16" s="826">
        <v>73058</v>
      </c>
      <c r="E16" s="826"/>
      <c r="F16" s="823">
        <v>87173</v>
      </c>
      <c r="G16" s="826"/>
      <c r="H16" s="826">
        <v>94074</v>
      </c>
    </row>
    <row r="17" spans="1:153" s="41" customFormat="1">
      <c r="A17" s="60" t="s">
        <v>1035</v>
      </c>
      <c r="B17" s="70" t="s">
        <v>1366</v>
      </c>
      <c r="C17" s="826"/>
      <c r="D17" s="826">
        <v>25685.603055315998</v>
      </c>
      <c r="E17" s="826"/>
      <c r="F17" s="823">
        <v>25020</v>
      </c>
      <c r="G17" s="826"/>
      <c r="H17" s="826">
        <v>0</v>
      </c>
    </row>
    <row r="18" spans="1:153" s="41" customFormat="1" ht="30">
      <c r="A18" s="60" t="s">
        <v>1034</v>
      </c>
      <c r="B18" s="70" t="s">
        <v>1367</v>
      </c>
      <c r="C18" s="826"/>
      <c r="D18" s="826">
        <v>31093</v>
      </c>
      <c r="E18" s="826"/>
      <c r="F18" s="823">
        <v>9884</v>
      </c>
      <c r="G18" s="826"/>
      <c r="H18" s="826">
        <v>8967</v>
      </c>
    </row>
    <row r="19" spans="1:153" s="41" customFormat="1" ht="30">
      <c r="A19" s="60" t="s">
        <v>1033</v>
      </c>
      <c r="B19" s="70" t="s">
        <v>1368</v>
      </c>
      <c r="C19" s="826"/>
      <c r="D19" s="826">
        <v>0</v>
      </c>
      <c r="E19" s="826"/>
      <c r="F19" s="823">
        <v>0</v>
      </c>
      <c r="G19" s="826"/>
      <c r="H19" s="826">
        <v>0</v>
      </c>
    </row>
    <row r="20" spans="1:153" s="810" customFormat="1" ht="14.25">
      <c r="A20" s="82"/>
      <c r="B20" s="808" t="s">
        <v>770</v>
      </c>
      <c r="C20" s="827">
        <f>C9+C10+C11+C12+C16+C17+C18+C19</f>
        <v>0</v>
      </c>
      <c r="D20" s="827">
        <f t="shared" ref="D20:G20" si="0">D9+D10+D11+D12+D16+D17+D18+D19</f>
        <v>158820.60305531599</v>
      </c>
      <c r="E20" s="827">
        <f t="shared" si="0"/>
        <v>0</v>
      </c>
      <c r="F20" s="827">
        <f t="shared" ref="F20:H20" si="1">F9+F10+F11+F12+F16+F17+F18+F19</f>
        <v>149824</v>
      </c>
      <c r="G20" s="827">
        <f t="shared" si="0"/>
        <v>0</v>
      </c>
      <c r="H20" s="827">
        <f t="shared" si="1"/>
        <v>132481</v>
      </c>
    </row>
    <row r="21" spans="1:153" s="41" customFormat="1">
      <c r="A21" s="60" t="s">
        <v>91</v>
      </c>
      <c r="B21" s="70" t="s">
        <v>396</v>
      </c>
      <c r="C21" s="826"/>
      <c r="D21" s="826">
        <f>'4.6_транзит+сбыт_котельн.'!J83</f>
        <v>27017.650763828995</v>
      </c>
      <c r="E21" s="826"/>
      <c r="F21" s="826">
        <f>'4.6_транзит+сбыт_котельн.'!K83</f>
        <v>28778.448</v>
      </c>
      <c r="G21" s="826"/>
      <c r="H21" s="826">
        <f>'4.6_транзит+сбыт_котельн.'!N83</f>
        <v>23777.287182</v>
      </c>
    </row>
    <row r="22" spans="1:153" s="41" customFormat="1" ht="48" customHeight="1">
      <c r="A22" s="60" t="s">
        <v>1369</v>
      </c>
      <c r="B22" s="70" t="s">
        <v>1370</v>
      </c>
      <c r="C22" s="1216"/>
      <c r="D22" s="1216"/>
      <c r="E22" s="826"/>
      <c r="F22" s="826"/>
      <c r="G22" s="826"/>
      <c r="H22" s="826"/>
    </row>
    <row r="23" spans="1:153" s="810" customFormat="1" ht="15" customHeight="1">
      <c r="A23" s="82" t="s">
        <v>95</v>
      </c>
      <c r="B23" s="808" t="s">
        <v>1371</v>
      </c>
      <c r="C23" s="827">
        <f>C20+C21+C22</f>
        <v>0</v>
      </c>
      <c r="D23" s="827">
        <f t="shared" ref="D23:H23" si="2">D20+D21+D22</f>
        <v>185838.253819145</v>
      </c>
      <c r="E23" s="827">
        <f t="shared" si="2"/>
        <v>0</v>
      </c>
      <c r="F23" s="827">
        <f t="shared" si="2"/>
        <v>178602.448</v>
      </c>
      <c r="G23" s="827">
        <f t="shared" si="2"/>
        <v>0</v>
      </c>
      <c r="H23" s="827">
        <f t="shared" si="2"/>
        <v>156258.287182</v>
      </c>
    </row>
    <row r="25" spans="1:153" s="26" customFormat="1">
      <c r="A25" s="26" t="s">
        <v>88</v>
      </c>
    </row>
    <row r="26" spans="1:153" s="1140" customFormat="1">
      <c r="A26" s="1142" t="s">
        <v>89</v>
      </c>
      <c r="B26" s="1972" t="s">
        <v>1346</v>
      </c>
      <c r="C26" s="1973"/>
      <c r="D26" s="1973"/>
      <c r="E26" s="1973"/>
      <c r="F26" s="1973"/>
      <c r="G26" s="1973"/>
      <c r="H26" s="1973"/>
      <c r="I26" s="1142"/>
      <c r="J26" s="1142"/>
      <c r="K26" s="1142"/>
      <c r="L26" s="1142"/>
      <c r="M26" s="1142"/>
      <c r="N26" s="1142"/>
      <c r="O26" s="1142"/>
      <c r="P26" s="1142"/>
      <c r="Q26" s="1142"/>
      <c r="R26" s="1142"/>
      <c r="S26" s="1142"/>
      <c r="T26" s="1142"/>
      <c r="U26" s="1142"/>
      <c r="V26" s="1142"/>
      <c r="W26" s="1142"/>
      <c r="X26" s="1142"/>
      <c r="Y26" s="1142"/>
      <c r="Z26" s="1142"/>
      <c r="AA26" s="1142"/>
      <c r="AB26" s="1142"/>
      <c r="AC26" s="1142"/>
      <c r="AD26" s="1142"/>
      <c r="AE26" s="1142"/>
      <c r="AF26" s="1142"/>
      <c r="AG26" s="1142"/>
      <c r="AH26" s="1142"/>
      <c r="AI26" s="1142"/>
      <c r="AJ26" s="1142"/>
      <c r="AK26" s="1142"/>
      <c r="AL26" s="1142"/>
      <c r="AM26" s="1142"/>
      <c r="AN26" s="1142"/>
      <c r="AO26" s="1142"/>
      <c r="AP26" s="1142"/>
      <c r="AQ26" s="1142"/>
      <c r="AR26" s="1142"/>
      <c r="AS26" s="1142"/>
      <c r="AT26" s="1142"/>
      <c r="AU26" s="1142"/>
      <c r="AV26" s="1142"/>
      <c r="AW26" s="1142"/>
      <c r="AX26" s="1142"/>
      <c r="AY26" s="1142"/>
      <c r="AZ26" s="1142"/>
      <c r="BA26" s="1142"/>
      <c r="BB26" s="1142"/>
      <c r="BC26" s="1142"/>
      <c r="BD26" s="1142"/>
      <c r="BE26" s="1142"/>
      <c r="BF26" s="1142"/>
      <c r="BG26" s="1142"/>
      <c r="BH26" s="1142"/>
      <c r="BI26" s="1142"/>
      <c r="BJ26" s="1142"/>
      <c r="BK26" s="1142"/>
      <c r="BL26" s="1142"/>
      <c r="BM26" s="1142"/>
      <c r="BN26" s="1142"/>
      <c r="BO26" s="1142"/>
      <c r="BP26" s="1142"/>
      <c r="BQ26" s="1142"/>
      <c r="BR26" s="1142"/>
      <c r="BS26" s="1142"/>
      <c r="BT26" s="1142"/>
      <c r="BU26" s="1142"/>
      <c r="BV26" s="1142"/>
      <c r="BW26" s="1142"/>
      <c r="BX26" s="1142"/>
      <c r="BY26" s="1142"/>
      <c r="BZ26" s="1142"/>
      <c r="CA26" s="1142"/>
      <c r="CB26" s="1142"/>
      <c r="CC26" s="1142"/>
      <c r="CD26" s="1142"/>
      <c r="CE26" s="1142"/>
      <c r="CF26" s="1142"/>
      <c r="CG26" s="1142"/>
      <c r="CH26" s="1142"/>
      <c r="CI26" s="1142"/>
      <c r="CJ26" s="1142"/>
      <c r="CK26" s="1142"/>
      <c r="CL26" s="1142"/>
      <c r="CM26" s="1142"/>
      <c r="CN26" s="1142"/>
      <c r="CO26" s="1142"/>
      <c r="CP26" s="1142"/>
      <c r="CQ26" s="1142"/>
      <c r="CR26" s="1142"/>
      <c r="CS26" s="1142"/>
      <c r="CT26" s="1142"/>
      <c r="CU26" s="1142"/>
      <c r="CV26" s="1142"/>
      <c r="CW26" s="1142"/>
      <c r="CX26" s="1142"/>
      <c r="CY26" s="1142"/>
      <c r="CZ26" s="1142"/>
      <c r="DA26" s="1142"/>
      <c r="DB26" s="1142"/>
      <c r="DC26" s="1142"/>
      <c r="DD26" s="1142"/>
      <c r="DE26" s="1142"/>
      <c r="DF26" s="1142"/>
      <c r="DG26" s="1142"/>
      <c r="DH26" s="1142"/>
      <c r="DI26" s="1142"/>
      <c r="DJ26" s="1142"/>
      <c r="DK26" s="1142"/>
      <c r="DL26" s="1142"/>
      <c r="DM26" s="1142"/>
      <c r="DN26" s="1142"/>
      <c r="DO26" s="1142"/>
      <c r="DP26" s="1142"/>
      <c r="DQ26" s="1142"/>
      <c r="DR26" s="1142"/>
      <c r="DS26" s="1142"/>
      <c r="DT26" s="1142"/>
      <c r="DU26" s="1142"/>
      <c r="DV26" s="1142"/>
      <c r="DW26" s="1142"/>
      <c r="DX26" s="1142"/>
      <c r="DY26" s="1142"/>
      <c r="DZ26" s="1142"/>
      <c r="EA26" s="1142"/>
      <c r="EB26" s="1142"/>
      <c r="EC26" s="1142"/>
      <c r="ED26" s="1142"/>
      <c r="EE26" s="1142"/>
      <c r="EF26" s="1142"/>
      <c r="EG26" s="1142"/>
      <c r="EH26" s="1142"/>
      <c r="EI26" s="1142"/>
      <c r="EJ26" s="1142"/>
      <c r="EK26" s="1142"/>
      <c r="EL26" s="1142"/>
      <c r="EM26" s="1142"/>
      <c r="EN26" s="1142"/>
      <c r="EO26" s="1142"/>
      <c r="EP26" s="1142"/>
      <c r="EQ26" s="1142"/>
      <c r="ER26" s="1142"/>
      <c r="ES26" s="1142"/>
      <c r="ET26" s="1142"/>
      <c r="EU26" s="1142"/>
      <c r="EV26" s="1142"/>
      <c r="EW26" s="1142"/>
    </row>
    <row r="27" spans="1:153" s="1140" customFormat="1">
      <c r="A27" s="1142" t="s">
        <v>91</v>
      </c>
      <c r="B27" s="1967" t="s">
        <v>1372</v>
      </c>
      <c r="C27" s="1979"/>
      <c r="D27" s="1979"/>
      <c r="E27" s="1979"/>
      <c r="F27" s="1979"/>
      <c r="G27" s="1979"/>
      <c r="H27" s="1979"/>
    </row>
    <row r="28" spans="1:153" ht="33" customHeight="1">
      <c r="A28" s="1142" t="s">
        <v>93</v>
      </c>
      <c r="B28" s="1972" t="s">
        <v>1373</v>
      </c>
      <c r="C28" s="1973"/>
      <c r="D28" s="1973"/>
      <c r="E28" s="1973"/>
      <c r="F28" s="1973"/>
      <c r="G28" s="1973"/>
      <c r="H28" s="1973"/>
      <c r="I28" s="1142"/>
      <c r="J28" s="1142"/>
      <c r="K28" s="1142"/>
      <c r="L28" s="1142"/>
      <c r="M28" s="1142"/>
      <c r="N28" s="1142"/>
      <c r="O28" s="1142"/>
      <c r="P28" s="1142"/>
      <c r="Q28" s="1142"/>
      <c r="R28" s="1142"/>
      <c r="S28" s="1142"/>
      <c r="T28" s="1142"/>
      <c r="U28" s="1142"/>
      <c r="V28" s="1142"/>
      <c r="W28" s="1142"/>
      <c r="X28" s="1142"/>
      <c r="Y28" s="1142"/>
      <c r="Z28" s="1142"/>
      <c r="AA28" s="1142"/>
      <c r="AB28" s="1142"/>
      <c r="AC28" s="1142"/>
      <c r="AD28" s="1142"/>
      <c r="AE28" s="1142"/>
      <c r="AF28" s="1142"/>
      <c r="AG28" s="1142"/>
      <c r="AH28" s="1142"/>
      <c r="AI28" s="1142"/>
      <c r="AJ28" s="1142"/>
      <c r="AK28" s="1142"/>
      <c r="AL28" s="1142"/>
      <c r="AM28" s="1142"/>
      <c r="AN28" s="1142"/>
      <c r="AO28" s="1142"/>
      <c r="AP28" s="1142"/>
      <c r="AQ28" s="1142"/>
      <c r="AR28" s="1142"/>
      <c r="AS28" s="1142"/>
      <c r="AT28" s="1142"/>
      <c r="AU28" s="1142"/>
      <c r="AV28" s="1142"/>
      <c r="AW28" s="1142"/>
      <c r="AX28" s="1142"/>
      <c r="AY28" s="1142"/>
      <c r="AZ28" s="1142"/>
      <c r="BA28" s="1142"/>
      <c r="BB28" s="1142"/>
      <c r="BC28" s="1142"/>
      <c r="BD28" s="1142"/>
      <c r="BE28" s="1142"/>
      <c r="BF28" s="1142"/>
      <c r="BG28" s="1142"/>
      <c r="BH28" s="1142"/>
      <c r="BI28" s="1142"/>
      <c r="BJ28" s="1142"/>
      <c r="BK28" s="1142"/>
      <c r="BL28" s="1142"/>
      <c r="BM28" s="1142"/>
      <c r="BN28" s="1142"/>
      <c r="BO28" s="1142"/>
      <c r="BP28" s="1142"/>
      <c r="BQ28" s="1142"/>
      <c r="BR28" s="1142"/>
      <c r="BS28" s="1142"/>
      <c r="BT28" s="1142"/>
      <c r="BU28" s="1142"/>
      <c r="BV28" s="1142"/>
      <c r="BW28" s="1142"/>
      <c r="BX28" s="1142"/>
      <c r="BY28" s="1142"/>
      <c r="BZ28" s="1142"/>
      <c r="CA28" s="1142"/>
      <c r="CB28" s="1142"/>
      <c r="CC28" s="1142"/>
      <c r="CD28" s="1142"/>
      <c r="CE28" s="1142"/>
      <c r="CF28" s="1142"/>
      <c r="CG28" s="1142"/>
      <c r="CH28" s="1142"/>
      <c r="CI28" s="1142"/>
      <c r="CJ28" s="1142"/>
      <c r="CK28" s="1142"/>
      <c r="CL28" s="1142"/>
      <c r="CM28" s="1142"/>
      <c r="CN28" s="1142"/>
      <c r="CO28" s="1142"/>
      <c r="CP28" s="1142"/>
      <c r="CQ28" s="1142"/>
      <c r="CR28" s="1142"/>
      <c r="CS28" s="1142"/>
      <c r="CT28" s="1142"/>
      <c r="CU28" s="1142"/>
      <c r="CV28" s="1142"/>
      <c r="CW28" s="1142"/>
      <c r="CX28" s="1142"/>
      <c r="CY28" s="1142"/>
      <c r="CZ28" s="1142"/>
      <c r="DA28" s="1142"/>
      <c r="DB28" s="1142"/>
      <c r="DC28" s="1142"/>
      <c r="DD28" s="1142"/>
      <c r="DE28" s="1142"/>
      <c r="DF28" s="1142"/>
      <c r="DG28" s="1142"/>
      <c r="DH28" s="1142"/>
      <c r="DI28" s="1142"/>
      <c r="DJ28" s="1142"/>
      <c r="DK28" s="1142"/>
      <c r="DL28" s="1142"/>
      <c r="DM28" s="1142"/>
      <c r="DN28" s="1142"/>
      <c r="DO28" s="1142"/>
      <c r="DP28" s="1142"/>
      <c r="DQ28" s="1142"/>
      <c r="DR28" s="1142"/>
      <c r="DS28" s="1142"/>
      <c r="DT28" s="1142"/>
      <c r="DU28" s="1142"/>
      <c r="DV28" s="1142"/>
      <c r="DW28" s="1142"/>
      <c r="DX28" s="1142"/>
      <c r="DY28" s="1142"/>
      <c r="DZ28" s="1142"/>
      <c r="EA28" s="1142"/>
      <c r="EB28" s="1142"/>
      <c r="EC28" s="1142"/>
      <c r="ED28" s="1142"/>
      <c r="EE28" s="1142"/>
      <c r="EF28" s="1142"/>
      <c r="EG28" s="1142"/>
      <c r="EH28" s="1142"/>
      <c r="EI28" s="1142"/>
      <c r="EJ28" s="1142"/>
      <c r="EK28" s="1142"/>
      <c r="EL28" s="1142"/>
      <c r="EM28" s="1142"/>
      <c r="EN28" s="1142"/>
      <c r="EO28" s="1142"/>
      <c r="EP28" s="1142"/>
      <c r="EQ28" s="1142"/>
      <c r="ER28" s="1142"/>
    </row>
    <row r="29" spans="1:153" ht="34.5" customHeight="1">
      <c r="A29" s="1142" t="s">
        <v>95</v>
      </c>
      <c r="B29" s="1972" t="s">
        <v>1374</v>
      </c>
      <c r="C29" s="1973"/>
      <c r="D29" s="1973"/>
      <c r="E29" s="1973"/>
      <c r="F29" s="1973"/>
      <c r="G29" s="1973"/>
      <c r="H29" s="1973"/>
      <c r="I29" s="1142"/>
      <c r="J29" s="1142"/>
      <c r="K29" s="1142"/>
      <c r="L29" s="1142"/>
      <c r="M29" s="1142"/>
      <c r="N29" s="1142"/>
      <c r="O29" s="1142"/>
      <c r="P29" s="1142"/>
      <c r="Q29" s="1142"/>
      <c r="R29" s="1142"/>
      <c r="S29" s="1142"/>
      <c r="T29" s="1142"/>
      <c r="U29" s="1142"/>
      <c r="V29" s="1142"/>
      <c r="W29" s="1142"/>
      <c r="X29" s="1142"/>
      <c r="Y29" s="1142"/>
      <c r="Z29" s="1142"/>
      <c r="AA29" s="1142"/>
      <c r="AB29" s="1142"/>
      <c r="AC29" s="1142"/>
      <c r="AD29" s="1142"/>
      <c r="AE29" s="1142"/>
      <c r="AF29" s="1142"/>
      <c r="AG29" s="1142"/>
      <c r="AH29" s="1142"/>
      <c r="AI29" s="1142"/>
      <c r="AJ29" s="1142"/>
      <c r="AK29" s="1142"/>
      <c r="AL29" s="1142"/>
      <c r="AM29" s="1142"/>
      <c r="AN29" s="1142"/>
      <c r="AO29" s="1142"/>
      <c r="AP29" s="1142"/>
      <c r="AQ29" s="1142"/>
      <c r="AR29" s="1142"/>
      <c r="AS29" s="1142"/>
      <c r="AT29" s="1142"/>
      <c r="AU29" s="1142"/>
      <c r="AV29" s="1142"/>
      <c r="AW29" s="1142"/>
      <c r="AX29" s="1142"/>
      <c r="AY29" s="1142"/>
      <c r="AZ29" s="1142"/>
      <c r="BA29" s="1142"/>
      <c r="BB29" s="1142"/>
      <c r="BC29" s="1142"/>
      <c r="BD29" s="1142"/>
      <c r="BE29" s="1142"/>
      <c r="BF29" s="1142"/>
      <c r="BG29" s="1142"/>
      <c r="BH29" s="1142"/>
      <c r="BI29" s="1142"/>
      <c r="BJ29" s="1142"/>
      <c r="BK29" s="1142"/>
      <c r="BL29" s="1142"/>
      <c r="BM29" s="1142"/>
      <c r="BN29" s="1142"/>
      <c r="BO29" s="1142"/>
      <c r="BP29" s="1142"/>
      <c r="BQ29" s="1142"/>
      <c r="BR29" s="1142"/>
      <c r="BS29" s="1142"/>
      <c r="BT29" s="1142"/>
      <c r="BU29" s="1142"/>
      <c r="BV29" s="1142"/>
      <c r="BW29" s="1142"/>
      <c r="BX29" s="1142"/>
      <c r="BY29" s="1142"/>
      <c r="BZ29" s="1142"/>
      <c r="CA29" s="1142"/>
      <c r="CB29" s="1142"/>
      <c r="CC29" s="1142"/>
      <c r="CD29" s="1142"/>
      <c r="CE29" s="1142"/>
      <c r="CF29" s="1142"/>
      <c r="CG29" s="1142"/>
      <c r="CH29" s="1142"/>
      <c r="CI29" s="1142"/>
      <c r="CJ29" s="1142"/>
      <c r="CK29" s="1142"/>
      <c r="CL29" s="1142"/>
      <c r="CM29" s="1142"/>
      <c r="CN29" s="1142"/>
      <c r="CO29" s="1142"/>
      <c r="CP29" s="1142"/>
      <c r="CQ29" s="1142"/>
      <c r="CR29" s="1142"/>
      <c r="CS29" s="1142"/>
      <c r="CT29" s="1142"/>
      <c r="CU29" s="1142"/>
      <c r="CV29" s="1142"/>
      <c r="CW29" s="1142"/>
      <c r="CX29" s="1142"/>
      <c r="CY29" s="1142"/>
      <c r="CZ29" s="1142"/>
      <c r="DA29" s="1142"/>
      <c r="DB29" s="1142"/>
      <c r="DC29" s="1142"/>
      <c r="DD29" s="1142"/>
      <c r="DE29" s="1142"/>
      <c r="DF29" s="1142"/>
      <c r="DG29" s="1142"/>
      <c r="DH29" s="1142"/>
      <c r="DI29" s="1142"/>
      <c r="DJ29" s="1142"/>
      <c r="DK29" s="1142"/>
      <c r="DL29" s="1142"/>
      <c r="DM29" s="1142"/>
      <c r="DN29" s="1142"/>
      <c r="DO29" s="1142"/>
      <c r="DP29" s="1142"/>
      <c r="DQ29" s="1142"/>
      <c r="DR29" s="1142"/>
      <c r="DS29" s="1142"/>
      <c r="DT29" s="1142"/>
      <c r="DU29" s="1142"/>
      <c r="DV29" s="1142"/>
      <c r="DW29" s="1142"/>
      <c r="DX29" s="1142"/>
      <c r="DY29" s="1142"/>
      <c r="DZ29" s="1142"/>
      <c r="EA29" s="1142"/>
      <c r="EB29" s="1142"/>
      <c r="EC29" s="1142"/>
      <c r="ED29" s="1142"/>
      <c r="EE29" s="1142"/>
      <c r="EF29" s="1142"/>
      <c r="EG29" s="1142"/>
      <c r="EH29" s="1142"/>
      <c r="EI29" s="1142"/>
      <c r="EJ29" s="1142"/>
      <c r="EK29" s="1142"/>
      <c r="EL29" s="1142"/>
      <c r="EM29" s="1142"/>
      <c r="EN29" s="1142"/>
      <c r="EO29" s="1142"/>
      <c r="EP29" s="1142"/>
      <c r="EQ29" s="1142"/>
      <c r="ER29" s="1142"/>
    </row>
  </sheetData>
  <mergeCells count="10">
    <mergeCell ref="B26:H26"/>
    <mergeCell ref="B27:H27"/>
    <mergeCell ref="B28:H28"/>
    <mergeCell ref="B29:H29"/>
    <mergeCell ref="A3:H3"/>
    <mergeCell ref="A6:A7"/>
    <mergeCell ref="B6:B7"/>
    <mergeCell ref="C6:D6"/>
    <mergeCell ref="E6:F6"/>
    <mergeCell ref="G6:H6"/>
  </mergeCells>
  <pageMargins left="0.78740157480314965" right="0.51181102362204722" top="0.59055118110236227" bottom="0.39370078740157483" header="0.19685039370078741" footer="0.19685039370078741"/>
  <pageSetup paperSize="9" scale="65" orientation="portrait" r:id="rId1"/>
  <headerFooter alignWithMargins="0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EW31"/>
  <sheetViews>
    <sheetView view="pageBreakPreview" zoomScaleNormal="100" workbookViewId="0">
      <pane ySplit="8" topLeftCell="A9" activePane="bottomLeft" state="frozen"/>
      <selection activeCell="A2" sqref="A2"/>
      <selection pane="bottomLeft" activeCell="J21" sqref="J21"/>
    </sheetView>
  </sheetViews>
  <sheetFormatPr defaultColWidth="2.7109375" defaultRowHeight="15"/>
  <cols>
    <col min="1" max="1" width="6.5703125" style="1" customWidth="1"/>
    <col min="2" max="2" width="49" style="1" customWidth="1"/>
    <col min="3" max="8" width="13.7109375" style="1" customWidth="1"/>
    <col min="9" max="60" width="8.28515625" style="1" customWidth="1"/>
    <col min="61" max="16384" width="2.7109375" style="1"/>
  </cols>
  <sheetData>
    <row r="1" spans="1:9" s="5" customFormat="1" ht="18" customHeight="1">
      <c r="A1" s="74" t="s">
        <v>1860</v>
      </c>
      <c r="H1" s="6" t="s">
        <v>1351</v>
      </c>
    </row>
    <row r="2" spans="1:9" ht="15" customHeight="1">
      <c r="A2" s="1244" t="s">
        <v>1681</v>
      </c>
    </row>
    <row r="3" spans="1:9" ht="29.25" customHeight="1">
      <c r="A3" s="1980" t="s">
        <v>1352</v>
      </c>
      <c r="B3" s="1980"/>
      <c r="C3" s="1980"/>
      <c r="D3" s="1980"/>
      <c r="E3" s="1980"/>
      <c r="F3" s="1980"/>
      <c r="G3" s="1980"/>
      <c r="H3" s="1980"/>
    </row>
    <row r="4" spans="1:9" ht="12.75" customHeight="1">
      <c r="B4" s="1243"/>
      <c r="C4" s="1243"/>
      <c r="D4" s="1243"/>
      <c r="E4" s="1243"/>
      <c r="F4" s="1243"/>
      <c r="G4" s="1243"/>
      <c r="H4" s="1243"/>
    </row>
    <row r="5" spans="1:9" ht="14.25" customHeight="1">
      <c r="H5" s="23" t="s">
        <v>360</v>
      </c>
    </row>
    <row r="6" spans="1:9" s="3" customFormat="1" ht="15" customHeight="1">
      <c r="A6" s="1858" t="s">
        <v>0</v>
      </c>
      <c r="B6" s="1858" t="s">
        <v>1293</v>
      </c>
      <c r="C6" s="1981" t="s">
        <v>1336</v>
      </c>
      <c r="D6" s="1982"/>
      <c r="E6" s="1981" t="s">
        <v>1337</v>
      </c>
      <c r="F6" s="1983"/>
      <c r="G6" s="1981" t="s">
        <v>1715</v>
      </c>
      <c r="H6" s="1983"/>
    </row>
    <row r="7" spans="1:9" s="3" customFormat="1" ht="105">
      <c r="A7" s="1971"/>
      <c r="B7" s="1971"/>
      <c r="C7" s="822" t="s">
        <v>1353</v>
      </c>
      <c r="D7" s="822" t="s">
        <v>1354</v>
      </c>
      <c r="E7" s="822" t="s">
        <v>1353</v>
      </c>
      <c r="F7" s="822" t="s">
        <v>1354</v>
      </c>
      <c r="G7" s="822" t="s">
        <v>1353</v>
      </c>
      <c r="H7" s="822" t="s">
        <v>1354</v>
      </c>
    </row>
    <row r="8" spans="1:9" s="2" customFormat="1">
      <c r="A8" s="13">
        <v>1</v>
      </c>
      <c r="B8" s="13">
        <v>2</v>
      </c>
      <c r="C8" s="13">
        <v>3</v>
      </c>
      <c r="D8" s="13">
        <v>4</v>
      </c>
      <c r="E8" s="13">
        <v>5</v>
      </c>
      <c r="F8" s="13">
        <v>6</v>
      </c>
      <c r="G8" s="13">
        <v>7</v>
      </c>
      <c r="H8" s="13">
        <v>8</v>
      </c>
    </row>
    <row r="9" spans="1:9" s="41" customFormat="1" ht="45">
      <c r="A9" s="60" t="s">
        <v>893</v>
      </c>
      <c r="B9" s="68" t="s">
        <v>1355</v>
      </c>
      <c r="C9" s="823"/>
      <c r="D9" s="823">
        <v>112875</v>
      </c>
      <c r="E9" s="823"/>
      <c r="F9" s="823">
        <v>126107</v>
      </c>
      <c r="G9" s="823"/>
      <c r="H9" s="823">
        <v>133119</v>
      </c>
    </row>
    <row r="10" spans="1:9" s="825" customFormat="1" ht="15" customHeight="1">
      <c r="A10" s="829" t="s">
        <v>895</v>
      </c>
      <c r="B10" s="830" t="s">
        <v>1308</v>
      </c>
      <c r="C10" s="1236"/>
      <c r="D10" s="823">
        <v>204697</v>
      </c>
      <c r="E10" s="849"/>
      <c r="F10" s="823">
        <v>209444</v>
      </c>
      <c r="G10" s="849"/>
      <c r="H10" s="823">
        <v>221803</v>
      </c>
      <c r="I10" s="825" t="s">
        <v>1356</v>
      </c>
    </row>
    <row r="11" spans="1:9" s="825" customFormat="1" ht="15" customHeight="1">
      <c r="A11" s="829" t="s">
        <v>896</v>
      </c>
      <c r="B11" s="833" t="s">
        <v>1357</v>
      </c>
      <c r="C11" s="849"/>
      <c r="D11" s="849"/>
      <c r="E11" s="849"/>
      <c r="F11" s="849"/>
      <c r="G11" s="849"/>
      <c r="H11" s="849"/>
    </row>
    <row r="12" spans="1:9" s="41" customFormat="1" ht="30">
      <c r="A12" s="60" t="s">
        <v>897</v>
      </c>
      <c r="B12" s="70" t="s">
        <v>1358</v>
      </c>
      <c r="C12" s="826">
        <f>C13+C14+C15</f>
        <v>0</v>
      </c>
      <c r="D12" s="826">
        <v>36908.5</v>
      </c>
      <c r="E12" s="826">
        <v>0</v>
      </c>
      <c r="F12" s="826">
        <v>39929.699999999997</v>
      </c>
      <c r="G12" s="826">
        <v>0</v>
      </c>
      <c r="H12" s="826">
        <v>44494.9</v>
      </c>
    </row>
    <row r="13" spans="1:9" s="41" customFormat="1" ht="75">
      <c r="A13" s="60" t="s">
        <v>1359</v>
      </c>
      <c r="B13" s="68" t="s">
        <v>1360</v>
      </c>
      <c r="C13" s="826"/>
      <c r="D13" s="823">
        <v>2127</v>
      </c>
      <c r="E13" s="826"/>
      <c r="F13" s="823">
        <v>719.9</v>
      </c>
      <c r="G13" s="826"/>
      <c r="H13" s="823">
        <v>719.9</v>
      </c>
    </row>
    <row r="14" spans="1:9" s="41" customFormat="1">
      <c r="A14" s="60" t="s">
        <v>1361</v>
      </c>
      <c r="B14" s="68" t="s">
        <v>1362</v>
      </c>
      <c r="C14" s="826"/>
      <c r="D14" s="823">
        <v>9918.5</v>
      </c>
      <c r="E14" s="826"/>
      <c r="F14" s="823">
        <v>13181.8</v>
      </c>
      <c r="G14" s="826"/>
      <c r="H14" s="823">
        <v>13961</v>
      </c>
    </row>
    <row r="15" spans="1:9" s="41" customFormat="1">
      <c r="A15" s="60" t="s">
        <v>1363</v>
      </c>
      <c r="B15" s="68" t="s">
        <v>1680</v>
      </c>
      <c r="C15" s="826"/>
      <c r="D15" s="823">
        <v>24863</v>
      </c>
      <c r="E15" s="826"/>
      <c r="F15" s="823">
        <v>26028</v>
      </c>
      <c r="G15" s="826"/>
      <c r="H15" s="823">
        <v>29814</v>
      </c>
    </row>
    <row r="16" spans="1:9" s="41" customFormat="1">
      <c r="A16" s="60" t="s">
        <v>1036</v>
      </c>
      <c r="B16" s="70" t="s">
        <v>1365</v>
      </c>
      <c r="C16" s="826"/>
      <c r="D16" s="823">
        <v>514885</v>
      </c>
      <c r="E16" s="826"/>
      <c r="F16" s="823">
        <v>590496</v>
      </c>
      <c r="G16" s="826"/>
      <c r="H16" s="823">
        <v>629505</v>
      </c>
    </row>
    <row r="17" spans="1:153" s="41" customFormat="1">
      <c r="A17" s="60" t="s">
        <v>1035</v>
      </c>
      <c r="B17" s="70" t="s">
        <v>1366</v>
      </c>
      <c r="C17" s="826"/>
      <c r="D17" s="823">
        <v>77519.999999999985</v>
      </c>
      <c r="E17" s="826"/>
      <c r="F17" s="823">
        <v>75549</v>
      </c>
      <c r="G17" s="826"/>
      <c r="H17" s="823">
        <v>0</v>
      </c>
    </row>
    <row r="18" spans="1:153" s="41" customFormat="1" ht="30">
      <c r="A18" s="60" t="s">
        <v>1034</v>
      </c>
      <c r="B18" s="70" t="s">
        <v>1367</v>
      </c>
      <c r="C18" s="826"/>
      <c r="D18" s="823">
        <v>154552</v>
      </c>
      <c r="E18" s="826"/>
      <c r="F18" s="823">
        <v>153570</v>
      </c>
      <c r="G18" s="826"/>
      <c r="H18" s="823">
        <v>163818</v>
      </c>
    </row>
    <row r="19" spans="1:153" s="41" customFormat="1" ht="30">
      <c r="A19" s="60" t="s">
        <v>1033</v>
      </c>
      <c r="B19" s="70" t="s">
        <v>1368</v>
      </c>
      <c r="C19" s="826"/>
      <c r="D19" s="823">
        <v>243148</v>
      </c>
      <c r="E19" s="826"/>
      <c r="F19" s="823">
        <v>202847</v>
      </c>
      <c r="G19" s="826"/>
      <c r="H19" s="823">
        <v>257032</v>
      </c>
    </row>
    <row r="20" spans="1:153" s="810" customFormat="1" ht="14.25">
      <c r="A20" s="82"/>
      <c r="B20" s="808" t="s">
        <v>770</v>
      </c>
      <c r="C20" s="827">
        <f>C9+C10+C11+C12+C16+C17+C18+C19</f>
        <v>0</v>
      </c>
      <c r="D20" s="827">
        <f t="shared" ref="D20:G20" si="0">D9+D10+D11+D12+D16+D17+D18+D19</f>
        <v>1344585.5</v>
      </c>
      <c r="E20" s="827">
        <f t="shared" si="0"/>
        <v>0</v>
      </c>
      <c r="F20" s="827">
        <f t="shared" ref="F20:H20" si="1">F9+F10+F11+F12+F16+F17+F18+F19</f>
        <v>1397942.7</v>
      </c>
      <c r="G20" s="827">
        <f t="shared" si="0"/>
        <v>0</v>
      </c>
      <c r="H20" s="827">
        <f t="shared" si="1"/>
        <v>1449771.9</v>
      </c>
    </row>
    <row r="21" spans="1:153" s="41" customFormat="1">
      <c r="A21" s="60" t="s">
        <v>91</v>
      </c>
      <c r="B21" s="70" t="s">
        <v>396</v>
      </c>
      <c r="C21" s="826"/>
      <c r="D21" s="823">
        <f>'4.6_свод'!J83</f>
        <v>70259.98599999999</v>
      </c>
      <c r="E21" s="826"/>
      <c r="F21" s="823">
        <f>'4.6_свод'!K83</f>
        <v>125785.76500000001</v>
      </c>
      <c r="G21" s="826"/>
      <c r="H21" s="823">
        <f>'4.6_свод'!N83</f>
        <v>96120.994175</v>
      </c>
    </row>
    <row r="22" spans="1:153" s="41" customFormat="1" ht="48" customHeight="1">
      <c r="A22" s="60" t="s">
        <v>1369</v>
      </c>
      <c r="B22" s="70" t="s">
        <v>1370</v>
      </c>
      <c r="C22" s="1216"/>
      <c r="D22" s="1216"/>
      <c r="E22" s="826"/>
      <c r="F22" s="826"/>
      <c r="G22" s="826"/>
      <c r="H22" s="826"/>
    </row>
    <row r="23" spans="1:153" s="810" customFormat="1" ht="15" customHeight="1">
      <c r="A23" s="82" t="s">
        <v>95</v>
      </c>
      <c r="B23" s="808" t="s">
        <v>1371</v>
      </c>
      <c r="C23" s="827">
        <f>C20+C21+C22</f>
        <v>0</v>
      </c>
      <c r="D23" s="827">
        <f t="shared" ref="D23:H23" si="2">D20+D21+D22</f>
        <v>1414845.486</v>
      </c>
      <c r="E23" s="827">
        <f t="shared" si="2"/>
        <v>0</v>
      </c>
      <c r="F23" s="827">
        <f t="shared" si="2"/>
        <v>1523728.4649999999</v>
      </c>
      <c r="G23" s="827">
        <f t="shared" si="2"/>
        <v>0</v>
      </c>
      <c r="H23" s="827">
        <f t="shared" si="2"/>
        <v>1545892.894175</v>
      </c>
    </row>
    <row r="26" spans="1:153">
      <c r="F26" s="1445">
        <f>'5.3_КТЭЦ'!F23+'5.3_котельные'!F23</f>
        <v>1523728.4650000001</v>
      </c>
      <c r="H26" s="1445">
        <f>'5.3_КТЭЦ'!H23+'5.3_котельные'!H23</f>
        <v>1545892.894175</v>
      </c>
    </row>
    <row r="27" spans="1:153" s="26" customFormat="1">
      <c r="A27" s="26" t="s">
        <v>88</v>
      </c>
    </row>
    <row r="28" spans="1:153" s="1245" customFormat="1">
      <c r="A28" s="1246" t="s">
        <v>89</v>
      </c>
      <c r="B28" s="1972" t="s">
        <v>1346</v>
      </c>
      <c r="C28" s="1973"/>
      <c r="D28" s="1973"/>
      <c r="E28" s="1973"/>
      <c r="F28" s="1973"/>
      <c r="G28" s="1973"/>
      <c r="H28" s="1973"/>
      <c r="I28" s="1246"/>
      <c r="J28" s="1246"/>
      <c r="K28" s="1246"/>
      <c r="L28" s="1246"/>
      <c r="M28" s="1246"/>
      <c r="N28" s="1246"/>
      <c r="O28" s="1246"/>
      <c r="P28" s="1246"/>
      <c r="Q28" s="1246"/>
      <c r="R28" s="1246"/>
      <c r="S28" s="1246"/>
      <c r="T28" s="1246"/>
      <c r="U28" s="1246"/>
      <c r="V28" s="1246"/>
      <c r="W28" s="1246"/>
      <c r="X28" s="1246"/>
      <c r="Y28" s="1246"/>
      <c r="Z28" s="1246"/>
      <c r="AA28" s="1246"/>
      <c r="AB28" s="1246"/>
      <c r="AC28" s="1246"/>
      <c r="AD28" s="1246"/>
      <c r="AE28" s="1246"/>
      <c r="AF28" s="1246"/>
      <c r="AG28" s="1246"/>
      <c r="AH28" s="1246"/>
      <c r="AI28" s="1246"/>
      <c r="AJ28" s="1246"/>
      <c r="AK28" s="1246"/>
      <c r="AL28" s="1246"/>
      <c r="AM28" s="1246"/>
      <c r="AN28" s="1246"/>
      <c r="AO28" s="1246"/>
      <c r="AP28" s="1246"/>
      <c r="AQ28" s="1246"/>
      <c r="AR28" s="1246"/>
      <c r="AS28" s="1246"/>
      <c r="AT28" s="1246"/>
      <c r="AU28" s="1246"/>
      <c r="AV28" s="1246"/>
      <c r="AW28" s="1246"/>
      <c r="AX28" s="1246"/>
      <c r="AY28" s="1246"/>
      <c r="AZ28" s="1246"/>
      <c r="BA28" s="1246"/>
      <c r="BB28" s="1246"/>
      <c r="BC28" s="1246"/>
      <c r="BD28" s="1246"/>
      <c r="BE28" s="1246"/>
      <c r="BF28" s="1246"/>
      <c r="BG28" s="1246"/>
      <c r="BH28" s="1246"/>
      <c r="BI28" s="1246"/>
      <c r="BJ28" s="1246"/>
      <c r="BK28" s="1246"/>
      <c r="BL28" s="1246"/>
      <c r="BM28" s="1246"/>
      <c r="BN28" s="1246"/>
      <c r="BO28" s="1246"/>
      <c r="BP28" s="1246"/>
      <c r="BQ28" s="1246"/>
      <c r="BR28" s="1246"/>
      <c r="BS28" s="1246"/>
      <c r="BT28" s="1246"/>
      <c r="BU28" s="1246"/>
      <c r="BV28" s="1246"/>
      <c r="BW28" s="1246"/>
      <c r="BX28" s="1246"/>
      <c r="BY28" s="1246"/>
      <c r="BZ28" s="1246"/>
      <c r="CA28" s="1246"/>
      <c r="CB28" s="1246"/>
      <c r="CC28" s="1246"/>
      <c r="CD28" s="1246"/>
      <c r="CE28" s="1246"/>
      <c r="CF28" s="1246"/>
      <c r="CG28" s="1246"/>
      <c r="CH28" s="1246"/>
      <c r="CI28" s="1246"/>
      <c r="CJ28" s="1246"/>
      <c r="CK28" s="1246"/>
      <c r="CL28" s="1246"/>
      <c r="CM28" s="1246"/>
      <c r="CN28" s="1246"/>
      <c r="CO28" s="1246"/>
      <c r="CP28" s="1246"/>
      <c r="CQ28" s="1246"/>
      <c r="CR28" s="1246"/>
      <c r="CS28" s="1246"/>
      <c r="CT28" s="1246"/>
      <c r="CU28" s="1246"/>
      <c r="CV28" s="1246"/>
      <c r="CW28" s="1246"/>
      <c r="CX28" s="1246"/>
      <c r="CY28" s="1246"/>
      <c r="CZ28" s="1246"/>
      <c r="DA28" s="1246"/>
      <c r="DB28" s="1246"/>
      <c r="DC28" s="1246"/>
      <c r="DD28" s="1246"/>
      <c r="DE28" s="1246"/>
      <c r="DF28" s="1246"/>
      <c r="DG28" s="1246"/>
      <c r="DH28" s="1246"/>
      <c r="DI28" s="1246"/>
      <c r="DJ28" s="1246"/>
      <c r="DK28" s="1246"/>
      <c r="DL28" s="1246"/>
      <c r="DM28" s="1246"/>
      <c r="DN28" s="1246"/>
      <c r="DO28" s="1246"/>
      <c r="DP28" s="1246"/>
      <c r="DQ28" s="1246"/>
      <c r="DR28" s="1246"/>
      <c r="DS28" s="1246"/>
      <c r="DT28" s="1246"/>
      <c r="DU28" s="1246"/>
      <c r="DV28" s="1246"/>
      <c r="DW28" s="1246"/>
      <c r="DX28" s="1246"/>
      <c r="DY28" s="1246"/>
      <c r="DZ28" s="1246"/>
      <c r="EA28" s="1246"/>
      <c r="EB28" s="1246"/>
      <c r="EC28" s="1246"/>
      <c r="ED28" s="1246"/>
      <c r="EE28" s="1246"/>
      <c r="EF28" s="1246"/>
      <c r="EG28" s="1246"/>
      <c r="EH28" s="1246"/>
      <c r="EI28" s="1246"/>
      <c r="EJ28" s="1246"/>
      <c r="EK28" s="1246"/>
      <c r="EL28" s="1246"/>
      <c r="EM28" s="1246"/>
      <c r="EN28" s="1246"/>
      <c r="EO28" s="1246"/>
      <c r="EP28" s="1246"/>
      <c r="EQ28" s="1246"/>
      <c r="ER28" s="1246"/>
      <c r="ES28" s="1246"/>
      <c r="ET28" s="1246"/>
      <c r="EU28" s="1246"/>
      <c r="EV28" s="1246"/>
      <c r="EW28" s="1246"/>
    </row>
    <row r="29" spans="1:153" s="1245" customFormat="1">
      <c r="A29" s="1246" t="s">
        <v>91</v>
      </c>
      <c r="B29" s="1967" t="s">
        <v>1372</v>
      </c>
      <c r="C29" s="1979"/>
      <c r="D29" s="1979"/>
      <c r="E29" s="1979"/>
      <c r="F29" s="1979"/>
      <c r="G29" s="1979"/>
      <c r="H29" s="1979"/>
    </row>
    <row r="30" spans="1:153" ht="33" customHeight="1">
      <c r="A30" s="1246" t="s">
        <v>93</v>
      </c>
      <c r="B30" s="1972" t="s">
        <v>1373</v>
      </c>
      <c r="C30" s="1973"/>
      <c r="D30" s="1973"/>
      <c r="E30" s="1973"/>
      <c r="F30" s="1973"/>
      <c r="G30" s="1973"/>
      <c r="H30" s="1973"/>
      <c r="I30" s="1246"/>
      <c r="J30" s="1246"/>
      <c r="K30" s="1246"/>
      <c r="L30" s="1246"/>
      <c r="M30" s="1246"/>
      <c r="N30" s="1246"/>
      <c r="O30" s="1246"/>
      <c r="P30" s="1246"/>
      <c r="Q30" s="1246"/>
      <c r="R30" s="1246"/>
      <c r="S30" s="1246"/>
      <c r="T30" s="1246"/>
      <c r="U30" s="1246"/>
      <c r="V30" s="1246"/>
      <c r="W30" s="1246"/>
      <c r="X30" s="1246"/>
      <c r="Y30" s="1246"/>
      <c r="Z30" s="1246"/>
      <c r="AA30" s="1246"/>
      <c r="AB30" s="1246"/>
      <c r="AC30" s="1246"/>
      <c r="AD30" s="1246"/>
      <c r="AE30" s="1246"/>
      <c r="AF30" s="1246"/>
      <c r="AG30" s="1246"/>
      <c r="AH30" s="1246"/>
      <c r="AI30" s="1246"/>
      <c r="AJ30" s="1246"/>
      <c r="AK30" s="1246"/>
      <c r="AL30" s="1246"/>
      <c r="AM30" s="1246"/>
      <c r="AN30" s="1246"/>
      <c r="AO30" s="1246"/>
      <c r="AP30" s="1246"/>
      <c r="AQ30" s="1246"/>
      <c r="AR30" s="1246"/>
      <c r="AS30" s="1246"/>
      <c r="AT30" s="1246"/>
      <c r="AU30" s="1246"/>
      <c r="AV30" s="1246"/>
      <c r="AW30" s="1246"/>
      <c r="AX30" s="1246"/>
      <c r="AY30" s="1246"/>
      <c r="AZ30" s="1246"/>
      <c r="BA30" s="1246"/>
      <c r="BB30" s="1246"/>
      <c r="BC30" s="1246"/>
      <c r="BD30" s="1246"/>
      <c r="BE30" s="1246"/>
      <c r="BF30" s="1246"/>
      <c r="BG30" s="1246"/>
      <c r="BH30" s="1246"/>
      <c r="BI30" s="1246"/>
      <c r="BJ30" s="1246"/>
      <c r="BK30" s="1246"/>
      <c r="BL30" s="1246"/>
      <c r="BM30" s="1246"/>
      <c r="BN30" s="1246"/>
      <c r="BO30" s="1246"/>
      <c r="BP30" s="1246"/>
      <c r="BQ30" s="1246"/>
      <c r="BR30" s="1246"/>
      <c r="BS30" s="1246"/>
      <c r="BT30" s="1246"/>
      <c r="BU30" s="1246"/>
      <c r="BV30" s="1246"/>
      <c r="BW30" s="1246"/>
      <c r="BX30" s="1246"/>
      <c r="BY30" s="1246"/>
      <c r="BZ30" s="1246"/>
      <c r="CA30" s="1246"/>
      <c r="CB30" s="1246"/>
      <c r="CC30" s="1246"/>
      <c r="CD30" s="1246"/>
      <c r="CE30" s="1246"/>
      <c r="CF30" s="1246"/>
      <c r="CG30" s="1246"/>
      <c r="CH30" s="1246"/>
      <c r="CI30" s="1246"/>
      <c r="CJ30" s="1246"/>
      <c r="CK30" s="1246"/>
      <c r="CL30" s="1246"/>
      <c r="CM30" s="1246"/>
      <c r="CN30" s="1246"/>
      <c r="CO30" s="1246"/>
      <c r="CP30" s="1246"/>
      <c r="CQ30" s="1246"/>
      <c r="CR30" s="1246"/>
      <c r="CS30" s="1246"/>
      <c r="CT30" s="1246"/>
      <c r="CU30" s="1246"/>
      <c r="CV30" s="1246"/>
      <c r="CW30" s="1246"/>
      <c r="CX30" s="1246"/>
      <c r="CY30" s="1246"/>
      <c r="CZ30" s="1246"/>
      <c r="DA30" s="1246"/>
      <c r="DB30" s="1246"/>
      <c r="DC30" s="1246"/>
      <c r="DD30" s="1246"/>
      <c r="DE30" s="1246"/>
      <c r="DF30" s="1246"/>
      <c r="DG30" s="1246"/>
      <c r="DH30" s="1246"/>
      <c r="DI30" s="1246"/>
      <c r="DJ30" s="1246"/>
      <c r="DK30" s="1246"/>
      <c r="DL30" s="1246"/>
      <c r="DM30" s="1246"/>
      <c r="DN30" s="1246"/>
      <c r="DO30" s="1246"/>
      <c r="DP30" s="1246"/>
      <c r="DQ30" s="1246"/>
      <c r="DR30" s="1246"/>
      <c r="DS30" s="1246"/>
      <c r="DT30" s="1246"/>
      <c r="DU30" s="1246"/>
      <c r="DV30" s="1246"/>
      <c r="DW30" s="1246"/>
      <c r="DX30" s="1246"/>
      <c r="DY30" s="1246"/>
      <c r="DZ30" s="1246"/>
      <c r="EA30" s="1246"/>
      <c r="EB30" s="1246"/>
      <c r="EC30" s="1246"/>
      <c r="ED30" s="1246"/>
      <c r="EE30" s="1246"/>
      <c r="EF30" s="1246"/>
      <c r="EG30" s="1246"/>
      <c r="EH30" s="1246"/>
      <c r="EI30" s="1246"/>
      <c r="EJ30" s="1246"/>
      <c r="EK30" s="1246"/>
      <c r="EL30" s="1246"/>
      <c r="EM30" s="1246"/>
      <c r="EN30" s="1246"/>
      <c r="EO30" s="1246"/>
      <c r="EP30" s="1246"/>
      <c r="EQ30" s="1246"/>
      <c r="ER30" s="1246"/>
    </row>
    <row r="31" spans="1:153" ht="34.5" customHeight="1">
      <c r="A31" s="1246" t="s">
        <v>95</v>
      </c>
      <c r="B31" s="1972" t="s">
        <v>1374</v>
      </c>
      <c r="C31" s="1973"/>
      <c r="D31" s="1973"/>
      <c r="E31" s="1973"/>
      <c r="F31" s="1973"/>
      <c r="G31" s="1973"/>
      <c r="H31" s="1973"/>
      <c r="I31" s="1246"/>
      <c r="J31" s="1246"/>
      <c r="K31" s="1246"/>
      <c r="L31" s="1246"/>
      <c r="M31" s="1246"/>
      <c r="N31" s="1246"/>
      <c r="O31" s="1246"/>
      <c r="P31" s="1246"/>
      <c r="Q31" s="1246"/>
      <c r="R31" s="1246"/>
      <c r="S31" s="1246"/>
      <c r="T31" s="1246"/>
      <c r="U31" s="1246"/>
      <c r="V31" s="1246"/>
      <c r="W31" s="1246"/>
      <c r="X31" s="1246"/>
      <c r="Y31" s="1246"/>
      <c r="Z31" s="1246"/>
      <c r="AA31" s="1246"/>
      <c r="AB31" s="1246"/>
      <c r="AC31" s="1246"/>
      <c r="AD31" s="1246"/>
      <c r="AE31" s="1246"/>
      <c r="AF31" s="1246"/>
      <c r="AG31" s="1246"/>
      <c r="AH31" s="1246"/>
      <c r="AI31" s="1246"/>
      <c r="AJ31" s="1246"/>
      <c r="AK31" s="1246"/>
      <c r="AL31" s="1246"/>
      <c r="AM31" s="1246"/>
      <c r="AN31" s="1246"/>
      <c r="AO31" s="1246"/>
      <c r="AP31" s="1246"/>
      <c r="AQ31" s="1246"/>
      <c r="AR31" s="1246"/>
      <c r="AS31" s="1246"/>
      <c r="AT31" s="1246"/>
      <c r="AU31" s="1246"/>
      <c r="AV31" s="1246"/>
      <c r="AW31" s="1246"/>
      <c r="AX31" s="1246"/>
      <c r="AY31" s="1246"/>
      <c r="AZ31" s="1246"/>
      <c r="BA31" s="1246"/>
      <c r="BB31" s="1246"/>
      <c r="BC31" s="1246"/>
      <c r="BD31" s="1246"/>
      <c r="BE31" s="1246"/>
      <c r="BF31" s="1246"/>
      <c r="BG31" s="1246"/>
      <c r="BH31" s="1246"/>
      <c r="BI31" s="1246"/>
      <c r="BJ31" s="1246"/>
      <c r="BK31" s="1246"/>
      <c r="BL31" s="1246"/>
      <c r="BM31" s="1246"/>
      <c r="BN31" s="1246"/>
      <c r="BO31" s="1246"/>
      <c r="BP31" s="1246"/>
      <c r="BQ31" s="1246"/>
      <c r="BR31" s="1246"/>
      <c r="BS31" s="1246"/>
      <c r="BT31" s="1246"/>
      <c r="BU31" s="1246"/>
      <c r="BV31" s="1246"/>
      <c r="BW31" s="1246"/>
      <c r="BX31" s="1246"/>
      <c r="BY31" s="1246"/>
      <c r="BZ31" s="1246"/>
      <c r="CA31" s="1246"/>
      <c r="CB31" s="1246"/>
      <c r="CC31" s="1246"/>
      <c r="CD31" s="1246"/>
      <c r="CE31" s="1246"/>
      <c r="CF31" s="1246"/>
      <c r="CG31" s="1246"/>
      <c r="CH31" s="1246"/>
      <c r="CI31" s="1246"/>
      <c r="CJ31" s="1246"/>
      <c r="CK31" s="1246"/>
      <c r="CL31" s="1246"/>
      <c r="CM31" s="1246"/>
      <c r="CN31" s="1246"/>
      <c r="CO31" s="1246"/>
      <c r="CP31" s="1246"/>
      <c r="CQ31" s="1246"/>
      <c r="CR31" s="1246"/>
      <c r="CS31" s="1246"/>
      <c r="CT31" s="1246"/>
      <c r="CU31" s="1246"/>
      <c r="CV31" s="1246"/>
      <c r="CW31" s="1246"/>
      <c r="CX31" s="1246"/>
      <c r="CY31" s="1246"/>
      <c r="CZ31" s="1246"/>
      <c r="DA31" s="1246"/>
      <c r="DB31" s="1246"/>
      <c r="DC31" s="1246"/>
      <c r="DD31" s="1246"/>
      <c r="DE31" s="1246"/>
      <c r="DF31" s="1246"/>
      <c r="DG31" s="1246"/>
      <c r="DH31" s="1246"/>
      <c r="DI31" s="1246"/>
      <c r="DJ31" s="1246"/>
      <c r="DK31" s="1246"/>
      <c r="DL31" s="1246"/>
      <c r="DM31" s="1246"/>
      <c r="DN31" s="1246"/>
      <c r="DO31" s="1246"/>
      <c r="DP31" s="1246"/>
      <c r="DQ31" s="1246"/>
      <c r="DR31" s="1246"/>
      <c r="DS31" s="1246"/>
      <c r="DT31" s="1246"/>
      <c r="DU31" s="1246"/>
      <c r="DV31" s="1246"/>
      <c r="DW31" s="1246"/>
      <c r="DX31" s="1246"/>
      <c r="DY31" s="1246"/>
      <c r="DZ31" s="1246"/>
      <c r="EA31" s="1246"/>
      <c r="EB31" s="1246"/>
      <c r="EC31" s="1246"/>
      <c r="ED31" s="1246"/>
      <c r="EE31" s="1246"/>
      <c r="EF31" s="1246"/>
      <c r="EG31" s="1246"/>
      <c r="EH31" s="1246"/>
      <c r="EI31" s="1246"/>
      <c r="EJ31" s="1246"/>
      <c r="EK31" s="1246"/>
      <c r="EL31" s="1246"/>
      <c r="EM31" s="1246"/>
      <c r="EN31" s="1246"/>
      <c r="EO31" s="1246"/>
      <c r="EP31" s="1246"/>
      <c r="EQ31" s="1246"/>
      <c r="ER31" s="1246"/>
    </row>
  </sheetData>
  <mergeCells count="10">
    <mergeCell ref="B28:H28"/>
    <mergeCell ref="B29:H29"/>
    <mergeCell ref="B30:H30"/>
    <mergeCell ref="B31:H31"/>
    <mergeCell ref="A3:H3"/>
    <mergeCell ref="A6:A7"/>
    <mergeCell ref="B6:B7"/>
    <mergeCell ref="C6:D6"/>
    <mergeCell ref="E6:F6"/>
    <mergeCell ref="G6:H6"/>
  </mergeCells>
  <pageMargins left="0.78740157480314965" right="0.51181102362204722" top="0.59055118110236227" bottom="0.39370078740157483" header="0.19685039370078741" footer="0.19685039370078741"/>
  <pageSetup paperSize="9" scale="65" orientation="portrait" r:id="rId1"/>
  <headerFooter alignWithMargins="0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EW31"/>
  <sheetViews>
    <sheetView view="pageBreakPreview" zoomScaleNormal="100" workbookViewId="0">
      <pane ySplit="8" topLeftCell="A9" activePane="bottomLeft" state="frozen"/>
      <selection activeCell="A2" sqref="A2"/>
      <selection pane="bottomLeft" activeCell="J16" sqref="J16"/>
    </sheetView>
  </sheetViews>
  <sheetFormatPr defaultColWidth="2.7109375" defaultRowHeight="15"/>
  <cols>
    <col min="1" max="1" width="6.5703125" style="1" customWidth="1"/>
    <col min="2" max="2" width="49" style="1" customWidth="1"/>
    <col min="3" max="8" width="13.7109375" style="1" customWidth="1"/>
    <col min="9" max="60" width="8.28515625" style="1" customWidth="1"/>
    <col min="61" max="16384" width="2.7109375" style="1"/>
  </cols>
  <sheetData>
    <row r="1" spans="1:9" s="5" customFormat="1" ht="18" customHeight="1">
      <c r="A1" s="74" t="s">
        <v>1860</v>
      </c>
      <c r="H1" s="6" t="s">
        <v>1351</v>
      </c>
    </row>
    <row r="2" spans="1:9" ht="12.75" customHeight="1">
      <c r="A2" s="1644" t="s">
        <v>1681</v>
      </c>
    </row>
    <row r="3" spans="1:9" ht="29.25" customHeight="1">
      <c r="A3" s="1980" t="s">
        <v>1352</v>
      </c>
      <c r="B3" s="1980"/>
      <c r="C3" s="1980"/>
      <c r="D3" s="1980"/>
      <c r="E3" s="1980"/>
      <c r="F3" s="1980"/>
      <c r="G3" s="1980"/>
      <c r="H3" s="1980"/>
    </row>
    <row r="4" spans="1:9" ht="12.75" customHeight="1">
      <c r="B4" s="1639"/>
      <c r="C4" s="1639"/>
      <c r="D4" s="1639"/>
      <c r="E4" s="1639"/>
      <c r="F4" s="1639"/>
      <c r="G4" s="1639"/>
      <c r="H4" s="1639"/>
    </row>
    <row r="5" spans="1:9" ht="14.25" customHeight="1">
      <c r="A5" s="812" t="s">
        <v>1329</v>
      </c>
      <c r="H5" s="23" t="s">
        <v>360</v>
      </c>
    </row>
    <row r="6" spans="1:9" s="3" customFormat="1" ht="15" customHeight="1">
      <c r="A6" s="1858" t="s">
        <v>0</v>
      </c>
      <c r="B6" s="1858" t="s">
        <v>1293</v>
      </c>
      <c r="C6" s="1981" t="s">
        <v>1336</v>
      </c>
      <c r="D6" s="1982"/>
      <c r="E6" s="1981" t="s">
        <v>1337</v>
      </c>
      <c r="F6" s="1983"/>
      <c r="G6" s="1981" t="s">
        <v>1715</v>
      </c>
      <c r="H6" s="1983"/>
    </row>
    <row r="7" spans="1:9" s="3" customFormat="1" ht="105">
      <c r="A7" s="1971"/>
      <c r="B7" s="1971"/>
      <c r="C7" s="822" t="s">
        <v>1353</v>
      </c>
      <c r="D7" s="822" t="s">
        <v>1354</v>
      </c>
      <c r="E7" s="822" t="s">
        <v>1353</v>
      </c>
      <c r="F7" s="822" t="s">
        <v>1354</v>
      </c>
      <c r="G7" s="822" t="s">
        <v>1353</v>
      </c>
      <c r="H7" s="822" t="s">
        <v>1354</v>
      </c>
    </row>
    <row r="8" spans="1:9" s="2" customFormat="1">
      <c r="A8" s="13">
        <v>1</v>
      </c>
      <c r="B8" s="13">
        <v>2</v>
      </c>
      <c r="C8" s="13">
        <v>3</v>
      </c>
      <c r="D8" s="13">
        <v>4</v>
      </c>
      <c r="E8" s="13">
        <v>5</v>
      </c>
      <c r="F8" s="13">
        <v>6</v>
      </c>
      <c r="G8" s="13">
        <v>7</v>
      </c>
      <c r="H8" s="13">
        <v>8</v>
      </c>
    </row>
    <row r="9" spans="1:9" s="41" customFormat="1" ht="45">
      <c r="A9" s="60" t="s">
        <v>893</v>
      </c>
      <c r="B9" s="68" t="s">
        <v>1355</v>
      </c>
      <c r="C9" s="823"/>
      <c r="D9" s="823">
        <v>0</v>
      </c>
      <c r="E9" s="823"/>
      <c r="F9" s="823">
        <v>0</v>
      </c>
      <c r="G9" s="823"/>
      <c r="H9" s="823">
        <v>0</v>
      </c>
    </row>
    <row r="10" spans="1:9" s="825" customFormat="1" ht="15" customHeight="1">
      <c r="A10" s="829" t="s">
        <v>895</v>
      </c>
      <c r="B10" s="830" t="s">
        <v>1308</v>
      </c>
      <c r="C10" s="1236"/>
      <c r="D10" s="823">
        <v>69572</v>
      </c>
      <c r="E10" s="849"/>
      <c r="F10" s="823">
        <v>65027</v>
      </c>
      <c r="G10" s="849"/>
      <c r="H10" s="823">
        <v>68864</v>
      </c>
      <c r="I10" s="825" t="s">
        <v>1356</v>
      </c>
    </row>
    <row r="11" spans="1:9" s="825" customFormat="1" ht="15" customHeight="1">
      <c r="A11" s="829" t="s">
        <v>896</v>
      </c>
      <c r="B11" s="833" t="s">
        <v>1357</v>
      </c>
      <c r="C11" s="849"/>
      <c r="D11" s="849"/>
      <c r="E11" s="849"/>
      <c r="F11" s="849"/>
      <c r="G11" s="849"/>
      <c r="H11" s="849"/>
    </row>
    <row r="12" spans="1:9" s="41" customFormat="1" ht="30">
      <c r="A12" s="60" t="s">
        <v>897</v>
      </c>
      <c r="B12" s="70" t="s">
        <v>1358</v>
      </c>
      <c r="C12" s="826">
        <f>C13+C14+C15</f>
        <v>0</v>
      </c>
      <c r="D12" s="826">
        <v>21563.1</v>
      </c>
      <c r="E12" s="826">
        <v>0</v>
      </c>
      <c r="F12" s="826">
        <v>22059.5</v>
      </c>
      <c r="G12" s="826">
        <v>0</v>
      </c>
      <c r="H12" s="826">
        <v>23375.599999999999</v>
      </c>
    </row>
    <row r="13" spans="1:9" s="41" customFormat="1" ht="75">
      <c r="A13" s="60" t="s">
        <v>1359</v>
      </c>
      <c r="B13" s="68" t="s">
        <v>1360</v>
      </c>
      <c r="C13" s="826"/>
      <c r="D13" s="823">
        <v>2127</v>
      </c>
      <c r="E13" s="826"/>
      <c r="F13" s="823">
        <v>719.9</v>
      </c>
      <c r="G13" s="826"/>
      <c r="H13" s="823">
        <v>719.9</v>
      </c>
    </row>
    <row r="14" spans="1:9" s="41" customFormat="1">
      <c r="A14" s="60" t="s">
        <v>1361</v>
      </c>
      <c r="B14" s="68" t="s">
        <v>1362</v>
      </c>
      <c r="C14" s="826"/>
      <c r="D14" s="823">
        <v>4730.1000000000004</v>
      </c>
      <c r="E14" s="826"/>
      <c r="F14" s="823">
        <v>6169.6</v>
      </c>
      <c r="G14" s="826"/>
      <c r="H14" s="823">
        <v>6534.7</v>
      </c>
    </row>
    <row r="15" spans="1:9" s="41" customFormat="1">
      <c r="A15" s="60" t="s">
        <v>1363</v>
      </c>
      <c r="B15" s="68" t="s">
        <v>1680</v>
      </c>
      <c r="C15" s="826"/>
      <c r="D15" s="823">
        <v>14706</v>
      </c>
      <c r="E15" s="826"/>
      <c r="F15" s="823">
        <v>15170</v>
      </c>
      <c r="G15" s="826"/>
      <c r="H15" s="823">
        <v>16121</v>
      </c>
    </row>
    <row r="16" spans="1:9" s="41" customFormat="1">
      <c r="A16" s="60" t="s">
        <v>1036</v>
      </c>
      <c r="B16" s="70" t="s">
        <v>1365</v>
      </c>
      <c r="C16" s="826"/>
      <c r="D16" s="823">
        <v>273451</v>
      </c>
      <c r="E16" s="826"/>
      <c r="F16" s="823">
        <v>310055</v>
      </c>
      <c r="G16" s="826"/>
      <c r="H16" s="823">
        <v>330095</v>
      </c>
    </row>
    <row r="17" spans="1:153" s="41" customFormat="1">
      <c r="A17" s="60" t="s">
        <v>1035</v>
      </c>
      <c r="B17" s="70" t="s">
        <v>1366</v>
      </c>
      <c r="C17" s="826"/>
      <c r="D17" s="823">
        <v>0</v>
      </c>
      <c r="E17" s="826"/>
      <c r="F17" s="823">
        <v>0</v>
      </c>
      <c r="G17" s="826"/>
      <c r="H17" s="823">
        <v>0</v>
      </c>
    </row>
    <row r="18" spans="1:153" s="41" customFormat="1" ht="30">
      <c r="A18" s="60" t="s">
        <v>1034</v>
      </c>
      <c r="B18" s="70" t="s">
        <v>1367</v>
      </c>
      <c r="C18" s="826"/>
      <c r="D18" s="823">
        <v>79446</v>
      </c>
      <c r="E18" s="826"/>
      <c r="F18" s="823">
        <v>84832</v>
      </c>
      <c r="G18" s="826"/>
      <c r="H18" s="823">
        <v>92647</v>
      </c>
    </row>
    <row r="19" spans="1:153" s="41" customFormat="1" ht="30">
      <c r="A19" s="60" t="s">
        <v>1033</v>
      </c>
      <c r="B19" s="70" t="s">
        <v>1368</v>
      </c>
      <c r="C19" s="826"/>
      <c r="D19" s="823">
        <v>243148</v>
      </c>
      <c r="E19" s="826"/>
      <c r="F19" s="823">
        <v>202847</v>
      </c>
      <c r="G19" s="826"/>
      <c r="H19" s="823">
        <v>257032</v>
      </c>
    </row>
    <row r="20" spans="1:153" s="810" customFormat="1" ht="14.25">
      <c r="A20" s="82"/>
      <c r="B20" s="808" t="s">
        <v>770</v>
      </c>
      <c r="C20" s="827">
        <f>C9+C10+C11+C12+C16+C17+C18+C19</f>
        <v>0</v>
      </c>
      <c r="D20" s="827">
        <f t="shared" ref="D20:G20" si="0">D9+D10+D11+D12+D16+D17+D18+D19</f>
        <v>687180.1</v>
      </c>
      <c r="E20" s="827">
        <f t="shared" si="0"/>
        <v>0</v>
      </c>
      <c r="F20" s="827">
        <f t="shared" ref="F20:H20" si="1">F9+F10+F11+F12+F16+F17+F18+F19</f>
        <v>684820.5</v>
      </c>
      <c r="G20" s="827">
        <f t="shared" si="0"/>
        <v>0</v>
      </c>
      <c r="H20" s="827">
        <f t="shared" si="1"/>
        <v>772013.6</v>
      </c>
    </row>
    <row r="21" spans="1:153" s="41" customFormat="1">
      <c r="A21" s="60" t="s">
        <v>91</v>
      </c>
      <c r="B21" s="70" t="s">
        <v>396</v>
      </c>
      <c r="C21" s="826"/>
      <c r="D21" s="823">
        <f>'4.6_генерация (свод)'!J83</f>
        <v>2542</v>
      </c>
      <c r="E21" s="826"/>
      <c r="F21" s="823">
        <f>'4.6_генерация (свод)'!K83</f>
        <v>2714.8559999999998</v>
      </c>
      <c r="G21" s="826"/>
      <c r="H21" s="823">
        <f>'4.6_генерация (свод)'!N83</f>
        <v>2875.0325039999998</v>
      </c>
    </row>
    <row r="22" spans="1:153" s="41" customFormat="1" ht="48" customHeight="1">
      <c r="A22" s="60" t="s">
        <v>1369</v>
      </c>
      <c r="B22" s="70" t="s">
        <v>1370</v>
      </c>
      <c r="C22" s="1216"/>
      <c r="D22" s="1216"/>
      <c r="E22" s="826"/>
      <c r="F22" s="826"/>
      <c r="G22" s="826"/>
      <c r="H22" s="826"/>
    </row>
    <row r="23" spans="1:153" s="810" customFormat="1" ht="15" customHeight="1">
      <c r="A23" s="82" t="s">
        <v>95</v>
      </c>
      <c r="B23" s="808" t="s">
        <v>1371</v>
      </c>
      <c r="C23" s="827">
        <f>C20+C21+C22</f>
        <v>0</v>
      </c>
      <c r="D23" s="827">
        <f t="shared" ref="D23:H23" si="2">D20+D21+D22</f>
        <v>689722.1</v>
      </c>
      <c r="E23" s="827">
        <f t="shared" si="2"/>
        <v>0</v>
      </c>
      <c r="F23" s="827">
        <f t="shared" si="2"/>
        <v>687535.35600000003</v>
      </c>
      <c r="G23" s="827">
        <f t="shared" si="2"/>
        <v>0</v>
      </c>
      <c r="H23" s="827">
        <f t="shared" si="2"/>
        <v>774888.63250399998</v>
      </c>
    </row>
    <row r="26" spans="1:153">
      <c r="F26" s="1445">
        <f>'5.3_пр-во КТЭЦ'!F23+'5.3_пр-во котельные'!F23</f>
        <v>687535.35600000003</v>
      </c>
      <c r="H26" s="1445">
        <f>'5.3_пр-во КТЭЦ'!H23+'5.3_пр-во котельные'!H23</f>
        <v>774888.63250399998</v>
      </c>
    </row>
    <row r="27" spans="1:153" s="26" customFormat="1">
      <c r="A27" s="26" t="s">
        <v>88</v>
      </c>
    </row>
    <row r="28" spans="1:153" s="1645" customFormat="1">
      <c r="A28" s="1646" t="s">
        <v>89</v>
      </c>
      <c r="B28" s="1972" t="s">
        <v>1346</v>
      </c>
      <c r="C28" s="1973"/>
      <c r="D28" s="1973"/>
      <c r="E28" s="1973"/>
      <c r="F28" s="1973"/>
      <c r="G28" s="1973"/>
      <c r="H28" s="1973"/>
      <c r="I28" s="1646"/>
      <c r="J28" s="1646"/>
      <c r="K28" s="1646"/>
      <c r="L28" s="1646"/>
      <c r="M28" s="1646"/>
      <c r="N28" s="1646"/>
      <c r="O28" s="1646"/>
      <c r="P28" s="1646"/>
      <c r="Q28" s="1646"/>
      <c r="R28" s="1646"/>
      <c r="S28" s="1646"/>
      <c r="T28" s="1646"/>
      <c r="U28" s="1646"/>
      <c r="V28" s="1646"/>
      <c r="W28" s="1646"/>
      <c r="X28" s="1646"/>
      <c r="Y28" s="1646"/>
      <c r="Z28" s="1646"/>
      <c r="AA28" s="1646"/>
      <c r="AB28" s="1646"/>
      <c r="AC28" s="1646"/>
      <c r="AD28" s="1646"/>
      <c r="AE28" s="1646"/>
      <c r="AF28" s="1646"/>
      <c r="AG28" s="1646"/>
      <c r="AH28" s="1646"/>
      <c r="AI28" s="1646"/>
      <c r="AJ28" s="1646"/>
      <c r="AK28" s="1646"/>
      <c r="AL28" s="1646"/>
      <c r="AM28" s="1646"/>
      <c r="AN28" s="1646"/>
      <c r="AO28" s="1646"/>
      <c r="AP28" s="1646"/>
      <c r="AQ28" s="1646"/>
      <c r="AR28" s="1646"/>
      <c r="AS28" s="1646"/>
      <c r="AT28" s="1646"/>
      <c r="AU28" s="1646"/>
      <c r="AV28" s="1646"/>
      <c r="AW28" s="1646"/>
      <c r="AX28" s="1646"/>
      <c r="AY28" s="1646"/>
      <c r="AZ28" s="1646"/>
      <c r="BA28" s="1646"/>
      <c r="BB28" s="1646"/>
      <c r="BC28" s="1646"/>
      <c r="BD28" s="1646"/>
      <c r="BE28" s="1646"/>
      <c r="BF28" s="1646"/>
      <c r="BG28" s="1646"/>
      <c r="BH28" s="1646"/>
      <c r="BI28" s="1646"/>
      <c r="BJ28" s="1646"/>
      <c r="BK28" s="1646"/>
      <c r="BL28" s="1646"/>
      <c r="BM28" s="1646"/>
      <c r="BN28" s="1646"/>
      <c r="BO28" s="1646"/>
      <c r="BP28" s="1646"/>
      <c r="BQ28" s="1646"/>
      <c r="BR28" s="1646"/>
      <c r="BS28" s="1646"/>
      <c r="BT28" s="1646"/>
      <c r="BU28" s="1646"/>
      <c r="BV28" s="1646"/>
      <c r="BW28" s="1646"/>
      <c r="BX28" s="1646"/>
      <c r="BY28" s="1646"/>
      <c r="BZ28" s="1646"/>
      <c r="CA28" s="1646"/>
      <c r="CB28" s="1646"/>
      <c r="CC28" s="1646"/>
      <c r="CD28" s="1646"/>
      <c r="CE28" s="1646"/>
      <c r="CF28" s="1646"/>
      <c r="CG28" s="1646"/>
      <c r="CH28" s="1646"/>
      <c r="CI28" s="1646"/>
      <c r="CJ28" s="1646"/>
      <c r="CK28" s="1646"/>
      <c r="CL28" s="1646"/>
      <c r="CM28" s="1646"/>
      <c r="CN28" s="1646"/>
      <c r="CO28" s="1646"/>
      <c r="CP28" s="1646"/>
      <c r="CQ28" s="1646"/>
      <c r="CR28" s="1646"/>
      <c r="CS28" s="1646"/>
      <c r="CT28" s="1646"/>
      <c r="CU28" s="1646"/>
      <c r="CV28" s="1646"/>
      <c r="CW28" s="1646"/>
      <c r="CX28" s="1646"/>
      <c r="CY28" s="1646"/>
      <c r="CZ28" s="1646"/>
      <c r="DA28" s="1646"/>
      <c r="DB28" s="1646"/>
      <c r="DC28" s="1646"/>
      <c r="DD28" s="1646"/>
      <c r="DE28" s="1646"/>
      <c r="DF28" s="1646"/>
      <c r="DG28" s="1646"/>
      <c r="DH28" s="1646"/>
      <c r="DI28" s="1646"/>
      <c r="DJ28" s="1646"/>
      <c r="DK28" s="1646"/>
      <c r="DL28" s="1646"/>
      <c r="DM28" s="1646"/>
      <c r="DN28" s="1646"/>
      <c r="DO28" s="1646"/>
      <c r="DP28" s="1646"/>
      <c r="DQ28" s="1646"/>
      <c r="DR28" s="1646"/>
      <c r="DS28" s="1646"/>
      <c r="DT28" s="1646"/>
      <c r="DU28" s="1646"/>
      <c r="DV28" s="1646"/>
      <c r="DW28" s="1646"/>
      <c r="DX28" s="1646"/>
      <c r="DY28" s="1646"/>
      <c r="DZ28" s="1646"/>
      <c r="EA28" s="1646"/>
      <c r="EB28" s="1646"/>
      <c r="EC28" s="1646"/>
      <c r="ED28" s="1646"/>
      <c r="EE28" s="1646"/>
      <c r="EF28" s="1646"/>
      <c r="EG28" s="1646"/>
      <c r="EH28" s="1646"/>
      <c r="EI28" s="1646"/>
      <c r="EJ28" s="1646"/>
      <c r="EK28" s="1646"/>
      <c r="EL28" s="1646"/>
      <c r="EM28" s="1646"/>
      <c r="EN28" s="1646"/>
      <c r="EO28" s="1646"/>
      <c r="EP28" s="1646"/>
      <c r="EQ28" s="1646"/>
      <c r="ER28" s="1646"/>
      <c r="ES28" s="1646"/>
      <c r="ET28" s="1646"/>
      <c r="EU28" s="1646"/>
      <c r="EV28" s="1646"/>
      <c r="EW28" s="1646"/>
    </row>
    <row r="29" spans="1:153" s="1645" customFormat="1">
      <c r="A29" s="1646" t="s">
        <v>91</v>
      </c>
      <c r="B29" s="1967" t="s">
        <v>1372</v>
      </c>
      <c r="C29" s="1979"/>
      <c r="D29" s="1979"/>
      <c r="E29" s="1979"/>
      <c r="F29" s="1979"/>
      <c r="G29" s="1979"/>
      <c r="H29" s="1979"/>
    </row>
    <row r="30" spans="1:153" ht="33" customHeight="1">
      <c r="A30" s="1646" t="s">
        <v>93</v>
      </c>
      <c r="B30" s="1972" t="s">
        <v>1373</v>
      </c>
      <c r="C30" s="1973"/>
      <c r="D30" s="1973"/>
      <c r="E30" s="1973"/>
      <c r="F30" s="1973"/>
      <c r="G30" s="1973"/>
      <c r="H30" s="1973"/>
      <c r="I30" s="1646"/>
      <c r="J30" s="1646"/>
      <c r="K30" s="1646"/>
      <c r="L30" s="1646"/>
      <c r="M30" s="1646"/>
      <c r="N30" s="1646"/>
      <c r="O30" s="1646"/>
      <c r="P30" s="1646"/>
      <c r="Q30" s="1646"/>
      <c r="R30" s="1646"/>
      <c r="S30" s="1646"/>
      <c r="T30" s="1646"/>
      <c r="U30" s="1646"/>
      <c r="V30" s="1646"/>
      <c r="W30" s="1646"/>
      <c r="X30" s="1646"/>
      <c r="Y30" s="1646"/>
      <c r="Z30" s="1646"/>
      <c r="AA30" s="1646"/>
      <c r="AB30" s="1646"/>
      <c r="AC30" s="1646"/>
      <c r="AD30" s="1646"/>
      <c r="AE30" s="1646"/>
      <c r="AF30" s="1646"/>
      <c r="AG30" s="1646"/>
      <c r="AH30" s="1646"/>
      <c r="AI30" s="1646"/>
      <c r="AJ30" s="1646"/>
      <c r="AK30" s="1646"/>
      <c r="AL30" s="1646"/>
      <c r="AM30" s="1646"/>
      <c r="AN30" s="1646"/>
      <c r="AO30" s="1646"/>
      <c r="AP30" s="1646"/>
      <c r="AQ30" s="1646"/>
      <c r="AR30" s="1646"/>
      <c r="AS30" s="1646"/>
      <c r="AT30" s="1646"/>
      <c r="AU30" s="1646"/>
      <c r="AV30" s="1646"/>
      <c r="AW30" s="1646"/>
      <c r="AX30" s="1646"/>
      <c r="AY30" s="1646"/>
      <c r="AZ30" s="1646"/>
      <c r="BA30" s="1646"/>
      <c r="BB30" s="1646"/>
      <c r="BC30" s="1646"/>
      <c r="BD30" s="1646"/>
      <c r="BE30" s="1646"/>
      <c r="BF30" s="1646"/>
      <c r="BG30" s="1646"/>
      <c r="BH30" s="1646"/>
      <c r="BI30" s="1646"/>
      <c r="BJ30" s="1646"/>
      <c r="BK30" s="1646"/>
      <c r="BL30" s="1646"/>
      <c r="BM30" s="1646"/>
      <c r="BN30" s="1646"/>
      <c r="BO30" s="1646"/>
      <c r="BP30" s="1646"/>
      <c r="BQ30" s="1646"/>
      <c r="BR30" s="1646"/>
      <c r="BS30" s="1646"/>
      <c r="BT30" s="1646"/>
      <c r="BU30" s="1646"/>
      <c r="BV30" s="1646"/>
      <c r="BW30" s="1646"/>
      <c r="BX30" s="1646"/>
      <c r="BY30" s="1646"/>
      <c r="BZ30" s="1646"/>
      <c r="CA30" s="1646"/>
      <c r="CB30" s="1646"/>
      <c r="CC30" s="1646"/>
      <c r="CD30" s="1646"/>
      <c r="CE30" s="1646"/>
      <c r="CF30" s="1646"/>
      <c r="CG30" s="1646"/>
      <c r="CH30" s="1646"/>
      <c r="CI30" s="1646"/>
      <c r="CJ30" s="1646"/>
      <c r="CK30" s="1646"/>
      <c r="CL30" s="1646"/>
      <c r="CM30" s="1646"/>
      <c r="CN30" s="1646"/>
      <c r="CO30" s="1646"/>
      <c r="CP30" s="1646"/>
      <c r="CQ30" s="1646"/>
      <c r="CR30" s="1646"/>
      <c r="CS30" s="1646"/>
      <c r="CT30" s="1646"/>
      <c r="CU30" s="1646"/>
      <c r="CV30" s="1646"/>
      <c r="CW30" s="1646"/>
      <c r="CX30" s="1646"/>
      <c r="CY30" s="1646"/>
      <c r="CZ30" s="1646"/>
      <c r="DA30" s="1646"/>
      <c r="DB30" s="1646"/>
      <c r="DC30" s="1646"/>
      <c r="DD30" s="1646"/>
      <c r="DE30" s="1646"/>
      <c r="DF30" s="1646"/>
      <c r="DG30" s="1646"/>
      <c r="DH30" s="1646"/>
      <c r="DI30" s="1646"/>
      <c r="DJ30" s="1646"/>
      <c r="DK30" s="1646"/>
      <c r="DL30" s="1646"/>
      <c r="DM30" s="1646"/>
      <c r="DN30" s="1646"/>
      <c r="DO30" s="1646"/>
      <c r="DP30" s="1646"/>
      <c r="DQ30" s="1646"/>
      <c r="DR30" s="1646"/>
      <c r="DS30" s="1646"/>
      <c r="DT30" s="1646"/>
      <c r="DU30" s="1646"/>
      <c r="DV30" s="1646"/>
      <c r="DW30" s="1646"/>
      <c r="DX30" s="1646"/>
      <c r="DY30" s="1646"/>
      <c r="DZ30" s="1646"/>
      <c r="EA30" s="1646"/>
      <c r="EB30" s="1646"/>
      <c r="EC30" s="1646"/>
      <c r="ED30" s="1646"/>
      <c r="EE30" s="1646"/>
      <c r="EF30" s="1646"/>
      <c r="EG30" s="1646"/>
      <c r="EH30" s="1646"/>
      <c r="EI30" s="1646"/>
      <c r="EJ30" s="1646"/>
      <c r="EK30" s="1646"/>
      <c r="EL30" s="1646"/>
      <c r="EM30" s="1646"/>
      <c r="EN30" s="1646"/>
      <c r="EO30" s="1646"/>
      <c r="EP30" s="1646"/>
      <c r="EQ30" s="1646"/>
      <c r="ER30" s="1646"/>
    </row>
    <row r="31" spans="1:153" ht="34.5" customHeight="1">
      <c r="A31" s="1646" t="s">
        <v>95</v>
      </c>
      <c r="B31" s="1972" t="s">
        <v>1374</v>
      </c>
      <c r="C31" s="1973"/>
      <c r="D31" s="1973"/>
      <c r="E31" s="1973"/>
      <c r="F31" s="1973"/>
      <c r="G31" s="1973"/>
      <c r="H31" s="1973"/>
      <c r="I31" s="1646"/>
      <c r="J31" s="1646"/>
      <c r="K31" s="1646"/>
      <c r="L31" s="1646"/>
      <c r="M31" s="1646"/>
      <c r="N31" s="1646"/>
      <c r="O31" s="1646"/>
      <c r="P31" s="1646"/>
      <c r="Q31" s="1646"/>
      <c r="R31" s="1646"/>
      <c r="S31" s="1646"/>
      <c r="T31" s="1646"/>
      <c r="U31" s="1646"/>
      <c r="V31" s="1646"/>
      <c r="W31" s="1646"/>
      <c r="X31" s="1646"/>
      <c r="Y31" s="1646"/>
      <c r="Z31" s="1646"/>
      <c r="AA31" s="1646"/>
      <c r="AB31" s="1646"/>
      <c r="AC31" s="1646"/>
      <c r="AD31" s="1646"/>
      <c r="AE31" s="1646"/>
      <c r="AF31" s="1646"/>
      <c r="AG31" s="1646"/>
      <c r="AH31" s="1646"/>
      <c r="AI31" s="1646"/>
      <c r="AJ31" s="1646"/>
      <c r="AK31" s="1646"/>
      <c r="AL31" s="1646"/>
      <c r="AM31" s="1646"/>
      <c r="AN31" s="1646"/>
      <c r="AO31" s="1646"/>
      <c r="AP31" s="1646"/>
      <c r="AQ31" s="1646"/>
      <c r="AR31" s="1646"/>
      <c r="AS31" s="1646"/>
      <c r="AT31" s="1646"/>
      <c r="AU31" s="1646"/>
      <c r="AV31" s="1646"/>
      <c r="AW31" s="1646"/>
      <c r="AX31" s="1646"/>
      <c r="AY31" s="1646"/>
      <c r="AZ31" s="1646"/>
      <c r="BA31" s="1646"/>
      <c r="BB31" s="1646"/>
      <c r="BC31" s="1646"/>
      <c r="BD31" s="1646"/>
      <c r="BE31" s="1646"/>
      <c r="BF31" s="1646"/>
      <c r="BG31" s="1646"/>
      <c r="BH31" s="1646"/>
      <c r="BI31" s="1646"/>
      <c r="BJ31" s="1646"/>
      <c r="BK31" s="1646"/>
      <c r="BL31" s="1646"/>
      <c r="BM31" s="1646"/>
      <c r="BN31" s="1646"/>
      <c r="BO31" s="1646"/>
      <c r="BP31" s="1646"/>
      <c r="BQ31" s="1646"/>
      <c r="BR31" s="1646"/>
      <c r="BS31" s="1646"/>
      <c r="BT31" s="1646"/>
      <c r="BU31" s="1646"/>
      <c r="BV31" s="1646"/>
      <c r="BW31" s="1646"/>
      <c r="BX31" s="1646"/>
      <c r="BY31" s="1646"/>
      <c r="BZ31" s="1646"/>
      <c r="CA31" s="1646"/>
      <c r="CB31" s="1646"/>
      <c r="CC31" s="1646"/>
      <c r="CD31" s="1646"/>
      <c r="CE31" s="1646"/>
      <c r="CF31" s="1646"/>
      <c r="CG31" s="1646"/>
      <c r="CH31" s="1646"/>
      <c r="CI31" s="1646"/>
      <c r="CJ31" s="1646"/>
      <c r="CK31" s="1646"/>
      <c r="CL31" s="1646"/>
      <c r="CM31" s="1646"/>
      <c r="CN31" s="1646"/>
      <c r="CO31" s="1646"/>
      <c r="CP31" s="1646"/>
      <c r="CQ31" s="1646"/>
      <c r="CR31" s="1646"/>
      <c r="CS31" s="1646"/>
      <c r="CT31" s="1646"/>
      <c r="CU31" s="1646"/>
      <c r="CV31" s="1646"/>
      <c r="CW31" s="1646"/>
      <c r="CX31" s="1646"/>
      <c r="CY31" s="1646"/>
      <c r="CZ31" s="1646"/>
      <c r="DA31" s="1646"/>
      <c r="DB31" s="1646"/>
      <c r="DC31" s="1646"/>
      <c r="DD31" s="1646"/>
      <c r="DE31" s="1646"/>
      <c r="DF31" s="1646"/>
      <c r="DG31" s="1646"/>
      <c r="DH31" s="1646"/>
      <c r="DI31" s="1646"/>
      <c r="DJ31" s="1646"/>
      <c r="DK31" s="1646"/>
      <c r="DL31" s="1646"/>
      <c r="DM31" s="1646"/>
      <c r="DN31" s="1646"/>
      <c r="DO31" s="1646"/>
      <c r="DP31" s="1646"/>
      <c r="DQ31" s="1646"/>
      <c r="DR31" s="1646"/>
      <c r="DS31" s="1646"/>
      <c r="DT31" s="1646"/>
      <c r="DU31" s="1646"/>
      <c r="DV31" s="1646"/>
      <c r="DW31" s="1646"/>
      <c r="DX31" s="1646"/>
      <c r="DY31" s="1646"/>
      <c r="DZ31" s="1646"/>
      <c r="EA31" s="1646"/>
      <c r="EB31" s="1646"/>
      <c r="EC31" s="1646"/>
      <c r="ED31" s="1646"/>
      <c r="EE31" s="1646"/>
      <c r="EF31" s="1646"/>
      <c r="EG31" s="1646"/>
      <c r="EH31" s="1646"/>
      <c r="EI31" s="1646"/>
      <c r="EJ31" s="1646"/>
      <c r="EK31" s="1646"/>
      <c r="EL31" s="1646"/>
      <c r="EM31" s="1646"/>
      <c r="EN31" s="1646"/>
      <c r="EO31" s="1646"/>
      <c r="EP31" s="1646"/>
      <c r="EQ31" s="1646"/>
      <c r="ER31" s="1646"/>
    </row>
  </sheetData>
  <mergeCells count="10">
    <mergeCell ref="B28:H28"/>
    <mergeCell ref="B29:H29"/>
    <mergeCell ref="B30:H30"/>
    <mergeCell ref="B31:H31"/>
    <mergeCell ref="A3:H3"/>
    <mergeCell ref="A6:A7"/>
    <mergeCell ref="B6:B7"/>
    <mergeCell ref="C6:D6"/>
    <mergeCell ref="E6:F6"/>
    <mergeCell ref="G6:H6"/>
  </mergeCells>
  <pageMargins left="0.78740157480314965" right="0.51181102362204722" top="0.59055118110236227" bottom="0.39370078740157483" header="0.19685039370078741" footer="0.19685039370078741"/>
  <pageSetup paperSize="9" scale="65" orientation="portrait" r:id="rId1"/>
  <headerFooter alignWithMargins="0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EW31"/>
  <sheetViews>
    <sheetView view="pageBreakPreview" zoomScaleNormal="100" workbookViewId="0">
      <pane ySplit="8" topLeftCell="A12" activePane="bottomLeft" state="frozen"/>
      <selection activeCell="A2" sqref="A2"/>
      <selection pane="bottomLeft" activeCell="H19" sqref="H19"/>
    </sheetView>
  </sheetViews>
  <sheetFormatPr defaultColWidth="2.7109375" defaultRowHeight="15"/>
  <cols>
    <col min="1" max="1" width="6.5703125" style="1" customWidth="1"/>
    <col min="2" max="2" width="49" style="1" customWidth="1"/>
    <col min="3" max="8" width="13.7109375" style="1" customWidth="1"/>
    <col min="9" max="60" width="8.28515625" style="1" customWidth="1"/>
    <col min="61" max="16384" width="2.7109375" style="1"/>
  </cols>
  <sheetData>
    <row r="1" spans="1:9" s="5" customFormat="1" ht="18" customHeight="1">
      <c r="A1" s="74" t="s">
        <v>1860</v>
      </c>
      <c r="H1" s="6" t="s">
        <v>1351</v>
      </c>
    </row>
    <row r="2" spans="1:9" ht="12.75" customHeight="1">
      <c r="A2" s="1644" t="s">
        <v>1681</v>
      </c>
    </row>
    <row r="3" spans="1:9" ht="29.25" customHeight="1">
      <c r="A3" s="1980" t="s">
        <v>1352</v>
      </c>
      <c r="B3" s="1980"/>
      <c r="C3" s="1980"/>
      <c r="D3" s="1980"/>
      <c r="E3" s="1980"/>
      <c r="F3" s="1980"/>
      <c r="G3" s="1980"/>
      <c r="H3" s="1980"/>
    </row>
    <row r="4" spans="1:9" ht="12.75" customHeight="1">
      <c r="B4" s="1639"/>
      <c r="C4" s="1639"/>
      <c r="D4" s="1639"/>
      <c r="E4" s="1639"/>
      <c r="F4" s="1639"/>
      <c r="G4" s="1639"/>
      <c r="H4" s="1639"/>
    </row>
    <row r="5" spans="1:9" ht="14.25" customHeight="1">
      <c r="A5" s="812" t="s">
        <v>1330</v>
      </c>
      <c r="H5" s="23" t="s">
        <v>360</v>
      </c>
    </row>
    <row r="6" spans="1:9" s="3" customFormat="1" ht="15" customHeight="1">
      <c r="A6" s="1858" t="s">
        <v>0</v>
      </c>
      <c r="B6" s="1858" t="s">
        <v>1293</v>
      </c>
      <c r="C6" s="1981" t="s">
        <v>1336</v>
      </c>
      <c r="D6" s="1982"/>
      <c r="E6" s="1981" t="s">
        <v>1337</v>
      </c>
      <c r="F6" s="1983"/>
      <c r="G6" s="1981" t="s">
        <v>1715</v>
      </c>
      <c r="H6" s="1983"/>
    </row>
    <row r="7" spans="1:9" s="3" customFormat="1" ht="105">
      <c r="A7" s="1971"/>
      <c r="B7" s="1971"/>
      <c r="C7" s="822" t="s">
        <v>1353</v>
      </c>
      <c r="D7" s="822" t="s">
        <v>1354</v>
      </c>
      <c r="E7" s="822" t="s">
        <v>1353</v>
      </c>
      <c r="F7" s="822" t="s">
        <v>1354</v>
      </c>
      <c r="G7" s="822" t="s">
        <v>1353</v>
      </c>
      <c r="H7" s="822" t="s">
        <v>1354</v>
      </c>
    </row>
    <row r="8" spans="1:9" s="2" customFormat="1">
      <c r="A8" s="13">
        <v>1</v>
      </c>
      <c r="B8" s="13">
        <v>2</v>
      </c>
      <c r="C8" s="13">
        <v>3</v>
      </c>
      <c r="D8" s="13">
        <v>4</v>
      </c>
      <c r="E8" s="13">
        <v>5</v>
      </c>
      <c r="F8" s="13">
        <v>6</v>
      </c>
      <c r="G8" s="13">
        <v>7</v>
      </c>
      <c r="H8" s="13">
        <v>8</v>
      </c>
    </row>
    <row r="9" spans="1:9" s="41" customFormat="1" ht="45">
      <c r="A9" s="60" t="s">
        <v>893</v>
      </c>
      <c r="B9" s="68" t="s">
        <v>1355</v>
      </c>
      <c r="C9" s="823"/>
      <c r="D9" s="823">
        <v>112875</v>
      </c>
      <c r="E9" s="823"/>
      <c r="F9" s="823">
        <v>126107</v>
      </c>
      <c r="G9" s="823"/>
      <c r="H9" s="823">
        <v>133119</v>
      </c>
    </row>
    <row r="10" spans="1:9" s="825" customFormat="1" ht="15" customHeight="1">
      <c r="A10" s="829" t="s">
        <v>895</v>
      </c>
      <c r="B10" s="830" t="s">
        <v>1308</v>
      </c>
      <c r="C10" s="1236"/>
      <c r="D10" s="823">
        <v>135125</v>
      </c>
      <c r="E10" s="849"/>
      <c r="F10" s="823">
        <v>144417</v>
      </c>
      <c r="G10" s="849"/>
      <c r="H10" s="823">
        <v>152939</v>
      </c>
      <c r="I10" s="825" t="s">
        <v>1356</v>
      </c>
    </row>
    <row r="11" spans="1:9" s="825" customFormat="1" ht="15" customHeight="1">
      <c r="A11" s="829" t="s">
        <v>896</v>
      </c>
      <c r="B11" s="833" t="s">
        <v>1357</v>
      </c>
      <c r="C11" s="849"/>
      <c r="D11" s="849"/>
      <c r="E11" s="849"/>
      <c r="F11" s="849"/>
      <c r="G11" s="849"/>
      <c r="H11" s="849"/>
    </row>
    <row r="12" spans="1:9" s="41" customFormat="1" ht="30">
      <c r="A12" s="60" t="s">
        <v>897</v>
      </c>
      <c r="B12" s="70" t="s">
        <v>1358</v>
      </c>
      <c r="C12" s="826">
        <f>C13+C14+C15</f>
        <v>0</v>
      </c>
      <c r="D12" s="826">
        <v>15345.400000000001</v>
      </c>
      <c r="E12" s="826">
        <v>0</v>
      </c>
      <c r="F12" s="826">
        <v>17870.2</v>
      </c>
      <c r="G12" s="826">
        <v>0</v>
      </c>
      <c r="H12" s="826">
        <v>21119.3</v>
      </c>
    </row>
    <row r="13" spans="1:9" s="41" customFormat="1" ht="75">
      <c r="A13" s="60" t="s">
        <v>1359</v>
      </c>
      <c r="B13" s="68" t="s">
        <v>1360</v>
      </c>
      <c r="C13" s="826"/>
      <c r="D13" s="823">
        <v>0</v>
      </c>
      <c r="E13" s="826"/>
      <c r="F13" s="823">
        <v>0</v>
      </c>
      <c r="G13" s="826"/>
      <c r="H13" s="823">
        <v>0</v>
      </c>
    </row>
    <row r="14" spans="1:9" s="41" customFormat="1">
      <c r="A14" s="60" t="s">
        <v>1361</v>
      </c>
      <c r="B14" s="68" t="s">
        <v>1362</v>
      </c>
      <c r="C14" s="826"/>
      <c r="D14" s="823">
        <v>5188.4000000000005</v>
      </c>
      <c r="E14" s="826"/>
      <c r="F14" s="823">
        <v>7012.2</v>
      </c>
      <c r="G14" s="826"/>
      <c r="H14" s="823">
        <v>7426.3</v>
      </c>
    </row>
    <row r="15" spans="1:9" s="41" customFormat="1">
      <c r="A15" s="60" t="s">
        <v>1363</v>
      </c>
      <c r="B15" s="68" t="s">
        <v>1680</v>
      </c>
      <c r="C15" s="826"/>
      <c r="D15" s="823">
        <v>10157</v>
      </c>
      <c r="E15" s="826"/>
      <c r="F15" s="823">
        <v>10858</v>
      </c>
      <c r="G15" s="826"/>
      <c r="H15" s="823">
        <v>13693</v>
      </c>
    </row>
    <row r="16" spans="1:9" s="41" customFormat="1">
      <c r="A16" s="60" t="s">
        <v>1036</v>
      </c>
      <c r="B16" s="70" t="s">
        <v>1365</v>
      </c>
      <c r="C16" s="826"/>
      <c r="D16" s="823">
        <v>241434</v>
      </c>
      <c r="E16" s="826"/>
      <c r="F16" s="823">
        <v>280441</v>
      </c>
      <c r="G16" s="826"/>
      <c r="H16" s="823">
        <v>299410</v>
      </c>
    </row>
    <row r="17" spans="1:153" s="41" customFormat="1">
      <c r="A17" s="60" t="s">
        <v>1035</v>
      </c>
      <c r="B17" s="70" t="s">
        <v>1366</v>
      </c>
      <c r="C17" s="826"/>
      <c r="D17" s="823">
        <v>77519.999999999985</v>
      </c>
      <c r="E17" s="826"/>
      <c r="F17" s="823">
        <v>75549</v>
      </c>
      <c r="G17" s="826"/>
      <c r="H17" s="823">
        <v>0</v>
      </c>
    </row>
    <row r="18" spans="1:153" s="41" customFormat="1" ht="30">
      <c r="A18" s="60" t="s">
        <v>1034</v>
      </c>
      <c r="B18" s="70" t="s">
        <v>1367</v>
      </c>
      <c r="C18" s="826"/>
      <c r="D18" s="823">
        <v>75106</v>
      </c>
      <c r="E18" s="826"/>
      <c r="F18" s="823">
        <v>68738</v>
      </c>
      <c r="G18" s="826"/>
      <c r="H18" s="823">
        <v>71171</v>
      </c>
    </row>
    <row r="19" spans="1:153" s="41" customFormat="1" ht="30">
      <c r="A19" s="60" t="s">
        <v>1033</v>
      </c>
      <c r="B19" s="70" t="s">
        <v>1368</v>
      </c>
      <c r="C19" s="826"/>
      <c r="D19" s="823">
        <v>0</v>
      </c>
      <c r="E19" s="826"/>
      <c r="F19" s="823">
        <v>0</v>
      </c>
      <c r="G19" s="826"/>
      <c r="H19" s="823">
        <v>0</v>
      </c>
    </row>
    <row r="20" spans="1:153" s="810" customFormat="1" ht="14.25">
      <c r="A20" s="82"/>
      <c r="B20" s="808" t="s">
        <v>770</v>
      </c>
      <c r="C20" s="827">
        <f>C9+C10+C11+C12+C16+C17+C18+C19</f>
        <v>0</v>
      </c>
      <c r="D20" s="827">
        <f t="shared" ref="D20:G20" si="0">D9+D10+D11+D12+D16+D17+D18+D19</f>
        <v>657405.4</v>
      </c>
      <c r="E20" s="827">
        <f t="shared" si="0"/>
        <v>0</v>
      </c>
      <c r="F20" s="827">
        <f t="shared" ref="F20:H20" si="1">F9+F10+F11+F12+F16+F17+F18+F19</f>
        <v>713122.2</v>
      </c>
      <c r="G20" s="827">
        <f t="shared" si="0"/>
        <v>0</v>
      </c>
      <c r="H20" s="827">
        <f t="shared" si="1"/>
        <v>677758.3</v>
      </c>
    </row>
    <row r="21" spans="1:153" s="41" customFormat="1">
      <c r="A21" s="60" t="s">
        <v>91</v>
      </c>
      <c r="B21" s="70" t="s">
        <v>396</v>
      </c>
      <c r="C21" s="826"/>
      <c r="D21" s="823">
        <f>'4.6_транзит+сбыт (свод)'!J83</f>
        <v>67717.98599999999</v>
      </c>
      <c r="E21" s="826"/>
      <c r="F21" s="823">
        <f>'4.6_транзит+сбыт (свод)'!K83</f>
        <v>123070.90900000001</v>
      </c>
      <c r="G21" s="826"/>
      <c r="H21" s="823">
        <f>'4.6_транзит+сбыт (свод)'!N83</f>
        <v>93245.961670999997</v>
      </c>
    </row>
    <row r="22" spans="1:153" s="41" customFormat="1" ht="48" customHeight="1">
      <c r="A22" s="60" t="s">
        <v>1369</v>
      </c>
      <c r="B22" s="70" t="s">
        <v>1370</v>
      </c>
      <c r="C22" s="1216"/>
      <c r="D22" s="1216"/>
      <c r="E22" s="826"/>
      <c r="F22" s="826"/>
      <c r="G22" s="826"/>
      <c r="H22" s="826"/>
    </row>
    <row r="23" spans="1:153" s="810" customFormat="1" ht="15" customHeight="1">
      <c r="A23" s="82" t="s">
        <v>95</v>
      </c>
      <c r="B23" s="808" t="s">
        <v>1371</v>
      </c>
      <c r="C23" s="827">
        <f>C20+C21+C22</f>
        <v>0</v>
      </c>
      <c r="D23" s="827">
        <f t="shared" ref="D23:H23" si="2">D20+D21+D22</f>
        <v>725123.38600000006</v>
      </c>
      <c r="E23" s="827">
        <f t="shared" si="2"/>
        <v>0</v>
      </c>
      <c r="F23" s="827">
        <f t="shared" si="2"/>
        <v>836193.10899999994</v>
      </c>
      <c r="G23" s="827">
        <f t="shared" si="2"/>
        <v>0</v>
      </c>
      <c r="H23" s="827">
        <f t="shared" si="2"/>
        <v>771004.26167100004</v>
      </c>
    </row>
    <row r="26" spans="1:153">
      <c r="F26" s="1445">
        <f>'5.3_передача КТЭЦ'!F23+'5.3_передача котельные'!F23</f>
        <v>836193.10899999994</v>
      </c>
      <c r="H26" s="1445">
        <f>'5.3_передача КТЭЦ'!H23+'5.3_передача котельные'!H23</f>
        <v>771004.26167100004</v>
      </c>
    </row>
    <row r="27" spans="1:153" s="26" customFormat="1">
      <c r="A27" s="26" t="s">
        <v>88</v>
      </c>
    </row>
    <row r="28" spans="1:153" s="1645" customFormat="1">
      <c r="A28" s="1646" t="s">
        <v>89</v>
      </c>
      <c r="B28" s="1972" t="s">
        <v>1346</v>
      </c>
      <c r="C28" s="1973"/>
      <c r="D28" s="1973"/>
      <c r="E28" s="1973"/>
      <c r="F28" s="1973"/>
      <c r="G28" s="1973"/>
      <c r="H28" s="1973"/>
      <c r="I28" s="1646"/>
      <c r="J28" s="1646"/>
      <c r="K28" s="1646"/>
      <c r="L28" s="1646"/>
      <c r="M28" s="1646"/>
      <c r="N28" s="1646"/>
      <c r="O28" s="1646"/>
      <c r="P28" s="1646"/>
      <c r="Q28" s="1646"/>
      <c r="R28" s="1646"/>
      <c r="S28" s="1646"/>
      <c r="T28" s="1646"/>
      <c r="U28" s="1646"/>
      <c r="V28" s="1646"/>
      <c r="W28" s="1646"/>
      <c r="X28" s="1646"/>
      <c r="Y28" s="1646"/>
      <c r="Z28" s="1646"/>
      <c r="AA28" s="1646"/>
      <c r="AB28" s="1646"/>
      <c r="AC28" s="1646"/>
      <c r="AD28" s="1646"/>
      <c r="AE28" s="1646"/>
      <c r="AF28" s="1646"/>
      <c r="AG28" s="1646"/>
      <c r="AH28" s="1646"/>
      <c r="AI28" s="1646"/>
      <c r="AJ28" s="1646"/>
      <c r="AK28" s="1646"/>
      <c r="AL28" s="1646"/>
      <c r="AM28" s="1646"/>
      <c r="AN28" s="1646"/>
      <c r="AO28" s="1646"/>
      <c r="AP28" s="1646"/>
      <c r="AQ28" s="1646"/>
      <c r="AR28" s="1646"/>
      <c r="AS28" s="1646"/>
      <c r="AT28" s="1646"/>
      <c r="AU28" s="1646"/>
      <c r="AV28" s="1646"/>
      <c r="AW28" s="1646"/>
      <c r="AX28" s="1646"/>
      <c r="AY28" s="1646"/>
      <c r="AZ28" s="1646"/>
      <c r="BA28" s="1646"/>
      <c r="BB28" s="1646"/>
      <c r="BC28" s="1646"/>
      <c r="BD28" s="1646"/>
      <c r="BE28" s="1646"/>
      <c r="BF28" s="1646"/>
      <c r="BG28" s="1646"/>
      <c r="BH28" s="1646"/>
      <c r="BI28" s="1646"/>
      <c r="BJ28" s="1646"/>
      <c r="BK28" s="1646"/>
      <c r="BL28" s="1646"/>
      <c r="BM28" s="1646"/>
      <c r="BN28" s="1646"/>
      <c r="BO28" s="1646"/>
      <c r="BP28" s="1646"/>
      <c r="BQ28" s="1646"/>
      <c r="BR28" s="1646"/>
      <c r="BS28" s="1646"/>
      <c r="BT28" s="1646"/>
      <c r="BU28" s="1646"/>
      <c r="BV28" s="1646"/>
      <c r="BW28" s="1646"/>
      <c r="BX28" s="1646"/>
      <c r="BY28" s="1646"/>
      <c r="BZ28" s="1646"/>
      <c r="CA28" s="1646"/>
      <c r="CB28" s="1646"/>
      <c r="CC28" s="1646"/>
      <c r="CD28" s="1646"/>
      <c r="CE28" s="1646"/>
      <c r="CF28" s="1646"/>
      <c r="CG28" s="1646"/>
      <c r="CH28" s="1646"/>
      <c r="CI28" s="1646"/>
      <c r="CJ28" s="1646"/>
      <c r="CK28" s="1646"/>
      <c r="CL28" s="1646"/>
      <c r="CM28" s="1646"/>
      <c r="CN28" s="1646"/>
      <c r="CO28" s="1646"/>
      <c r="CP28" s="1646"/>
      <c r="CQ28" s="1646"/>
      <c r="CR28" s="1646"/>
      <c r="CS28" s="1646"/>
      <c r="CT28" s="1646"/>
      <c r="CU28" s="1646"/>
      <c r="CV28" s="1646"/>
      <c r="CW28" s="1646"/>
      <c r="CX28" s="1646"/>
      <c r="CY28" s="1646"/>
      <c r="CZ28" s="1646"/>
      <c r="DA28" s="1646"/>
      <c r="DB28" s="1646"/>
      <c r="DC28" s="1646"/>
      <c r="DD28" s="1646"/>
      <c r="DE28" s="1646"/>
      <c r="DF28" s="1646"/>
      <c r="DG28" s="1646"/>
      <c r="DH28" s="1646"/>
      <c r="DI28" s="1646"/>
      <c r="DJ28" s="1646"/>
      <c r="DK28" s="1646"/>
      <c r="DL28" s="1646"/>
      <c r="DM28" s="1646"/>
      <c r="DN28" s="1646"/>
      <c r="DO28" s="1646"/>
      <c r="DP28" s="1646"/>
      <c r="DQ28" s="1646"/>
      <c r="DR28" s="1646"/>
      <c r="DS28" s="1646"/>
      <c r="DT28" s="1646"/>
      <c r="DU28" s="1646"/>
      <c r="DV28" s="1646"/>
      <c r="DW28" s="1646"/>
      <c r="DX28" s="1646"/>
      <c r="DY28" s="1646"/>
      <c r="DZ28" s="1646"/>
      <c r="EA28" s="1646"/>
      <c r="EB28" s="1646"/>
      <c r="EC28" s="1646"/>
      <c r="ED28" s="1646"/>
      <c r="EE28" s="1646"/>
      <c r="EF28" s="1646"/>
      <c r="EG28" s="1646"/>
      <c r="EH28" s="1646"/>
      <c r="EI28" s="1646"/>
      <c r="EJ28" s="1646"/>
      <c r="EK28" s="1646"/>
      <c r="EL28" s="1646"/>
      <c r="EM28" s="1646"/>
      <c r="EN28" s="1646"/>
      <c r="EO28" s="1646"/>
      <c r="EP28" s="1646"/>
      <c r="EQ28" s="1646"/>
      <c r="ER28" s="1646"/>
      <c r="ES28" s="1646"/>
      <c r="ET28" s="1646"/>
      <c r="EU28" s="1646"/>
      <c r="EV28" s="1646"/>
      <c r="EW28" s="1646"/>
    </row>
    <row r="29" spans="1:153" s="1645" customFormat="1">
      <c r="A29" s="1646" t="s">
        <v>91</v>
      </c>
      <c r="B29" s="1967" t="s">
        <v>1372</v>
      </c>
      <c r="C29" s="1979"/>
      <c r="D29" s="1979"/>
      <c r="E29" s="1979"/>
      <c r="F29" s="1979"/>
      <c r="G29" s="1979"/>
      <c r="H29" s="1979"/>
    </row>
    <row r="30" spans="1:153" ht="33" customHeight="1">
      <c r="A30" s="1646" t="s">
        <v>93</v>
      </c>
      <c r="B30" s="1972" t="s">
        <v>1373</v>
      </c>
      <c r="C30" s="1973"/>
      <c r="D30" s="1973"/>
      <c r="E30" s="1973"/>
      <c r="F30" s="1973"/>
      <c r="G30" s="1973"/>
      <c r="H30" s="1973"/>
      <c r="I30" s="1646"/>
      <c r="J30" s="1646"/>
      <c r="K30" s="1646"/>
      <c r="L30" s="1646"/>
      <c r="M30" s="1646"/>
      <c r="N30" s="1646"/>
      <c r="O30" s="1646"/>
      <c r="P30" s="1646"/>
      <c r="Q30" s="1646"/>
      <c r="R30" s="1646"/>
      <c r="S30" s="1646"/>
      <c r="T30" s="1646"/>
      <c r="U30" s="1646"/>
      <c r="V30" s="1646"/>
      <c r="W30" s="1646"/>
      <c r="X30" s="1646"/>
      <c r="Y30" s="1646"/>
      <c r="Z30" s="1646"/>
      <c r="AA30" s="1646"/>
      <c r="AB30" s="1646"/>
      <c r="AC30" s="1646"/>
      <c r="AD30" s="1646"/>
      <c r="AE30" s="1646"/>
      <c r="AF30" s="1646"/>
      <c r="AG30" s="1646"/>
      <c r="AH30" s="1646"/>
      <c r="AI30" s="1646"/>
      <c r="AJ30" s="1646"/>
      <c r="AK30" s="1646"/>
      <c r="AL30" s="1646"/>
      <c r="AM30" s="1646"/>
      <c r="AN30" s="1646"/>
      <c r="AO30" s="1646"/>
      <c r="AP30" s="1646"/>
      <c r="AQ30" s="1646"/>
      <c r="AR30" s="1646"/>
      <c r="AS30" s="1646"/>
      <c r="AT30" s="1646"/>
      <c r="AU30" s="1646"/>
      <c r="AV30" s="1646"/>
      <c r="AW30" s="1646"/>
      <c r="AX30" s="1646"/>
      <c r="AY30" s="1646"/>
      <c r="AZ30" s="1646"/>
      <c r="BA30" s="1646"/>
      <c r="BB30" s="1646"/>
      <c r="BC30" s="1646"/>
      <c r="BD30" s="1646"/>
      <c r="BE30" s="1646"/>
      <c r="BF30" s="1646"/>
      <c r="BG30" s="1646"/>
      <c r="BH30" s="1646"/>
      <c r="BI30" s="1646"/>
      <c r="BJ30" s="1646"/>
      <c r="BK30" s="1646"/>
      <c r="BL30" s="1646"/>
      <c r="BM30" s="1646"/>
      <c r="BN30" s="1646"/>
      <c r="BO30" s="1646"/>
      <c r="BP30" s="1646"/>
      <c r="BQ30" s="1646"/>
      <c r="BR30" s="1646"/>
      <c r="BS30" s="1646"/>
      <c r="BT30" s="1646"/>
      <c r="BU30" s="1646"/>
      <c r="BV30" s="1646"/>
      <c r="BW30" s="1646"/>
      <c r="BX30" s="1646"/>
      <c r="BY30" s="1646"/>
      <c r="BZ30" s="1646"/>
      <c r="CA30" s="1646"/>
      <c r="CB30" s="1646"/>
      <c r="CC30" s="1646"/>
      <c r="CD30" s="1646"/>
      <c r="CE30" s="1646"/>
      <c r="CF30" s="1646"/>
      <c r="CG30" s="1646"/>
      <c r="CH30" s="1646"/>
      <c r="CI30" s="1646"/>
      <c r="CJ30" s="1646"/>
      <c r="CK30" s="1646"/>
      <c r="CL30" s="1646"/>
      <c r="CM30" s="1646"/>
      <c r="CN30" s="1646"/>
      <c r="CO30" s="1646"/>
      <c r="CP30" s="1646"/>
      <c r="CQ30" s="1646"/>
      <c r="CR30" s="1646"/>
      <c r="CS30" s="1646"/>
      <c r="CT30" s="1646"/>
      <c r="CU30" s="1646"/>
      <c r="CV30" s="1646"/>
      <c r="CW30" s="1646"/>
      <c r="CX30" s="1646"/>
      <c r="CY30" s="1646"/>
      <c r="CZ30" s="1646"/>
      <c r="DA30" s="1646"/>
      <c r="DB30" s="1646"/>
      <c r="DC30" s="1646"/>
      <c r="DD30" s="1646"/>
      <c r="DE30" s="1646"/>
      <c r="DF30" s="1646"/>
      <c r="DG30" s="1646"/>
      <c r="DH30" s="1646"/>
      <c r="DI30" s="1646"/>
      <c r="DJ30" s="1646"/>
      <c r="DK30" s="1646"/>
      <c r="DL30" s="1646"/>
      <c r="DM30" s="1646"/>
      <c r="DN30" s="1646"/>
      <c r="DO30" s="1646"/>
      <c r="DP30" s="1646"/>
      <c r="DQ30" s="1646"/>
      <c r="DR30" s="1646"/>
      <c r="DS30" s="1646"/>
      <c r="DT30" s="1646"/>
      <c r="DU30" s="1646"/>
      <c r="DV30" s="1646"/>
      <c r="DW30" s="1646"/>
      <c r="DX30" s="1646"/>
      <c r="DY30" s="1646"/>
      <c r="DZ30" s="1646"/>
      <c r="EA30" s="1646"/>
      <c r="EB30" s="1646"/>
      <c r="EC30" s="1646"/>
      <c r="ED30" s="1646"/>
      <c r="EE30" s="1646"/>
      <c r="EF30" s="1646"/>
      <c r="EG30" s="1646"/>
      <c r="EH30" s="1646"/>
      <c r="EI30" s="1646"/>
      <c r="EJ30" s="1646"/>
      <c r="EK30" s="1646"/>
      <c r="EL30" s="1646"/>
      <c r="EM30" s="1646"/>
      <c r="EN30" s="1646"/>
      <c r="EO30" s="1646"/>
      <c r="EP30" s="1646"/>
      <c r="EQ30" s="1646"/>
      <c r="ER30" s="1646"/>
    </row>
    <row r="31" spans="1:153" ht="34.5" customHeight="1">
      <c r="A31" s="1646" t="s">
        <v>95</v>
      </c>
      <c r="B31" s="1972" t="s">
        <v>1374</v>
      </c>
      <c r="C31" s="1973"/>
      <c r="D31" s="1973"/>
      <c r="E31" s="1973"/>
      <c r="F31" s="1973"/>
      <c r="G31" s="1973"/>
      <c r="H31" s="1973"/>
      <c r="I31" s="1646"/>
      <c r="J31" s="1646"/>
      <c r="K31" s="1646"/>
      <c r="L31" s="1646"/>
      <c r="M31" s="1646"/>
      <c r="N31" s="1646"/>
      <c r="O31" s="1646"/>
      <c r="P31" s="1646"/>
      <c r="Q31" s="1646"/>
      <c r="R31" s="1646"/>
      <c r="S31" s="1646"/>
      <c r="T31" s="1646"/>
      <c r="U31" s="1646"/>
      <c r="V31" s="1646"/>
      <c r="W31" s="1646"/>
      <c r="X31" s="1646"/>
      <c r="Y31" s="1646"/>
      <c r="Z31" s="1646"/>
      <c r="AA31" s="1646"/>
      <c r="AB31" s="1646"/>
      <c r="AC31" s="1646"/>
      <c r="AD31" s="1646"/>
      <c r="AE31" s="1646"/>
      <c r="AF31" s="1646"/>
      <c r="AG31" s="1646"/>
      <c r="AH31" s="1646"/>
      <c r="AI31" s="1646"/>
      <c r="AJ31" s="1646"/>
      <c r="AK31" s="1646"/>
      <c r="AL31" s="1646"/>
      <c r="AM31" s="1646"/>
      <c r="AN31" s="1646"/>
      <c r="AO31" s="1646"/>
      <c r="AP31" s="1646"/>
      <c r="AQ31" s="1646"/>
      <c r="AR31" s="1646"/>
      <c r="AS31" s="1646"/>
      <c r="AT31" s="1646"/>
      <c r="AU31" s="1646"/>
      <c r="AV31" s="1646"/>
      <c r="AW31" s="1646"/>
      <c r="AX31" s="1646"/>
      <c r="AY31" s="1646"/>
      <c r="AZ31" s="1646"/>
      <c r="BA31" s="1646"/>
      <c r="BB31" s="1646"/>
      <c r="BC31" s="1646"/>
      <c r="BD31" s="1646"/>
      <c r="BE31" s="1646"/>
      <c r="BF31" s="1646"/>
      <c r="BG31" s="1646"/>
      <c r="BH31" s="1646"/>
      <c r="BI31" s="1646"/>
      <c r="BJ31" s="1646"/>
      <c r="BK31" s="1646"/>
      <c r="BL31" s="1646"/>
      <c r="BM31" s="1646"/>
      <c r="BN31" s="1646"/>
      <c r="BO31" s="1646"/>
      <c r="BP31" s="1646"/>
      <c r="BQ31" s="1646"/>
      <c r="BR31" s="1646"/>
      <c r="BS31" s="1646"/>
      <c r="BT31" s="1646"/>
      <c r="BU31" s="1646"/>
      <c r="BV31" s="1646"/>
      <c r="BW31" s="1646"/>
      <c r="BX31" s="1646"/>
      <c r="BY31" s="1646"/>
      <c r="BZ31" s="1646"/>
      <c r="CA31" s="1646"/>
      <c r="CB31" s="1646"/>
      <c r="CC31" s="1646"/>
      <c r="CD31" s="1646"/>
      <c r="CE31" s="1646"/>
      <c r="CF31" s="1646"/>
      <c r="CG31" s="1646"/>
      <c r="CH31" s="1646"/>
      <c r="CI31" s="1646"/>
      <c r="CJ31" s="1646"/>
      <c r="CK31" s="1646"/>
      <c r="CL31" s="1646"/>
      <c r="CM31" s="1646"/>
      <c r="CN31" s="1646"/>
      <c r="CO31" s="1646"/>
      <c r="CP31" s="1646"/>
      <c r="CQ31" s="1646"/>
      <c r="CR31" s="1646"/>
      <c r="CS31" s="1646"/>
      <c r="CT31" s="1646"/>
      <c r="CU31" s="1646"/>
      <c r="CV31" s="1646"/>
      <c r="CW31" s="1646"/>
      <c r="CX31" s="1646"/>
      <c r="CY31" s="1646"/>
      <c r="CZ31" s="1646"/>
      <c r="DA31" s="1646"/>
      <c r="DB31" s="1646"/>
      <c r="DC31" s="1646"/>
      <c r="DD31" s="1646"/>
      <c r="DE31" s="1646"/>
      <c r="DF31" s="1646"/>
      <c r="DG31" s="1646"/>
      <c r="DH31" s="1646"/>
      <c r="DI31" s="1646"/>
      <c r="DJ31" s="1646"/>
      <c r="DK31" s="1646"/>
      <c r="DL31" s="1646"/>
      <c r="DM31" s="1646"/>
      <c r="DN31" s="1646"/>
      <c r="DO31" s="1646"/>
      <c r="DP31" s="1646"/>
      <c r="DQ31" s="1646"/>
      <c r="DR31" s="1646"/>
      <c r="DS31" s="1646"/>
      <c r="DT31" s="1646"/>
      <c r="DU31" s="1646"/>
      <c r="DV31" s="1646"/>
      <c r="DW31" s="1646"/>
      <c r="DX31" s="1646"/>
      <c r="DY31" s="1646"/>
      <c r="DZ31" s="1646"/>
      <c r="EA31" s="1646"/>
      <c r="EB31" s="1646"/>
      <c r="EC31" s="1646"/>
      <c r="ED31" s="1646"/>
      <c r="EE31" s="1646"/>
      <c r="EF31" s="1646"/>
      <c r="EG31" s="1646"/>
      <c r="EH31" s="1646"/>
      <c r="EI31" s="1646"/>
      <c r="EJ31" s="1646"/>
      <c r="EK31" s="1646"/>
      <c r="EL31" s="1646"/>
      <c r="EM31" s="1646"/>
      <c r="EN31" s="1646"/>
      <c r="EO31" s="1646"/>
      <c r="EP31" s="1646"/>
      <c r="EQ31" s="1646"/>
      <c r="ER31" s="1646"/>
    </row>
  </sheetData>
  <mergeCells count="10">
    <mergeCell ref="B28:H28"/>
    <mergeCell ref="B29:H29"/>
    <mergeCell ref="B30:H30"/>
    <mergeCell ref="B31:H31"/>
    <mergeCell ref="A3:H3"/>
    <mergeCell ref="A6:A7"/>
    <mergeCell ref="B6:B7"/>
    <mergeCell ref="C6:D6"/>
    <mergeCell ref="E6:F6"/>
    <mergeCell ref="G6:H6"/>
  </mergeCells>
  <pageMargins left="0.78740157480314965" right="0.51181102362204722" top="0.59055118110236227" bottom="0.39370078740157483" header="0.19685039370078741" footer="0.19685039370078741"/>
  <pageSetup paperSize="9" scale="65" orientation="portrait" r:id="rId1"/>
  <headerFooter alignWithMargins="0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EY21"/>
  <sheetViews>
    <sheetView view="pageBreakPreview" zoomScaleNormal="100" workbookViewId="0">
      <pane ySplit="8" topLeftCell="A9" activePane="bottomLeft" state="frozen"/>
      <selection activeCell="C6" sqref="C6:H6"/>
      <selection pane="bottomLeft" activeCell="I9" sqref="I9"/>
    </sheetView>
  </sheetViews>
  <sheetFormatPr defaultColWidth="2.7109375" defaultRowHeight="15"/>
  <cols>
    <col min="1" max="1" width="6.5703125" style="1" customWidth="1"/>
    <col min="2" max="2" width="34.42578125" style="1" customWidth="1"/>
    <col min="3" max="8" width="13.7109375" style="1" customWidth="1"/>
    <col min="9" max="60" width="8.28515625" style="1" customWidth="1"/>
    <col min="61" max="16384" width="2.7109375" style="1"/>
  </cols>
  <sheetData>
    <row r="1" spans="1:155" s="5" customFormat="1" ht="18" customHeight="1">
      <c r="A1" s="74" t="s">
        <v>1860</v>
      </c>
      <c r="H1" s="6" t="s">
        <v>1375</v>
      </c>
    </row>
    <row r="2" spans="1:155" ht="12.75" customHeight="1">
      <c r="A2" s="1207" t="s">
        <v>1678</v>
      </c>
    </row>
    <row r="3" spans="1:155" ht="43.5" customHeight="1">
      <c r="A3" s="1980" t="s">
        <v>1376</v>
      </c>
      <c r="B3" s="1980"/>
      <c r="C3" s="1980"/>
      <c r="D3" s="1980"/>
      <c r="E3" s="1980"/>
      <c r="F3" s="1980"/>
      <c r="G3" s="1980"/>
      <c r="H3" s="1980"/>
      <c r="I3" s="828"/>
      <c r="J3" s="828"/>
      <c r="K3" s="828"/>
      <c r="L3" s="828"/>
      <c r="M3" s="828"/>
      <c r="N3" s="828"/>
      <c r="O3" s="828"/>
      <c r="P3" s="828"/>
      <c r="Q3" s="828"/>
      <c r="R3" s="828"/>
      <c r="S3" s="828"/>
      <c r="T3" s="828"/>
      <c r="U3" s="828"/>
      <c r="V3" s="828"/>
      <c r="W3" s="828"/>
      <c r="X3" s="828"/>
      <c r="Y3" s="828"/>
      <c r="Z3" s="828"/>
      <c r="AA3" s="828"/>
      <c r="AB3" s="828"/>
      <c r="AC3" s="828"/>
      <c r="AD3" s="828"/>
      <c r="AE3" s="828"/>
      <c r="AF3" s="828"/>
      <c r="AG3" s="828"/>
      <c r="AH3" s="828"/>
      <c r="AI3" s="828"/>
      <c r="AJ3" s="828"/>
      <c r="AK3" s="828"/>
      <c r="AL3" s="828"/>
      <c r="AM3" s="828"/>
      <c r="AN3" s="828"/>
      <c r="AO3" s="828"/>
      <c r="AP3" s="828"/>
      <c r="AQ3" s="828"/>
      <c r="AR3" s="828"/>
      <c r="AS3" s="828"/>
      <c r="AT3" s="828"/>
      <c r="AU3" s="828"/>
      <c r="AV3" s="828"/>
      <c r="AW3" s="828"/>
      <c r="AX3" s="828"/>
      <c r="AY3" s="828"/>
      <c r="AZ3" s="828"/>
      <c r="BA3" s="828"/>
      <c r="BB3" s="828"/>
      <c r="BC3" s="828"/>
      <c r="BD3" s="828"/>
      <c r="BE3" s="828"/>
      <c r="BF3" s="828"/>
      <c r="BG3" s="828"/>
      <c r="BH3" s="828"/>
      <c r="BI3" s="828"/>
      <c r="BJ3" s="828"/>
      <c r="BK3" s="828"/>
      <c r="BL3" s="828"/>
      <c r="BM3" s="828"/>
      <c r="BN3" s="828"/>
      <c r="BO3" s="828"/>
      <c r="BP3" s="828"/>
      <c r="BQ3" s="828"/>
      <c r="BR3" s="828"/>
      <c r="BS3" s="828"/>
      <c r="BT3" s="828"/>
      <c r="BU3" s="828"/>
      <c r="BV3" s="828"/>
      <c r="BW3" s="828"/>
      <c r="BX3" s="828"/>
      <c r="BY3" s="828"/>
      <c r="BZ3" s="828"/>
      <c r="CA3" s="828"/>
      <c r="CB3" s="828"/>
      <c r="CC3" s="828"/>
      <c r="CD3" s="828"/>
      <c r="CE3" s="828"/>
      <c r="CF3" s="828"/>
      <c r="CG3" s="828"/>
      <c r="CH3" s="828"/>
      <c r="CI3" s="828"/>
      <c r="CJ3" s="828"/>
      <c r="CK3" s="828"/>
      <c r="CL3" s="828"/>
      <c r="CM3" s="828"/>
      <c r="CN3" s="828"/>
      <c r="CO3" s="828"/>
      <c r="CP3" s="828"/>
      <c r="CQ3" s="828"/>
      <c r="CR3" s="828"/>
      <c r="CS3" s="828"/>
      <c r="CT3" s="828"/>
      <c r="CU3" s="828"/>
      <c r="CV3" s="828"/>
      <c r="CW3" s="828"/>
      <c r="CX3" s="828"/>
      <c r="CY3" s="828"/>
      <c r="CZ3" s="828"/>
      <c r="DA3" s="828"/>
      <c r="DB3" s="828"/>
      <c r="DC3" s="828"/>
      <c r="DD3" s="828"/>
      <c r="DE3" s="828"/>
      <c r="DF3" s="828"/>
      <c r="DG3" s="828"/>
      <c r="DH3" s="828"/>
      <c r="DI3" s="828"/>
      <c r="DJ3" s="828"/>
      <c r="DK3" s="828"/>
      <c r="DL3" s="828"/>
      <c r="DM3" s="828"/>
      <c r="DN3" s="828"/>
      <c r="DO3" s="828"/>
      <c r="DP3" s="828"/>
      <c r="DQ3" s="828"/>
      <c r="DR3" s="828"/>
      <c r="DS3" s="828"/>
      <c r="DT3" s="828"/>
      <c r="DU3" s="828"/>
      <c r="DV3" s="828"/>
      <c r="DW3" s="828"/>
      <c r="DX3" s="828"/>
      <c r="DY3" s="828"/>
      <c r="DZ3" s="828"/>
      <c r="EA3" s="828"/>
      <c r="EB3" s="828"/>
      <c r="EC3" s="828"/>
      <c r="ED3" s="828"/>
      <c r="EE3" s="828"/>
      <c r="EF3" s="828"/>
      <c r="EG3" s="828"/>
      <c r="EH3" s="828"/>
      <c r="EI3" s="828"/>
      <c r="EJ3" s="828"/>
      <c r="EK3" s="828"/>
      <c r="EL3" s="828"/>
      <c r="EM3" s="828"/>
      <c r="EN3" s="828"/>
      <c r="EO3" s="828"/>
      <c r="EP3" s="828"/>
      <c r="EQ3" s="828"/>
      <c r="ER3" s="828"/>
      <c r="ES3" s="828"/>
      <c r="ET3" s="828"/>
      <c r="EU3" s="828"/>
      <c r="EV3" s="828"/>
      <c r="EW3" s="828"/>
      <c r="EX3" s="828"/>
      <c r="EY3" s="828"/>
    </row>
    <row r="4" spans="1:155" ht="12.75" customHeight="1">
      <c r="B4" s="769"/>
      <c r="C4" s="769"/>
      <c r="D4" s="769"/>
      <c r="E4" s="769"/>
      <c r="F4" s="769"/>
      <c r="G4" s="769"/>
      <c r="H4" s="769"/>
    </row>
    <row r="5" spans="1:155" ht="14.25" customHeight="1">
      <c r="H5" s="23" t="s">
        <v>360</v>
      </c>
    </row>
    <row r="6" spans="1:155" s="3" customFormat="1" ht="15" customHeight="1">
      <c r="A6" s="1858" t="s">
        <v>0</v>
      </c>
      <c r="B6" s="1858" t="s">
        <v>1377</v>
      </c>
      <c r="C6" s="1981" t="s">
        <v>1336</v>
      </c>
      <c r="D6" s="1982"/>
      <c r="E6" s="1981" t="s">
        <v>1337</v>
      </c>
      <c r="F6" s="1983"/>
      <c r="G6" s="1981" t="s">
        <v>1715</v>
      </c>
      <c r="H6" s="1983"/>
    </row>
    <row r="7" spans="1:155" s="3" customFormat="1" ht="105">
      <c r="A7" s="1971"/>
      <c r="B7" s="1971"/>
      <c r="C7" s="822" t="s">
        <v>1353</v>
      </c>
      <c r="D7" s="822" t="s">
        <v>1354</v>
      </c>
      <c r="E7" s="822" t="s">
        <v>1353</v>
      </c>
      <c r="F7" s="822" t="s">
        <v>1354</v>
      </c>
      <c r="G7" s="822" t="s">
        <v>1353</v>
      </c>
      <c r="H7" s="822" t="s">
        <v>1354</v>
      </c>
    </row>
    <row r="8" spans="1:155" s="2" customFormat="1">
      <c r="A8" s="13">
        <v>1</v>
      </c>
      <c r="B8" s="13">
        <v>2</v>
      </c>
      <c r="C8" s="13">
        <v>3</v>
      </c>
      <c r="D8" s="13">
        <v>4</v>
      </c>
      <c r="E8" s="13">
        <v>5</v>
      </c>
      <c r="F8" s="13">
        <v>6</v>
      </c>
      <c r="G8" s="13">
        <v>7</v>
      </c>
      <c r="H8" s="13">
        <v>8</v>
      </c>
    </row>
    <row r="9" spans="1:155" s="41" customFormat="1">
      <c r="A9" s="60" t="s">
        <v>89</v>
      </c>
      <c r="B9" s="68" t="s">
        <v>1378</v>
      </c>
      <c r="C9" s="818"/>
      <c r="D9" s="818">
        <v>922221.98336478905</v>
      </c>
      <c r="E9" s="818"/>
      <c r="F9" s="818">
        <v>940898.01732465264</v>
      </c>
      <c r="G9" s="818"/>
      <c r="H9" s="818">
        <v>969831.47159815882</v>
      </c>
    </row>
    <row r="10" spans="1:155" s="832" customFormat="1" ht="15" customHeight="1">
      <c r="A10" s="829" t="s">
        <v>91</v>
      </c>
      <c r="B10" s="830" t="s">
        <v>1379</v>
      </c>
      <c r="C10" s="818"/>
      <c r="D10" s="818">
        <v>125955.85906625999</v>
      </c>
      <c r="E10" s="831"/>
      <c r="F10" s="818">
        <v>137662.18967315598</v>
      </c>
      <c r="G10" s="831"/>
      <c r="H10" s="818">
        <v>150260.95930468291</v>
      </c>
    </row>
    <row r="11" spans="1:155" s="832" customFormat="1" ht="15" customHeight="1">
      <c r="A11" s="829" t="s">
        <v>93</v>
      </c>
      <c r="B11" s="833" t="s">
        <v>1380</v>
      </c>
      <c r="C11" s="818"/>
      <c r="D11" s="818"/>
      <c r="E11" s="834"/>
      <c r="F11" s="834"/>
      <c r="G11" s="834"/>
      <c r="H11" s="834"/>
    </row>
    <row r="12" spans="1:155" s="41" customFormat="1">
      <c r="A12" s="60" t="s">
        <v>95</v>
      </c>
      <c r="B12" s="70" t="s">
        <v>1381</v>
      </c>
      <c r="C12" s="818"/>
      <c r="D12" s="818">
        <v>17959.427759999999</v>
      </c>
      <c r="E12" s="835"/>
      <c r="F12" s="818">
        <v>18368.823334600002</v>
      </c>
      <c r="G12" s="835"/>
      <c r="H12" s="818">
        <v>19652.260752296999</v>
      </c>
    </row>
    <row r="13" spans="1:155" s="41" customFormat="1">
      <c r="A13" s="60" t="s">
        <v>97</v>
      </c>
      <c r="B13" s="68" t="s">
        <v>447</v>
      </c>
      <c r="C13" s="818"/>
      <c r="D13" s="818"/>
      <c r="E13" s="835"/>
      <c r="F13" s="834"/>
      <c r="G13" s="834"/>
      <c r="H13" s="834"/>
    </row>
    <row r="14" spans="1:155" s="810" customFormat="1" ht="14.25">
      <c r="A14" s="82" t="s">
        <v>582</v>
      </c>
      <c r="B14" s="808" t="s">
        <v>770</v>
      </c>
      <c r="C14" s="836">
        <f>SUM(C9:C13)</f>
        <v>0</v>
      </c>
      <c r="D14" s="836">
        <f t="shared" ref="D14:H14" si="0">SUM(D9:D13)</f>
        <v>1066137.2701910492</v>
      </c>
      <c r="E14" s="836">
        <f t="shared" si="0"/>
        <v>0</v>
      </c>
      <c r="F14" s="836">
        <f t="shared" si="0"/>
        <v>1096929.0303324086</v>
      </c>
      <c r="G14" s="836">
        <f t="shared" si="0"/>
        <v>0</v>
      </c>
      <c r="H14" s="836">
        <f t="shared" si="0"/>
        <v>1139744.6916551387</v>
      </c>
    </row>
    <row r="17" spans="1:153">
      <c r="F17" s="1445">
        <f>'5.4_пр-во КТЭЦ'!F14+'5.4_передача КТЭЦ'!F14</f>
        <v>1096929.0303324086</v>
      </c>
      <c r="H17" s="1445">
        <f>'5.4_пр-во КТЭЦ'!H14+'5.4_передача КТЭЦ'!H14</f>
        <v>1139744.6916551387</v>
      </c>
    </row>
    <row r="18" spans="1:153" s="26" customFormat="1">
      <c r="A18" s="26" t="s">
        <v>88</v>
      </c>
    </row>
    <row r="19" spans="1:153" s="773" customFormat="1">
      <c r="A19" s="819" t="s">
        <v>89</v>
      </c>
      <c r="B19" s="1984" t="s">
        <v>1346</v>
      </c>
      <c r="C19" s="1985"/>
      <c r="D19" s="1985"/>
      <c r="E19" s="1985"/>
      <c r="F19" s="1985"/>
      <c r="G19" s="1985"/>
      <c r="H19" s="1985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819"/>
      <c r="ET19" s="819"/>
      <c r="EU19" s="819"/>
      <c r="EV19" s="819"/>
      <c r="EW19" s="819"/>
    </row>
    <row r="20" spans="1:153" s="773" customFormat="1" ht="30" customHeight="1">
      <c r="A20" s="819" t="s">
        <v>91</v>
      </c>
      <c r="B20" s="1972" t="s">
        <v>1383</v>
      </c>
      <c r="C20" s="1973"/>
      <c r="D20" s="1973"/>
      <c r="E20" s="1973"/>
      <c r="F20" s="1973"/>
      <c r="G20" s="1973"/>
      <c r="H20" s="1973"/>
      <c r="I20" s="819"/>
      <c r="J20" s="819"/>
      <c r="K20" s="819"/>
      <c r="L20" s="819"/>
      <c r="M20" s="819"/>
      <c r="N20" s="819"/>
      <c r="O20" s="819"/>
      <c r="P20" s="819"/>
      <c r="Q20" s="819"/>
      <c r="R20" s="819"/>
      <c r="S20" s="819"/>
      <c r="T20" s="819"/>
      <c r="U20" s="819"/>
      <c r="V20" s="819"/>
      <c r="W20" s="819"/>
      <c r="X20" s="819"/>
      <c r="Y20" s="819"/>
      <c r="Z20" s="819"/>
      <c r="AA20" s="819"/>
      <c r="AB20" s="819"/>
      <c r="AC20" s="819"/>
      <c r="AD20" s="819"/>
      <c r="AE20" s="819"/>
      <c r="AF20" s="819"/>
      <c r="AG20" s="819"/>
      <c r="AH20" s="819"/>
      <c r="AI20" s="819"/>
      <c r="AJ20" s="819"/>
      <c r="AK20" s="819"/>
      <c r="AL20" s="819"/>
      <c r="AM20" s="819"/>
      <c r="AN20" s="819"/>
      <c r="AO20" s="819"/>
      <c r="AP20" s="819"/>
      <c r="AQ20" s="819"/>
      <c r="AR20" s="819"/>
      <c r="AS20" s="819"/>
      <c r="AT20" s="819"/>
      <c r="AU20" s="819"/>
      <c r="AV20" s="819"/>
      <c r="AW20" s="819"/>
      <c r="AX20" s="819"/>
      <c r="AY20" s="819"/>
      <c r="AZ20" s="819"/>
      <c r="BA20" s="819"/>
      <c r="BB20" s="819"/>
      <c r="BC20" s="819"/>
      <c r="BD20" s="819"/>
      <c r="BE20" s="819"/>
      <c r="BF20" s="819"/>
      <c r="BG20" s="819"/>
      <c r="BH20" s="819"/>
      <c r="BI20" s="819"/>
      <c r="BJ20" s="819"/>
      <c r="BK20" s="819"/>
      <c r="BL20" s="819"/>
      <c r="BM20" s="819"/>
      <c r="BN20" s="819"/>
      <c r="BO20" s="819"/>
      <c r="BP20" s="819"/>
      <c r="BQ20" s="819"/>
      <c r="BR20" s="819"/>
      <c r="BS20" s="819"/>
      <c r="BT20" s="819"/>
      <c r="BU20" s="819"/>
      <c r="BV20" s="819"/>
      <c r="BW20" s="819"/>
      <c r="BX20" s="819"/>
      <c r="BY20" s="819"/>
      <c r="BZ20" s="819"/>
      <c r="CA20" s="819"/>
      <c r="CB20" s="819"/>
      <c r="CC20" s="819"/>
      <c r="CD20" s="819"/>
      <c r="CE20" s="819"/>
      <c r="CF20" s="819"/>
      <c r="CG20" s="819"/>
      <c r="CH20" s="819"/>
      <c r="CI20" s="819"/>
      <c r="CJ20" s="819"/>
      <c r="CK20" s="819"/>
      <c r="CL20" s="819"/>
      <c r="CM20" s="819"/>
      <c r="CN20" s="819"/>
      <c r="CO20" s="819"/>
      <c r="CP20" s="819"/>
      <c r="CQ20" s="819"/>
      <c r="CR20" s="819"/>
      <c r="CS20" s="819"/>
      <c r="CT20" s="819"/>
      <c r="CU20" s="819"/>
      <c r="CV20" s="819"/>
      <c r="CW20" s="819"/>
      <c r="CX20" s="819"/>
      <c r="CY20" s="819"/>
      <c r="CZ20" s="819"/>
      <c r="DA20" s="819"/>
      <c r="DB20" s="819"/>
      <c r="DC20" s="819"/>
      <c r="DD20" s="819"/>
      <c r="DE20" s="819"/>
      <c r="DF20" s="819"/>
      <c r="DG20" s="819"/>
      <c r="DH20" s="819"/>
      <c r="DI20" s="819"/>
      <c r="DJ20" s="819"/>
      <c r="DK20" s="819"/>
      <c r="DL20" s="819"/>
      <c r="DM20" s="819"/>
      <c r="DN20" s="819"/>
      <c r="DO20" s="819"/>
      <c r="DP20" s="819"/>
      <c r="DQ20" s="819"/>
      <c r="DR20" s="819"/>
      <c r="DS20" s="819"/>
      <c r="DT20" s="819"/>
      <c r="DU20" s="819"/>
      <c r="DV20" s="819"/>
      <c r="DW20" s="819"/>
      <c r="DX20" s="819"/>
      <c r="DY20" s="819"/>
      <c r="DZ20" s="819"/>
      <c r="EA20" s="819"/>
      <c r="EB20" s="819"/>
      <c r="EC20" s="819"/>
      <c r="ED20" s="819"/>
      <c r="EE20" s="819"/>
      <c r="EF20" s="819"/>
      <c r="EG20" s="819"/>
      <c r="EH20" s="819"/>
      <c r="EI20" s="819"/>
      <c r="EJ20" s="819"/>
      <c r="EK20" s="819"/>
      <c r="EL20" s="819"/>
      <c r="EM20" s="819"/>
      <c r="EN20" s="819"/>
      <c r="EO20" s="819"/>
      <c r="EP20" s="819"/>
      <c r="EQ20" s="819"/>
      <c r="ER20" s="819"/>
    </row>
    <row r="21" spans="1:153" ht="15.75" customHeight="1">
      <c r="A21" s="819" t="s">
        <v>93</v>
      </c>
      <c r="B21" s="1984" t="s">
        <v>1384</v>
      </c>
      <c r="C21" s="1985"/>
      <c r="D21" s="1985"/>
      <c r="E21" s="1985"/>
      <c r="F21" s="1985"/>
      <c r="G21" s="1985"/>
      <c r="H21" s="1985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</row>
  </sheetData>
  <mergeCells count="9">
    <mergeCell ref="B19:H19"/>
    <mergeCell ref="B20:H20"/>
    <mergeCell ref="B21:H21"/>
    <mergeCell ref="A3:H3"/>
    <mergeCell ref="A6:A7"/>
    <mergeCell ref="B6:B7"/>
    <mergeCell ref="C6:D6"/>
    <mergeCell ref="E6:F6"/>
    <mergeCell ref="G6:H6"/>
  </mergeCells>
  <pageMargins left="0.78740157480314965" right="0.51181102362204722" top="0.59055118110236227" bottom="0.39370078740157483" header="0.19685039370078741" footer="0.19685039370078741"/>
  <pageSetup paperSize="9" scale="65" orientation="portrait" r:id="rId1"/>
  <headerFooter alignWithMargins="0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EY19"/>
  <sheetViews>
    <sheetView view="pageBreakPreview" zoomScaleNormal="100" workbookViewId="0">
      <pane ySplit="8" topLeftCell="A9" activePane="bottomLeft" state="frozen"/>
      <selection activeCell="C6" sqref="C6:H6"/>
      <selection pane="bottomLeft" activeCell="K13" sqref="K13"/>
    </sheetView>
  </sheetViews>
  <sheetFormatPr defaultColWidth="2.7109375" defaultRowHeight="15"/>
  <cols>
    <col min="1" max="1" width="6.5703125" style="1" customWidth="1"/>
    <col min="2" max="2" width="49" style="1" customWidth="1"/>
    <col min="3" max="8" width="13.7109375" style="1" customWidth="1"/>
    <col min="9" max="60" width="8.28515625" style="1" customWidth="1"/>
    <col min="61" max="16384" width="2.7109375" style="1"/>
  </cols>
  <sheetData>
    <row r="1" spans="1:155" s="5" customFormat="1" ht="18" customHeight="1">
      <c r="A1" s="74" t="s">
        <v>1860</v>
      </c>
      <c r="H1" s="6" t="s">
        <v>1375</v>
      </c>
    </row>
    <row r="2" spans="1:155" ht="12.75" customHeight="1">
      <c r="A2" s="1207" t="s">
        <v>1678</v>
      </c>
    </row>
    <row r="3" spans="1:155" ht="43.5" customHeight="1">
      <c r="A3" s="1980" t="s">
        <v>1376</v>
      </c>
      <c r="B3" s="1980"/>
      <c r="C3" s="1980"/>
      <c r="D3" s="1980"/>
      <c r="E3" s="1980"/>
      <c r="F3" s="1980"/>
      <c r="G3" s="1980"/>
      <c r="H3" s="1980"/>
      <c r="I3" s="828"/>
      <c r="J3" s="828"/>
      <c r="K3" s="828"/>
      <c r="L3" s="828"/>
      <c r="M3" s="828"/>
      <c r="N3" s="828"/>
      <c r="O3" s="828"/>
      <c r="P3" s="828"/>
      <c r="Q3" s="828"/>
      <c r="R3" s="828"/>
      <c r="S3" s="828"/>
      <c r="T3" s="828"/>
      <c r="U3" s="828"/>
      <c r="V3" s="828"/>
      <c r="W3" s="828"/>
      <c r="X3" s="828"/>
      <c r="Y3" s="828"/>
      <c r="Z3" s="828"/>
      <c r="AA3" s="828"/>
      <c r="AB3" s="828"/>
      <c r="AC3" s="828"/>
      <c r="AD3" s="828"/>
      <c r="AE3" s="828"/>
      <c r="AF3" s="828"/>
      <c r="AG3" s="828"/>
      <c r="AH3" s="828"/>
      <c r="AI3" s="828"/>
      <c r="AJ3" s="828"/>
      <c r="AK3" s="828"/>
      <c r="AL3" s="828"/>
      <c r="AM3" s="828"/>
      <c r="AN3" s="828"/>
      <c r="AO3" s="828"/>
      <c r="AP3" s="828"/>
      <c r="AQ3" s="828"/>
      <c r="AR3" s="828"/>
      <c r="AS3" s="828"/>
      <c r="AT3" s="828"/>
      <c r="AU3" s="828"/>
      <c r="AV3" s="828"/>
      <c r="AW3" s="828"/>
      <c r="AX3" s="828"/>
      <c r="AY3" s="828"/>
      <c r="AZ3" s="828"/>
      <c r="BA3" s="828"/>
      <c r="BB3" s="828"/>
      <c r="BC3" s="828"/>
      <c r="BD3" s="828"/>
      <c r="BE3" s="828"/>
      <c r="BF3" s="828"/>
      <c r="BG3" s="828"/>
      <c r="BH3" s="828"/>
      <c r="BI3" s="828"/>
      <c r="BJ3" s="828"/>
      <c r="BK3" s="828"/>
      <c r="BL3" s="828"/>
      <c r="BM3" s="828"/>
      <c r="BN3" s="828"/>
      <c r="BO3" s="828"/>
      <c r="BP3" s="828"/>
      <c r="BQ3" s="828"/>
      <c r="BR3" s="828"/>
      <c r="BS3" s="828"/>
      <c r="BT3" s="828"/>
      <c r="BU3" s="828"/>
      <c r="BV3" s="828"/>
      <c r="BW3" s="828"/>
      <c r="BX3" s="828"/>
      <c r="BY3" s="828"/>
      <c r="BZ3" s="828"/>
      <c r="CA3" s="828"/>
      <c r="CB3" s="828"/>
      <c r="CC3" s="828"/>
      <c r="CD3" s="828"/>
      <c r="CE3" s="828"/>
      <c r="CF3" s="828"/>
      <c r="CG3" s="828"/>
      <c r="CH3" s="828"/>
      <c r="CI3" s="828"/>
      <c r="CJ3" s="828"/>
      <c r="CK3" s="828"/>
      <c r="CL3" s="828"/>
      <c r="CM3" s="828"/>
      <c r="CN3" s="828"/>
      <c r="CO3" s="828"/>
      <c r="CP3" s="828"/>
      <c r="CQ3" s="828"/>
      <c r="CR3" s="828"/>
      <c r="CS3" s="828"/>
      <c r="CT3" s="828"/>
      <c r="CU3" s="828"/>
      <c r="CV3" s="828"/>
      <c r="CW3" s="828"/>
      <c r="CX3" s="828"/>
      <c r="CY3" s="828"/>
      <c r="CZ3" s="828"/>
      <c r="DA3" s="828"/>
      <c r="DB3" s="828"/>
      <c r="DC3" s="828"/>
      <c r="DD3" s="828"/>
      <c r="DE3" s="828"/>
      <c r="DF3" s="828"/>
      <c r="DG3" s="828"/>
      <c r="DH3" s="828"/>
      <c r="DI3" s="828"/>
      <c r="DJ3" s="828"/>
      <c r="DK3" s="828"/>
      <c r="DL3" s="828"/>
      <c r="DM3" s="828"/>
      <c r="DN3" s="828"/>
      <c r="DO3" s="828"/>
      <c r="DP3" s="828"/>
      <c r="DQ3" s="828"/>
      <c r="DR3" s="828"/>
      <c r="DS3" s="828"/>
      <c r="DT3" s="828"/>
      <c r="DU3" s="828"/>
      <c r="DV3" s="828"/>
      <c r="DW3" s="828"/>
      <c r="DX3" s="828"/>
      <c r="DY3" s="828"/>
      <c r="DZ3" s="828"/>
      <c r="EA3" s="828"/>
      <c r="EB3" s="828"/>
      <c r="EC3" s="828"/>
      <c r="ED3" s="828"/>
      <c r="EE3" s="828"/>
      <c r="EF3" s="828"/>
      <c r="EG3" s="828"/>
      <c r="EH3" s="828"/>
      <c r="EI3" s="828"/>
      <c r="EJ3" s="828"/>
      <c r="EK3" s="828"/>
      <c r="EL3" s="828"/>
      <c r="EM3" s="828"/>
      <c r="EN3" s="828"/>
      <c r="EO3" s="828"/>
      <c r="EP3" s="828"/>
      <c r="EQ3" s="828"/>
      <c r="ER3" s="828"/>
      <c r="ES3" s="828"/>
      <c r="ET3" s="828"/>
      <c r="EU3" s="828"/>
      <c r="EV3" s="828"/>
      <c r="EW3" s="828"/>
      <c r="EX3" s="828"/>
      <c r="EY3" s="828"/>
    </row>
    <row r="4" spans="1:155" ht="12.75" customHeight="1">
      <c r="B4" s="769"/>
      <c r="C4" s="769"/>
      <c r="D4" s="769"/>
      <c r="E4" s="769"/>
      <c r="F4" s="769"/>
      <c r="G4" s="769"/>
      <c r="H4" s="769"/>
    </row>
    <row r="5" spans="1:155" ht="14.25" customHeight="1">
      <c r="A5" s="812" t="s">
        <v>1329</v>
      </c>
      <c r="H5" s="23" t="s">
        <v>360</v>
      </c>
    </row>
    <row r="6" spans="1:155" s="3" customFormat="1" ht="15" customHeight="1">
      <c r="A6" s="1858" t="s">
        <v>0</v>
      </c>
      <c r="B6" s="1858" t="s">
        <v>1377</v>
      </c>
      <c r="C6" s="1981" t="s">
        <v>1336</v>
      </c>
      <c r="D6" s="1982"/>
      <c r="E6" s="1981" t="s">
        <v>1337</v>
      </c>
      <c r="F6" s="1983"/>
      <c r="G6" s="1981" t="s">
        <v>1715</v>
      </c>
      <c r="H6" s="1983"/>
    </row>
    <row r="7" spans="1:155" s="3" customFormat="1" ht="105">
      <c r="A7" s="1971"/>
      <c r="B7" s="1971"/>
      <c r="C7" s="822" t="s">
        <v>1353</v>
      </c>
      <c r="D7" s="822" t="s">
        <v>1354</v>
      </c>
      <c r="E7" s="822" t="s">
        <v>1353</v>
      </c>
      <c r="F7" s="822" t="s">
        <v>1354</v>
      </c>
      <c r="G7" s="822" t="s">
        <v>1353</v>
      </c>
      <c r="H7" s="822" t="s">
        <v>1354</v>
      </c>
    </row>
    <row r="8" spans="1:155" s="2" customFormat="1">
      <c r="A8" s="13">
        <v>1</v>
      </c>
      <c r="B8" s="13">
        <v>2</v>
      </c>
      <c r="C8" s="13">
        <v>3</v>
      </c>
      <c r="D8" s="13">
        <v>4</v>
      </c>
      <c r="E8" s="13">
        <v>5</v>
      </c>
      <c r="F8" s="13">
        <v>6</v>
      </c>
      <c r="G8" s="13">
        <v>7</v>
      </c>
      <c r="H8" s="13">
        <v>8</v>
      </c>
    </row>
    <row r="9" spans="1:155" s="41" customFormat="1">
      <c r="A9" s="60" t="s">
        <v>89</v>
      </c>
      <c r="B9" s="68" t="s">
        <v>1378</v>
      </c>
      <c r="C9" s="818"/>
      <c r="D9" s="818">
        <v>922221.98336478905</v>
      </c>
      <c r="E9" s="818"/>
      <c r="F9" s="818">
        <v>940898.01732465264</v>
      </c>
      <c r="G9" s="818"/>
      <c r="H9" s="818">
        <v>969831.47159815882</v>
      </c>
    </row>
    <row r="10" spans="1:155" s="832" customFormat="1" ht="15" customHeight="1">
      <c r="A10" s="829" t="s">
        <v>91</v>
      </c>
      <c r="B10" s="830" t="s">
        <v>1379</v>
      </c>
      <c r="C10" s="818"/>
      <c r="D10" s="818">
        <v>0</v>
      </c>
      <c r="E10" s="831"/>
      <c r="F10" s="818">
        <v>0</v>
      </c>
      <c r="G10" s="831"/>
      <c r="H10" s="818">
        <v>0</v>
      </c>
    </row>
    <row r="11" spans="1:155" s="832" customFormat="1" ht="15" customHeight="1">
      <c r="A11" s="829" t="s">
        <v>93</v>
      </c>
      <c r="B11" s="833" t="s">
        <v>1380</v>
      </c>
      <c r="C11" s="818"/>
      <c r="D11" s="818"/>
      <c r="E11" s="834"/>
      <c r="F11" s="834"/>
      <c r="G11" s="834"/>
      <c r="H11" s="834"/>
    </row>
    <row r="12" spans="1:155" s="41" customFormat="1">
      <c r="A12" s="60" t="s">
        <v>95</v>
      </c>
      <c r="B12" s="70" t="s">
        <v>1381</v>
      </c>
      <c r="C12" s="818"/>
      <c r="D12" s="818">
        <v>7647.9910399999999</v>
      </c>
      <c r="E12" s="835"/>
      <c r="F12" s="818">
        <v>7700.4474440000004</v>
      </c>
      <c r="G12" s="1236"/>
      <c r="H12" s="818">
        <v>8256.2718707799995</v>
      </c>
    </row>
    <row r="13" spans="1:155" s="41" customFormat="1">
      <c r="A13" s="60" t="s">
        <v>97</v>
      </c>
      <c r="B13" s="68" t="s">
        <v>1382</v>
      </c>
      <c r="C13" s="818"/>
      <c r="D13" s="818"/>
      <c r="E13" s="835"/>
      <c r="F13" s="818"/>
      <c r="G13" s="835"/>
      <c r="H13" s="818"/>
    </row>
    <row r="14" spans="1:155" s="810" customFormat="1" ht="14.25">
      <c r="A14" s="82" t="s">
        <v>582</v>
      </c>
      <c r="B14" s="808" t="s">
        <v>770</v>
      </c>
      <c r="C14" s="836">
        <f>SUM(C9:C13)</f>
        <v>0</v>
      </c>
      <c r="D14" s="836">
        <f t="shared" ref="D14:H14" si="0">SUM(D9:D13)</f>
        <v>929869.97440478904</v>
      </c>
      <c r="E14" s="836">
        <f t="shared" si="0"/>
        <v>0</v>
      </c>
      <c r="F14" s="836">
        <f t="shared" si="0"/>
        <v>948598.46476865269</v>
      </c>
      <c r="G14" s="836">
        <f t="shared" si="0"/>
        <v>0</v>
      </c>
      <c r="H14" s="836">
        <f t="shared" si="0"/>
        <v>978087.74346893886</v>
      </c>
    </row>
    <row r="16" spans="1:155" s="26" customFormat="1">
      <c r="A16" s="26" t="s">
        <v>88</v>
      </c>
    </row>
    <row r="17" spans="1:153" s="773" customFormat="1">
      <c r="A17" s="819" t="s">
        <v>89</v>
      </c>
      <c r="B17" s="1984" t="s">
        <v>1346</v>
      </c>
      <c r="C17" s="1985"/>
      <c r="D17" s="1985"/>
      <c r="E17" s="1985"/>
      <c r="F17" s="1985"/>
      <c r="G17" s="1985"/>
      <c r="H17" s="1985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819"/>
      <c r="ET17" s="819"/>
      <c r="EU17" s="819"/>
      <c r="EV17" s="819"/>
      <c r="EW17" s="819"/>
    </row>
    <row r="18" spans="1:153" s="773" customFormat="1" ht="30" customHeight="1">
      <c r="A18" s="819" t="s">
        <v>91</v>
      </c>
      <c r="B18" s="1972" t="s">
        <v>1383</v>
      </c>
      <c r="C18" s="1973"/>
      <c r="D18" s="1973"/>
      <c r="E18" s="1973"/>
      <c r="F18" s="1973"/>
      <c r="G18" s="1973"/>
      <c r="H18" s="1973"/>
      <c r="I18" s="819"/>
      <c r="J18" s="819"/>
      <c r="K18" s="819"/>
      <c r="L18" s="819"/>
      <c r="M18" s="819"/>
      <c r="N18" s="819"/>
      <c r="O18" s="819"/>
      <c r="P18" s="819"/>
      <c r="Q18" s="819"/>
      <c r="R18" s="819"/>
      <c r="S18" s="819"/>
      <c r="T18" s="819"/>
      <c r="U18" s="819"/>
      <c r="V18" s="819"/>
      <c r="W18" s="819"/>
      <c r="X18" s="819"/>
      <c r="Y18" s="819"/>
      <c r="Z18" s="819"/>
      <c r="AA18" s="819"/>
      <c r="AB18" s="819"/>
      <c r="AC18" s="819"/>
      <c r="AD18" s="819"/>
      <c r="AE18" s="819"/>
      <c r="AF18" s="819"/>
      <c r="AG18" s="819"/>
      <c r="AH18" s="819"/>
      <c r="AI18" s="819"/>
      <c r="AJ18" s="819"/>
      <c r="AK18" s="819"/>
      <c r="AL18" s="819"/>
      <c r="AM18" s="819"/>
      <c r="AN18" s="819"/>
      <c r="AO18" s="819"/>
      <c r="AP18" s="819"/>
      <c r="AQ18" s="819"/>
      <c r="AR18" s="819"/>
      <c r="AS18" s="819"/>
      <c r="AT18" s="819"/>
      <c r="AU18" s="819"/>
      <c r="AV18" s="819"/>
      <c r="AW18" s="819"/>
      <c r="AX18" s="819"/>
      <c r="AY18" s="819"/>
      <c r="AZ18" s="819"/>
      <c r="BA18" s="819"/>
      <c r="BB18" s="819"/>
      <c r="BC18" s="819"/>
      <c r="BD18" s="819"/>
      <c r="BE18" s="819"/>
      <c r="BF18" s="819"/>
      <c r="BG18" s="819"/>
      <c r="BH18" s="819"/>
      <c r="BI18" s="819"/>
      <c r="BJ18" s="819"/>
      <c r="BK18" s="819"/>
      <c r="BL18" s="819"/>
      <c r="BM18" s="819"/>
      <c r="BN18" s="819"/>
      <c r="BO18" s="819"/>
      <c r="BP18" s="819"/>
      <c r="BQ18" s="819"/>
      <c r="BR18" s="819"/>
      <c r="BS18" s="819"/>
      <c r="BT18" s="819"/>
      <c r="BU18" s="819"/>
      <c r="BV18" s="819"/>
      <c r="BW18" s="819"/>
      <c r="BX18" s="819"/>
      <c r="BY18" s="819"/>
      <c r="BZ18" s="819"/>
      <c r="CA18" s="819"/>
      <c r="CB18" s="819"/>
      <c r="CC18" s="819"/>
      <c r="CD18" s="819"/>
      <c r="CE18" s="819"/>
      <c r="CF18" s="819"/>
      <c r="CG18" s="819"/>
      <c r="CH18" s="819"/>
      <c r="CI18" s="819"/>
      <c r="CJ18" s="819"/>
      <c r="CK18" s="819"/>
      <c r="CL18" s="819"/>
      <c r="CM18" s="819"/>
      <c r="CN18" s="819"/>
      <c r="CO18" s="819"/>
      <c r="CP18" s="819"/>
      <c r="CQ18" s="819"/>
      <c r="CR18" s="819"/>
      <c r="CS18" s="819"/>
      <c r="CT18" s="819"/>
      <c r="CU18" s="819"/>
      <c r="CV18" s="819"/>
      <c r="CW18" s="819"/>
      <c r="CX18" s="819"/>
      <c r="CY18" s="819"/>
      <c r="CZ18" s="819"/>
      <c r="DA18" s="819"/>
      <c r="DB18" s="819"/>
      <c r="DC18" s="819"/>
      <c r="DD18" s="819"/>
      <c r="DE18" s="819"/>
      <c r="DF18" s="819"/>
      <c r="DG18" s="819"/>
      <c r="DH18" s="819"/>
      <c r="DI18" s="819"/>
      <c r="DJ18" s="819"/>
      <c r="DK18" s="819"/>
      <c r="DL18" s="819"/>
      <c r="DM18" s="819"/>
      <c r="DN18" s="819"/>
      <c r="DO18" s="819"/>
      <c r="DP18" s="819"/>
      <c r="DQ18" s="819"/>
      <c r="DR18" s="819"/>
      <c r="DS18" s="819"/>
      <c r="DT18" s="819"/>
      <c r="DU18" s="819"/>
      <c r="DV18" s="819"/>
      <c r="DW18" s="819"/>
      <c r="DX18" s="819"/>
      <c r="DY18" s="819"/>
      <c r="DZ18" s="819"/>
      <c r="EA18" s="819"/>
      <c r="EB18" s="819"/>
      <c r="EC18" s="819"/>
      <c r="ED18" s="819"/>
      <c r="EE18" s="819"/>
      <c r="EF18" s="819"/>
      <c r="EG18" s="819"/>
      <c r="EH18" s="819"/>
      <c r="EI18" s="819"/>
      <c r="EJ18" s="819"/>
      <c r="EK18" s="819"/>
      <c r="EL18" s="819"/>
      <c r="EM18" s="819"/>
      <c r="EN18" s="819"/>
      <c r="EO18" s="819"/>
      <c r="EP18" s="819"/>
      <c r="EQ18" s="819"/>
      <c r="ER18" s="819"/>
    </row>
    <row r="19" spans="1:153" ht="15.75" customHeight="1">
      <c r="A19" s="819" t="s">
        <v>93</v>
      </c>
      <c r="B19" s="1984" t="s">
        <v>1384</v>
      </c>
      <c r="C19" s="1985"/>
      <c r="D19" s="1985"/>
      <c r="E19" s="1985"/>
      <c r="F19" s="1985"/>
      <c r="G19" s="1985"/>
      <c r="H19" s="1985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</row>
  </sheetData>
  <mergeCells count="9">
    <mergeCell ref="B17:H17"/>
    <mergeCell ref="B18:H18"/>
    <mergeCell ref="B19:H19"/>
    <mergeCell ref="A3:H3"/>
    <mergeCell ref="A6:A7"/>
    <mergeCell ref="B6:B7"/>
    <mergeCell ref="C6:D6"/>
    <mergeCell ref="E6:F6"/>
    <mergeCell ref="G6:H6"/>
  </mergeCells>
  <pageMargins left="0.78740157480314965" right="0.51181102362204722" top="0.59055118110236227" bottom="0.39370078740157483" header="0.19685039370078741" footer="0.19685039370078741"/>
  <pageSetup paperSize="9" scale="65" orientation="portrait" r:id="rId1"/>
  <headerFooter alignWithMargins="0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EY19"/>
  <sheetViews>
    <sheetView view="pageBreakPreview" zoomScaleNormal="100" workbookViewId="0">
      <pane ySplit="8" topLeftCell="A9" activePane="bottomLeft" state="frozen"/>
      <selection activeCell="C6" sqref="C6:H6"/>
      <selection pane="bottomLeft" activeCell="I9" sqref="I9"/>
    </sheetView>
  </sheetViews>
  <sheetFormatPr defaultColWidth="2.7109375" defaultRowHeight="15"/>
  <cols>
    <col min="1" max="1" width="6.5703125" style="1" customWidth="1"/>
    <col min="2" max="2" width="49" style="1" customWidth="1"/>
    <col min="3" max="8" width="13.7109375" style="1" customWidth="1"/>
    <col min="9" max="60" width="8.28515625" style="1" customWidth="1"/>
    <col min="61" max="16384" width="2.7109375" style="1"/>
  </cols>
  <sheetData>
    <row r="1" spans="1:155" s="5" customFormat="1" ht="18" customHeight="1">
      <c r="A1" s="74" t="s">
        <v>1860</v>
      </c>
      <c r="H1" s="6" t="s">
        <v>1375</v>
      </c>
    </row>
    <row r="2" spans="1:155" ht="12.75" customHeight="1">
      <c r="A2" s="1207" t="s">
        <v>1678</v>
      </c>
    </row>
    <row r="3" spans="1:155" ht="43.5" customHeight="1">
      <c r="A3" s="1980" t="s">
        <v>1376</v>
      </c>
      <c r="B3" s="1980"/>
      <c r="C3" s="1980"/>
      <c r="D3" s="1980"/>
      <c r="E3" s="1980"/>
      <c r="F3" s="1980"/>
      <c r="G3" s="1980"/>
      <c r="H3" s="1980"/>
      <c r="I3" s="828"/>
      <c r="J3" s="828"/>
      <c r="K3" s="828"/>
      <c r="L3" s="828"/>
      <c r="M3" s="828"/>
      <c r="N3" s="828"/>
      <c r="O3" s="828"/>
      <c r="P3" s="828"/>
      <c r="Q3" s="828"/>
      <c r="R3" s="828"/>
      <c r="S3" s="828"/>
      <c r="T3" s="828"/>
      <c r="U3" s="828"/>
      <c r="V3" s="828"/>
      <c r="W3" s="828"/>
      <c r="X3" s="828"/>
      <c r="Y3" s="828"/>
      <c r="Z3" s="828"/>
      <c r="AA3" s="828"/>
      <c r="AB3" s="828"/>
      <c r="AC3" s="828"/>
      <c r="AD3" s="828"/>
      <c r="AE3" s="828"/>
      <c r="AF3" s="828"/>
      <c r="AG3" s="828"/>
      <c r="AH3" s="828"/>
      <c r="AI3" s="828"/>
      <c r="AJ3" s="828"/>
      <c r="AK3" s="828"/>
      <c r="AL3" s="828"/>
      <c r="AM3" s="828"/>
      <c r="AN3" s="828"/>
      <c r="AO3" s="828"/>
      <c r="AP3" s="828"/>
      <c r="AQ3" s="828"/>
      <c r="AR3" s="828"/>
      <c r="AS3" s="828"/>
      <c r="AT3" s="828"/>
      <c r="AU3" s="828"/>
      <c r="AV3" s="828"/>
      <c r="AW3" s="828"/>
      <c r="AX3" s="828"/>
      <c r="AY3" s="828"/>
      <c r="AZ3" s="828"/>
      <c r="BA3" s="828"/>
      <c r="BB3" s="828"/>
      <c r="BC3" s="828"/>
      <c r="BD3" s="828"/>
      <c r="BE3" s="828"/>
      <c r="BF3" s="828"/>
      <c r="BG3" s="828"/>
      <c r="BH3" s="828"/>
      <c r="BI3" s="828"/>
      <c r="BJ3" s="828"/>
      <c r="BK3" s="828"/>
      <c r="BL3" s="828"/>
      <c r="BM3" s="828"/>
      <c r="BN3" s="828"/>
      <c r="BO3" s="828"/>
      <c r="BP3" s="828"/>
      <c r="BQ3" s="828"/>
      <c r="BR3" s="828"/>
      <c r="BS3" s="828"/>
      <c r="BT3" s="828"/>
      <c r="BU3" s="828"/>
      <c r="BV3" s="828"/>
      <c r="BW3" s="828"/>
      <c r="BX3" s="828"/>
      <c r="BY3" s="828"/>
      <c r="BZ3" s="828"/>
      <c r="CA3" s="828"/>
      <c r="CB3" s="828"/>
      <c r="CC3" s="828"/>
      <c r="CD3" s="828"/>
      <c r="CE3" s="828"/>
      <c r="CF3" s="828"/>
      <c r="CG3" s="828"/>
      <c r="CH3" s="828"/>
      <c r="CI3" s="828"/>
      <c r="CJ3" s="828"/>
      <c r="CK3" s="828"/>
      <c r="CL3" s="828"/>
      <c r="CM3" s="828"/>
      <c r="CN3" s="828"/>
      <c r="CO3" s="828"/>
      <c r="CP3" s="828"/>
      <c r="CQ3" s="828"/>
      <c r="CR3" s="828"/>
      <c r="CS3" s="828"/>
      <c r="CT3" s="828"/>
      <c r="CU3" s="828"/>
      <c r="CV3" s="828"/>
      <c r="CW3" s="828"/>
      <c r="CX3" s="828"/>
      <c r="CY3" s="828"/>
      <c r="CZ3" s="828"/>
      <c r="DA3" s="828"/>
      <c r="DB3" s="828"/>
      <c r="DC3" s="828"/>
      <c r="DD3" s="828"/>
      <c r="DE3" s="828"/>
      <c r="DF3" s="828"/>
      <c r="DG3" s="828"/>
      <c r="DH3" s="828"/>
      <c r="DI3" s="828"/>
      <c r="DJ3" s="828"/>
      <c r="DK3" s="828"/>
      <c r="DL3" s="828"/>
      <c r="DM3" s="828"/>
      <c r="DN3" s="828"/>
      <c r="DO3" s="828"/>
      <c r="DP3" s="828"/>
      <c r="DQ3" s="828"/>
      <c r="DR3" s="828"/>
      <c r="DS3" s="828"/>
      <c r="DT3" s="828"/>
      <c r="DU3" s="828"/>
      <c r="DV3" s="828"/>
      <c r="DW3" s="828"/>
      <c r="DX3" s="828"/>
      <c r="DY3" s="828"/>
      <c r="DZ3" s="828"/>
      <c r="EA3" s="828"/>
      <c r="EB3" s="828"/>
      <c r="EC3" s="828"/>
      <c r="ED3" s="828"/>
      <c r="EE3" s="828"/>
      <c r="EF3" s="828"/>
      <c r="EG3" s="828"/>
      <c r="EH3" s="828"/>
      <c r="EI3" s="828"/>
      <c r="EJ3" s="828"/>
      <c r="EK3" s="828"/>
      <c r="EL3" s="828"/>
      <c r="EM3" s="828"/>
      <c r="EN3" s="828"/>
      <c r="EO3" s="828"/>
      <c r="EP3" s="828"/>
      <c r="EQ3" s="828"/>
      <c r="ER3" s="828"/>
      <c r="ES3" s="828"/>
      <c r="ET3" s="828"/>
      <c r="EU3" s="828"/>
      <c r="EV3" s="828"/>
      <c r="EW3" s="828"/>
      <c r="EX3" s="828"/>
      <c r="EY3" s="828"/>
    </row>
    <row r="4" spans="1:155" ht="12.75" customHeight="1">
      <c r="B4" s="769"/>
      <c r="C4" s="769"/>
      <c r="D4" s="769"/>
      <c r="E4" s="769"/>
      <c r="F4" s="769"/>
      <c r="G4" s="769"/>
      <c r="H4" s="769"/>
    </row>
    <row r="5" spans="1:155" ht="14.25" customHeight="1">
      <c r="A5" s="812" t="s">
        <v>1330</v>
      </c>
      <c r="H5" s="23" t="s">
        <v>360</v>
      </c>
    </row>
    <row r="6" spans="1:155" s="3" customFormat="1" ht="15" customHeight="1">
      <c r="A6" s="1858" t="s">
        <v>0</v>
      </c>
      <c r="B6" s="1858" t="s">
        <v>1377</v>
      </c>
      <c r="C6" s="1981" t="s">
        <v>1336</v>
      </c>
      <c r="D6" s="1982"/>
      <c r="E6" s="1981" t="s">
        <v>1337</v>
      </c>
      <c r="F6" s="1983"/>
      <c r="G6" s="1981" t="s">
        <v>1715</v>
      </c>
      <c r="H6" s="1983"/>
    </row>
    <row r="7" spans="1:155" s="3" customFormat="1" ht="105">
      <c r="A7" s="1971"/>
      <c r="B7" s="1971"/>
      <c r="C7" s="822" t="s">
        <v>1353</v>
      </c>
      <c r="D7" s="822" t="s">
        <v>1354</v>
      </c>
      <c r="E7" s="822" t="s">
        <v>1353</v>
      </c>
      <c r="F7" s="822" t="s">
        <v>1354</v>
      </c>
      <c r="G7" s="822" t="s">
        <v>1353</v>
      </c>
      <c r="H7" s="822" t="s">
        <v>1354</v>
      </c>
    </row>
    <row r="8" spans="1:155" s="2" customFormat="1">
      <c r="A8" s="13">
        <v>1</v>
      </c>
      <c r="B8" s="13">
        <v>2</v>
      </c>
      <c r="C8" s="13">
        <v>3</v>
      </c>
      <c r="D8" s="13">
        <v>4</v>
      </c>
      <c r="E8" s="13">
        <v>5</v>
      </c>
      <c r="F8" s="13">
        <v>6</v>
      </c>
      <c r="G8" s="13">
        <v>7</v>
      </c>
      <c r="H8" s="13">
        <v>8</v>
      </c>
    </row>
    <row r="9" spans="1:155" s="41" customFormat="1">
      <c r="A9" s="60" t="s">
        <v>89</v>
      </c>
      <c r="B9" s="68" t="s">
        <v>1378</v>
      </c>
      <c r="C9" s="818"/>
      <c r="D9" s="818"/>
      <c r="E9" s="818"/>
      <c r="F9" s="818"/>
      <c r="G9" s="818"/>
      <c r="H9" s="818"/>
    </row>
    <row r="10" spans="1:155" s="832" customFormat="1" ht="15" customHeight="1">
      <c r="A10" s="829" t="s">
        <v>91</v>
      </c>
      <c r="B10" s="830" t="s">
        <v>1379</v>
      </c>
      <c r="C10" s="818"/>
      <c r="D10" s="818">
        <v>125955.85906625999</v>
      </c>
      <c r="E10" s="831"/>
      <c r="F10" s="818">
        <v>137662.18967315598</v>
      </c>
      <c r="G10" s="831"/>
      <c r="H10" s="818">
        <v>150260.95930468291</v>
      </c>
    </row>
    <row r="11" spans="1:155" s="832" customFormat="1" ht="15" customHeight="1">
      <c r="A11" s="829" t="s">
        <v>93</v>
      </c>
      <c r="B11" s="833" t="s">
        <v>1380</v>
      </c>
      <c r="C11" s="818"/>
      <c r="D11" s="818"/>
      <c r="E11" s="834"/>
      <c r="F11" s="834"/>
      <c r="G11" s="834"/>
      <c r="H11" s="834"/>
    </row>
    <row r="12" spans="1:155" s="41" customFormat="1">
      <c r="A12" s="60" t="s">
        <v>95</v>
      </c>
      <c r="B12" s="70" t="s">
        <v>1381</v>
      </c>
      <c r="C12" s="818"/>
      <c r="D12" s="818">
        <v>10311.43672</v>
      </c>
      <c r="E12" s="835"/>
      <c r="F12" s="818">
        <v>10668.3758906</v>
      </c>
      <c r="G12" s="1236"/>
      <c r="H12" s="818">
        <v>11395.988881517002</v>
      </c>
    </row>
    <row r="13" spans="1:155" s="41" customFormat="1">
      <c r="A13" s="60" t="s">
        <v>97</v>
      </c>
      <c r="B13" s="68" t="s">
        <v>1382</v>
      </c>
      <c r="C13" s="818"/>
      <c r="D13" s="818"/>
      <c r="E13" s="835"/>
      <c r="F13" s="834"/>
      <c r="G13" s="835"/>
      <c r="H13" s="834"/>
    </row>
    <row r="14" spans="1:155" s="810" customFormat="1" ht="14.25">
      <c r="A14" s="82" t="s">
        <v>582</v>
      </c>
      <c r="B14" s="808" t="s">
        <v>770</v>
      </c>
      <c r="C14" s="836">
        <f>SUM(C9:C13)</f>
        <v>0</v>
      </c>
      <c r="D14" s="836">
        <f t="shared" ref="D14:H14" si="0">SUM(D9:D13)</f>
        <v>136267.29578625999</v>
      </c>
      <c r="E14" s="836">
        <f t="shared" si="0"/>
        <v>0</v>
      </c>
      <c r="F14" s="836">
        <f t="shared" si="0"/>
        <v>148330.56556375598</v>
      </c>
      <c r="G14" s="836">
        <f t="shared" si="0"/>
        <v>0</v>
      </c>
      <c r="H14" s="836">
        <f t="shared" si="0"/>
        <v>161656.94818619991</v>
      </c>
    </row>
    <row r="16" spans="1:155" s="26" customFormat="1">
      <c r="A16" s="26" t="s">
        <v>88</v>
      </c>
    </row>
    <row r="17" spans="1:153" s="773" customFormat="1">
      <c r="A17" s="819" t="s">
        <v>89</v>
      </c>
      <c r="B17" s="1984" t="s">
        <v>1346</v>
      </c>
      <c r="C17" s="1985"/>
      <c r="D17" s="1985"/>
      <c r="E17" s="1985"/>
      <c r="F17" s="1985"/>
      <c r="G17" s="1985"/>
      <c r="H17" s="1985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819"/>
      <c r="ET17" s="819"/>
      <c r="EU17" s="819"/>
      <c r="EV17" s="819"/>
      <c r="EW17" s="819"/>
    </row>
    <row r="18" spans="1:153" s="773" customFormat="1" ht="30" customHeight="1">
      <c r="A18" s="819" t="s">
        <v>91</v>
      </c>
      <c r="B18" s="1972" t="s">
        <v>1383</v>
      </c>
      <c r="C18" s="1973"/>
      <c r="D18" s="1973"/>
      <c r="E18" s="1973"/>
      <c r="F18" s="1973"/>
      <c r="G18" s="1973"/>
      <c r="H18" s="1973"/>
      <c r="I18" s="819"/>
      <c r="J18" s="819"/>
      <c r="K18" s="819"/>
      <c r="L18" s="819"/>
      <c r="M18" s="819"/>
      <c r="N18" s="819"/>
      <c r="O18" s="819"/>
      <c r="P18" s="819"/>
      <c r="Q18" s="819"/>
      <c r="R18" s="819"/>
      <c r="S18" s="819"/>
      <c r="T18" s="819"/>
      <c r="U18" s="819"/>
      <c r="V18" s="819"/>
      <c r="W18" s="819"/>
      <c r="X18" s="819"/>
      <c r="Y18" s="819"/>
      <c r="Z18" s="819"/>
      <c r="AA18" s="819"/>
      <c r="AB18" s="819"/>
      <c r="AC18" s="819"/>
      <c r="AD18" s="819"/>
      <c r="AE18" s="819"/>
      <c r="AF18" s="819"/>
      <c r="AG18" s="819"/>
      <c r="AH18" s="819"/>
      <c r="AI18" s="819"/>
      <c r="AJ18" s="819"/>
      <c r="AK18" s="819"/>
      <c r="AL18" s="819"/>
      <c r="AM18" s="819"/>
      <c r="AN18" s="819"/>
      <c r="AO18" s="819"/>
      <c r="AP18" s="819"/>
      <c r="AQ18" s="819"/>
      <c r="AR18" s="819"/>
      <c r="AS18" s="819"/>
      <c r="AT18" s="819"/>
      <c r="AU18" s="819"/>
      <c r="AV18" s="819"/>
      <c r="AW18" s="819"/>
      <c r="AX18" s="819"/>
      <c r="AY18" s="819"/>
      <c r="AZ18" s="819"/>
      <c r="BA18" s="819"/>
      <c r="BB18" s="819"/>
      <c r="BC18" s="819"/>
      <c r="BD18" s="819"/>
      <c r="BE18" s="819"/>
      <c r="BF18" s="819"/>
      <c r="BG18" s="819"/>
      <c r="BH18" s="819"/>
      <c r="BI18" s="819"/>
      <c r="BJ18" s="819"/>
      <c r="BK18" s="819"/>
      <c r="BL18" s="819"/>
      <c r="BM18" s="819"/>
      <c r="BN18" s="819"/>
      <c r="BO18" s="819"/>
      <c r="BP18" s="819"/>
      <c r="BQ18" s="819"/>
      <c r="BR18" s="819"/>
      <c r="BS18" s="819"/>
      <c r="BT18" s="819"/>
      <c r="BU18" s="819"/>
      <c r="BV18" s="819"/>
      <c r="BW18" s="819"/>
      <c r="BX18" s="819"/>
      <c r="BY18" s="819"/>
      <c r="BZ18" s="819"/>
      <c r="CA18" s="819"/>
      <c r="CB18" s="819"/>
      <c r="CC18" s="819"/>
      <c r="CD18" s="819"/>
      <c r="CE18" s="819"/>
      <c r="CF18" s="819"/>
      <c r="CG18" s="819"/>
      <c r="CH18" s="819"/>
      <c r="CI18" s="819"/>
      <c r="CJ18" s="819"/>
      <c r="CK18" s="819"/>
      <c r="CL18" s="819"/>
      <c r="CM18" s="819"/>
      <c r="CN18" s="819"/>
      <c r="CO18" s="819"/>
      <c r="CP18" s="819"/>
      <c r="CQ18" s="819"/>
      <c r="CR18" s="819"/>
      <c r="CS18" s="819"/>
      <c r="CT18" s="819"/>
      <c r="CU18" s="819"/>
      <c r="CV18" s="819"/>
      <c r="CW18" s="819"/>
      <c r="CX18" s="819"/>
      <c r="CY18" s="819"/>
      <c r="CZ18" s="819"/>
      <c r="DA18" s="819"/>
      <c r="DB18" s="819"/>
      <c r="DC18" s="819"/>
      <c r="DD18" s="819"/>
      <c r="DE18" s="819"/>
      <c r="DF18" s="819"/>
      <c r="DG18" s="819"/>
      <c r="DH18" s="819"/>
      <c r="DI18" s="819"/>
      <c r="DJ18" s="819"/>
      <c r="DK18" s="819"/>
      <c r="DL18" s="819"/>
      <c r="DM18" s="819"/>
      <c r="DN18" s="819"/>
      <c r="DO18" s="819"/>
      <c r="DP18" s="819"/>
      <c r="DQ18" s="819"/>
      <c r="DR18" s="819"/>
      <c r="DS18" s="819"/>
      <c r="DT18" s="819"/>
      <c r="DU18" s="819"/>
      <c r="DV18" s="819"/>
      <c r="DW18" s="819"/>
      <c r="DX18" s="819"/>
      <c r="DY18" s="819"/>
      <c r="DZ18" s="819"/>
      <c r="EA18" s="819"/>
      <c r="EB18" s="819"/>
      <c r="EC18" s="819"/>
      <c r="ED18" s="819"/>
      <c r="EE18" s="819"/>
      <c r="EF18" s="819"/>
      <c r="EG18" s="819"/>
      <c r="EH18" s="819"/>
      <c r="EI18" s="819"/>
      <c r="EJ18" s="819"/>
      <c r="EK18" s="819"/>
      <c r="EL18" s="819"/>
      <c r="EM18" s="819"/>
      <c r="EN18" s="819"/>
      <c r="EO18" s="819"/>
      <c r="EP18" s="819"/>
      <c r="EQ18" s="819"/>
      <c r="ER18" s="819"/>
    </row>
    <row r="19" spans="1:153" ht="15.75" customHeight="1">
      <c r="A19" s="819" t="s">
        <v>93</v>
      </c>
      <c r="B19" s="1984" t="s">
        <v>1384</v>
      </c>
      <c r="C19" s="1985"/>
      <c r="D19" s="1985"/>
      <c r="E19" s="1985"/>
      <c r="F19" s="1985"/>
      <c r="G19" s="1985"/>
      <c r="H19" s="1985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</row>
  </sheetData>
  <mergeCells count="9">
    <mergeCell ref="B17:H17"/>
    <mergeCell ref="B18:H18"/>
    <mergeCell ref="B19:H19"/>
    <mergeCell ref="A3:H3"/>
    <mergeCell ref="A6:A7"/>
    <mergeCell ref="B6:B7"/>
    <mergeCell ref="C6:D6"/>
    <mergeCell ref="E6:F6"/>
    <mergeCell ref="G6:H6"/>
  </mergeCells>
  <pageMargins left="0.78740157480314965" right="0.51181102362204722" top="0.59055118110236227" bottom="0.39370078740157483" header="0.19685039370078741" footer="0.19685039370078741"/>
  <pageSetup paperSize="9" scale="65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BF55"/>
  <sheetViews>
    <sheetView view="pageBreakPreview" zoomScale="90" zoomScaleNormal="100" zoomScaleSheetLayoutView="90" workbookViewId="0">
      <pane xSplit="2" ySplit="6" topLeftCell="AP7" activePane="bottomRight" state="frozen"/>
      <selection activeCell="BB6" sqref="BB6"/>
      <selection pane="topRight" activeCell="BB6" sqref="BB6"/>
      <selection pane="bottomLeft" activeCell="BB6" sqref="BB6"/>
      <selection pane="bottomRight" activeCell="BG2" sqref="BG2"/>
    </sheetView>
  </sheetViews>
  <sheetFormatPr defaultColWidth="7.85546875" defaultRowHeight="12" customHeight="1"/>
  <cols>
    <col min="1" max="1" width="4.28515625" style="26" customWidth="1"/>
    <col min="2" max="2" width="30.140625" style="26" customWidth="1"/>
    <col min="3" max="6" width="13.85546875" style="26" hidden="1" customWidth="1"/>
    <col min="7" max="10" width="13.7109375" style="26" hidden="1" customWidth="1"/>
    <col min="11" max="35" width="13.7109375" style="26" customWidth="1"/>
    <col min="36" max="36" width="12.28515625" style="26" customWidth="1"/>
    <col min="37" max="37" width="13.7109375" style="26" customWidth="1"/>
    <col min="38" max="38" width="11.85546875" style="26" customWidth="1"/>
    <col min="39" max="41" width="12.140625" style="26" customWidth="1"/>
    <col min="42" max="42" width="11.28515625" style="26" customWidth="1"/>
    <col min="43" max="43" width="12.140625" style="26" customWidth="1"/>
    <col min="44" max="44" width="10.85546875" style="26" customWidth="1"/>
    <col min="45" max="45" width="12.140625" style="26" customWidth="1"/>
    <col min="46" max="58" width="11.7109375" style="26" customWidth="1"/>
    <col min="59" max="16384" width="7.85546875" style="26"/>
  </cols>
  <sheetData>
    <row r="1" spans="1:58" s="24" customFormat="1" ht="18" customHeight="1">
      <c r="A1" s="74" t="s">
        <v>1860</v>
      </c>
      <c r="Z1" s="25" t="s">
        <v>113</v>
      </c>
      <c r="AH1" s="25"/>
      <c r="AL1" s="25"/>
      <c r="AT1" s="25" t="s">
        <v>113</v>
      </c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 t="s">
        <v>113</v>
      </c>
    </row>
    <row r="2" spans="1:58" ht="16.5" customHeight="1">
      <c r="A2" s="589" t="str">
        <f>'3.1'!$A$2</f>
        <v>ПКГО - Комбинированная выработка КТЭЦ</v>
      </c>
    </row>
    <row r="3" spans="1:58" ht="21" customHeight="1">
      <c r="A3" s="1788"/>
      <c r="B3" s="1789"/>
      <c r="C3" s="1789"/>
      <c r="D3" s="1789"/>
      <c r="E3" s="1789"/>
      <c r="F3" s="1789"/>
      <c r="G3" s="1789"/>
      <c r="H3" s="1789"/>
      <c r="I3" s="1789"/>
      <c r="J3" s="1789"/>
      <c r="K3" s="1789"/>
      <c r="L3" s="1789"/>
      <c r="M3" s="1789"/>
      <c r="N3" s="1789"/>
      <c r="O3" s="1560"/>
      <c r="P3" s="1788" t="s">
        <v>114</v>
      </c>
      <c r="Q3" s="1789"/>
      <c r="R3" s="1789"/>
      <c r="S3" s="1789"/>
      <c r="T3" s="1789"/>
      <c r="U3" s="1789"/>
      <c r="V3" s="1789"/>
      <c r="W3" s="1789"/>
      <c r="X3" s="1789"/>
      <c r="Y3" s="1789"/>
      <c r="Z3" s="1789"/>
      <c r="AA3" s="1789"/>
      <c r="AB3" s="1789"/>
      <c r="AC3" s="1789"/>
      <c r="AD3" s="1575"/>
      <c r="AE3" s="1575"/>
      <c r="AF3" s="1575"/>
      <c r="AG3" s="1575"/>
      <c r="AH3" s="1575"/>
      <c r="AI3" s="1560"/>
      <c r="AJ3" s="1560"/>
      <c r="AK3" s="1788" t="s">
        <v>114</v>
      </c>
      <c r="AL3" s="1789"/>
      <c r="AM3" s="1789"/>
      <c r="AN3" s="1789"/>
      <c r="AO3" s="1789"/>
      <c r="AP3" s="1789"/>
      <c r="AQ3" s="1789"/>
      <c r="AR3" s="1789"/>
      <c r="AS3" s="1789"/>
      <c r="AT3" s="1789"/>
      <c r="AU3" s="1789"/>
      <c r="AV3" s="1789"/>
      <c r="AW3" s="1789"/>
      <c r="AX3" s="1789"/>
      <c r="AY3" s="1788" t="s">
        <v>114</v>
      </c>
    </row>
    <row r="4" spans="1:58" s="544" customFormat="1" ht="15" customHeight="1">
      <c r="S4" s="1275"/>
      <c r="T4" s="1275"/>
      <c r="U4" s="1275"/>
      <c r="V4" s="1275"/>
      <c r="W4" s="1275"/>
      <c r="X4" s="1275"/>
      <c r="Y4" s="1275"/>
      <c r="Z4" s="1275"/>
      <c r="AA4" s="1579"/>
      <c r="AB4" s="1579"/>
      <c r="AC4" s="1579"/>
      <c r="AD4" s="1579"/>
      <c r="AE4" s="1579"/>
      <c r="AF4" s="1579"/>
      <c r="AG4" s="1579"/>
      <c r="AH4" s="1579"/>
      <c r="AU4" s="1628"/>
      <c r="AV4" s="1628"/>
      <c r="AW4" s="1628"/>
      <c r="AX4" s="1628"/>
      <c r="AY4" s="1628"/>
      <c r="AZ4" s="1628"/>
      <c r="BA4" s="1628"/>
      <c r="BB4" s="1628"/>
      <c r="BC4" s="1628"/>
      <c r="BD4" s="1628"/>
      <c r="BE4" s="1628"/>
      <c r="BF4" s="1628"/>
    </row>
    <row r="5" spans="1:58" s="31" customFormat="1" ht="27" customHeight="1">
      <c r="A5" s="1873" t="s">
        <v>0</v>
      </c>
      <c r="B5" s="1858" t="s">
        <v>1</v>
      </c>
      <c r="C5" s="1846" t="s">
        <v>1129</v>
      </c>
      <c r="D5" s="1846"/>
      <c r="E5" s="1846"/>
      <c r="F5" s="1834"/>
      <c r="G5" s="1874" t="s">
        <v>1130</v>
      </c>
      <c r="H5" s="1846"/>
      <c r="I5" s="1846"/>
      <c r="J5" s="1875"/>
      <c r="K5" s="1836" t="s">
        <v>1131</v>
      </c>
      <c r="L5" s="1846"/>
      <c r="M5" s="1846"/>
      <c r="N5" s="1834"/>
      <c r="O5" s="1874" t="s">
        <v>1695</v>
      </c>
      <c r="P5" s="1846"/>
      <c r="Q5" s="1846"/>
      <c r="R5" s="1875"/>
      <c r="S5" s="1836" t="s">
        <v>1696</v>
      </c>
      <c r="T5" s="1846"/>
      <c r="U5" s="1846"/>
      <c r="V5" s="1834"/>
      <c r="W5" s="1874" t="s">
        <v>1828</v>
      </c>
      <c r="X5" s="1846"/>
      <c r="Y5" s="1846"/>
      <c r="Z5" s="1875"/>
      <c r="AA5" s="1874" t="s">
        <v>1833</v>
      </c>
      <c r="AB5" s="1846"/>
      <c r="AC5" s="1846"/>
      <c r="AD5" s="1875"/>
      <c r="AE5" s="1844" t="s">
        <v>1861</v>
      </c>
      <c r="AF5" s="1845"/>
      <c r="AG5" s="1845"/>
      <c r="AH5" s="1871"/>
      <c r="AI5" s="1846" t="s">
        <v>1862</v>
      </c>
      <c r="AJ5" s="1846"/>
      <c r="AK5" s="1846"/>
      <c r="AL5" s="1846"/>
      <c r="AM5" s="1846" t="s">
        <v>767</v>
      </c>
      <c r="AN5" s="1846"/>
      <c r="AO5" s="1846"/>
      <c r="AP5" s="1846"/>
      <c r="AQ5" s="1846" t="s">
        <v>766</v>
      </c>
      <c r="AR5" s="1846"/>
      <c r="AS5" s="1846"/>
      <c r="AT5" s="1846"/>
      <c r="AU5" s="1846" t="s">
        <v>1863</v>
      </c>
      <c r="AV5" s="1846"/>
      <c r="AW5" s="1846"/>
      <c r="AX5" s="1846"/>
      <c r="AY5" s="1846" t="s">
        <v>767</v>
      </c>
      <c r="AZ5" s="1846"/>
      <c r="BA5" s="1846"/>
      <c r="BB5" s="1846"/>
      <c r="BC5" s="1846" t="s">
        <v>766</v>
      </c>
      <c r="BD5" s="1846"/>
      <c r="BE5" s="1846"/>
      <c r="BF5" s="1846"/>
    </row>
    <row r="6" spans="1:58" s="31" customFormat="1" ht="141.75" customHeight="1">
      <c r="A6" s="1873"/>
      <c r="B6" s="1860"/>
      <c r="C6" s="543" t="s">
        <v>115</v>
      </c>
      <c r="D6" s="543" t="s">
        <v>116</v>
      </c>
      <c r="E6" s="543" t="s">
        <v>117</v>
      </c>
      <c r="F6" s="1286" t="s">
        <v>118</v>
      </c>
      <c r="G6" s="1329" t="s">
        <v>115</v>
      </c>
      <c r="H6" s="1288" t="s">
        <v>116</v>
      </c>
      <c r="I6" s="1288" t="s">
        <v>117</v>
      </c>
      <c r="J6" s="1320" t="s">
        <v>118</v>
      </c>
      <c r="K6" s="1287" t="s">
        <v>115</v>
      </c>
      <c r="L6" s="543" t="s">
        <v>116</v>
      </c>
      <c r="M6" s="543" t="s">
        <v>117</v>
      </c>
      <c r="N6" s="1286" t="s">
        <v>118</v>
      </c>
      <c r="O6" s="1329" t="s">
        <v>115</v>
      </c>
      <c r="P6" s="1288" t="s">
        <v>116</v>
      </c>
      <c r="Q6" s="1288" t="s">
        <v>117</v>
      </c>
      <c r="R6" s="1320" t="s">
        <v>118</v>
      </c>
      <c r="S6" s="1287" t="s">
        <v>115</v>
      </c>
      <c r="T6" s="1274" t="s">
        <v>116</v>
      </c>
      <c r="U6" s="1274" t="s">
        <v>117</v>
      </c>
      <c r="V6" s="1286" t="s">
        <v>118</v>
      </c>
      <c r="W6" s="1329" t="s">
        <v>115</v>
      </c>
      <c r="X6" s="1288" t="s">
        <v>116</v>
      </c>
      <c r="Y6" s="1288" t="s">
        <v>117</v>
      </c>
      <c r="Z6" s="1320" t="s">
        <v>118</v>
      </c>
      <c r="AA6" s="1577" t="s">
        <v>115</v>
      </c>
      <c r="AB6" s="1574" t="s">
        <v>116</v>
      </c>
      <c r="AC6" s="1574" t="s">
        <v>117</v>
      </c>
      <c r="AD6" s="1578" t="s">
        <v>118</v>
      </c>
      <c r="AE6" s="1577" t="s">
        <v>115</v>
      </c>
      <c r="AF6" s="1574" t="s">
        <v>116</v>
      </c>
      <c r="AG6" s="1574" t="s">
        <v>117</v>
      </c>
      <c r="AH6" s="1578" t="s">
        <v>118</v>
      </c>
      <c r="AI6" s="1287" t="s">
        <v>115</v>
      </c>
      <c r="AJ6" s="543" t="s">
        <v>116</v>
      </c>
      <c r="AK6" s="543" t="s">
        <v>117</v>
      </c>
      <c r="AL6" s="1286" t="s">
        <v>118</v>
      </c>
      <c r="AM6" s="1329" t="s">
        <v>115</v>
      </c>
      <c r="AN6" s="1288" t="s">
        <v>116</v>
      </c>
      <c r="AO6" s="1288" t="s">
        <v>117</v>
      </c>
      <c r="AP6" s="1320" t="s">
        <v>118</v>
      </c>
      <c r="AQ6" s="1287" t="s">
        <v>115</v>
      </c>
      <c r="AR6" s="543" t="s">
        <v>116</v>
      </c>
      <c r="AS6" s="543" t="s">
        <v>117</v>
      </c>
      <c r="AT6" s="543" t="s">
        <v>118</v>
      </c>
      <c r="AU6" s="1623" t="s">
        <v>115</v>
      </c>
      <c r="AV6" s="1619" t="s">
        <v>116</v>
      </c>
      <c r="AW6" s="1619" t="s">
        <v>117</v>
      </c>
      <c r="AX6" s="1621" t="s">
        <v>118</v>
      </c>
      <c r="AY6" s="1626" t="s">
        <v>115</v>
      </c>
      <c r="AZ6" s="1619" t="s">
        <v>116</v>
      </c>
      <c r="BA6" s="1619" t="s">
        <v>117</v>
      </c>
      <c r="BB6" s="1627" t="s">
        <v>118</v>
      </c>
      <c r="BC6" s="1623" t="s">
        <v>115</v>
      </c>
      <c r="BD6" s="1619" t="s">
        <v>116</v>
      </c>
      <c r="BE6" s="1619" t="s">
        <v>117</v>
      </c>
      <c r="BF6" s="1619" t="s">
        <v>118</v>
      </c>
    </row>
    <row r="7" spans="1:58" s="53" customFormat="1" ht="13.5" customHeight="1">
      <c r="A7" s="8">
        <v>1</v>
      </c>
      <c r="B7" s="8">
        <v>2</v>
      </c>
      <c r="C7" s="8">
        <v>3</v>
      </c>
      <c r="D7" s="8">
        <v>4</v>
      </c>
      <c r="E7" s="8">
        <v>5</v>
      </c>
      <c r="F7" s="91">
        <v>6</v>
      </c>
      <c r="G7" s="1330">
        <v>7</v>
      </c>
      <c r="H7" s="54">
        <v>8</v>
      </c>
      <c r="I7" s="54">
        <v>9</v>
      </c>
      <c r="J7" s="1321">
        <v>10</v>
      </c>
      <c r="K7" s="8">
        <v>3</v>
      </c>
      <c r="L7" s="8">
        <v>4</v>
      </c>
      <c r="M7" s="8">
        <v>5</v>
      </c>
      <c r="N7" s="91">
        <v>6</v>
      </c>
      <c r="O7" s="1330">
        <v>7</v>
      </c>
      <c r="P7" s="54">
        <v>8</v>
      </c>
      <c r="Q7" s="54">
        <v>9</v>
      </c>
      <c r="R7" s="1321">
        <v>10</v>
      </c>
      <c r="S7" s="1314">
        <v>11</v>
      </c>
      <c r="T7" s="54">
        <v>12</v>
      </c>
      <c r="U7" s="54">
        <v>13</v>
      </c>
      <c r="V7" s="1339">
        <v>14</v>
      </c>
      <c r="W7" s="1330">
        <v>15</v>
      </c>
      <c r="X7" s="54">
        <v>16</v>
      </c>
      <c r="Y7" s="54">
        <v>17</v>
      </c>
      <c r="Z7" s="1321">
        <v>18</v>
      </c>
      <c r="AA7" s="1314">
        <v>19</v>
      </c>
      <c r="AB7" s="54">
        <v>20</v>
      </c>
      <c r="AC7" s="54">
        <v>21</v>
      </c>
      <c r="AD7" s="1339">
        <v>22</v>
      </c>
      <c r="AE7" s="1330">
        <v>23</v>
      </c>
      <c r="AF7" s="54">
        <v>24</v>
      </c>
      <c r="AG7" s="54">
        <v>25</v>
      </c>
      <c r="AH7" s="1321">
        <v>26</v>
      </c>
      <c r="AI7" s="1330">
        <v>27</v>
      </c>
      <c r="AJ7" s="54">
        <v>28</v>
      </c>
      <c r="AK7" s="54">
        <v>29</v>
      </c>
      <c r="AL7" s="1321">
        <v>30</v>
      </c>
      <c r="AM7" s="1330">
        <v>31</v>
      </c>
      <c r="AN7" s="54">
        <v>32</v>
      </c>
      <c r="AO7" s="54">
        <v>33</v>
      </c>
      <c r="AP7" s="1321">
        <v>34</v>
      </c>
      <c r="AQ7" s="1314">
        <v>35</v>
      </c>
      <c r="AR7" s="54">
        <v>36</v>
      </c>
      <c r="AS7" s="54">
        <v>37</v>
      </c>
      <c r="AT7" s="1339">
        <v>38</v>
      </c>
      <c r="AU7" s="1330">
        <v>39</v>
      </c>
      <c r="AV7" s="54">
        <v>40</v>
      </c>
      <c r="AW7" s="54">
        <v>41</v>
      </c>
      <c r="AX7" s="1321">
        <v>42</v>
      </c>
      <c r="AY7" s="1314">
        <v>43</v>
      </c>
      <c r="AZ7" s="54">
        <v>44</v>
      </c>
      <c r="BA7" s="54">
        <v>45</v>
      </c>
      <c r="BB7" s="54">
        <v>46</v>
      </c>
      <c r="BC7" s="1314">
        <v>47</v>
      </c>
      <c r="BD7" s="54">
        <v>48</v>
      </c>
      <c r="BE7" s="54">
        <v>49</v>
      </c>
      <c r="BF7" s="1339">
        <v>50</v>
      </c>
    </row>
    <row r="8" spans="1:58" s="77" customFormat="1" ht="32.25" customHeight="1">
      <c r="A8" s="119">
        <v>1</v>
      </c>
      <c r="B8" s="116" t="s">
        <v>119</v>
      </c>
      <c r="C8" s="118">
        <f>C9+C13+C18</f>
        <v>320.62599999999998</v>
      </c>
      <c r="D8" s="118">
        <f t="shared" ref="D8:AP8" si="0">D9+D13+D18</f>
        <v>0</v>
      </c>
      <c r="E8" s="118">
        <f t="shared" si="0"/>
        <v>922.65</v>
      </c>
      <c r="F8" s="1340">
        <f t="shared" si="0"/>
        <v>0</v>
      </c>
      <c r="G8" s="1331">
        <f t="shared" si="0"/>
        <v>320.62599999999998</v>
      </c>
      <c r="H8" s="118">
        <f t="shared" si="0"/>
        <v>0</v>
      </c>
      <c r="I8" s="118">
        <f t="shared" si="0"/>
        <v>907.11299999999994</v>
      </c>
      <c r="J8" s="1322">
        <f t="shared" si="0"/>
        <v>0</v>
      </c>
      <c r="K8" s="1315">
        <v>321.22300000000001</v>
      </c>
      <c r="L8" s="118">
        <v>0</v>
      </c>
      <c r="M8" s="118">
        <v>911.197</v>
      </c>
      <c r="N8" s="1340">
        <v>0</v>
      </c>
      <c r="O8" s="1331">
        <v>307.87799999999999</v>
      </c>
      <c r="P8" s="118">
        <v>0</v>
      </c>
      <c r="Q8" s="118">
        <v>858.0397999999999</v>
      </c>
      <c r="R8" s="1322">
        <v>0</v>
      </c>
      <c r="S8" s="1315">
        <v>320.62599999999998</v>
      </c>
      <c r="T8" s="118">
        <v>0</v>
      </c>
      <c r="U8" s="118">
        <v>904.44797589999962</v>
      </c>
      <c r="V8" s="1340">
        <v>0</v>
      </c>
      <c r="W8" s="1331">
        <v>307.87799999999999</v>
      </c>
      <c r="X8" s="118">
        <v>0</v>
      </c>
      <c r="Y8" s="118">
        <v>836.25261320499999</v>
      </c>
      <c r="Z8" s="1322">
        <v>0</v>
      </c>
      <c r="AA8" s="1331">
        <v>307.87799999999999</v>
      </c>
      <c r="AB8" s="118"/>
      <c r="AC8" s="118">
        <v>863.0451347406763</v>
      </c>
      <c r="AD8" s="1322"/>
      <c r="AE8" s="1331">
        <v>307.87799999999999</v>
      </c>
      <c r="AF8" s="118">
        <v>0</v>
      </c>
      <c r="AG8" s="118">
        <v>860.72499999999991</v>
      </c>
      <c r="AH8" s="1322">
        <v>0</v>
      </c>
      <c r="AI8" s="1315">
        <v>307.87799999999999</v>
      </c>
      <c r="AJ8" s="118">
        <v>0</v>
      </c>
      <c r="AK8" s="118">
        <v>860.72499999999991</v>
      </c>
      <c r="AL8" s="1340">
        <v>0</v>
      </c>
      <c r="AM8" s="1331">
        <v>307.87799999999999</v>
      </c>
      <c r="AN8" s="118">
        <v>0</v>
      </c>
      <c r="AO8" s="118">
        <v>523.05800000000011</v>
      </c>
      <c r="AP8" s="1322">
        <v>0</v>
      </c>
      <c r="AQ8" s="1331">
        <v>307.87799999999999</v>
      </c>
      <c r="AR8" s="118">
        <v>0</v>
      </c>
      <c r="AS8" s="118">
        <v>337.66699999999992</v>
      </c>
      <c r="AT8" s="1322">
        <v>0</v>
      </c>
      <c r="AU8" s="1315">
        <v>307.87799999999999</v>
      </c>
      <c r="AV8" s="118">
        <v>0</v>
      </c>
      <c r="AW8" s="118">
        <v>860.72499999999991</v>
      </c>
      <c r="AX8" s="1340">
        <v>0</v>
      </c>
      <c r="AY8" s="1331">
        <v>307.87799999999999</v>
      </c>
      <c r="AZ8" s="118">
        <v>0</v>
      </c>
      <c r="BA8" s="118">
        <v>523.05800000000011</v>
      </c>
      <c r="BB8" s="1322">
        <v>0</v>
      </c>
      <c r="BC8" s="1331">
        <v>307.87799999999999</v>
      </c>
      <c r="BD8" s="118">
        <v>0</v>
      </c>
      <c r="BE8" s="118">
        <v>337.66699999999992</v>
      </c>
      <c r="BF8" s="1322">
        <v>0</v>
      </c>
    </row>
    <row r="9" spans="1:58" s="78" customFormat="1" ht="14.25">
      <c r="A9" s="86"/>
      <c r="B9" s="121" t="s">
        <v>120</v>
      </c>
      <c r="C9" s="122">
        <f t="shared" ref="C9:N9" si="1">C20+C31+C42</f>
        <v>320.18799999999999</v>
      </c>
      <c r="D9" s="122">
        <f t="shared" si="1"/>
        <v>0</v>
      </c>
      <c r="E9" s="122">
        <f t="shared" si="1"/>
        <v>920.26800000000003</v>
      </c>
      <c r="F9" s="1341">
        <f t="shared" si="1"/>
        <v>0</v>
      </c>
      <c r="G9" s="1332">
        <f t="shared" si="1"/>
        <v>320.18799999999999</v>
      </c>
      <c r="H9" s="122">
        <f t="shared" si="1"/>
        <v>0</v>
      </c>
      <c r="I9" s="122">
        <f t="shared" si="1"/>
        <v>904.42299999999989</v>
      </c>
      <c r="J9" s="1323">
        <f t="shared" si="1"/>
        <v>0</v>
      </c>
      <c r="K9" s="1316">
        <v>320.78500000000003</v>
      </c>
      <c r="L9" s="122">
        <v>0</v>
      </c>
      <c r="M9" s="122">
        <v>908.81500000000005</v>
      </c>
      <c r="N9" s="1341">
        <v>0</v>
      </c>
      <c r="O9" s="1332">
        <v>307.43700000000001</v>
      </c>
      <c r="P9" s="122">
        <v>0</v>
      </c>
      <c r="Q9" s="122">
        <v>855.15879999999993</v>
      </c>
      <c r="R9" s="1323">
        <v>0</v>
      </c>
      <c r="S9" s="1316">
        <v>320.18799999999999</v>
      </c>
      <c r="T9" s="122">
        <v>0</v>
      </c>
      <c r="U9" s="122">
        <v>902.06597589999967</v>
      </c>
      <c r="V9" s="1341">
        <v>0</v>
      </c>
      <c r="W9" s="1332">
        <v>307.43700000000001</v>
      </c>
      <c r="X9" s="122">
        <v>0</v>
      </c>
      <c r="Y9" s="122">
        <v>833.33211320500004</v>
      </c>
      <c r="Z9" s="1323">
        <v>0</v>
      </c>
      <c r="AA9" s="1332">
        <v>307.43700000000001</v>
      </c>
      <c r="AB9" s="122"/>
      <c r="AC9" s="122">
        <v>860.24862003455667</v>
      </c>
      <c r="AD9" s="1323"/>
      <c r="AE9" s="1332">
        <v>307.43700000000001</v>
      </c>
      <c r="AF9" s="122">
        <v>0</v>
      </c>
      <c r="AG9" s="122">
        <v>857.82499999999993</v>
      </c>
      <c r="AH9" s="1323">
        <v>0</v>
      </c>
      <c r="AI9" s="1316">
        <v>307.43700000000001</v>
      </c>
      <c r="AJ9" s="122">
        <v>0</v>
      </c>
      <c r="AK9" s="122">
        <v>857.82499999999993</v>
      </c>
      <c r="AL9" s="1341">
        <v>0</v>
      </c>
      <c r="AM9" s="1332">
        <v>307.43700000000001</v>
      </c>
      <c r="AN9" s="122">
        <v>0</v>
      </c>
      <c r="AO9" s="122">
        <v>521.61800000000005</v>
      </c>
      <c r="AP9" s="1323">
        <v>0</v>
      </c>
      <c r="AQ9" s="1332">
        <v>307.43700000000001</v>
      </c>
      <c r="AR9" s="122">
        <v>0</v>
      </c>
      <c r="AS9" s="122">
        <v>336.20699999999994</v>
      </c>
      <c r="AT9" s="1323">
        <v>0</v>
      </c>
      <c r="AU9" s="1316">
        <v>307.43700000000001</v>
      </c>
      <c r="AV9" s="122">
        <v>0</v>
      </c>
      <c r="AW9" s="122">
        <v>857.82499999999993</v>
      </c>
      <c r="AX9" s="1341">
        <v>0</v>
      </c>
      <c r="AY9" s="1332">
        <v>307.43700000000001</v>
      </c>
      <c r="AZ9" s="122">
        <v>0</v>
      </c>
      <c r="BA9" s="122">
        <v>521.61800000000005</v>
      </c>
      <c r="BB9" s="1323">
        <v>0</v>
      </c>
      <c r="BC9" s="1332">
        <v>307.43700000000001</v>
      </c>
      <c r="BD9" s="122">
        <v>0</v>
      </c>
      <c r="BE9" s="122">
        <v>336.20699999999994</v>
      </c>
      <c r="BF9" s="1323">
        <v>0</v>
      </c>
    </row>
    <row r="10" spans="1:58" s="1280" customFormat="1" ht="15">
      <c r="A10" s="1278"/>
      <c r="B10" s="1281" t="s">
        <v>1697</v>
      </c>
      <c r="C10" s="1279"/>
      <c r="D10" s="1279"/>
      <c r="E10" s="1279"/>
      <c r="F10" s="1342"/>
      <c r="G10" s="1348"/>
      <c r="H10" s="1279"/>
      <c r="I10" s="1279"/>
      <c r="J10" s="1338"/>
      <c r="K10" s="1347"/>
      <c r="L10" s="1279"/>
      <c r="M10" s="1279"/>
      <c r="N10" s="1342"/>
      <c r="O10" s="1333">
        <v>1.6659999999999999</v>
      </c>
      <c r="P10" s="616">
        <v>0</v>
      </c>
      <c r="Q10" s="616">
        <v>4.3281919999999996</v>
      </c>
      <c r="R10" s="1324">
        <v>0</v>
      </c>
      <c r="S10" s="1347"/>
      <c r="T10" s="1279"/>
      <c r="U10" s="1279"/>
      <c r="V10" s="1342"/>
      <c r="W10" s="1333">
        <v>1.6659999999999999</v>
      </c>
      <c r="X10" s="616">
        <v>0</v>
      </c>
      <c r="Y10" s="616">
        <v>4.4152000000000005</v>
      </c>
      <c r="Z10" s="1324">
        <v>0</v>
      </c>
      <c r="AA10" s="1333">
        <v>1.6659999999999999</v>
      </c>
      <c r="AB10" s="616"/>
      <c r="AC10" s="616">
        <v>4.4268229009579709</v>
      </c>
      <c r="AD10" s="1324"/>
      <c r="AE10" s="1333">
        <v>1.6659999999999999</v>
      </c>
      <c r="AF10" s="616">
        <v>0</v>
      </c>
      <c r="AG10" s="616">
        <v>4.4000000000000004</v>
      </c>
      <c r="AH10" s="1324">
        <v>0</v>
      </c>
      <c r="AI10" s="1317">
        <v>1.6659999999999999</v>
      </c>
      <c r="AJ10" s="616">
        <v>0</v>
      </c>
      <c r="AK10" s="616">
        <v>4.4000000000000004</v>
      </c>
      <c r="AL10" s="1345">
        <v>0</v>
      </c>
      <c r="AM10" s="1333">
        <v>1.6659999999999999</v>
      </c>
      <c r="AN10" s="616">
        <v>0</v>
      </c>
      <c r="AO10" s="616">
        <v>2.9899999999999998</v>
      </c>
      <c r="AP10" s="1324">
        <v>0</v>
      </c>
      <c r="AQ10" s="1333">
        <v>1.6659999999999999</v>
      </c>
      <c r="AR10" s="616">
        <v>0</v>
      </c>
      <c r="AS10" s="616">
        <v>1.41</v>
      </c>
      <c r="AT10" s="1324">
        <v>0</v>
      </c>
      <c r="AU10" s="1317">
        <v>1.6659999999999999</v>
      </c>
      <c r="AV10" s="616">
        <v>0</v>
      </c>
      <c r="AW10" s="616">
        <v>4.4000000000000004</v>
      </c>
      <c r="AX10" s="1345">
        <v>0</v>
      </c>
      <c r="AY10" s="1333">
        <v>1.6659999999999999</v>
      </c>
      <c r="AZ10" s="616">
        <v>0</v>
      </c>
      <c r="BA10" s="616">
        <v>2.9899999999999998</v>
      </c>
      <c r="BB10" s="1324">
        <v>0</v>
      </c>
      <c r="BC10" s="1333">
        <v>1.6659999999999999</v>
      </c>
      <c r="BD10" s="616">
        <v>0</v>
      </c>
      <c r="BE10" s="616">
        <v>1.41</v>
      </c>
      <c r="BF10" s="1324">
        <v>0</v>
      </c>
    </row>
    <row r="11" spans="1:58" s="1280" customFormat="1" ht="15">
      <c r="A11" s="1278"/>
      <c r="B11" s="1281" t="s">
        <v>1512</v>
      </c>
      <c r="C11" s="1279"/>
      <c r="D11" s="1279"/>
      <c r="E11" s="1279"/>
      <c r="F11" s="1342"/>
      <c r="G11" s="1348"/>
      <c r="H11" s="1279"/>
      <c r="I11" s="1279"/>
      <c r="J11" s="1338"/>
      <c r="K11" s="1347"/>
      <c r="L11" s="1279"/>
      <c r="M11" s="1279"/>
      <c r="N11" s="1342"/>
      <c r="O11" s="1333">
        <v>21.588000000000001</v>
      </c>
      <c r="P11" s="616">
        <v>0</v>
      </c>
      <c r="Q11" s="616">
        <v>42.712244296240385</v>
      </c>
      <c r="R11" s="1324">
        <v>0</v>
      </c>
      <c r="S11" s="1347"/>
      <c r="T11" s="1279"/>
      <c r="U11" s="1279"/>
      <c r="V11" s="1342"/>
      <c r="W11" s="1333">
        <v>21.588000000000001</v>
      </c>
      <c r="X11" s="616">
        <v>0</v>
      </c>
      <c r="Y11" s="616">
        <v>45.569000000000003</v>
      </c>
      <c r="Z11" s="1324">
        <v>0</v>
      </c>
      <c r="AA11" s="1333">
        <v>21.588000000000001</v>
      </c>
      <c r="AB11" s="616"/>
      <c r="AC11" s="616">
        <v>39.639662252890503</v>
      </c>
      <c r="AD11" s="1324"/>
      <c r="AE11" s="1333">
        <v>21.588000000000001</v>
      </c>
      <c r="AF11" s="616">
        <v>0</v>
      </c>
      <c r="AG11" s="616">
        <v>41.674999999999997</v>
      </c>
      <c r="AH11" s="1324">
        <v>0</v>
      </c>
      <c r="AI11" s="1317">
        <v>21.588000000000001</v>
      </c>
      <c r="AJ11" s="616">
        <v>0</v>
      </c>
      <c r="AK11" s="616">
        <v>41.674999999999997</v>
      </c>
      <c r="AL11" s="1345">
        <v>0</v>
      </c>
      <c r="AM11" s="1333">
        <v>21.588000000000001</v>
      </c>
      <c r="AN11" s="616">
        <v>0</v>
      </c>
      <c r="AO11" s="616">
        <v>26.617000000000001</v>
      </c>
      <c r="AP11" s="1324">
        <v>0</v>
      </c>
      <c r="AQ11" s="1333">
        <v>21.588000000000001</v>
      </c>
      <c r="AR11" s="616">
        <v>0</v>
      </c>
      <c r="AS11" s="616">
        <v>15.058</v>
      </c>
      <c r="AT11" s="1324">
        <v>0</v>
      </c>
      <c r="AU11" s="1317">
        <v>21.588000000000001</v>
      </c>
      <c r="AV11" s="616">
        <v>0</v>
      </c>
      <c r="AW11" s="616">
        <v>41.674999999999997</v>
      </c>
      <c r="AX11" s="1345">
        <v>0</v>
      </c>
      <c r="AY11" s="1333">
        <v>21.588000000000001</v>
      </c>
      <c r="AZ11" s="616">
        <v>0</v>
      </c>
      <c r="BA11" s="616">
        <v>26.617000000000001</v>
      </c>
      <c r="BB11" s="1324">
        <v>0</v>
      </c>
      <c r="BC11" s="1333">
        <v>21.588000000000001</v>
      </c>
      <c r="BD11" s="616">
        <v>0</v>
      </c>
      <c r="BE11" s="616">
        <v>15.058</v>
      </c>
      <c r="BF11" s="1324">
        <v>0</v>
      </c>
    </row>
    <row r="12" spans="1:58" s="1280" customFormat="1" ht="15">
      <c r="A12" s="1278"/>
      <c r="B12" s="1281" t="s">
        <v>1513</v>
      </c>
      <c r="C12" s="1279"/>
      <c r="D12" s="1279"/>
      <c r="E12" s="1279"/>
      <c r="F12" s="1342"/>
      <c r="G12" s="1348"/>
      <c r="H12" s="1279"/>
      <c r="I12" s="1279"/>
      <c r="J12" s="1338"/>
      <c r="K12" s="1347"/>
      <c r="L12" s="1279"/>
      <c r="M12" s="1279"/>
      <c r="N12" s="1342"/>
      <c r="O12" s="1333">
        <v>284.18299999999999</v>
      </c>
      <c r="P12" s="616">
        <v>0</v>
      </c>
      <c r="Q12" s="616">
        <v>808.11836370375954</v>
      </c>
      <c r="R12" s="1324">
        <v>0</v>
      </c>
      <c r="S12" s="1347"/>
      <c r="T12" s="1279"/>
      <c r="U12" s="1279"/>
      <c r="V12" s="1342"/>
      <c r="W12" s="1333">
        <v>284.18299999999999</v>
      </c>
      <c r="X12" s="616">
        <v>0</v>
      </c>
      <c r="Y12" s="616">
        <v>783.34791320500005</v>
      </c>
      <c r="Z12" s="1324">
        <v>0</v>
      </c>
      <c r="AA12" s="1333">
        <v>284.18299999999999</v>
      </c>
      <c r="AB12" s="616"/>
      <c r="AC12" s="616">
        <v>816.18213488070819</v>
      </c>
      <c r="AD12" s="1324"/>
      <c r="AE12" s="1333">
        <v>284.18299999999999</v>
      </c>
      <c r="AF12" s="616">
        <v>0</v>
      </c>
      <c r="AG12" s="616">
        <v>811.75</v>
      </c>
      <c r="AH12" s="1324">
        <v>0</v>
      </c>
      <c r="AI12" s="1317">
        <v>284.18299999999999</v>
      </c>
      <c r="AJ12" s="616">
        <v>0</v>
      </c>
      <c r="AK12" s="616">
        <v>811.75</v>
      </c>
      <c r="AL12" s="1345">
        <v>0</v>
      </c>
      <c r="AM12" s="1333">
        <v>284.18299999999999</v>
      </c>
      <c r="AN12" s="616">
        <v>0</v>
      </c>
      <c r="AO12" s="616">
        <v>492.01100000000002</v>
      </c>
      <c r="AP12" s="1324">
        <v>0</v>
      </c>
      <c r="AQ12" s="1333">
        <v>284.18299999999999</v>
      </c>
      <c r="AR12" s="616">
        <v>0</v>
      </c>
      <c r="AS12" s="616">
        <v>319.73899999999998</v>
      </c>
      <c r="AT12" s="1324">
        <v>0</v>
      </c>
      <c r="AU12" s="1317">
        <v>284.18299999999999</v>
      </c>
      <c r="AV12" s="616">
        <v>0</v>
      </c>
      <c r="AW12" s="616">
        <v>811.75</v>
      </c>
      <c r="AX12" s="1345">
        <v>0</v>
      </c>
      <c r="AY12" s="1333">
        <v>284.18299999999999</v>
      </c>
      <c r="AZ12" s="616">
        <v>0</v>
      </c>
      <c r="BA12" s="616">
        <v>492.01100000000002</v>
      </c>
      <c r="BB12" s="1324">
        <v>0</v>
      </c>
      <c r="BC12" s="1333">
        <v>284.18299999999999</v>
      </c>
      <c r="BD12" s="616">
        <v>0</v>
      </c>
      <c r="BE12" s="616">
        <v>319.73899999999998</v>
      </c>
      <c r="BF12" s="1324">
        <v>0</v>
      </c>
    </row>
    <row r="13" spans="1:58" s="544" customFormat="1" ht="15" customHeight="1">
      <c r="A13" s="55"/>
      <c r="B13" s="57" t="s">
        <v>121</v>
      </c>
      <c r="C13" s="50">
        <f t="shared" ref="C13:AP13" si="2">C24+C35+C46</f>
        <v>0.438</v>
      </c>
      <c r="D13" s="50">
        <f t="shared" si="2"/>
        <v>0</v>
      </c>
      <c r="E13" s="50">
        <f t="shared" si="2"/>
        <v>2.3820000000000001</v>
      </c>
      <c r="F13" s="1343">
        <f t="shared" si="2"/>
        <v>0</v>
      </c>
      <c r="G13" s="1334">
        <f t="shared" si="2"/>
        <v>0.438</v>
      </c>
      <c r="H13" s="50">
        <f t="shared" si="2"/>
        <v>0</v>
      </c>
      <c r="I13" s="50">
        <f t="shared" si="2"/>
        <v>2.69</v>
      </c>
      <c r="J13" s="1325">
        <f t="shared" si="2"/>
        <v>0</v>
      </c>
      <c r="K13" s="1318">
        <v>0.438</v>
      </c>
      <c r="L13" s="50">
        <v>0</v>
      </c>
      <c r="M13" s="50">
        <v>2.3820000000000001</v>
      </c>
      <c r="N13" s="1343">
        <v>0</v>
      </c>
      <c r="O13" s="1334">
        <v>0.441</v>
      </c>
      <c r="P13" s="50">
        <v>0</v>
      </c>
      <c r="Q13" s="50">
        <v>2.8809999999999998</v>
      </c>
      <c r="R13" s="1325">
        <v>0</v>
      </c>
      <c r="S13" s="1318">
        <v>0.438</v>
      </c>
      <c r="T13" s="50">
        <v>0</v>
      </c>
      <c r="U13" s="50">
        <v>2.3820000000000014</v>
      </c>
      <c r="V13" s="1343">
        <v>0</v>
      </c>
      <c r="W13" s="1334">
        <v>0.441</v>
      </c>
      <c r="X13" s="50">
        <v>0</v>
      </c>
      <c r="Y13" s="876">
        <v>2.9205000000000001</v>
      </c>
      <c r="Z13" s="1325">
        <v>0</v>
      </c>
      <c r="AA13" s="1334">
        <v>0.441</v>
      </c>
      <c r="AB13" s="50"/>
      <c r="AC13" s="876">
        <v>2.7965147061196607</v>
      </c>
      <c r="AD13" s="1325"/>
      <c r="AE13" s="1334">
        <v>0.441</v>
      </c>
      <c r="AF13" s="50">
        <v>0</v>
      </c>
      <c r="AG13" s="50">
        <v>2.9</v>
      </c>
      <c r="AH13" s="1325">
        <v>0</v>
      </c>
      <c r="AI13" s="1318">
        <v>0.441</v>
      </c>
      <c r="AJ13" s="50">
        <v>0</v>
      </c>
      <c r="AK13" s="50">
        <v>2.9</v>
      </c>
      <c r="AL13" s="1343">
        <v>0</v>
      </c>
      <c r="AM13" s="1334">
        <v>0.441</v>
      </c>
      <c r="AN13" s="50">
        <v>0</v>
      </c>
      <c r="AO13" s="50">
        <v>1.44</v>
      </c>
      <c r="AP13" s="1325">
        <v>0</v>
      </c>
      <c r="AQ13" s="1334">
        <v>0.441</v>
      </c>
      <c r="AR13" s="50">
        <v>0</v>
      </c>
      <c r="AS13" s="50">
        <v>1.46</v>
      </c>
      <c r="AT13" s="1325">
        <v>0</v>
      </c>
      <c r="AU13" s="1318">
        <v>0.441</v>
      </c>
      <c r="AV13" s="50">
        <v>0</v>
      </c>
      <c r="AW13" s="50">
        <v>2.9</v>
      </c>
      <c r="AX13" s="1343">
        <v>0</v>
      </c>
      <c r="AY13" s="1334">
        <v>0.441</v>
      </c>
      <c r="AZ13" s="50">
        <v>0</v>
      </c>
      <c r="BA13" s="50">
        <v>1.44</v>
      </c>
      <c r="BB13" s="1325">
        <v>0</v>
      </c>
      <c r="BC13" s="1334">
        <v>0.441</v>
      </c>
      <c r="BD13" s="50">
        <v>0</v>
      </c>
      <c r="BE13" s="50">
        <v>1.46</v>
      </c>
      <c r="BF13" s="1325">
        <v>0</v>
      </c>
    </row>
    <row r="14" spans="1:58" s="544" customFormat="1" ht="15" customHeight="1">
      <c r="A14" s="55"/>
      <c r="B14" s="57" t="s">
        <v>122</v>
      </c>
      <c r="C14" s="50">
        <f t="shared" ref="C14:R14" si="3">C25+C36+C47</f>
        <v>0</v>
      </c>
      <c r="D14" s="50">
        <f t="shared" si="3"/>
        <v>0</v>
      </c>
      <c r="E14" s="50">
        <f t="shared" si="3"/>
        <v>0</v>
      </c>
      <c r="F14" s="1343">
        <f t="shared" si="3"/>
        <v>0</v>
      </c>
      <c r="G14" s="1334">
        <f t="shared" si="3"/>
        <v>0</v>
      </c>
      <c r="H14" s="50">
        <f t="shared" si="3"/>
        <v>0</v>
      </c>
      <c r="I14" s="50">
        <f t="shared" si="3"/>
        <v>0</v>
      </c>
      <c r="J14" s="1325">
        <f t="shared" si="3"/>
        <v>0</v>
      </c>
      <c r="K14" s="1318">
        <v>0</v>
      </c>
      <c r="L14" s="50">
        <v>0</v>
      </c>
      <c r="M14" s="50">
        <v>0</v>
      </c>
      <c r="N14" s="1343">
        <v>0</v>
      </c>
      <c r="O14" s="1334">
        <v>0</v>
      </c>
      <c r="P14" s="50">
        <v>0</v>
      </c>
      <c r="Q14" s="50">
        <v>0</v>
      </c>
      <c r="R14" s="1325">
        <v>0</v>
      </c>
      <c r="S14" s="1318">
        <v>0</v>
      </c>
      <c r="T14" s="50">
        <v>0</v>
      </c>
      <c r="U14" s="50">
        <v>0</v>
      </c>
      <c r="V14" s="1343">
        <v>0</v>
      </c>
      <c r="W14" s="1334">
        <v>0</v>
      </c>
      <c r="X14" s="50">
        <v>0</v>
      </c>
      <c r="Y14" s="50">
        <v>0</v>
      </c>
      <c r="Z14" s="1325">
        <v>0</v>
      </c>
      <c r="AA14" s="1334"/>
      <c r="AB14" s="50"/>
      <c r="AC14" s="876"/>
      <c r="AD14" s="1325"/>
      <c r="AE14" s="1334">
        <v>0</v>
      </c>
      <c r="AF14" s="50">
        <v>0</v>
      </c>
      <c r="AG14" s="50">
        <v>0</v>
      </c>
      <c r="AH14" s="1325">
        <v>0</v>
      </c>
      <c r="AI14" s="1318">
        <v>0</v>
      </c>
      <c r="AJ14" s="50">
        <v>0</v>
      </c>
      <c r="AK14" s="50">
        <v>0</v>
      </c>
      <c r="AL14" s="1343">
        <v>0</v>
      </c>
      <c r="AM14" s="1334">
        <v>0</v>
      </c>
      <c r="AN14" s="50">
        <v>0</v>
      </c>
      <c r="AO14" s="50">
        <v>0</v>
      </c>
      <c r="AP14" s="1325">
        <v>0</v>
      </c>
      <c r="AQ14" s="1334">
        <v>0</v>
      </c>
      <c r="AR14" s="50">
        <v>0</v>
      </c>
      <c r="AS14" s="50">
        <v>0</v>
      </c>
      <c r="AT14" s="1325">
        <v>0</v>
      </c>
      <c r="AU14" s="1318">
        <v>0</v>
      </c>
      <c r="AV14" s="50">
        <v>0</v>
      </c>
      <c r="AW14" s="50">
        <v>0</v>
      </c>
      <c r="AX14" s="1343">
        <v>0</v>
      </c>
      <c r="AY14" s="1334">
        <v>0</v>
      </c>
      <c r="AZ14" s="50">
        <v>0</v>
      </c>
      <c r="BA14" s="50">
        <v>0</v>
      </c>
      <c r="BB14" s="1325">
        <v>0</v>
      </c>
      <c r="BC14" s="1334">
        <v>0</v>
      </c>
      <c r="BD14" s="50">
        <v>0</v>
      </c>
      <c r="BE14" s="50">
        <v>0</v>
      </c>
      <c r="BF14" s="1325">
        <v>0</v>
      </c>
    </row>
    <row r="15" spans="1:58" s="544" customFormat="1" ht="15" customHeight="1">
      <c r="A15" s="55"/>
      <c r="B15" s="57" t="s">
        <v>123</v>
      </c>
      <c r="C15" s="50">
        <f t="shared" ref="C15:R15" si="4">C26+C37+C48</f>
        <v>0.438</v>
      </c>
      <c r="D15" s="50">
        <f t="shared" si="4"/>
        <v>0</v>
      </c>
      <c r="E15" s="50">
        <f t="shared" si="4"/>
        <v>2.3820000000000001</v>
      </c>
      <c r="F15" s="1343">
        <f t="shared" si="4"/>
        <v>0</v>
      </c>
      <c r="G15" s="1334">
        <f t="shared" si="4"/>
        <v>0.438</v>
      </c>
      <c r="H15" s="50">
        <f t="shared" si="4"/>
        <v>0</v>
      </c>
      <c r="I15" s="50">
        <f t="shared" si="4"/>
        <v>2.69</v>
      </c>
      <c r="J15" s="1325">
        <f t="shared" si="4"/>
        <v>0</v>
      </c>
      <c r="K15" s="1318">
        <v>0.438</v>
      </c>
      <c r="L15" s="50">
        <v>0</v>
      </c>
      <c r="M15" s="50">
        <v>2.3820000000000001</v>
      </c>
      <c r="N15" s="1343">
        <v>0</v>
      </c>
      <c r="O15" s="1334">
        <v>0.441</v>
      </c>
      <c r="P15" s="50">
        <v>0</v>
      </c>
      <c r="Q15" s="50">
        <v>2.8809999999999998</v>
      </c>
      <c r="R15" s="1325">
        <v>0</v>
      </c>
      <c r="S15" s="1318">
        <v>0.438</v>
      </c>
      <c r="T15" s="50">
        <v>0</v>
      </c>
      <c r="U15" s="50">
        <v>2.3820000000000014</v>
      </c>
      <c r="V15" s="1343">
        <v>0</v>
      </c>
      <c r="W15" s="1334">
        <v>0.441</v>
      </c>
      <c r="X15" s="50">
        <v>0</v>
      </c>
      <c r="Y15" s="876">
        <v>2.9205000000000001</v>
      </c>
      <c r="Z15" s="1325">
        <v>0</v>
      </c>
      <c r="AA15" s="1334">
        <v>0.441</v>
      </c>
      <c r="AB15" s="50"/>
      <c r="AC15" s="876">
        <v>2.7965147061196607</v>
      </c>
      <c r="AD15" s="1325"/>
      <c r="AE15" s="1334">
        <v>0.441</v>
      </c>
      <c r="AF15" s="50">
        <v>0</v>
      </c>
      <c r="AG15" s="50">
        <v>2.9</v>
      </c>
      <c r="AH15" s="1325">
        <v>0</v>
      </c>
      <c r="AI15" s="1318">
        <v>0.441</v>
      </c>
      <c r="AJ15" s="50">
        <v>0</v>
      </c>
      <c r="AK15" s="50">
        <v>2.9</v>
      </c>
      <c r="AL15" s="1343">
        <v>0</v>
      </c>
      <c r="AM15" s="1334">
        <v>0.441</v>
      </c>
      <c r="AN15" s="50">
        <v>0</v>
      </c>
      <c r="AO15" s="50">
        <v>1.44</v>
      </c>
      <c r="AP15" s="1325">
        <v>0</v>
      </c>
      <c r="AQ15" s="1334">
        <v>0.441</v>
      </c>
      <c r="AR15" s="50">
        <v>0</v>
      </c>
      <c r="AS15" s="50">
        <v>1.46</v>
      </c>
      <c r="AT15" s="1325">
        <v>0</v>
      </c>
      <c r="AU15" s="1318">
        <v>0.441</v>
      </c>
      <c r="AV15" s="50">
        <v>0</v>
      </c>
      <c r="AW15" s="50">
        <v>2.9</v>
      </c>
      <c r="AX15" s="1343">
        <v>0</v>
      </c>
      <c r="AY15" s="1334">
        <v>0.441</v>
      </c>
      <c r="AZ15" s="50">
        <v>0</v>
      </c>
      <c r="BA15" s="50">
        <v>1.44</v>
      </c>
      <c r="BB15" s="1325">
        <v>0</v>
      </c>
      <c r="BC15" s="1334">
        <v>0.441</v>
      </c>
      <c r="BD15" s="50">
        <v>0</v>
      </c>
      <c r="BE15" s="50">
        <v>1.46</v>
      </c>
      <c r="BF15" s="1325">
        <v>0</v>
      </c>
    </row>
    <row r="16" spans="1:58" s="544" customFormat="1" ht="15" customHeight="1">
      <c r="A16" s="55"/>
      <c r="B16" s="57" t="s">
        <v>124</v>
      </c>
      <c r="C16" s="50">
        <f t="shared" ref="C16:R16" si="5">C27+C38+C49</f>
        <v>0</v>
      </c>
      <c r="D16" s="50">
        <f t="shared" si="5"/>
        <v>0</v>
      </c>
      <c r="E16" s="50">
        <f t="shared" si="5"/>
        <v>0</v>
      </c>
      <c r="F16" s="1343">
        <f t="shared" si="5"/>
        <v>0</v>
      </c>
      <c r="G16" s="1334">
        <f t="shared" si="5"/>
        <v>0</v>
      </c>
      <c r="H16" s="50">
        <f t="shared" si="5"/>
        <v>0</v>
      </c>
      <c r="I16" s="50">
        <f t="shared" si="5"/>
        <v>0</v>
      </c>
      <c r="J16" s="1325">
        <f t="shared" si="5"/>
        <v>0</v>
      </c>
      <c r="K16" s="1318">
        <v>0</v>
      </c>
      <c r="L16" s="50">
        <v>0</v>
      </c>
      <c r="M16" s="50">
        <v>0</v>
      </c>
      <c r="N16" s="1343">
        <v>0</v>
      </c>
      <c r="O16" s="1334">
        <v>0</v>
      </c>
      <c r="P16" s="50">
        <v>0</v>
      </c>
      <c r="Q16" s="50">
        <v>0</v>
      </c>
      <c r="R16" s="1325">
        <v>0</v>
      </c>
      <c r="S16" s="1318">
        <v>0</v>
      </c>
      <c r="T16" s="50">
        <v>0</v>
      </c>
      <c r="U16" s="50">
        <v>0</v>
      </c>
      <c r="V16" s="1343">
        <v>0</v>
      </c>
      <c r="W16" s="1334">
        <v>0</v>
      </c>
      <c r="X16" s="50">
        <v>0</v>
      </c>
      <c r="Y16" s="50">
        <v>0</v>
      </c>
      <c r="Z16" s="1325">
        <v>0</v>
      </c>
      <c r="AA16" s="1334"/>
      <c r="AB16" s="50"/>
      <c r="AC16" s="50"/>
      <c r="AD16" s="1325"/>
      <c r="AE16" s="1334">
        <v>0</v>
      </c>
      <c r="AF16" s="50">
        <v>0</v>
      </c>
      <c r="AG16" s="50">
        <v>0</v>
      </c>
      <c r="AH16" s="1325">
        <v>0</v>
      </c>
      <c r="AI16" s="1318">
        <v>0</v>
      </c>
      <c r="AJ16" s="50">
        <v>0</v>
      </c>
      <c r="AK16" s="50">
        <v>0</v>
      </c>
      <c r="AL16" s="1343">
        <v>0</v>
      </c>
      <c r="AM16" s="1334">
        <v>0</v>
      </c>
      <c r="AN16" s="50">
        <v>0</v>
      </c>
      <c r="AO16" s="50">
        <v>0</v>
      </c>
      <c r="AP16" s="1325">
        <v>0</v>
      </c>
      <c r="AQ16" s="1334">
        <v>0</v>
      </c>
      <c r="AR16" s="50">
        <v>0</v>
      </c>
      <c r="AS16" s="50">
        <v>0</v>
      </c>
      <c r="AT16" s="1325">
        <v>0</v>
      </c>
      <c r="AU16" s="1318">
        <v>0</v>
      </c>
      <c r="AV16" s="50">
        <v>0</v>
      </c>
      <c r="AW16" s="50">
        <v>0</v>
      </c>
      <c r="AX16" s="1343">
        <v>0</v>
      </c>
      <c r="AY16" s="1334">
        <v>0</v>
      </c>
      <c r="AZ16" s="50">
        <v>0</v>
      </c>
      <c r="BA16" s="50">
        <v>0</v>
      </c>
      <c r="BB16" s="1325">
        <v>0</v>
      </c>
      <c r="BC16" s="1334">
        <v>0</v>
      </c>
      <c r="BD16" s="50">
        <v>0</v>
      </c>
      <c r="BE16" s="50">
        <v>0</v>
      </c>
      <c r="BF16" s="1325">
        <v>0</v>
      </c>
    </row>
    <row r="17" spans="1:58" s="544" customFormat="1" ht="15" customHeight="1">
      <c r="A17" s="55"/>
      <c r="B17" s="57" t="s">
        <v>125</v>
      </c>
      <c r="C17" s="50">
        <f t="shared" ref="C17:R17" si="6">C28+C39+C50</f>
        <v>0</v>
      </c>
      <c r="D17" s="50">
        <f t="shared" si="6"/>
        <v>0</v>
      </c>
      <c r="E17" s="50">
        <f t="shared" si="6"/>
        <v>0</v>
      </c>
      <c r="F17" s="1343">
        <f t="shared" si="6"/>
        <v>0</v>
      </c>
      <c r="G17" s="1334">
        <f t="shared" si="6"/>
        <v>0</v>
      </c>
      <c r="H17" s="50">
        <f t="shared" si="6"/>
        <v>0</v>
      </c>
      <c r="I17" s="50">
        <f t="shared" si="6"/>
        <v>0</v>
      </c>
      <c r="J17" s="1325">
        <f t="shared" si="6"/>
        <v>0</v>
      </c>
      <c r="K17" s="1318">
        <v>0</v>
      </c>
      <c r="L17" s="50">
        <v>0</v>
      </c>
      <c r="M17" s="50">
        <v>0</v>
      </c>
      <c r="N17" s="1343">
        <v>0</v>
      </c>
      <c r="O17" s="1334">
        <v>0</v>
      </c>
      <c r="P17" s="50">
        <v>0</v>
      </c>
      <c r="Q17" s="50">
        <v>0</v>
      </c>
      <c r="R17" s="1325">
        <v>0</v>
      </c>
      <c r="S17" s="1318">
        <v>0</v>
      </c>
      <c r="T17" s="50">
        <v>0</v>
      </c>
      <c r="U17" s="50">
        <v>0</v>
      </c>
      <c r="V17" s="1343">
        <v>0</v>
      </c>
      <c r="W17" s="1334">
        <v>0</v>
      </c>
      <c r="X17" s="50">
        <v>0</v>
      </c>
      <c r="Y17" s="50">
        <v>0</v>
      </c>
      <c r="Z17" s="1325">
        <v>0</v>
      </c>
      <c r="AA17" s="1334"/>
      <c r="AB17" s="50"/>
      <c r="AC17" s="50"/>
      <c r="AD17" s="1325"/>
      <c r="AE17" s="1334">
        <v>0</v>
      </c>
      <c r="AF17" s="50">
        <v>0</v>
      </c>
      <c r="AG17" s="50">
        <v>0</v>
      </c>
      <c r="AH17" s="1325">
        <v>0</v>
      </c>
      <c r="AI17" s="1318">
        <v>0</v>
      </c>
      <c r="AJ17" s="50">
        <v>0</v>
      </c>
      <c r="AK17" s="50">
        <v>0</v>
      </c>
      <c r="AL17" s="1343">
        <v>0</v>
      </c>
      <c r="AM17" s="1334">
        <v>0</v>
      </c>
      <c r="AN17" s="50">
        <v>0</v>
      </c>
      <c r="AO17" s="50">
        <v>0</v>
      </c>
      <c r="AP17" s="1325">
        <v>0</v>
      </c>
      <c r="AQ17" s="1334">
        <v>0</v>
      </c>
      <c r="AR17" s="50">
        <v>0</v>
      </c>
      <c r="AS17" s="50">
        <v>0</v>
      </c>
      <c r="AT17" s="1325">
        <v>0</v>
      </c>
      <c r="AU17" s="1318">
        <v>0</v>
      </c>
      <c r="AV17" s="50">
        <v>0</v>
      </c>
      <c r="AW17" s="50">
        <v>0</v>
      </c>
      <c r="AX17" s="1343">
        <v>0</v>
      </c>
      <c r="AY17" s="1334">
        <v>0</v>
      </c>
      <c r="AZ17" s="50">
        <v>0</v>
      </c>
      <c r="BA17" s="50">
        <v>0</v>
      </c>
      <c r="BB17" s="1325">
        <v>0</v>
      </c>
      <c r="BC17" s="1334">
        <v>0</v>
      </c>
      <c r="BD17" s="50">
        <v>0</v>
      </c>
      <c r="BE17" s="50">
        <v>0</v>
      </c>
      <c r="BF17" s="1325">
        <v>0</v>
      </c>
    </row>
    <row r="18" spans="1:58" s="294" customFormat="1" ht="15" customHeight="1">
      <c r="A18" s="292"/>
      <c r="B18" s="293" t="s">
        <v>126</v>
      </c>
      <c r="C18" s="50">
        <f t="shared" ref="C18:R18" si="7">C29+C40+C51</f>
        <v>0</v>
      </c>
      <c r="D18" s="50">
        <f t="shared" si="7"/>
        <v>0</v>
      </c>
      <c r="E18" s="50">
        <f t="shared" si="7"/>
        <v>0</v>
      </c>
      <c r="F18" s="1343">
        <f t="shared" si="7"/>
        <v>0</v>
      </c>
      <c r="G18" s="1334">
        <f t="shared" si="7"/>
        <v>0</v>
      </c>
      <c r="H18" s="50">
        <f t="shared" si="7"/>
        <v>0</v>
      </c>
      <c r="I18" s="50">
        <f t="shared" si="7"/>
        <v>0</v>
      </c>
      <c r="J18" s="1325">
        <f t="shared" si="7"/>
        <v>0</v>
      </c>
      <c r="K18" s="1318">
        <v>0</v>
      </c>
      <c r="L18" s="50">
        <v>0</v>
      </c>
      <c r="M18" s="50">
        <v>0</v>
      </c>
      <c r="N18" s="1343">
        <v>0</v>
      </c>
      <c r="O18" s="1334">
        <v>0</v>
      </c>
      <c r="P18" s="50">
        <v>0</v>
      </c>
      <c r="Q18" s="50">
        <v>0</v>
      </c>
      <c r="R18" s="1325">
        <v>0</v>
      </c>
      <c r="S18" s="1318">
        <v>0</v>
      </c>
      <c r="T18" s="50">
        <v>0</v>
      </c>
      <c r="U18" s="50">
        <v>0</v>
      </c>
      <c r="V18" s="1343">
        <v>0</v>
      </c>
      <c r="W18" s="1334">
        <v>0</v>
      </c>
      <c r="X18" s="50">
        <v>0</v>
      </c>
      <c r="Y18" s="50">
        <v>0</v>
      </c>
      <c r="Z18" s="1325">
        <v>0</v>
      </c>
      <c r="AA18" s="1334"/>
      <c r="AB18" s="50"/>
      <c r="AC18" s="50"/>
      <c r="AD18" s="1325"/>
      <c r="AE18" s="1334">
        <v>0</v>
      </c>
      <c r="AF18" s="50">
        <v>0</v>
      </c>
      <c r="AG18" s="50">
        <v>0</v>
      </c>
      <c r="AH18" s="1325">
        <v>0</v>
      </c>
      <c r="AI18" s="1318">
        <v>0</v>
      </c>
      <c r="AJ18" s="50">
        <v>0</v>
      </c>
      <c r="AK18" s="50">
        <v>0</v>
      </c>
      <c r="AL18" s="1343">
        <v>0</v>
      </c>
      <c r="AM18" s="1334">
        <v>0</v>
      </c>
      <c r="AN18" s="50">
        <v>0</v>
      </c>
      <c r="AO18" s="50">
        <v>0</v>
      </c>
      <c r="AP18" s="1325">
        <v>0</v>
      </c>
      <c r="AQ18" s="1334">
        <v>0</v>
      </c>
      <c r="AR18" s="50">
        <v>0</v>
      </c>
      <c r="AS18" s="50">
        <v>0</v>
      </c>
      <c r="AT18" s="1325">
        <v>0</v>
      </c>
      <c r="AU18" s="1318">
        <v>0</v>
      </c>
      <c r="AV18" s="50">
        <v>0</v>
      </c>
      <c r="AW18" s="50">
        <v>0</v>
      </c>
      <c r="AX18" s="1343">
        <v>0</v>
      </c>
      <c r="AY18" s="1334">
        <v>0</v>
      </c>
      <c r="AZ18" s="50">
        <v>0</v>
      </c>
      <c r="BA18" s="50">
        <v>0</v>
      </c>
      <c r="BB18" s="1325">
        <v>0</v>
      </c>
      <c r="BC18" s="1334">
        <v>0</v>
      </c>
      <c r="BD18" s="50">
        <v>0</v>
      </c>
      <c r="BE18" s="50">
        <v>0</v>
      </c>
      <c r="BF18" s="1325">
        <v>0</v>
      </c>
    </row>
    <row r="19" spans="1:58" s="77" customFormat="1" ht="29.25" customHeight="1">
      <c r="A19" s="115"/>
      <c r="B19" s="116" t="s">
        <v>127</v>
      </c>
      <c r="C19" s="118">
        <f t="shared" ref="C19:AP19" si="8">C20+C24+C29</f>
        <v>241.52099999999999</v>
      </c>
      <c r="D19" s="118">
        <f t="shared" si="8"/>
        <v>0</v>
      </c>
      <c r="E19" s="118">
        <f t="shared" si="8"/>
        <v>682.149</v>
      </c>
      <c r="F19" s="1340">
        <f t="shared" si="8"/>
        <v>0</v>
      </c>
      <c r="G19" s="1331">
        <f t="shared" si="8"/>
        <v>241.52099999999999</v>
      </c>
      <c r="H19" s="118">
        <f t="shared" si="8"/>
        <v>0</v>
      </c>
      <c r="I19" s="118">
        <f t="shared" si="8"/>
        <v>704.23</v>
      </c>
      <c r="J19" s="1322">
        <f t="shared" si="8"/>
        <v>0</v>
      </c>
      <c r="K19" s="1315">
        <v>241.74299999999999</v>
      </c>
      <c r="L19" s="118">
        <v>0</v>
      </c>
      <c r="M19" s="118">
        <v>698.21400000000006</v>
      </c>
      <c r="N19" s="1340">
        <v>0</v>
      </c>
      <c r="O19" s="1331">
        <v>213</v>
      </c>
      <c r="P19" s="118">
        <v>0</v>
      </c>
      <c r="Q19" s="118">
        <v>667.28409999999997</v>
      </c>
      <c r="R19" s="1322">
        <v>0</v>
      </c>
      <c r="S19" s="1315">
        <v>241.52099999999999</v>
      </c>
      <c r="T19" s="118">
        <v>0</v>
      </c>
      <c r="U19" s="118">
        <v>701.89197589999958</v>
      </c>
      <c r="V19" s="1340">
        <v>0</v>
      </c>
      <c r="W19" s="1331">
        <v>213</v>
      </c>
      <c r="X19" s="118">
        <v>0</v>
      </c>
      <c r="Y19" s="118">
        <v>648.60941320500001</v>
      </c>
      <c r="Z19" s="1322">
        <v>0</v>
      </c>
      <c r="AA19" s="1331">
        <v>213</v>
      </c>
      <c r="AB19" s="118"/>
      <c r="AC19" s="118">
        <v>673.01028913359869</v>
      </c>
      <c r="AD19" s="1322"/>
      <c r="AE19" s="1331">
        <v>213</v>
      </c>
      <c r="AF19" s="118">
        <v>0</v>
      </c>
      <c r="AG19" s="118">
        <v>673.72499999999991</v>
      </c>
      <c r="AH19" s="1322">
        <v>0</v>
      </c>
      <c r="AI19" s="1315">
        <v>213</v>
      </c>
      <c r="AJ19" s="118">
        <v>0</v>
      </c>
      <c r="AK19" s="118">
        <v>673.72499999999991</v>
      </c>
      <c r="AL19" s="1340">
        <v>0</v>
      </c>
      <c r="AM19" s="1331">
        <v>213</v>
      </c>
      <c r="AN19" s="118">
        <v>0</v>
      </c>
      <c r="AO19" s="118">
        <v>400.68799999999999</v>
      </c>
      <c r="AP19" s="1322">
        <v>0</v>
      </c>
      <c r="AQ19" s="1331">
        <v>213</v>
      </c>
      <c r="AR19" s="118">
        <v>0</v>
      </c>
      <c r="AS19" s="118">
        <v>273.03699999999998</v>
      </c>
      <c r="AT19" s="1322">
        <v>0</v>
      </c>
      <c r="AU19" s="1315">
        <v>213</v>
      </c>
      <c r="AV19" s="118">
        <v>0</v>
      </c>
      <c r="AW19" s="118">
        <v>673.72499999999991</v>
      </c>
      <c r="AX19" s="1340">
        <v>0</v>
      </c>
      <c r="AY19" s="1331">
        <v>213</v>
      </c>
      <c r="AZ19" s="118">
        <v>0</v>
      </c>
      <c r="BA19" s="118">
        <v>400.68799999999999</v>
      </c>
      <c r="BB19" s="1322">
        <v>0</v>
      </c>
      <c r="BC19" s="1331">
        <v>213</v>
      </c>
      <c r="BD19" s="118">
        <v>0</v>
      </c>
      <c r="BE19" s="118">
        <v>273.03699999999998</v>
      </c>
      <c r="BF19" s="1322">
        <v>0</v>
      </c>
    </row>
    <row r="20" spans="1:58" s="108" customFormat="1" ht="15">
      <c r="A20" s="295"/>
      <c r="B20" s="296" t="s">
        <v>120</v>
      </c>
      <c r="C20" s="297">
        <v>241.52099999999999</v>
      </c>
      <c r="D20" s="297"/>
      <c r="E20" s="297">
        <v>682.149</v>
      </c>
      <c r="F20" s="1344"/>
      <c r="G20" s="1335">
        <v>241.52099999999999</v>
      </c>
      <c r="H20" s="297"/>
      <c r="I20" s="297">
        <v>704.23</v>
      </c>
      <c r="J20" s="1326"/>
      <c r="K20" s="1319">
        <v>241.74299999999999</v>
      </c>
      <c r="L20" s="297"/>
      <c r="M20" s="297">
        <v>698.21400000000006</v>
      </c>
      <c r="N20" s="1344"/>
      <c r="O20" s="1335">
        <v>213</v>
      </c>
      <c r="P20" s="297"/>
      <c r="Q20" s="297">
        <v>667.28409999999997</v>
      </c>
      <c r="R20" s="1326"/>
      <c r="S20" s="1319">
        <v>241.52099999999999</v>
      </c>
      <c r="T20" s="297"/>
      <c r="U20" s="297">
        <v>701.89197589999958</v>
      </c>
      <c r="V20" s="1344"/>
      <c r="W20" s="1335">
        <v>213</v>
      </c>
      <c r="X20" s="297"/>
      <c r="Y20" s="297">
        <v>648.60941320500001</v>
      </c>
      <c r="Z20" s="1326"/>
      <c r="AA20" s="1335">
        <v>213</v>
      </c>
      <c r="AB20" s="297"/>
      <c r="AC20" s="297">
        <v>673.01028913359869</v>
      </c>
      <c r="AD20" s="1326"/>
      <c r="AE20" s="1335">
        <v>213</v>
      </c>
      <c r="AF20" s="297"/>
      <c r="AG20" s="297">
        <v>673.72499999999991</v>
      </c>
      <c r="AH20" s="1326"/>
      <c r="AI20" s="1319">
        <v>213</v>
      </c>
      <c r="AJ20" s="297"/>
      <c r="AK20" s="297">
        <v>673.72499999999991</v>
      </c>
      <c r="AL20" s="1344"/>
      <c r="AM20" s="1335">
        <v>213</v>
      </c>
      <c r="AN20" s="297"/>
      <c r="AO20" s="297">
        <v>400.68799999999999</v>
      </c>
      <c r="AP20" s="1326"/>
      <c r="AQ20" s="1335">
        <v>213</v>
      </c>
      <c r="AR20" s="297"/>
      <c r="AS20" s="297">
        <v>273.03699999999998</v>
      </c>
      <c r="AT20" s="1326"/>
      <c r="AU20" s="1319">
        <v>213</v>
      </c>
      <c r="AV20" s="297"/>
      <c r="AW20" s="297">
        <v>673.72499999999991</v>
      </c>
      <c r="AX20" s="1344"/>
      <c r="AY20" s="1335">
        <v>213</v>
      </c>
      <c r="AZ20" s="297"/>
      <c r="BA20" s="297">
        <v>400.68799999999999</v>
      </c>
      <c r="BB20" s="1326"/>
      <c r="BC20" s="1335">
        <v>213</v>
      </c>
      <c r="BD20" s="297"/>
      <c r="BE20" s="297">
        <v>273.03699999999998</v>
      </c>
      <c r="BF20" s="1326"/>
    </row>
    <row r="21" spans="1:58" s="294" customFormat="1" ht="15">
      <c r="A21" s="292"/>
      <c r="B21" s="1281" t="s">
        <v>1697</v>
      </c>
      <c r="C21" s="616"/>
      <c r="D21" s="616"/>
      <c r="E21" s="616"/>
      <c r="F21" s="1345"/>
      <c r="G21" s="1333"/>
      <c r="H21" s="616"/>
      <c r="I21" s="616"/>
      <c r="J21" s="1324"/>
      <c r="K21" s="1317"/>
      <c r="L21" s="616"/>
      <c r="M21" s="616"/>
      <c r="N21" s="1345"/>
      <c r="O21" s="1333"/>
      <c r="P21" s="616"/>
      <c r="Q21" s="616"/>
      <c r="R21" s="1324"/>
      <c r="S21" s="1317"/>
      <c r="T21" s="616"/>
      <c r="U21" s="616"/>
      <c r="V21" s="1345"/>
      <c r="W21" s="1333"/>
      <c r="X21" s="616"/>
      <c r="Y21" s="616"/>
      <c r="Z21" s="1324"/>
      <c r="AA21" s="1333"/>
      <c r="AB21" s="616"/>
      <c r="AC21" s="616"/>
      <c r="AD21" s="1324"/>
      <c r="AE21" s="1333"/>
      <c r="AF21" s="616"/>
      <c r="AG21" s="616"/>
      <c r="AH21" s="1324"/>
      <c r="AI21" s="1317"/>
      <c r="AJ21" s="616"/>
      <c r="AK21" s="616"/>
      <c r="AL21" s="1345"/>
      <c r="AM21" s="1333"/>
      <c r="AN21" s="616"/>
      <c r="AO21" s="616"/>
      <c r="AP21" s="1324"/>
      <c r="AQ21" s="1333"/>
      <c r="AR21" s="616"/>
      <c r="AS21" s="616"/>
      <c r="AT21" s="1324"/>
      <c r="AU21" s="1317"/>
      <c r="AV21" s="616"/>
      <c r="AW21" s="616"/>
      <c r="AX21" s="1345"/>
      <c r="AY21" s="1333"/>
      <c r="AZ21" s="616"/>
      <c r="BA21" s="616"/>
      <c r="BB21" s="1324"/>
      <c r="BC21" s="1333"/>
      <c r="BD21" s="616"/>
      <c r="BE21" s="616"/>
      <c r="BF21" s="1324"/>
    </row>
    <row r="22" spans="1:58" s="294" customFormat="1" ht="15">
      <c r="A22" s="292"/>
      <c r="B22" s="1281" t="s">
        <v>1512</v>
      </c>
      <c r="C22" s="616"/>
      <c r="D22" s="616"/>
      <c r="E22" s="616"/>
      <c r="F22" s="1345"/>
      <c r="G22" s="1333"/>
      <c r="H22" s="616"/>
      <c r="I22" s="616"/>
      <c r="J22" s="1324"/>
      <c r="K22" s="1317"/>
      <c r="L22" s="616"/>
      <c r="M22" s="616"/>
      <c r="N22" s="1345"/>
      <c r="O22" s="1333">
        <v>3.218</v>
      </c>
      <c r="P22" s="1345"/>
      <c r="Q22" s="616">
        <v>10.352256916240385</v>
      </c>
      <c r="R22" s="1324"/>
      <c r="S22" s="1317"/>
      <c r="T22" s="616"/>
      <c r="U22" s="616"/>
      <c r="V22" s="1345"/>
      <c r="W22" s="1335">
        <v>3.218</v>
      </c>
      <c r="X22" s="616"/>
      <c r="Y22" s="297">
        <v>11.763</v>
      </c>
      <c r="Z22" s="1324"/>
      <c r="AA22" s="1335">
        <v>3.218</v>
      </c>
      <c r="AB22" s="616"/>
      <c r="AC22" s="297">
        <v>7.2796748728905012</v>
      </c>
      <c r="AD22" s="1324"/>
      <c r="AE22" s="1335">
        <v>3.218</v>
      </c>
      <c r="AF22" s="616"/>
      <c r="AG22" s="297">
        <v>10.675000000000001</v>
      </c>
      <c r="AH22" s="1324"/>
      <c r="AI22" s="1333">
        <v>3.218</v>
      </c>
      <c r="AJ22" s="616"/>
      <c r="AK22" s="616">
        <v>10.675000000000001</v>
      </c>
      <c r="AL22" s="1345"/>
      <c r="AM22" s="1335">
        <v>3.218</v>
      </c>
      <c r="AN22" s="616"/>
      <c r="AO22" s="297">
        <v>6.4169999999999998</v>
      </c>
      <c r="AP22" s="1324"/>
      <c r="AQ22" s="1335">
        <v>3.218</v>
      </c>
      <c r="AR22" s="616"/>
      <c r="AS22" s="297">
        <v>4.258</v>
      </c>
      <c r="AT22" s="1324"/>
      <c r="AU22" s="1317">
        <v>3.218</v>
      </c>
      <c r="AV22" s="616"/>
      <c r="AW22" s="1317">
        <v>10.675000000000001</v>
      </c>
      <c r="AX22" s="1345"/>
      <c r="AY22" s="1335">
        <v>3.218</v>
      </c>
      <c r="AZ22" s="616"/>
      <c r="BA22" s="297">
        <v>6.4169999999999998</v>
      </c>
      <c r="BB22" s="1324"/>
      <c r="BC22" s="1335">
        <v>3.218</v>
      </c>
      <c r="BD22" s="616"/>
      <c r="BE22" s="297">
        <v>4.258</v>
      </c>
      <c r="BF22" s="1324"/>
    </row>
    <row r="23" spans="1:58" s="294" customFormat="1" ht="15">
      <c r="A23" s="292"/>
      <c r="B23" s="1281" t="s">
        <v>1513</v>
      </c>
      <c r="C23" s="616"/>
      <c r="D23" s="616"/>
      <c r="E23" s="616"/>
      <c r="F23" s="1345"/>
      <c r="G23" s="1333"/>
      <c r="H23" s="616"/>
      <c r="I23" s="616"/>
      <c r="J23" s="1324"/>
      <c r="K23" s="1317"/>
      <c r="L23" s="616"/>
      <c r="M23" s="616"/>
      <c r="N23" s="1345"/>
      <c r="O23" s="1333">
        <v>209.78200000000001</v>
      </c>
      <c r="P23" s="1345"/>
      <c r="Q23" s="616">
        <v>656.93184308375953</v>
      </c>
      <c r="R23" s="1324"/>
      <c r="S23" s="1317"/>
      <c r="T23" s="616"/>
      <c r="U23" s="616"/>
      <c r="V23" s="1345"/>
      <c r="W23" s="1335">
        <v>209.78200000000001</v>
      </c>
      <c r="X23" s="616"/>
      <c r="Y23" s="297">
        <v>636.84641320499998</v>
      </c>
      <c r="Z23" s="1324"/>
      <c r="AA23" s="1335">
        <v>209.78200000000001</v>
      </c>
      <c r="AB23" s="616"/>
      <c r="AC23" s="297">
        <v>665.73061426070819</v>
      </c>
      <c r="AD23" s="1324"/>
      <c r="AE23" s="1335">
        <v>209.78200000000001</v>
      </c>
      <c r="AF23" s="616"/>
      <c r="AG23" s="297">
        <v>663.05</v>
      </c>
      <c r="AH23" s="1324"/>
      <c r="AI23" s="1333">
        <v>209.78200000000001</v>
      </c>
      <c r="AJ23" s="616"/>
      <c r="AK23" s="616">
        <v>663.05</v>
      </c>
      <c r="AL23" s="1345"/>
      <c r="AM23" s="1335">
        <v>209.78200000000001</v>
      </c>
      <c r="AN23" s="616"/>
      <c r="AO23" s="297">
        <v>394.27100000000002</v>
      </c>
      <c r="AP23" s="1324"/>
      <c r="AQ23" s="1335">
        <v>209.78200000000001</v>
      </c>
      <c r="AR23" s="616"/>
      <c r="AS23" s="297">
        <v>268.779</v>
      </c>
      <c r="AT23" s="1324"/>
      <c r="AU23" s="1317">
        <v>209.78200000000001</v>
      </c>
      <c r="AV23" s="616"/>
      <c r="AW23" s="1317">
        <v>663.05</v>
      </c>
      <c r="AX23" s="1345"/>
      <c r="AY23" s="1335">
        <v>209.78200000000001</v>
      </c>
      <c r="AZ23" s="616"/>
      <c r="BA23" s="297">
        <v>394.27100000000002</v>
      </c>
      <c r="BB23" s="1324"/>
      <c r="BC23" s="1335">
        <v>209.78200000000001</v>
      </c>
      <c r="BD23" s="616"/>
      <c r="BE23" s="297">
        <v>268.779</v>
      </c>
      <c r="BF23" s="1324"/>
    </row>
    <row r="24" spans="1:58" s="544" customFormat="1" ht="15" customHeight="1">
      <c r="A24" s="55"/>
      <c r="B24" s="57" t="s">
        <v>121</v>
      </c>
      <c r="C24" s="50"/>
      <c r="D24" s="50"/>
      <c r="E24" s="50"/>
      <c r="F24" s="1343"/>
      <c r="G24" s="1334"/>
      <c r="H24" s="50"/>
      <c r="I24" s="50"/>
      <c r="J24" s="1325"/>
      <c r="K24" s="1318"/>
      <c r="L24" s="50"/>
      <c r="M24" s="50"/>
      <c r="N24" s="1343"/>
      <c r="O24" s="1334"/>
      <c r="P24" s="50"/>
      <c r="Q24" s="50"/>
      <c r="R24" s="1325"/>
      <c r="S24" s="1318"/>
      <c r="T24" s="50"/>
      <c r="U24" s="50"/>
      <c r="V24" s="1343"/>
      <c r="W24" s="1334"/>
      <c r="X24" s="50"/>
      <c r="Y24" s="50"/>
      <c r="Z24" s="1325"/>
      <c r="AA24" s="1334">
        <v>0</v>
      </c>
      <c r="AB24" s="50"/>
      <c r="AC24" s="50">
        <v>0</v>
      </c>
      <c r="AD24" s="1325"/>
      <c r="AE24" s="1334"/>
      <c r="AF24" s="50"/>
      <c r="AG24" s="50"/>
      <c r="AH24" s="1325"/>
      <c r="AI24" s="1318"/>
      <c r="AJ24" s="50"/>
      <c r="AK24" s="50"/>
      <c r="AL24" s="1343"/>
      <c r="AM24" s="1334"/>
      <c r="AN24" s="50"/>
      <c r="AO24" s="50"/>
      <c r="AP24" s="1325"/>
      <c r="AQ24" s="1334"/>
      <c r="AR24" s="50"/>
      <c r="AS24" s="50"/>
      <c r="AT24" s="1325"/>
      <c r="AU24" s="1318"/>
      <c r="AV24" s="50"/>
      <c r="AW24" s="50"/>
      <c r="AX24" s="1343"/>
      <c r="AY24" s="1334"/>
      <c r="AZ24" s="50"/>
      <c r="BA24" s="50"/>
      <c r="BB24" s="1325"/>
      <c r="BC24" s="1334"/>
      <c r="BD24" s="50"/>
      <c r="BE24" s="50"/>
      <c r="BF24" s="1325"/>
    </row>
    <row r="25" spans="1:58" s="544" customFormat="1" ht="15" customHeight="1">
      <c r="A25" s="55"/>
      <c r="B25" s="57" t="s">
        <v>122</v>
      </c>
      <c r="C25" s="50"/>
      <c r="D25" s="50"/>
      <c r="E25" s="50"/>
      <c r="F25" s="1343"/>
      <c r="G25" s="1334"/>
      <c r="H25" s="50"/>
      <c r="I25" s="50"/>
      <c r="J25" s="1325"/>
      <c r="K25" s="1318"/>
      <c r="L25" s="50"/>
      <c r="M25" s="50"/>
      <c r="N25" s="1343"/>
      <c r="O25" s="1334"/>
      <c r="P25" s="50"/>
      <c r="Q25" s="50"/>
      <c r="R25" s="1325"/>
      <c r="S25" s="1318"/>
      <c r="T25" s="50"/>
      <c r="U25" s="50"/>
      <c r="V25" s="1343"/>
      <c r="W25" s="1334"/>
      <c r="X25" s="50"/>
      <c r="Y25" s="50"/>
      <c r="Z25" s="1325"/>
      <c r="AA25" s="1334"/>
      <c r="AB25" s="50"/>
      <c r="AC25" s="50"/>
      <c r="AD25" s="1325"/>
      <c r="AE25" s="1334"/>
      <c r="AF25" s="50"/>
      <c r="AG25" s="50"/>
      <c r="AH25" s="1325"/>
      <c r="AI25" s="1318"/>
      <c r="AJ25" s="50"/>
      <c r="AK25" s="50"/>
      <c r="AL25" s="1343"/>
      <c r="AM25" s="1334"/>
      <c r="AN25" s="50"/>
      <c r="AO25" s="50"/>
      <c r="AP25" s="1325"/>
      <c r="AQ25" s="1334"/>
      <c r="AR25" s="50"/>
      <c r="AS25" s="50"/>
      <c r="AT25" s="1325"/>
      <c r="AU25" s="1318"/>
      <c r="AV25" s="50"/>
      <c r="AW25" s="50"/>
      <c r="AX25" s="1343"/>
      <c r="AY25" s="1334"/>
      <c r="AZ25" s="50"/>
      <c r="BA25" s="50"/>
      <c r="BB25" s="1325"/>
      <c r="BC25" s="1334"/>
      <c r="BD25" s="50"/>
      <c r="BE25" s="50"/>
      <c r="BF25" s="1325"/>
    </row>
    <row r="26" spans="1:58" s="544" customFormat="1" ht="15" customHeight="1">
      <c r="A26" s="55"/>
      <c r="B26" s="57" t="s">
        <v>123</v>
      </c>
      <c r="C26" s="50"/>
      <c r="D26" s="50"/>
      <c r="E26" s="50"/>
      <c r="F26" s="1343"/>
      <c r="G26" s="1334"/>
      <c r="H26" s="50"/>
      <c r="I26" s="50"/>
      <c r="J26" s="1325"/>
      <c r="K26" s="1318"/>
      <c r="L26" s="50"/>
      <c r="M26" s="50"/>
      <c r="N26" s="1343"/>
      <c r="O26" s="1334"/>
      <c r="P26" s="50"/>
      <c r="Q26" s="50"/>
      <c r="R26" s="1325"/>
      <c r="S26" s="1318"/>
      <c r="T26" s="50"/>
      <c r="U26" s="50"/>
      <c r="V26" s="1343"/>
      <c r="W26" s="1334"/>
      <c r="X26" s="50"/>
      <c r="Y26" s="50"/>
      <c r="Z26" s="1325"/>
      <c r="AA26" s="1334"/>
      <c r="AB26" s="50"/>
      <c r="AC26" s="50"/>
      <c r="AD26" s="1325"/>
      <c r="AE26" s="1334"/>
      <c r="AF26" s="50"/>
      <c r="AG26" s="50"/>
      <c r="AH26" s="1325"/>
      <c r="AI26" s="1318"/>
      <c r="AJ26" s="50"/>
      <c r="AK26" s="50"/>
      <c r="AL26" s="1343"/>
      <c r="AM26" s="1334"/>
      <c r="AN26" s="50"/>
      <c r="AO26" s="50"/>
      <c r="AP26" s="1325"/>
      <c r="AQ26" s="1334"/>
      <c r="AR26" s="50"/>
      <c r="AS26" s="50"/>
      <c r="AT26" s="1325"/>
      <c r="AU26" s="1318"/>
      <c r="AV26" s="50"/>
      <c r="AW26" s="50"/>
      <c r="AX26" s="1343"/>
      <c r="AY26" s="1334"/>
      <c r="AZ26" s="50"/>
      <c r="BA26" s="50"/>
      <c r="BB26" s="1325"/>
      <c r="BC26" s="1334"/>
      <c r="BD26" s="50"/>
      <c r="BE26" s="50"/>
      <c r="BF26" s="1325"/>
    </row>
    <row r="27" spans="1:58" s="544" customFormat="1" ht="15" customHeight="1">
      <c r="A27" s="55"/>
      <c r="B27" s="57" t="s">
        <v>124</v>
      </c>
      <c r="C27" s="50"/>
      <c r="D27" s="50"/>
      <c r="E27" s="50"/>
      <c r="F27" s="1343"/>
      <c r="G27" s="1334"/>
      <c r="H27" s="50"/>
      <c r="I27" s="50"/>
      <c r="J27" s="1325"/>
      <c r="K27" s="1318"/>
      <c r="L27" s="50"/>
      <c r="M27" s="50"/>
      <c r="N27" s="1343"/>
      <c r="O27" s="1334"/>
      <c r="P27" s="50"/>
      <c r="Q27" s="50"/>
      <c r="R27" s="1325"/>
      <c r="S27" s="1318"/>
      <c r="T27" s="50"/>
      <c r="U27" s="50"/>
      <c r="V27" s="1343"/>
      <c r="W27" s="1334"/>
      <c r="X27" s="50"/>
      <c r="Y27" s="50"/>
      <c r="Z27" s="1325"/>
      <c r="AA27" s="1334"/>
      <c r="AB27" s="50"/>
      <c r="AC27" s="50"/>
      <c r="AD27" s="1325"/>
      <c r="AE27" s="1334"/>
      <c r="AF27" s="50"/>
      <c r="AG27" s="50"/>
      <c r="AH27" s="1325"/>
      <c r="AI27" s="1318"/>
      <c r="AJ27" s="50"/>
      <c r="AK27" s="50"/>
      <c r="AL27" s="1343"/>
      <c r="AM27" s="1334"/>
      <c r="AN27" s="50"/>
      <c r="AO27" s="50"/>
      <c r="AP27" s="1325"/>
      <c r="AQ27" s="1334"/>
      <c r="AR27" s="50"/>
      <c r="AS27" s="50"/>
      <c r="AT27" s="1325"/>
      <c r="AU27" s="1318"/>
      <c r="AV27" s="50"/>
      <c r="AW27" s="50"/>
      <c r="AX27" s="1343"/>
      <c r="AY27" s="1334"/>
      <c r="AZ27" s="50"/>
      <c r="BA27" s="50"/>
      <c r="BB27" s="1325"/>
      <c r="BC27" s="1334"/>
      <c r="BD27" s="50"/>
      <c r="BE27" s="50"/>
      <c r="BF27" s="1325"/>
    </row>
    <row r="28" spans="1:58" s="544" customFormat="1" ht="15" customHeight="1">
      <c r="A28" s="55"/>
      <c r="B28" s="57" t="s">
        <v>125</v>
      </c>
      <c r="C28" s="50"/>
      <c r="D28" s="50"/>
      <c r="E28" s="50"/>
      <c r="F28" s="1343"/>
      <c r="G28" s="1334"/>
      <c r="H28" s="50"/>
      <c r="I28" s="50"/>
      <c r="J28" s="1325"/>
      <c r="K28" s="1318"/>
      <c r="L28" s="50"/>
      <c r="M28" s="50"/>
      <c r="N28" s="1343"/>
      <c r="O28" s="1334"/>
      <c r="P28" s="50"/>
      <c r="Q28" s="50"/>
      <c r="R28" s="1325"/>
      <c r="S28" s="1318"/>
      <c r="T28" s="50"/>
      <c r="U28" s="50"/>
      <c r="V28" s="1343"/>
      <c r="W28" s="1334"/>
      <c r="X28" s="50"/>
      <c r="Y28" s="50"/>
      <c r="Z28" s="1325"/>
      <c r="AA28" s="1334"/>
      <c r="AB28" s="50"/>
      <c r="AC28" s="50"/>
      <c r="AD28" s="1325"/>
      <c r="AE28" s="1334"/>
      <c r="AF28" s="50"/>
      <c r="AG28" s="50"/>
      <c r="AH28" s="1325"/>
      <c r="AI28" s="1318"/>
      <c r="AJ28" s="50"/>
      <c r="AK28" s="50"/>
      <c r="AL28" s="1343"/>
      <c r="AM28" s="1334"/>
      <c r="AN28" s="50"/>
      <c r="AO28" s="50"/>
      <c r="AP28" s="1325"/>
      <c r="AQ28" s="1334"/>
      <c r="AR28" s="50"/>
      <c r="AS28" s="50"/>
      <c r="AT28" s="1325"/>
      <c r="AU28" s="1318"/>
      <c r="AV28" s="50"/>
      <c r="AW28" s="50"/>
      <c r="AX28" s="1343"/>
      <c r="AY28" s="1334"/>
      <c r="AZ28" s="50"/>
      <c r="BA28" s="50"/>
      <c r="BB28" s="1325"/>
      <c r="BC28" s="1334"/>
      <c r="BD28" s="50"/>
      <c r="BE28" s="50"/>
      <c r="BF28" s="1325"/>
    </row>
    <row r="29" spans="1:58" s="544" customFormat="1" ht="15" customHeight="1">
      <c r="A29" s="55"/>
      <c r="B29" s="56" t="s">
        <v>126</v>
      </c>
      <c r="C29" s="50"/>
      <c r="D29" s="50"/>
      <c r="E29" s="50"/>
      <c r="F29" s="1343"/>
      <c r="G29" s="1334"/>
      <c r="H29" s="50"/>
      <c r="I29" s="50"/>
      <c r="J29" s="1325"/>
      <c r="K29" s="1318"/>
      <c r="L29" s="50"/>
      <c r="M29" s="50"/>
      <c r="N29" s="1343"/>
      <c r="O29" s="1334"/>
      <c r="P29" s="50"/>
      <c r="Q29" s="50"/>
      <c r="R29" s="1325"/>
      <c r="S29" s="1318"/>
      <c r="T29" s="50"/>
      <c r="U29" s="50"/>
      <c r="V29" s="1343"/>
      <c r="W29" s="1334"/>
      <c r="X29" s="50"/>
      <c r="Y29" s="50"/>
      <c r="Z29" s="1325"/>
      <c r="AA29" s="1334"/>
      <c r="AB29" s="50"/>
      <c r="AC29" s="50"/>
      <c r="AD29" s="1325"/>
      <c r="AE29" s="1334"/>
      <c r="AF29" s="50"/>
      <c r="AG29" s="50"/>
      <c r="AH29" s="1325"/>
      <c r="AI29" s="1318"/>
      <c r="AJ29" s="50"/>
      <c r="AK29" s="50"/>
      <c r="AL29" s="1343"/>
      <c r="AM29" s="1334"/>
      <c r="AN29" s="50"/>
      <c r="AO29" s="50"/>
      <c r="AP29" s="1325"/>
      <c r="AQ29" s="1334"/>
      <c r="AR29" s="50"/>
      <c r="AS29" s="50"/>
      <c r="AT29" s="1325"/>
      <c r="AU29" s="1318"/>
      <c r="AV29" s="50"/>
      <c r="AW29" s="50"/>
      <c r="AX29" s="1343"/>
      <c r="AY29" s="1334"/>
      <c r="AZ29" s="50"/>
      <c r="BA29" s="50"/>
      <c r="BB29" s="1325"/>
      <c r="BC29" s="1334"/>
      <c r="BD29" s="50"/>
      <c r="BE29" s="50"/>
      <c r="BF29" s="1325"/>
    </row>
    <row r="30" spans="1:58" s="544" customFormat="1" ht="15" customHeight="1">
      <c r="A30" s="115"/>
      <c r="B30" s="116" t="s">
        <v>1198</v>
      </c>
      <c r="C30" s="118">
        <f>C31+C35+C40</f>
        <v>51.744999999999997</v>
      </c>
      <c r="D30" s="118">
        <f t="shared" ref="D30:AP30" si="9">D31+D35+D40</f>
        <v>0</v>
      </c>
      <c r="E30" s="118">
        <f t="shared" si="9"/>
        <v>106.917</v>
      </c>
      <c r="F30" s="1340">
        <f t="shared" si="9"/>
        <v>0</v>
      </c>
      <c r="G30" s="1331">
        <f t="shared" si="9"/>
        <v>17.2</v>
      </c>
      <c r="H30" s="118">
        <f t="shared" si="9"/>
        <v>0</v>
      </c>
      <c r="I30" s="118">
        <f t="shared" si="9"/>
        <v>107.86199999999999</v>
      </c>
      <c r="J30" s="1322">
        <f t="shared" si="9"/>
        <v>0</v>
      </c>
      <c r="K30" s="1315">
        <v>51.912999999999997</v>
      </c>
      <c r="L30" s="118">
        <v>0</v>
      </c>
      <c r="M30" s="118">
        <v>109.65600000000001</v>
      </c>
      <c r="N30" s="1340">
        <v>0</v>
      </c>
      <c r="O30" s="1331">
        <v>49.524000000000001</v>
      </c>
      <c r="P30" s="118">
        <v>0</v>
      </c>
      <c r="Q30" s="118">
        <v>101.3079</v>
      </c>
      <c r="R30" s="1322">
        <v>0</v>
      </c>
      <c r="S30" s="1315">
        <v>17.2</v>
      </c>
      <c r="T30" s="118">
        <v>0</v>
      </c>
      <c r="U30" s="118">
        <v>107.688</v>
      </c>
      <c r="V30" s="1340">
        <v>0</v>
      </c>
      <c r="W30" s="1331">
        <v>49.524000000000001</v>
      </c>
      <c r="X30" s="118">
        <v>0</v>
      </c>
      <c r="Y30" s="118">
        <v>96.246299999999991</v>
      </c>
      <c r="Z30" s="1322">
        <v>0</v>
      </c>
      <c r="AA30" s="1331">
        <v>49.524000000000001</v>
      </c>
      <c r="AB30" s="118"/>
      <c r="AC30" s="118">
        <v>101.3079</v>
      </c>
      <c r="AD30" s="1322"/>
      <c r="AE30" s="1331">
        <v>49.524000000000001</v>
      </c>
      <c r="AF30" s="118">
        <v>0</v>
      </c>
      <c r="AG30" s="118">
        <v>96.38</v>
      </c>
      <c r="AH30" s="1322">
        <v>0</v>
      </c>
      <c r="AI30" s="1315">
        <v>49.524000000000001</v>
      </c>
      <c r="AJ30" s="118">
        <v>0</v>
      </c>
      <c r="AK30" s="118">
        <v>96.38</v>
      </c>
      <c r="AL30" s="1340">
        <v>0</v>
      </c>
      <c r="AM30" s="1331">
        <v>49.524000000000001</v>
      </c>
      <c r="AN30" s="118">
        <v>0</v>
      </c>
      <c r="AO30" s="118">
        <v>62.73</v>
      </c>
      <c r="AP30" s="1322">
        <v>0</v>
      </c>
      <c r="AQ30" s="1331">
        <v>49.524000000000001</v>
      </c>
      <c r="AR30" s="118">
        <v>0</v>
      </c>
      <c r="AS30" s="118">
        <v>33.65</v>
      </c>
      <c r="AT30" s="1322">
        <v>0</v>
      </c>
      <c r="AU30" s="1315">
        <v>49.524000000000001</v>
      </c>
      <c r="AV30" s="118">
        <v>0</v>
      </c>
      <c r="AW30" s="118">
        <v>96.38</v>
      </c>
      <c r="AX30" s="1340">
        <v>0</v>
      </c>
      <c r="AY30" s="1331">
        <v>49.524000000000001</v>
      </c>
      <c r="AZ30" s="118">
        <v>0</v>
      </c>
      <c r="BA30" s="118">
        <v>62.73</v>
      </c>
      <c r="BB30" s="1322">
        <v>0</v>
      </c>
      <c r="BC30" s="1331">
        <v>49.524000000000001</v>
      </c>
      <c r="BD30" s="118">
        <v>0</v>
      </c>
      <c r="BE30" s="118">
        <v>33.65</v>
      </c>
      <c r="BF30" s="1322">
        <v>0</v>
      </c>
    </row>
    <row r="31" spans="1:58" s="108" customFormat="1" ht="15" customHeight="1">
      <c r="A31" s="295"/>
      <c r="B31" s="296" t="s">
        <v>120</v>
      </c>
      <c r="C31" s="297">
        <v>51.744999999999997</v>
      </c>
      <c r="D31" s="297"/>
      <c r="E31" s="297">
        <v>106.917</v>
      </c>
      <c r="F31" s="1344"/>
      <c r="G31" s="1335">
        <v>17.2</v>
      </c>
      <c r="H31" s="297"/>
      <c r="I31" s="297">
        <v>107.86199999999999</v>
      </c>
      <c r="J31" s="1326"/>
      <c r="K31" s="1319">
        <v>51.912999999999997</v>
      </c>
      <c r="L31" s="297"/>
      <c r="M31" s="297">
        <v>109.65600000000001</v>
      </c>
      <c r="N31" s="1344"/>
      <c r="O31" s="1335">
        <v>49.524000000000001</v>
      </c>
      <c r="P31" s="297"/>
      <c r="Q31" s="297">
        <v>101.3079</v>
      </c>
      <c r="R31" s="1326"/>
      <c r="S31" s="1319">
        <v>17.2</v>
      </c>
      <c r="T31" s="297"/>
      <c r="U31" s="297">
        <v>107.688</v>
      </c>
      <c r="V31" s="1344"/>
      <c r="W31" s="1335">
        <v>49.524000000000001</v>
      </c>
      <c r="X31" s="297"/>
      <c r="Y31" s="297">
        <v>96.246299999999991</v>
      </c>
      <c r="Z31" s="1326"/>
      <c r="AA31" s="1335">
        <v>49.524000000000001</v>
      </c>
      <c r="AB31" s="297"/>
      <c r="AC31" s="297">
        <v>101.3079</v>
      </c>
      <c r="AD31" s="1326"/>
      <c r="AE31" s="1335">
        <v>49.524000000000001</v>
      </c>
      <c r="AF31" s="297"/>
      <c r="AG31" s="297">
        <v>96.38</v>
      </c>
      <c r="AH31" s="1326"/>
      <c r="AI31" s="1319">
        <v>49.524000000000001</v>
      </c>
      <c r="AJ31" s="297"/>
      <c r="AK31" s="297">
        <v>96.38</v>
      </c>
      <c r="AL31" s="1344"/>
      <c r="AM31" s="1335">
        <v>49.524000000000001</v>
      </c>
      <c r="AN31" s="297"/>
      <c r="AO31" s="297">
        <v>62.73</v>
      </c>
      <c r="AP31" s="1326"/>
      <c r="AQ31" s="1335">
        <v>49.524000000000001</v>
      </c>
      <c r="AR31" s="297"/>
      <c r="AS31" s="297">
        <v>33.65</v>
      </c>
      <c r="AT31" s="1326"/>
      <c r="AU31" s="1319">
        <v>49.524000000000001</v>
      </c>
      <c r="AV31" s="297"/>
      <c r="AW31" s="297">
        <v>96.38</v>
      </c>
      <c r="AX31" s="1344"/>
      <c r="AY31" s="1335">
        <v>49.524000000000001</v>
      </c>
      <c r="AZ31" s="297"/>
      <c r="BA31" s="297">
        <v>62.73</v>
      </c>
      <c r="BB31" s="1326"/>
      <c r="BC31" s="1335">
        <v>49.524000000000001</v>
      </c>
      <c r="BD31" s="297"/>
      <c r="BE31" s="297">
        <v>33.65</v>
      </c>
      <c r="BF31" s="1326"/>
    </row>
    <row r="32" spans="1:58" s="294" customFormat="1" ht="15" customHeight="1">
      <c r="A32" s="292"/>
      <c r="B32" s="1281" t="s">
        <v>1697</v>
      </c>
      <c r="C32" s="616"/>
      <c r="D32" s="616"/>
      <c r="E32" s="616"/>
      <c r="F32" s="1345"/>
      <c r="G32" s="1333"/>
      <c r="H32" s="616"/>
      <c r="I32" s="616"/>
      <c r="J32" s="1324"/>
      <c r="K32" s="1317"/>
      <c r="L32" s="616"/>
      <c r="M32" s="616"/>
      <c r="N32" s="1345"/>
      <c r="O32" s="1333">
        <v>0.371</v>
      </c>
      <c r="P32" s="1345"/>
      <c r="Q32" s="616">
        <v>1.111443</v>
      </c>
      <c r="R32" s="1324"/>
      <c r="S32" s="1317"/>
      <c r="T32" s="616"/>
      <c r="U32" s="616"/>
      <c r="V32" s="1324"/>
      <c r="W32" s="1319">
        <v>0.371</v>
      </c>
      <c r="X32" s="616"/>
      <c r="Y32" s="297">
        <v>0.82450000000000001</v>
      </c>
      <c r="Z32" s="1324"/>
      <c r="AA32" s="1335">
        <v>0.371</v>
      </c>
      <c r="AB32" s="616"/>
      <c r="AC32" s="297">
        <v>1.111443</v>
      </c>
      <c r="AD32" s="1324"/>
      <c r="AE32" s="1335">
        <v>0.371</v>
      </c>
      <c r="AF32" s="616"/>
      <c r="AG32" s="297">
        <v>0.94</v>
      </c>
      <c r="AH32" s="1324"/>
      <c r="AI32" s="1333">
        <v>0.371</v>
      </c>
      <c r="AJ32" s="616"/>
      <c r="AK32" s="616">
        <v>0.94</v>
      </c>
      <c r="AL32" s="1345"/>
      <c r="AM32" s="1335">
        <v>0.371</v>
      </c>
      <c r="AN32" s="616"/>
      <c r="AO32" s="297">
        <v>0.48</v>
      </c>
      <c r="AP32" s="1324"/>
      <c r="AQ32" s="1335">
        <v>0.371</v>
      </c>
      <c r="AR32" s="616"/>
      <c r="AS32" s="297">
        <v>0.46</v>
      </c>
      <c r="AT32" s="1324"/>
      <c r="AU32" s="1333">
        <v>0.371</v>
      </c>
      <c r="AV32" s="616"/>
      <c r="AW32" s="616">
        <v>0.94</v>
      </c>
      <c r="AX32" s="1345"/>
      <c r="AY32" s="1335">
        <v>0.371</v>
      </c>
      <c r="AZ32" s="616"/>
      <c r="BA32" s="297">
        <v>0.48</v>
      </c>
      <c r="BB32" s="1324"/>
      <c r="BC32" s="1335">
        <v>0.371</v>
      </c>
      <c r="BD32" s="616"/>
      <c r="BE32" s="297">
        <v>0.46</v>
      </c>
      <c r="BF32" s="1324"/>
    </row>
    <row r="33" spans="1:58" s="294" customFormat="1" ht="15" customHeight="1">
      <c r="A33" s="292"/>
      <c r="B33" s="1281" t="s">
        <v>1512</v>
      </c>
      <c r="C33" s="616"/>
      <c r="D33" s="616"/>
      <c r="E33" s="616"/>
      <c r="F33" s="1345"/>
      <c r="G33" s="1333"/>
      <c r="H33" s="616"/>
      <c r="I33" s="616"/>
      <c r="J33" s="1324"/>
      <c r="K33" s="1317"/>
      <c r="L33" s="616"/>
      <c r="M33" s="616"/>
      <c r="N33" s="1345"/>
      <c r="O33" s="1333">
        <v>4.173</v>
      </c>
      <c r="P33" s="1345"/>
      <c r="Q33" s="616">
        <v>7.182105</v>
      </c>
      <c r="R33" s="1324"/>
      <c r="S33" s="1317"/>
      <c r="T33" s="616"/>
      <c r="U33" s="616"/>
      <c r="V33" s="1324"/>
      <c r="W33" s="1319">
        <v>4.173</v>
      </c>
      <c r="X33" s="616"/>
      <c r="Y33" s="297">
        <v>7.282</v>
      </c>
      <c r="Z33" s="1324"/>
      <c r="AA33" s="1335">
        <v>4.173</v>
      </c>
      <c r="AB33" s="616"/>
      <c r="AC33" s="297">
        <v>7.182105</v>
      </c>
      <c r="AD33" s="1324"/>
      <c r="AE33" s="1335">
        <v>4.173</v>
      </c>
      <c r="AF33" s="616"/>
      <c r="AG33" s="297">
        <v>7</v>
      </c>
      <c r="AH33" s="1324"/>
      <c r="AI33" s="1333">
        <v>4.173</v>
      </c>
      <c r="AJ33" s="616"/>
      <c r="AK33" s="616">
        <v>7</v>
      </c>
      <c r="AL33" s="1345"/>
      <c r="AM33" s="1335">
        <v>4.173</v>
      </c>
      <c r="AN33" s="616"/>
      <c r="AO33" s="297">
        <v>4.7</v>
      </c>
      <c r="AP33" s="1324"/>
      <c r="AQ33" s="1335">
        <v>4.173</v>
      </c>
      <c r="AR33" s="616"/>
      <c r="AS33" s="297">
        <v>2.2999999999999998</v>
      </c>
      <c r="AT33" s="1324"/>
      <c r="AU33" s="1333">
        <v>4.173</v>
      </c>
      <c r="AV33" s="616"/>
      <c r="AW33" s="616">
        <v>7</v>
      </c>
      <c r="AX33" s="1345"/>
      <c r="AY33" s="1335">
        <v>4.173</v>
      </c>
      <c r="AZ33" s="616"/>
      <c r="BA33" s="297">
        <v>4.7</v>
      </c>
      <c r="BB33" s="1324"/>
      <c r="BC33" s="1335">
        <v>4.173</v>
      </c>
      <c r="BD33" s="616"/>
      <c r="BE33" s="297">
        <v>2.2999999999999998</v>
      </c>
      <c r="BF33" s="1324"/>
    </row>
    <row r="34" spans="1:58" s="294" customFormat="1" ht="15" customHeight="1">
      <c r="A34" s="292"/>
      <c r="B34" s="1281" t="s">
        <v>1513</v>
      </c>
      <c r="C34" s="616"/>
      <c r="D34" s="616"/>
      <c r="E34" s="616"/>
      <c r="F34" s="1345"/>
      <c r="G34" s="1333"/>
      <c r="H34" s="616"/>
      <c r="I34" s="616"/>
      <c r="J34" s="1324"/>
      <c r="K34" s="1317"/>
      <c r="L34" s="616"/>
      <c r="M34" s="616"/>
      <c r="N34" s="1345"/>
      <c r="O34" s="1333">
        <v>44.980000000000004</v>
      </c>
      <c r="P34" s="1345"/>
      <c r="Q34" s="616">
        <v>93.014352000000002</v>
      </c>
      <c r="R34" s="1324"/>
      <c r="S34" s="1317"/>
      <c r="T34" s="616"/>
      <c r="U34" s="616"/>
      <c r="V34" s="1324"/>
      <c r="W34" s="1319">
        <v>44.980000000000004</v>
      </c>
      <c r="X34" s="616"/>
      <c r="Y34" s="297">
        <v>88.139799999999994</v>
      </c>
      <c r="Z34" s="1324"/>
      <c r="AA34" s="1335">
        <v>44.980000000000004</v>
      </c>
      <c r="AB34" s="616"/>
      <c r="AC34" s="297">
        <v>93.014352000000002</v>
      </c>
      <c r="AD34" s="1324"/>
      <c r="AE34" s="1335">
        <v>44.980000000000004</v>
      </c>
      <c r="AF34" s="616"/>
      <c r="AG34" s="297">
        <v>88.44</v>
      </c>
      <c r="AH34" s="1324"/>
      <c r="AI34" s="1333">
        <v>44.980000000000004</v>
      </c>
      <c r="AJ34" s="616"/>
      <c r="AK34" s="616">
        <v>88.44</v>
      </c>
      <c r="AL34" s="1345"/>
      <c r="AM34" s="1335">
        <v>44.980000000000004</v>
      </c>
      <c r="AN34" s="616"/>
      <c r="AO34" s="297">
        <v>57.55</v>
      </c>
      <c r="AP34" s="1324"/>
      <c r="AQ34" s="1335">
        <v>44.980000000000004</v>
      </c>
      <c r="AR34" s="616"/>
      <c r="AS34" s="297">
        <v>30.89</v>
      </c>
      <c r="AT34" s="1324"/>
      <c r="AU34" s="1333">
        <v>44.980000000000004</v>
      </c>
      <c r="AV34" s="616"/>
      <c r="AW34" s="616">
        <v>88.44</v>
      </c>
      <c r="AX34" s="1345"/>
      <c r="AY34" s="1335">
        <v>44.980000000000004</v>
      </c>
      <c r="AZ34" s="616"/>
      <c r="BA34" s="297">
        <v>57.55</v>
      </c>
      <c r="BB34" s="1324"/>
      <c r="BC34" s="1335">
        <v>44.980000000000004</v>
      </c>
      <c r="BD34" s="616"/>
      <c r="BE34" s="297">
        <v>30.89</v>
      </c>
      <c r="BF34" s="1324"/>
    </row>
    <row r="35" spans="1:58" s="544" customFormat="1" ht="15" customHeight="1">
      <c r="A35" s="55"/>
      <c r="B35" s="57" t="s">
        <v>121</v>
      </c>
      <c r="C35" s="50"/>
      <c r="D35" s="50"/>
      <c r="E35" s="50"/>
      <c r="F35" s="1343"/>
      <c r="G35" s="1334"/>
      <c r="H35" s="50"/>
      <c r="I35" s="50"/>
      <c r="J35" s="1325"/>
      <c r="K35" s="1318"/>
      <c r="L35" s="50"/>
      <c r="M35" s="50"/>
      <c r="N35" s="1343"/>
      <c r="O35" s="1334"/>
      <c r="P35" s="50"/>
      <c r="Q35" s="50"/>
      <c r="R35" s="1325"/>
      <c r="S35" s="1318"/>
      <c r="T35" s="50"/>
      <c r="U35" s="50"/>
      <c r="V35" s="1343"/>
      <c r="W35" s="1334"/>
      <c r="X35" s="50"/>
      <c r="Y35" s="50"/>
      <c r="Z35" s="1325"/>
      <c r="AA35" s="1334"/>
      <c r="AB35" s="50"/>
      <c r="AC35" s="50"/>
      <c r="AD35" s="1325"/>
      <c r="AE35" s="1334"/>
      <c r="AF35" s="50"/>
      <c r="AG35" s="50"/>
      <c r="AH35" s="1325"/>
      <c r="AI35" s="1318"/>
      <c r="AJ35" s="50"/>
      <c r="AK35" s="50"/>
      <c r="AL35" s="1343"/>
      <c r="AM35" s="1334"/>
      <c r="AN35" s="50"/>
      <c r="AO35" s="50"/>
      <c r="AP35" s="1325"/>
      <c r="AQ35" s="1334"/>
      <c r="AR35" s="50"/>
      <c r="AS35" s="50"/>
      <c r="AT35" s="1325"/>
      <c r="AU35" s="1318"/>
      <c r="AV35" s="50"/>
      <c r="AW35" s="50"/>
      <c r="AX35" s="1343"/>
      <c r="AY35" s="1334"/>
      <c r="AZ35" s="50"/>
      <c r="BA35" s="50"/>
      <c r="BB35" s="1325"/>
      <c r="BC35" s="1334"/>
      <c r="BD35" s="50"/>
      <c r="BE35" s="50"/>
      <c r="BF35" s="1325"/>
    </row>
    <row r="36" spans="1:58" s="544" customFormat="1" ht="15" customHeight="1">
      <c r="A36" s="55"/>
      <c r="B36" s="57" t="s">
        <v>122</v>
      </c>
      <c r="C36" s="50"/>
      <c r="D36" s="50"/>
      <c r="E36" s="50"/>
      <c r="F36" s="1343"/>
      <c r="G36" s="1334"/>
      <c r="H36" s="50"/>
      <c r="I36" s="50"/>
      <c r="J36" s="1325"/>
      <c r="K36" s="1318"/>
      <c r="L36" s="50"/>
      <c r="M36" s="50"/>
      <c r="N36" s="1343"/>
      <c r="O36" s="1334"/>
      <c r="P36" s="50"/>
      <c r="Q36" s="50"/>
      <c r="R36" s="1325"/>
      <c r="S36" s="1318"/>
      <c r="T36" s="50"/>
      <c r="U36" s="50"/>
      <c r="V36" s="1343"/>
      <c r="W36" s="1334"/>
      <c r="X36" s="50"/>
      <c r="Y36" s="50"/>
      <c r="Z36" s="1325"/>
      <c r="AA36" s="1334"/>
      <c r="AB36" s="50"/>
      <c r="AC36" s="50"/>
      <c r="AD36" s="1325"/>
      <c r="AE36" s="1334"/>
      <c r="AF36" s="50"/>
      <c r="AG36" s="50"/>
      <c r="AH36" s="1325"/>
      <c r="AI36" s="1318"/>
      <c r="AJ36" s="50"/>
      <c r="AK36" s="50"/>
      <c r="AL36" s="1343"/>
      <c r="AM36" s="1334"/>
      <c r="AN36" s="50"/>
      <c r="AO36" s="50"/>
      <c r="AP36" s="1325"/>
      <c r="AQ36" s="1334"/>
      <c r="AR36" s="50"/>
      <c r="AS36" s="50"/>
      <c r="AT36" s="1325"/>
      <c r="AU36" s="1318"/>
      <c r="AV36" s="50"/>
      <c r="AW36" s="50"/>
      <c r="AX36" s="1343"/>
      <c r="AY36" s="1334"/>
      <c r="AZ36" s="50"/>
      <c r="BA36" s="50"/>
      <c r="BB36" s="1325"/>
      <c r="BC36" s="1334"/>
      <c r="BD36" s="50"/>
      <c r="BE36" s="50"/>
      <c r="BF36" s="1325"/>
    </row>
    <row r="37" spans="1:58" s="544" customFormat="1" ht="15" customHeight="1">
      <c r="A37" s="55"/>
      <c r="B37" s="57" t="s">
        <v>123</v>
      </c>
      <c r="C37" s="50"/>
      <c r="D37" s="50"/>
      <c r="E37" s="50"/>
      <c r="F37" s="1343"/>
      <c r="G37" s="1334"/>
      <c r="H37" s="50"/>
      <c r="I37" s="50"/>
      <c r="J37" s="1325"/>
      <c r="K37" s="1318"/>
      <c r="L37" s="50"/>
      <c r="M37" s="50"/>
      <c r="N37" s="1343"/>
      <c r="O37" s="1334"/>
      <c r="P37" s="50"/>
      <c r="Q37" s="50"/>
      <c r="R37" s="1325"/>
      <c r="S37" s="1318"/>
      <c r="T37" s="50"/>
      <c r="U37" s="50"/>
      <c r="V37" s="1343"/>
      <c r="W37" s="1334"/>
      <c r="X37" s="50"/>
      <c r="Y37" s="50"/>
      <c r="Z37" s="1325"/>
      <c r="AA37" s="1334"/>
      <c r="AB37" s="50"/>
      <c r="AC37" s="50"/>
      <c r="AD37" s="1325"/>
      <c r="AE37" s="1334"/>
      <c r="AF37" s="50"/>
      <c r="AG37" s="50"/>
      <c r="AH37" s="1325"/>
      <c r="AI37" s="1318"/>
      <c r="AJ37" s="50"/>
      <c r="AK37" s="50"/>
      <c r="AL37" s="1343"/>
      <c r="AM37" s="1334"/>
      <c r="AN37" s="50"/>
      <c r="AO37" s="50"/>
      <c r="AP37" s="1325"/>
      <c r="AQ37" s="1334"/>
      <c r="AR37" s="50"/>
      <c r="AS37" s="50"/>
      <c r="AT37" s="1325"/>
      <c r="AU37" s="1318"/>
      <c r="AV37" s="50"/>
      <c r="AW37" s="50"/>
      <c r="AX37" s="1343"/>
      <c r="AY37" s="1334"/>
      <c r="AZ37" s="50"/>
      <c r="BA37" s="50"/>
      <c r="BB37" s="1325"/>
      <c r="BC37" s="1334"/>
      <c r="BD37" s="50"/>
      <c r="BE37" s="50"/>
      <c r="BF37" s="1325"/>
    </row>
    <row r="38" spans="1:58" s="544" customFormat="1" ht="15" customHeight="1">
      <c r="A38" s="55"/>
      <c r="B38" s="57" t="s">
        <v>124</v>
      </c>
      <c r="C38" s="50"/>
      <c r="D38" s="50"/>
      <c r="E38" s="50"/>
      <c r="F38" s="1343"/>
      <c r="G38" s="1334"/>
      <c r="H38" s="50"/>
      <c r="I38" s="50"/>
      <c r="J38" s="1325"/>
      <c r="K38" s="1318"/>
      <c r="L38" s="50"/>
      <c r="M38" s="50"/>
      <c r="N38" s="1343"/>
      <c r="O38" s="1334"/>
      <c r="P38" s="50"/>
      <c r="Q38" s="50"/>
      <c r="R38" s="1325"/>
      <c r="S38" s="1318"/>
      <c r="T38" s="50"/>
      <c r="U38" s="50"/>
      <c r="V38" s="1343"/>
      <c r="W38" s="1334"/>
      <c r="X38" s="50"/>
      <c r="Y38" s="50"/>
      <c r="Z38" s="1325"/>
      <c r="AA38" s="1334"/>
      <c r="AB38" s="50"/>
      <c r="AC38" s="50"/>
      <c r="AD38" s="1325"/>
      <c r="AE38" s="1334"/>
      <c r="AF38" s="50"/>
      <c r="AG38" s="50"/>
      <c r="AH38" s="1325"/>
      <c r="AI38" s="1318"/>
      <c r="AJ38" s="50"/>
      <c r="AK38" s="50"/>
      <c r="AL38" s="1343"/>
      <c r="AM38" s="1334"/>
      <c r="AN38" s="50"/>
      <c r="AO38" s="50"/>
      <c r="AP38" s="1325"/>
      <c r="AQ38" s="1334"/>
      <c r="AR38" s="50"/>
      <c r="AS38" s="50"/>
      <c r="AT38" s="1325"/>
      <c r="AU38" s="1318"/>
      <c r="AV38" s="50"/>
      <c r="AW38" s="50"/>
      <c r="AX38" s="1343"/>
      <c r="AY38" s="1334"/>
      <c r="AZ38" s="50"/>
      <c r="BA38" s="50"/>
      <c r="BB38" s="1325"/>
      <c r="BC38" s="1334"/>
      <c r="BD38" s="50"/>
      <c r="BE38" s="50"/>
      <c r="BF38" s="1325"/>
    </row>
    <row r="39" spans="1:58" s="544" customFormat="1" ht="15" customHeight="1">
      <c r="A39" s="55"/>
      <c r="B39" s="57" t="s">
        <v>125</v>
      </c>
      <c r="C39" s="50"/>
      <c r="D39" s="50"/>
      <c r="E39" s="50"/>
      <c r="F39" s="1343"/>
      <c r="G39" s="1334"/>
      <c r="H39" s="50"/>
      <c r="I39" s="50"/>
      <c r="J39" s="1325"/>
      <c r="K39" s="1318"/>
      <c r="L39" s="50"/>
      <c r="M39" s="50"/>
      <c r="N39" s="1343"/>
      <c r="O39" s="1334"/>
      <c r="P39" s="50"/>
      <c r="Q39" s="50"/>
      <c r="R39" s="1325"/>
      <c r="S39" s="1318"/>
      <c r="T39" s="50"/>
      <c r="U39" s="50"/>
      <c r="V39" s="1343"/>
      <c r="W39" s="1334"/>
      <c r="X39" s="50"/>
      <c r="Y39" s="50"/>
      <c r="Z39" s="1325"/>
      <c r="AA39" s="1334"/>
      <c r="AB39" s="50"/>
      <c r="AC39" s="50"/>
      <c r="AD39" s="1325"/>
      <c r="AE39" s="1334"/>
      <c r="AF39" s="50"/>
      <c r="AG39" s="50"/>
      <c r="AH39" s="1325"/>
      <c r="AI39" s="1318"/>
      <c r="AJ39" s="50"/>
      <c r="AK39" s="50"/>
      <c r="AL39" s="1343"/>
      <c r="AM39" s="1334"/>
      <c r="AN39" s="50"/>
      <c r="AO39" s="50"/>
      <c r="AP39" s="1325"/>
      <c r="AQ39" s="1334"/>
      <c r="AR39" s="50"/>
      <c r="AS39" s="50"/>
      <c r="AT39" s="1325"/>
      <c r="AU39" s="1318"/>
      <c r="AV39" s="50"/>
      <c r="AW39" s="50"/>
      <c r="AX39" s="1343"/>
      <c r="AY39" s="1334"/>
      <c r="AZ39" s="50"/>
      <c r="BA39" s="50"/>
      <c r="BB39" s="1325"/>
      <c r="BC39" s="1334"/>
      <c r="BD39" s="50"/>
      <c r="BE39" s="50"/>
      <c r="BF39" s="1325"/>
    </row>
    <row r="40" spans="1:58" s="544" customFormat="1" ht="15" customHeight="1">
      <c r="A40" s="55"/>
      <c r="B40" s="56" t="s">
        <v>126</v>
      </c>
      <c r="C40" s="50"/>
      <c r="D40" s="50"/>
      <c r="E40" s="50"/>
      <c r="F40" s="1343"/>
      <c r="G40" s="1334"/>
      <c r="H40" s="50"/>
      <c r="I40" s="50"/>
      <c r="J40" s="1325"/>
      <c r="K40" s="1318"/>
      <c r="L40" s="50"/>
      <c r="M40" s="50"/>
      <c r="N40" s="1343"/>
      <c r="O40" s="1334"/>
      <c r="P40" s="50"/>
      <c r="Q40" s="50"/>
      <c r="R40" s="1325"/>
      <c r="S40" s="1318"/>
      <c r="T40" s="50"/>
      <c r="U40" s="50"/>
      <c r="V40" s="1343"/>
      <c r="W40" s="1334"/>
      <c r="X40" s="50"/>
      <c r="Y40" s="50"/>
      <c r="Z40" s="1325"/>
      <c r="AA40" s="1334"/>
      <c r="AB40" s="50"/>
      <c r="AC40" s="50"/>
      <c r="AD40" s="1325"/>
      <c r="AE40" s="1334"/>
      <c r="AF40" s="50"/>
      <c r="AG40" s="50"/>
      <c r="AH40" s="1325"/>
      <c r="AI40" s="1318"/>
      <c r="AJ40" s="50"/>
      <c r="AK40" s="50"/>
      <c r="AL40" s="1343"/>
      <c r="AM40" s="1334"/>
      <c r="AN40" s="50"/>
      <c r="AO40" s="50"/>
      <c r="AP40" s="1325"/>
      <c r="AQ40" s="1334"/>
      <c r="AR40" s="50"/>
      <c r="AS40" s="50"/>
      <c r="AT40" s="1325"/>
      <c r="AU40" s="1318"/>
      <c r="AV40" s="50"/>
      <c r="AW40" s="50"/>
      <c r="AX40" s="1343"/>
      <c r="AY40" s="1334"/>
      <c r="AZ40" s="50"/>
      <c r="BA40" s="50"/>
      <c r="BB40" s="1325"/>
      <c r="BC40" s="1334"/>
      <c r="BD40" s="50"/>
      <c r="BE40" s="50"/>
      <c r="BF40" s="1325"/>
    </row>
    <row r="41" spans="1:58" s="544" customFormat="1" ht="15" customHeight="1">
      <c r="A41" s="115"/>
      <c r="B41" s="116" t="s">
        <v>1199</v>
      </c>
      <c r="C41" s="118">
        <f>C42+C46+C51</f>
        <v>27.36</v>
      </c>
      <c r="D41" s="118">
        <f t="shared" ref="D41:AP41" si="10">D42+D46+D51</f>
        <v>0</v>
      </c>
      <c r="E41" s="118">
        <f t="shared" si="10"/>
        <v>133.584</v>
      </c>
      <c r="F41" s="1340">
        <f t="shared" si="10"/>
        <v>0</v>
      </c>
      <c r="G41" s="1331">
        <f t="shared" si="10"/>
        <v>61.905000000000001</v>
      </c>
      <c r="H41" s="118">
        <f t="shared" si="10"/>
        <v>0</v>
      </c>
      <c r="I41" s="118">
        <f t="shared" si="10"/>
        <v>95.020999999999873</v>
      </c>
      <c r="J41" s="1322">
        <f t="shared" si="10"/>
        <v>0</v>
      </c>
      <c r="K41" s="1315">
        <v>27.567</v>
      </c>
      <c r="L41" s="118">
        <v>0</v>
      </c>
      <c r="M41" s="118">
        <v>103.327</v>
      </c>
      <c r="N41" s="1340">
        <v>0</v>
      </c>
      <c r="O41" s="1331">
        <v>45.353999999999999</v>
      </c>
      <c r="P41" s="118">
        <v>0</v>
      </c>
      <c r="Q41" s="118">
        <v>89.447800000000001</v>
      </c>
      <c r="R41" s="1322">
        <v>0</v>
      </c>
      <c r="S41" s="1315">
        <v>61.905000000000001</v>
      </c>
      <c r="T41" s="118">
        <v>0</v>
      </c>
      <c r="U41" s="118">
        <v>94.868000000000094</v>
      </c>
      <c r="V41" s="1340">
        <v>0</v>
      </c>
      <c r="W41" s="1331">
        <v>45.353999999999999</v>
      </c>
      <c r="X41" s="118">
        <v>0</v>
      </c>
      <c r="Y41" s="118">
        <v>91.396900000000002</v>
      </c>
      <c r="Z41" s="1322">
        <v>0</v>
      </c>
      <c r="AA41" s="1331">
        <v>45.353999999999999</v>
      </c>
      <c r="AB41" s="118"/>
      <c r="AC41" s="118">
        <v>88.726945607077639</v>
      </c>
      <c r="AD41" s="1322">
        <v>0</v>
      </c>
      <c r="AE41" s="1331">
        <v>45.353999999999999</v>
      </c>
      <c r="AF41" s="118">
        <v>0</v>
      </c>
      <c r="AG41" s="118">
        <v>90.62</v>
      </c>
      <c r="AH41" s="1322">
        <v>0</v>
      </c>
      <c r="AI41" s="1315">
        <v>45.353999999999999</v>
      </c>
      <c r="AJ41" s="118">
        <v>0</v>
      </c>
      <c r="AK41" s="118">
        <v>90.62</v>
      </c>
      <c r="AL41" s="1340">
        <v>0</v>
      </c>
      <c r="AM41" s="1331">
        <v>45.353999999999999</v>
      </c>
      <c r="AN41" s="118">
        <v>0</v>
      </c>
      <c r="AO41" s="118">
        <v>59.639999999999993</v>
      </c>
      <c r="AP41" s="1322">
        <v>0</v>
      </c>
      <c r="AQ41" s="1331">
        <v>45.353999999999999</v>
      </c>
      <c r="AR41" s="118">
        <v>0</v>
      </c>
      <c r="AS41" s="118">
        <v>30.98</v>
      </c>
      <c r="AT41" s="1322">
        <v>0</v>
      </c>
      <c r="AU41" s="1315">
        <v>45.353999999999999</v>
      </c>
      <c r="AV41" s="118">
        <v>0</v>
      </c>
      <c r="AW41" s="118">
        <v>90.62</v>
      </c>
      <c r="AX41" s="1340">
        <v>0</v>
      </c>
      <c r="AY41" s="1331">
        <v>45.353999999999999</v>
      </c>
      <c r="AZ41" s="118">
        <v>0</v>
      </c>
      <c r="BA41" s="118">
        <v>59.639999999999993</v>
      </c>
      <c r="BB41" s="1322">
        <v>0</v>
      </c>
      <c r="BC41" s="1331">
        <v>45.353999999999999</v>
      </c>
      <c r="BD41" s="118">
        <v>0</v>
      </c>
      <c r="BE41" s="118">
        <v>30.98</v>
      </c>
      <c r="BF41" s="1322">
        <v>0</v>
      </c>
    </row>
    <row r="42" spans="1:58" s="108" customFormat="1" ht="15" customHeight="1">
      <c r="A42" s="295"/>
      <c r="B42" s="296" t="s">
        <v>120</v>
      </c>
      <c r="C42" s="297">
        <v>26.922000000000001</v>
      </c>
      <c r="D42" s="297"/>
      <c r="E42" s="297">
        <v>131.202</v>
      </c>
      <c r="F42" s="1344"/>
      <c r="G42" s="1335">
        <v>61.466999999999999</v>
      </c>
      <c r="H42" s="297"/>
      <c r="I42" s="297">
        <v>92.330999999999875</v>
      </c>
      <c r="J42" s="1326"/>
      <c r="K42" s="1319">
        <v>27.129000000000001</v>
      </c>
      <c r="L42" s="297"/>
      <c r="M42" s="297">
        <v>100.94499999999999</v>
      </c>
      <c r="N42" s="1344"/>
      <c r="O42" s="1335">
        <v>44.912999999999997</v>
      </c>
      <c r="P42" s="297"/>
      <c r="Q42" s="297">
        <v>86.566800000000001</v>
      </c>
      <c r="R42" s="1326"/>
      <c r="S42" s="1319">
        <v>61.466999999999999</v>
      </c>
      <c r="T42" s="297"/>
      <c r="U42" s="297">
        <v>92.486000000000089</v>
      </c>
      <c r="V42" s="1344"/>
      <c r="W42" s="1335">
        <v>44.912999999999997</v>
      </c>
      <c r="X42" s="297"/>
      <c r="Y42" s="297">
        <v>88.476399999999998</v>
      </c>
      <c r="Z42" s="1326"/>
      <c r="AA42" s="1335">
        <v>44.912999999999997</v>
      </c>
      <c r="AB42" s="297"/>
      <c r="AC42" s="297">
        <v>85.930430900957973</v>
      </c>
      <c r="AD42" s="1326"/>
      <c r="AE42" s="1335">
        <v>44.912999999999997</v>
      </c>
      <c r="AF42" s="297"/>
      <c r="AG42" s="297">
        <v>87.72</v>
      </c>
      <c r="AH42" s="1326"/>
      <c r="AI42" s="1319">
        <v>44.912999999999997</v>
      </c>
      <c r="AJ42" s="297"/>
      <c r="AK42" s="297">
        <v>87.72</v>
      </c>
      <c r="AL42" s="1344"/>
      <c r="AM42" s="1335">
        <v>44.912999999999997</v>
      </c>
      <c r="AN42" s="297"/>
      <c r="AO42" s="297">
        <v>58.199999999999996</v>
      </c>
      <c r="AP42" s="1326"/>
      <c r="AQ42" s="1335">
        <v>44.912999999999997</v>
      </c>
      <c r="AR42" s="297"/>
      <c r="AS42" s="297">
        <v>29.52</v>
      </c>
      <c r="AT42" s="1326"/>
      <c r="AU42" s="1319">
        <v>44.912999999999997</v>
      </c>
      <c r="AV42" s="297"/>
      <c r="AW42" s="297">
        <v>87.72</v>
      </c>
      <c r="AX42" s="1344"/>
      <c r="AY42" s="1335">
        <v>44.912999999999997</v>
      </c>
      <c r="AZ42" s="297"/>
      <c r="BA42" s="297">
        <v>58.199999999999996</v>
      </c>
      <c r="BB42" s="1326"/>
      <c r="BC42" s="1335">
        <v>44.912999999999997</v>
      </c>
      <c r="BD42" s="297"/>
      <c r="BE42" s="297">
        <v>29.52</v>
      </c>
      <c r="BF42" s="1326"/>
    </row>
    <row r="43" spans="1:58" s="294" customFormat="1" ht="15" customHeight="1">
      <c r="A43" s="292"/>
      <c r="B43" s="1281" t="s">
        <v>1697</v>
      </c>
      <c r="C43" s="616"/>
      <c r="D43" s="616"/>
      <c r="E43" s="616"/>
      <c r="F43" s="1345"/>
      <c r="G43" s="1333"/>
      <c r="H43" s="616"/>
      <c r="I43" s="616"/>
      <c r="J43" s="1324"/>
      <c r="K43" s="1317"/>
      <c r="L43" s="616"/>
      <c r="M43" s="616"/>
      <c r="N43" s="1345"/>
      <c r="O43" s="1333">
        <v>1.2949999999999999</v>
      </c>
      <c r="P43" s="1345"/>
      <c r="Q43" s="616">
        <v>3.2167489999999996</v>
      </c>
      <c r="R43" s="1324"/>
      <c r="S43" s="1317"/>
      <c r="T43" s="616"/>
      <c r="U43" s="616"/>
      <c r="V43" s="1324"/>
      <c r="W43" s="1317">
        <v>1.2949999999999999</v>
      </c>
      <c r="X43" s="616"/>
      <c r="Y43" s="616">
        <v>3.5907</v>
      </c>
      <c r="Z43" s="1324"/>
      <c r="AA43" s="1335">
        <v>1.2949999999999999</v>
      </c>
      <c r="AB43" s="616"/>
      <c r="AC43" s="297">
        <v>3.3153799009579714</v>
      </c>
      <c r="AD43" s="1324"/>
      <c r="AE43" s="1335">
        <v>1.2949999999999999</v>
      </c>
      <c r="AF43" s="616"/>
      <c r="AG43" s="297">
        <v>3.46</v>
      </c>
      <c r="AH43" s="1324"/>
      <c r="AI43" s="1317">
        <v>1.2949999999999999</v>
      </c>
      <c r="AJ43" s="616"/>
      <c r="AK43" s="1317">
        <v>3.46</v>
      </c>
      <c r="AL43" s="1345"/>
      <c r="AM43" s="1335">
        <v>1.2949999999999999</v>
      </c>
      <c r="AN43" s="616"/>
      <c r="AO43" s="297">
        <v>2.5099999999999998</v>
      </c>
      <c r="AP43" s="1324"/>
      <c r="AQ43" s="1335">
        <v>1.2949999999999999</v>
      </c>
      <c r="AR43" s="616"/>
      <c r="AS43" s="297">
        <v>0.95</v>
      </c>
      <c r="AT43" s="1324"/>
      <c r="AU43" s="1317">
        <v>1.2949999999999999</v>
      </c>
      <c r="AV43" s="616"/>
      <c r="AW43" s="1317">
        <v>3.46</v>
      </c>
      <c r="AX43" s="1345"/>
      <c r="AY43" s="1335">
        <v>1.2949999999999999</v>
      </c>
      <c r="AZ43" s="616"/>
      <c r="BA43" s="297">
        <v>2.5099999999999998</v>
      </c>
      <c r="BB43" s="1324"/>
      <c r="BC43" s="1335">
        <v>1.2949999999999999</v>
      </c>
      <c r="BD43" s="616"/>
      <c r="BE43" s="297">
        <v>0.95</v>
      </c>
      <c r="BF43" s="1324"/>
    </row>
    <row r="44" spans="1:58" s="294" customFormat="1" ht="15" customHeight="1">
      <c r="A44" s="292"/>
      <c r="B44" s="1281" t="s">
        <v>1512</v>
      </c>
      <c r="C44" s="616"/>
      <c r="D44" s="616"/>
      <c r="E44" s="616"/>
      <c r="F44" s="1345"/>
      <c r="G44" s="1333"/>
      <c r="H44" s="616"/>
      <c r="I44" s="616"/>
      <c r="J44" s="1324"/>
      <c r="K44" s="1317"/>
      <c r="L44" s="616"/>
      <c r="M44" s="616"/>
      <c r="N44" s="1345"/>
      <c r="O44" s="1333">
        <v>14.197000000000001</v>
      </c>
      <c r="P44" s="1345"/>
      <c r="Q44" s="616">
        <v>25.17788238</v>
      </c>
      <c r="R44" s="1324"/>
      <c r="S44" s="1317"/>
      <c r="T44" s="616"/>
      <c r="U44" s="616"/>
      <c r="V44" s="1324"/>
      <c r="W44" s="1317">
        <v>14.197000000000001</v>
      </c>
      <c r="X44" s="616"/>
      <c r="Y44" s="616">
        <v>26.524000000000001</v>
      </c>
      <c r="Z44" s="1324"/>
      <c r="AA44" s="1335">
        <v>14.197000000000001</v>
      </c>
      <c r="AB44" s="616"/>
      <c r="AC44" s="297">
        <v>25.17788238</v>
      </c>
      <c r="AD44" s="1324"/>
      <c r="AE44" s="1335">
        <v>14.197000000000001</v>
      </c>
      <c r="AF44" s="616"/>
      <c r="AG44" s="297">
        <v>24</v>
      </c>
      <c r="AH44" s="1324"/>
      <c r="AI44" s="1317">
        <v>14.197000000000001</v>
      </c>
      <c r="AJ44" s="616"/>
      <c r="AK44" s="1317">
        <v>24</v>
      </c>
      <c r="AL44" s="1345"/>
      <c r="AM44" s="1335">
        <v>14.197000000000001</v>
      </c>
      <c r="AN44" s="616"/>
      <c r="AO44" s="297">
        <v>15.5</v>
      </c>
      <c r="AP44" s="1324"/>
      <c r="AQ44" s="1335">
        <v>14.197000000000001</v>
      </c>
      <c r="AR44" s="616"/>
      <c r="AS44" s="297">
        <v>8.5</v>
      </c>
      <c r="AT44" s="1324"/>
      <c r="AU44" s="1317">
        <v>14.197000000000001</v>
      </c>
      <c r="AV44" s="616"/>
      <c r="AW44" s="1317">
        <v>24</v>
      </c>
      <c r="AX44" s="1345"/>
      <c r="AY44" s="1335">
        <v>14.197000000000001</v>
      </c>
      <c r="AZ44" s="616"/>
      <c r="BA44" s="297">
        <v>15.5</v>
      </c>
      <c r="BB44" s="1324"/>
      <c r="BC44" s="1335">
        <v>14.197000000000001</v>
      </c>
      <c r="BD44" s="616"/>
      <c r="BE44" s="297">
        <v>8.5</v>
      </c>
      <c r="BF44" s="1324"/>
    </row>
    <row r="45" spans="1:58" s="294" customFormat="1" ht="15" customHeight="1">
      <c r="A45" s="292"/>
      <c r="B45" s="1281" t="s">
        <v>1513</v>
      </c>
      <c r="C45" s="616"/>
      <c r="D45" s="616"/>
      <c r="E45" s="616"/>
      <c r="F45" s="1345"/>
      <c r="G45" s="1333"/>
      <c r="H45" s="616"/>
      <c r="I45" s="616"/>
      <c r="J45" s="1324"/>
      <c r="K45" s="1317"/>
      <c r="L45" s="616"/>
      <c r="M45" s="616"/>
      <c r="N45" s="1345"/>
      <c r="O45" s="1333">
        <v>29.420999999999999</v>
      </c>
      <c r="P45" s="1345"/>
      <c r="Q45" s="616">
        <v>58.172168620000008</v>
      </c>
      <c r="R45" s="1324"/>
      <c r="S45" s="1317"/>
      <c r="T45" s="616"/>
      <c r="U45" s="616"/>
      <c r="V45" s="1324"/>
      <c r="W45" s="1317">
        <v>29.420999999999999</v>
      </c>
      <c r="X45" s="616"/>
      <c r="Y45" s="616">
        <v>58.361699999999999</v>
      </c>
      <c r="Z45" s="1324"/>
      <c r="AA45" s="1335">
        <v>29.420999999999999</v>
      </c>
      <c r="AB45" s="616"/>
      <c r="AC45" s="297">
        <v>57.437168620000001</v>
      </c>
      <c r="AD45" s="1324"/>
      <c r="AE45" s="1335">
        <v>29.420999999999999</v>
      </c>
      <c r="AF45" s="616"/>
      <c r="AG45" s="297">
        <v>60.26</v>
      </c>
      <c r="AH45" s="1324"/>
      <c r="AI45" s="1317">
        <v>29.420999999999999</v>
      </c>
      <c r="AJ45" s="616"/>
      <c r="AK45" s="1317">
        <v>60.26</v>
      </c>
      <c r="AL45" s="1345"/>
      <c r="AM45" s="1335">
        <v>29.420999999999999</v>
      </c>
      <c r="AN45" s="616"/>
      <c r="AO45" s="297">
        <v>40.19</v>
      </c>
      <c r="AP45" s="1324"/>
      <c r="AQ45" s="1335">
        <v>29.420999999999999</v>
      </c>
      <c r="AR45" s="616"/>
      <c r="AS45" s="297">
        <v>20.07</v>
      </c>
      <c r="AT45" s="1324"/>
      <c r="AU45" s="1317">
        <v>29.420999999999999</v>
      </c>
      <c r="AV45" s="616"/>
      <c r="AW45" s="1317">
        <v>60.26</v>
      </c>
      <c r="AX45" s="1345"/>
      <c r="AY45" s="1335">
        <v>29.420999999999999</v>
      </c>
      <c r="AZ45" s="616"/>
      <c r="BA45" s="297">
        <v>40.19</v>
      </c>
      <c r="BB45" s="1324"/>
      <c r="BC45" s="1335">
        <v>29.420999999999999</v>
      </c>
      <c r="BD45" s="616"/>
      <c r="BE45" s="297">
        <v>20.07</v>
      </c>
      <c r="BF45" s="1324"/>
    </row>
    <row r="46" spans="1:58" s="108" customFormat="1" ht="15" customHeight="1">
      <c r="A46" s="295"/>
      <c r="B46" s="296" t="s">
        <v>121</v>
      </c>
      <c r="C46" s="89">
        <f>C48</f>
        <v>0.438</v>
      </c>
      <c r="D46" s="89"/>
      <c r="E46" s="89">
        <f>E48</f>
        <v>2.3820000000000001</v>
      </c>
      <c r="F46" s="1346"/>
      <c r="G46" s="1349">
        <f>G48</f>
        <v>0.438</v>
      </c>
      <c r="H46" s="89"/>
      <c r="I46" s="297">
        <f>I48</f>
        <v>2.69</v>
      </c>
      <c r="J46" s="1327"/>
      <c r="K46" s="1336">
        <v>0.438</v>
      </c>
      <c r="L46" s="89"/>
      <c r="M46" s="89">
        <v>2.3820000000000001</v>
      </c>
      <c r="N46" s="1346"/>
      <c r="O46" s="1349">
        <v>0.441</v>
      </c>
      <c r="P46" s="89"/>
      <c r="Q46" s="89">
        <v>2.8809999999999998</v>
      </c>
      <c r="R46" s="1327"/>
      <c r="S46" s="1336">
        <v>0.438</v>
      </c>
      <c r="T46" s="89"/>
      <c r="U46" s="89">
        <v>2.3820000000000014</v>
      </c>
      <c r="V46" s="1346"/>
      <c r="W46" s="1349">
        <v>0.441</v>
      </c>
      <c r="X46" s="89"/>
      <c r="Y46" s="89">
        <v>2.9205000000000001</v>
      </c>
      <c r="Z46" s="1327"/>
      <c r="AA46" s="1349">
        <v>0.441</v>
      </c>
      <c r="AB46" s="89"/>
      <c r="AC46" s="297">
        <v>2.7965147061196607</v>
      </c>
      <c r="AD46" s="1327"/>
      <c r="AE46" s="1349">
        <v>0.441</v>
      </c>
      <c r="AF46" s="89"/>
      <c r="AG46" s="297">
        <v>2.9</v>
      </c>
      <c r="AH46" s="1327"/>
      <c r="AI46" s="1336">
        <v>0.441</v>
      </c>
      <c r="AJ46" s="89"/>
      <c r="AK46" s="89">
        <v>2.9</v>
      </c>
      <c r="AL46" s="1346"/>
      <c r="AM46" s="1349">
        <v>0.441</v>
      </c>
      <c r="AN46" s="89"/>
      <c r="AO46" s="89">
        <v>1.44</v>
      </c>
      <c r="AP46" s="1327"/>
      <c r="AQ46" s="1349">
        <v>0.441</v>
      </c>
      <c r="AR46" s="89"/>
      <c r="AS46" s="297">
        <v>1.46</v>
      </c>
      <c r="AT46" s="1327"/>
      <c r="AU46" s="1336">
        <v>0.441</v>
      </c>
      <c r="AV46" s="89"/>
      <c r="AW46" s="89">
        <v>2.9</v>
      </c>
      <c r="AX46" s="1346"/>
      <c r="AY46" s="1349">
        <v>0.441</v>
      </c>
      <c r="AZ46" s="89"/>
      <c r="BA46" s="297">
        <v>1.44</v>
      </c>
      <c r="BB46" s="1327"/>
      <c r="BC46" s="1349">
        <v>0.441</v>
      </c>
      <c r="BD46" s="89"/>
      <c r="BE46" s="297">
        <v>1.46</v>
      </c>
      <c r="BF46" s="1327"/>
    </row>
    <row r="47" spans="1:58" s="544" customFormat="1" ht="15" customHeight="1">
      <c r="A47" s="55"/>
      <c r="B47" s="57" t="s">
        <v>122</v>
      </c>
      <c r="C47" s="50"/>
      <c r="D47" s="50"/>
      <c r="E47" s="50"/>
      <c r="F47" s="1343"/>
      <c r="G47" s="1334"/>
      <c r="H47" s="50"/>
      <c r="I47" s="876"/>
      <c r="J47" s="1325"/>
      <c r="K47" s="1318"/>
      <c r="L47" s="50"/>
      <c r="M47" s="50"/>
      <c r="N47" s="1343"/>
      <c r="O47" s="1334"/>
      <c r="P47" s="50"/>
      <c r="Q47" s="50"/>
      <c r="R47" s="1325"/>
      <c r="S47" s="1318"/>
      <c r="T47" s="50"/>
      <c r="U47" s="50"/>
      <c r="V47" s="1343"/>
      <c r="W47" s="1334"/>
      <c r="X47" s="50"/>
      <c r="Y47" s="50"/>
      <c r="Z47" s="1325"/>
      <c r="AA47" s="1334"/>
      <c r="AB47" s="50"/>
      <c r="AC47" s="876"/>
      <c r="AD47" s="1325"/>
      <c r="AE47" s="1334"/>
      <c r="AF47" s="50"/>
      <c r="AG47" s="876"/>
      <c r="AH47" s="1325"/>
      <c r="AI47" s="1318"/>
      <c r="AJ47" s="50"/>
      <c r="AK47" s="50"/>
      <c r="AL47" s="1343"/>
      <c r="AM47" s="1334"/>
      <c r="AN47" s="50"/>
      <c r="AO47" s="50"/>
      <c r="AP47" s="1325"/>
      <c r="AQ47" s="1334"/>
      <c r="AR47" s="50"/>
      <c r="AS47" s="50"/>
      <c r="AT47" s="1325"/>
      <c r="AU47" s="1318"/>
      <c r="AV47" s="50"/>
      <c r="AW47" s="50"/>
      <c r="AX47" s="1343"/>
      <c r="AY47" s="1334"/>
      <c r="AZ47" s="50"/>
      <c r="BA47" s="50"/>
      <c r="BB47" s="1325"/>
      <c r="BC47" s="1334"/>
      <c r="BD47" s="50"/>
      <c r="BE47" s="50"/>
      <c r="BF47" s="1325"/>
    </row>
    <row r="48" spans="1:58" s="544" customFormat="1" ht="15" customHeight="1">
      <c r="A48" s="55"/>
      <c r="B48" s="57" t="s">
        <v>123</v>
      </c>
      <c r="C48" s="50">
        <v>0.438</v>
      </c>
      <c r="D48" s="50"/>
      <c r="E48" s="50">
        <v>2.3820000000000001</v>
      </c>
      <c r="F48" s="1343"/>
      <c r="G48" s="1334">
        <v>0.438</v>
      </c>
      <c r="H48" s="50"/>
      <c r="I48" s="876">
        <v>2.69</v>
      </c>
      <c r="J48" s="1325"/>
      <c r="K48" s="1318">
        <v>0.438</v>
      </c>
      <c r="L48" s="50"/>
      <c r="M48" s="50">
        <v>2.3820000000000001</v>
      </c>
      <c r="N48" s="1343"/>
      <c r="O48" s="1334">
        <v>0.441</v>
      </c>
      <c r="P48" s="1343"/>
      <c r="Q48" s="50">
        <v>2.8809999999999998</v>
      </c>
      <c r="R48" s="1325"/>
      <c r="S48" s="1318">
        <v>0.438</v>
      </c>
      <c r="T48" s="50"/>
      <c r="U48" s="50">
        <v>2.3820000000000014</v>
      </c>
      <c r="V48" s="1325"/>
      <c r="W48" s="1319">
        <v>0.441</v>
      </c>
      <c r="X48" s="50"/>
      <c r="Y48" s="297">
        <v>2.9205000000000001</v>
      </c>
      <c r="Z48" s="1325"/>
      <c r="AA48" s="297">
        <v>0.441</v>
      </c>
      <c r="AB48" s="50"/>
      <c r="AC48" s="297">
        <v>2.7965147061196607</v>
      </c>
      <c r="AD48" s="1325"/>
      <c r="AE48" s="89">
        <v>0.441</v>
      </c>
      <c r="AF48" s="50"/>
      <c r="AG48" s="297">
        <v>2.9</v>
      </c>
      <c r="AH48" s="1325"/>
      <c r="AI48" s="1317">
        <v>0.441</v>
      </c>
      <c r="AJ48" s="616"/>
      <c r="AK48" s="616">
        <v>2.9</v>
      </c>
      <c r="AL48" s="1325"/>
      <c r="AM48" s="1335">
        <v>0.441</v>
      </c>
      <c r="AN48" s="50"/>
      <c r="AO48" s="89">
        <v>1.44</v>
      </c>
      <c r="AP48" s="1325"/>
      <c r="AQ48" s="1335">
        <v>0.441</v>
      </c>
      <c r="AR48" s="50"/>
      <c r="AS48" s="297">
        <v>1.46</v>
      </c>
      <c r="AT48" s="1325"/>
      <c r="AU48" s="1317">
        <v>0.441</v>
      </c>
      <c r="AV48" s="616"/>
      <c r="AW48" s="616">
        <v>2.9</v>
      </c>
      <c r="AX48" s="1343"/>
      <c r="AY48" s="1335">
        <v>0.441</v>
      </c>
      <c r="AZ48" s="50"/>
      <c r="BA48" s="297">
        <v>1.44</v>
      </c>
      <c r="BB48" s="1325"/>
      <c r="BC48" s="1335">
        <v>0.441</v>
      </c>
      <c r="BD48" s="50"/>
      <c r="BE48" s="297">
        <v>1.46</v>
      </c>
      <c r="BF48" s="1325"/>
    </row>
    <row r="49" spans="1:58" s="544" customFormat="1" ht="15" customHeight="1">
      <c r="A49" s="55"/>
      <c r="B49" s="57" t="s">
        <v>124</v>
      </c>
      <c r="C49" s="50"/>
      <c r="D49" s="50"/>
      <c r="E49" s="50"/>
      <c r="F49" s="1343"/>
      <c r="G49" s="1334"/>
      <c r="H49" s="50"/>
      <c r="I49" s="50"/>
      <c r="J49" s="1325"/>
      <c r="K49" s="1318"/>
      <c r="L49" s="50"/>
      <c r="M49" s="50"/>
      <c r="N49" s="1343"/>
      <c r="O49" s="1334"/>
      <c r="P49" s="50"/>
      <c r="Q49" s="50"/>
      <c r="R49" s="1325"/>
      <c r="S49" s="1318"/>
      <c r="T49" s="50"/>
      <c r="U49" s="50"/>
      <c r="V49" s="1343"/>
      <c r="W49" s="1334"/>
      <c r="X49" s="50"/>
      <c r="Y49" s="50"/>
      <c r="Z49" s="1325"/>
      <c r="AA49" s="1334"/>
      <c r="AB49" s="50"/>
      <c r="AC49" s="50"/>
      <c r="AD49" s="1325"/>
      <c r="AE49" s="1334"/>
      <c r="AF49" s="50"/>
      <c r="AG49" s="50"/>
      <c r="AH49" s="1325"/>
      <c r="AI49" s="1318"/>
      <c r="AJ49" s="50"/>
      <c r="AK49" s="50"/>
      <c r="AL49" s="1343"/>
      <c r="AM49" s="1334"/>
      <c r="AN49" s="50"/>
      <c r="AO49" s="50"/>
      <c r="AP49" s="1325"/>
      <c r="AQ49" s="1334"/>
      <c r="AR49" s="50"/>
      <c r="AS49" s="50"/>
      <c r="AT49" s="1325"/>
      <c r="AU49" s="1318"/>
      <c r="AV49" s="50"/>
      <c r="AW49" s="50"/>
      <c r="AX49" s="1343"/>
      <c r="AY49" s="1334"/>
      <c r="AZ49" s="50"/>
      <c r="BA49" s="50"/>
      <c r="BB49" s="1325"/>
      <c r="BC49" s="1334"/>
      <c r="BD49" s="50"/>
      <c r="BE49" s="50"/>
      <c r="BF49" s="1325"/>
    </row>
    <row r="50" spans="1:58" s="544" customFormat="1" ht="15" customHeight="1">
      <c r="A50" s="55"/>
      <c r="B50" s="57" t="s">
        <v>125</v>
      </c>
      <c r="C50" s="50"/>
      <c r="D50" s="50"/>
      <c r="E50" s="50"/>
      <c r="F50" s="1343"/>
      <c r="G50" s="1334"/>
      <c r="H50" s="50"/>
      <c r="I50" s="50"/>
      <c r="J50" s="1325"/>
      <c r="K50" s="1318"/>
      <c r="L50" s="50"/>
      <c r="M50" s="50"/>
      <c r="N50" s="1343"/>
      <c r="O50" s="1334"/>
      <c r="P50" s="50"/>
      <c r="Q50" s="50"/>
      <c r="R50" s="1325"/>
      <c r="S50" s="1318"/>
      <c r="T50" s="50"/>
      <c r="U50" s="50"/>
      <c r="V50" s="1343"/>
      <c r="W50" s="1334"/>
      <c r="X50" s="50"/>
      <c r="Y50" s="50"/>
      <c r="Z50" s="1325"/>
      <c r="AA50" s="1334"/>
      <c r="AB50" s="50"/>
      <c r="AC50" s="50"/>
      <c r="AD50" s="1325"/>
      <c r="AE50" s="1334"/>
      <c r="AF50" s="50"/>
      <c r="AG50" s="50"/>
      <c r="AH50" s="1325"/>
      <c r="AI50" s="1318"/>
      <c r="AJ50" s="50"/>
      <c r="AK50" s="50"/>
      <c r="AL50" s="1343"/>
      <c r="AM50" s="1334"/>
      <c r="AN50" s="50"/>
      <c r="AO50" s="50"/>
      <c r="AP50" s="1325"/>
      <c r="AQ50" s="1334"/>
      <c r="AR50" s="50"/>
      <c r="AS50" s="50"/>
      <c r="AT50" s="1325"/>
      <c r="AU50" s="1318"/>
      <c r="AV50" s="50"/>
      <c r="AW50" s="50"/>
      <c r="AX50" s="1343"/>
      <c r="AY50" s="1334"/>
      <c r="AZ50" s="50"/>
      <c r="BA50" s="50"/>
      <c r="BB50" s="1325"/>
      <c r="BC50" s="1334"/>
      <c r="BD50" s="50"/>
      <c r="BE50" s="50"/>
      <c r="BF50" s="1325"/>
    </row>
    <row r="51" spans="1:58" s="544" customFormat="1" ht="15" customHeight="1">
      <c r="A51" s="55"/>
      <c r="B51" s="56" t="s">
        <v>126</v>
      </c>
      <c r="C51" s="50"/>
      <c r="D51" s="50"/>
      <c r="E51" s="50"/>
      <c r="F51" s="1343"/>
      <c r="G51" s="1334"/>
      <c r="H51" s="50"/>
      <c r="I51" s="50"/>
      <c r="J51" s="1325"/>
      <c r="K51" s="1318"/>
      <c r="L51" s="50"/>
      <c r="M51" s="50"/>
      <c r="N51" s="1343"/>
      <c r="O51" s="1334"/>
      <c r="P51" s="50"/>
      <c r="Q51" s="50"/>
      <c r="R51" s="1325"/>
      <c r="S51" s="1318"/>
      <c r="T51" s="50"/>
      <c r="U51" s="50"/>
      <c r="V51" s="1343"/>
      <c r="W51" s="1334"/>
      <c r="X51" s="50"/>
      <c r="Y51" s="50"/>
      <c r="Z51" s="1325"/>
      <c r="AA51" s="1334"/>
      <c r="AB51" s="50"/>
      <c r="AC51" s="50"/>
      <c r="AD51" s="1325"/>
      <c r="AE51" s="1334"/>
      <c r="AF51" s="50"/>
      <c r="AG51" s="50"/>
      <c r="AH51" s="1325"/>
      <c r="AI51" s="1318"/>
      <c r="AJ51" s="50"/>
      <c r="AK51" s="50"/>
      <c r="AL51" s="1343"/>
      <c r="AM51" s="1334"/>
      <c r="AN51" s="50"/>
      <c r="AO51" s="50"/>
      <c r="AP51" s="1325"/>
      <c r="AQ51" s="1334"/>
      <c r="AR51" s="50"/>
      <c r="AS51" s="50"/>
      <c r="AT51" s="1325"/>
      <c r="AU51" s="1318"/>
      <c r="AV51" s="50"/>
      <c r="AW51" s="50"/>
      <c r="AX51" s="1343"/>
      <c r="AY51" s="1334"/>
      <c r="AZ51" s="50"/>
      <c r="BA51" s="50"/>
      <c r="BB51" s="1325"/>
      <c r="BC51" s="1334"/>
      <c r="BD51" s="50"/>
      <c r="BE51" s="50"/>
      <c r="BF51" s="1325"/>
    </row>
    <row r="52" spans="1:58" ht="16.5" customHeight="1"/>
    <row r="53" spans="1:58" ht="13.5" customHeight="1">
      <c r="A53" s="26" t="s">
        <v>88</v>
      </c>
    </row>
    <row r="54" spans="1:58" s="544" customFormat="1" ht="29.25" customHeight="1">
      <c r="A54" s="45" t="s">
        <v>89</v>
      </c>
      <c r="B54" s="1842" t="s">
        <v>128</v>
      </c>
      <c r="C54" s="1842"/>
      <c r="D54" s="1842"/>
      <c r="E54" s="1842"/>
      <c r="F54" s="1842"/>
      <c r="G54" s="1842"/>
      <c r="H54" s="1842"/>
      <c r="I54" s="1842"/>
      <c r="J54" s="1842"/>
      <c r="K54" s="1842"/>
      <c r="L54" s="1842"/>
      <c r="M54" s="1842"/>
      <c r="N54" s="1842"/>
      <c r="O54" s="1842"/>
      <c r="P54" s="1842"/>
      <c r="Q54" s="1842"/>
      <c r="R54" s="1842"/>
      <c r="S54" s="1842"/>
      <c r="T54" s="1842"/>
      <c r="U54" s="1842"/>
      <c r="V54" s="1842"/>
      <c r="W54" s="1842"/>
      <c r="X54" s="1842"/>
      <c r="Y54" s="1842"/>
      <c r="Z54" s="1842"/>
      <c r="AA54" s="1842"/>
      <c r="AB54" s="1842"/>
      <c r="AC54" s="1842"/>
      <c r="AD54" s="1842"/>
      <c r="AE54" s="1842"/>
      <c r="AF54" s="1842"/>
      <c r="AG54" s="1842"/>
      <c r="AH54" s="1842"/>
      <c r="AI54" s="1842"/>
      <c r="AJ54" s="1842"/>
      <c r="AK54" s="1842"/>
      <c r="AL54" s="1842"/>
      <c r="AU54" s="1628"/>
      <c r="AV54" s="1628"/>
      <c r="AW54" s="1628"/>
      <c r="AX54" s="1628"/>
      <c r="AY54" s="1628"/>
      <c r="AZ54" s="1628"/>
      <c r="BA54" s="1628"/>
      <c r="BB54" s="1628"/>
      <c r="BC54" s="1628"/>
      <c r="BD54" s="1628"/>
      <c r="BE54" s="1628"/>
      <c r="BF54" s="1628"/>
    </row>
    <row r="55" spans="1:58" s="544" customFormat="1" ht="15">
      <c r="A55" s="45" t="s">
        <v>91</v>
      </c>
      <c r="B55" s="544" t="s">
        <v>129</v>
      </c>
      <c r="S55" s="1275"/>
      <c r="T55" s="1275"/>
      <c r="U55" s="1275"/>
      <c r="V55" s="1275"/>
      <c r="W55" s="1275"/>
      <c r="X55" s="1275"/>
      <c r="Y55" s="1275"/>
      <c r="Z55" s="1275"/>
      <c r="AA55" s="1579"/>
      <c r="AB55" s="1579"/>
      <c r="AC55" s="1579"/>
      <c r="AD55" s="1579"/>
      <c r="AE55" s="1579"/>
      <c r="AF55" s="1579"/>
      <c r="AG55" s="1579"/>
      <c r="AH55" s="1579"/>
      <c r="AU55" s="1628"/>
      <c r="AV55" s="1628"/>
      <c r="AW55" s="1628"/>
      <c r="AX55" s="1628"/>
      <c r="AY55" s="1628"/>
      <c r="AZ55" s="1628"/>
      <c r="BA55" s="1628"/>
      <c r="BB55" s="1628"/>
      <c r="BC55" s="1628"/>
      <c r="BD55" s="1628"/>
      <c r="BE55" s="1628"/>
      <c r="BF55" s="1628"/>
    </row>
  </sheetData>
  <mergeCells count="17">
    <mergeCell ref="AU5:AX5"/>
    <mergeCell ref="AY5:BB5"/>
    <mergeCell ref="BC5:BF5"/>
    <mergeCell ref="AM5:AP5"/>
    <mergeCell ref="AQ5:AT5"/>
    <mergeCell ref="B54:AL54"/>
    <mergeCell ref="A5:A6"/>
    <mergeCell ref="B5:B6"/>
    <mergeCell ref="C5:F5"/>
    <mergeCell ref="G5:J5"/>
    <mergeCell ref="K5:N5"/>
    <mergeCell ref="O5:R5"/>
    <mergeCell ref="AI5:AL5"/>
    <mergeCell ref="S5:V5"/>
    <mergeCell ref="W5:Z5"/>
    <mergeCell ref="AA5:AD5"/>
    <mergeCell ref="AE5:AH5"/>
  </mergeCells>
  <pageMargins left="0.78740157480314965" right="0.23622047244094491" top="0.78740157480314965" bottom="0.39370078740157483" header="0.19685039370078741" footer="0.19685039370078741"/>
  <pageSetup paperSize="9" scale="45" orientation="landscape" r:id="rId1"/>
  <headerFooter alignWithMargins="0"/>
  <rowBreaks count="1" manualBreakCount="1">
    <brk id="51" max="29" man="1"/>
  </rowBreaks>
  <colBreaks count="2" manualBreakCount="2">
    <brk id="26" max="50" man="1"/>
    <brk id="46" max="50" man="1"/>
  </colBreaks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EY36"/>
  <sheetViews>
    <sheetView view="pageBreakPreview" zoomScaleNormal="100" workbookViewId="0">
      <pane ySplit="7" topLeftCell="A8" activePane="bottomLeft" state="frozen"/>
      <selection activeCell="J15" sqref="J15"/>
      <selection pane="bottomLeft" activeCell="H16" sqref="H16"/>
    </sheetView>
  </sheetViews>
  <sheetFormatPr defaultColWidth="2.7109375" defaultRowHeight="15"/>
  <cols>
    <col min="1" max="1" width="6.140625" style="1" customWidth="1"/>
    <col min="2" max="2" width="49" style="1" customWidth="1"/>
    <col min="3" max="3" width="14.140625" style="1" customWidth="1"/>
    <col min="4" max="5" width="18.140625" style="1" hidden="1" customWidth="1"/>
    <col min="6" max="7" width="18.140625" style="1" customWidth="1"/>
    <col min="8" max="8" width="17" style="1" customWidth="1"/>
    <col min="9" max="60" width="8.28515625" style="1" customWidth="1"/>
    <col min="61" max="16384" width="2.7109375" style="1"/>
  </cols>
  <sheetData>
    <row r="1" spans="1:155" s="5" customFormat="1" ht="18" customHeight="1">
      <c r="A1" s="74" t="s">
        <v>765</v>
      </c>
      <c r="H1" s="6" t="s">
        <v>1385</v>
      </c>
    </row>
    <row r="2" spans="1:155" ht="12.75" customHeight="1">
      <c r="A2" s="759" t="str">
        <f>'[15]3.1'!$A$2</f>
        <v>Елизовское ГП</v>
      </c>
    </row>
    <row r="3" spans="1:155" ht="33" customHeight="1">
      <c r="A3" s="1980" t="s">
        <v>1386</v>
      </c>
      <c r="B3" s="1980"/>
      <c r="C3" s="1980"/>
      <c r="D3" s="1980"/>
      <c r="E3" s="1980"/>
      <c r="F3" s="1980"/>
      <c r="G3" s="1980"/>
      <c r="H3" s="1980"/>
      <c r="I3" s="1986" t="s">
        <v>1387</v>
      </c>
      <c r="J3" s="1987"/>
      <c r="K3" s="1987"/>
      <c r="L3" s="1987"/>
      <c r="M3" s="1987"/>
      <c r="N3" s="1987"/>
      <c r="O3" s="1987"/>
      <c r="P3" s="1987"/>
      <c r="Q3" s="1987"/>
      <c r="R3" s="828"/>
      <c r="S3" s="828"/>
      <c r="T3" s="828"/>
      <c r="U3" s="828"/>
      <c r="V3" s="828"/>
      <c r="W3" s="828"/>
      <c r="X3" s="828"/>
      <c r="Y3" s="828"/>
      <c r="Z3" s="828"/>
      <c r="AA3" s="828"/>
      <c r="AB3" s="828"/>
      <c r="AC3" s="828"/>
      <c r="AD3" s="828"/>
      <c r="AE3" s="828"/>
      <c r="AF3" s="828"/>
      <c r="AG3" s="828"/>
      <c r="AH3" s="828"/>
      <c r="AI3" s="828"/>
      <c r="AJ3" s="828"/>
      <c r="AK3" s="828"/>
      <c r="AL3" s="828"/>
      <c r="AM3" s="828"/>
      <c r="AN3" s="828"/>
      <c r="AO3" s="828"/>
      <c r="AP3" s="828"/>
      <c r="AQ3" s="828"/>
      <c r="AR3" s="828"/>
      <c r="AS3" s="828"/>
      <c r="AT3" s="828"/>
      <c r="AU3" s="828"/>
      <c r="AV3" s="828"/>
      <c r="AW3" s="828"/>
      <c r="AX3" s="828"/>
      <c r="AY3" s="828"/>
      <c r="AZ3" s="828"/>
      <c r="BA3" s="828"/>
      <c r="BB3" s="828"/>
      <c r="BC3" s="828"/>
      <c r="BD3" s="828"/>
      <c r="BE3" s="828"/>
      <c r="BF3" s="828"/>
      <c r="BG3" s="828"/>
      <c r="BH3" s="828"/>
      <c r="BI3" s="828"/>
      <c r="BJ3" s="828"/>
      <c r="BK3" s="828"/>
      <c r="BL3" s="828"/>
      <c r="BM3" s="828"/>
      <c r="BN3" s="828"/>
      <c r="BO3" s="828"/>
      <c r="BP3" s="828"/>
      <c r="BQ3" s="828"/>
      <c r="BR3" s="828"/>
      <c r="BS3" s="828"/>
      <c r="BT3" s="828"/>
      <c r="BU3" s="828"/>
      <c r="BV3" s="828"/>
      <c r="BW3" s="828"/>
      <c r="BX3" s="828"/>
      <c r="BY3" s="828"/>
      <c r="BZ3" s="828"/>
      <c r="CA3" s="828"/>
      <c r="CB3" s="828"/>
      <c r="CC3" s="828"/>
      <c r="CD3" s="828"/>
      <c r="CE3" s="828"/>
      <c r="CF3" s="828"/>
      <c r="CG3" s="828"/>
      <c r="CH3" s="828"/>
      <c r="CI3" s="828"/>
      <c r="CJ3" s="828"/>
      <c r="CK3" s="828"/>
      <c r="CL3" s="828"/>
      <c r="CM3" s="828"/>
      <c r="CN3" s="828"/>
      <c r="CO3" s="828"/>
      <c r="CP3" s="828"/>
      <c r="CQ3" s="828"/>
      <c r="CR3" s="828"/>
      <c r="CS3" s="828"/>
      <c r="CT3" s="828"/>
      <c r="CU3" s="828"/>
      <c r="CV3" s="828"/>
      <c r="CW3" s="828"/>
      <c r="CX3" s="828"/>
      <c r="CY3" s="828"/>
      <c r="CZ3" s="828"/>
      <c r="DA3" s="828"/>
      <c r="DB3" s="828"/>
      <c r="DC3" s="828"/>
      <c r="DD3" s="828"/>
      <c r="DE3" s="828"/>
      <c r="DF3" s="828"/>
      <c r="DG3" s="828"/>
      <c r="DH3" s="828"/>
      <c r="DI3" s="828"/>
      <c r="DJ3" s="828"/>
      <c r="DK3" s="828"/>
      <c r="DL3" s="828"/>
      <c r="DM3" s="828"/>
      <c r="DN3" s="828"/>
      <c r="DO3" s="828"/>
      <c r="DP3" s="828"/>
      <c r="DQ3" s="828"/>
      <c r="DR3" s="828"/>
      <c r="DS3" s="828"/>
      <c r="DT3" s="828"/>
      <c r="DU3" s="828"/>
      <c r="DV3" s="828"/>
      <c r="DW3" s="828"/>
      <c r="DX3" s="828"/>
      <c r="DY3" s="828"/>
      <c r="DZ3" s="828"/>
      <c r="EA3" s="828"/>
      <c r="EB3" s="828"/>
      <c r="EC3" s="828"/>
      <c r="ED3" s="828"/>
      <c r="EE3" s="828"/>
      <c r="EF3" s="828"/>
      <c r="EG3" s="828"/>
      <c r="EH3" s="828"/>
      <c r="EI3" s="828"/>
      <c r="EJ3" s="828"/>
      <c r="EK3" s="828"/>
      <c r="EL3" s="828"/>
      <c r="EM3" s="828"/>
      <c r="EN3" s="828"/>
      <c r="EO3" s="828"/>
      <c r="EP3" s="828"/>
      <c r="EQ3" s="828"/>
      <c r="ER3" s="828"/>
      <c r="ES3" s="828"/>
      <c r="ET3" s="828"/>
      <c r="EU3" s="828"/>
      <c r="EV3" s="828"/>
      <c r="EW3" s="828"/>
      <c r="EX3" s="828"/>
      <c r="EY3" s="828"/>
    </row>
    <row r="4" spans="1:155" ht="12.75" customHeight="1">
      <c r="B4" s="769"/>
      <c r="C4" s="769"/>
      <c r="D4" s="769"/>
      <c r="E4" s="769"/>
      <c r="F4" s="769"/>
      <c r="G4" s="769"/>
      <c r="H4" s="769"/>
    </row>
    <row r="5" spans="1:155" ht="14.25" customHeight="1">
      <c r="H5" s="23"/>
    </row>
    <row r="6" spans="1:155" s="3" customFormat="1" ht="30">
      <c r="A6" s="772" t="s">
        <v>0</v>
      </c>
      <c r="B6" s="772" t="s">
        <v>1</v>
      </c>
      <c r="C6" s="772" t="s">
        <v>2</v>
      </c>
      <c r="D6" s="772" t="s">
        <v>1388</v>
      </c>
      <c r="E6" s="837" t="s">
        <v>1389</v>
      </c>
      <c r="F6" s="837" t="s">
        <v>1390</v>
      </c>
      <c r="G6" s="837" t="s">
        <v>1391</v>
      </c>
      <c r="H6" s="837" t="s">
        <v>1392</v>
      </c>
    </row>
    <row r="7" spans="1:155" s="2" customFormat="1">
      <c r="A7" s="13">
        <v>1</v>
      </c>
      <c r="B7" s="13">
        <v>1</v>
      </c>
      <c r="C7" s="13">
        <v>2</v>
      </c>
      <c r="D7" s="13">
        <v>3</v>
      </c>
      <c r="E7" s="13">
        <v>3</v>
      </c>
      <c r="F7" s="13">
        <v>4</v>
      </c>
      <c r="G7" s="13">
        <v>5</v>
      </c>
      <c r="H7" s="13">
        <v>6</v>
      </c>
    </row>
    <row r="8" spans="1:155" s="41" customFormat="1" ht="15" customHeight="1">
      <c r="A8" s="60" t="s">
        <v>89</v>
      </c>
      <c r="B8" s="68" t="s">
        <v>1393</v>
      </c>
      <c r="C8" s="838" t="s">
        <v>240</v>
      </c>
      <c r="D8" s="250"/>
      <c r="E8" s="250"/>
      <c r="F8" s="839"/>
      <c r="G8" s="839"/>
      <c r="H8" s="839"/>
      <c r="I8" s="41" t="s">
        <v>1394</v>
      </c>
    </row>
    <row r="9" spans="1:155" s="41" customFormat="1" ht="15" customHeight="1">
      <c r="A9" s="60" t="s">
        <v>91</v>
      </c>
      <c r="B9" s="68" t="s">
        <v>1395</v>
      </c>
      <c r="C9" s="838" t="s">
        <v>240</v>
      </c>
      <c r="D9" s="337"/>
      <c r="E9" s="337"/>
      <c r="F9" s="840"/>
      <c r="G9" s="840"/>
      <c r="H9" s="840"/>
    </row>
    <row r="10" spans="1:155" s="41" customFormat="1" ht="15" customHeight="1">
      <c r="A10" s="60" t="s">
        <v>93</v>
      </c>
      <c r="B10" s="70" t="s">
        <v>1396</v>
      </c>
      <c r="C10" s="838" t="s">
        <v>240</v>
      </c>
      <c r="D10" s="250">
        <f>D8-D9</f>
        <v>0</v>
      </c>
      <c r="E10" s="250">
        <f t="shared" ref="E10:H10" si="0">E8-E9</f>
        <v>0</v>
      </c>
      <c r="F10" s="839">
        <f t="shared" si="0"/>
        <v>0</v>
      </c>
      <c r="G10" s="839">
        <f t="shared" si="0"/>
        <v>0</v>
      </c>
      <c r="H10" s="839">
        <f t="shared" si="0"/>
        <v>0</v>
      </c>
    </row>
    <row r="11" spans="1:155" s="41" customFormat="1">
      <c r="A11" s="60" t="s">
        <v>95</v>
      </c>
      <c r="B11" s="70" t="s">
        <v>1397</v>
      </c>
      <c r="C11" s="838" t="s">
        <v>240</v>
      </c>
      <c r="D11" s="241">
        <f>D10</f>
        <v>0</v>
      </c>
      <c r="E11" s="241">
        <f t="shared" ref="E11" si="1">E10</f>
        <v>0</v>
      </c>
      <c r="F11" s="839">
        <f>F10</f>
        <v>0</v>
      </c>
      <c r="G11" s="840">
        <f>(G10-F10)*G12</f>
        <v>0</v>
      </c>
      <c r="H11" s="840">
        <f>(H10-G10)*H12</f>
        <v>0</v>
      </c>
      <c r="I11" s="41" t="s">
        <v>1398</v>
      </c>
    </row>
    <row r="12" spans="1:155" s="41" customFormat="1">
      <c r="A12" s="60" t="s">
        <v>97</v>
      </c>
      <c r="B12" s="68" t="s">
        <v>1399</v>
      </c>
      <c r="C12" s="250"/>
      <c r="D12" s="250"/>
      <c r="E12" s="250"/>
      <c r="F12" s="839" t="s">
        <v>570</v>
      </c>
      <c r="G12" s="839"/>
      <c r="H12" s="839"/>
    </row>
    <row r="13" spans="1:155" s="41" customFormat="1" ht="30">
      <c r="A13" s="60" t="s">
        <v>582</v>
      </c>
      <c r="B13" s="70" t="s">
        <v>572</v>
      </c>
      <c r="C13" s="250"/>
      <c r="D13" s="250"/>
      <c r="E13" s="9" t="s">
        <v>570</v>
      </c>
      <c r="F13" s="839" t="s">
        <v>570</v>
      </c>
      <c r="G13" s="841">
        <f>H12</f>
        <v>0</v>
      </c>
      <c r="H13" s="9" t="s">
        <v>570</v>
      </c>
    </row>
    <row r="14" spans="1:155" s="41" customFormat="1" ht="30">
      <c r="A14" s="60" t="s">
        <v>615</v>
      </c>
      <c r="B14" s="833" t="s">
        <v>1400</v>
      </c>
      <c r="C14" s="250"/>
      <c r="D14" s="250"/>
      <c r="E14" s="9" t="s">
        <v>570</v>
      </c>
      <c r="F14" s="839" t="e">
        <f>F11*F13</f>
        <v>#VALUE!</v>
      </c>
      <c r="G14" s="839">
        <f>G11*G13</f>
        <v>0</v>
      </c>
      <c r="H14" s="839">
        <f>H11</f>
        <v>0</v>
      </c>
    </row>
    <row r="15" spans="1:155" s="41" customFormat="1" ht="30">
      <c r="A15" s="60" t="s">
        <v>1401</v>
      </c>
      <c r="B15" s="833" t="s">
        <v>1402</v>
      </c>
      <c r="C15" s="250"/>
      <c r="D15" s="250"/>
      <c r="E15" s="9"/>
      <c r="F15" s="842">
        <v>0.4</v>
      </c>
      <c r="G15" s="842">
        <v>0.6</v>
      </c>
      <c r="H15" s="842">
        <v>0.8</v>
      </c>
    </row>
    <row r="16" spans="1:155" s="41" customFormat="1" ht="30">
      <c r="A16" s="60" t="s">
        <v>649</v>
      </c>
      <c r="B16" s="70" t="s">
        <v>1403</v>
      </c>
      <c r="C16" s="838" t="s">
        <v>240</v>
      </c>
      <c r="D16" s="250"/>
      <c r="E16" s="9" t="s">
        <v>570</v>
      </c>
      <c r="F16" s="9" t="s">
        <v>570</v>
      </c>
      <c r="G16" s="9" t="s">
        <v>570</v>
      </c>
      <c r="H16" s="841" t="e">
        <f>(F14*F15)+(G14*G15)+(H14*H15)</f>
        <v>#VALUE!</v>
      </c>
    </row>
    <row r="18" spans="1:93" s="26" customFormat="1">
      <c r="A18" s="26" t="s">
        <v>88</v>
      </c>
    </row>
    <row r="19" spans="1:93" s="773" customFormat="1">
      <c r="A19" s="773" t="s">
        <v>89</v>
      </c>
      <c r="B19" s="26" t="s">
        <v>1404</v>
      </c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</row>
    <row r="20" spans="1:93" s="773" customFormat="1">
      <c r="A20" s="773" t="s">
        <v>91</v>
      </c>
      <c r="B20" s="26" t="s">
        <v>1405</v>
      </c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</row>
    <row r="21" spans="1:93" ht="15.75" customHeight="1">
      <c r="A21" s="1" t="s">
        <v>93</v>
      </c>
      <c r="B21" s="26" t="s">
        <v>1406</v>
      </c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</row>
    <row r="22" spans="1:93">
      <c r="A22" s="1" t="s">
        <v>95</v>
      </c>
      <c r="B22" s="26" t="s">
        <v>1407</v>
      </c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</row>
    <row r="23" spans="1:93">
      <c r="B23" s="26" t="s">
        <v>1408</v>
      </c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</row>
    <row r="24" spans="1:93">
      <c r="B24" s="26" t="s">
        <v>1409</v>
      </c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</row>
    <row r="25" spans="1:93">
      <c r="B25" s="26" t="s">
        <v>1410</v>
      </c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</row>
    <row r="26" spans="1:93">
      <c r="B26" s="26" t="s">
        <v>1411</v>
      </c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</row>
    <row r="27" spans="1:93">
      <c r="A27" s="1" t="s">
        <v>97</v>
      </c>
      <c r="B27" s="26" t="s">
        <v>1412</v>
      </c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</row>
    <row r="28" spans="1:93">
      <c r="B28" s="26" t="s">
        <v>1413</v>
      </c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</row>
    <row r="29" spans="1:93">
      <c r="B29" s="26" t="s">
        <v>1414</v>
      </c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</row>
    <row r="30" spans="1:93">
      <c r="A30" s="1" t="s">
        <v>582</v>
      </c>
      <c r="B30" s="26" t="s">
        <v>1415</v>
      </c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</row>
    <row r="31" spans="1:93">
      <c r="B31" s="26" t="s">
        <v>1416</v>
      </c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</row>
    <row r="32" spans="1:93">
      <c r="A32" s="1" t="s">
        <v>615</v>
      </c>
      <c r="B32" s="26" t="s">
        <v>1417</v>
      </c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</row>
    <row r="33" spans="2:93">
      <c r="B33" s="26" t="s">
        <v>1418</v>
      </c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</row>
    <row r="34" spans="2:93" ht="16.5">
      <c r="B34" s="26" t="s">
        <v>1419</v>
      </c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</row>
    <row r="35" spans="2:93">
      <c r="B35" s="26" t="s">
        <v>1420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</row>
    <row r="36" spans="2:93" ht="16.5">
      <c r="B36" s="773" t="s">
        <v>1421</v>
      </c>
      <c r="C36" s="773"/>
      <c r="D36" s="773"/>
      <c r="E36" s="773"/>
      <c r="F36" s="773"/>
      <c r="G36" s="773"/>
      <c r="H36" s="773"/>
      <c r="I36" s="773"/>
      <c r="J36" s="773"/>
      <c r="K36" s="773"/>
      <c r="L36" s="773"/>
      <c r="M36" s="773"/>
      <c r="N36" s="773"/>
      <c r="O36" s="773"/>
      <c r="P36" s="773"/>
      <c r="Q36" s="773"/>
      <c r="R36" s="773"/>
      <c r="S36" s="773"/>
      <c r="T36" s="773"/>
      <c r="U36" s="773"/>
      <c r="V36" s="773"/>
      <c r="W36" s="773"/>
      <c r="X36" s="773"/>
      <c r="Y36" s="773"/>
      <c r="Z36" s="773"/>
      <c r="AA36" s="773"/>
      <c r="AB36" s="773"/>
      <c r="AC36" s="773"/>
      <c r="AD36" s="773"/>
      <c r="AE36" s="773"/>
      <c r="AF36" s="773"/>
      <c r="AG36" s="773"/>
      <c r="AH36" s="773"/>
      <c r="AI36" s="773"/>
      <c r="AJ36" s="773"/>
      <c r="AK36" s="773"/>
      <c r="AL36" s="773"/>
      <c r="AM36" s="773"/>
      <c r="AN36" s="773"/>
      <c r="AO36" s="773"/>
      <c r="AP36" s="773"/>
      <c r="AQ36" s="773"/>
      <c r="AR36" s="773"/>
      <c r="AS36" s="773"/>
      <c r="AT36" s="773"/>
      <c r="AU36" s="773"/>
      <c r="AV36" s="773"/>
      <c r="AW36" s="773"/>
      <c r="AX36" s="773"/>
      <c r="AY36" s="773"/>
      <c r="AZ36" s="773"/>
      <c r="BA36" s="773"/>
      <c r="BB36" s="773"/>
      <c r="BC36" s="773"/>
      <c r="BD36" s="773"/>
      <c r="BE36" s="773"/>
      <c r="BF36" s="773"/>
      <c r="BG36" s="773"/>
      <c r="BH36" s="773"/>
      <c r="BI36" s="773"/>
      <c r="BJ36" s="773"/>
      <c r="BK36" s="773"/>
      <c r="BL36" s="773"/>
      <c r="BM36" s="773"/>
      <c r="BN36" s="773"/>
      <c r="BO36" s="773"/>
      <c r="BP36" s="773"/>
      <c r="BQ36" s="773"/>
      <c r="BR36" s="773"/>
      <c r="BS36" s="773"/>
      <c r="BT36" s="773"/>
      <c r="BU36" s="773"/>
      <c r="BV36" s="773"/>
      <c r="BW36" s="773"/>
      <c r="BX36" s="773"/>
      <c r="BY36" s="773"/>
      <c r="BZ36" s="773"/>
      <c r="CA36" s="773"/>
      <c r="CB36" s="773"/>
      <c r="CC36" s="773"/>
      <c r="CD36" s="773"/>
      <c r="CE36" s="773"/>
      <c r="CF36" s="773"/>
      <c r="CG36" s="773"/>
      <c r="CH36" s="773"/>
      <c r="CI36" s="773"/>
      <c r="CJ36" s="773"/>
      <c r="CK36" s="773"/>
      <c r="CL36" s="773"/>
      <c r="CM36" s="773"/>
      <c r="CN36" s="773"/>
      <c r="CO36" s="773"/>
    </row>
  </sheetData>
  <mergeCells count="2">
    <mergeCell ref="A3:H3"/>
    <mergeCell ref="I3:Q3"/>
  </mergeCells>
  <pageMargins left="0.78740157480314965" right="0.51181102362204722" top="0.59055118110236227" bottom="0.39370078740157483" header="0.19685039370078741" footer="0.19685039370078741"/>
  <pageSetup paperSize="9" scale="57" orientation="portrait" r:id="rId1"/>
  <headerFooter alignWithMargins="0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EY38"/>
  <sheetViews>
    <sheetView view="pageBreakPreview" zoomScaleNormal="100" workbookViewId="0">
      <pane xSplit="2" ySplit="6" topLeftCell="C7" activePane="bottomRight" state="frozen"/>
      <selection activeCell="J15" sqref="J15"/>
      <selection pane="topRight" activeCell="J15" sqref="J15"/>
      <selection pane="bottomLeft" activeCell="J15" sqref="J15"/>
      <selection pane="bottomRight" activeCell="J15" sqref="J15"/>
    </sheetView>
  </sheetViews>
  <sheetFormatPr defaultColWidth="2.7109375" defaultRowHeight="15"/>
  <cols>
    <col min="1" max="1" width="6.140625" style="1" customWidth="1"/>
    <col min="2" max="2" width="49" style="1" customWidth="1"/>
    <col min="3" max="3" width="14.140625" style="1" customWidth="1"/>
    <col min="4" max="5" width="18.140625" style="1" hidden="1" customWidth="1"/>
    <col min="6" max="7" width="18.140625" style="1" customWidth="1"/>
    <col min="8" max="8" width="17" style="1" customWidth="1"/>
    <col min="9" max="60" width="8.28515625" style="1" customWidth="1"/>
    <col min="61" max="16384" width="2.7109375" style="1"/>
  </cols>
  <sheetData>
    <row r="1" spans="1:155" s="5" customFormat="1" ht="18" customHeight="1">
      <c r="A1" s="74" t="s">
        <v>765</v>
      </c>
      <c r="H1" s="6" t="s">
        <v>1422</v>
      </c>
    </row>
    <row r="2" spans="1:155" ht="12.75" customHeight="1">
      <c r="A2" s="759" t="str">
        <f>'[15]3.1'!$A$2</f>
        <v>Елизовское ГП</v>
      </c>
    </row>
    <row r="3" spans="1:155" ht="33" customHeight="1">
      <c r="A3" s="1980" t="s">
        <v>1423</v>
      </c>
      <c r="B3" s="1980"/>
      <c r="C3" s="1980"/>
      <c r="D3" s="1980"/>
      <c r="E3" s="1980"/>
      <c r="F3" s="1980"/>
      <c r="G3" s="1980"/>
      <c r="H3" s="1980"/>
      <c r="I3" s="1986" t="s">
        <v>1387</v>
      </c>
      <c r="J3" s="1987"/>
      <c r="K3" s="1987"/>
      <c r="L3" s="1987"/>
      <c r="M3" s="1987"/>
      <c r="N3" s="1987"/>
      <c r="O3" s="1987"/>
      <c r="P3" s="1987"/>
      <c r="Q3" s="1987"/>
      <c r="R3" s="828"/>
      <c r="S3" s="828"/>
      <c r="T3" s="828"/>
      <c r="U3" s="828"/>
      <c r="V3" s="828"/>
      <c r="W3" s="828"/>
      <c r="X3" s="828"/>
      <c r="Y3" s="828"/>
      <c r="Z3" s="828"/>
      <c r="AA3" s="828"/>
      <c r="AB3" s="828"/>
      <c r="AC3" s="828"/>
      <c r="AD3" s="828"/>
      <c r="AE3" s="828"/>
      <c r="AF3" s="828"/>
      <c r="AG3" s="828"/>
      <c r="AH3" s="828"/>
      <c r="AI3" s="828"/>
      <c r="AJ3" s="828"/>
      <c r="AK3" s="828"/>
      <c r="AL3" s="828"/>
      <c r="AM3" s="828"/>
      <c r="AN3" s="828"/>
      <c r="AO3" s="828"/>
      <c r="AP3" s="828"/>
      <c r="AQ3" s="828"/>
      <c r="AR3" s="828"/>
      <c r="AS3" s="828"/>
      <c r="AT3" s="828"/>
      <c r="AU3" s="828"/>
      <c r="AV3" s="828"/>
      <c r="AW3" s="828"/>
      <c r="AX3" s="828"/>
      <c r="AY3" s="828"/>
      <c r="AZ3" s="828"/>
      <c r="BA3" s="828"/>
      <c r="BB3" s="828"/>
      <c r="BC3" s="828"/>
      <c r="BD3" s="828"/>
      <c r="BE3" s="828"/>
      <c r="BF3" s="828"/>
      <c r="BG3" s="828"/>
      <c r="BH3" s="828"/>
      <c r="BI3" s="828"/>
      <c r="BJ3" s="828"/>
      <c r="BK3" s="828"/>
      <c r="BL3" s="828"/>
      <c r="BM3" s="828"/>
      <c r="BN3" s="828"/>
      <c r="BO3" s="828"/>
      <c r="BP3" s="828"/>
      <c r="BQ3" s="828"/>
      <c r="BR3" s="828"/>
      <c r="BS3" s="828"/>
      <c r="BT3" s="828"/>
      <c r="BU3" s="828"/>
      <c r="BV3" s="828"/>
      <c r="BW3" s="828"/>
      <c r="BX3" s="828"/>
      <c r="BY3" s="828"/>
      <c r="BZ3" s="828"/>
      <c r="CA3" s="828"/>
      <c r="CB3" s="828"/>
      <c r="CC3" s="828"/>
      <c r="CD3" s="828"/>
      <c r="CE3" s="828"/>
      <c r="CF3" s="828"/>
      <c r="CG3" s="828"/>
      <c r="CH3" s="828"/>
      <c r="CI3" s="828"/>
      <c r="CJ3" s="828"/>
      <c r="CK3" s="828"/>
      <c r="CL3" s="828"/>
      <c r="CM3" s="828"/>
      <c r="CN3" s="828"/>
      <c r="CO3" s="828"/>
      <c r="CP3" s="828"/>
      <c r="CQ3" s="828"/>
      <c r="CR3" s="828"/>
      <c r="CS3" s="828"/>
      <c r="CT3" s="828"/>
      <c r="CU3" s="828"/>
      <c r="CV3" s="828"/>
      <c r="CW3" s="828"/>
      <c r="CX3" s="828"/>
      <c r="CY3" s="828"/>
      <c r="CZ3" s="828"/>
      <c r="DA3" s="828"/>
      <c r="DB3" s="828"/>
      <c r="DC3" s="828"/>
      <c r="DD3" s="828"/>
      <c r="DE3" s="828"/>
      <c r="DF3" s="828"/>
      <c r="DG3" s="828"/>
      <c r="DH3" s="828"/>
      <c r="DI3" s="828"/>
      <c r="DJ3" s="828"/>
      <c r="DK3" s="828"/>
      <c r="DL3" s="828"/>
      <c r="DM3" s="828"/>
      <c r="DN3" s="828"/>
      <c r="DO3" s="828"/>
      <c r="DP3" s="828"/>
      <c r="DQ3" s="828"/>
      <c r="DR3" s="828"/>
      <c r="DS3" s="828"/>
      <c r="DT3" s="828"/>
      <c r="DU3" s="828"/>
      <c r="DV3" s="828"/>
      <c r="DW3" s="828"/>
      <c r="DX3" s="828"/>
      <c r="DY3" s="828"/>
      <c r="DZ3" s="828"/>
      <c r="EA3" s="828"/>
      <c r="EB3" s="828"/>
      <c r="EC3" s="828"/>
      <c r="ED3" s="828"/>
      <c r="EE3" s="828"/>
      <c r="EF3" s="828"/>
      <c r="EG3" s="828"/>
      <c r="EH3" s="828"/>
      <c r="EI3" s="828"/>
      <c r="EJ3" s="828"/>
      <c r="EK3" s="828"/>
      <c r="EL3" s="828"/>
      <c r="EM3" s="828"/>
      <c r="EN3" s="828"/>
      <c r="EO3" s="828"/>
      <c r="EP3" s="828"/>
      <c r="EQ3" s="828"/>
      <c r="ER3" s="828"/>
      <c r="ES3" s="828"/>
      <c r="ET3" s="828"/>
      <c r="EU3" s="828"/>
      <c r="EV3" s="828"/>
      <c r="EW3" s="828"/>
      <c r="EX3" s="828"/>
      <c r="EY3" s="828"/>
    </row>
    <row r="4" spans="1:155" ht="12.75" customHeight="1">
      <c r="B4" s="769"/>
      <c r="C4" s="769"/>
      <c r="D4" s="769"/>
      <c r="E4" s="769"/>
      <c r="F4" s="769"/>
      <c r="G4" s="769"/>
      <c r="H4" s="769"/>
    </row>
    <row r="5" spans="1:155" ht="14.25" customHeight="1">
      <c r="H5" s="23"/>
    </row>
    <row r="6" spans="1:155" s="3" customFormat="1" ht="30">
      <c r="A6" s="772" t="s">
        <v>0</v>
      </c>
      <c r="B6" s="772" t="s">
        <v>1</v>
      </c>
      <c r="C6" s="772" t="s">
        <v>2</v>
      </c>
      <c r="D6" s="772" t="s">
        <v>1388</v>
      </c>
      <c r="E6" s="772" t="s">
        <v>1424</v>
      </c>
      <c r="F6" s="837" t="s">
        <v>1390</v>
      </c>
      <c r="G6" s="837" t="s">
        <v>1391</v>
      </c>
      <c r="H6" s="837" t="s">
        <v>1392</v>
      </c>
    </row>
    <row r="7" spans="1:155" s="2" customFormat="1">
      <c r="A7" s="13">
        <v>1</v>
      </c>
      <c r="B7" s="13">
        <v>2</v>
      </c>
      <c r="C7" s="13">
        <v>3</v>
      </c>
      <c r="D7" s="13">
        <v>4</v>
      </c>
      <c r="E7" s="13">
        <v>5</v>
      </c>
      <c r="F7" s="13">
        <v>6</v>
      </c>
      <c r="G7" s="13">
        <v>7</v>
      </c>
      <c r="H7" s="13">
        <v>8</v>
      </c>
    </row>
    <row r="8" spans="1:155" s="41" customFormat="1" ht="15" customHeight="1">
      <c r="A8" s="60" t="s">
        <v>89</v>
      </c>
      <c r="B8" s="68" t="s">
        <v>542</v>
      </c>
      <c r="C8" s="838" t="s">
        <v>543</v>
      </c>
      <c r="D8" s="250"/>
      <c r="E8" s="250"/>
      <c r="F8" s="250"/>
      <c r="G8" s="250"/>
      <c r="H8" s="250"/>
    </row>
    <row r="9" spans="1:155" s="41" customFormat="1" ht="30">
      <c r="A9" s="60" t="s">
        <v>91</v>
      </c>
      <c r="B9" s="68" t="s">
        <v>544</v>
      </c>
      <c r="C9" s="838" t="s">
        <v>543</v>
      </c>
      <c r="D9" s="337"/>
      <c r="E9" s="337"/>
      <c r="F9" s="337"/>
      <c r="G9" s="337"/>
      <c r="H9" s="337"/>
    </row>
    <row r="10" spans="1:155" s="41" customFormat="1" ht="45">
      <c r="A10" s="60" t="s">
        <v>93</v>
      </c>
      <c r="B10" s="70" t="s">
        <v>545</v>
      </c>
      <c r="C10" s="838" t="s">
        <v>150</v>
      </c>
      <c r="D10" s="250"/>
      <c r="E10" s="250"/>
      <c r="F10" s="250"/>
      <c r="G10" s="250"/>
      <c r="H10" s="250"/>
    </row>
    <row r="11" spans="1:155" s="41" customFormat="1" ht="30">
      <c r="A11" s="60" t="s">
        <v>95</v>
      </c>
      <c r="B11" s="70" t="s">
        <v>546</v>
      </c>
      <c r="C11" s="838" t="s">
        <v>547</v>
      </c>
      <c r="D11" s="241"/>
      <c r="E11" s="241"/>
      <c r="F11" s="241"/>
      <c r="G11" s="241"/>
      <c r="H11" s="241"/>
    </row>
    <row r="12" spans="1:155" s="41" customFormat="1">
      <c r="A12" s="60" t="s">
        <v>97</v>
      </c>
      <c r="B12" s="68" t="s">
        <v>548</v>
      </c>
      <c r="C12" s="838" t="s">
        <v>549</v>
      </c>
      <c r="D12" s="250"/>
      <c r="E12" s="250"/>
      <c r="F12" s="250">
        <f>(F9-F8)*F10</f>
        <v>0</v>
      </c>
      <c r="G12" s="250">
        <f t="shared" ref="G12:H12" si="0">(G9-G8)*G10</f>
        <v>0</v>
      </c>
      <c r="H12" s="250">
        <f t="shared" si="0"/>
        <v>0</v>
      </c>
    </row>
    <row r="13" spans="1:155" s="41" customFormat="1" ht="15" customHeight="1">
      <c r="A13" s="60" t="s">
        <v>582</v>
      </c>
      <c r="B13" s="70" t="s">
        <v>1425</v>
      </c>
      <c r="C13" s="838" t="s">
        <v>240</v>
      </c>
      <c r="D13" s="250"/>
      <c r="E13" s="250"/>
      <c r="F13" s="250">
        <f>F12*F11/1000</f>
        <v>0</v>
      </c>
      <c r="G13" s="250">
        <f t="shared" ref="G13:H13" si="1">G12*G11/1000</f>
        <v>0</v>
      </c>
      <c r="H13" s="250">
        <f t="shared" si="1"/>
        <v>0</v>
      </c>
    </row>
    <row r="14" spans="1:155" s="41" customFormat="1">
      <c r="A14" s="60" t="s">
        <v>615</v>
      </c>
      <c r="B14" s="833" t="s">
        <v>571</v>
      </c>
      <c r="C14" s="250"/>
      <c r="D14" s="250"/>
      <c r="E14" s="250"/>
      <c r="F14" s="843" t="s">
        <v>570</v>
      </c>
      <c r="G14" s="250"/>
      <c r="H14" s="250"/>
    </row>
    <row r="15" spans="1:155" s="41" customFormat="1" ht="30">
      <c r="A15" s="60" t="s">
        <v>649</v>
      </c>
      <c r="B15" s="70" t="s">
        <v>572</v>
      </c>
      <c r="C15" s="838"/>
      <c r="D15" s="250"/>
      <c r="E15" s="250"/>
      <c r="F15" s="843" t="s">
        <v>570</v>
      </c>
      <c r="G15" s="806">
        <f>H14</f>
        <v>0</v>
      </c>
      <c r="H15" s="9" t="s">
        <v>570</v>
      </c>
    </row>
    <row r="16" spans="1:155" s="41" customFormat="1" ht="30">
      <c r="A16" s="60" t="s">
        <v>1028</v>
      </c>
      <c r="B16" s="70" t="s">
        <v>1426</v>
      </c>
      <c r="C16" s="838"/>
      <c r="D16" s="250"/>
      <c r="E16" s="250"/>
      <c r="F16" s="839" t="s">
        <v>570</v>
      </c>
      <c r="G16" s="241">
        <f>G13*G15</f>
        <v>0</v>
      </c>
      <c r="H16" s="241" t="e">
        <f>H13*H15</f>
        <v>#VALUE!</v>
      </c>
    </row>
    <row r="17" spans="1:151" s="41" customFormat="1" ht="30">
      <c r="A17" s="60" t="s">
        <v>1427</v>
      </c>
      <c r="B17" s="833" t="s">
        <v>1402</v>
      </c>
      <c r="C17" s="250"/>
      <c r="D17" s="250"/>
      <c r="E17" s="9"/>
      <c r="F17" s="842">
        <v>0.4</v>
      </c>
      <c r="G17" s="842">
        <v>0.6</v>
      </c>
      <c r="H17" s="842">
        <v>0.8</v>
      </c>
    </row>
    <row r="18" spans="1:151" s="41" customFormat="1" ht="45">
      <c r="A18" s="60" t="s">
        <v>1309</v>
      </c>
      <c r="B18" s="70" t="s">
        <v>1428</v>
      </c>
      <c r="C18" s="838" t="s">
        <v>240</v>
      </c>
      <c r="D18" s="250"/>
      <c r="E18" s="250"/>
      <c r="F18" s="9" t="s">
        <v>570</v>
      </c>
      <c r="G18" s="9" t="s">
        <v>570</v>
      </c>
      <c r="H18" s="841" t="e">
        <f>(F16*F17)+(G16*G17)+(H16*H17)</f>
        <v>#VALUE!</v>
      </c>
    </row>
    <row r="20" spans="1:151" s="26" customFormat="1">
      <c r="A20" s="26" t="s">
        <v>88</v>
      </c>
    </row>
    <row r="21" spans="1:151" s="773" customFormat="1">
      <c r="A21" s="773" t="s">
        <v>89</v>
      </c>
      <c r="B21" s="1989" t="s">
        <v>1404</v>
      </c>
      <c r="C21" s="1985"/>
      <c r="D21" s="1985"/>
      <c r="E21" s="1985"/>
      <c r="F21" s="1985"/>
      <c r="G21" s="1985"/>
      <c r="H21" s="1985"/>
      <c r="I21" s="43"/>
      <c r="J21" s="43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43"/>
      <c r="Z21" s="43"/>
      <c r="AA21" s="43"/>
      <c r="AB21" s="43"/>
      <c r="AC21" s="43"/>
      <c r="AD21" s="43"/>
      <c r="AE21" s="43"/>
      <c r="AF21" s="43"/>
      <c r="AG21" s="43"/>
      <c r="AH21" s="43"/>
      <c r="AI21" s="43"/>
      <c r="AJ21" s="43"/>
      <c r="AK21" s="43"/>
      <c r="AL21" s="43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  <c r="BD21" s="43"/>
      <c r="BE21" s="43"/>
      <c r="BF21" s="43"/>
      <c r="BG21" s="43"/>
      <c r="BH21" s="43"/>
      <c r="BI21" s="43"/>
      <c r="BJ21" s="43"/>
      <c r="BK21" s="43"/>
      <c r="BL21" s="43"/>
      <c r="BM21" s="43"/>
      <c r="BN21" s="43"/>
      <c r="BO21" s="43"/>
      <c r="BP21" s="43"/>
      <c r="BQ21" s="43"/>
      <c r="BR21" s="43"/>
      <c r="BS21" s="43"/>
      <c r="BT21" s="43"/>
      <c r="BU21" s="43"/>
      <c r="BV21" s="43"/>
      <c r="BW21" s="43"/>
      <c r="BX21" s="43"/>
      <c r="BY21" s="43"/>
      <c r="BZ21" s="43"/>
      <c r="CA21" s="43"/>
      <c r="CB21" s="43"/>
      <c r="CC21" s="43"/>
      <c r="CD21" s="43"/>
      <c r="CE21" s="43"/>
      <c r="CF21" s="43"/>
      <c r="CG21" s="43"/>
      <c r="CH21" s="43"/>
      <c r="CI21" s="43"/>
      <c r="CJ21" s="43"/>
      <c r="CK21" s="43"/>
      <c r="CL21" s="43"/>
      <c r="CM21" s="43"/>
      <c r="CN21" s="43"/>
      <c r="CO21" s="43"/>
      <c r="CP21" s="43"/>
      <c r="CQ21" s="43"/>
      <c r="CR21" s="43"/>
      <c r="CS21" s="43"/>
      <c r="CT21" s="43"/>
      <c r="CU21" s="43"/>
      <c r="CV21" s="43"/>
      <c r="CW21" s="43"/>
      <c r="CX21" s="43"/>
      <c r="CY21" s="43"/>
      <c r="CZ21" s="43"/>
      <c r="DA21" s="43"/>
      <c r="DB21" s="43"/>
      <c r="DC21" s="43"/>
      <c r="DD21" s="43"/>
      <c r="DE21" s="43"/>
      <c r="DF21" s="43"/>
      <c r="DG21" s="43"/>
      <c r="DH21" s="43"/>
      <c r="DI21" s="43"/>
      <c r="DJ21" s="43"/>
      <c r="DK21" s="43"/>
      <c r="DL21" s="43"/>
      <c r="DM21" s="43"/>
      <c r="DN21" s="43"/>
      <c r="DO21" s="43"/>
      <c r="DP21" s="43"/>
      <c r="DQ21" s="43"/>
      <c r="DR21" s="43"/>
      <c r="DS21" s="43"/>
      <c r="DT21" s="43"/>
      <c r="DU21" s="43"/>
      <c r="DV21" s="43"/>
      <c r="DW21" s="43"/>
      <c r="DX21" s="43"/>
      <c r="DY21" s="43"/>
      <c r="DZ21" s="43"/>
      <c r="EA21" s="43"/>
      <c r="EB21" s="43"/>
      <c r="EC21" s="43"/>
      <c r="ED21" s="43"/>
      <c r="EE21" s="43"/>
      <c r="EF21" s="43"/>
      <c r="EG21" s="43"/>
      <c r="EH21" s="43"/>
      <c r="EI21" s="43"/>
      <c r="EJ21" s="43"/>
      <c r="EK21" s="43"/>
      <c r="EL21" s="43"/>
      <c r="EM21" s="43"/>
      <c r="EN21" s="43"/>
      <c r="EO21" s="43"/>
      <c r="EP21" s="43"/>
      <c r="EQ21" s="43"/>
      <c r="ER21" s="43"/>
      <c r="ES21" s="43"/>
      <c r="ET21" s="43"/>
      <c r="EU21" s="43"/>
    </row>
    <row r="22" spans="1:151" s="773" customFormat="1">
      <c r="A22" s="773" t="s">
        <v>91</v>
      </c>
      <c r="B22" s="1989" t="s">
        <v>1429</v>
      </c>
      <c r="C22" s="1985"/>
      <c r="D22" s="1985"/>
      <c r="E22" s="1985"/>
      <c r="F22" s="1985"/>
      <c r="G22" s="1985"/>
      <c r="H22" s="1985"/>
      <c r="I22" s="43"/>
      <c r="J22" s="43"/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43"/>
      <c r="W22" s="43"/>
      <c r="X22" s="43"/>
      <c r="Y22" s="43"/>
      <c r="Z22" s="43"/>
      <c r="AA22" s="43"/>
      <c r="AB22" s="43"/>
      <c r="AC22" s="43"/>
      <c r="AD22" s="43"/>
      <c r="AE22" s="43"/>
      <c r="AF22" s="43"/>
      <c r="AG22" s="43"/>
      <c r="AH22" s="43"/>
      <c r="AI22" s="43"/>
      <c r="AJ22" s="43"/>
      <c r="AK22" s="43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  <c r="BA22" s="43"/>
      <c r="BB22" s="43"/>
      <c r="BC22" s="43"/>
      <c r="BD22" s="43"/>
      <c r="BE22" s="43"/>
      <c r="BF22" s="43"/>
      <c r="BG22" s="43"/>
      <c r="BH22" s="43"/>
      <c r="BI22" s="43"/>
      <c r="BJ22" s="43"/>
      <c r="BK22" s="43"/>
      <c r="BL22" s="43"/>
      <c r="BM22" s="43"/>
      <c r="BN22" s="43"/>
      <c r="BO22" s="43"/>
      <c r="BP22" s="43"/>
      <c r="BQ22" s="43"/>
      <c r="BR22" s="43"/>
      <c r="BS22" s="43"/>
      <c r="BT22" s="43"/>
      <c r="BU22" s="43"/>
      <c r="BV22" s="43"/>
      <c r="BW22" s="43"/>
      <c r="BX22" s="43"/>
      <c r="BY22" s="43"/>
      <c r="BZ22" s="43"/>
      <c r="CA22" s="43"/>
      <c r="CB22" s="43"/>
      <c r="CC22" s="43"/>
      <c r="CD22" s="43"/>
      <c r="CE22" s="43"/>
      <c r="CF22" s="43"/>
      <c r="CG22" s="43"/>
      <c r="CH22" s="43"/>
      <c r="CI22" s="43"/>
      <c r="CJ22" s="43"/>
      <c r="CK22" s="43"/>
      <c r="CL22" s="43"/>
      <c r="CM22" s="43"/>
      <c r="CN22" s="43"/>
      <c r="CO22" s="43"/>
      <c r="CP22" s="43"/>
      <c r="CQ22" s="43"/>
      <c r="CR22" s="43"/>
      <c r="CS22" s="43"/>
      <c r="CT22" s="43"/>
      <c r="CU22" s="43"/>
      <c r="CV22" s="43"/>
      <c r="CW22" s="43"/>
      <c r="CX22" s="43"/>
      <c r="CY22" s="43"/>
      <c r="CZ22" s="43"/>
      <c r="DA22" s="43"/>
      <c r="DB22" s="43"/>
      <c r="DC22" s="43"/>
      <c r="DD22" s="43"/>
      <c r="DE22" s="43"/>
      <c r="DF22" s="43"/>
      <c r="DG22" s="43"/>
      <c r="DH22" s="43"/>
      <c r="DI22" s="43"/>
      <c r="DJ22" s="43"/>
      <c r="DK22" s="43"/>
      <c r="DL22" s="43"/>
      <c r="DM22" s="43"/>
      <c r="DN22" s="43"/>
      <c r="DO22" s="43"/>
      <c r="DP22" s="43"/>
      <c r="DQ22" s="43"/>
      <c r="DR22" s="43"/>
      <c r="DS22" s="43"/>
      <c r="DT22" s="43"/>
      <c r="DU22" s="43"/>
      <c r="DV22" s="43"/>
      <c r="DW22" s="43"/>
      <c r="DX22" s="43"/>
      <c r="DY22" s="43"/>
      <c r="DZ22" s="43"/>
      <c r="EA22" s="43"/>
      <c r="EB22" s="43"/>
      <c r="EC22" s="43"/>
      <c r="ED22" s="43"/>
      <c r="EE22" s="43"/>
      <c r="EF22" s="43"/>
      <c r="EG22" s="43"/>
      <c r="EH22" s="43"/>
      <c r="EI22" s="43"/>
      <c r="EJ22" s="43"/>
      <c r="EK22" s="43"/>
      <c r="EL22" s="43"/>
      <c r="EM22" s="43"/>
      <c r="EN22" s="43"/>
      <c r="EO22" s="43"/>
      <c r="EP22" s="43"/>
      <c r="EQ22" s="43"/>
      <c r="ER22" s="43"/>
      <c r="ES22" s="43"/>
      <c r="ET22" s="43"/>
      <c r="EU22" s="43"/>
    </row>
    <row r="23" spans="1:151" ht="25.5" customHeight="1">
      <c r="A23" s="1" t="s">
        <v>93</v>
      </c>
      <c r="B23" s="1988" t="s">
        <v>1430</v>
      </c>
      <c r="C23" s="1973"/>
      <c r="D23" s="1973"/>
      <c r="E23" s="1973"/>
      <c r="F23" s="1973"/>
      <c r="G23" s="1973"/>
      <c r="H23" s="1973"/>
      <c r="I23" s="844"/>
      <c r="J23" s="844"/>
      <c r="K23" s="844"/>
      <c r="L23" s="844"/>
      <c r="M23" s="844"/>
      <c r="N23" s="844"/>
      <c r="O23" s="844"/>
      <c r="P23" s="844"/>
      <c r="Q23" s="844"/>
      <c r="R23" s="844"/>
      <c r="S23" s="844"/>
      <c r="T23" s="844"/>
      <c r="U23" s="844"/>
      <c r="V23" s="844"/>
      <c r="W23" s="844"/>
      <c r="X23" s="844"/>
      <c r="Y23" s="844"/>
      <c r="Z23" s="844"/>
      <c r="AA23" s="844"/>
      <c r="AB23" s="844"/>
      <c r="AC23" s="844"/>
      <c r="AD23" s="844"/>
      <c r="AE23" s="844"/>
      <c r="AF23" s="844"/>
      <c r="AG23" s="844"/>
      <c r="AH23" s="844"/>
      <c r="AI23" s="844"/>
      <c r="AJ23" s="844"/>
      <c r="AK23" s="844"/>
      <c r="AL23" s="844"/>
      <c r="AM23" s="844"/>
      <c r="AN23" s="844"/>
      <c r="AO23" s="844"/>
      <c r="AP23" s="844"/>
      <c r="AQ23" s="844"/>
      <c r="AR23" s="844"/>
      <c r="AS23" s="844"/>
      <c r="AT23" s="844"/>
      <c r="AU23" s="844"/>
      <c r="AV23" s="844"/>
      <c r="AW23" s="844"/>
      <c r="AX23" s="844"/>
      <c r="AY23" s="844"/>
      <c r="AZ23" s="844"/>
      <c r="BA23" s="844"/>
      <c r="BB23" s="844"/>
      <c r="BC23" s="844"/>
      <c r="BD23" s="844"/>
      <c r="BE23" s="844"/>
      <c r="BF23" s="844"/>
      <c r="BG23" s="844"/>
      <c r="BH23" s="844"/>
      <c r="BI23" s="844"/>
      <c r="BJ23" s="844"/>
      <c r="BK23" s="844"/>
      <c r="BL23" s="844"/>
      <c r="BM23" s="844"/>
      <c r="BN23" s="844"/>
      <c r="BO23" s="844"/>
      <c r="BP23" s="844"/>
      <c r="BQ23" s="844"/>
      <c r="BR23" s="844"/>
      <c r="BS23" s="844"/>
      <c r="BT23" s="844"/>
      <c r="BU23" s="844"/>
      <c r="BV23" s="844"/>
      <c r="BW23" s="844"/>
      <c r="BX23" s="844"/>
      <c r="BY23" s="844"/>
      <c r="BZ23" s="844"/>
      <c r="CA23" s="844"/>
      <c r="CB23" s="844"/>
      <c r="CC23" s="844"/>
      <c r="CD23" s="844"/>
      <c r="CE23" s="844"/>
      <c r="CF23" s="844"/>
      <c r="CG23" s="844"/>
      <c r="CH23" s="844"/>
      <c r="CI23" s="844"/>
      <c r="CJ23" s="844"/>
      <c r="CK23" s="844"/>
      <c r="CL23" s="844"/>
      <c r="CM23" s="844"/>
      <c r="CN23" s="844"/>
      <c r="CO23" s="844"/>
      <c r="CP23" s="844"/>
      <c r="CQ23" s="844"/>
      <c r="CR23" s="844"/>
      <c r="CS23" s="844"/>
      <c r="CT23" s="844"/>
      <c r="CU23" s="844"/>
      <c r="CV23" s="844"/>
      <c r="CW23" s="844"/>
      <c r="CX23" s="844"/>
      <c r="CY23" s="844"/>
      <c r="CZ23" s="844"/>
      <c r="DA23" s="844"/>
      <c r="DB23" s="844"/>
      <c r="DC23" s="844"/>
      <c r="DD23" s="844"/>
      <c r="DE23" s="844"/>
      <c r="DF23" s="844"/>
      <c r="DG23" s="844"/>
      <c r="DH23" s="844"/>
      <c r="DI23" s="844"/>
      <c r="DJ23" s="844"/>
      <c r="DK23" s="844"/>
      <c r="DL23" s="844"/>
      <c r="DM23" s="844"/>
      <c r="DN23" s="844"/>
      <c r="DO23" s="844"/>
      <c r="DP23" s="844"/>
      <c r="DQ23" s="844"/>
      <c r="DR23" s="844"/>
      <c r="DS23" s="844"/>
      <c r="DT23" s="844"/>
      <c r="DU23" s="844"/>
      <c r="DV23" s="844"/>
      <c r="DW23" s="844"/>
      <c r="DX23" s="844"/>
      <c r="DY23" s="844"/>
      <c r="DZ23" s="844"/>
      <c r="EA23" s="844"/>
      <c r="EB23" s="844"/>
      <c r="EC23" s="844"/>
      <c r="ED23" s="844"/>
      <c r="EE23" s="844"/>
      <c r="EF23" s="844"/>
      <c r="EG23" s="844"/>
      <c r="EH23" s="844"/>
      <c r="EI23" s="844"/>
      <c r="EJ23" s="844"/>
      <c r="EK23" s="844"/>
      <c r="EL23" s="844"/>
      <c r="EM23" s="844"/>
      <c r="EN23" s="844"/>
      <c r="EO23" s="844"/>
      <c r="EP23" s="844"/>
      <c r="EQ23" s="844"/>
      <c r="ER23" s="844"/>
      <c r="ES23" s="844"/>
      <c r="ET23" s="844"/>
      <c r="EU23" s="844"/>
    </row>
    <row r="24" spans="1:151">
      <c r="A24" s="1" t="s">
        <v>95</v>
      </c>
      <c r="B24" s="1990" t="s">
        <v>553</v>
      </c>
      <c r="C24" s="1991"/>
      <c r="D24" s="1991"/>
      <c r="E24" s="1991"/>
      <c r="F24" s="1991"/>
      <c r="G24" s="1991"/>
      <c r="H24" s="1991"/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  <c r="AI24" s="43"/>
      <c r="AJ24" s="43"/>
      <c r="AK24" s="43"/>
      <c r="AL24" s="43"/>
      <c r="AM24" s="43"/>
      <c r="AN24" s="43"/>
      <c r="AO24" s="43"/>
      <c r="AP24" s="43"/>
      <c r="AQ24" s="43"/>
      <c r="AR24" s="43"/>
      <c r="AS24" s="43"/>
      <c r="AT24" s="43"/>
      <c r="AU24" s="43"/>
      <c r="AV24" s="43"/>
      <c r="AW24" s="43"/>
      <c r="AX24" s="43"/>
      <c r="AY24" s="43"/>
      <c r="AZ24" s="43"/>
      <c r="BA24" s="43"/>
      <c r="BB24" s="43"/>
      <c r="BC24" s="43"/>
      <c r="BD24" s="43"/>
      <c r="BE24" s="43"/>
      <c r="BF24" s="43"/>
      <c r="BG24" s="43"/>
      <c r="BH24" s="43"/>
      <c r="BI24" s="43"/>
      <c r="BJ24" s="43"/>
      <c r="BK24" s="43"/>
      <c r="BL24" s="43"/>
      <c r="BM24" s="43"/>
      <c r="BN24" s="43"/>
      <c r="BO24" s="43"/>
      <c r="BP24" s="43"/>
      <c r="BQ24" s="43"/>
      <c r="BR24" s="43"/>
      <c r="BS24" s="43"/>
      <c r="BT24" s="43"/>
      <c r="BU24" s="43"/>
      <c r="BV24" s="43"/>
      <c r="BW24" s="43"/>
      <c r="BX24" s="43"/>
      <c r="BY24" s="43"/>
      <c r="BZ24" s="43"/>
      <c r="CA24" s="43"/>
      <c r="CB24" s="43"/>
      <c r="CC24" s="43"/>
      <c r="CD24" s="43"/>
      <c r="CE24" s="43"/>
      <c r="CF24" s="43"/>
      <c r="CG24" s="43"/>
      <c r="CH24" s="43"/>
      <c r="CI24" s="43"/>
      <c r="CJ24" s="43"/>
      <c r="CK24" s="43"/>
      <c r="CL24" s="43"/>
      <c r="CM24" s="43"/>
      <c r="CN24" s="43"/>
      <c r="CO24" s="43"/>
      <c r="CP24" s="43"/>
      <c r="CQ24" s="43"/>
      <c r="CR24" s="43"/>
      <c r="CS24" s="43"/>
      <c r="CT24" s="43"/>
      <c r="CU24" s="43"/>
      <c r="CV24" s="43"/>
      <c r="CW24" s="43"/>
      <c r="CX24" s="43"/>
      <c r="CY24" s="43"/>
      <c r="CZ24" s="43"/>
      <c r="DA24" s="43"/>
      <c r="DB24" s="43"/>
      <c r="DC24" s="43"/>
      <c r="DD24" s="43"/>
      <c r="DE24" s="43"/>
      <c r="DF24" s="43"/>
      <c r="DG24" s="43"/>
      <c r="DH24" s="43"/>
      <c r="DI24" s="43"/>
      <c r="DJ24" s="43"/>
      <c r="DK24" s="43"/>
      <c r="DL24" s="43"/>
      <c r="DM24" s="43"/>
      <c r="DN24" s="43"/>
      <c r="DO24" s="43"/>
      <c r="DP24" s="43"/>
      <c r="DQ24" s="43"/>
      <c r="DR24" s="43"/>
      <c r="DS24" s="43"/>
      <c r="DT24" s="43"/>
      <c r="DU24" s="43"/>
      <c r="DV24" s="43"/>
      <c r="DW24" s="43"/>
      <c r="DX24" s="43"/>
      <c r="DY24" s="43"/>
      <c r="DZ24" s="43"/>
      <c r="EA24" s="43"/>
      <c r="EB24" s="43"/>
      <c r="EC24" s="43"/>
      <c r="ED24" s="43"/>
      <c r="EE24" s="43"/>
      <c r="EF24" s="43"/>
      <c r="EG24" s="43"/>
      <c r="EH24" s="43"/>
      <c r="EI24" s="43"/>
      <c r="EJ24" s="43"/>
      <c r="EK24" s="43"/>
      <c r="EL24" s="43"/>
      <c r="EM24" s="43"/>
      <c r="EN24" s="43"/>
      <c r="EO24" s="43"/>
      <c r="EP24" s="43"/>
      <c r="EQ24" s="43"/>
      <c r="ER24" s="43"/>
      <c r="ES24" s="43"/>
      <c r="ET24" s="43"/>
      <c r="EU24" s="43"/>
    </row>
    <row r="25" spans="1:151" ht="15" customHeight="1">
      <c r="A25" s="1" t="s">
        <v>97</v>
      </c>
      <c r="B25" s="1988" t="s">
        <v>1431</v>
      </c>
      <c r="C25" s="1973"/>
      <c r="D25" s="1973"/>
      <c r="E25" s="1973"/>
      <c r="F25" s="1973"/>
      <c r="G25" s="1973"/>
      <c r="H25" s="1973"/>
      <c r="I25" s="844"/>
      <c r="J25" s="844"/>
      <c r="K25" s="844"/>
      <c r="L25" s="844"/>
      <c r="M25" s="844"/>
      <c r="N25" s="844"/>
      <c r="O25" s="844"/>
      <c r="P25" s="844"/>
      <c r="Q25" s="844"/>
      <c r="R25" s="844"/>
      <c r="S25" s="844"/>
      <c r="T25" s="844"/>
      <c r="U25" s="844"/>
      <c r="V25" s="844"/>
      <c r="W25" s="844"/>
      <c r="X25" s="844"/>
      <c r="Y25" s="844"/>
      <c r="Z25" s="844"/>
      <c r="AA25" s="844"/>
      <c r="AB25" s="844"/>
      <c r="AC25" s="844"/>
      <c r="AD25" s="844"/>
      <c r="AE25" s="844"/>
      <c r="AF25" s="844"/>
      <c r="AG25" s="844"/>
      <c r="AH25" s="844"/>
      <c r="AI25" s="844"/>
      <c r="AJ25" s="844"/>
      <c r="AK25" s="844"/>
      <c r="AL25" s="844"/>
      <c r="AM25" s="844"/>
      <c r="AN25" s="844"/>
      <c r="AO25" s="844"/>
      <c r="AP25" s="844"/>
      <c r="AQ25" s="844"/>
      <c r="AR25" s="844"/>
      <c r="AS25" s="844"/>
      <c r="AT25" s="844"/>
      <c r="AU25" s="844"/>
      <c r="AV25" s="844"/>
      <c r="AW25" s="844"/>
      <c r="AX25" s="844"/>
      <c r="AY25" s="844"/>
      <c r="AZ25" s="844"/>
      <c r="BA25" s="844"/>
      <c r="BB25" s="844"/>
      <c r="BC25" s="844"/>
      <c r="BD25" s="844"/>
      <c r="BE25" s="844"/>
      <c r="BF25" s="844"/>
      <c r="BG25" s="844"/>
      <c r="BH25" s="844"/>
      <c r="BI25" s="844"/>
      <c r="BJ25" s="844"/>
      <c r="BK25" s="844"/>
      <c r="BL25" s="844"/>
      <c r="BM25" s="844"/>
      <c r="BN25" s="844"/>
      <c r="BO25" s="844"/>
      <c r="BP25" s="844"/>
      <c r="BQ25" s="844"/>
      <c r="BR25" s="844"/>
      <c r="BS25" s="844"/>
      <c r="BT25" s="844"/>
      <c r="BU25" s="844"/>
      <c r="BV25" s="844"/>
      <c r="BW25" s="844"/>
      <c r="BX25" s="844"/>
      <c r="BY25" s="844"/>
      <c r="BZ25" s="844"/>
      <c r="CA25" s="844"/>
      <c r="CB25" s="844"/>
      <c r="CC25" s="844"/>
      <c r="CD25" s="844"/>
      <c r="CE25" s="844"/>
      <c r="CF25" s="844"/>
      <c r="CG25" s="844"/>
      <c r="CH25" s="844"/>
      <c r="CI25" s="844"/>
      <c r="CJ25" s="844"/>
      <c r="CK25" s="844"/>
      <c r="CL25" s="844"/>
      <c r="CM25" s="844"/>
      <c r="CN25" s="844"/>
      <c r="CO25" s="844"/>
      <c r="CP25" s="844"/>
      <c r="CQ25" s="844"/>
      <c r="CR25" s="844"/>
      <c r="CS25" s="844"/>
      <c r="CT25" s="844"/>
      <c r="CU25" s="844"/>
      <c r="CV25" s="844"/>
      <c r="CW25" s="844"/>
      <c r="CX25" s="844"/>
      <c r="CY25" s="844"/>
      <c r="CZ25" s="844"/>
      <c r="DA25" s="844"/>
      <c r="DB25" s="844"/>
      <c r="DC25" s="844"/>
      <c r="DD25" s="844"/>
      <c r="DE25" s="844"/>
      <c r="DF25" s="844"/>
      <c r="DG25" s="844"/>
      <c r="DH25" s="844"/>
      <c r="DI25" s="844"/>
      <c r="DJ25" s="844"/>
      <c r="DK25" s="844"/>
      <c r="DL25" s="844"/>
      <c r="DM25" s="844"/>
      <c r="DN25" s="844"/>
      <c r="DO25" s="844"/>
      <c r="DP25" s="844"/>
      <c r="DQ25" s="844"/>
      <c r="DR25" s="844"/>
      <c r="DS25" s="844"/>
      <c r="DT25" s="844"/>
      <c r="DU25" s="844"/>
      <c r="DV25" s="844"/>
      <c r="DW25" s="844"/>
      <c r="DX25" s="844"/>
      <c r="DY25" s="844"/>
      <c r="DZ25" s="844"/>
      <c r="EA25" s="844"/>
      <c r="EB25" s="844"/>
      <c r="EC25" s="844"/>
      <c r="ED25" s="844"/>
      <c r="EE25" s="844"/>
      <c r="EF25" s="844"/>
      <c r="EG25" s="844"/>
      <c r="EH25" s="844"/>
      <c r="EI25" s="844"/>
      <c r="EJ25" s="844"/>
      <c r="EK25" s="844"/>
      <c r="EL25" s="844"/>
      <c r="EM25" s="844"/>
      <c r="EN25" s="844"/>
      <c r="EO25" s="844"/>
      <c r="EP25" s="844"/>
      <c r="EQ25" s="844"/>
      <c r="ER25" s="844"/>
      <c r="ES25" s="844"/>
      <c r="ET25" s="844"/>
      <c r="EU25" s="844"/>
    </row>
    <row r="26" spans="1:151">
      <c r="A26" s="1" t="s">
        <v>582</v>
      </c>
      <c r="B26" s="43" t="s">
        <v>1432</v>
      </c>
      <c r="C26" s="43"/>
      <c r="D26" s="43"/>
      <c r="E26" s="43"/>
      <c r="F26" s="43"/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3"/>
      <c r="BL26" s="43"/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  <c r="CE26" s="43"/>
      <c r="CF26" s="43"/>
      <c r="CG26" s="43"/>
      <c r="CH26" s="43"/>
      <c r="CI26" s="43"/>
      <c r="CJ26" s="43"/>
      <c r="CK26" s="43"/>
      <c r="CL26" s="43"/>
      <c r="CM26" s="43"/>
      <c r="CN26" s="43"/>
      <c r="CO26" s="43"/>
      <c r="CP26" s="43"/>
      <c r="CQ26" s="43"/>
      <c r="CR26" s="43"/>
      <c r="CS26" s="43"/>
      <c r="CT26" s="43"/>
      <c r="CU26" s="43"/>
      <c r="CV26" s="43"/>
      <c r="CW26" s="43"/>
      <c r="CX26" s="43"/>
      <c r="CY26" s="43"/>
      <c r="CZ26" s="43"/>
      <c r="DA26" s="43"/>
      <c r="DB26" s="43"/>
      <c r="DC26" s="43"/>
      <c r="DD26" s="43"/>
      <c r="DE26" s="43"/>
      <c r="DF26" s="43"/>
      <c r="DG26" s="43"/>
      <c r="DH26" s="43"/>
      <c r="DI26" s="43"/>
      <c r="DJ26" s="43"/>
      <c r="DK26" s="43"/>
      <c r="DL26" s="43"/>
      <c r="DM26" s="43"/>
      <c r="DN26" s="43"/>
      <c r="DO26" s="43"/>
      <c r="DP26" s="43"/>
      <c r="DQ26" s="43"/>
      <c r="DR26" s="43"/>
      <c r="DS26" s="43"/>
      <c r="DT26" s="43"/>
      <c r="DU26" s="43"/>
      <c r="DV26" s="43"/>
      <c r="DW26" s="43"/>
      <c r="DX26" s="43"/>
      <c r="DY26" s="43"/>
      <c r="DZ26" s="43"/>
      <c r="EA26" s="43"/>
      <c r="EB26" s="43"/>
      <c r="EC26" s="43"/>
      <c r="ED26" s="43"/>
      <c r="EE26" s="43"/>
      <c r="EF26" s="43"/>
      <c r="EG26" s="43"/>
      <c r="EH26" s="43"/>
      <c r="EI26" s="43"/>
      <c r="EJ26" s="43"/>
      <c r="EK26" s="43"/>
      <c r="EL26" s="43"/>
      <c r="EM26" s="43"/>
      <c r="EN26" s="43"/>
      <c r="EO26" s="43"/>
      <c r="EP26" s="43"/>
      <c r="EQ26" s="43"/>
      <c r="ER26" s="43"/>
      <c r="ES26" s="43"/>
      <c r="ET26" s="43"/>
      <c r="EU26" s="43"/>
    </row>
    <row r="27" spans="1:151">
      <c r="B27" s="43" t="s">
        <v>1433</v>
      </c>
      <c r="C27" s="43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3"/>
      <c r="BM27" s="43"/>
      <c r="BN27" s="43"/>
      <c r="BO27" s="43"/>
      <c r="BP27" s="43"/>
      <c r="BQ27" s="43"/>
      <c r="BR27" s="43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  <c r="CE27" s="43"/>
      <c r="CF27" s="43"/>
      <c r="CG27" s="43"/>
      <c r="CH27" s="43"/>
      <c r="CI27" s="43"/>
      <c r="CJ27" s="43"/>
      <c r="CK27" s="43"/>
      <c r="CL27" s="43"/>
      <c r="CM27" s="43"/>
      <c r="CN27" s="43"/>
      <c r="CO27" s="43"/>
      <c r="CP27" s="43"/>
      <c r="CQ27" s="43"/>
      <c r="CR27" s="43"/>
      <c r="CS27" s="43"/>
      <c r="CT27" s="43"/>
      <c r="CU27" s="43"/>
      <c r="CV27" s="43"/>
      <c r="CW27" s="43"/>
      <c r="CX27" s="43"/>
      <c r="CY27" s="43"/>
      <c r="CZ27" s="43"/>
      <c r="DA27" s="43"/>
      <c r="DB27" s="43"/>
      <c r="DC27" s="43"/>
      <c r="DD27" s="43"/>
      <c r="DE27" s="43"/>
      <c r="DF27" s="43"/>
      <c r="DG27" s="43"/>
      <c r="DH27" s="43"/>
      <c r="DI27" s="43"/>
      <c r="DJ27" s="43"/>
      <c r="DK27" s="43"/>
      <c r="DL27" s="43"/>
      <c r="DM27" s="43"/>
      <c r="DN27" s="43"/>
      <c r="DO27" s="43"/>
      <c r="DP27" s="43"/>
      <c r="DQ27" s="43"/>
      <c r="DR27" s="43"/>
      <c r="DS27" s="43"/>
      <c r="DT27" s="43"/>
      <c r="DU27" s="43"/>
      <c r="DV27" s="43"/>
      <c r="DW27" s="43"/>
      <c r="DX27" s="43"/>
      <c r="DY27" s="43"/>
      <c r="DZ27" s="43"/>
      <c r="EA27" s="43"/>
      <c r="EB27" s="43"/>
      <c r="EC27" s="43"/>
      <c r="ED27" s="43"/>
      <c r="EE27" s="43"/>
      <c r="EF27" s="43"/>
      <c r="EG27" s="43"/>
      <c r="EH27" s="43"/>
      <c r="EI27" s="43"/>
      <c r="EJ27" s="43"/>
      <c r="EK27" s="43"/>
      <c r="EL27" s="43"/>
      <c r="EM27" s="43"/>
      <c r="EN27" s="43"/>
      <c r="EO27" s="43"/>
      <c r="EP27" s="43"/>
      <c r="EQ27" s="43"/>
      <c r="ER27" s="43"/>
      <c r="ES27" s="43"/>
      <c r="ET27" s="43"/>
      <c r="EU27" s="43"/>
    </row>
    <row r="28" spans="1:151">
      <c r="B28" s="43" t="s">
        <v>1434</v>
      </c>
      <c r="C28" s="43"/>
      <c r="D28" s="43"/>
      <c r="E28" s="43"/>
      <c r="F28" s="43"/>
      <c r="G28" s="43"/>
      <c r="H28" s="43"/>
      <c r="I28" s="43"/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3"/>
      <c r="CR28" s="43"/>
      <c r="CS28" s="43"/>
      <c r="CT28" s="43"/>
      <c r="CU28" s="43"/>
      <c r="CV28" s="43"/>
      <c r="CW28" s="43"/>
      <c r="CX28" s="43"/>
      <c r="CY28" s="43"/>
      <c r="CZ28" s="43"/>
      <c r="DA28" s="43"/>
      <c r="DB28" s="43"/>
      <c r="DC28" s="43"/>
      <c r="DD28" s="43"/>
      <c r="DE28" s="43"/>
      <c r="DF28" s="43"/>
      <c r="DG28" s="43"/>
      <c r="DH28" s="43"/>
      <c r="DI28" s="43"/>
      <c r="DJ28" s="43"/>
      <c r="DK28" s="43"/>
      <c r="DL28" s="43"/>
      <c r="DM28" s="43"/>
      <c r="DN28" s="43"/>
      <c r="DO28" s="43"/>
      <c r="DP28" s="43"/>
      <c r="DQ28" s="43"/>
      <c r="DR28" s="43"/>
      <c r="DS28" s="43"/>
      <c r="DT28" s="43"/>
      <c r="DU28" s="43"/>
      <c r="DV28" s="43"/>
      <c r="DW28" s="43"/>
      <c r="DX28" s="43"/>
      <c r="DY28" s="43"/>
      <c r="DZ28" s="43"/>
      <c r="EA28" s="43"/>
      <c r="EB28" s="43"/>
      <c r="EC28" s="43"/>
      <c r="ED28" s="43"/>
      <c r="EE28" s="43"/>
      <c r="EF28" s="43"/>
      <c r="EG28" s="43"/>
      <c r="EH28" s="43"/>
      <c r="EI28" s="43"/>
      <c r="EJ28" s="43"/>
      <c r="EK28" s="43"/>
      <c r="EL28" s="43"/>
      <c r="EM28" s="43"/>
      <c r="EN28" s="43"/>
      <c r="EO28" s="43"/>
      <c r="EP28" s="43"/>
      <c r="EQ28" s="43"/>
      <c r="ER28" s="43"/>
      <c r="ES28" s="43"/>
      <c r="ET28" s="43"/>
      <c r="EU28" s="43"/>
    </row>
    <row r="29" spans="1:151">
      <c r="A29" s="1" t="s">
        <v>615</v>
      </c>
      <c r="B29" s="43" t="s">
        <v>1435</v>
      </c>
      <c r="C29" s="43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43"/>
      <c r="Z29" s="43"/>
      <c r="AA29" s="43"/>
      <c r="AB29" s="43"/>
      <c r="AC29" s="43"/>
      <c r="AD29" s="43"/>
      <c r="AE29" s="43"/>
      <c r="AF29" s="43"/>
      <c r="AG29" s="43"/>
      <c r="AH29" s="43"/>
      <c r="AI29" s="43"/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3"/>
      <c r="AU29" s="43"/>
      <c r="AV29" s="43"/>
      <c r="AW29" s="43"/>
      <c r="AX29" s="43"/>
      <c r="AY29" s="43"/>
      <c r="AZ29" s="43"/>
      <c r="BA29" s="43"/>
      <c r="BB29" s="43"/>
      <c r="BC29" s="43"/>
      <c r="BD29" s="43"/>
      <c r="BE29" s="43"/>
      <c r="BF29" s="43"/>
      <c r="BG29" s="43"/>
      <c r="BH29" s="43"/>
      <c r="BI29" s="43"/>
      <c r="BJ29" s="43"/>
      <c r="BK29" s="43"/>
      <c r="BL29" s="43"/>
      <c r="BM29" s="43"/>
      <c r="BN29" s="43"/>
      <c r="BO29" s="43"/>
      <c r="BP29" s="43"/>
      <c r="BQ29" s="43"/>
      <c r="BR29" s="43"/>
      <c r="BS29" s="43"/>
      <c r="BT29" s="43"/>
      <c r="BU29" s="43"/>
      <c r="BV29" s="43"/>
      <c r="BW29" s="43"/>
      <c r="BX29" s="43"/>
      <c r="BY29" s="43"/>
      <c r="BZ29" s="43"/>
      <c r="CA29" s="43"/>
      <c r="CB29" s="43"/>
      <c r="CC29" s="43"/>
      <c r="CD29" s="43"/>
      <c r="CE29" s="43"/>
      <c r="CF29" s="43"/>
      <c r="CG29" s="43"/>
      <c r="CH29" s="43"/>
      <c r="CI29" s="43"/>
      <c r="CJ29" s="43"/>
      <c r="CK29" s="43"/>
      <c r="CL29" s="43"/>
      <c r="CM29" s="43"/>
      <c r="CN29" s="43"/>
      <c r="CO29" s="43"/>
      <c r="CP29" s="43"/>
      <c r="CQ29" s="43"/>
      <c r="CR29" s="43"/>
      <c r="CS29" s="43"/>
      <c r="CT29" s="43"/>
      <c r="CU29" s="43"/>
      <c r="CV29" s="43"/>
      <c r="CW29" s="43"/>
      <c r="CX29" s="43"/>
      <c r="CY29" s="43"/>
      <c r="CZ29" s="43"/>
      <c r="DA29" s="43"/>
      <c r="DB29" s="43"/>
      <c r="DC29" s="43"/>
      <c r="DD29" s="43"/>
      <c r="DE29" s="43"/>
      <c r="DF29" s="43"/>
      <c r="DG29" s="43"/>
      <c r="DH29" s="43"/>
      <c r="DI29" s="43"/>
      <c r="DJ29" s="43"/>
      <c r="DK29" s="43"/>
      <c r="DL29" s="43"/>
      <c r="DM29" s="43"/>
      <c r="DN29" s="43"/>
      <c r="DO29" s="43"/>
      <c r="DP29" s="43"/>
      <c r="DQ29" s="43"/>
      <c r="DR29" s="43"/>
      <c r="DS29" s="43"/>
      <c r="DT29" s="43"/>
      <c r="DU29" s="43"/>
      <c r="DV29" s="43"/>
      <c r="DW29" s="43"/>
      <c r="DX29" s="43"/>
      <c r="DY29" s="43"/>
      <c r="DZ29" s="43"/>
      <c r="EA29" s="43"/>
      <c r="EB29" s="43"/>
      <c r="EC29" s="43"/>
      <c r="ED29" s="43"/>
      <c r="EE29" s="43"/>
      <c r="EF29" s="43"/>
      <c r="EG29" s="43"/>
      <c r="EH29" s="43"/>
      <c r="EI29" s="43"/>
      <c r="EJ29" s="43"/>
      <c r="EK29" s="43"/>
      <c r="EL29" s="43"/>
      <c r="EM29" s="43"/>
      <c r="EN29" s="43"/>
      <c r="EO29" s="43"/>
      <c r="EP29" s="43"/>
      <c r="EQ29" s="43"/>
      <c r="ER29" s="43"/>
      <c r="ES29" s="43"/>
      <c r="ET29" s="43"/>
      <c r="EU29" s="43"/>
    </row>
    <row r="30" spans="1:151">
      <c r="B30" s="43" t="s">
        <v>1436</v>
      </c>
      <c r="C30" s="43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3"/>
      <c r="AD30" s="43"/>
      <c r="AE30" s="43"/>
      <c r="AF30" s="43"/>
      <c r="AG30" s="43"/>
      <c r="AH30" s="43"/>
      <c r="AI30" s="43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43"/>
      <c r="AU30" s="43"/>
      <c r="AV30" s="43"/>
      <c r="AW30" s="43"/>
      <c r="AX30" s="43"/>
      <c r="AY30" s="43"/>
      <c r="AZ30" s="43"/>
      <c r="BA30" s="43"/>
      <c r="BB30" s="43"/>
      <c r="BC30" s="43"/>
      <c r="BD30" s="43"/>
      <c r="BE30" s="43"/>
      <c r="BF30" s="43"/>
      <c r="BG30" s="43"/>
      <c r="BH30" s="43"/>
      <c r="BI30" s="43"/>
      <c r="BJ30" s="43"/>
      <c r="BK30" s="43"/>
      <c r="BL30" s="43"/>
      <c r="BM30" s="43"/>
      <c r="BN30" s="43"/>
      <c r="BO30" s="43"/>
      <c r="BP30" s="43"/>
      <c r="BQ30" s="43"/>
      <c r="BR30" s="43"/>
      <c r="BS30" s="43"/>
      <c r="BT30" s="43"/>
      <c r="BU30" s="43"/>
      <c r="BV30" s="43"/>
      <c r="BW30" s="43"/>
      <c r="BX30" s="43"/>
      <c r="BY30" s="43"/>
      <c r="BZ30" s="43"/>
      <c r="CA30" s="43"/>
      <c r="CB30" s="43"/>
      <c r="CC30" s="43"/>
      <c r="CD30" s="43"/>
      <c r="CE30" s="43"/>
      <c r="CF30" s="43"/>
      <c r="CG30" s="43"/>
      <c r="CH30" s="43"/>
      <c r="CI30" s="43"/>
      <c r="CJ30" s="43"/>
      <c r="CK30" s="43"/>
      <c r="CL30" s="43"/>
      <c r="CM30" s="43"/>
      <c r="CN30" s="43"/>
      <c r="CO30" s="43"/>
      <c r="CP30" s="43"/>
      <c r="CQ30" s="43"/>
      <c r="CR30" s="43"/>
      <c r="CS30" s="43"/>
      <c r="CT30" s="43"/>
      <c r="CU30" s="43"/>
      <c r="CV30" s="43"/>
      <c r="CW30" s="43"/>
      <c r="CX30" s="43"/>
      <c r="CY30" s="43"/>
      <c r="CZ30" s="43"/>
      <c r="DA30" s="43"/>
      <c r="DB30" s="43"/>
      <c r="DC30" s="43"/>
      <c r="DD30" s="43"/>
      <c r="DE30" s="43"/>
      <c r="DF30" s="43"/>
      <c r="DG30" s="43"/>
      <c r="DH30" s="43"/>
      <c r="DI30" s="43"/>
      <c r="DJ30" s="43"/>
      <c r="DK30" s="43"/>
      <c r="DL30" s="43"/>
      <c r="DM30" s="43"/>
      <c r="DN30" s="43"/>
      <c r="DO30" s="43"/>
      <c r="DP30" s="43"/>
      <c r="DQ30" s="43"/>
      <c r="DR30" s="43"/>
      <c r="DS30" s="43"/>
      <c r="DT30" s="43"/>
      <c r="DU30" s="43"/>
      <c r="DV30" s="43"/>
      <c r="DW30" s="43"/>
      <c r="DX30" s="43"/>
      <c r="DY30" s="43"/>
      <c r="DZ30" s="43"/>
      <c r="EA30" s="43"/>
      <c r="EB30" s="43"/>
      <c r="EC30" s="43"/>
      <c r="ED30" s="43"/>
      <c r="EE30" s="43"/>
      <c r="EF30" s="43"/>
      <c r="EG30" s="43"/>
      <c r="EH30" s="43"/>
      <c r="EI30" s="43"/>
      <c r="EJ30" s="43"/>
      <c r="EK30" s="43"/>
      <c r="EL30" s="43"/>
      <c r="EM30" s="43"/>
      <c r="EN30" s="43"/>
      <c r="EO30" s="43"/>
      <c r="EP30" s="43"/>
      <c r="EQ30" s="43"/>
      <c r="ER30" s="43"/>
      <c r="ES30" s="43"/>
      <c r="ET30" s="43"/>
      <c r="EU30" s="43"/>
    </row>
    <row r="31" spans="1:151">
      <c r="A31" s="1" t="s">
        <v>649</v>
      </c>
      <c r="B31" s="43" t="s">
        <v>1437</v>
      </c>
      <c r="C31" s="43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3"/>
      <c r="AD31" s="43"/>
      <c r="AE31" s="43"/>
      <c r="AF31" s="43"/>
      <c r="AG31" s="43"/>
      <c r="AH31" s="43"/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3"/>
      <c r="BD31" s="43"/>
      <c r="BE31" s="43"/>
      <c r="BF31" s="43"/>
      <c r="BG31" s="43"/>
      <c r="BH31" s="43"/>
      <c r="BI31" s="43"/>
      <c r="BJ31" s="43"/>
      <c r="BK31" s="43"/>
      <c r="BL31" s="43"/>
      <c r="BM31" s="43"/>
      <c r="BN31" s="43"/>
      <c r="BO31" s="43"/>
      <c r="BP31" s="43"/>
      <c r="BQ31" s="43"/>
      <c r="BR31" s="43"/>
      <c r="BS31" s="43"/>
      <c r="BT31" s="43"/>
      <c r="BU31" s="43"/>
      <c r="BV31" s="43"/>
      <c r="BW31" s="43"/>
      <c r="BX31" s="43"/>
      <c r="BY31" s="43"/>
      <c r="BZ31" s="43"/>
      <c r="CA31" s="43"/>
      <c r="CB31" s="43"/>
      <c r="CC31" s="43"/>
      <c r="CD31" s="43"/>
      <c r="CE31" s="43"/>
      <c r="CF31" s="43"/>
      <c r="CG31" s="43"/>
      <c r="CH31" s="43"/>
      <c r="CI31" s="43"/>
      <c r="CJ31" s="43"/>
      <c r="CK31" s="43"/>
      <c r="CL31" s="43"/>
      <c r="CM31" s="43"/>
      <c r="CN31" s="43"/>
      <c r="CO31" s="43"/>
      <c r="CP31" s="43"/>
      <c r="CQ31" s="43"/>
      <c r="CR31" s="43"/>
      <c r="CS31" s="43"/>
      <c r="CT31" s="43"/>
      <c r="CU31" s="43"/>
      <c r="CV31" s="43"/>
      <c r="CW31" s="43"/>
      <c r="CX31" s="43"/>
      <c r="CY31" s="43"/>
      <c r="CZ31" s="43"/>
      <c r="DA31" s="43"/>
      <c r="DB31" s="43"/>
      <c r="DC31" s="43"/>
      <c r="DD31" s="43"/>
      <c r="DE31" s="43"/>
      <c r="DF31" s="43"/>
      <c r="DG31" s="43"/>
      <c r="DH31" s="43"/>
      <c r="DI31" s="43"/>
      <c r="DJ31" s="43"/>
      <c r="DK31" s="43"/>
      <c r="DL31" s="43"/>
      <c r="DM31" s="43"/>
      <c r="DN31" s="43"/>
      <c r="DO31" s="43"/>
      <c r="DP31" s="43"/>
      <c r="DQ31" s="43"/>
      <c r="DR31" s="43"/>
      <c r="DS31" s="43"/>
      <c r="DT31" s="43"/>
      <c r="DU31" s="43"/>
      <c r="DV31" s="43"/>
      <c r="DW31" s="43"/>
      <c r="DX31" s="43"/>
      <c r="DY31" s="43"/>
      <c r="DZ31" s="43"/>
      <c r="EA31" s="43"/>
      <c r="EB31" s="43"/>
      <c r="EC31" s="43"/>
      <c r="ED31" s="43"/>
      <c r="EE31" s="43"/>
      <c r="EF31" s="43"/>
      <c r="EG31" s="43"/>
      <c r="EH31" s="43"/>
      <c r="EI31" s="43"/>
      <c r="EJ31" s="43"/>
      <c r="EK31" s="43"/>
      <c r="EL31" s="43"/>
      <c r="EM31" s="43"/>
      <c r="EN31" s="43"/>
      <c r="EO31" s="43"/>
      <c r="EP31" s="43"/>
      <c r="EQ31" s="43"/>
      <c r="ER31" s="43"/>
      <c r="ES31" s="43"/>
      <c r="ET31" s="43"/>
      <c r="EU31" s="43"/>
    </row>
    <row r="32" spans="1:151">
      <c r="B32" s="43" t="s">
        <v>1418</v>
      </c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</row>
    <row r="33" spans="2:151">
      <c r="B33" s="845" t="s">
        <v>1438</v>
      </c>
      <c r="C33" s="845"/>
      <c r="D33" s="845"/>
      <c r="E33" s="845"/>
      <c r="F33" s="845"/>
      <c r="G33" s="845"/>
      <c r="H33" s="845"/>
      <c r="I33" s="845"/>
      <c r="J33" s="845"/>
      <c r="K33" s="845"/>
      <c r="L33" s="845"/>
      <c r="M33" s="845"/>
      <c r="N33" s="845"/>
      <c r="O33" s="845"/>
      <c r="P33" s="845"/>
      <c r="Q33" s="845"/>
      <c r="R33" s="845"/>
      <c r="S33" s="845"/>
      <c r="T33" s="845"/>
      <c r="U33" s="845"/>
      <c r="V33" s="845"/>
      <c r="W33" s="845"/>
      <c r="X33" s="845"/>
      <c r="Y33" s="845"/>
      <c r="Z33" s="845"/>
      <c r="AA33" s="845"/>
      <c r="AB33" s="845"/>
      <c r="AC33" s="845"/>
      <c r="AD33" s="845"/>
      <c r="AE33" s="845"/>
      <c r="AF33" s="845"/>
      <c r="AG33" s="845"/>
      <c r="AH33" s="845"/>
      <c r="AI33" s="845"/>
      <c r="AJ33" s="845"/>
      <c r="AK33" s="845"/>
      <c r="AL33" s="845"/>
      <c r="AM33" s="845"/>
      <c r="AN33" s="845"/>
      <c r="AO33" s="845"/>
      <c r="AP33" s="845"/>
      <c r="AQ33" s="845"/>
      <c r="AR33" s="845"/>
      <c r="AS33" s="845"/>
      <c r="AT33" s="845"/>
      <c r="AU33" s="845"/>
      <c r="AV33" s="845"/>
      <c r="AW33" s="845"/>
      <c r="AX33" s="845"/>
      <c r="AY33" s="845"/>
      <c r="AZ33" s="845"/>
      <c r="BA33" s="845"/>
      <c r="BB33" s="845"/>
      <c r="BC33" s="845"/>
      <c r="BD33" s="845"/>
      <c r="BE33" s="845"/>
      <c r="BF33" s="845"/>
      <c r="BG33" s="845"/>
      <c r="BH33" s="845"/>
      <c r="BI33" s="845"/>
      <c r="BJ33" s="845"/>
      <c r="BK33" s="845"/>
      <c r="BL33" s="845"/>
      <c r="BM33" s="845"/>
      <c r="BN33" s="845"/>
      <c r="BO33" s="845"/>
      <c r="BP33" s="845"/>
      <c r="BQ33" s="845"/>
      <c r="BR33" s="845"/>
      <c r="BS33" s="845"/>
      <c r="BT33" s="845"/>
      <c r="BU33" s="845"/>
      <c r="BV33" s="845"/>
      <c r="BW33" s="845"/>
      <c r="BX33" s="845"/>
      <c r="BY33" s="845"/>
      <c r="BZ33" s="845"/>
      <c r="CA33" s="845"/>
      <c r="CB33" s="845"/>
      <c r="CC33" s="845"/>
      <c r="CD33" s="845"/>
      <c r="CE33" s="845"/>
      <c r="CF33" s="845"/>
      <c r="CG33" s="845"/>
      <c r="CH33" s="845"/>
      <c r="CI33" s="845"/>
      <c r="CJ33" s="845"/>
      <c r="CK33" s="845"/>
      <c r="CL33" s="845"/>
      <c r="CM33" s="845"/>
      <c r="CN33" s="845"/>
      <c r="CO33" s="845"/>
      <c r="CP33" s="845"/>
      <c r="CQ33" s="845"/>
      <c r="CR33" s="845"/>
      <c r="CS33" s="845"/>
      <c r="CT33" s="845"/>
      <c r="CU33" s="845"/>
      <c r="CV33" s="845"/>
      <c r="CW33" s="845"/>
      <c r="CX33" s="845"/>
      <c r="CY33" s="845"/>
      <c r="CZ33" s="845"/>
      <c r="DA33" s="845"/>
      <c r="DB33" s="845"/>
      <c r="DC33" s="845"/>
      <c r="DD33" s="845"/>
      <c r="DE33" s="845"/>
      <c r="DF33" s="845"/>
      <c r="DG33" s="845"/>
      <c r="DH33" s="845"/>
      <c r="DI33" s="845"/>
      <c r="DJ33" s="845"/>
      <c r="DK33" s="845"/>
      <c r="DL33" s="845"/>
      <c r="DM33" s="845"/>
      <c r="DN33" s="845"/>
      <c r="DO33" s="845"/>
      <c r="DP33" s="845"/>
      <c r="DQ33" s="845"/>
      <c r="DR33" s="845"/>
      <c r="DS33" s="845"/>
      <c r="DT33" s="845"/>
      <c r="DU33" s="845"/>
      <c r="DV33" s="845"/>
      <c r="DW33" s="845"/>
      <c r="DX33" s="845"/>
      <c r="DY33" s="845"/>
      <c r="DZ33" s="845"/>
      <c r="EA33" s="845"/>
      <c r="EB33" s="845"/>
      <c r="EC33" s="845"/>
      <c r="ED33" s="845"/>
      <c r="EE33" s="845"/>
      <c r="EF33" s="845"/>
      <c r="EG33" s="845"/>
      <c r="EH33" s="845"/>
      <c r="EI33" s="845"/>
      <c r="EJ33" s="845"/>
      <c r="EK33" s="845"/>
      <c r="EL33" s="845"/>
      <c r="EM33" s="845"/>
      <c r="EN33" s="845"/>
      <c r="EO33" s="845"/>
      <c r="EP33" s="845"/>
      <c r="EQ33" s="845"/>
      <c r="ER33" s="845"/>
      <c r="ES33" s="845"/>
      <c r="ET33" s="845"/>
      <c r="EU33" s="845"/>
    </row>
    <row r="34" spans="2:151">
      <c r="B34" s="43" t="s">
        <v>1420</v>
      </c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3"/>
      <c r="AD34" s="43"/>
      <c r="AE34" s="43"/>
      <c r="AF34" s="43"/>
      <c r="AG34" s="43"/>
      <c r="AH34" s="43"/>
      <c r="AI34" s="43"/>
      <c r="AJ34" s="43"/>
      <c r="AK34" s="43"/>
      <c r="AL34" s="43"/>
      <c r="AM34" s="43"/>
      <c r="AN34" s="43"/>
      <c r="AO34" s="43"/>
      <c r="AP34" s="43"/>
      <c r="AQ34" s="43"/>
      <c r="AR34" s="43"/>
      <c r="AS34" s="43"/>
      <c r="AT34" s="43"/>
      <c r="AU34" s="43"/>
      <c r="AV34" s="43"/>
      <c r="AW34" s="43"/>
      <c r="AX34" s="43"/>
      <c r="AY34" s="43"/>
      <c r="AZ34" s="43"/>
      <c r="BA34" s="43"/>
      <c r="BB34" s="43"/>
      <c r="BC34" s="43"/>
      <c r="BD34" s="43"/>
      <c r="BE34" s="43"/>
      <c r="BF34" s="43"/>
      <c r="BG34" s="43"/>
      <c r="BH34" s="43"/>
      <c r="BI34" s="43"/>
      <c r="BJ34" s="43"/>
      <c r="BK34" s="43"/>
      <c r="BL34" s="43"/>
      <c r="BM34" s="43"/>
      <c r="BN34" s="43"/>
      <c r="BO34" s="43"/>
      <c r="BP34" s="43"/>
      <c r="BQ34" s="43"/>
      <c r="BR34" s="43"/>
      <c r="BS34" s="43"/>
      <c r="BT34" s="43"/>
      <c r="BU34" s="43"/>
      <c r="BV34" s="43"/>
      <c r="BW34" s="43"/>
      <c r="BX34" s="43"/>
      <c r="BY34" s="43"/>
      <c r="BZ34" s="43"/>
      <c r="CA34" s="43"/>
      <c r="CB34" s="43"/>
      <c r="CC34" s="43"/>
      <c r="CD34" s="43"/>
      <c r="CE34" s="43"/>
      <c r="CF34" s="43"/>
      <c r="CG34" s="43"/>
      <c r="CH34" s="43"/>
      <c r="CI34" s="43"/>
      <c r="CJ34" s="43"/>
      <c r="CK34" s="43"/>
      <c r="CL34" s="43"/>
      <c r="CM34" s="43"/>
      <c r="CN34" s="43"/>
      <c r="CO34" s="43"/>
      <c r="CP34" s="43"/>
      <c r="CQ34" s="43"/>
      <c r="CR34" s="43"/>
      <c r="CS34" s="43"/>
      <c r="CT34" s="43"/>
      <c r="CU34" s="43"/>
      <c r="CV34" s="43"/>
      <c r="CW34" s="43"/>
      <c r="CX34" s="43"/>
      <c r="CY34" s="43"/>
      <c r="CZ34" s="43"/>
      <c r="DA34" s="43"/>
      <c r="DB34" s="43"/>
      <c r="DC34" s="43"/>
      <c r="DD34" s="43"/>
      <c r="DE34" s="43"/>
      <c r="DF34" s="43"/>
      <c r="DG34" s="43"/>
      <c r="DH34" s="43"/>
      <c r="DI34" s="43"/>
      <c r="DJ34" s="43"/>
      <c r="DK34" s="43"/>
      <c r="DL34" s="43"/>
      <c r="DM34" s="43"/>
      <c r="DN34" s="43"/>
      <c r="DO34" s="43"/>
      <c r="DP34" s="43"/>
      <c r="DQ34" s="43"/>
      <c r="DR34" s="43"/>
      <c r="DS34" s="43"/>
      <c r="DT34" s="43"/>
      <c r="DU34" s="43"/>
      <c r="DV34" s="43"/>
      <c r="DW34" s="43"/>
      <c r="DX34" s="43"/>
      <c r="DY34" s="43"/>
      <c r="DZ34" s="43"/>
      <c r="EA34" s="43"/>
      <c r="EB34" s="43"/>
      <c r="EC34" s="43"/>
      <c r="ED34" s="43"/>
      <c r="EE34" s="43"/>
      <c r="EF34" s="43"/>
      <c r="EG34" s="43"/>
      <c r="EH34" s="43"/>
      <c r="EI34" s="43"/>
      <c r="EJ34" s="43"/>
      <c r="EK34" s="43"/>
      <c r="EL34" s="43"/>
      <c r="EM34" s="43"/>
      <c r="EN34" s="43"/>
      <c r="EO34" s="43"/>
      <c r="EP34" s="43"/>
      <c r="EQ34" s="43"/>
      <c r="ER34" s="43"/>
      <c r="ES34" s="43"/>
      <c r="ET34" s="43"/>
      <c r="EU34" s="43"/>
    </row>
    <row r="35" spans="2:151">
      <c r="B35" s="845" t="s">
        <v>1439</v>
      </c>
      <c r="C35" s="845"/>
      <c r="D35" s="845"/>
      <c r="E35" s="845"/>
      <c r="F35" s="845"/>
      <c r="G35" s="845"/>
      <c r="H35" s="845"/>
      <c r="I35" s="845"/>
      <c r="J35" s="845"/>
      <c r="K35" s="845"/>
      <c r="L35" s="845"/>
      <c r="M35" s="845"/>
      <c r="N35" s="845"/>
      <c r="O35" s="845"/>
      <c r="P35" s="845"/>
      <c r="Q35" s="845"/>
      <c r="R35" s="845"/>
      <c r="S35" s="845"/>
      <c r="T35" s="845"/>
      <c r="U35" s="845"/>
      <c r="V35" s="845"/>
      <c r="W35" s="845"/>
      <c r="X35" s="845"/>
      <c r="Y35" s="845"/>
      <c r="Z35" s="845"/>
      <c r="AA35" s="845"/>
      <c r="AB35" s="845"/>
      <c r="AC35" s="845"/>
      <c r="AD35" s="845"/>
      <c r="AE35" s="845"/>
      <c r="AF35" s="845"/>
      <c r="AG35" s="845"/>
      <c r="AH35" s="845"/>
      <c r="AI35" s="845"/>
      <c r="AJ35" s="845"/>
      <c r="AK35" s="845"/>
      <c r="AL35" s="845"/>
      <c r="AM35" s="845"/>
      <c r="AN35" s="845"/>
      <c r="AO35" s="845"/>
      <c r="AP35" s="845"/>
      <c r="AQ35" s="845"/>
      <c r="AR35" s="845"/>
      <c r="AS35" s="845"/>
      <c r="AT35" s="845"/>
      <c r="AU35" s="845"/>
      <c r="AV35" s="845"/>
      <c r="AW35" s="845"/>
      <c r="AX35" s="845"/>
      <c r="AY35" s="845"/>
      <c r="AZ35" s="845"/>
      <c r="BA35" s="845"/>
      <c r="BB35" s="845"/>
      <c r="BC35" s="845"/>
      <c r="BD35" s="845"/>
      <c r="BE35" s="845"/>
      <c r="BF35" s="845"/>
      <c r="BG35" s="845"/>
      <c r="BH35" s="845"/>
      <c r="BI35" s="845"/>
      <c r="BJ35" s="845"/>
      <c r="BK35" s="845"/>
      <c r="BL35" s="845"/>
      <c r="BM35" s="845"/>
      <c r="BN35" s="845"/>
      <c r="BO35" s="845"/>
      <c r="BP35" s="845"/>
      <c r="BQ35" s="845"/>
      <c r="BR35" s="845"/>
      <c r="BS35" s="845"/>
      <c r="BT35" s="845"/>
      <c r="BU35" s="845"/>
      <c r="BV35" s="845"/>
      <c r="BW35" s="845"/>
      <c r="BX35" s="845"/>
      <c r="BY35" s="845"/>
      <c r="BZ35" s="845"/>
      <c r="CA35" s="845"/>
      <c r="CB35" s="845"/>
      <c r="CC35" s="845"/>
      <c r="CD35" s="845"/>
      <c r="CE35" s="845"/>
      <c r="CF35" s="845"/>
      <c r="CG35" s="845"/>
      <c r="CH35" s="845"/>
      <c r="CI35" s="845"/>
      <c r="CJ35" s="845"/>
      <c r="CK35" s="845"/>
      <c r="CL35" s="845"/>
      <c r="CM35" s="845"/>
      <c r="CN35" s="845"/>
      <c r="CO35" s="845"/>
      <c r="CP35" s="845"/>
      <c r="CQ35" s="845"/>
      <c r="CR35" s="845"/>
      <c r="CS35" s="845"/>
      <c r="CT35" s="845"/>
      <c r="CU35" s="845"/>
      <c r="CV35" s="845"/>
      <c r="CW35" s="845"/>
      <c r="CX35" s="845"/>
      <c r="CY35" s="845"/>
      <c r="CZ35" s="845"/>
      <c r="DA35" s="845"/>
      <c r="DB35" s="845"/>
      <c r="DC35" s="845"/>
      <c r="DD35" s="845"/>
      <c r="DE35" s="845"/>
      <c r="DF35" s="845"/>
      <c r="DG35" s="845"/>
      <c r="DH35" s="845"/>
      <c r="DI35" s="845"/>
      <c r="DJ35" s="845"/>
      <c r="DK35" s="845"/>
      <c r="DL35" s="845"/>
      <c r="DM35" s="845"/>
      <c r="DN35" s="845"/>
      <c r="DO35" s="845"/>
      <c r="DP35" s="845"/>
      <c r="DQ35" s="845"/>
      <c r="DR35" s="845"/>
      <c r="DS35" s="845"/>
      <c r="DT35" s="845"/>
      <c r="DU35" s="845"/>
      <c r="DV35" s="845"/>
      <c r="DW35" s="845"/>
      <c r="DX35" s="845"/>
      <c r="DY35" s="845"/>
      <c r="DZ35" s="845"/>
      <c r="EA35" s="845"/>
      <c r="EB35" s="845"/>
      <c r="EC35" s="845"/>
      <c r="ED35" s="845"/>
      <c r="EE35" s="845"/>
      <c r="EF35" s="845"/>
      <c r="EG35" s="845"/>
      <c r="EH35" s="845"/>
      <c r="EI35" s="845"/>
      <c r="EJ35" s="845"/>
      <c r="EK35" s="845"/>
      <c r="EL35" s="845"/>
      <c r="EM35" s="845"/>
      <c r="EN35" s="845"/>
      <c r="EO35" s="845"/>
      <c r="EP35" s="845"/>
      <c r="EQ35" s="845"/>
      <c r="ER35" s="845"/>
      <c r="ES35" s="845"/>
      <c r="ET35" s="845"/>
      <c r="EU35" s="845"/>
    </row>
    <row r="36" spans="2:151"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</row>
    <row r="37" spans="2:151"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</row>
    <row r="38" spans="2:151">
      <c r="B38" s="773"/>
      <c r="C38" s="773"/>
      <c r="D38" s="773"/>
      <c r="E38" s="773"/>
      <c r="F38" s="773"/>
      <c r="G38" s="773"/>
      <c r="H38" s="773"/>
      <c r="I38" s="773"/>
      <c r="J38" s="773"/>
      <c r="K38" s="773"/>
      <c r="L38" s="773"/>
      <c r="M38" s="773"/>
      <c r="N38" s="773"/>
      <c r="O38" s="773"/>
      <c r="P38" s="773"/>
      <c r="Q38" s="773"/>
      <c r="R38" s="773"/>
      <c r="S38" s="773"/>
      <c r="T38" s="773"/>
      <c r="U38" s="773"/>
      <c r="V38" s="773"/>
      <c r="W38" s="773"/>
      <c r="X38" s="773"/>
      <c r="Y38" s="773"/>
      <c r="Z38" s="773"/>
      <c r="AA38" s="773"/>
      <c r="AB38" s="773"/>
      <c r="AC38" s="773"/>
      <c r="AD38" s="773"/>
      <c r="AE38" s="773"/>
      <c r="AF38" s="773"/>
      <c r="AG38" s="773"/>
      <c r="AH38" s="773"/>
      <c r="AI38" s="773"/>
      <c r="AJ38" s="773"/>
      <c r="AK38" s="773"/>
      <c r="AL38" s="773"/>
      <c r="AM38" s="773"/>
      <c r="AN38" s="773"/>
      <c r="AO38" s="773"/>
      <c r="AP38" s="773"/>
      <c r="AQ38" s="773"/>
      <c r="AR38" s="773"/>
      <c r="AS38" s="773"/>
      <c r="AT38" s="773"/>
      <c r="AU38" s="773"/>
      <c r="AV38" s="773"/>
      <c r="AW38" s="773"/>
      <c r="AX38" s="773"/>
      <c r="AY38" s="773"/>
      <c r="AZ38" s="773"/>
      <c r="BA38" s="773"/>
      <c r="BB38" s="773"/>
      <c r="BC38" s="773"/>
      <c r="BD38" s="773"/>
      <c r="BE38" s="773"/>
      <c r="BF38" s="773"/>
      <c r="BG38" s="773"/>
      <c r="BH38" s="773"/>
      <c r="BI38" s="773"/>
      <c r="BJ38" s="773"/>
      <c r="BK38" s="773"/>
      <c r="BL38" s="773"/>
      <c r="BM38" s="773"/>
      <c r="BN38" s="773"/>
      <c r="BO38" s="773"/>
      <c r="BP38" s="773"/>
      <c r="BQ38" s="773"/>
      <c r="BR38" s="773"/>
      <c r="BS38" s="773"/>
      <c r="BT38" s="773"/>
      <c r="BU38" s="773"/>
      <c r="BV38" s="773"/>
      <c r="BW38" s="773"/>
      <c r="BX38" s="773"/>
      <c r="BY38" s="773"/>
      <c r="BZ38" s="773"/>
      <c r="CA38" s="773"/>
      <c r="CB38" s="773"/>
      <c r="CC38" s="773"/>
      <c r="CD38" s="773"/>
      <c r="CE38" s="773"/>
      <c r="CF38" s="773"/>
      <c r="CG38" s="773"/>
      <c r="CH38" s="773"/>
      <c r="CI38" s="773"/>
      <c r="CJ38" s="773"/>
      <c r="CK38" s="773"/>
      <c r="CL38" s="773"/>
      <c r="CM38" s="773"/>
      <c r="CN38" s="773"/>
      <c r="CO38" s="773"/>
    </row>
  </sheetData>
  <mergeCells count="7">
    <mergeCell ref="B25:H25"/>
    <mergeCell ref="A3:H3"/>
    <mergeCell ref="I3:Q3"/>
    <mergeCell ref="B21:H21"/>
    <mergeCell ref="B22:H22"/>
    <mergeCell ref="B23:H23"/>
    <mergeCell ref="B24:H24"/>
  </mergeCells>
  <pageMargins left="0.78740157480314965" right="0.51181102362204722" top="0.59055118110236227" bottom="0.39370078740157483" header="0.19685039370078741" footer="0.19685039370078741"/>
  <pageSetup paperSize="9" scale="57" orientation="portrait" r:id="rId1"/>
  <headerFooter alignWithMargins="0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EY39"/>
  <sheetViews>
    <sheetView view="pageBreakPreview" zoomScaleNormal="100" workbookViewId="0">
      <pane xSplit="2" ySplit="6" topLeftCell="C10" activePane="bottomRight" state="frozen"/>
      <selection activeCell="J15" sqref="J15"/>
      <selection pane="topRight" activeCell="J15" sqref="J15"/>
      <selection pane="bottomLeft" activeCell="J15" sqref="J15"/>
      <selection pane="bottomRight" activeCell="J15" sqref="J15"/>
    </sheetView>
  </sheetViews>
  <sheetFormatPr defaultColWidth="2.7109375" defaultRowHeight="15"/>
  <cols>
    <col min="1" max="1" width="6.140625" style="1" customWidth="1"/>
    <col min="2" max="2" width="49" style="1" customWidth="1"/>
    <col min="3" max="3" width="14.140625" style="1" customWidth="1"/>
    <col min="4" max="5" width="18.140625" style="1" hidden="1" customWidth="1"/>
    <col min="6" max="7" width="18.140625" style="1" customWidth="1"/>
    <col min="8" max="8" width="17" style="1" customWidth="1"/>
    <col min="9" max="60" width="8.28515625" style="1" customWidth="1"/>
    <col min="61" max="16384" width="2.7109375" style="1"/>
  </cols>
  <sheetData>
    <row r="1" spans="1:155" s="5" customFormat="1" ht="18" customHeight="1">
      <c r="A1" s="74" t="s">
        <v>765</v>
      </c>
      <c r="H1" s="6" t="s">
        <v>1440</v>
      </c>
    </row>
    <row r="2" spans="1:155" ht="12.75" customHeight="1">
      <c r="A2" s="759" t="str">
        <f>'[15]3.1'!$A$2</f>
        <v>Елизовское ГП</v>
      </c>
    </row>
    <row r="3" spans="1:155" ht="36.75" customHeight="1">
      <c r="A3" s="1980" t="s">
        <v>1441</v>
      </c>
      <c r="B3" s="1980"/>
      <c r="C3" s="1980"/>
      <c r="D3" s="1980"/>
      <c r="E3" s="1980"/>
      <c r="F3" s="1980"/>
      <c r="G3" s="1980"/>
      <c r="H3" s="1980"/>
      <c r="I3" s="1986" t="s">
        <v>1387</v>
      </c>
      <c r="J3" s="1987"/>
      <c r="K3" s="1987"/>
      <c r="L3" s="1987"/>
      <c r="M3" s="1987"/>
      <c r="N3" s="1987"/>
      <c r="O3" s="1987"/>
      <c r="P3" s="1987"/>
      <c r="Q3" s="1987"/>
      <c r="R3" s="828"/>
      <c r="S3" s="828"/>
      <c r="T3" s="828"/>
      <c r="U3" s="828"/>
      <c r="V3" s="828"/>
      <c r="W3" s="828"/>
      <c r="X3" s="828"/>
      <c r="Y3" s="828"/>
      <c r="Z3" s="828"/>
      <c r="AA3" s="828"/>
      <c r="AB3" s="828"/>
      <c r="AC3" s="828"/>
      <c r="AD3" s="828"/>
      <c r="AE3" s="828"/>
      <c r="AF3" s="828"/>
      <c r="AG3" s="828"/>
      <c r="AH3" s="828"/>
      <c r="AI3" s="828"/>
      <c r="AJ3" s="828"/>
      <c r="AK3" s="828"/>
      <c r="AL3" s="828"/>
      <c r="AM3" s="828"/>
      <c r="AN3" s="828"/>
      <c r="AO3" s="828"/>
      <c r="AP3" s="828"/>
      <c r="AQ3" s="828"/>
      <c r="AR3" s="828"/>
      <c r="AS3" s="828"/>
      <c r="AT3" s="828"/>
      <c r="AU3" s="828"/>
      <c r="AV3" s="828"/>
      <c r="AW3" s="828"/>
      <c r="AX3" s="828"/>
      <c r="AY3" s="828"/>
      <c r="AZ3" s="828"/>
      <c r="BA3" s="828"/>
      <c r="BB3" s="828"/>
      <c r="BC3" s="828"/>
      <c r="BD3" s="828"/>
      <c r="BE3" s="828"/>
      <c r="BF3" s="828"/>
      <c r="BG3" s="828"/>
      <c r="BH3" s="828"/>
      <c r="BI3" s="828"/>
      <c r="BJ3" s="828"/>
      <c r="BK3" s="828"/>
      <c r="BL3" s="828"/>
      <c r="BM3" s="828"/>
      <c r="BN3" s="828"/>
      <c r="BO3" s="828"/>
      <c r="BP3" s="828"/>
      <c r="BQ3" s="828"/>
      <c r="BR3" s="828"/>
      <c r="BS3" s="828"/>
      <c r="BT3" s="828"/>
      <c r="BU3" s="828"/>
      <c r="BV3" s="828"/>
      <c r="BW3" s="828"/>
      <c r="BX3" s="828"/>
      <c r="BY3" s="828"/>
      <c r="BZ3" s="828"/>
      <c r="CA3" s="828"/>
      <c r="CB3" s="828"/>
      <c r="CC3" s="828"/>
      <c r="CD3" s="828"/>
      <c r="CE3" s="828"/>
      <c r="CF3" s="828"/>
      <c r="CG3" s="828"/>
      <c r="CH3" s="828"/>
      <c r="CI3" s="828"/>
      <c r="CJ3" s="828"/>
      <c r="CK3" s="828"/>
      <c r="CL3" s="828"/>
      <c r="CM3" s="828"/>
      <c r="CN3" s="828"/>
      <c r="CO3" s="828"/>
      <c r="CP3" s="828"/>
      <c r="CQ3" s="828"/>
      <c r="CR3" s="828"/>
      <c r="CS3" s="828"/>
      <c r="CT3" s="828"/>
      <c r="CU3" s="828"/>
      <c r="CV3" s="828"/>
      <c r="CW3" s="828"/>
      <c r="CX3" s="828"/>
      <c r="CY3" s="828"/>
      <c r="CZ3" s="828"/>
      <c r="DA3" s="828"/>
      <c r="DB3" s="828"/>
      <c r="DC3" s="828"/>
      <c r="DD3" s="828"/>
      <c r="DE3" s="828"/>
      <c r="DF3" s="828"/>
      <c r="DG3" s="828"/>
      <c r="DH3" s="828"/>
      <c r="DI3" s="828"/>
      <c r="DJ3" s="828"/>
      <c r="DK3" s="828"/>
      <c r="DL3" s="828"/>
      <c r="DM3" s="828"/>
      <c r="DN3" s="828"/>
      <c r="DO3" s="828"/>
      <c r="DP3" s="828"/>
      <c r="DQ3" s="828"/>
      <c r="DR3" s="828"/>
      <c r="DS3" s="828"/>
      <c r="DT3" s="828"/>
      <c r="DU3" s="828"/>
      <c r="DV3" s="828"/>
      <c r="DW3" s="828"/>
      <c r="DX3" s="828"/>
      <c r="DY3" s="828"/>
      <c r="DZ3" s="828"/>
      <c r="EA3" s="828"/>
      <c r="EB3" s="828"/>
      <c r="EC3" s="828"/>
      <c r="ED3" s="828"/>
      <c r="EE3" s="828"/>
      <c r="EF3" s="828"/>
      <c r="EG3" s="828"/>
      <c r="EH3" s="828"/>
      <c r="EI3" s="828"/>
      <c r="EJ3" s="828"/>
      <c r="EK3" s="828"/>
      <c r="EL3" s="828"/>
      <c r="EM3" s="828"/>
      <c r="EN3" s="828"/>
      <c r="EO3" s="828"/>
      <c r="EP3" s="828"/>
      <c r="EQ3" s="828"/>
      <c r="ER3" s="828"/>
      <c r="ES3" s="828"/>
      <c r="ET3" s="828"/>
      <c r="EU3" s="828"/>
      <c r="EV3" s="828"/>
      <c r="EW3" s="828"/>
      <c r="EX3" s="828"/>
      <c r="EY3" s="828"/>
    </row>
    <row r="4" spans="1:155" ht="12.75" customHeight="1">
      <c r="B4" s="769"/>
      <c r="C4" s="769"/>
      <c r="D4" s="769"/>
      <c r="E4" s="769"/>
      <c r="F4" s="769"/>
      <c r="G4" s="769"/>
      <c r="H4" s="769"/>
    </row>
    <row r="5" spans="1:155" ht="14.25" customHeight="1">
      <c r="H5" s="23"/>
    </row>
    <row r="6" spans="1:155" s="3" customFormat="1" ht="30">
      <c r="A6" s="772" t="s">
        <v>0</v>
      </c>
      <c r="B6" s="772" t="s">
        <v>1</v>
      </c>
      <c r="C6" s="772" t="s">
        <v>2</v>
      </c>
      <c r="D6" s="772" t="s">
        <v>1388</v>
      </c>
      <c r="E6" s="772" t="s">
        <v>1424</v>
      </c>
      <c r="F6" s="837" t="s">
        <v>1390</v>
      </c>
      <c r="G6" s="837" t="s">
        <v>1391</v>
      </c>
      <c r="H6" s="837" t="s">
        <v>1392</v>
      </c>
    </row>
    <row r="7" spans="1:155" s="2" customFormat="1">
      <c r="A7" s="13">
        <v>1</v>
      </c>
      <c r="B7" s="13">
        <v>2</v>
      </c>
      <c r="C7" s="13">
        <v>3</v>
      </c>
      <c r="D7" s="13">
        <v>4</v>
      </c>
      <c r="E7" s="13">
        <v>5</v>
      </c>
      <c r="F7" s="13">
        <v>6</v>
      </c>
      <c r="G7" s="13">
        <v>7</v>
      </c>
      <c r="H7" s="13">
        <v>8</v>
      </c>
    </row>
    <row r="8" spans="1:155" s="41" customFormat="1" ht="30">
      <c r="A8" s="60" t="s">
        <v>89</v>
      </c>
      <c r="B8" s="68" t="s">
        <v>1442</v>
      </c>
      <c r="C8" s="838"/>
      <c r="D8" s="250"/>
      <c r="E8" s="250"/>
      <c r="F8" s="250"/>
      <c r="G8" s="250"/>
      <c r="H8" s="250"/>
    </row>
    <row r="9" spans="1:155" s="41" customFormat="1" ht="45">
      <c r="A9" s="60" t="s">
        <v>91</v>
      </c>
      <c r="B9" s="68" t="s">
        <v>1443</v>
      </c>
      <c r="C9" s="838"/>
      <c r="D9" s="337"/>
      <c r="E9" s="337"/>
      <c r="F9" s="337"/>
      <c r="G9" s="337"/>
      <c r="H9" s="337"/>
    </row>
    <row r="10" spans="1:155" s="41" customFormat="1" ht="30">
      <c r="A10" s="60" t="s">
        <v>93</v>
      </c>
      <c r="B10" s="70" t="s">
        <v>1444</v>
      </c>
      <c r="C10" s="838"/>
      <c r="D10" s="250"/>
      <c r="E10" s="250"/>
      <c r="F10" s="250"/>
      <c r="G10" s="250"/>
      <c r="H10" s="250"/>
    </row>
    <row r="11" spans="1:155" s="41" customFormat="1">
      <c r="A11" s="60" t="s">
        <v>95</v>
      </c>
      <c r="B11" s="70" t="s">
        <v>1445</v>
      </c>
      <c r="C11" s="838"/>
      <c r="D11" s="241"/>
      <c r="E11" s="241"/>
      <c r="F11" s="241"/>
      <c r="G11" s="241"/>
      <c r="H11" s="241"/>
    </row>
    <row r="12" spans="1:155" s="41" customFormat="1" ht="30">
      <c r="A12" s="60" t="s">
        <v>97</v>
      </c>
      <c r="B12" s="68" t="s">
        <v>1446</v>
      </c>
      <c r="C12" s="838"/>
      <c r="D12" s="250"/>
      <c r="E12" s="250"/>
      <c r="F12" s="250"/>
      <c r="G12" s="250"/>
      <c r="H12" s="250"/>
    </row>
    <row r="13" spans="1:155" s="41" customFormat="1" ht="15" customHeight="1">
      <c r="A13" s="60" t="s">
        <v>582</v>
      </c>
      <c r="B13" s="70" t="s">
        <v>1447</v>
      </c>
      <c r="C13" s="838" t="s">
        <v>240</v>
      </c>
      <c r="D13" s="250"/>
      <c r="E13" s="250"/>
      <c r="F13" s="250" t="e">
        <f>F8/F9*F10-F11</f>
        <v>#DIV/0!</v>
      </c>
      <c r="G13" s="250" t="e">
        <f t="shared" ref="G13:H13" si="0">G8/G9*G10-G11</f>
        <v>#DIV/0!</v>
      </c>
      <c r="H13" s="250" t="e">
        <f t="shared" si="0"/>
        <v>#DIV/0!</v>
      </c>
    </row>
    <row r="14" spans="1:155" s="41" customFormat="1" ht="30">
      <c r="A14" s="60" t="s">
        <v>615</v>
      </c>
      <c r="B14" s="833" t="s">
        <v>1448</v>
      </c>
      <c r="C14" s="838" t="s">
        <v>240</v>
      </c>
      <c r="D14" s="250"/>
      <c r="E14" s="250"/>
      <c r="F14" s="839" t="e">
        <f>F12*F13</f>
        <v>#DIV/0!</v>
      </c>
      <c r="G14" s="839" t="e">
        <f>G12*G13-F13</f>
        <v>#DIV/0!</v>
      </c>
      <c r="H14" s="839" t="e">
        <f>H12*H13-G13</f>
        <v>#DIV/0!</v>
      </c>
    </row>
    <row r="15" spans="1:155" s="41" customFormat="1">
      <c r="A15" s="60" t="s">
        <v>649</v>
      </c>
      <c r="B15" s="70" t="s">
        <v>571</v>
      </c>
      <c r="C15" s="838"/>
      <c r="D15" s="250"/>
      <c r="E15" s="250"/>
      <c r="F15" s="843" t="s">
        <v>570</v>
      </c>
      <c r="G15" s="250"/>
      <c r="H15" s="250"/>
    </row>
    <row r="16" spans="1:155" s="41" customFormat="1" ht="30">
      <c r="A16" s="60" t="s">
        <v>1028</v>
      </c>
      <c r="B16" s="70" t="s">
        <v>572</v>
      </c>
      <c r="C16" s="838"/>
      <c r="D16" s="250"/>
      <c r="E16" s="250"/>
      <c r="F16" s="843" t="s">
        <v>570</v>
      </c>
      <c r="G16" s="806">
        <f>H15</f>
        <v>0</v>
      </c>
      <c r="H16" s="9" t="s">
        <v>570</v>
      </c>
    </row>
    <row r="17" spans="1:151" s="41" customFormat="1" ht="30">
      <c r="A17" s="60" t="s">
        <v>1309</v>
      </c>
      <c r="B17" s="70" t="s">
        <v>1449</v>
      </c>
      <c r="C17" s="838" t="s">
        <v>240</v>
      </c>
      <c r="D17" s="250"/>
      <c r="E17" s="250"/>
      <c r="F17" s="842"/>
      <c r="G17" s="842" t="e">
        <f>G14*G16</f>
        <v>#DIV/0!</v>
      </c>
      <c r="H17" s="842" t="e">
        <f>H14*H16</f>
        <v>#DIV/0!</v>
      </c>
    </row>
    <row r="18" spans="1:151" s="41" customFormat="1" ht="30">
      <c r="A18" s="60" t="s">
        <v>1450</v>
      </c>
      <c r="B18" s="833" t="s">
        <v>1402</v>
      </c>
      <c r="C18" s="250"/>
      <c r="D18" s="250"/>
      <c r="E18" s="9"/>
      <c r="F18" s="842">
        <v>0.4</v>
      </c>
      <c r="G18" s="842">
        <v>0.6</v>
      </c>
      <c r="H18" s="842">
        <v>0.8</v>
      </c>
    </row>
    <row r="19" spans="1:151" s="41" customFormat="1" ht="45">
      <c r="A19" s="60" t="s">
        <v>1451</v>
      </c>
      <c r="B19" s="70" t="s">
        <v>1452</v>
      </c>
      <c r="C19" s="838" t="s">
        <v>240</v>
      </c>
      <c r="D19" s="250"/>
      <c r="E19" s="250"/>
      <c r="F19" s="9" t="s">
        <v>570</v>
      </c>
      <c r="G19" s="9" t="s">
        <v>570</v>
      </c>
      <c r="H19" s="846" t="e">
        <f>(F17*F18)+(G17*G18)+(H17*H18)</f>
        <v>#DIV/0!</v>
      </c>
    </row>
    <row r="21" spans="1:151" s="26" customFormat="1">
      <c r="A21" s="26" t="s">
        <v>88</v>
      </c>
    </row>
    <row r="22" spans="1:151" s="773" customFormat="1" ht="15" customHeight="1">
      <c r="A22" s="773" t="s">
        <v>89</v>
      </c>
      <c r="B22" s="43" t="s">
        <v>1404</v>
      </c>
      <c r="C22" s="43"/>
      <c r="D22" s="43"/>
      <c r="E22" s="43"/>
      <c r="F22" s="43"/>
      <c r="G22" s="43"/>
      <c r="H22" s="43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  <c r="ES22" s="24"/>
      <c r="ET22" s="43"/>
      <c r="EU22" s="43"/>
    </row>
    <row r="23" spans="1:151" s="773" customFormat="1" ht="15" customHeight="1">
      <c r="A23" s="773" t="s">
        <v>91</v>
      </c>
      <c r="B23" s="43" t="s">
        <v>1453</v>
      </c>
      <c r="C23" s="43"/>
      <c r="D23" s="43"/>
      <c r="E23" s="43"/>
      <c r="F23" s="43"/>
      <c r="G23" s="43"/>
      <c r="H23" s="43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43"/>
      <c r="EU23" s="43"/>
    </row>
    <row r="24" spans="1:151" ht="14.25" customHeight="1">
      <c r="A24" s="1" t="s">
        <v>93</v>
      </c>
      <c r="B24" s="43" t="s">
        <v>1454</v>
      </c>
      <c r="C24" s="43"/>
      <c r="D24" s="43"/>
      <c r="E24" s="43"/>
      <c r="F24" s="43"/>
      <c r="G24" s="43"/>
      <c r="H24" s="43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  <c r="ER24" s="24"/>
      <c r="ES24" s="24"/>
      <c r="ET24" s="844"/>
      <c r="EU24" s="844"/>
    </row>
    <row r="25" spans="1:151" ht="27" customHeight="1">
      <c r="A25" s="1" t="s">
        <v>95</v>
      </c>
      <c r="B25" s="1988" t="s">
        <v>1455</v>
      </c>
      <c r="C25" s="1974"/>
      <c r="D25" s="1974"/>
      <c r="E25" s="1974"/>
      <c r="F25" s="1974"/>
      <c r="G25" s="1974"/>
      <c r="H25" s="1974"/>
      <c r="I25" s="847"/>
      <c r="J25" s="847"/>
      <c r="K25" s="847"/>
      <c r="L25" s="847"/>
      <c r="M25" s="847"/>
      <c r="N25" s="847"/>
      <c r="O25" s="847"/>
      <c r="P25" s="847"/>
      <c r="Q25" s="847"/>
      <c r="R25" s="847"/>
      <c r="S25" s="847"/>
      <c r="T25" s="847"/>
      <c r="U25" s="847"/>
      <c r="V25" s="847"/>
      <c r="W25" s="847"/>
      <c r="X25" s="847"/>
      <c r="Y25" s="847"/>
      <c r="Z25" s="847"/>
      <c r="AA25" s="847"/>
      <c r="AB25" s="847"/>
      <c r="AC25" s="847"/>
      <c r="AD25" s="847"/>
      <c r="AE25" s="847"/>
      <c r="AF25" s="847"/>
      <c r="AG25" s="847"/>
      <c r="AH25" s="847"/>
      <c r="AI25" s="847"/>
      <c r="AJ25" s="847"/>
      <c r="AK25" s="847"/>
      <c r="AL25" s="847"/>
      <c r="AM25" s="847"/>
      <c r="AN25" s="847"/>
      <c r="AO25" s="847"/>
      <c r="AP25" s="847"/>
      <c r="AQ25" s="847"/>
      <c r="AR25" s="847"/>
      <c r="AS25" s="847"/>
      <c r="AT25" s="847"/>
      <c r="AU25" s="847"/>
      <c r="AV25" s="847"/>
      <c r="AW25" s="847"/>
      <c r="AX25" s="847"/>
      <c r="AY25" s="847"/>
      <c r="AZ25" s="847"/>
      <c r="BA25" s="847"/>
      <c r="BB25" s="847"/>
      <c r="BC25" s="847"/>
      <c r="BD25" s="847"/>
      <c r="BE25" s="847"/>
      <c r="BF25" s="847"/>
      <c r="BG25" s="847"/>
      <c r="BH25" s="847"/>
      <c r="BI25" s="847"/>
      <c r="BJ25" s="847"/>
      <c r="BK25" s="847"/>
      <c r="BL25" s="847"/>
      <c r="BM25" s="847"/>
      <c r="BN25" s="847"/>
      <c r="BO25" s="847"/>
      <c r="BP25" s="847"/>
      <c r="BQ25" s="847"/>
      <c r="BR25" s="847"/>
      <c r="BS25" s="847"/>
      <c r="BT25" s="847"/>
      <c r="BU25" s="847"/>
      <c r="BV25" s="847"/>
      <c r="BW25" s="847"/>
      <c r="BX25" s="847"/>
      <c r="BY25" s="847"/>
      <c r="BZ25" s="847"/>
      <c r="CA25" s="847"/>
      <c r="CB25" s="847"/>
      <c r="CC25" s="847"/>
      <c r="CD25" s="847"/>
      <c r="CE25" s="847"/>
      <c r="CF25" s="847"/>
      <c r="CG25" s="847"/>
      <c r="CH25" s="847"/>
      <c r="CI25" s="847"/>
      <c r="CJ25" s="847"/>
      <c r="CK25" s="847"/>
      <c r="CL25" s="847"/>
      <c r="CM25" s="847"/>
      <c r="CN25" s="847"/>
      <c r="CO25" s="847"/>
      <c r="CP25" s="847"/>
      <c r="CQ25" s="847"/>
      <c r="CR25" s="847"/>
      <c r="CS25" s="847"/>
      <c r="CT25" s="847"/>
      <c r="CU25" s="847"/>
      <c r="CV25" s="847"/>
      <c r="CW25" s="847"/>
      <c r="CX25" s="847"/>
      <c r="CY25" s="847"/>
      <c r="CZ25" s="847"/>
      <c r="DA25" s="847"/>
      <c r="DB25" s="847"/>
      <c r="DC25" s="847"/>
      <c r="DD25" s="847"/>
      <c r="DE25" s="847"/>
      <c r="DF25" s="847"/>
      <c r="DG25" s="847"/>
      <c r="DH25" s="847"/>
      <c r="DI25" s="847"/>
      <c r="DJ25" s="847"/>
      <c r="DK25" s="847"/>
      <c r="DL25" s="847"/>
      <c r="DM25" s="847"/>
      <c r="DN25" s="847"/>
      <c r="DO25" s="847"/>
      <c r="DP25" s="847"/>
      <c r="DQ25" s="847"/>
      <c r="DR25" s="847"/>
      <c r="DS25" s="847"/>
      <c r="DT25" s="847"/>
      <c r="DU25" s="847"/>
      <c r="DV25" s="847"/>
      <c r="DW25" s="847"/>
      <c r="DX25" s="847"/>
      <c r="DY25" s="847"/>
      <c r="DZ25" s="847"/>
      <c r="EA25" s="847"/>
      <c r="EB25" s="847"/>
      <c r="EC25" s="847"/>
      <c r="ED25" s="847"/>
      <c r="EE25" s="847"/>
      <c r="EF25" s="847"/>
      <c r="EG25" s="847"/>
      <c r="EH25" s="847"/>
      <c r="EI25" s="847"/>
      <c r="EJ25" s="847"/>
      <c r="EK25" s="847"/>
      <c r="EL25" s="847"/>
      <c r="EM25" s="847"/>
      <c r="EN25" s="847"/>
      <c r="EO25" s="847"/>
      <c r="EP25" s="847"/>
      <c r="EQ25" s="847"/>
      <c r="ER25" s="847"/>
      <c r="ES25" s="847"/>
      <c r="ET25" s="43"/>
      <c r="EU25" s="43"/>
    </row>
    <row r="26" spans="1:151" ht="15" customHeight="1">
      <c r="A26" s="1" t="s">
        <v>97</v>
      </c>
      <c r="B26" s="43" t="s">
        <v>1456</v>
      </c>
      <c r="C26" s="43"/>
      <c r="D26" s="43"/>
      <c r="E26" s="43"/>
      <c r="F26" s="43"/>
      <c r="G26" s="43"/>
      <c r="H26" s="43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844"/>
      <c r="EU26" s="844"/>
    </row>
    <row r="27" spans="1:151">
      <c r="B27" s="43" t="s">
        <v>1457</v>
      </c>
      <c r="C27" s="43"/>
      <c r="D27" s="43"/>
      <c r="E27" s="43"/>
      <c r="F27" s="43"/>
      <c r="G27" s="43"/>
      <c r="H27" s="43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  <c r="EM27" s="24"/>
      <c r="EN27" s="24"/>
      <c r="EO27" s="24"/>
      <c r="EP27" s="24"/>
      <c r="EQ27" s="24"/>
      <c r="ER27" s="24"/>
      <c r="ES27" s="24"/>
      <c r="ET27" s="43"/>
      <c r="EU27" s="43"/>
    </row>
    <row r="28" spans="1:151">
      <c r="B28" s="43" t="s">
        <v>1458</v>
      </c>
      <c r="C28" s="43"/>
      <c r="D28" s="43"/>
      <c r="E28" s="43"/>
      <c r="F28" s="43"/>
      <c r="G28" s="43"/>
      <c r="H28" s="43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  <c r="EM28" s="24"/>
      <c r="EN28" s="24"/>
      <c r="EO28" s="24"/>
      <c r="EP28" s="24"/>
      <c r="EQ28" s="24"/>
      <c r="ER28" s="24"/>
      <c r="ES28" s="24"/>
      <c r="ET28" s="43"/>
      <c r="EU28" s="43"/>
    </row>
    <row r="29" spans="1:151">
      <c r="A29" s="1" t="s">
        <v>582</v>
      </c>
      <c r="B29" s="43" t="s">
        <v>1459</v>
      </c>
      <c r="C29" s="43"/>
      <c r="D29" s="43"/>
      <c r="E29" s="43"/>
      <c r="F29" s="43"/>
      <c r="G29" s="43"/>
      <c r="H29" s="43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43"/>
      <c r="EU29" s="43"/>
    </row>
    <row r="30" spans="1:151">
      <c r="B30" s="43" t="s">
        <v>1460</v>
      </c>
      <c r="C30" s="43"/>
      <c r="D30" s="43"/>
      <c r="E30" s="43"/>
      <c r="F30" s="43"/>
      <c r="G30" s="43"/>
      <c r="H30" s="43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  <c r="EM30" s="24"/>
      <c r="EN30" s="24"/>
      <c r="EO30" s="24"/>
      <c r="EP30" s="24"/>
      <c r="EQ30" s="24"/>
      <c r="ER30" s="24"/>
      <c r="ES30" s="24"/>
      <c r="ET30" s="43"/>
      <c r="EU30" s="43"/>
    </row>
    <row r="31" spans="1:151">
      <c r="A31" s="1" t="s">
        <v>615</v>
      </c>
      <c r="B31" s="43" t="s">
        <v>1461</v>
      </c>
      <c r="C31" s="43"/>
      <c r="D31" s="43"/>
      <c r="E31" s="43"/>
      <c r="F31" s="43"/>
      <c r="G31" s="43"/>
      <c r="H31" s="43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4"/>
      <c r="EJ31" s="24"/>
      <c r="EK31" s="24"/>
      <c r="EL31" s="24"/>
      <c r="EM31" s="24"/>
      <c r="EN31" s="24"/>
      <c r="EO31" s="24"/>
      <c r="EP31" s="24"/>
      <c r="EQ31" s="24"/>
      <c r="ER31" s="24"/>
      <c r="ES31" s="24"/>
      <c r="ET31" s="43"/>
      <c r="EU31" s="43"/>
    </row>
    <row r="32" spans="1:151">
      <c r="B32" s="43" t="s">
        <v>1418</v>
      </c>
      <c r="C32" s="43"/>
      <c r="D32" s="43"/>
      <c r="E32" s="43"/>
      <c r="F32" s="43"/>
      <c r="G32" s="43"/>
      <c r="H32" s="43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  <c r="ES32" s="24"/>
      <c r="ET32" s="43"/>
      <c r="EU32" s="43"/>
    </row>
    <row r="33" spans="2:151">
      <c r="B33" s="845" t="s">
        <v>1462</v>
      </c>
      <c r="C33" s="845"/>
      <c r="D33" s="845"/>
      <c r="E33" s="845"/>
      <c r="F33" s="845"/>
      <c r="G33" s="845"/>
      <c r="H33" s="845"/>
      <c r="I33" s="848"/>
      <c r="J33" s="848"/>
      <c r="K33" s="848"/>
      <c r="L33" s="848"/>
      <c r="M33" s="848"/>
      <c r="N33" s="848"/>
      <c r="O33" s="848"/>
      <c r="P33" s="848"/>
      <c r="Q33" s="848"/>
      <c r="R33" s="848"/>
      <c r="S33" s="848"/>
      <c r="T33" s="848"/>
      <c r="U33" s="848"/>
      <c r="V33" s="848"/>
      <c r="W33" s="848"/>
      <c r="X33" s="848"/>
      <c r="Y33" s="848"/>
      <c r="Z33" s="848"/>
      <c r="AA33" s="848"/>
      <c r="AB33" s="848"/>
      <c r="AC33" s="848"/>
      <c r="AD33" s="848"/>
      <c r="AE33" s="848"/>
      <c r="AF33" s="848"/>
      <c r="AG33" s="848"/>
      <c r="AH33" s="848"/>
      <c r="AI33" s="848"/>
      <c r="AJ33" s="848"/>
      <c r="AK33" s="848"/>
      <c r="AL33" s="848"/>
      <c r="AM33" s="848"/>
      <c r="AN33" s="848"/>
      <c r="AO33" s="848"/>
      <c r="AP33" s="848"/>
      <c r="AQ33" s="848"/>
      <c r="AR33" s="848"/>
      <c r="AS33" s="848"/>
      <c r="AT33" s="848"/>
      <c r="AU33" s="848"/>
      <c r="AV33" s="848"/>
      <c r="AW33" s="848"/>
      <c r="AX33" s="848"/>
      <c r="AY33" s="848"/>
      <c r="AZ33" s="848"/>
      <c r="BA33" s="848"/>
      <c r="BB33" s="848"/>
      <c r="BC33" s="848"/>
      <c r="BD33" s="848"/>
      <c r="BE33" s="848"/>
      <c r="BF33" s="848"/>
      <c r="BG33" s="848"/>
      <c r="BH33" s="848"/>
      <c r="BI33" s="848"/>
      <c r="BJ33" s="848"/>
      <c r="BK33" s="848"/>
      <c r="BL33" s="848"/>
      <c r="BM33" s="848"/>
      <c r="BN33" s="848"/>
      <c r="BO33" s="848"/>
      <c r="BP33" s="848"/>
      <c r="BQ33" s="848"/>
      <c r="BR33" s="848"/>
      <c r="BS33" s="848"/>
      <c r="BT33" s="848"/>
      <c r="BU33" s="848"/>
      <c r="BV33" s="848"/>
      <c r="BW33" s="848"/>
      <c r="BX33" s="848"/>
      <c r="BY33" s="848"/>
      <c r="BZ33" s="848"/>
      <c r="CA33" s="848"/>
      <c r="CB33" s="848"/>
      <c r="CC33" s="848"/>
      <c r="CD33" s="848"/>
      <c r="CE33" s="848"/>
      <c r="CF33" s="848"/>
      <c r="CG33" s="848"/>
      <c r="CH33" s="848"/>
      <c r="CI33" s="848"/>
      <c r="CJ33" s="848"/>
      <c r="CK33" s="848"/>
      <c r="CL33" s="848"/>
      <c r="CM33" s="848"/>
      <c r="CN33" s="848"/>
      <c r="CO33" s="848"/>
      <c r="CP33" s="848"/>
      <c r="CQ33" s="848"/>
      <c r="CR33" s="848"/>
      <c r="CS33" s="848"/>
      <c r="CT33" s="848"/>
      <c r="CU33" s="848"/>
      <c r="CV33" s="848"/>
      <c r="CW33" s="848"/>
      <c r="CX33" s="848"/>
      <c r="CY33" s="848"/>
      <c r="CZ33" s="848"/>
      <c r="DA33" s="848"/>
      <c r="DB33" s="848"/>
      <c r="DC33" s="848"/>
      <c r="DD33" s="848"/>
      <c r="DE33" s="848"/>
      <c r="DF33" s="848"/>
      <c r="DG33" s="848"/>
      <c r="DH33" s="848"/>
      <c r="DI33" s="848"/>
      <c r="DJ33" s="848"/>
      <c r="DK33" s="848"/>
      <c r="DL33" s="848"/>
      <c r="DM33" s="848"/>
      <c r="DN33" s="848"/>
      <c r="DO33" s="848"/>
      <c r="DP33" s="848"/>
      <c r="DQ33" s="848"/>
      <c r="DR33" s="848"/>
      <c r="DS33" s="848"/>
      <c r="DT33" s="848"/>
      <c r="DU33" s="848"/>
      <c r="DV33" s="848"/>
      <c r="DW33" s="848"/>
      <c r="DX33" s="848"/>
      <c r="DY33" s="848"/>
      <c r="DZ33" s="848"/>
      <c r="EA33" s="848"/>
      <c r="EB33" s="848"/>
      <c r="EC33" s="848"/>
      <c r="ED33" s="848"/>
      <c r="EE33" s="848"/>
      <c r="EF33" s="848"/>
      <c r="EG33" s="848"/>
      <c r="EH33" s="848"/>
      <c r="EI33" s="848"/>
      <c r="EJ33" s="848"/>
      <c r="EK33" s="848"/>
      <c r="EL33" s="848"/>
      <c r="EM33" s="848"/>
      <c r="EN33" s="848"/>
      <c r="EO33" s="848"/>
      <c r="EP33" s="848"/>
      <c r="EQ33" s="848"/>
      <c r="ER33" s="848"/>
      <c r="ES33" s="848"/>
      <c r="ET33" s="43"/>
      <c r="EU33" s="43"/>
    </row>
    <row r="34" spans="2:151">
      <c r="B34" s="43" t="s">
        <v>1420</v>
      </c>
      <c r="C34" s="43"/>
      <c r="D34" s="43"/>
      <c r="E34" s="43"/>
      <c r="F34" s="43"/>
      <c r="G34" s="43"/>
      <c r="H34" s="43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  <c r="EL34" s="24"/>
      <c r="EM34" s="24"/>
      <c r="EN34" s="24"/>
      <c r="EO34" s="24"/>
      <c r="EP34" s="24"/>
      <c r="EQ34" s="24"/>
      <c r="ER34" s="24"/>
      <c r="ES34" s="24"/>
      <c r="ET34" s="845"/>
      <c r="EU34" s="845"/>
    </row>
    <row r="35" spans="2:151">
      <c r="B35" s="845" t="s">
        <v>1463</v>
      </c>
      <c r="C35" s="845"/>
      <c r="D35" s="845"/>
      <c r="E35" s="845"/>
      <c r="F35" s="845"/>
      <c r="G35" s="845"/>
      <c r="H35" s="845"/>
      <c r="I35" s="848"/>
      <c r="J35" s="848"/>
      <c r="K35" s="848"/>
      <c r="L35" s="848"/>
      <c r="M35" s="848"/>
      <c r="N35" s="848"/>
      <c r="O35" s="848"/>
      <c r="P35" s="848"/>
      <c r="Q35" s="848"/>
      <c r="R35" s="848"/>
      <c r="S35" s="848"/>
      <c r="T35" s="848"/>
      <c r="U35" s="848"/>
      <c r="V35" s="848"/>
      <c r="W35" s="848"/>
      <c r="X35" s="848"/>
      <c r="Y35" s="848"/>
      <c r="Z35" s="848"/>
      <c r="AA35" s="848"/>
      <c r="AB35" s="848"/>
      <c r="AC35" s="848"/>
      <c r="AD35" s="848"/>
      <c r="AE35" s="848"/>
      <c r="AF35" s="848"/>
      <c r="AG35" s="848"/>
      <c r="AH35" s="848"/>
      <c r="AI35" s="848"/>
      <c r="AJ35" s="848"/>
      <c r="AK35" s="848"/>
      <c r="AL35" s="848"/>
      <c r="AM35" s="848"/>
      <c r="AN35" s="848"/>
      <c r="AO35" s="848"/>
      <c r="AP35" s="848"/>
      <c r="AQ35" s="848"/>
      <c r="AR35" s="848"/>
      <c r="AS35" s="848"/>
      <c r="AT35" s="848"/>
      <c r="AU35" s="848"/>
      <c r="AV35" s="848"/>
      <c r="AW35" s="848"/>
      <c r="AX35" s="848"/>
      <c r="AY35" s="848"/>
      <c r="AZ35" s="848"/>
      <c r="BA35" s="848"/>
      <c r="BB35" s="848"/>
      <c r="BC35" s="848"/>
      <c r="BD35" s="848"/>
      <c r="BE35" s="848"/>
      <c r="BF35" s="848"/>
      <c r="BG35" s="848"/>
      <c r="BH35" s="848"/>
      <c r="BI35" s="848"/>
      <c r="BJ35" s="848"/>
      <c r="BK35" s="848"/>
      <c r="BL35" s="848"/>
      <c r="BM35" s="848"/>
      <c r="BN35" s="848"/>
      <c r="BO35" s="848"/>
      <c r="BP35" s="848"/>
      <c r="BQ35" s="848"/>
      <c r="BR35" s="848"/>
      <c r="BS35" s="848"/>
      <c r="BT35" s="848"/>
      <c r="BU35" s="848"/>
      <c r="BV35" s="848"/>
      <c r="BW35" s="848"/>
      <c r="BX35" s="848"/>
      <c r="BY35" s="848"/>
      <c r="BZ35" s="848"/>
      <c r="CA35" s="848"/>
      <c r="CB35" s="848"/>
      <c r="CC35" s="848"/>
      <c r="CD35" s="848"/>
      <c r="CE35" s="848"/>
      <c r="CF35" s="848"/>
      <c r="CG35" s="848"/>
      <c r="CH35" s="848"/>
      <c r="CI35" s="848"/>
      <c r="CJ35" s="848"/>
      <c r="CK35" s="848"/>
      <c r="CL35" s="848"/>
      <c r="CM35" s="848"/>
      <c r="CN35" s="848"/>
      <c r="CO35" s="848"/>
      <c r="CP35" s="848"/>
      <c r="CQ35" s="848"/>
      <c r="CR35" s="848"/>
      <c r="CS35" s="848"/>
      <c r="CT35" s="848"/>
      <c r="CU35" s="848"/>
      <c r="CV35" s="848"/>
      <c r="CW35" s="848"/>
      <c r="CX35" s="848"/>
      <c r="CY35" s="848"/>
      <c r="CZ35" s="848"/>
      <c r="DA35" s="848"/>
      <c r="DB35" s="848"/>
      <c r="DC35" s="848"/>
      <c r="DD35" s="848"/>
      <c r="DE35" s="848"/>
      <c r="DF35" s="848"/>
      <c r="DG35" s="848"/>
      <c r="DH35" s="848"/>
      <c r="DI35" s="848"/>
      <c r="DJ35" s="848"/>
      <c r="DK35" s="848"/>
      <c r="DL35" s="848"/>
      <c r="DM35" s="848"/>
      <c r="DN35" s="848"/>
      <c r="DO35" s="848"/>
      <c r="DP35" s="848"/>
      <c r="DQ35" s="848"/>
      <c r="DR35" s="848"/>
      <c r="DS35" s="848"/>
      <c r="DT35" s="848"/>
      <c r="DU35" s="848"/>
      <c r="DV35" s="848"/>
      <c r="DW35" s="848"/>
      <c r="DX35" s="848"/>
      <c r="DY35" s="848"/>
      <c r="DZ35" s="848"/>
      <c r="EA35" s="848"/>
      <c r="EB35" s="848"/>
      <c r="EC35" s="848"/>
      <c r="ED35" s="848"/>
      <c r="EE35" s="848"/>
      <c r="EF35" s="848"/>
      <c r="EG35" s="848"/>
      <c r="EH35" s="848"/>
      <c r="EI35" s="848"/>
      <c r="EJ35" s="848"/>
      <c r="EK35" s="848"/>
      <c r="EL35" s="848"/>
      <c r="EM35" s="848"/>
      <c r="EN35" s="848"/>
      <c r="EO35" s="848"/>
      <c r="EP35" s="848"/>
      <c r="EQ35" s="848"/>
      <c r="ER35" s="848"/>
      <c r="ES35" s="848"/>
      <c r="ET35" s="43"/>
      <c r="EU35" s="43"/>
    </row>
    <row r="36" spans="2:151">
      <c r="B36" s="845" t="s">
        <v>1439</v>
      </c>
      <c r="C36" s="845"/>
      <c r="D36" s="845"/>
      <c r="E36" s="845"/>
      <c r="F36" s="845"/>
      <c r="G36" s="845"/>
      <c r="H36" s="845"/>
      <c r="I36" s="845"/>
      <c r="J36" s="845"/>
      <c r="K36" s="845"/>
      <c r="L36" s="845"/>
      <c r="M36" s="845"/>
      <c r="N36" s="845"/>
      <c r="O36" s="845"/>
      <c r="P36" s="845"/>
      <c r="Q36" s="845"/>
      <c r="R36" s="845"/>
      <c r="S36" s="845"/>
      <c r="T36" s="845"/>
      <c r="U36" s="845"/>
      <c r="V36" s="845"/>
      <c r="W36" s="845"/>
      <c r="X36" s="845"/>
      <c r="Y36" s="845"/>
      <c r="Z36" s="845"/>
      <c r="AA36" s="845"/>
      <c r="AB36" s="845"/>
      <c r="AC36" s="845"/>
      <c r="AD36" s="845"/>
      <c r="AE36" s="845"/>
      <c r="AF36" s="845"/>
      <c r="AG36" s="845"/>
      <c r="AH36" s="845"/>
      <c r="AI36" s="845"/>
      <c r="AJ36" s="845"/>
      <c r="AK36" s="845"/>
      <c r="AL36" s="845"/>
      <c r="AM36" s="845"/>
      <c r="AN36" s="845"/>
      <c r="AO36" s="845"/>
      <c r="AP36" s="845"/>
      <c r="AQ36" s="845"/>
      <c r="AR36" s="845"/>
      <c r="AS36" s="845"/>
      <c r="AT36" s="845"/>
      <c r="AU36" s="845"/>
      <c r="AV36" s="845"/>
      <c r="AW36" s="845"/>
      <c r="AX36" s="845"/>
      <c r="AY36" s="845"/>
      <c r="AZ36" s="845"/>
      <c r="BA36" s="845"/>
      <c r="BB36" s="845"/>
      <c r="BC36" s="845"/>
      <c r="BD36" s="845"/>
      <c r="BE36" s="845"/>
      <c r="BF36" s="845"/>
      <c r="BG36" s="845"/>
      <c r="BH36" s="845"/>
      <c r="BI36" s="845"/>
      <c r="BJ36" s="845"/>
      <c r="BK36" s="845"/>
      <c r="BL36" s="845"/>
      <c r="BM36" s="845"/>
      <c r="BN36" s="845"/>
      <c r="BO36" s="845"/>
      <c r="BP36" s="845"/>
      <c r="BQ36" s="845"/>
      <c r="BR36" s="845"/>
      <c r="BS36" s="845"/>
      <c r="BT36" s="845"/>
      <c r="BU36" s="845"/>
      <c r="BV36" s="845"/>
      <c r="BW36" s="845"/>
      <c r="BX36" s="845"/>
      <c r="BY36" s="845"/>
      <c r="BZ36" s="845"/>
      <c r="CA36" s="845"/>
      <c r="CB36" s="845"/>
      <c r="CC36" s="845"/>
      <c r="CD36" s="845"/>
      <c r="CE36" s="845"/>
      <c r="CF36" s="845"/>
      <c r="CG36" s="845"/>
      <c r="CH36" s="845"/>
      <c r="CI36" s="845"/>
      <c r="CJ36" s="845"/>
      <c r="CK36" s="845"/>
      <c r="CL36" s="845"/>
      <c r="CM36" s="845"/>
      <c r="CN36" s="845"/>
      <c r="CO36" s="845"/>
      <c r="CP36" s="845"/>
      <c r="CQ36" s="845"/>
      <c r="CR36" s="845"/>
      <c r="CS36" s="845"/>
      <c r="CT36" s="845"/>
      <c r="CU36" s="845"/>
      <c r="CV36" s="845"/>
      <c r="CW36" s="845"/>
      <c r="CX36" s="845"/>
      <c r="CY36" s="845"/>
      <c r="CZ36" s="845"/>
      <c r="DA36" s="845"/>
      <c r="DB36" s="845"/>
      <c r="DC36" s="845"/>
      <c r="DD36" s="845"/>
      <c r="DE36" s="845"/>
      <c r="DF36" s="845"/>
      <c r="DG36" s="845"/>
      <c r="DH36" s="845"/>
      <c r="DI36" s="845"/>
      <c r="DJ36" s="845"/>
      <c r="DK36" s="845"/>
      <c r="DL36" s="845"/>
      <c r="DM36" s="845"/>
      <c r="DN36" s="845"/>
      <c r="DO36" s="845"/>
      <c r="DP36" s="845"/>
      <c r="DQ36" s="845"/>
      <c r="DR36" s="845"/>
      <c r="DS36" s="845"/>
      <c r="DT36" s="845"/>
      <c r="DU36" s="845"/>
      <c r="DV36" s="845"/>
      <c r="DW36" s="845"/>
      <c r="DX36" s="845"/>
      <c r="DY36" s="845"/>
      <c r="DZ36" s="845"/>
      <c r="EA36" s="845"/>
      <c r="EB36" s="845"/>
      <c r="EC36" s="845"/>
      <c r="ED36" s="845"/>
      <c r="EE36" s="845"/>
      <c r="EF36" s="845"/>
      <c r="EG36" s="845"/>
      <c r="EH36" s="845"/>
      <c r="EI36" s="845"/>
      <c r="EJ36" s="845"/>
      <c r="EK36" s="845"/>
      <c r="EL36" s="845"/>
      <c r="EM36" s="845"/>
      <c r="EN36" s="845"/>
      <c r="EO36" s="845"/>
      <c r="EP36" s="845"/>
      <c r="EQ36" s="845"/>
      <c r="ER36" s="845"/>
      <c r="ES36" s="845"/>
      <c r="ET36" s="845"/>
      <c r="EU36" s="845"/>
    </row>
    <row r="37" spans="2:151"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</row>
    <row r="38" spans="2:151"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</row>
    <row r="39" spans="2:151">
      <c r="B39" s="773"/>
      <c r="C39" s="773"/>
      <c r="D39" s="773"/>
      <c r="E39" s="773"/>
      <c r="F39" s="773"/>
      <c r="G39" s="773"/>
      <c r="H39" s="773"/>
      <c r="I39" s="773"/>
      <c r="J39" s="773"/>
      <c r="K39" s="773"/>
      <c r="L39" s="773"/>
      <c r="M39" s="773"/>
      <c r="N39" s="773"/>
      <c r="O39" s="773"/>
      <c r="P39" s="773"/>
      <c r="Q39" s="773"/>
      <c r="R39" s="773"/>
      <c r="S39" s="773"/>
      <c r="T39" s="773"/>
      <c r="U39" s="773"/>
      <c r="V39" s="773"/>
      <c r="W39" s="773"/>
      <c r="X39" s="773"/>
      <c r="Y39" s="773"/>
      <c r="Z39" s="773"/>
      <c r="AA39" s="773"/>
      <c r="AB39" s="773"/>
      <c r="AC39" s="773"/>
      <c r="AD39" s="773"/>
      <c r="AE39" s="773"/>
      <c r="AF39" s="773"/>
      <c r="AG39" s="773"/>
      <c r="AH39" s="773"/>
      <c r="AI39" s="773"/>
      <c r="AJ39" s="773"/>
      <c r="AK39" s="773"/>
      <c r="AL39" s="773"/>
      <c r="AM39" s="773"/>
      <c r="AN39" s="773"/>
      <c r="AO39" s="773"/>
      <c r="AP39" s="773"/>
      <c r="AQ39" s="773"/>
      <c r="AR39" s="773"/>
      <c r="AS39" s="773"/>
      <c r="AT39" s="773"/>
      <c r="AU39" s="773"/>
      <c r="AV39" s="773"/>
      <c r="AW39" s="773"/>
      <c r="AX39" s="773"/>
      <c r="AY39" s="773"/>
      <c r="AZ39" s="773"/>
      <c r="BA39" s="773"/>
      <c r="BB39" s="773"/>
      <c r="BC39" s="773"/>
      <c r="BD39" s="773"/>
      <c r="BE39" s="773"/>
      <c r="BF39" s="773"/>
      <c r="BG39" s="773"/>
      <c r="BH39" s="773"/>
      <c r="BI39" s="773"/>
      <c r="BJ39" s="773"/>
      <c r="BK39" s="773"/>
      <c r="BL39" s="773"/>
      <c r="BM39" s="773"/>
      <c r="BN39" s="773"/>
      <c r="BO39" s="773"/>
      <c r="BP39" s="773"/>
      <c r="BQ39" s="773"/>
      <c r="BR39" s="773"/>
      <c r="BS39" s="773"/>
      <c r="BT39" s="773"/>
      <c r="BU39" s="773"/>
      <c r="BV39" s="773"/>
      <c r="BW39" s="773"/>
      <c r="BX39" s="773"/>
      <c r="BY39" s="773"/>
      <c r="BZ39" s="773"/>
      <c r="CA39" s="773"/>
      <c r="CB39" s="773"/>
      <c r="CC39" s="773"/>
      <c r="CD39" s="773"/>
      <c r="CE39" s="773"/>
      <c r="CF39" s="773"/>
      <c r="CG39" s="773"/>
      <c r="CH39" s="773"/>
      <c r="CI39" s="773"/>
      <c r="CJ39" s="773"/>
      <c r="CK39" s="773"/>
      <c r="CL39" s="773"/>
      <c r="CM39" s="773"/>
      <c r="CN39" s="773"/>
      <c r="CO39" s="773"/>
    </row>
  </sheetData>
  <mergeCells count="3">
    <mergeCell ref="A3:H3"/>
    <mergeCell ref="I3:Q3"/>
    <mergeCell ref="B25:H25"/>
  </mergeCells>
  <pageMargins left="0.78740157480314965" right="0.51181102362204722" top="0.59055118110236227" bottom="0.39370078740157483" header="0.19685039370078741" footer="0.19685039370078741"/>
  <pageSetup paperSize="9" scale="57" orientation="portrait" r:id="rId1"/>
  <headerFooter alignWithMargins="0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EY21"/>
  <sheetViews>
    <sheetView view="pageBreakPreview" zoomScaleNormal="100" workbookViewId="0">
      <pane ySplit="8" topLeftCell="A9" activePane="bottomLeft" state="frozen"/>
      <selection activeCell="C6" sqref="C6:H6"/>
      <selection pane="bottomLeft" activeCell="K10" sqref="K10"/>
    </sheetView>
  </sheetViews>
  <sheetFormatPr defaultColWidth="2.7109375" defaultRowHeight="15"/>
  <cols>
    <col min="1" max="1" width="6.5703125" style="1" customWidth="1"/>
    <col min="2" max="2" width="34.42578125" style="1" customWidth="1"/>
    <col min="3" max="8" width="13.7109375" style="1" customWidth="1"/>
    <col min="9" max="60" width="8.28515625" style="1" customWidth="1"/>
    <col min="61" max="16384" width="2.7109375" style="1"/>
  </cols>
  <sheetData>
    <row r="1" spans="1:155" s="5" customFormat="1" ht="18" customHeight="1">
      <c r="A1" s="74" t="s">
        <v>1860</v>
      </c>
      <c r="H1" s="6" t="s">
        <v>1375</v>
      </c>
    </row>
    <row r="2" spans="1:155" ht="12.75" customHeight="1">
      <c r="A2" s="1218" t="s">
        <v>1679</v>
      </c>
    </row>
    <row r="3" spans="1:155" ht="43.5" customHeight="1">
      <c r="A3" s="1980" t="s">
        <v>1376</v>
      </c>
      <c r="B3" s="1980"/>
      <c r="C3" s="1980"/>
      <c r="D3" s="1980"/>
      <c r="E3" s="1980"/>
      <c r="F3" s="1980"/>
      <c r="G3" s="1980"/>
      <c r="H3" s="1980"/>
      <c r="I3" s="828"/>
      <c r="J3" s="828"/>
      <c r="K3" s="828"/>
      <c r="L3" s="828"/>
      <c r="M3" s="828"/>
      <c r="N3" s="828"/>
      <c r="O3" s="828"/>
      <c r="P3" s="828"/>
      <c r="Q3" s="828"/>
      <c r="R3" s="828"/>
      <c r="S3" s="828"/>
      <c r="T3" s="828"/>
      <c r="U3" s="828"/>
      <c r="V3" s="828"/>
      <c r="W3" s="828"/>
      <c r="X3" s="828"/>
      <c r="Y3" s="828"/>
      <c r="Z3" s="828"/>
      <c r="AA3" s="828"/>
      <c r="AB3" s="828"/>
      <c r="AC3" s="828"/>
      <c r="AD3" s="828"/>
      <c r="AE3" s="828"/>
      <c r="AF3" s="828"/>
      <c r="AG3" s="828"/>
      <c r="AH3" s="828"/>
      <c r="AI3" s="828"/>
      <c r="AJ3" s="828"/>
      <c r="AK3" s="828"/>
      <c r="AL3" s="828"/>
      <c r="AM3" s="828"/>
      <c r="AN3" s="828"/>
      <c r="AO3" s="828"/>
      <c r="AP3" s="828"/>
      <c r="AQ3" s="828"/>
      <c r="AR3" s="828"/>
      <c r="AS3" s="828"/>
      <c r="AT3" s="828"/>
      <c r="AU3" s="828"/>
      <c r="AV3" s="828"/>
      <c r="AW3" s="828"/>
      <c r="AX3" s="828"/>
      <c r="AY3" s="828"/>
      <c r="AZ3" s="828"/>
      <c r="BA3" s="828"/>
      <c r="BB3" s="828"/>
      <c r="BC3" s="828"/>
      <c r="BD3" s="828"/>
      <c r="BE3" s="828"/>
      <c r="BF3" s="828"/>
      <c r="BG3" s="828"/>
      <c r="BH3" s="828"/>
      <c r="BI3" s="828"/>
      <c r="BJ3" s="828"/>
      <c r="BK3" s="828"/>
      <c r="BL3" s="828"/>
      <c r="BM3" s="828"/>
      <c r="BN3" s="828"/>
      <c r="BO3" s="828"/>
      <c r="BP3" s="828"/>
      <c r="BQ3" s="828"/>
      <c r="BR3" s="828"/>
      <c r="BS3" s="828"/>
      <c r="BT3" s="828"/>
      <c r="BU3" s="828"/>
      <c r="BV3" s="828"/>
      <c r="BW3" s="828"/>
      <c r="BX3" s="828"/>
      <c r="BY3" s="828"/>
      <c r="BZ3" s="828"/>
      <c r="CA3" s="828"/>
      <c r="CB3" s="828"/>
      <c r="CC3" s="828"/>
      <c r="CD3" s="828"/>
      <c r="CE3" s="828"/>
      <c r="CF3" s="828"/>
      <c r="CG3" s="828"/>
      <c r="CH3" s="828"/>
      <c r="CI3" s="828"/>
      <c r="CJ3" s="828"/>
      <c r="CK3" s="828"/>
      <c r="CL3" s="828"/>
      <c r="CM3" s="828"/>
      <c r="CN3" s="828"/>
      <c r="CO3" s="828"/>
      <c r="CP3" s="828"/>
      <c r="CQ3" s="828"/>
      <c r="CR3" s="828"/>
      <c r="CS3" s="828"/>
      <c r="CT3" s="828"/>
      <c r="CU3" s="828"/>
      <c r="CV3" s="828"/>
      <c r="CW3" s="828"/>
      <c r="CX3" s="828"/>
      <c r="CY3" s="828"/>
      <c r="CZ3" s="828"/>
      <c r="DA3" s="828"/>
      <c r="DB3" s="828"/>
      <c r="DC3" s="828"/>
      <c r="DD3" s="828"/>
      <c r="DE3" s="828"/>
      <c r="DF3" s="828"/>
      <c r="DG3" s="828"/>
      <c r="DH3" s="828"/>
      <c r="DI3" s="828"/>
      <c r="DJ3" s="828"/>
      <c r="DK3" s="828"/>
      <c r="DL3" s="828"/>
      <c r="DM3" s="828"/>
      <c r="DN3" s="828"/>
      <c r="DO3" s="828"/>
      <c r="DP3" s="828"/>
      <c r="DQ3" s="828"/>
      <c r="DR3" s="828"/>
      <c r="DS3" s="828"/>
      <c r="DT3" s="828"/>
      <c r="DU3" s="828"/>
      <c r="DV3" s="828"/>
      <c r="DW3" s="828"/>
      <c r="DX3" s="828"/>
      <c r="DY3" s="828"/>
      <c r="DZ3" s="828"/>
      <c r="EA3" s="828"/>
      <c r="EB3" s="828"/>
      <c r="EC3" s="828"/>
      <c r="ED3" s="828"/>
      <c r="EE3" s="828"/>
      <c r="EF3" s="828"/>
      <c r="EG3" s="828"/>
      <c r="EH3" s="828"/>
      <c r="EI3" s="828"/>
      <c r="EJ3" s="828"/>
      <c r="EK3" s="828"/>
      <c r="EL3" s="828"/>
      <c r="EM3" s="828"/>
      <c r="EN3" s="828"/>
      <c r="EO3" s="828"/>
      <c r="EP3" s="828"/>
      <c r="EQ3" s="828"/>
      <c r="ER3" s="828"/>
      <c r="ES3" s="828"/>
      <c r="ET3" s="828"/>
      <c r="EU3" s="828"/>
      <c r="EV3" s="828"/>
      <c r="EW3" s="828"/>
      <c r="EX3" s="828"/>
      <c r="EY3" s="828"/>
    </row>
    <row r="4" spans="1:155" ht="12.75" customHeight="1">
      <c r="B4" s="1217"/>
      <c r="C4" s="1217"/>
      <c r="D4" s="1217"/>
      <c r="E4" s="1217"/>
      <c r="F4" s="1217"/>
      <c r="G4" s="1217"/>
      <c r="H4" s="1217"/>
    </row>
    <row r="5" spans="1:155" ht="14.25" customHeight="1">
      <c r="H5" s="23" t="s">
        <v>360</v>
      </c>
    </row>
    <row r="6" spans="1:155" s="3" customFormat="1" ht="15" customHeight="1">
      <c r="A6" s="1858" t="s">
        <v>0</v>
      </c>
      <c r="B6" s="1858" t="s">
        <v>1377</v>
      </c>
      <c r="C6" s="1981" t="s">
        <v>1336</v>
      </c>
      <c r="D6" s="1982"/>
      <c r="E6" s="1981" t="s">
        <v>1337</v>
      </c>
      <c r="F6" s="1983"/>
      <c r="G6" s="1981" t="s">
        <v>1715</v>
      </c>
      <c r="H6" s="1983"/>
    </row>
    <row r="7" spans="1:155" s="3" customFormat="1" ht="105">
      <c r="A7" s="1971"/>
      <c r="B7" s="1971"/>
      <c r="C7" s="822" t="s">
        <v>1353</v>
      </c>
      <c r="D7" s="822" t="s">
        <v>1354</v>
      </c>
      <c r="E7" s="822" t="s">
        <v>1353</v>
      </c>
      <c r="F7" s="822" t="s">
        <v>1354</v>
      </c>
      <c r="G7" s="822" t="s">
        <v>1353</v>
      </c>
      <c r="H7" s="822" t="s">
        <v>1354</v>
      </c>
    </row>
    <row r="8" spans="1:155" s="2" customFormat="1">
      <c r="A8" s="13">
        <v>1</v>
      </c>
      <c r="B8" s="13">
        <v>2</v>
      </c>
      <c r="C8" s="13">
        <v>3</v>
      </c>
      <c r="D8" s="13">
        <v>4</v>
      </c>
      <c r="E8" s="13">
        <v>5</v>
      </c>
      <c r="F8" s="13">
        <v>6</v>
      </c>
      <c r="G8" s="13">
        <v>7</v>
      </c>
      <c r="H8" s="13">
        <v>8</v>
      </c>
    </row>
    <row r="9" spans="1:155" s="41" customFormat="1">
      <c r="A9" s="60" t="s">
        <v>89</v>
      </c>
      <c r="B9" s="68" t="s">
        <v>1378</v>
      </c>
      <c r="C9" s="818"/>
      <c r="D9" s="818">
        <v>1095460.1892599999</v>
      </c>
      <c r="E9" s="818"/>
      <c r="F9" s="818">
        <v>1215556.9890000001</v>
      </c>
      <c r="G9" s="818"/>
      <c r="H9" s="818">
        <v>1258949.7462500001</v>
      </c>
    </row>
    <row r="10" spans="1:155" s="832" customFormat="1" ht="15" customHeight="1">
      <c r="A10" s="829" t="s">
        <v>91</v>
      </c>
      <c r="B10" s="830" t="s">
        <v>1379</v>
      </c>
      <c r="C10" s="818"/>
      <c r="D10" s="818">
        <v>140308.62900000002</v>
      </c>
      <c r="E10" s="831"/>
      <c r="F10" s="818">
        <v>155650.99657199997</v>
      </c>
      <c r="G10" s="831"/>
      <c r="H10" s="818">
        <v>169904.37655947596</v>
      </c>
    </row>
    <row r="11" spans="1:155" s="832" customFormat="1" ht="15" customHeight="1">
      <c r="A11" s="829" t="s">
        <v>93</v>
      </c>
      <c r="B11" s="833" t="s">
        <v>1380</v>
      </c>
      <c r="C11" s="818"/>
      <c r="D11" s="818"/>
      <c r="E11" s="834"/>
      <c r="F11" s="834"/>
      <c r="G11" s="834"/>
      <c r="H11" s="834"/>
    </row>
    <row r="12" spans="1:155" s="41" customFormat="1">
      <c r="A12" s="60" t="s">
        <v>95</v>
      </c>
      <c r="B12" s="70" t="s">
        <v>1381</v>
      </c>
      <c r="C12" s="818"/>
      <c r="D12" s="818">
        <v>24704.803834666556</v>
      </c>
      <c r="E12" s="835"/>
      <c r="F12" s="818">
        <v>26231.711889861799</v>
      </c>
      <c r="G12" s="835"/>
      <c r="H12" s="818">
        <v>28007.961338357578</v>
      </c>
    </row>
    <row r="13" spans="1:155" s="41" customFormat="1">
      <c r="A13" s="60" t="s">
        <v>97</v>
      </c>
      <c r="B13" s="68" t="s">
        <v>1382</v>
      </c>
      <c r="C13" s="818"/>
      <c r="D13" s="818"/>
      <c r="E13" s="835"/>
      <c r="F13" s="834"/>
      <c r="G13" s="834"/>
      <c r="H13" s="834"/>
    </row>
    <row r="14" spans="1:155" s="810" customFormat="1" ht="14.25">
      <c r="A14" s="82" t="s">
        <v>582</v>
      </c>
      <c r="B14" s="808" t="s">
        <v>770</v>
      </c>
      <c r="C14" s="836">
        <f>SUM(C9:C13)</f>
        <v>0</v>
      </c>
      <c r="D14" s="836">
        <f t="shared" ref="D14:H14" si="0">SUM(D9:D13)</f>
        <v>1260473.6220946664</v>
      </c>
      <c r="E14" s="836">
        <f t="shared" si="0"/>
        <v>0</v>
      </c>
      <c r="F14" s="836">
        <f t="shared" si="0"/>
        <v>1397439.6974618619</v>
      </c>
      <c r="G14" s="836">
        <f t="shared" si="0"/>
        <v>0</v>
      </c>
      <c r="H14" s="836">
        <f t="shared" si="0"/>
        <v>1456862.0841478335</v>
      </c>
    </row>
    <row r="17" spans="1:153">
      <c r="F17" s="1445">
        <f>'5.4_пр-во котельные'!F14+'5.4_передача котельные'!F14</f>
        <v>1397439.6974618619</v>
      </c>
      <c r="H17" s="1445">
        <f>'5.4_пр-во котельные'!H14+'5.4_передача котельные'!H14</f>
        <v>1456862.0841478335</v>
      </c>
    </row>
    <row r="18" spans="1:153" s="26" customFormat="1">
      <c r="A18" s="26" t="s">
        <v>88</v>
      </c>
    </row>
    <row r="19" spans="1:153" s="1219" customFormat="1">
      <c r="A19" s="1220" t="s">
        <v>89</v>
      </c>
      <c r="B19" s="1984" t="s">
        <v>1346</v>
      </c>
      <c r="C19" s="1985"/>
      <c r="D19" s="1985"/>
      <c r="E19" s="1985"/>
      <c r="F19" s="1985"/>
      <c r="G19" s="1985"/>
      <c r="H19" s="1985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1220"/>
      <c r="ET19" s="1220"/>
      <c r="EU19" s="1220"/>
      <c r="EV19" s="1220"/>
      <c r="EW19" s="1220"/>
    </row>
    <row r="20" spans="1:153" s="1219" customFormat="1" ht="30" customHeight="1">
      <c r="A20" s="1220" t="s">
        <v>91</v>
      </c>
      <c r="B20" s="1972" t="s">
        <v>1383</v>
      </c>
      <c r="C20" s="1973"/>
      <c r="D20" s="1973"/>
      <c r="E20" s="1973"/>
      <c r="F20" s="1973"/>
      <c r="G20" s="1973"/>
      <c r="H20" s="1973"/>
      <c r="I20" s="1220"/>
      <c r="J20" s="1220"/>
      <c r="K20" s="1220"/>
      <c r="L20" s="1220"/>
      <c r="M20" s="1220"/>
      <c r="N20" s="1220"/>
      <c r="O20" s="1220"/>
      <c r="P20" s="1220"/>
      <c r="Q20" s="1220"/>
      <c r="R20" s="1220"/>
      <c r="S20" s="1220"/>
      <c r="T20" s="1220"/>
      <c r="U20" s="1220"/>
      <c r="V20" s="1220"/>
      <c r="W20" s="1220"/>
      <c r="X20" s="1220"/>
      <c r="Y20" s="1220"/>
      <c r="Z20" s="1220"/>
      <c r="AA20" s="1220"/>
      <c r="AB20" s="1220"/>
      <c r="AC20" s="1220"/>
      <c r="AD20" s="1220"/>
      <c r="AE20" s="1220"/>
      <c r="AF20" s="1220"/>
      <c r="AG20" s="1220"/>
      <c r="AH20" s="1220"/>
      <c r="AI20" s="1220"/>
      <c r="AJ20" s="1220"/>
      <c r="AK20" s="1220"/>
      <c r="AL20" s="1220"/>
      <c r="AM20" s="1220"/>
      <c r="AN20" s="1220"/>
      <c r="AO20" s="1220"/>
      <c r="AP20" s="1220"/>
      <c r="AQ20" s="1220"/>
      <c r="AR20" s="1220"/>
      <c r="AS20" s="1220"/>
      <c r="AT20" s="1220"/>
      <c r="AU20" s="1220"/>
      <c r="AV20" s="1220"/>
      <c r="AW20" s="1220"/>
      <c r="AX20" s="1220"/>
      <c r="AY20" s="1220"/>
      <c r="AZ20" s="1220"/>
      <c r="BA20" s="1220"/>
      <c r="BB20" s="1220"/>
      <c r="BC20" s="1220"/>
      <c r="BD20" s="1220"/>
      <c r="BE20" s="1220"/>
      <c r="BF20" s="1220"/>
      <c r="BG20" s="1220"/>
      <c r="BH20" s="1220"/>
      <c r="BI20" s="1220"/>
      <c r="BJ20" s="1220"/>
      <c r="BK20" s="1220"/>
      <c r="BL20" s="1220"/>
      <c r="BM20" s="1220"/>
      <c r="BN20" s="1220"/>
      <c r="BO20" s="1220"/>
      <c r="BP20" s="1220"/>
      <c r="BQ20" s="1220"/>
      <c r="BR20" s="1220"/>
      <c r="BS20" s="1220"/>
      <c r="BT20" s="1220"/>
      <c r="BU20" s="1220"/>
      <c r="BV20" s="1220"/>
      <c r="BW20" s="1220"/>
      <c r="BX20" s="1220"/>
      <c r="BY20" s="1220"/>
      <c r="BZ20" s="1220"/>
      <c r="CA20" s="1220"/>
      <c r="CB20" s="1220"/>
      <c r="CC20" s="1220"/>
      <c r="CD20" s="1220"/>
      <c r="CE20" s="1220"/>
      <c r="CF20" s="1220"/>
      <c r="CG20" s="1220"/>
      <c r="CH20" s="1220"/>
      <c r="CI20" s="1220"/>
      <c r="CJ20" s="1220"/>
      <c r="CK20" s="1220"/>
      <c r="CL20" s="1220"/>
      <c r="CM20" s="1220"/>
      <c r="CN20" s="1220"/>
      <c r="CO20" s="1220"/>
      <c r="CP20" s="1220"/>
      <c r="CQ20" s="1220"/>
      <c r="CR20" s="1220"/>
      <c r="CS20" s="1220"/>
      <c r="CT20" s="1220"/>
      <c r="CU20" s="1220"/>
      <c r="CV20" s="1220"/>
      <c r="CW20" s="1220"/>
      <c r="CX20" s="1220"/>
      <c r="CY20" s="1220"/>
      <c r="CZ20" s="1220"/>
      <c r="DA20" s="1220"/>
      <c r="DB20" s="1220"/>
      <c r="DC20" s="1220"/>
      <c r="DD20" s="1220"/>
      <c r="DE20" s="1220"/>
      <c r="DF20" s="1220"/>
      <c r="DG20" s="1220"/>
      <c r="DH20" s="1220"/>
      <c r="DI20" s="1220"/>
      <c r="DJ20" s="1220"/>
      <c r="DK20" s="1220"/>
      <c r="DL20" s="1220"/>
      <c r="DM20" s="1220"/>
      <c r="DN20" s="1220"/>
      <c r="DO20" s="1220"/>
      <c r="DP20" s="1220"/>
      <c r="DQ20" s="1220"/>
      <c r="DR20" s="1220"/>
      <c r="DS20" s="1220"/>
      <c r="DT20" s="1220"/>
      <c r="DU20" s="1220"/>
      <c r="DV20" s="1220"/>
      <c r="DW20" s="1220"/>
      <c r="DX20" s="1220"/>
      <c r="DY20" s="1220"/>
      <c r="DZ20" s="1220"/>
      <c r="EA20" s="1220"/>
      <c r="EB20" s="1220"/>
      <c r="EC20" s="1220"/>
      <c r="ED20" s="1220"/>
      <c r="EE20" s="1220"/>
      <c r="EF20" s="1220"/>
      <c r="EG20" s="1220"/>
      <c r="EH20" s="1220"/>
      <c r="EI20" s="1220"/>
      <c r="EJ20" s="1220"/>
      <c r="EK20" s="1220"/>
      <c r="EL20" s="1220"/>
      <c r="EM20" s="1220"/>
      <c r="EN20" s="1220"/>
      <c r="EO20" s="1220"/>
      <c r="EP20" s="1220"/>
      <c r="EQ20" s="1220"/>
      <c r="ER20" s="1220"/>
    </row>
    <row r="21" spans="1:153" ht="15.75" customHeight="1">
      <c r="A21" s="1220" t="s">
        <v>93</v>
      </c>
      <c r="B21" s="1984" t="s">
        <v>1384</v>
      </c>
      <c r="C21" s="1985"/>
      <c r="D21" s="1985"/>
      <c r="E21" s="1985"/>
      <c r="F21" s="1985"/>
      <c r="G21" s="1985"/>
      <c r="H21" s="1985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</row>
  </sheetData>
  <mergeCells count="9">
    <mergeCell ref="B19:H19"/>
    <mergeCell ref="B20:H20"/>
    <mergeCell ref="B21:H21"/>
    <mergeCell ref="A3:H3"/>
    <mergeCell ref="A6:A7"/>
    <mergeCell ref="B6:B7"/>
    <mergeCell ref="C6:D6"/>
    <mergeCell ref="E6:F6"/>
    <mergeCell ref="G6:H6"/>
  </mergeCells>
  <pageMargins left="0.78740157480314965" right="0.51181102362204722" top="0.59055118110236227" bottom="0.39370078740157483" header="0.19685039370078741" footer="0.19685039370078741"/>
  <pageSetup paperSize="9" scale="65" orientation="portrait" r:id="rId1"/>
  <headerFooter alignWithMargins="0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EY19"/>
  <sheetViews>
    <sheetView view="pageBreakPreview" zoomScaleNormal="100" workbookViewId="0">
      <pane ySplit="8" topLeftCell="A9" activePane="bottomLeft" state="frozen"/>
      <selection activeCell="C6" sqref="C6:H6"/>
      <selection pane="bottomLeft" activeCell="L10" sqref="L10"/>
    </sheetView>
  </sheetViews>
  <sheetFormatPr defaultColWidth="2.7109375" defaultRowHeight="15"/>
  <cols>
    <col min="1" max="1" width="6.5703125" style="1" customWidth="1"/>
    <col min="2" max="2" width="49" style="1" customWidth="1"/>
    <col min="3" max="8" width="13.7109375" style="1" customWidth="1"/>
    <col min="9" max="60" width="8.28515625" style="1" customWidth="1"/>
    <col min="61" max="16384" width="2.7109375" style="1"/>
  </cols>
  <sheetData>
    <row r="1" spans="1:155" s="5" customFormat="1" ht="18" customHeight="1">
      <c r="A1" s="74" t="s">
        <v>1860</v>
      </c>
      <c r="H1" s="6" t="s">
        <v>1375</v>
      </c>
    </row>
    <row r="2" spans="1:155" ht="12.75" customHeight="1">
      <c r="A2" s="1218" t="s">
        <v>1679</v>
      </c>
    </row>
    <row r="3" spans="1:155" ht="43.5" customHeight="1">
      <c r="A3" s="1980" t="s">
        <v>1376</v>
      </c>
      <c r="B3" s="1980"/>
      <c r="C3" s="1980"/>
      <c r="D3" s="1980"/>
      <c r="E3" s="1980"/>
      <c r="F3" s="1980"/>
      <c r="G3" s="1980"/>
      <c r="H3" s="1980"/>
      <c r="I3" s="828"/>
      <c r="J3" s="828"/>
      <c r="K3" s="828"/>
      <c r="L3" s="828"/>
      <c r="M3" s="828"/>
      <c r="N3" s="828"/>
      <c r="O3" s="828"/>
      <c r="P3" s="828"/>
      <c r="Q3" s="828"/>
      <c r="R3" s="828"/>
      <c r="S3" s="828"/>
      <c r="T3" s="828"/>
      <c r="U3" s="828"/>
      <c r="V3" s="828"/>
      <c r="W3" s="828"/>
      <c r="X3" s="828"/>
      <c r="Y3" s="828"/>
      <c r="Z3" s="828"/>
      <c r="AA3" s="828"/>
      <c r="AB3" s="828"/>
      <c r="AC3" s="828"/>
      <c r="AD3" s="828"/>
      <c r="AE3" s="828"/>
      <c r="AF3" s="828"/>
      <c r="AG3" s="828"/>
      <c r="AH3" s="828"/>
      <c r="AI3" s="828"/>
      <c r="AJ3" s="828"/>
      <c r="AK3" s="828"/>
      <c r="AL3" s="828"/>
      <c r="AM3" s="828"/>
      <c r="AN3" s="828"/>
      <c r="AO3" s="828"/>
      <c r="AP3" s="828"/>
      <c r="AQ3" s="828"/>
      <c r="AR3" s="828"/>
      <c r="AS3" s="828"/>
      <c r="AT3" s="828"/>
      <c r="AU3" s="828"/>
      <c r="AV3" s="828"/>
      <c r="AW3" s="828"/>
      <c r="AX3" s="828"/>
      <c r="AY3" s="828"/>
      <c r="AZ3" s="828"/>
      <c r="BA3" s="828"/>
      <c r="BB3" s="828"/>
      <c r="BC3" s="828"/>
      <c r="BD3" s="828"/>
      <c r="BE3" s="828"/>
      <c r="BF3" s="828"/>
      <c r="BG3" s="828"/>
      <c r="BH3" s="828"/>
      <c r="BI3" s="828"/>
      <c r="BJ3" s="828"/>
      <c r="BK3" s="828"/>
      <c r="BL3" s="828"/>
      <c r="BM3" s="828"/>
      <c r="BN3" s="828"/>
      <c r="BO3" s="828"/>
      <c r="BP3" s="828"/>
      <c r="BQ3" s="828"/>
      <c r="BR3" s="828"/>
      <c r="BS3" s="828"/>
      <c r="BT3" s="828"/>
      <c r="BU3" s="828"/>
      <c r="BV3" s="828"/>
      <c r="BW3" s="828"/>
      <c r="BX3" s="828"/>
      <c r="BY3" s="828"/>
      <c r="BZ3" s="828"/>
      <c r="CA3" s="828"/>
      <c r="CB3" s="828"/>
      <c r="CC3" s="828"/>
      <c r="CD3" s="828"/>
      <c r="CE3" s="828"/>
      <c r="CF3" s="828"/>
      <c r="CG3" s="828"/>
      <c r="CH3" s="828"/>
      <c r="CI3" s="828"/>
      <c r="CJ3" s="828"/>
      <c r="CK3" s="828"/>
      <c r="CL3" s="828"/>
      <c r="CM3" s="828"/>
      <c r="CN3" s="828"/>
      <c r="CO3" s="828"/>
      <c r="CP3" s="828"/>
      <c r="CQ3" s="828"/>
      <c r="CR3" s="828"/>
      <c r="CS3" s="828"/>
      <c r="CT3" s="828"/>
      <c r="CU3" s="828"/>
      <c r="CV3" s="828"/>
      <c r="CW3" s="828"/>
      <c r="CX3" s="828"/>
      <c r="CY3" s="828"/>
      <c r="CZ3" s="828"/>
      <c r="DA3" s="828"/>
      <c r="DB3" s="828"/>
      <c r="DC3" s="828"/>
      <c r="DD3" s="828"/>
      <c r="DE3" s="828"/>
      <c r="DF3" s="828"/>
      <c r="DG3" s="828"/>
      <c r="DH3" s="828"/>
      <c r="DI3" s="828"/>
      <c r="DJ3" s="828"/>
      <c r="DK3" s="828"/>
      <c r="DL3" s="828"/>
      <c r="DM3" s="828"/>
      <c r="DN3" s="828"/>
      <c r="DO3" s="828"/>
      <c r="DP3" s="828"/>
      <c r="DQ3" s="828"/>
      <c r="DR3" s="828"/>
      <c r="DS3" s="828"/>
      <c r="DT3" s="828"/>
      <c r="DU3" s="828"/>
      <c r="DV3" s="828"/>
      <c r="DW3" s="828"/>
      <c r="DX3" s="828"/>
      <c r="DY3" s="828"/>
      <c r="DZ3" s="828"/>
      <c r="EA3" s="828"/>
      <c r="EB3" s="828"/>
      <c r="EC3" s="828"/>
      <c r="ED3" s="828"/>
      <c r="EE3" s="828"/>
      <c r="EF3" s="828"/>
      <c r="EG3" s="828"/>
      <c r="EH3" s="828"/>
      <c r="EI3" s="828"/>
      <c r="EJ3" s="828"/>
      <c r="EK3" s="828"/>
      <c r="EL3" s="828"/>
      <c r="EM3" s="828"/>
      <c r="EN3" s="828"/>
      <c r="EO3" s="828"/>
      <c r="EP3" s="828"/>
      <c r="EQ3" s="828"/>
      <c r="ER3" s="828"/>
      <c r="ES3" s="828"/>
      <c r="ET3" s="828"/>
      <c r="EU3" s="828"/>
      <c r="EV3" s="828"/>
      <c r="EW3" s="828"/>
      <c r="EX3" s="828"/>
      <c r="EY3" s="828"/>
    </row>
    <row r="4" spans="1:155" ht="12.75" customHeight="1">
      <c r="B4" s="1217"/>
      <c r="C4" s="1217"/>
      <c r="D4" s="1217"/>
      <c r="E4" s="1217"/>
      <c r="F4" s="1217"/>
      <c r="G4" s="1217"/>
      <c r="H4" s="1217"/>
    </row>
    <row r="5" spans="1:155" ht="14.25" customHeight="1">
      <c r="A5" s="812" t="s">
        <v>1329</v>
      </c>
      <c r="H5" s="23" t="s">
        <v>360</v>
      </c>
    </row>
    <row r="6" spans="1:155" s="3" customFormat="1" ht="15" customHeight="1">
      <c r="A6" s="1858" t="s">
        <v>0</v>
      </c>
      <c r="B6" s="1858" t="s">
        <v>1377</v>
      </c>
      <c r="C6" s="1981" t="s">
        <v>1336</v>
      </c>
      <c r="D6" s="1982"/>
      <c r="E6" s="1981" t="s">
        <v>1337</v>
      </c>
      <c r="F6" s="1983"/>
      <c r="G6" s="1981" t="s">
        <v>1715</v>
      </c>
      <c r="H6" s="1983"/>
    </row>
    <row r="7" spans="1:155" s="3" customFormat="1" ht="105">
      <c r="A7" s="1971"/>
      <c r="B7" s="1971"/>
      <c r="C7" s="822" t="s">
        <v>1353</v>
      </c>
      <c r="D7" s="822" t="s">
        <v>1354</v>
      </c>
      <c r="E7" s="822" t="s">
        <v>1353</v>
      </c>
      <c r="F7" s="822" t="s">
        <v>1354</v>
      </c>
      <c r="G7" s="822" t="s">
        <v>1353</v>
      </c>
      <c r="H7" s="822" t="s">
        <v>1354</v>
      </c>
    </row>
    <row r="8" spans="1:155" s="2" customFormat="1">
      <c r="A8" s="13">
        <v>1</v>
      </c>
      <c r="B8" s="13">
        <v>2</v>
      </c>
      <c r="C8" s="13">
        <v>3</v>
      </c>
      <c r="D8" s="13">
        <v>4</v>
      </c>
      <c r="E8" s="13">
        <v>5</v>
      </c>
      <c r="F8" s="13">
        <v>6</v>
      </c>
      <c r="G8" s="13">
        <v>7</v>
      </c>
      <c r="H8" s="13">
        <v>8</v>
      </c>
    </row>
    <row r="9" spans="1:155" s="41" customFormat="1">
      <c r="A9" s="60" t="s">
        <v>89</v>
      </c>
      <c r="B9" s="68" t="s">
        <v>1378</v>
      </c>
      <c r="C9" s="818"/>
      <c r="D9" s="818">
        <v>1095460.1892599999</v>
      </c>
      <c r="E9" s="818"/>
      <c r="F9" s="818">
        <v>1215556.9890000001</v>
      </c>
      <c r="G9" s="818"/>
      <c r="H9" s="818">
        <v>1258949.7462500001</v>
      </c>
    </row>
    <row r="10" spans="1:155" s="832" customFormat="1" ht="15" customHeight="1">
      <c r="A10" s="829" t="s">
        <v>91</v>
      </c>
      <c r="B10" s="830" t="s">
        <v>1379</v>
      </c>
      <c r="C10" s="818"/>
      <c r="D10" s="818">
        <v>137418.45000000001</v>
      </c>
      <c r="E10" s="831"/>
      <c r="F10" s="818">
        <v>152658.53257199997</v>
      </c>
      <c r="G10" s="831"/>
      <c r="H10" s="818">
        <v>166641.46862547597</v>
      </c>
    </row>
    <row r="11" spans="1:155" s="832" customFormat="1" ht="15" customHeight="1">
      <c r="A11" s="829" t="s">
        <v>93</v>
      </c>
      <c r="B11" s="833" t="s">
        <v>1380</v>
      </c>
      <c r="C11" s="818"/>
      <c r="D11" s="818"/>
      <c r="E11" s="834"/>
      <c r="F11" s="834"/>
      <c r="G11" s="834"/>
      <c r="H11" s="834"/>
    </row>
    <row r="12" spans="1:155" s="41" customFormat="1">
      <c r="A12" s="60" t="s">
        <v>95</v>
      </c>
      <c r="B12" s="70" t="s">
        <v>1381</v>
      </c>
      <c r="C12" s="818"/>
      <c r="D12" s="818">
        <v>21128.451640396102</v>
      </c>
      <c r="E12" s="835"/>
      <c r="F12" s="818">
        <v>22482.311282843799</v>
      </c>
      <c r="G12" s="1236"/>
      <c r="H12" s="818">
        <v>23984.719866451767</v>
      </c>
    </row>
    <row r="13" spans="1:155" s="41" customFormat="1">
      <c r="A13" s="60" t="s">
        <v>97</v>
      </c>
      <c r="B13" s="68" t="s">
        <v>1382</v>
      </c>
      <c r="C13" s="818"/>
      <c r="D13" s="818"/>
      <c r="E13" s="835"/>
      <c r="F13" s="818"/>
      <c r="G13" s="835"/>
      <c r="H13" s="818"/>
    </row>
    <row r="14" spans="1:155" s="810" customFormat="1" ht="14.25">
      <c r="A14" s="82" t="s">
        <v>582</v>
      </c>
      <c r="B14" s="808" t="s">
        <v>770</v>
      </c>
      <c r="C14" s="836">
        <f>SUM(C9:C13)</f>
        <v>0</v>
      </c>
      <c r="D14" s="836">
        <f t="shared" ref="D14:H14" si="0">SUM(D9:D13)</f>
        <v>1254007.090900396</v>
      </c>
      <c r="E14" s="836">
        <f t="shared" si="0"/>
        <v>0</v>
      </c>
      <c r="F14" s="836">
        <f t="shared" si="0"/>
        <v>1390697.8328548439</v>
      </c>
      <c r="G14" s="836">
        <f t="shared" si="0"/>
        <v>0</v>
      </c>
      <c r="H14" s="836">
        <f t="shared" si="0"/>
        <v>1449575.9347419278</v>
      </c>
    </row>
    <row r="16" spans="1:155" s="26" customFormat="1">
      <c r="A16" s="26" t="s">
        <v>88</v>
      </c>
    </row>
    <row r="17" spans="1:153" s="1219" customFormat="1">
      <c r="A17" s="1220" t="s">
        <v>89</v>
      </c>
      <c r="B17" s="1984" t="s">
        <v>1346</v>
      </c>
      <c r="C17" s="1985"/>
      <c r="D17" s="1985"/>
      <c r="E17" s="1985"/>
      <c r="F17" s="1985"/>
      <c r="G17" s="1985"/>
      <c r="H17" s="1985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1220"/>
      <c r="ET17" s="1220"/>
      <c r="EU17" s="1220"/>
      <c r="EV17" s="1220"/>
      <c r="EW17" s="1220"/>
    </row>
    <row r="18" spans="1:153" s="1219" customFormat="1" ht="30" customHeight="1">
      <c r="A18" s="1220" t="s">
        <v>91</v>
      </c>
      <c r="B18" s="1972" t="s">
        <v>1383</v>
      </c>
      <c r="C18" s="1973"/>
      <c r="D18" s="1973"/>
      <c r="E18" s="1973"/>
      <c r="F18" s="1973"/>
      <c r="G18" s="1973"/>
      <c r="H18" s="1973"/>
      <c r="I18" s="1220"/>
      <c r="J18" s="1220"/>
      <c r="K18" s="1220"/>
      <c r="L18" s="1220"/>
      <c r="M18" s="1220"/>
      <c r="N18" s="1220"/>
      <c r="O18" s="1220"/>
      <c r="P18" s="1220"/>
      <c r="Q18" s="1220"/>
      <c r="R18" s="1220"/>
      <c r="S18" s="1220"/>
      <c r="T18" s="1220"/>
      <c r="U18" s="1220"/>
      <c r="V18" s="1220"/>
      <c r="W18" s="1220"/>
      <c r="X18" s="1220"/>
      <c r="Y18" s="1220"/>
      <c r="Z18" s="1220"/>
      <c r="AA18" s="1220"/>
      <c r="AB18" s="1220"/>
      <c r="AC18" s="1220"/>
      <c r="AD18" s="1220"/>
      <c r="AE18" s="1220"/>
      <c r="AF18" s="1220"/>
      <c r="AG18" s="1220"/>
      <c r="AH18" s="1220"/>
      <c r="AI18" s="1220"/>
      <c r="AJ18" s="1220"/>
      <c r="AK18" s="1220"/>
      <c r="AL18" s="1220"/>
      <c r="AM18" s="1220"/>
      <c r="AN18" s="1220"/>
      <c r="AO18" s="1220"/>
      <c r="AP18" s="1220"/>
      <c r="AQ18" s="1220"/>
      <c r="AR18" s="1220"/>
      <c r="AS18" s="1220"/>
      <c r="AT18" s="1220"/>
      <c r="AU18" s="1220"/>
      <c r="AV18" s="1220"/>
      <c r="AW18" s="1220"/>
      <c r="AX18" s="1220"/>
      <c r="AY18" s="1220"/>
      <c r="AZ18" s="1220"/>
      <c r="BA18" s="1220"/>
      <c r="BB18" s="1220"/>
      <c r="BC18" s="1220"/>
      <c r="BD18" s="1220"/>
      <c r="BE18" s="1220"/>
      <c r="BF18" s="1220"/>
      <c r="BG18" s="1220"/>
      <c r="BH18" s="1220"/>
      <c r="BI18" s="1220"/>
      <c r="BJ18" s="1220"/>
      <c r="BK18" s="1220"/>
      <c r="BL18" s="1220"/>
      <c r="BM18" s="1220"/>
      <c r="BN18" s="1220"/>
      <c r="BO18" s="1220"/>
      <c r="BP18" s="1220"/>
      <c r="BQ18" s="1220"/>
      <c r="BR18" s="1220"/>
      <c r="BS18" s="1220"/>
      <c r="BT18" s="1220"/>
      <c r="BU18" s="1220"/>
      <c r="BV18" s="1220"/>
      <c r="BW18" s="1220"/>
      <c r="BX18" s="1220"/>
      <c r="BY18" s="1220"/>
      <c r="BZ18" s="1220"/>
      <c r="CA18" s="1220"/>
      <c r="CB18" s="1220"/>
      <c r="CC18" s="1220"/>
      <c r="CD18" s="1220"/>
      <c r="CE18" s="1220"/>
      <c r="CF18" s="1220"/>
      <c r="CG18" s="1220"/>
      <c r="CH18" s="1220"/>
      <c r="CI18" s="1220"/>
      <c r="CJ18" s="1220"/>
      <c r="CK18" s="1220"/>
      <c r="CL18" s="1220"/>
      <c r="CM18" s="1220"/>
      <c r="CN18" s="1220"/>
      <c r="CO18" s="1220"/>
      <c r="CP18" s="1220"/>
      <c r="CQ18" s="1220"/>
      <c r="CR18" s="1220"/>
      <c r="CS18" s="1220"/>
      <c r="CT18" s="1220"/>
      <c r="CU18" s="1220"/>
      <c r="CV18" s="1220"/>
      <c r="CW18" s="1220"/>
      <c r="CX18" s="1220"/>
      <c r="CY18" s="1220"/>
      <c r="CZ18" s="1220"/>
      <c r="DA18" s="1220"/>
      <c r="DB18" s="1220"/>
      <c r="DC18" s="1220"/>
      <c r="DD18" s="1220"/>
      <c r="DE18" s="1220"/>
      <c r="DF18" s="1220"/>
      <c r="DG18" s="1220"/>
      <c r="DH18" s="1220"/>
      <c r="DI18" s="1220"/>
      <c r="DJ18" s="1220"/>
      <c r="DK18" s="1220"/>
      <c r="DL18" s="1220"/>
      <c r="DM18" s="1220"/>
      <c r="DN18" s="1220"/>
      <c r="DO18" s="1220"/>
      <c r="DP18" s="1220"/>
      <c r="DQ18" s="1220"/>
      <c r="DR18" s="1220"/>
      <c r="DS18" s="1220"/>
      <c r="DT18" s="1220"/>
      <c r="DU18" s="1220"/>
      <c r="DV18" s="1220"/>
      <c r="DW18" s="1220"/>
      <c r="DX18" s="1220"/>
      <c r="DY18" s="1220"/>
      <c r="DZ18" s="1220"/>
      <c r="EA18" s="1220"/>
      <c r="EB18" s="1220"/>
      <c r="EC18" s="1220"/>
      <c r="ED18" s="1220"/>
      <c r="EE18" s="1220"/>
      <c r="EF18" s="1220"/>
      <c r="EG18" s="1220"/>
      <c r="EH18" s="1220"/>
      <c r="EI18" s="1220"/>
      <c r="EJ18" s="1220"/>
      <c r="EK18" s="1220"/>
      <c r="EL18" s="1220"/>
      <c r="EM18" s="1220"/>
      <c r="EN18" s="1220"/>
      <c r="EO18" s="1220"/>
      <c r="EP18" s="1220"/>
      <c r="EQ18" s="1220"/>
      <c r="ER18" s="1220"/>
    </row>
    <row r="19" spans="1:153" ht="15.75" customHeight="1">
      <c r="A19" s="1220" t="s">
        <v>93</v>
      </c>
      <c r="B19" s="1984" t="s">
        <v>1384</v>
      </c>
      <c r="C19" s="1985"/>
      <c r="D19" s="1985"/>
      <c r="E19" s="1985"/>
      <c r="F19" s="1985"/>
      <c r="G19" s="1985"/>
      <c r="H19" s="1985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</row>
  </sheetData>
  <mergeCells count="9">
    <mergeCell ref="B17:H17"/>
    <mergeCell ref="B18:H18"/>
    <mergeCell ref="B19:H19"/>
    <mergeCell ref="A3:H3"/>
    <mergeCell ref="A6:A7"/>
    <mergeCell ref="B6:B7"/>
    <mergeCell ref="C6:D6"/>
    <mergeCell ref="E6:F6"/>
    <mergeCell ref="G6:H6"/>
  </mergeCells>
  <pageMargins left="0.78740157480314965" right="0.51181102362204722" top="0.59055118110236227" bottom="0.39370078740157483" header="0.19685039370078741" footer="0.19685039370078741"/>
  <pageSetup paperSize="9" scale="65" orientation="portrait" r:id="rId1"/>
  <headerFooter alignWithMargins="0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EY19"/>
  <sheetViews>
    <sheetView view="pageBreakPreview" zoomScaleNormal="100" workbookViewId="0">
      <pane ySplit="8" topLeftCell="A9" activePane="bottomLeft" state="frozen"/>
      <selection activeCell="C6" sqref="C6:H6"/>
      <selection pane="bottomLeft" activeCell="J9" sqref="J9"/>
    </sheetView>
  </sheetViews>
  <sheetFormatPr defaultColWidth="2.7109375" defaultRowHeight="15"/>
  <cols>
    <col min="1" max="1" width="6.5703125" style="1" customWidth="1"/>
    <col min="2" max="2" width="49" style="1" customWidth="1"/>
    <col min="3" max="8" width="13.7109375" style="1" customWidth="1"/>
    <col min="9" max="60" width="8.28515625" style="1" customWidth="1"/>
    <col min="61" max="16384" width="2.7109375" style="1"/>
  </cols>
  <sheetData>
    <row r="1" spans="1:155" s="5" customFormat="1" ht="18" customHeight="1">
      <c r="A1" s="74" t="s">
        <v>1860</v>
      </c>
      <c r="H1" s="6" t="s">
        <v>1375</v>
      </c>
    </row>
    <row r="2" spans="1:155" ht="12.75" customHeight="1">
      <c r="A2" s="1218" t="s">
        <v>1679</v>
      </c>
    </row>
    <row r="3" spans="1:155" ht="43.5" customHeight="1">
      <c r="A3" s="1980" t="s">
        <v>1376</v>
      </c>
      <c r="B3" s="1980"/>
      <c r="C3" s="1980"/>
      <c r="D3" s="1980"/>
      <c r="E3" s="1980"/>
      <c r="F3" s="1980"/>
      <c r="G3" s="1980"/>
      <c r="H3" s="1980"/>
      <c r="I3" s="828"/>
      <c r="J3" s="828"/>
      <c r="K3" s="828"/>
      <c r="L3" s="828"/>
      <c r="M3" s="828"/>
      <c r="N3" s="828"/>
      <c r="O3" s="828"/>
      <c r="P3" s="828"/>
      <c r="Q3" s="828"/>
      <c r="R3" s="828"/>
      <c r="S3" s="828"/>
      <c r="T3" s="828"/>
      <c r="U3" s="828"/>
      <c r="V3" s="828"/>
      <c r="W3" s="828"/>
      <c r="X3" s="828"/>
      <c r="Y3" s="828"/>
      <c r="Z3" s="828"/>
      <c r="AA3" s="828"/>
      <c r="AB3" s="828"/>
      <c r="AC3" s="828"/>
      <c r="AD3" s="828"/>
      <c r="AE3" s="828"/>
      <c r="AF3" s="828"/>
      <c r="AG3" s="828"/>
      <c r="AH3" s="828"/>
      <c r="AI3" s="828"/>
      <c r="AJ3" s="828"/>
      <c r="AK3" s="828"/>
      <c r="AL3" s="828"/>
      <c r="AM3" s="828"/>
      <c r="AN3" s="828"/>
      <c r="AO3" s="828"/>
      <c r="AP3" s="828"/>
      <c r="AQ3" s="828"/>
      <c r="AR3" s="828"/>
      <c r="AS3" s="828"/>
      <c r="AT3" s="828"/>
      <c r="AU3" s="828"/>
      <c r="AV3" s="828"/>
      <c r="AW3" s="828"/>
      <c r="AX3" s="828"/>
      <c r="AY3" s="828"/>
      <c r="AZ3" s="828"/>
      <c r="BA3" s="828"/>
      <c r="BB3" s="828"/>
      <c r="BC3" s="828"/>
      <c r="BD3" s="828"/>
      <c r="BE3" s="828"/>
      <c r="BF3" s="828"/>
      <c r="BG3" s="828"/>
      <c r="BH3" s="828"/>
      <c r="BI3" s="828"/>
      <c r="BJ3" s="828"/>
      <c r="BK3" s="828"/>
      <c r="BL3" s="828"/>
      <c r="BM3" s="828"/>
      <c r="BN3" s="828"/>
      <c r="BO3" s="828"/>
      <c r="BP3" s="828"/>
      <c r="BQ3" s="828"/>
      <c r="BR3" s="828"/>
      <c r="BS3" s="828"/>
      <c r="BT3" s="828"/>
      <c r="BU3" s="828"/>
      <c r="BV3" s="828"/>
      <c r="BW3" s="828"/>
      <c r="BX3" s="828"/>
      <c r="BY3" s="828"/>
      <c r="BZ3" s="828"/>
      <c r="CA3" s="828"/>
      <c r="CB3" s="828"/>
      <c r="CC3" s="828"/>
      <c r="CD3" s="828"/>
      <c r="CE3" s="828"/>
      <c r="CF3" s="828"/>
      <c r="CG3" s="828"/>
      <c r="CH3" s="828"/>
      <c r="CI3" s="828"/>
      <c r="CJ3" s="828"/>
      <c r="CK3" s="828"/>
      <c r="CL3" s="828"/>
      <c r="CM3" s="828"/>
      <c r="CN3" s="828"/>
      <c r="CO3" s="828"/>
      <c r="CP3" s="828"/>
      <c r="CQ3" s="828"/>
      <c r="CR3" s="828"/>
      <c r="CS3" s="828"/>
      <c r="CT3" s="828"/>
      <c r="CU3" s="828"/>
      <c r="CV3" s="828"/>
      <c r="CW3" s="828"/>
      <c r="CX3" s="828"/>
      <c r="CY3" s="828"/>
      <c r="CZ3" s="828"/>
      <c r="DA3" s="828"/>
      <c r="DB3" s="828"/>
      <c r="DC3" s="828"/>
      <c r="DD3" s="828"/>
      <c r="DE3" s="828"/>
      <c r="DF3" s="828"/>
      <c r="DG3" s="828"/>
      <c r="DH3" s="828"/>
      <c r="DI3" s="828"/>
      <c r="DJ3" s="828"/>
      <c r="DK3" s="828"/>
      <c r="DL3" s="828"/>
      <c r="DM3" s="828"/>
      <c r="DN3" s="828"/>
      <c r="DO3" s="828"/>
      <c r="DP3" s="828"/>
      <c r="DQ3" s="828"/>
      <c r="DR3" s="828"/>
      <c r="DS3" s="828"/>
      <c r="DT3" s="828"/>
      <c r="DU3" s="828"/>
      <c r="DV3" s="828"/>
      <c r="DW3" s="828"/>
      <c r="DX3" s="828"/>
      <c r="DY3" s="828"/>
      <c r="DZ3" s="828"/>
      <c r="EA3" s="828"/>
      <c r="EB3" s="828"/>
      <c r="EC3" s="828"/>
      <c r="ED3" s="828"/>
      <c r="EE3" s="828"/>
      <c r="EF3" s="828"/>
      <c r="EG3" s="828"/>
      <c r="EH3" s="828"/>
      <c r="EI3" s="828"/>
      <c r="EJ3" s="828"/>
      <c r="EK3" s="828"/>
      <c r="EL3" s="828"/>
      <c r="EM3" s="828"/>
      <c r="EN3" s="828"/>
      <c r="EO3" s="828"/>
      <c r="EP3" s="828"/>
      <c r="EQ3" s="828"/>
      <c r="ER3" s="828"/>
      <c r="ES3" s="828"/>
      <c r="ET3" s="828"/>
      <c r="EU3" s="828"/>
      <c r="EV3" s="828"/>
      <c r="EW3" s="828"/>
      <c r="EX3" s="828"/>
      <c r="EY3" s="828"/>
    </row>
    <row r="4" spans="1:155" ht="12.75" customHeight="1">
      <c r="B4" s="1217"/>
      <c r="C4" s="1217"/>
      <c r="D4" s="1217"/>
      <c r="E4" s="1217"/>
      <c r="F4" s="1217"/>
      <c r="G4" s="1217"/>
      <c r="H4" s="1217"/>
    </row>
    <row r="5" spans="1:155" ht="14.25" customHeight="1">
      <c r="A5" s="812" t="s">
        <v>1330</v>
      </c>
      <c r="H5" s="23" t="s">
        <v>360</v>
      </c>
    </row>
    <row r="6" spans="1:155" s="3" customFormat="1" ht="15" customHeight="1">
      <c r="A6" s="1858" t="s">
        <v>0</v>
      </c>
      <c r="B6" s="1858" t="s">
        <v>1377</v>
      </c>
      <c r="C6" s="1981" t="s">
        <v>1336</v>
      </c>
      <c r="D6" s="1982"/>
      <c r="E6" s="1981" t="s">
        <v>1337</v>
      </c>
      <c r="F6" s="1983"/>
      <c r="G6" s="1981" t="s">
        <v>1715</v>
      </c>
      <c r="H6" s="1983"/>
    </row>
    <row r="7" spans="1:155" s="3" customFormat="1" ht="105">
      <c r="A7" s="1971"/>
      <c r="B7" s="1971"/>
      <c r="C7" s="822" t="s">
        <v>1353</v>
      </c>
      <c r="D7" s="822" t="s">
        <v>1354</v>
      </c>
      <c r="E7" s="822" t="s">
        <v>1353</v>
      </c>
      <c r="F7" s="822" t="s">
        <v>1354</v>
      </c>
      <c r="G7" s="822" t="s">
        <v>1353</v>
      </c>
      <c r="H7" s="822" t="s">
        <v>1354</v>
      </c>
    </row>
    <row r="8" spans="1:155" s="2" customFormat="1">
      <c r="A8" s="13">
        <v>1</v>
      </c>
      <c r="B8" s="13">
        <v>2</v>
      </c>
      <c r="C8" s="13">
        <v>3</v>
      </c>
      <c r="D8" s="13">
        <v>4</v>
      </c>
      <c r="E8" s="13">
        <v>5</v>
      </c>
      <c r="F8" s="13">
        <v>6</v>
      </c>
      <c r="G8" s="13">
        <v>7</v>
      </c>
      <c r="H8" s="13">
        <v>8</v>
      </c>
    </row>
    <row r="9" spans="1:155" s="41" customFormat="1">
      <c r="A9" s="60" t="s">
        <v>89</v>
      </c>
      <c r="B9" s="68" t="s">
        <v>1378</v>
      </c>
      <c r="C9" s="818"/>
      <c r="D9" s="818"/>
      <c r="E9" s="818"/>
      <c r="F9" s="818"/>
      <c r="G9" s="818"/>
      <c r="H9" s="818"/>
    </row>
    <row r="10" spans="1:155" s="832" customFormat="1" ht="15" customHeight="1">
      <c r="A10" s="829" t="s">
        <v>91</v>
      </c>
      <c r="B10" s="830" t="s">
        <v>1379</v>
      </c>
      <c r="C10" s="818"/>
      <c r="D10" s="818">
        <v>2890.1790000000001</v>
      </c>
      <c r="E10" s="831"/>
      <c r="F10" s="818">
        <v>2992.4639999999999</v>
      </c>
      <c r="G10" s="831"/>
      <c r="H10" s="818">
        <v>3262.9079339999994</v>
      </c>
    </row>
    <row r="11" spans="1:155" s="832" customFormat="1" ht="15" customHeight="1">
      <c r="A11" s="829" t="s">
        <v>93</v>
      </c>
      <c r="B11" s="833" t="s">
        <v>1380</v>
      </c>
      <c r="C11" s="818"/>
      <c r="D11" s="818"/>
      <c r="E11" s="834"/>
      <c r="F11" s="834"/>
      <c r="G11" s="834"/>
      <c r="H11" s="834"/>
    </row>
    <row r="12" spans="1:155" s="41" customFormat="1">
      <c r="A12" s="60" t="s">
        <v>95</v>
      </c>
      <c r="B12" s="70" t="s">
        <v>1381</v>
      </c>
      <c r="C12" s="818"/>
      <c r="D12" s="818">
        <v>3576.3521942704524</v>
      </c>
      <c r="E12" s="835"/>
      <c r="F12" s="818">
        <v>3749.4006070179998</v>
      </c>
      <c r="G12" s="835"/>
      <c r="H12" s="818">
        <v>4023.2414719058097</v>
      </c>
    </row>
    <row r="13" spans="1:155" s="41" customFormat="1">
      <c r="A13" s="60" t="s">
        <v>97</v>
      </c>
      <c r="B13" s="68" t="s">
        <v>1382</v>
      </c>
      <c r="C13" s="818"/>
      <c r="D13" s="818"/>
      <c r="E13" s="835"/>
      <c r="F13" s="834"/>
      <c r="G13" s="835"/>
      <c r="H13" s="834"/>
    </row>
    <row r="14" spans="1:155" s="810" customFormat="1" ht="14.25">
      <c r="A14" s="82" t="s">
        <v>582</v>
      </c>
      <c r="B14" s="808" t="s">
        <v>770</v>
      </c>
      <c r="C14" s="836">
        <f>SUM(C9:C13)</f>
        <v>0</v>
      </c>
      <c r="D14" s="836">
        <f t="shared" ref="D14:H14" si="0">SUM(D9:D13)</f>
        <v>6466.531194270452</v>
      </c>
      <c r="E14" s="836">
        <f t="shared" si="0"/>
        <v>0</v>
      </c>
      <c r="F14" s="836">
        <f t="shared" si="0"/>
        <v>6741.8646070180002</v>
      </c>
      <c r="G14" s="836">
        <f t="shared" si="0"/>
        <v>0</v>
      </c>
      <c r="H14" s="836">
        <f t="shared" si="0"/>
        <v>7286.1494059058095</v>
      </c>
    </row>
    <row r="16" spans="1:155" s="26" customFormat="1">
      <c r="A16" s="26" t="s">
        <v>88</v>
      </c>
    </row>
    <row r="17" spans="1:153" s="1219" customFormat="1">
      <c r="A17" s="1220" t="s">
        <v>89</v>
      </c>
      <c r="B17" s="1984" t="s">
        <v>1346</v>
      </c>
      <c r="C17" s="1985"/>
      <c r="D17" s="1985"/>
      <c r="E17" s="1985"/>
      <c r="F17" s="1985"/>
      <c r="G17" s="1985"/>
      <c r="H17" s="1985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1220"/>
      <c r="ET17" s="1220"/>
      <c r="EU17" s="1220"/>
      <c r="EV17" s="1220"/>
      <c r="EW17" s="1220"/>
    </row>
    <row r="18" spans="1:153" s="1219" customFormat="1" ht="30" customHeight="1">
      <c r="A18" s="1220" t="s">
        <v>91</v>
      </c>
      <c r="B18" s="1972" t="s">
        <v>1383</v>
      </c>
      <c r="C18" s="1973"/>
      <c r="D18" s="1973"/>
      <c r="E18" s="1973"/>
      <c r="F18" s="1973"/>
      <c r="G18" s="1973"/>
      <c r="H18" s="1973"/>
      <c r="I18" s="1220"/>
      <c r="J18" s="1220"/>
      <c r="K18" s="1220"/>
      <c r="L18" s="1220"/>
      <c r="M18" s="1220"/>
      <c r="N18" s="1220"/>
      <c r="O18" s="1220"/>
      <c r="P18" s="1220"/>
      <c r="Q18" s="1220"/>
      <c r="R18" s="1220"/>
      <c r="S18" s="1220"/>
      <c r="T18" s="1220"/>
      <c r="U18" s="1220"/>
      <c r="V18" s="1220"/>
      <c r="W18" s="1220"/>
      <c r="X18" s="1220"/>
      <c r="Y18" s="1220"/>
      <c r="Z18" s="1220"/>
      <c r="AA18" s="1220"/>
      <c r="AB18" s="1220"/>
      <c r="AC18" s="1220"/>
      <c r="AD18" s="1220"/>
      <c r="AE18" s="1220"/>
      <c r="AF18" s="1220"/>
      <c r="AG18" s="1220"/>
      <c r="AH18" s="1220"/>
      <c r="AI18" s="1220"/>
      <c r="AJ18" s="1220"/>
      <c r="AK18" s="1220"/>
      <c r="AL18" s="1220"/>
      <c r="AM18" s="1220"/>
      <c r="AN18" s="1220"/>
      <c r="AO18" s="1220"/>
      <c r="AP18" s="1220"/>
      <c r="AQ18" s="1220"/>
      <c r="AR18" s="1220"/>
      <c r="AS18" s="1220"/>
      <c r="AT18" s="1220"/>
      <c r="AU18" s="1220"/>
      <c r="AV18" s="1220"/>
      <c r="AW18" s="1220"/>
      <c r="AX18" s="1220"/>
      <c r="AY18" s="1220"/>
      <c r="AZ18" s="1220"/>
      <c r="BA18" s="1220"/>
      <c r="BB18" s="1220"/>
      <c r="BC18" s="1220"/>
      <c r="BD18" s="1220"/>
      <c r="BE18" s="1220"/>
      <c r="BF18" s="1220"/>
      <c r="BG18" s="1220"/>
      <c r="BH18" s="1220"/>
      <c r="BI18" s="1220"/>
      <c r="BJ18" s="1220"/>
      <c r="BK18" s="1220"/>
      <c r="BL18" s="1220"/>
      <c r="BM18" s="1220"/>
      <c r="BN18" s="1220"/>
      <c r="BO18" s="1220"/>
      <c r="BP18" s="1220"/>
      <c r="BQ18" s="1220"/>
      <c r="BR18" s="1220"/>
      <c r="BS18" s="1220"/>
      <c r="BT18" s="1220"/>
      <c r="BU18" s="1220"/>
      <c r="BV18" s="1220"/>
      <c r="BW18" s="1220"/>
      <c r="BX18" s="1220"/>
      <c r="BY18" s="1220"/>
      <c r="BZ18" s="1220"/>
      <c r="CA18" s="1220"/>
      <c r="CB18" s="1220"/>
      <c r="CC18" s="1220"/>
      <c r="CD18" s="1220"/>
      <c r="CE18" s="1220"/>
      <c r="CF18" s="1220"/>
      <c r="CG18" s="1220"/>
      <c r="CH18" s="1220"/>
      <c r="CI18" s="1220"/>
      <c r="CJ18" s="1220"/>
      <c r="CK18" s="1220"/>
      <c r="CL18" s="1220"/>
      <c r="CM18" s="1220"/>
      <c r="CN18" s="1220"/>
      <c r="CO18" s="1220"/>
      <c r="CP18" s="1220"/>
      <c r="CQ18" s="1220"/>
      <c r="CR18" s="1220"/>
      <c r="CS18" s="1220"/>
      <c r="CT18" s="1220"/>
      <c r="CU18" s="1220"/>
      <c r="CV18" s="1220"/>
      <c r="CW18" s="1220"/>
      <c r="CX18" s="1220"/>
      <c r="CY18" s="1220"/>
      <c r="CZ18" s="1220"/>
      <c r="DA18" s="1220"/>
      <c r="DB18" s="1220"/>
      <c r="DC18" s="1220"/>
      <c r="DD18" s="1220"/>
      <c r="DE18" s="1220"/>
      <c r="DF18" s="1220"/>
      <c r="DG18" s="1220"/>
      <c r="DH18" s="1220"/>
      <c r="DI18" s="1220"/>
      <c r="DJ18" s="1220"/>
      <c r="DK18" s="1220"/>
      <c r="DL18" s="1220"/>
      <c r="DM18" s="1220"/>
      <c r="DN18" s="1220"/>
      <c r="DO18" s="1220"/>
      <c r="DP18" s="1220"/>
      <c r="DQ18" s="1220"/>
      <c r="DR18" s="1220"/>
      <c r="DS18" s="1220"/>
      <c r="DT18" s="1220"/>
      <c r="DU18" s="1220"/>
      <c r="DV18" s="1220"/>
      <c r="DW18" s="1220"/>
      <c r="DX18" s="1220"/>
      <c r="DY18" s="1220"/>
      <c r="DZ18" s="1220"/>
      <c r="EA18" s="1220"/>
      <c r="EB18" s="1220"/>
      <c r="EC18" s="1220"/>
      <c r="ED18" s="1220"/>
      <c r="EE18" s="1220"/>
      <c r="EF18" s="1220"/>
      <c r="EG18" s="1220"/>
      <c r="EH18" s="1220"/>
      <c r="EI18" s="1220"/>
      <c r="EJ18" s="1220"/>
      <c r="EK18" s="1220"/>
      <c r="EL18" s="1220"/>
      <c r="EM18" s="1220"/>
      <c r="EN18" s="1220"/>
      <c r="EO18" s="1220"/>
      <c r="EP18" s="1220"/>
      <c r="EQ18" s="1220"/>
      <c r="ER18" s="1220"/>
    </row>
    <row r="19" spans="1:153" ht="15.75" customHeight="1">
      <c r="A19" s="1220" t="s">
        <v>93</v>
      </c>
      <c r="B19" s="1984" t="s">
        <v>1384</v>
      </c>
      <c r="C19" s="1985"/>
      <c r="D19" s="1985"/>
      <c r="E19" s="1985"/>
      <c r="F19" s="1985"/>
      <c r="G19" s="1985"/>
      <c r="H19" s="1985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</row>
  </sheetData>
  <mergeCells count="9">
    <mergeCell ref="B17:H17"/>
    <mergeCell ref="B18:H18"/>
    <mergeCell ref="B19:H19"/>
    <mergeCell ref="A3:H3"/>
    <mergeCell ref="A6:A7"/>
    <mergeCell ref="B6:B7"/>
    <mergeCell ref="C6:D6"/>
    <mergeCell ref="E6:F6"/>
    <mergeCell ref="G6:H6"/>
  </mergeCells>
  <pageMargins left="0.78740157480314965" right="0.51181102362204722" top="0.59055118110236227" bottom="0.39370078740157483" header="0.19685039370078741" footer="0.19685039370078741"/>
  <pageSetup paperSize="9" scale="65" orientation="portrait" r:id="rId1"/>
  <headerFooter alignWithMargins="0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EY21"/>
  <sheetViews>
    <sheetView view="pageBreakPreview" zoomScaleNormal="100" workbookViewId="0">
      <pane ySplit="8" topLeftCell="A9" activePane="bottomLeft" state="frozen"/>
      <selection activeCell="C6" sqref="C6:H6"/>
      <selection pane="bottomLeft" activeCell="K18" sqref="K18"/>
    </sheetView>
  </sheetViews>
  <sheetFormatPr defaultColWidth="2.7109375" defaultRowHeight="15"/>
  <cols>
    <col min="1" max="1" width="6.5703125" style="1" customWidth="1"/>
    <col min="2" max="2" width="49" style="1" customWidth="1"/>
    <col min="3" max="8" width="13.7109375" style="1" customWidth="1"/>
    <col min="9" max="60" width="8.28515625" style="1" customWidth="1"/>
    <col min="61" max="16384" width="2.7109375" style="1"/>
  </cols>
  <sheetData>
    <row r="1" spans="1:155" s="5" customFormat="1" ht="18" customHeight="1">
      <c r="A1" s="74" t="s">
        <v>1860</v>
      </c>
      <c r="H1" s="6" t="s">
        <v>1375</v>
      </c>
    </row>
    <row r="2" spans="1:155" ht="12.75" customHeight="1">
      <c r="A2" s="1244" t="s">
        <v>1681</v>
      </c>
    </row>
    <row r="3" spans="1:155" ht="43.5" customHeight="1">
      <c r="A3" s="1980" t="s">
        <v>1376</v>
      </c>
      <c r="B3" s="1980"/>
      <c r="C3" s="1980"/>
      <c r="D3" s="1980"/>
      <c r="E3" s="1980"/>
      <c r="F3" s="1980"/>
      <c r="G3" s="1980"/>
      <c r="H3" s="1980"/>
      <c r="I3" s="828"/>
      <c r="J3" s="828"/>
      <c r="K3" s="828"/>
      <c r="L3" s="828"/>
      <c r="M3" s="828"/>
      <c r="N3" s="828"/>
      <c r="O3" s="828"/>
      <c r="P3" s="828"/>
      <c r="Q3" s="828"/>
      <c r="R3" s="828"/>
      <c r="S3" s="828"/>
      <c r="T3" s="828"/>
      <c r="U3" s="828"/>
      <c r="V3" s="828"/>
      <c r="W3" s="828"/>
      <c r="X3" s="828"/>
      <c r="Y3" s="828"/>
      <c r="Z3" s="828"/>
      <c r="AA3" s="828"/>
      <c r="AB3" s="828"/>
      <c r="AC3" s="828"/>
      <c r="AD3" s="828"/>
      <c r="AE3" s="828"/>
      <c r="AF3" s="828"/>
      <c r="AG3" s="828"/>
      <c r="AH3" s="828"/>
      <c r="AI3" s="828"/>
      <c r="AJ3" s="828"/>
      <c r="AK3" s="828"/>
      <c r="AL3" s="828"/>
      <c r="AM3" s="828"/>
      <c r="AN3" s="828"/>
      <c r="AO3" s="828"/>
      <c r="AP3" s="828"/>
      <c r="AQ3" s="828"/>
      <c r="AR3" s="828"/>
      <c r="AS3" s="828"/>
      <c r="AT3" s="828"/>
      <c r="AU3" s="828"/>
      <c r="AV3" s="828"/>
      <c r="AW3" s="828"/>
      <c r="AX3" s="828"/>
      <c r="AY3" s="828"/>
      <c r="AZ3" s="828"/>
      <c r="BA3" s="828"/>
      <c r="BB3" s="828"/>
      <c r="BC3" s="828"/>
      <c r="BD3" s="828"/>
      <c r="BE3" s="828"/>
      <c r="BF3" s="828"/>
      <c r="BG3" s="828"/>
      <c r="BH3" s="828"/>
      <c r="BI3" s="828"/>
      <c r="BJ3" s="828"/>
      <c r="BK3" s="828"/>
      <c r="BL3" s="828"/>
      <c r="BM3" s="828"/>
      <c r="BN3" s="828"/>
      <c r="BO3" s="828"/>
      <c r="BP3" s="828"/>
      <c r="BQ3" s="828"/>
      <c r="BR3" s="828"/>
      <c r="BS3" s="828"/>
      <c r="BT3" s="828"/>
      <c r="BU3" s="828"/>
      <c r="BV3" s="828"/>
      <c r="BW3" s="828"/>
      <c r="BX3" s="828"/>
      <c r="BY3" s="828"/>
      <c r="BZ3" s="828"/>
      <c r="CA3" s="828"/>
      <c r="CB3" s="828"/>
      <c r="CC3" s="828"/>
      <c r="CD3" s="828"/>
      <c r="CE3" s="828"/>
      <c r="CF3" s="828"/>
      <c r="CG3" s="828"/>
      <c r="CH3" s="828"/>
      <c r="CI3" s="828"/>
      <c r="CJ3" s="828"/>
      <c r="CK3" s="828"/>
      <c r="CL3" s="828"/>
      <c r="CM3" s="828"/>
      <c r="CN3" s="828"/>
      <c r="CO3" s="828"/>
      <c r="CP3" s="828"/>
      <c r="CQ3" s="828"/>
      <c r="CR3" s="828"/>
      <c r="CS3" s="828"/>
      <c r="CT3" s="828"/>
      <c r="CU3" s="828"/>
      <c r="CV3" s="828"/>
      <c r="CW3" s="828"/>
      <c r="CX3" s="828"/>
      <c r="CY3" s="828"/>
      <c r="CZ3" s="828"/>
      <c r="DA3" s="828"/>
      <c r="DB3" s="828"/>
      <c r="DC3" s="828"/>
      <c r="DD3" s="828"/>
      <c r="DE3" s="828"/>
      <c r="DF3" s="828"/>
      <c r="DG3" s="828"/>
      <c r="DH3" s="828"/>
      <c r="DI3" s="828"/>
      <c r="DJ3" s="828"/>
      <c r="DK3" s="828"/>
      <c r="DL3" s="828"/>
      <c r="DM3" s="828"/>
      <c r="DN3" s="828"/>
      <c r="DO3" s="828"/>
      <c r="DP3" s="828"/>
      <c r="DQ3" s="828"/>
      <c r="DR3" s="828"/>
      <c r="DS3" s="828"/>
      <c r="DT3" s="828"/>
      <c r="DU3" s="828"/>
      <c r="DV3" s="828"/>
      <c r="DW3" s="828"/>
      <c r="DX3" s="828"/>
      <c r="DY3" s="828"/>
      <c r="DZ3" s="828"/>
      <c r="EA3" s="828"/>
      <c r="EB3" s="828"/>
      <c r="EC3" s="828"/>
      <c r="ED3" s="828"/>
      <c r="EE3" s="828"/>
      <c r="EF3" s="828"/>
      <c r="EG3" s="828"/>
      <c r="EH3" s="828"/>
      <c r="EI3" s="828"/>
      <c r="EJ3" s="828"/>
      <c r="EK3" s="828"/>
      <c r="EL3" s="828"/>
      <c r="EM3" s="828"/>
      <c r="EN3" s="828"/>
      <c r="EO3" s="828"/>
      <c r="EP3" s="828"/>
      <c r="EQ3" s="828"/>
      <c r="ER3" s="828"/>
      <c r="ES3" s="828"/>
      <c r="ET3" s="828"/>
      <c r="EU3" s="828"/>
      <c r="EV3" s="828"/>
      <c r="EW3" s="828"/>
      <c r="EX3" s="828"/>
      <c r="EY3" s="828"/>
    </row>
    <row r="4" spans="1:155" ht="12.75" customHeight="1">
      <c r="B4" s="1243"/>
      <c r="C4" s="1243"/>
      <c r="D4" s="1243"/>
      <c r="E4" s="1243"/>
      <c r="F4" s="1243"/>
      <c r="G4" s="1243"/>
      <c r="H4" s="1243"/>
    </row>
    <row r="5" spans="1:155" ht="14.25" customHeight="1">
      <c r="H5" s="23" t="s">
        <v>360</v>
      </c>
    </row>
    <row r="6" spans="1:155" s="3" customFormat="1" ht="15" customHeight="1">
      <c r="A6" s="1858" t="s">
        <v>0</v>
      </c>
      <c r="B6" s="1858" t="s">
        <v>1377</v>
      </c>
      <c r="C6" s="1981" t="s">
        <v>1336</v>
      </c>
      <c r="D6" s="1982"/>
      <c r="E6" s="1981" t="s">
        <v>1337</v>
      </c>
      <c r="F6" s="1983"/>
      <c r="G6" s="1981" t="s">
        <v>1715</v>
      </c>
      <c r="H6" s="1983"/>
    </row>
    <row r="7" spans="1:155" s="3" customFormat="1" ht="105">
      <c r="A7" s="1971"/>
      <c r="B7" s="1971"/>
      <c r="C7" s="822" t="s">
        <v>1353</v>
      </c>
      <c r="D7" s="822" t="s">
        <v>1354</v>
      </c>
      <c r="E7" s="822" t="s">
        <v>1353</v>
      </c>
      <c r="F7" s="822" t="s">
        <v>1354</v>
      </c>
      <c r="G7" s="822" t="s">
        <v>1353</v>
      </c>
      <c r="H7" s="822" t="s">
        <v>1354</v>
      </c>
    </row>
    <row r="8" spans="1:155" s="2" customFormat="1">
      <c r="A8" s="13">
        <v>1</v>
      </c>
      <c r="B8" s="13">
        <v>2</v>
      </c>
      <c r="C8" s="13">
        <v>3</v>
      </c>
      <c r="D8" s="13">
        <v>4</v>
      </c>
      <c r="E8" s="13">
        <v>5</v>
      </c>
      <c r="F8" s="13">
        <v>6</v>
      </c>
      <c r="G8" s="13">
        <v>7</v>
      </c>
      <c r="H8" s="13">
        <v>8</v>
      </c>
    </row>
    <row r="9" spans="1:155" s="41" customFormat="1">
      <c r="A9" s="60" t="s">
        <v>89</v>
      </c>
      <c r="B9" s="68" t="s">
        <v>1378</v>
      </c>
      <c r="C9" s="818"/>
      <c r="D9" s="818">
        <v>2017682.1726247889</v>
      </c>
      <c r="E9" s="818"/>
      <c r="F9" s="818">
        <v>2156455.0063246526</v>
      </c>
      <c r="G9" s="818"/>
      <c r="H9" s="818">
        <v>2228781.2178481589</v>
      </c>
    </row>
    <row r="10" spans="1:155" s="832" customFormat="1" ht="15" customHeight="1">
      <c r="A10" s="829" t="s">
        <v>91</v>
      </c>
      <c r="B10" s="830" t="s">
        <v>1379</v>
      </c>
      <c r="C10" s="818"/>
      <c r="D10" s="818">
        <v>266264.48806626</v>
      </c>
      <c r="E10" s="831"/>
      <c r="F10" s="818">
        <v>293313.18624515599</v>
      </c>
      <c r="G10" s="831"/>
      <c r="H10" s="818">
        <v>320165.33586415887</v>
      </c>
    </row>
    <row r="11" spans="1:155" s="832" customFormat="1" ht="15" customHeight="1">
      <c r="A11" s="829" t="s">
        <v>93</v>
      </c>
      <c r="B11" s="833" t="s">
        <v>1380</v>
      </c>
      <c r="C11" s="818"/>
      <c r="D11" s="818"/>
      <c r="E11" s="834"/>
      <c r="F11" s="834"/>
      <c r="G11" s="834"/>
      <c r="H11" s="834"/>
    </row>
    <row r="12" spans="1:155" s="41" customFormat="1">
      <c r="A12" s="60" t="s">
        <v>95</v>
      </c>
      <c r="B12" s="70" t="s">
        <v>1381</v>
      </c>
      <c r="C12" s="818"/>
      <c r="D12" s="818">
        <v>42668.231594666555</v>
      </c>
      <c r="E12" s="835"/>
      <c r="F12" s="818">
        <v>44600.535224461797</v>
      </c>
      <c r="G12" s="835"/>
      <c r="H12" s="818">
        <v>47660.222090654577</v>
      </c>
    </row>
    <row r="13" spans="1:155" s="41" customFormat="1">
      <c r="A13" s="60" t="s">
        <v>97</v>
      </c>
      <c r="B13" s="68" t="s">
        <v>447</v>
      </c>
      <c r="C13" s="818"/>
      <c r="D13" s="818"/>
      <c r="E13" s="835"/>
      <c r="F13" s="834"/>
      <c r="G13" s="834"/>
      <c r="H13" s="834"/>
    </row>
    <row r="14" spans="1:155" s="810" customFormat="1" ht="14.25">
      <c r="A14" s="82" t="s">
        <v>582</v>
      </c>
      <c r="B14" s="808" t="s">
        <v>770</v>
      </c>
      <c r="C14" s="836">
        <f>SUM(C9:C13)</f>
        <v>0</v>
      </c>
      <c r="D14" s="836">
        <f t="shared" ref="D14:H14" si="0">SUM(D9:D13)</f>
        <v>2326614.8922857153</v>
      </c>
      <c r="E14" s="836">
        <f t="shared" si="0"/>
        <v>0</v>
      </c>
      <c r="F14" s="836">
        <f t="shared" si="0"/>
        <v>2494368.7277942705</v>
      </c>
      <c r="G14" s="836">
        <f t="shared" si="0"/>
        <v>0</v>
      </c>
      <c r="H14" s="836">
        <f t="shared" si="0"/>
        <v>2596606.7758029723</v>
      </c>
    </row>
    <row r="16" spans="1:155">
      <c r="F16" s="1445">
        <f>'5.4_КТЭЦ'!F14+'5.4_котельные'!F14</f>
        <v>2494368.7277942705</v>
      </c>
      <c r="H16" s="1445">
        <f>'5.4_КТЭЦ'!H14+'5.4_котельные'!H14</f>
        <v>2596606.7758029723</v>
      </c>
    </row>
    <row r="17" spans="1:153">
      <c r="F17" s="1445">
        <f>'5.4_КТЭЦ+котельн_пр'!F14+'5.4_КТЭЦ+котельн_пер'!F14</f>
        <v>2494368.72779427</v>
      </c>
      <c r="H17" s="1445">
        <f>'5.4_КТЭЦ+котельн_пр'!H14+'5.4_КТЭЦ+котельн_пер'!H14</f>
        <v>2596606.7758029723</v>
      </c>
    </row>
    <row r="18" spans="1:153" s="26" customFormat="1">
      <c r="A18" s="26" t="s">
        <v>88</v>
      </c>
    </row>
    <row r="19" spans="1:153" s="1245" customFormat="1">
      <c r="A19" s="1246" t="s">
        <v>89</v>
      </c>
      <c r="B19" s="1984" t="s">
        <v>1346</v>
      </c>
      <c r="C19" s="1985"/>
      <c r="D19" s="1985"/>
      <c r="E19" s="1985"/>
      <c r="F19" s="1985"/>
      <c r="G19" s="1985"/>
      <c r="H19" s="1985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1246"/>
      <c r="ET19" s="1246"/>
      <c r="EU19" s="1246"/>
      <c r="EV19" s="1246"/>
      <c r="EW19" s="1246"/>
    </row>
    <row r="20" spans="1:153" s="1245" customFormat="1" ht="30" customHeight="1">
      <c r="A20" s="1246" t="s">
        <v>91</v>
      </c>
      <c r="B20" s="1972" t="s">
        <v>1383</v>
      </c>
      <c r="C20" s="1973"/>
      <c r="D20" s="1973"/>
      <c r="E20" s="1973"/>
      <c r="F20" s="1973"/>
      <c r="G20" s="1973"/>
      <c r="H20" s="1973"/>
      <c r="I20" s="1246"/>
      <c r="J20" s="1246"/>
      <c r="K20" s="1246"/>
      <c r="L20" s="1246"/>
      <c r="M20" s="1246"/>
      <c r="N20" s="1246"/>
      <c r="O20" s="1246"/>
      <c r="P20" s="1246"/>
      <c r="Q20" s="1246"/>
      <c r="R20" s="1246"/>
      <c r="S20" s="1246"/>
      <c r="T20" s="1246"/>
      <c r="U20" s="1246"/>
      <c r="V20" s="1246"/>
      <c r="W20" s="1246"/>
      <c r="X20" s="1246"/>
      <c r="Y20" s="1246"/>
      <c r="Z20" s="1246"/>
      <c r="AA20" s="1246"/>
      <c r="AB20" s="1246"/>
      <c r="AC20" s="1246"/>
      <c r="AD20" s="1246"/>
      <c r="AE20" s="1246"/>
      <c r="AF20" s="1246"/>
      <c r="AG20" s="1246"/>
      <c r="AH20" s="1246"/>
      <c r="AI20" s="1246"/>
      <c r="AJ20" s="1246"/>
      <c r="AK20" s="1246"/>
      <c r="AL20" s="1246"/>
      <c r="AM20" s="1246"/>
      <c r="AN20" s="1246"/>
      <c r="AO20" s="1246"/>
      <c r="AP20" s="1246"/>
      <c r="AQ20" s="1246"/>
      <c r="AR20" s="1246"/>
      <c r="AS20" s="1246"/>
      <c r="AT20" s="1246"/>
      <c r="AU20" s="1246"/>
      <c r="AV20" s="1246"/>
      <c r="AW20" s="1246"/>
      <c r="AX20" s="1246"/>
      <c r="AY20" s="1246"/>
      <c r="AZ20" s="1246"/>
      <c r="BA20" s="1246"/>
      <c r="BB20" s="1246"/>
      <c r="BC20" s="1246"/>
      <c r="BD20" s="1246"/>
      <c r="BE20" s="1246"/>
      <c r="BF20" s="1246"/>
      <c r="BG20" s="1246"/>
      <c r="BH20" s="1246"/>
      <c r="BI20" s="1246"/>
      <c r="BJ20" s="1246"/>
      <c r="BK20" s="1246"/>
      <c r="BL20" s="1246"/>
      <c r="BM20" s="1246"/>
      <c r="BN20" s="1246"/>
      <c r="BO20" s="1246"/>
      <c r="BP20" s="1246"/>
      <c r="BQ20" s="1246"/>
      <c r="BR20" s="1246"/>
      <c r="BS20" s="1246"/>
      <c r="BT20" s="1246"/>
      <c r="BU20" s="1246"/>
      <c r="BV20" s="1246"/>
      <c r="BW20" s="1246"/>
      <c r="BX20" s="1246"/>
      <c r="BY20" s="1246"/>
      <c r="BZ20" s="1246"/>
      <c r="CA20" s="1246"/>
      <c r="CB20" s="1246"/>
      <c r="CC20" s="1246"/>
      <c r="CD20" s="1246"/>
      <c r="CE20" s="1246"/>
      <c r="CF20" s="1246"/>
      <c r="CG20" s="1246"/>
      <c r="CH20" s="1246"/>
      <c r="CI20" s="1246"/>
      <c r="CJ20" s="1246"/>
      <c r="CK20" s="1246"/>
      <c r="CL20" s="1246"/>
      <c r="CM20" s="1246"/>
      <c r="CN20" s="1246"/>
      <c r="CO20" s="1246"/>
      <c r="CP20" s="1246"/>
      <c r="CQ20" s="1246"/>
      <c r="CR20" s="1246"/>
      <c r="CS20" s="1246"/>
      <c r="CT20" s="1246"/>
      <c r="CU20" s="1246"/>
      <c r="CV20" s="1246"/>
      <c r="CW20" s="1246"/>
      <c r="CX20" s="1246"/>
      <c r="CY20" s="1246"/>
      <c r="CZ20" s="1246"/>
      <c r="DA20" s="1246"/>
      <c r="DB20" s="1246"/>
      <c r="DC20" s="1246"/>
      <c r="DD20" s="1246"/>
      <c r="DE20" s="1246"/>
      <c r="DF20" s="1246"/>
      <c r="DG20" s="1246"/>
      <c r="DH20" s="1246"/>
      <c r="DI20" s="1246"/>
      <c r="DJ20" s="1246"/>
      <c r="DK20" s="1246"/>
      <c r="DL20" s="1246"/>
      <c r="DM20" s="1246"/>
      <c r="DN20" s="1246"/>
      <c r="DO20" s="1246"/>
      <c r="DP20" s="1246"/>
      <c r="DQ20" s="1246"/>
      <c r="DR20" s="1246"/>
      <c r="DS20" s="1246"/>
      <c r="DT20" s="1246"/>
      <c r="DU20" s="1246"/>
      <c r="DV20" s="1246"/>
      <c r="DW20" s="1246"/>
      <c r="DX20" s="1246"/>
      <c r="DY20" s="1246"/>
      <c r="DZ20" s="1246"/>
      <c r="EA20" s="1246"/>
      <c r="EB20" s="1246"/>
      <c r="EC20" s="1246"/>
      <c r="ED20" s="1246"/>
      <c r="EE20" s="1246"/>
      <c r="EF20" s="1246"/>
      <c r="EG20" s="1246"/>
      <c r="EH20" s="1246"/>
      <c r="EI20" s="1246"/>
      <c r="EJ20" s="1246"/>
      <c r="EK20" s="1246"/>
      <c r="EL20" s="1246"/>
      <c r="EM20" s="1246"/>
      <c r="EN20" s="1246"/>
      <c r="EO20" s="1246"/>
      <c r="EP20" s="1246"/>
      <c r="EQ20" s="1246"/>
      <c r="ER20" s="1246"/>
    </row>
    <row r="21" spans="1:153" ht="15.75" customHeight="1">
      <c r="A21" s="1246" t="s">
        <v>93</v>
      </c>
      <c r="B21" s="1984" t="s">
        <v>1384</v>
      </c>
      <c r="C21" s="1985"/>
      <c r="D21" s="1985"/>
      <c r="E21" s="1985"/>
      <c r="F21" s="1985"/>
      <c r="G21" s="1985"/>
      <c r="H21" s="1985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</row>
  </sheetData>
  <mergeCells count="9">
    <mergeCell ref="B19:H19"/>
    <mergeCell ref="B20:H20"/>
    <mergeCell ref="B21:H21"/>
    <mergeCell ref="A3:H3"/>
    <mergeCell ref="A6:A7"/>
    <mergeCell ref="B6:B7"/>
    <mergeCell ref="C6:D6"/>
    <mergeCell ref="E6:F6"/>
    <mergeCell ref="G6:H6"/>
  </mergeCells>
  <pageMargins left="0.78740157480314965" right="0.51181102362204722" top="0.59055118110236227" bottom="0.39370078740157483" header="0.19685039370078741" footer="0.19685039370078741"/>
  <pageSetup paperSize="9" scale="65" orientation="portrait" r:id="rId1"/>
  <headerFooter alignWithMargins="0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EY21"/>
  <sheetViews>
    <sheetView view="pageBreakPreview" zoomScaleNormal="100" workbookViewId="0">
      <pane ySplit="8" topLeftCell="A9" activePane="bottomLeft" state="frozen"/>
      <selection activeCell="C6" sqref="C6:H6"/>
      <selection pane="bottomLeft" activeCell="F10" sqref="F10"/>
    </sheetView>
  </sheetViews>
  <sheetFormatPr defaultColWidth="2.7109375" defaultRowHeight="15"/>
  <cols>
    <col min="1" max="1" width="6.5703125" style="1" customWidth="1"/>
    <col min="2" max="2" width="49" style="1" customWidth="1"/>
    <col min="3" max="8" width="13.7109375" style="1" customWidth="1"/>
    <col min="9" max="60" width="8.28515625" style="1" customWidth="1"/>
    <col min="61" max="16384" width="2.7109375" style="1"/>
  </cols>
  <sheetData>
    <row r="1" spans="1:155" s="5" customFormat="1" ht="18" customHeight="1">
      <c r="A1" s="74" t="s">
        <v>1860</v>
      </c>
      <c r="H1" s="6" t="s">
        <v>1375</v>
      </c>
    </row>
    <row r="2" spans="1:155" ht="12.75" customHeight="1">
      <c r="A2" s="1644" t="s">
        <v>1681</v>
      </c>
    </row>
    <row r="3" spans="1:155" ht="43.5" customHeight="1">
      <c r="A3" s="1980" t="s">
        <v>1376</v>
      </c>
      <c r="B3" s="1980"/>
      <c r="C3" s="1980"/>
      <c r="D3" s="1980"/>
      <c r="E3" s="1980"/>
      <c r="F3" s="1980"/>
      <c r="G3" s="1980"/>
      <c r="H3" s="1980"/>
      <c r="I3" s="828"/>
      <c r="J3" s="828"/>
      <c r="K3" s="828"/>
      <c r="L3" s="828"/>
      <c r="M3" s="828"/>
      <c r="N3" s="828"/>
      <c r="O3" s="828"/>
      <c r="P3" s="828"/>
      <c r="Q3" s="828"/>
      <c r="R3" s="828"/>
      <c r="S3" s="828"/>
      <c r="T3" s="828"/>
      <c r="U3" s="828"/>
      <c r="V3" s="828"/>
      <c r="W3" s="828"/>
      <c r="X3" s="828"/>
      <c r="Y3" s="828"/>
      <c r="Z3" s="828"/>
      <c r="AA3" s="828"/>
      <c r="AB3" s="828"/>
      <c r="AC3" s="828"/>
      <c r="AD3" s="828"/>
      <c r="AE3" s="828"/>
      <c r="AF3" s="828"/>
      <c r="AG3" s="828"/>
      <c r="AH3" s="828"/>
      <c r="AI3" s="828"/>
      <c r="AJ3" s="828"/>
      <c r="AK3" s="828"/>
      <c r="AL3" s="828"/>
      <c r="AM3" s="828"/>
      <c r="AN3" s="828"/>
      <c r="AO3" s="828"/>
      <c r="AP3" s="828"/>
      <c r="AQ3" s="828"/>
      <c r="AR3" s="828"/>
      <c r="AS3" s="828"/>
      <c r="AT3" s="828"/>
      <c r="AU3" s="828"/>
      <c r="AV3" s="828"/>
      <c r="AW3" s="828"/>
      <c r="AX3" s="828"/>
      <c r="AY3" s="828"/>
      <c r="AZ3" s="828"/>
      <c r="BA3" s="828"/>
      <c r="BB3" s="828"/>
      <c r="BC3" s="828"/>
      <c r="BD3" s="828"/>
      <c r="BE3" s="828"/>
      <c r="BF3" s="828"/>
      <c r="BG3" s="828"/>
      <c r="BH3" s="828"/>
      <c r="BI3" s="828"/>
      <c r="BJ3" s="828"/>
      <c r="BK3" s="828"/>
      <c r="BL3" s="828"/>
      <c r="BM3" s="828"/>
      <c r="BN3" s="828"/>
      <c r="BO3" s="828"/>
      <c r="BP3" s="828"/>
      <c r="BQ3" s="828"/>
      <c r="BR3" s="828"/>
      <c r="BS3" s="828"/>
      <c r="BT3" s="828"/>
      <c r="BU3" s="828"/>
      <c r="BV3" s="828"/>
      <c r="BW3" s="828"/>
      <c r="BX3" s="828"/>
      <c r="BY3" s="828"/>
      <c r="BZ3" s="828"/>
      <c r="CA3" s="828"/>
      <c r="CB3" s="828"/>
      <c r="CC3" s="828"/>
      <c r="CD3" s="828"/>
      <c r="CE3" s="828"/>
      <c r="CF3" s="828"/>
      <c r="CG3" s="828"/>
      <c r="CH3" s="828"/>
      <c r="CI3" s="828"/>
      <c r="CJ3" s="828"/>
      <c r="CK3" s="828"/>
      <c r="CL3" s="828"/>
      <c r="CM3" s="828"/>
      <c r="CN3" s="828"/>
      <c r="CO3" s="828"/>
      <c r="CP3" s="828"/>
      <c r="CQ3" s="828"/>
      <c r="CR3" s="828"/>
      <c r="CS3" s="828"/>
      <c r="CT3" s="828"/>
      <c r="CU3" s="828"/>
      <c r="CV3" s="828"/>
      <c r="CW3" s="828"/>
      <c r="CX3" s="828"/>
      <c r="CY3" s="828"/>
      <c r="CZ3" s="828"/>
      <c r="DA3" s="828"/>
      <c r="DB3" s="828"/>
      <c r="DC3" s="828"/>
      <c r="DD3" s="828"/>
      <c r="DE3" s="828"/>
      <c r="DF3" s="828"/>
      <c r="DG3" s="828"/>
      <c r="DH3" s="828"/>
      <c r="DI3" s="828"/>
      <c r="DJ3" s="828"/>
      <c r="DK3" s="828"/>
      <c r="DL3" s="828"/>
      <c r="DM3" s="828"/>
      <c r="DN3" s="828"/>
      <c r="DO3" s="828"/>
      <c r="DP3" s="828"/>
      <c r="DQ3" s="828"/>
      <c r="DR3" s="828"/>
      <c r="DS3" s="828"/>
      <c r="DT3" s="828"/>
      <c r="DU3" s="828"/>
      <c r="DV3" s="828"/>
      <c r="DW3" s="828"/>
      <c r="DX3" s="828"/>
      <c r="DY3" s="828"/>
      <c r="DZ3" s="828"/>
      <c r="EA3" s="828"/>
      <c r="EB3" s="828"/>
      <c r="EC3" s="828"/>
      <c r="ED3" s="828"/>
      <c r="EE3" s="828"/>
      <c r="EF3" s="828"/>
      <c r="EG3" s="828"/>
      <c r="EH3" s="828"/>
      <c r="EI3" s="828"/>
      <c r="EJ3" s="828"/>
      <c r="EK3" s="828"/>
      <c r="EL3" s="828"/>
      <c r="EM3" s="828"/>
      <c r="EN3" s="828"/>
      <c r="EO3" s="828"/>
      <c r="EP3" s="828"/>
      <c r="EQ3" s="828"/>
      <c r="ER3" s="828"/>
      <c r="ES3" s="828"/>
      <c r="ET3" s="828"/>
      <c r="EU3" s="828"/>
      <c r="EV3" s="828"/>
      <c r="EW3" s="828"/>
      <c r="EX3" s="828"/>
      <c r="EY3" s="828"/>
    </row>
    <row r="4" spans="1:155" ht="12.75" customHeight="1">
      <c r="B4" s="1639"/>
      <c r="C4" s="1639"/>
      <c r="D4" s="1639"/>
      <c r="E4" s="1639"/>
      <c r="F4" s="1639"/>
      <c r="G4" s="1639"/>
      <c r="H4" s="1639"/>
    </row>
    <row r="5" spans="1:155" ht="14.25" customHeight="1">
      <c r="A5" s="812" t="s">
        <v>1329</v>
      </c>
      <c r="H5" s="23" t="s">
        <v>360</v>
      </c>
    </row>
    <row r="6" spans="1:155" s="3" customFormat="1" ht="15" customHeight="1">
      <c r="A6" s="1858" t="s">
        <v>0</v>
      </c>
      <c r="B6" s="1858" t="s">
        <v>1377</v>
      </c>
      <c r="C6" s="1981" t="s">
        <v>1336</v>
      </c>
      <c r="D6" s="1982"/>
      <c r="E6" s="1981" t="s">
        <v>1337</v>
      </c>
      <c r="F6" s="1983"/>
      <c r="G6" s="1981" t="s">
        <v>1715</v>
      </c>
      <c r="H6" s="1983"/>
    </row>
    <row r="7" spans="1:155" s="3" customFormat="1" ht="105">
      <c r="A7" s="1971"/>
      <c r="B7" s="1971"/>
      <c r="C7" s="822" t="s">
        <v>1353</v>
      </c>
      <c r="D7" s="822" t="s">
        <v>1354</v>
      </c>
      <c r="E7" s="822" t="s">
        <v>1353</v>
      </c>
      <c r="F7" s="822" t="s">
        <v>1354</v>
      </c>
      <c r="G7" s="822" t="s">
        <v>1353</v>
      </c>
      <c r="H7" s="822" t="s">
        <v>1354</v>
      </c>
    </row>
    <row r="8" spans="1:155" s="2" customFormat="1">
      <c r="A8" s="13">
        <v>1</v>
      </c>
      <c r="B8" s="13">
        <v>2</v>
      </c>
      <c r="C8" s="13">
        <v>3</v>
      </c>
      <c r="D8" s="13">
        <v>4</v>
      </c>
      <c r="E8" s="13">
        <v>5</v>
      </c>
      <c r="F8" s="13">
        <v>6</v>
      </c>
      <c r="G8" s="13">
        <v>7</v>
      </c>
      <c r="H8" s="13">
        <v>8</v>
      </c>
    </row>
    <row r="9" spans="1:155" s="41" customFormat="1">
      <c r="A9" s="60" t="s">
        <v>89</v>
      </c>
      <c r="B9" s="68" t="s">
        <v>1378</v>
      </c>
      <c r="C9" s="818"/>
      <c r="D9" s="818">
        <v>2017682.1726247889</v>
      </c>
      <c r="E9" s="818"/>
      <c r="F9" s="818">
        <v>2156455.0063246526</v>
      </c>
      <c r="G9" s="818"/>
      <c r="H9" s="818">
        <v>2228781.2178481589</v>
      </c>
    </row>
    <row r="10" spans="1:155" s="832" customFormat="1" ht="15" customHeight="1">
      <c r="A10" s="829" t="s">
        <v>91</v>
      </c>
      <c r="B10" s="830" t="s">
        <v>1379</v>
      </c>
      <c r="C10" s="818"/>
      <c r="D10" s="818">
        <v>137418.45000000001</v>
      </c>
      <c r="E10" s="831"/>
      <c r="F10" s="818">
        <v>152658.53257199997</v>
      </c>
      <c r="G10" s="831"/>
      <c r="H10" s="818">
        <v>166641.46862547597</v>
      </c>
    </row>
    <row r="11" spans="1:155" s="832" customFormat="1" ht="15" customHeight="1">
      <c r="A11" s="829" t="s">
        <v>93</v>
      </c>
      <c r="B11" s="833" t="s">
        <v>1380</v>
      </c>
      <c r="C11" s="818"/>
      <c r="D11" s="818"/>
      <c r="E11" s="834"/>
      <c r="F11" s="834"/>
      <c r="G11" s="834"/>
      <c r="H11" s="834"/>
    </row>
    <row r="12" spans="1:155" s="41" customFormat="1">
      <c r="A12" s="60" t="s">
        <v>95</v>
      </c>
      <c r="B12" s="70" t="s">
        <v>1381</v>
      </c>
      <c r="C12" s="818"/>
      <c r="D12" s="818">
        <v>28776.442680396103</v>
      </c>
      <c r="E12" s="835"/>
      <c r="F12" s="818">
        <v>30182.7587268438</v>
      </c>
      <c r="G12" s="835"/>
      <c r="H12" s="818">
        <v>32240.991737231765</v>
      </c>
    </row>
    <row r="13" spans="1:155" s="41" customFormat="1">
      <c r="A13" s="60" t="s">
        <v>97</v>
      </c>
      <c r="B13" s="68" t="s">
        <v>447</v>
      </c>
      <c r="C13" s="818"/>
      <c r="D13" s="818"/>
      <c r="E13" s="835"/>
      <c r="F13" s="834"/>
      <c r="G13" s="834"/>
      <c r="H13" s="834"/>
    </row>
    <row r="14" spans="1:155" s="810" customFormat="1" ht="14.25">
      <c r="A14" s="82" t="s">
        <v>582</v>
      </c>
      <c r="B14" s="808" t="s">
        <v>770</v>
      </c>
      <c r="C14" s="836">
        <f>SUM(C9:C13)</f>
        <v>0</v>
      </c>
      <c r="D14" s="836">
        <f t="shared" ref="D14:H14" si="0">SUM(D9:D13)</f>
        <v>2183877.065305185</v>
      </c>
      <c r="E14" s="836">
        <f t="shared" si="0"/>
        <v>0</v>
      </c>
      <c r="F14" s="836">
        <f t="shared" si="0"/>
        <v>2339296.297623496</v>
      </c>
      <c r="G14" s="836">
        <f t="shared" si="0"/>
        <v>0</v>
      </c>
      <c r="H14" s="836">
        <f t="shared" si="0"/>
        <v>2427663.6782108666</v>
      </c>
    </row>
    <row r="16" spans="1:155">
      <c r="F16" s="1445">
        <f>'5.4_пр-во КТЭЦ'!F14+'5.4_пр-во котельные'!F14</f>
        <v>2339296.2976234965</v>
      </c>
      <c r="H16" s="1445">
        <f>'5.4_пр-во КТЭЦ'!H14+'5.4_пр-во котельные'!H14</f>
        <v>2427663.6782108666</v>
      </c>
    </row>
    <row r="18" spans="1:153" s="26" customFormat="1">
      <c r="A18" s="26" t="s">
        <v>88</v>
      </c>
    </row>
    <row r="19" spans="1:153" s="1645" customFormat="1">
      <c r="A19" s="1646" t="s">
        <v>89</v>
      </c>
      <c r="B19" s="1984" t="s">
        <v>1346</v>
      </c>
      <c r="C19" s="1985"/>
      <c r="D19" s="1985"/>
      <c r="E19" s="1985"/>
      <c r="F19" s="1985"/>
      <c r="G19" s="1985"/>
      <c r="H19" s="1985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1646"/>
      <c r="ET19" s="1646"/>
      <c r="EU19" s="1646"/>
      <c r="EV19" s="1646"/>
      <c r="EW19" s="1646"/>
    </row>
    <row r="20" spans="1:153" s="1645" customFormat="1" ht="30" customHeight="1">
      <c r="A20" s="1646" t="s">
        <v>91</v>
      </c>
      <c r="B20" s="1972" t="s">
        <v>1383</v>
      </c>
      <c r="C20" s="1973"/>
      <c r="D20" s="1973"/>
      <c r="E20" s="1973"/>
      <c r="F20" s="1973"/>
      <c r="G20" s="1973"/>
      <c r="H20" s="1973"/>
      <c r="I20" s="1646"/>
      <c r="J20" s="1646"/>
      <c r="K20" s="1646"/>
      <c r="L20" s="1646"/>
      <c r="M20" s="1646"/>
      <c r="N20" s="1646"/>
      <c r="O20" s="1646"/>
      <c r="P20" s="1646"/>
      <c r="Q20" s="1646"/>
      <c r="R20" s="1646"/>
      <c r="S20" s="1646"/>
      <c r="T20" s="1646"/>
      <c r="U20" s="1646"/>
      <c r="V20" s="1646"/>
      <c r="W20" s="1646"/>
      <c r="X20" s="1646"/>
      <c r="Y20" s="1646"/>
      <c r="Z20" s="1646"/>
      <c r="AA20" s="1646"/>
      <c r="AB20" s="1646"/>
      <c r="AC20" s="1646"/>
      <c r="AD20" s="1646"/>
      <c r="AE20" s="1646"/>
      <c r="AF20" s="1646"/>
      <c r="AG20" s="1646"/>
      <c r="AH20" s="1646"/>
      <c r="AI20" s="1646"/>
      <c r="AJ20" s="1646"/>
      <c r="AK20" s="1646"/>
      <c r="AL20" s="1646"/>
      <c r="AM20" s="1646"/>
      <c r="AN20" s="1646"/>
      <c r="AO20" s="1646"/>
      <c r="AP20" s="1646"/>
      <c r="AQ20" s="1646"/>
      <c r="AR20" s="1646"/>
      <c r="AS20" s="1646"/>
      <c r="AT20" s="1646"/>
      <c r="AU20" s="1646"/>
      <c r="AV20" s="1646"/>
      <c r="AW20" s="1646"/>
      <c r="AX20" s="1646"/>
      <c r="AY20" s="1646"/>
      <c r="AZ20" s="1646"/>
      <c r="BA20" s="1646"/>
      <c r="BB20" s="1646"/>
      <c r="BC20" s="1646"/>
      <c r="BD20" s="1646"/>
      <c r="BE20" s="1646"/>
      <c r="BF20" s="1646"/>
      <c r="BG20" s="1646"/>
      <c r="BH20" s="1646"/>
      <c r="BI20" s="1646"/>
      <c r="BJ20" s="1646"/>
      <c r="BK20" s="1646"/>
      <c r="BL20" s="1646"/>
      <c r="BM20" s="1646"/>
      <c r="BN20" s="1646"/>
      <c r="BO20" s="1646"/>
      <c r="BP20" s="1646"/>
      <c r="BQ20" s="1646"/>
      <c r="BR20" s="1646"/>
      <c r="BS20" s="1646"/>
      <c r="BT20" s="1646"/>
      <c r="BU20" s="1646"/>
      <c r="BV20" s="1646"/>
      <c r="BW20" s="1646"/>
      <c r="BX20" s="1646"/>
      <c r="BY20" s="1646"/>
      <c r="BZ20" s="1646"/>
      <c r="CA20" s="1646"/>
      <c r="CB20" s="1646"/>
      <c r="CC20" s="1646"/>
      <c r="CD20" s="1646"/>
      <c r="CE20" s="1646"/>
      <c r="CF20" s="1646"/>
      <c r="CG20" s="1646"/>
      <c r="CH20" s="1646"/>
      <c r="CI20" s="1646"/>
      <c r="CJ20" s="1646"/>
      <c r="CK20" s="1646"/>
      <c r="CL20" s="1646"/>
      <c r="CM20" s="1646"/>
      <c r="CN20" s="1646"/>
      <c r="CO20" s="1646"/>
      <c r="CP20" s="1646"/>
      <c r="CQ20" s="1646"/>
      <c r="CR20" s="1646"/>
      <c r="CS20" s="1646"/>
      <c r="CT20" s="1646"/>
      <c r="CU20" s="1646"/>
      <c r="CV20" s="1646"/>
      <c r="CW20" s="1646"/>
      <c r="CX20" s="1646"/>
      <c r="CY20" s="1646"/>
      <c r="CZ20" s="1646"/>
      <c r="DA20" s="1646"/>
      <c r="DB20" s="1646"/>
      <c r="DC20" s="1646"/>
      <c r="DD20" s="1646"/>
      <c r="DE20" s="1646"/>
      <c r="DF20" s="1646"/>
      <c r="DG20" s="1646"/>
      <c r="DH20" s="1646"/>
      <c r="DI20" s="1646"/>
      <c r="DJ20" s="1646"/>
      <c r="DK20" s="1646"/>
      <c r="DL20" s="1646"/>
      <c r="DM20" s="1646"/>
      <c r="DN20" s="1646"/>
      <c r="DO20" s="1646"/>
      <c r="DP20" s="1646"/>
      <c r="DQ20" s="1646"/>
      <c r="DR20" s="1646"/>
      <c r="DS20" s="1646"/>
      <c r="DT20" s="1646"/>
      <c r="DU20" s="1646"/>
      <c r="DV20" s="1646"/>
      <c r="DW20" s="1646"/>
      <c r="DX20" s="1646"/>
      <c r="DY20" s="1646"/>
      <c r="DZ20" s="1646"/>
      <c r="EA20" s="1646"/>
      <c r="EB20" s="1646"/>
      <c r="EC20" s="1646"/>
      <c r="ED20" s="1646"/>
      <c r="EE20" s="1646"/>
      <c r="EF20" s="1646"/>
      <c r="EG20" s="1646"/>
      <c r="EH20" s="1646"/>
      <c r="EI20" s="1646"/>
      <c r="EJ20" s="1646"/>
      <c r="EK20" s="1646"/>
      <c r="EL20" s="1646"/>
      <c r="EM20" s="1646"/>
      <c r="EN20" s="1646"/>
      <c r="EO20" s="1646"/>
      <c r="EP20" s="1646"/>
      <c r="EQ20" s="1646"/>
      <c r="ER20" s="1646"/>
    </row>
    <row r="21" spans="1:153" ht="15.75" customHeight="1">
      <c r="A21" s="1646" t="s">
        <v>93</v>
      </c>
      <c r="B21" s="1984" t="s">
        <v>1384</v>
      </c>
      <c r="C21" s="1985"/>
      <c r="D21" s="1985"/>
      <c r="E21" s="1985"/>
      <c r="F21" s="1985"/>
      <c r="G21" s="1985"/>
      <c r="H21" s="1985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</row>
  </sheetData>
  <mergeCells count="9">
    <mergeCell ref="B19:H19"/>
    <mergeCell ref="B20:H20"/>
    <mergeCell ref="B21:H21"/>
    <mergeCell ref="A3:H3"/>
    <mergeCell ref="A6:A7"/>
    <mergeCell ref="B6:B7"/>
    <mergeCell ref="C6:D6"/>
    <mergeCell ref="E6:F6"/>
    <mergeCell ref="G6:H6"/>
  </mergeCells>
  <pageMargins left="0.78740157480314965" right="0.51181102362204722" top="0.59055118110236227" bottom="0.39370078740157483" header="0.19685039370078741" footer="0.19685039370078741"/>
  <pageSetup paperSize="9" scale="65" orientation="portrait" r:id="rId1"/>
  <headerFooter alignWithMargins="0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EY21"/>
  <sheetViews>
    <sheetView view="pageBreakPreview" zoomScaleNormal="100" workbookViewId="0">
      <pane ySplit="8" topLeftCell="A9" activePane="bottomLeft" state="frozen"/>
      <selection activeCell="C6" sqref="C6:H6"/>
      <selection pane="bottomLeft" activeCell="J11" sqref="J11"/>
    </sheetView>
  </sheetViews>
  <sheetFormatPr defaultColWidth="2.7109375" defaultRowHeight="15"/>
  <cols>
    <col min="1" max="1" width="6.5703125" style="1" customWidth="1"/>
    <col min="2" max="2" width="49" style="1" customWidth="1"/>
    <col min="3" max="8" width="13.7109375" style="1" customWidth="1"/>
    <col min="9" max="60" width="8.28515625" style="1" customWidth="1"/>
    <col min="61" max="16384" width="2.7109375" style="1"/>
  </cols>
  <sheetData>
    <row r="1" spans="1:155" s="5" customFormat="1" ht="18" customHeight="1">
      <c r="A1" s="74" t="s">
        <v>1860</v>
      </c>
      <c r="H1" s="6" t="s">
        <v>1375</v>
      </c>
    </row>
    <row r="2" spans="1:155" ht="12.75" customHeight="1">
      <c r="A2" s="1644" t="s">
        <v>1681</v>
      </c>
    </row>
    <row r="3" spans="1:155" ht="43.5" customHeight="1">
      <c r="A3" s="1980" t="s">
        <v>1376</v>
      </c>
      <c r="B3" s="1980"/>
      <c r="C3" s="1980"/>
      <c r="D3" s="1980"/>
      <c r="E3" s="1980"/>
      <c r="F3" s="1980"/>
      <c r="G3" s="1980"/>
      <c r="H3" s="1980"/>
      <c r="I3" s="828"/>
      <c r="J3" s="828"/>
      <c r="K3" s="828"/>
      <c r="L3" s="828"/>
      <c r="M3" s="828"/>
      <c r="N3" s="828"/>
      <c r="O3" s="828"/>
      <c r="P3" s="828"/>
      <c r="Q3" s="828"/>
      <c r="R3" s="828"/>
      <c r="S3" s="828"/>
      <c r="T3" s="828"/>
      <c r="U3" s="828"/>
      <c r="V3" s="828"/>
      <c r="W3" s="828"/>
      <c r="X3" s="828"/>
      <c r="Y3" s="828"/>
      <c r="Z3" s="828"/>
      <c r="AA3" s="828"/>
      <c r="AB3" s="828"/>
      <c r="AC3" s="828"/>
      <c r="AD3" s="828"/>
      <c r="AE3" s="828"/>
      <c r="AF3" s="828"/>
      <c r="AG3" s="828"/>
      <c r="AH3" s="828"/>
      <c r="AI3" s="828"/>
      <c r="AJ3" s="828"/>
      <c r="AK3" s="828"/>
      <c r="AL3" s="828"/>
      <c r="AM3" s="828"/>
      <c r="AN3" s="828"/>
      <c r="AO3" s="828"/>
      <c r="AP3" s="828"/>
      <c r="AQ3" s="828"/>
      <c r="AR3" s="828"/>
      <c r="AS3" s="828"/>
      <c r="AT3" s="828"/>
      <c r="AU3" s="828"/>
      <c r="AV3" s="828"/>
      <c r="AW3" s="828"/>
      <c r="AX3" s="828"/>
      <c r="AY3" s="828"/>
      <c r="AZ3" s="828"/>
      <c r="BA3" s="828"/>
      <c r="BB3" s="828"/>
      <c r="BC3" s="828"/>
      <c r="BD3" s="828"/>
      <c r="BE3" s="828"/>
      <c r="BF3" s="828"/>
      <c r="BG3" s="828"/>
      <c r="BH3" s="828"/>
      <c r="BI3" s="828"/>
      <c r="BJ3" s="828"/>
      <c r="BK3" s="828"/>
      <c r="BL3" s="828"/>
      <c r="BM3" s="828"/>
      <c r="BN3" s="828"/>
      <c r="BO3" s="828"/>
      <c r="BP3" s="828"/>
      <c r="BQ3" s="828"/>
      <c r="BR3" s="828"/>
      <c r="BS3" s="828"/>
      <c r="BT3" s="828"/>
      <c r="BU3" s="828"/>
      <c r="BV3" s="828"/>
      <c r="BW3" s="828"/>
      <c r="BX3" s="828"/>
      <c r="BY3" s="828"/>
      <c r="BZ3" s="828"/>
      <c r="CA3" s="828"/>
      <c r="CB3" s="828"/>
      <c r="CC3" s="828"/>
      <c r="CD3" s="828"/>
      <c r="CE3" s="828"/>
      <c r="CF3" s="828"/>
      <c r="CG3" s="828"/>
      <c r="CH3" s="828"/>
      <c r="CI3" s="828"/>
      <c r="CJ3" s="828"/>
      <c r="CK3" s="828"/>
      <c r="CL3" s="828"/>
      <c r="CM3" s="828"/>
      <c r="CN3" s="828"/>
      <c r="CO3" s="828"/>
      <c r="CP3" s="828"/>
      <c r="CQ3" s="828"/>
      <c r="CR3" s="828"/>
      <c r="CS3" s="828"/>
      <c r="CT3" s="828"/>
      <c r="CU3" s="828"/>
      <c r="CV3" s="828"/>
      <c r="CW3" s="828"/>
      <c r="CX3" s="828"/>
      <c r="CY3" s="828"/>
      <c r="CZ3" s="828"/>
      <c r="DA3" s="828"/>
      <c r="DB3" s="828"/>
      <c r="DC3" s="828"/>
      <c r="DD3" s="828"/>
      <c r="DE3" s="828"/>
      <c r="DF3" s="828"/>
      <c r="DG3" s="828"/>
      <c r="DH3" s="828"/>
      <c r="DI3" s="828"/>
      <c r="DJ3" s="828"/>
      <c r="DK3" s="828"/>
      <c r="DL3" s="828"/>
      <c r="DM3" s="828"/>
      <c r="DN3" s="828"/>
      <c r="DO3" s="828"/>
      <c r="DP3" s="828"/>
      <c r="DQ3" s="828"/>
      <c r="DR3" s="828"/>
      <c r="DS3" s="828"/>
      <c r="DT3" s="828"/>
      <c r="DU3" s="828"/>
      <c r="DV3" s="828"/>
      <c r="DW3" s="828"/>
      <c r="DX3" s="828"/>
      <c r="DY3" s="828"/>
      <c r="DZ3" s="828"/>
      <c r="EA3" s="828"/>
      <c r="EB3" s="828"/>
      <c r="EC3" s="828"/>
      <c r="ED3" s="828"/>
      <c r="EE3" s="828"/>
      <c r="EF3" s="828"/>
      <c r="EG3" s="828"/>
      <c r="EH3" s="828"/>
      <c r="EI3" s="828"/>
      <c r="EJ3" s="828"/>
      <c r="EK3" s="828"/>
      <c r="EL3" s="828"/>
      <c r="EM3" s="828"/>
      <c r="EN3" s="828"/>
      <c r="EO3" s="828"/>
      <c r="EP3" s="828"/>
      <c r="EQ3" s="828"/>
      <c r="ER3" s="828"/>
      <c r="ES3" s="828"/>
      <c r="ET3" s="828"/>
      <c r="EU3" s="828"/>
      <c r="EV3" s="828"/>
      <c r="EW3" s="828"/>
      <c r="EX3" s="828"/>
      <c r="EY3" s="828"/>
    </row>
    <row r="4" spans="1:155" ht="12.75" customHeight="1">
      <c r="B4" s="1639"/>
      <c r="C4" s="1639"/>
      <c r="D4" s="1639"/>
      <c r="E4" s="1639"/>
      <c r="F4" s="1639"/>
      <c r="G4" s="1639"/>
      <c r="H4" s="1639"/>
    </row>
    <row r="5" spans="1:155" ht="14.25" customHeight="1">
      <c r="A5" s="812" t="s">
        <v>1330</v>
      </c>
      <c r="H5" s="23" t="s">
        <v>360</v>
      </c>
    </row>
    <row r="6" spans="1:155" s="3" customFormat="1" ht="15" customHeight="1">
      <c r="A6" s="1858" t="s">
        <v>0</v>
      </c>
      <c r="B6" s="1858" t="s">
        <v>1377</v>
      </c>
      <c r="C6" s="1981" t="s">
        <v>1336</v>
      </c>
      <c r="D6" s="1982"/>
      <c r="E6" s="1981" t="s">
        <v>1337</v>
      </c>
      <c r="F6" s="1983"/>
      <c r="G6" s="1981" t="s">
        <v>1715</v>
      </c>
      <c r="H6" s="1983"/>
    </row>
    <row r="7" spans="1:155" s="3" customFormat="1" ht="105">
      <c r="A7" s="1971"/>
      <c r="B7" s="1971"/>
      <c r="C7" s="822" t="s">
        <v>1353</v>
      </c>
      <c r="D7" s="822" t="s">
        <v>1354</v>
      </c>
      <c r="E7" s="822" t="s">
        <v>1353</v>
      </c>
      <c r="F7" s="822" t="s">
        <v>1354</v>
      </c>
      <c r="G7" s="822" t="s">
        <v>1353</v>
      </c>
      <c r="H7" s="822" t="s">
        <v>1354</v>
      </c>
    </row>
    <row r="8" spans="1:155" s="2" customFormat="1">
      <c r="A8" s="13">
        <v>1</v>
      </c>
      <c r="B8" s="13">
        <v>2</v>
      </c>
      <c r="C8" s="13">
        <v>3</v>
      </c>
      <c r="D8" s="13">
        <v>4</v>
      </c>
      <c r="E8" s="13">
        <v>5</v>
      </c>
      <c r="F8" s="13">
        <v>6</v>
      </c>
      <c r="G8" s="13">
        <v>7</v>
      </c>
      <c r="H8" s="13">
        <v>8</v>
      </c>
    </row>
    <row r="9" spans="1:155" s="41" customFormat="1">
      <c r="A9" s="60" t="s">
        <v>89</v>
      </c>
      <c r="B9" s="68" t="s">
        <v>1378</v>
      </c>
      <c r="C9" s="818"/>
      <c r="D9" s="818"/>
      <c r="E9" s="818"/>
      <c r="F9" s="818"/>
      <c r="G9" s="818"/>
      <c r="H9" s="818"/>
    </row>
    <row r="10" spans="1:155" s="832" customFormat="1" ht="15" customHeight="1">
      <c r="A10" s="829" t="s">
        <v>91</v>
      </c>
      <c r="B10" s="830" t="s">
        <v>1379</v>
      </c>
      <c r="C10" s="818"/>
      <c r="D10" s="818">
        <v>128846.03806625999</v>
      </c>
      <c r="E10" s="831"/>
      <c r="F10" s="818">
        <v>140654.65367315599</v>
      </c>
      <c r="G10" s="831"/>
      <c r="H10" s="818">
        <v>153523.8672386829</v>
      </c>
    </row>
    <row r="11" spans="1:155" s="832" customFormat="1" ht="15" customHeight="1">
      <c r="A11" s="829" t="s">
        <v>93</v>
      </c>
      <c r="B11" s="833" t="s">
        <v>1380</v>
      </c>
      <c r="C11" s="818"/>
      <c r="D11" s="818"/>
      <c r="E11" s="834"/>
      <c r="F11" s="834"/>
      <c r="G11" s="834"/>
      <c r="H11" s="834"/>
    </row>
    <row r="12" spans="1:155" s="41" customFormat="1">
      <c r="A12" s="60" t="s">
        <v>95</v>
      </c>
      <c r="B12" s="70" t="s">
        <v>1381</v>
      </c>
      <c r="C12" s="818"/>
      <c r="D12" s="818">
        <v>13887.788914270452</v>
      </c>
      <c r="E12" s="835"/>
      <c r="F12" s="818">
        <v>14417.776497618001</v>
      </c>
      <c r="G12" s="835"/>
      <c r="H12" s="818">
        <v>15419.230353422812</v>
      </c>
    </row>
    <row r="13" spans="1:155" s="41" customFormat="1">
      <c r="A13" s="60" t="s">
        <v>97</v>
      </c>
      <c r="B13" s="68" t="s">
        <v>447</v>
      </c>
      <c r="C13" s="818"/>
      <c r="D13" s="818"/>
      <c r="E13" s="835"/>
      <c r="F13" s="834"/>
      <c r="G13" s="834"/>
      <c r="H13" s="834"/>
    </row>
    <row r="14" spans="1:155" s="810" customFormat="1" ht="14.25">
      <c r="A14" s="82" t="s">
        <v>582</v>
      </c>
      <c r="B14" s="808" t="s">
        <v>770</v>
      </c>
      <c r="C14" s="836">
        <f>SUM(C9:C13)</f>
        <v>0</v>
      </c>
      <c r="D14" s="836">
        <f t="shared" ref="D14:H14" si="0">SUM(D9:D13)</f>
        <v>142733.82698053046</v>
      </c>
      <c r="E14" s="836">
        <f t="shared" si="0"/>
        <v>0</v>
      </c>
      <c r="F14" s="836">
        <f t="shared" si="0"/>
        <v>155072.43017077399</v>
      </c>
      <c r="G14" s="836">
        <f t="shared" si="0"/>
        <v>0</v>
      </c>
      <c r="H14" s="836">
        <f t="shared" si="0"/>
        <v>168943.09759210571</v>
      </c>
    </row>
    <row r="16" spans="1:155">
      <c r="F16" s="1445">
        <f>'5.4_передача КТЭЦ'!F14+'5.4_передача котельные'!F14</f>
        <v>155072.43017077399</v>
      </c>
      <c r="H16" s="1445">
        <f>'5.4_передача КТЭЦ'!H14+'5.4_передача котельные'!H14</f>
        <v>168943.09759210571</v>
      </c>
    </row>
    <row r="18" spans="1:153" s="26" customFormat="1">
      <c r="A18" s="26" t="s">
        <v>88</v>
      </c>
    </row>
    <row r="19" spans="1:153" s="1645" customFormat="1">
      <c r="A19" s="1646" t="s">
        <v>89</v>
      </c>
      <c r="B19" s="1984" t="s">
        <v>1346</v>
      </c>
      <c r="C19" s="1985"/>
      <c r="D19" s="1985"/>
      <c r="E19" s="1985"/>
      <c r="F19" s="1985"/>
      <c r="G19" s="1985"/>
      <c r="H19" s="1985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1646"/>
      <c r="ET19" s="1646"/>
      <c r="EU19" s="1646"/>
      <c r="EV19" s="1646"/>
      <c r="EW19" s="1646"/>
    </row>
    <row r="20" spans="1:153" s="1645" customFormat="1" ht="30" customHeight="1">
      <c r="A20" s="1646" t="s">
        <v>91</v>
      </c>
      <c r="B20" s="1972" t="s">
        <v>1383</v>
      </c>
      <c r="C20" s="1973"/>
      <c r="D20" s="1973"/>
      <c r="E20" s="1973"/>
      <c r="F20" s="1973"/>
      <c r="G20" s="1973"/>
      <c r="H20" s="1973"/>
      <c r="I20" s="1646"/>
      <c r="J20" s="1646"/>
      <c r="K20" s="1646"/>
      <c r="L20" s="1646"/>
      <c r="M20" s="1646"/>
      <c r="N20" s="1646"/>
      <c r="O20" s="1646"/>
      <c r="P20" s="1646"/>
      <c r="Q20" s="1646"/>
      <c r="R20" s="1646"/>
      <c r="S20" s="1646"/>
      <c r="T20" s="1646"/>
      <c r="U20" s="1646"/>
      <c r="V20" s="1646"/>
      <c r="W20" s="1646"/>
      <c r="X20" s="1646"/>
      <c r="Y20" s="1646"/>
      <c r="Z20" s="1646"/>
      <c r="AA20" s="1646"/>
      <c r="AB20" s="1646"/>
      <c r="AC20" s="1646"/>
      <c r="AD20" s="1646"/>
      <c r="AE20" s="1646"/>
      <c r="AF20" s="1646"/>
      <c r="AG20" s="1646"/>
      <c r="AH20" s="1646"/>
      <c r="AI20" s="1646"/>
      <c r="AJ20" s="1646"/>
      <c r="AK20" s="1646"/>
      <c r="AL20" s="1646"/>
      <c r="AM20" s="1646"/>
      <c r="AN20" s="1646"/>
      <c r="AO20" s="1646"/>
      <c r="AP20" s="1646"/>
      <c r="AQ20" s="1646"/>
      <c r="AR20" s="1646"/>
      <c r="AS20" s="1646"/>
      <c r="AT20" s="1646"/>
      <c r="AU20" s="1646"/>
      <c r="AV20" s="1646"/>
      <c r="AW20" s="1646"/>
      <c r="AX20" s="1646"/>
      <c r="AY20" s="1646"/>
      <c r="AZ20" s="1646"/>
      <c r="BA20" s="1646"/>
      <c r="BB20" s="1646"/>
      <c r="BC20" s="1646"/>
      <c r="BD20" s="1646"/>
      <c r="BE20" s="1646"/>
      <c r="BF20" s="1646"/>
      <c r="BG20" s="1646"/>
      <c r="BH20" s="1646"/>
      <c r="BI20" s="1646"/>
      <c r="BJ20" s="1646"/>
      <c r="BK20" s="1646"/>
      <c r="BL20" s="1646"/>
      <c r="BM20" s="1646"/>
      <c r="BN20" s="1646"/>
      <c r="BO20" s="1646"/>
      <c r="BP20" s="1646"/>
      <c r="BQ20" s="1646"/>
      <c r="BR20" s="1646"/>
      <c r="BS20" s="1646"/>
      <c r="BT20" s="1646"/>
      <c r="BU20" s="1646"/>
      <c r="BV20" s="1646"/>
      <c r="BW20" s="1646"/>
      <c r="BX20" s="1646"/>
      <c r="BY20" s="1646"/>
      <c r="BZ20" s="1646"/>
      <c r="CA20" s="1646"/>
      <c r="CB20" s="1646"/>
      <c r="CC20" s="1646"/>
      <c r="CD20" s="1646"/>
      <c r="CE20" s="1646"/>
      <c r="CF20" s="1646"/>
      <c r="CG20" s="1646"/>
      <c r="CH20" s="1646"/>
      <c r="CI20" s="1646"/>
      <c r="CJ20" s="1646"/>
      <c r="CK20" s="1646"/>
      <c r="CL20" s="1646"/>
      <c r="CM20" s="1646"/>
      <c r="CN20" s="1646"/>
      <c r="CO20" s="1646"/>
      <c r="CP20" s="1646"/>
      <c r="CQ20" s="1646"/>
      <c r="CR20" s="1646"/>
      <c r="CS20" s="1646"/>
      <c r="CT20" s="1646"/>
      <c r="CU20" s="1646"/>
      <c r="CV20" s="1646"/>
      <c r="CW20" s="1646"/>
      <c r="CX20" s="1646"/>
      <c r="CY20" s="1646"/>
      <c r="CZ20" s="1646"/>
      <c r="DA20" s="1646"/>
      <c r="DB20" s="1646"/>
      <c r="DC20" s="1646"/>
      <c r="DD20" s="1646"/>
      <c r="DE20" s="1646"/>
      <c r="DF20" s="1646"/>
      <c r="DG20" s="1646"/>
      <c r="DH20" s="1646"/>
      <c r="DI20" s="1646"/>
      <c r="DJ20" s="1646"/>
      <c r="DK20" s="1646"/>
      <c r="DL20" s="1646"/>
      <c r="DM20" s="1646"/>
      <c r="DN20" s="1646"/>
      <c r="DO20" s="1646"/>
      <c r="DP20" s="1646"/>
      <c r="DQ20" s="1646"/>
      <c r="DR20" s="1646"/>
      <c r="DS20" s="1646"/>
      <c r="DT20" s="1646"/>
      <c r="DU20" s="1646"/>
      <c r="DV20" s="1646"/>
      <c r="DW20" s="1646"/>
      <c r="DX20" s="1646"/>
      <c r="DY20" s="1646"/>
      <c r="DZ20" s="1646"/>
      <c r="EA20" s="1646"/>
      <c r="EB20" s="1646"/>
      <c r="EC20" s="1646"/>
      <c r="ED20" s="1646"/>
      <c r="EE20" s="1646"/>
      <c r="EF20" s="1646"/>
      <c r="EG20" s="1646"/>
      <c r="EH20" s="1646"/>
      <c r="EI20" s="1646"/>
      <c r="EJ20" s="1646"/>
      <c r="EK20" s="1646"/>
      <c r="EL20" s="1646"/>
      <c r="EM20" s="1646"/>
      <c r="EN20" s="1646"/>
      <c r="EO20" s="1646"/>
      <c r="EP20" s="1646"/>
      <c r="EQ20" s="1646"/>
      <c r="ER20" s="1646"/>
    </row>
    <row r="21" spans="1:153" ht="15.75" customHeight="1">
      <c r="A21" s="1646" t="s">
        <v>93</v>
      </c>
      <c r="B21" s="1984" t="s">
        <v>1384</v>
      </c>
      <c r="C21" s="1985"/>
      <c r="D21" s="1985"/>
      <c r="E21" s="1985"/>
      <c r="F21" s="1985"/>
      <c r="G21" s="1985"/>
      <c r="H21" s="1985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</row>
  </sheetData>
  <mergeCells count="9">
    <mergeCell ref="B19:H19"/>
    <mergeCell ref="B20:H20"/>
    <mergeCell ref="B21:H21"/>
    <mergeCell ref="A3:H3"/>
    <mergeCell ref="A6:A7"/>
    <mergeCell ref="B6:B7"/>
    <mergeCell ref="C6:D6"/>
    <mergeCell ref="E6:F6"/>
    <mergeCell ref="G6:H6"/>
  </mergeCells>
  <pageMargins left="0.78740157480314965" right="0.51181102362204722" top="0.59055118110236227" bottom="0.39370078740157483" header="0.19685039370078741" footer="0.19685039370078741"/>
  <pageSetup paperSize="9" scale="65" orientation="portrait" r:id="rId1"/>
  <headerFooter alignWithMargins="0"/>
</worksheet>
</file>

<file path=xl/worksheets/sheet1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39997558519241921"/>
  </sheetPr>
  <dimension ref="A1:EW36"/>
  <sheetViews>
    <sheetView view="pageBreakPreview" zoomScaleNormal="100" workbookViewId="0">
      <pane ySplit="7" topLeftCell="A17" activePane="bottomLeft" state="frozen"/>
      <selection activeCell="D9" sqref="D9"/>
      <selection pane="bottomLeft" activeCell="L13" sqref="L13"/>
    </sheetView>
  </sheetViews>
  <sheetFormatPr defaultColWidth="2.7109375" defaultRowHeight="15"/>
  <cols>
    <col min="1" max="1" width="6.5703125" style="1" customWidth="1"/>
    <col min="2" max="2" width="49" style="1" customWidth="1"/>
    <col min="3" max="8" width="13.7109375" style="1" customWidth="1"/>
    <col min="9" max="60" width="8.28515625" style="1" customWidth="1"/>
    <col min="61" max="16384" width="2.7109375" style="1"/>
  </cols>
  <sheetData>
    <row r="1" spans="1:12" s="5" customFormat="1" ht="18" customHeight="1">
      <c r="A1" s="74" t="s">
        <v>1860</v>
      </c>
      <c r="H1" s="6" t="s">
        <v>1464</v>
      </c>
    </row>
    <row r="2" spans="1:12" ht="12.75" customHeight="1">
      <c r="A2" s="1218" t="s">
        <v>1678</v>
      </c>
    </row>
    <row r="3" spans="1:12" ht="29.25" customHeight="1">
      <c r="A3" s="1980" t="s">
        <v>1465</v>
      </c>
      <c r="B3" s="1980"/>
      <c r="C3" s="1980"/>
      <c r="D3" s="1980"/>
      <c r="E3" s="1980"/>
      <c r="F3" s="1980"/>
      <c r="G3" s="1980"/>
      <c r="H3" s="1980"/>
    </row>
    <row r="4" spans="1:12" ht="12.75" customHeight="1">
      <c r="B4" s="769"/>
      <c r="C4" s="769"/>
      <c r="D4" s="769"/>
      <c r="E4" s="769"/>
      <c r="F4" s="769"/>
      <c r="G4" s="769"/>
      <c r="H4" s="769"/>
    </row>
    <row r="5" spans="1:12" ht="14.25" customHeight="1">
      <c r="A5" s="812"/>
      <c r="H5" s="23"/>
    </row>
    <row r="6" spans="1:12" s="3" customFormat="1" ht="15" customHeight="1">
      <c r="A6" s="1858" t="s">
        <v>0</v>
      </c>
      <c r="B6" s="1858" t="s">
        <v>1293</v>
      </c>
      <c r="C6" s="1981" t="s">
        <v>1336</v>
      </c>
      <c r="D6" s="1983"/>
      <c r="E6" s="1981" t="s">
        <v>1337</v>
      </c>
      <c r="F6" s="1983"/>
      <c r="G6" s="1981" t="s">
        <v>1715</v>
      </c>
      <c r="H6" s="1983"/>
    </row>
    <row r="7" spans="1:12" s="3" customFormat="1" ht="105">
      <c r="A7" s="1971"/>
      <c r="B7" s="1971"/>
      <c r="C7" s="822" t="s">
        <v>1353</v>
      </c>
      <c r="D7" s="822" t="s">
        <v>1354</v>
      </c>
      <c r="E7" s="822" t="s">
        <v>1353</v>
      </c>
      <c r="F7" s="822" t="s">
        <v>1354</v>
      </c>
      <c r="G7" s="822" t="s">
        <v>1353</v>
      </c>
      <c r="H7" s="822" t="s">
        <v>1354</v>
      </c>
    </row>
    <row r="8" spans="1:12" s="2" customFormat="1">
      <c r="A8" s="13">
        <v>1</v>
      </c>
      <c r="B8" s="13">
        <v>2</v>
      </c>
      <c r="C8" s="13">
        <v>3</v>
      </c>
      <c r="D8" s="13">
        <v>4</v>
      </c>
      <c r="E8" s="13">
        <v>5</v>
      </c>
      <c r="F8" s="13">
        <v>6</v>
      </c>
      <c r="G8" s="13">
        <v>7</v>
      </c>
      <c r="H8" s="13">
        <v>8</v>
      </c>
    </row>
    <row r="9" spans="1:12" s="41" customFormat="1">
      <c r="A9" s="60" t="s">
        <v>89</v>
      </c>
      <c r="B9" s="68" t="s">
        <v>1345</v>
      </c>
      <c r="C9" s="818"/>
      <c r="D9" s="818">
        <v>1401960.10096</v>
      </c>
      <c r="E9" s="818"/>
      <c r="F9" s="834">
        <v>1587923.97415744</v>
      </c>
      <c r="G9" s="818"/>
      <c r="H9" s="834">
        <v>1672399.7746439604</v>
      </c>
      <c r="K9" s="1209"/>
      <c r="L9" s="1209"/>
    </row>
    <row r="10" spans="1:12" s="832" customFormat="1" ht="15" customHeight="1">
      <c r="A10" s="829" t="s">
        <v>91</v>
      </c>
      <c r="B10" s="830" t="s">
        <v>1466</v>
      </c>
      <c r="C10" s="831"/>
      <c r="D10" s="1225">
        <v>878923.982180855</v>
      </c>
      <c r="E10" s="831"/>
      <c r="F10" s="818">
        <v>988110.83000000007</v>
      </c>
      <c r="G10" s="831"/>
      <c r="H10" s="818">
        <v>999167.61756000004</v>
      </c>
    </row>
    <row r="11" spans="1:12" s="832" customFormat="1" ht="45">
      <c r="A11" s="829" t="s">
        <v>93</v>
      </c>
      <c r="B11" s="833" t="s">
        <v>1467</v>
      </c>
      <c r="C11" s="849"/>
      <c r="D11" s="849">
        <v>1066137.2701910492</v>
      </c>
      <c r="E11" s="849"/>
      <c r="F11" s="849">
        <v>1096929.0303324086</v>
      </c>
      <c r="G11" s="849"/>
      <c r="H11" s="849">
        <v>1139744.6916551387</v>
      </c>
    </row>
    <row r="12" spans="1:12" s="41" customFormat="1">
      <c r="A12" s="60" t="s">
        <v>95</v>
      </c>
      <c r="B12" s="70" t="s">
        <v>1468</v>
      </c>
      <c r="C12" s="835"/>
      <c r="D12" s="826">
        <v>116805.31940495147</v>
      </c>
      <c r="E12" s="835"/>
      <c r="F12" s="826">
        <v>332876.22893248819</v>
      </c>
      <c r="G12" s="835"/>
      <c r="H12" s="826">
        <v>284477.970599505</v>
      </c>
      <c r="I12" s="41" t="s">
        <v>1469</v>
      </c>
    </row>
    <row r="13" spans="1:12" s="41" customFormat="1" ht="60">
      <c r="A13" s="60" t="s">
        <v>97</v>
      </c>
      <c r="B13" s="68" t="s">
        <v>1689</v>
      </c>
      <c r="C13" s="835"/>
      <c r="D13" s="1211">
        <v>-59759.982230986468</v>
      </c>
      <c r="E13" s="835"/>
      <c r="F13" s="835">
        <v>450819</v>
      </c>
      <c r="G13" s="835"/>
      <c r="H13" s="835"/>
    </row>
    <row r="14" spans="1:12" s="41" customFormat="1" ht="45">
      <c r="A14" s="60" t="s">
        <v>582</v>
      </c>
      <c r="B14" s="68" t="s">
        <v>1471</v>
      </c>
      <c r="C14" s="835"/>
      <c r="D14" s="835"/>
      <c r="E14" s="835"/>
      <c r="F14" s="835">
        <v>1245878</v>
      </c>
      <c r="G14" s="835"/>
      <c r="H14" s="835"/>
    </row>
    <row r="15" spans="1:12" s="41" customFormat="1" ht="45">
      <c r="A15" s="60" t="s">
        <v>615</v>
      </c>
      <c r="B15" s="68" t="s">
        <v>1472</v>
      </c>
      <c r="C15" s="835"/>
      <c r="D15" s="835"/>
      <c r="E15" s="835"/>
      <c r="F15" s="835"/>
      <c r="G15" s="835"/>
      <c r="H15" s="835"/>
    </row>
    <row r="16" spans="1:12" s="41" customFormat="1" ht="30">
      <c r="A16" s="60" t="s">
        <v>649</v>
      </c>
      <c r="B16" s="70" t="s">
        <v>1473</v>
      </c>
      <c r="C16" s="818"/>
      <c r="D16" s="818"/>
      <c r="E16" s="818"/>
      <c r="F16" s="818"/>
      <c r="G16" s="818"/>
      <c r="H16" s="818"/>
    </row>
    <row r="17" spans="1:153" s="41" customFormat="1" ht="120">
      <c r="A17" s="60" t="s">
        <v>1028</v>
      </c>
      <c r="B17" s="850" t="s">
        <v>1474</v>
      </c>
      <c r="C17" s="850"/>
      <c r="D17" s="850"/>
      <c r="E17" s="850"/>
      <c r="F17" s="850"/>
      <c r="G17" s="850"/>
      <c r="H17" s="850"/>
      <c r="I17" s="851"/>
      <c r="J17" s="851"/>
      <c r="K17" s="851"/>
      <c r="L17" s="851"/>
      <c r="M17" s="851"/>
      <c r="N17" s="851"/>
      <c r="O17" s="851"/>
      <c r="P17" s="851"/>
      <c r="Q17" s="851"/>
      <c r="R17" s="851"/>
      <c r="S17" s="851"/>
      <c r="T17" s="851"/>
      <c r="U17" s="851"/>
      <c r="V17" s="851"/>
      <c r="W17" s="851"/>
      <c r="X17" s="851"/>
      <c r="Y17" s="851"/>
      <c r="Z17" s="851"/>
      <c r="AA17" s="851"/>
      <c r="AB17" s="851"/>
      <c r="AC17" s="851"/>
      <c r="AD17" s="851"/>
      <c r="AE17" s="851"/>
      <c r="AF17" s="851"/>
      <c r="AG17" s="851"/>
      <c r="AH17" s="851"/>
      <c r="AI17" s="851"/>
      <c r="AJ17" s="851"/>
      <c r="AK17" s="851"/>
      <c r="AL17" s="851"/>
      <c r="AM17" s="851"/>
    </row>
    <row r="18" spans="1:153" s="41" customFormat="1">
      <c r="A18" s="60" t="s">
        <v>1309</v>
      </c>
      <c r="B18" s="70" t="s">
        <v>1475</v>
      </c>
      <c r="C18" s="818"/>
      <c r="D18" s="818">
        <f>SUM(D9:D17)</f>
        <v>3404066.6905058688</v>
      </c>
      <c r="E18" s="818"/>
      <c r="F18" s="818">
        <f>SUM(F9:F17)</f>
        <v>5702537.0634223372</v>
      </c>
      <c r="G18" s="818"/>
      <c r="H18" s="818">
        <f>SUM(H9:H17)</f>
        <v>4095790.0544586042</v>
      </c>
    </row>
    <row r="19" spans="1:153" s="41" customFormat="1">
      <c r="A19" s="60" t="s">
        <v>1451</v>
      </c>
      <c r="B19" s="70" t="s">
        <v>1476</v>
      </c>
      <c r="C19" s="818"/>
      <c r="D19" s="818"/>
      <c r="E19" s="818"/>
      <c r="F19" s="818"/>
      <c r="G19" s="818"/>
      <c r="H19" s="818"/>
    </row>
    <row r="20" spans="1:153">
      <c r="B20" s="852" t="s">
        <v>1477</v>
      </c>
      <c r="C20" s="253"/>
      <c r="D20" s="1268">
        <f>D12/D18*100</f>
        <v>3.4313463872704961</v>
      </c>
      <c r="E20" s="1269"/>
      <c r="F20" s="1268">
        <f>F12/F18*100</f>
        <v>5.8373356495593711</v>
      </c>
      <c r="G20" s="1269"/>
      <c r="H20" s="1268">
        <f>H12/H18*100</f>
        <v>6.9456189603719398</v>
      </c>
      <c r="I20" s="1" t="s">
        <v>1478</v>
      </c>
    </row>
    <row r="21" spans="1:153">
      <c r="B21" s="1783"/>
      <c r="C21" s="1776"/>
      <c r="D21" s="1784"/>
      <c r="E21" s="1785"/>
      <c r="F21" s="1784"/>
      <c r="G21" s="1785"/>
      <c r="H21" s="1784"/>
    </row>
    <row r="22" spans="1:153">
      <c r="B22" s="1783"/>
      <c r="C22" s="1776"/>
      <c r="D22" s="1784"/>
      <c r="E22" s="1785"/>
      <c r="F22" s="1786">
        <f>F18/'4.6_КТЭЦ свод с косв.'!K97</f>
        <v>6625.2717922940983</v>
      </c>
      <c r="G22" s="1787"/>
      <c r="H22" s="1786">
        <f>H18/'4.6_КТЭЦ свод с косв.'!N97</f>
        <v>4758.5350192670185</v>
      </c>
    </row>
    <row r="23" spans="1:153">
      <c r="B23" s="1783"/>
      <c r="C23" s="1776"/>
      <c r="D23" s="1784"/>
      <c r="E23" s="1785"/>
      <c r="F23" s="1784"/>
      <c r="G23" s="1785"/>
      <c r="H23" s="1784"/>
    </row>
    <row r="24" spans="1:153">
      <c r="B24" s="1783"/>
      <c r="C24" s="1776"/>
      <c r="D24" s="1784"/>
      <c r="E24" s="1785"/>
      <c r="F24" s="1784"/>
      <c r="G24" s="1785"/>
      <c r="H24" s="1784"/>
    </row>
    <row r="25" spans="1:153" s="26" customFormat="1">
      <c r="A25" s="26" t="s">
        <v>88</v>
      </c>
    </row>
    <row r="26" spans="1:153" s="773" customFormat="1" ht="15" customHeight="1">
      <c r="A26" s="819" t="s">
        <v>89</v>
      </c>
      <c r="B26" s="26" t="s">
        <v>1346</v>
      </c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819"/>
      <c r="EI26" s="819"/>
      <c r="EJ26" s="819"/>
      <c r="EK26" s="819"/>
      <c r="EL26" s="819"/>
      <c r="EM26" s="819"/>
      <c r="EN26" s="819"/>
      <c r="EO26" s="819"/>
      <c r="EP26" s="819"/>
      <c r="EQ26" s="819"/>
      <c r="ER26" s="819"/>
      <c r="ES26" s="819"/>
      <c r="ET26" s="819"/>
      <c r="EU26" s="819"/>
      <c r="EV26" s="819"/>
      <c r="EW26" s="819"/>
    </row>
    <row r="27" spans="1:153" s="773" customFormat="1">
      <c r="A27" s="819" t="s">
        <v>91</v>
      </c>
      <c r="B27" s="26" t="s">
        <v>1479</v>
      </c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</row>
    <row r="28" spans="1:153" ht="15" customHeight="1">
      <c r="A28" s="819" t="s">
        <v>93</v>
      </c>
      <c r="B28" s="26" t="s">
        <v>1480</v>
      </c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819"/>
      <c r="EI28" s="819"/>
      <c r="EJ28" s="819"/>
      <c r="EK28" s="819"/>
      <c r="EL28" s="819"/>
      <c r="EM28" s="819"/>
      <c r="EN28" s="819"/>
      <c r="EO28" s="819"/>
      <c r="EP28" s="819"/>
      <c r="EQ28" s="819"/>
      <c r="ER28" s="819"/>
    </row>
    <row r="29" spans="1:153" ht="17.25" customHeight="1">
      <c r="A29" s="819" t="s">
        <v>95</v>
      </c>
      <c r="B29" s="26" t="s">
        <v>1481</v>
      </c>
      <c r="C29" s="106"/>
      <c r="D29" s="106"/>
      <c r="E29" s="106"/>
      <c r="F29" s="106"/>
      <c r="G29" s="106"/>
      <c r="H29" s="106"/>
      <c r="I29" s="106"/>
      <c r="J29" s="106"/>
      <c r="K29" s="106"/>
      <c r="L29" s="106"/>
      <c r="M29" s="106"/>
      <c r="N29" s="106"/>
      <c r="O29" s="106"/>
      <c r="P29" s="106"/>
      <c r="Q29" s="106"/>
      <c r="R29" s="106"/>
      <c r="S29" s="106"/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6"/>
      <c r="AJ29" s="106"/>
      <c r="AK29" s="106"/>
      <c r="AL29" s="106"/>
      <c r="AM29" s="106"/>
      <c r="AN29" s="106"/>
      <c r="AO29" s="106"/>
      <c r="AP29" s="106"/>
      <c r="AQ29" s="106"/>
      <c r="AR29" s="106"/>
      <c r="AS29" s="106"/>
      <c r="AT29" s="106"/>
      <c r="AU29" s="106"/>
      <c r="AV29" s="106"/>
      <c r="AW29" s="106"/>
      <c r="AX29" s="106"/>
      <c r="AY29" s="106"/>
      <c r="AZ29" s="106"/>
      <c r="BA29" s="106"/>
      <c r="BB29" s="106"/>
      <c r="BC29" s="106"/>
      <c r="BD29" s="106"/>
      <c r="BE29" s="106"/>
      <c r="BF29" s="106"/>
      <c r="BG29" s="106"/>
      <c r="BH29" s="106"/>
      <c r="BI29" s="106"/>
      <c r="BJ29" s="106"/>
      <c r="BK29" s="106"/>
      <c r="BL29" s="106"/>
      <c r="BM29" s="106"/>
      <c r="BN29" s="106"/>
      <c r="BO29" s="106"/>
      <c r="BP29" s="106"/>
      <c r="BQ29" s="106"/>
      <c r="BR29" s="106"/>
      <c r="BS29" s="106"/>
      <c r="BT29" s="106"/>
      <c r="BU29" s="106"/>
      <c r="BV29" s="106"/>
      <c r="BW29" s="106"/>
      <c r="BX29" s="106"/>
      <c r="BY29" s="106"/>
      <c r="BZ29" s="106"/>
      <c r="CA29" s="106"/>
      <c r="CB29" s="106"/>
      <c r="CC29" s="106"/>
      <c r="CD29" s="106"/>
      <c r="CE29" s="106"/>
      <c r="CF29" s="106"/>
      <c r="CG29" s="106"/>
      <c r="CH29" s="106"/>
      <c r="CI29" s="106"/>
      <c r="CJ29" s="106"/>
      <c r="CK29" s="106"/>
      <c r="CL29" s="106"/>
      <c r="CM29" s="106"/>
      <c r="CN29" s="106"/>
      <c r="CO29" s="106"/>
      <c r="CP29" s="106"/>
      <c r="CQ29" s="106"/>
      <c r="CR29" s="106"/>
      <c r="CS29" s="106"/>
      <c r="CT29" s="106"/>
      <c r="CU29" s="106"/>
      <c r="CV29" s="106"/>
      <c r="CW29" s="106"/>
      <c r="CX29" s="106"/>
      <c r="CY29" s="106"/>
      <c r="CZ29" s="106"/>
      <c r="DA29" s="106"/>
      <c r="DB29" s="106"/>
      <c r="DC29" s="106"/>
      <c r="DD29" s="106"/>
      <c r="DE29" s="106"/>
      <c r="DF29" s="106"/>
      <c r="DG29" s="106"/>
      <c r="DH29" s="106"/>
      <c r="DI29" s="106"/>
      <c r="DJ29" s="106"/>
      <c r="DK29" s="106"/>
      <c r="DL29" s="106"/>
      <c r="DM29" s="106"/>
      <c r="DN29" s="106"/>
      <c r="DO29" s="106"/>
      <c r="DP29" s="106"/>
      <c r="DQ29" s="106"/>
      <c r="DR29" s="106"/>
      <c r="DS29" s="106"/>
      <c r="DT29" s="106"/>
      <c r="DU29" s="106"/>
      <c r="DV29" s="106"/>
      <c r="DW29" s="106"/>
      <c r="DX29" s="106"/>
      <c r="DY29" s="106"/>
      <c r="DZ29" s="106"/>
      <c r="EA29" s="106"/>
      <c r="EB29" s="106"/>
      <c r="EC29" s="106"/>
      <c r="ED29" s="106"/>
      <c r="EE29" s="106"/>
      <c r="EF29" s="106"/>
      <c r="EG29" s="106"/>
      <c r="EH29" s="819"/>
      <c r="EI29" s="819"/>
      <c r="EJ29" s="819"/>
      <c r="EK29" s="819"/>
      <c r="EL29" s="819"/>
      <c r="EM29" s="819"/>
      <c r="EN29" s="819"/>
      <c r="EO29" s="819"/>
      <c r="EP29" s="819"/>
      <c r="EQ29" s="819"/>
      <c r="ER29" s="819"/>
    </row>
    <row r="30" spans="1:153">
      <c r="A30" s="1" t="s">
        <v>97</v>
      </c>
      <c r="B30" s="26" t="s">
        <v>1482</v>
      </c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</row>
    <row r="31" spans="1:153">
      <c r="A31" s="1" t="s">
        <v>582</v>
      </c>
      <c r="B31" s="26" t="s">
        <v>1483</v>
      </c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</row>
    <row r="32" spans="1:153">
      <c r="B32" s="26" t="s">
        <v>1484</v>
      </c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</row>
    <row r="33" spans="1:137">
      <c r="B33" s="26" t="s">
        <v>1485</v>
      </c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</row>
    <row r="34" spans="1:137">
      <c r="B34" s="26" t="s">
        <v>1486</v>
      </c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</row>
    <row r="35" spans="1:137">
      <c r="A35" s="1" t="s">
        <v>615</v>
      </c>
      <c r="B35" s="26" t="s">
        <v>1487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</row>
    <row r="36" spans="1:137">
      <c r="A36" s="1" t="s">
        <v>649</v>
      </c>
      <c r="B36" s="26" t="s">
        <v>1488</v>
      </c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</row>
  </sheetData>
  <mergeCells count="6">
    <mergeCell ref="A3:H3"/>
    <mergeCell ref="A6:A7"/>
    <mergeCell ref="B6:B7"/>
    <mergeCell ref="C6:D6"/>
    <mergeCell ref="E6:F6"/>
    <mergeCell ref="G6:H6"/>
  </mergeCells>
  <pageMargins left="0.78740157480314965" right="0.51181102362204722" top="0.59055118110236227" bottom="0.39370078740157483" header="0.19685039370078741" footer="0.19685039370078741"/>
  <pageSetup paperSize="9" scale="65" orientation="portrait" r:id="rId1"/>
  <headerFooter alignWithMargins="0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BF55"/>
  <sheetViews>
    <sheetView view="pageBreakPreview" zoomScale="90" zoomScaleNormal="100" zoomScaleSheetLayoutView="90" workbookViewId="0">
      <pane xSplit="2" ySplit="6" topLeftCell="AP36" activePane="bottomRight" state="frozen"/>
      <selection activeCell="BB6" sqref="BB6"/>
      <selection pane="topRight" activeCell="BB6" sqref="BB6"/>
      <selection pane="bottomLeft" activeCell="BB6" sqref="BB6"/>
      <selection pane="bottomRight" activeCell="BG2" sqref="BG2"/>
    </sheetView>
  </sheetViews>
  <sheetFormatPr defaultColWidth="7.85546875" defaultRowHeight="12" customHeight="1"/>
  <cols>
    <col min="1" max="1" width="4.28515625" style="26" customWidth="1"/>
    <col min="2" max="2" width="30.140625" style="26" customWidth="1"/>
    <col min="3" max="6" width="13.85546875" style="26" hidden="1" customWidth="1"/>
    <col min="7" max="10" width="13.7109375" style="26" hidden="1" customWidth="1"/>
    <col min="11" max="30" width="13.7109375" style="26" customWidth="1"/>
    <col min="31" max="31" width="14.5703125" style="26" customWidth="1"/>
    <col min="32" max="32" width="12" style="26" customWidth="1"/>
    <col min="33" max="33" width="14.28515625" style="26" customWidth="1"/>
    <col min="34" max="34" width="11.42578125" style="26" customWidth="1"/>
    <col min="35" max="35" width="13.7109375" style="26" customWidth="1"/>
    <col min="36" max="36" width="11.85546875" style="26" customWidth="1"/>
    <col min="37" max="37" width="13.7109375" style="26" customWidth="1"/>
    <col min="38" max="38" width="12" style="26" customWidth="1"/>
    <col min="39" max="41" width="12.140625" style="26" customWidth="1"/>
    <col min="42" max="42" width="11.28515625" style="26" customWidth="1"/>
    <col min="43" max="43" width="12.140625" style="26" customWidth="1"/>
    <col min="44" max="44" width="10.85546875" style="26" customWidth="1"/>
    <col min="45" max="45" width="12.140625" style="26" customWidth="1"/>
    <col min="46" max="58" width="11.7109375" style="26" customWidth="1"/>
    <col min="59" max="16384" width="7.85546875" style="26"/>
  </cols>
  <sheetData>
    <row r="1" spans="1:58" s="24" customFormat="1" ht="18" customHeight="1">
      <c r="A1" s="74" t="s">
        <v>1860</v>
      </c>
      <c r="N1" s="25"/>
      <c r="Z1" s="25" t="s">
        <v>113</v>
      </c>
      <c r="AL1" s="25"/>
      <c r="AT1" s="25" t="s">
        <v>113</v>
      </c>
      <c r="BF1" s="25" t="s">
        <v>113</v>
      </c>
    </row>
    <row r="2" spans="1:58" ht="16.5" customHeight="1">
      <c r="A2" s="589" t="str">
        <f>'4.1_котельные'!A2</f>
        <v>ПКГО - выработка котельными</v>
      </c>
    </row>
    <row r="3" spans="1:58" ht="21" customHeight="1">
      <c r="A3" s="1788"/>
      <c r="B3" s="1789"/>
      <c r="C3" s="1789"/>
      <c r="D3" s="1789"/>
      <c r="E3" s="1789"/>
      <c r="F3" s="1788" t="s">
        <v>114</v>
      </c>
      <c r="G3" s="1789"/>
      <c r="H3" s="1789"/>
      <c r="I3" s="1789"/>
      <c r="J3" s="1789"/>
      <c r="K3" s="1789"/>
      <c r="L3" s="1789"/>
      <c r="M3" s="1789"/>
      <c r="N3" s="1789"/>
      <c r="O3" s="1560"/>
      <c r="P3" s="1560"/>
      <c r="Q3" s="1560"/>
      <c r="R3" s="1560"/>
      <c r="S3" s="1788" t="s">
        <v>114</v>
      </c>
      <c r="T3" s="1560"/>
      <c r="U3" s="1560"/>
      <c r="V3" s="1560"/>
      <c r="W3" s="1560"/>
      <c r="X3" s="1560"/>
      <c r="Y3" s="1560"/>
      <c r="Z3" s="1560"/>
      <c r="AA3" s="1575"/>
      <c r="AB3" s="1575"/>
      <c r="AC3" s="1575"/>
      <c r="AD3" s="1575"/>
      <c r="AE3" s="1788" t="s">
        <v>114</v>
      </c>
      <c r="AF3" s="1575"/>
      <c r="AG3" s="1575"/>
      <c r="AH3" s="1575"/>
      <c r="AI3" s="1560"/>
      <c r="AJ3" s="1560"/>
      <c r="AK3" s="1560"/>
      <c r="AL3" s="1560"/>
      <c r="AZ3" s="1788" t="s">
        <v>114</v>
      </c>
    </row>
    <row r="4" spans="1:58" s="544" customFormat="1" ht="15" customHeight="1">
      <c r="S4" s="1275"/>
      <c r="T4" s="1275"/>
      <c r="U4" s="1275"/>
      <c r="V4" s="1275"/>
      <c r="W4" s="1275"/>
      <c r="X4" s="1275"/>
      <c r="Y4" s="1275"/>
      <c r="Z4" s="1275"/>
      <c r="AA4" s="1579"/>
      <c r="AB4" s="1579"/>
      <c r="AC4" s="1579"/>
      <c r="AD4" s="1579"/>
      <c r="AE4" s="1579"/>
      <c r="AF4" s="1579"/>
      <c r="AG4" s="1579"/>
      <c r="AH4" s="1579"/>
      <c r="AU4" s="1628"/>
      <c r="AV4" s="1628"/>
      <c r="AW4" s="1628"/>
      <c r="AX4" s="1628"/>
      <c r="AY4" s="1628"/>
      <c r="AZ4" s="1628"/>
      <c r="BA4" s="1628"/>
      <c r="BB4" s="1628"/>
      <c r="BC4" s="1628"/>
      <c r="BD4" s="1628"/>
      <c r="BE4" s="1628"/>
      <c r="BF4" s="1628"/>
    </row>
    <row r="5" spans="1:58" s="31" customFormat="1" ht="27" customHeight="1">
      <c r="A5" s="1873" t="s">
        <v>0</v>
      </c>
      <c r="B5" s="1858" t="s">
        <v>1</v>
      </c>
      <c r="C5" s="1846" t="s">
        <v>1129</v>
      </c>
      <c r="D5" s="1846"/>
      <c r="E5" s="1846"/>
      <c r="F5" s="1834"/>
      <c r="G5" s="1874" t="s">
        <v>1130</v>
      </c>
      <c r="H5" s="1846"/>
      <c r="I5" s="1846"/>
      <c r="J5" s="1875"/>
      <c r="K5" s="1836" t="s">
        <v>1131</v>
      </c>
      <c r="L5" s="1846"/>
      <c r="M5" s="1846"/>
      <c r="N5" s="1834"/>
      <c r="O5" s="1874" t="s">
        <v>1695</v>
      </c>
      <c r="P5" s="1846"/>
      <c r="Q5" s="1846"/>
      <c r="R5" s="1875"/>
      <c r="S5" s="1836" t="s">
        <v>1696</v>
      </c>
      <c r="T5" s="1846"/>
      <c r="U5" s="1846"/>
      <c r="V5" s="1875"/>
      <c r="W5" s="1836" t="s">
        <v>1828</v>
      </c>
      <c r="X5" s="1846"/>
      <c r="Y5" s="1846"/>
      <c r="Z5" s="1875"/>
      <c r="AA5" s="1836" t="s">
        <v>1833</v>
      </c>
      <c r="AB5" s="1846"/>
      <c r="AC5" s="1846"/>
      <c r="AD5" s="1875"/>
      <c r="AE5" s="1844" t="s">
        <v>1861</v>
      </c>
      <c r="AF5" s="1845"/>
      <c r="AG5" s="1845"/>
      <c r="AH5" s="1871"/>
      <c r="AI5" s="1846" t="s">
        <v>1862</v>
      </c>
      <c r="AJ5" s="1846"/>
      <c r="AK5" s="1846"/>
      <c r="AL5" s="1846"/>
      <c r="AM5" s="1846" t="s">
        <v>767</v>
      </c>
      <c r="AN5" s="1846"/>
      <c r="AO5" s="1846"/>
      <c r="AP5" s="1846"/>
      <c r="AQ5" s="1846" t="s">
        <v>766</v>
      </c>
      <c r="AR5" s="1846"/>
      <c r="AS5" s="1846"/>
      <c r="AT5" s="1846"/>
      <c r="AU5" s="1846" t="s">
        <v>1863</v>
      </c>
      <c r="AV5" s="1846"/>
      <c r="AW5" s="1846"/>
      <c r="AX5" s="1846"/>
      <c r="AY5" s="1846" t="s">
        <v>767</v>
      </c>
      <c r="AZ5" s="1846"/>
      <c r="BA5" s="1846"/>
      <c r="BB5" s="1846"/>
      <c r="BC5" s="1846" t="s">
        <v>766</v>
      </c>
      <c r="BD5" s="1846"/>
      <c r="BE5" s="1846"/>
      <c r="BF5" s="1846"/>
    </row>
    <row r="6" spans="1:58" s="31" customFormat="1" ht="141.75" customHeight="1">
      <c r="A6" s="1873"/>
      <c r="B6" s="1860"/>
      <c r="C6" s="543" t="s">
        <v>115</v>
      </c>
      <c r="D6" s="543" t="s">
        <v>116</v>
      </c>
      <c r="E6" s="543" t="s">
        <v>117</v>
      </c>
      <c r="F6" s="1286" t="s">
        <v>118</v>
      </c>
      <c r="G6" s="1329" t="s">
        <v>115</v>
      </c>
      <c r="H6" s="1288" t="s">
        <v>116</v>
      </c>
      <c r="I6" s="1288" t="s">
        <v>117</v>
      </c>
      <c r="J6" s="1320" t="s">
        <v>118</v>
      </c>
      <c r="K6" s="1287" t="s">
        <v>115</v>
      </c>
      <c r="L6" s="543" t="s">
        <v>116</v>
      </c>
      <c r="M6" s="543" t="s">
        <v>117</v>
      </c>
      <c r="N6" s="1286" t="s">
        <v>118</v>
      </c>
      <c r="O6" s="1329" t="s">
        <v>115</v>
      </c>
      <c r="P6" s="1288" t="s">
        <v>116</v>
      </c>
      <c r="Q6" s="1288" t="s">
        <v>117</v>
      </c>
      <c r="R6" s="1320" t="s">
        <v>118</v>
      </c>
      <c r="S6" s="1287" t="s">
        <v>115</v>
      </c>
      <c r="T6" s="1288" t="s">
        <v>116</v>
      </c>
      <c r="U6" s="1288" t="s">
        <v>117</v>
      </c>
      <c r="V6" s="1320" t="s">
        <v>118</v>
      </c>
      <c r="W6" s="1287" t="s">
        <v>115</v>
      </c>
      <c r="X6" s="1288" t="s">
        <v>116</v>
      </c>
      <c r="Y6" s="1288" t="s">
        <v>117</v>
      </c>
      <c r="Z6" s="1320" t="s">
        <v>118</v>
      </c>
      <c r="AA6" s="1572" t="s">
        <v>115</v>
      </c>
      <c r="AB6" s="1574" t="s">
        <v>116</v>
      </c>
      <c r="AC6" s="1574" t="s">
        <v>117</v>
      </c>
      <c r="AD6" s="1578" t="s">
        <v>118</v>
      </c>
      <c r="AE6" s="1572" t="s">
        <v>115</v>
      </c>
      <c r="AF6" s="1574" t="s">
        <v>116</v>
      </c>
      <c r="AG6" s="1574" t="s">
        <v>117</v>
      </c>
      <c r="AH6" s="1578" t="s">
        <v>118</v>
      </c>
      <c r="AI6" s="1329" t="s">
        <v>115</v>
      </c>
      <c r="AJ6" s="1288" t="s">
        <v>116</v>
      </c>
      <c r="AK6" s="1288" t="s">
        <v>117</v>
      </c>
      <c r="AL6" s="1320" t="s">
        <v>118</v>
      </c>
      <c r="AM6" s="1329" t="s">
        <v>115</v>
      </c>
      <c r="AN6" s="1288" t="s">
        <v>116</v>
      </c>
      <c r="AO6" s="1288" t="s">
        <v>117</v>
      </c>
      <c r="AP6" s="1320" t="s">
        <v>118</v>
      </c>
      <c r="AQ6" s="1287" t="s">
        <v>115</v>
      </c>
      <c r="AR6" s="543" t="s">
        <v>116</v>
      </c>
      <c r="AS6" s="543" t="s">
        <v>117</v>
      </c>
      <c r="AT6" s="543" t="s">
        <v>118</v>
      </c>
      <c r="AU6" s="1626" t="s">
        <v>115</v>
      </c>
      <c r="AV6" s="1619" t="s">
        <v>116</v>
      </c>
      <c r="AW6" s="1619" t="s">
        <v>117</v>
      </c>
      <c r="AX6" s="1627" t="s">
        <v>118</v>
      </c>
      <c r="AY6" s="1626" t="s">
        <v>115</v>
      </c>
      <c r="AZ6" s="1619" t="s">
        <v>116</v>
      </c>
      <c r="BA6" s="1619" t="s">
        <v>117</v>
      </c>
      <c r="BB6" s="1627" t="s">
        <v>118</v>
      </c>
      <c r="BC6" s="1623" t="s">
        <v>115</v>
      </c>
      <c r="BD6" s="1619" t="s">
        <v>116</v>
      </c>
      <c r="BE6" s="1619" t="s">
        <v>117</v>
      </c>
      <c r="BF6" s="1619" t="s">
        <v>118</v>
      </c>
    </row>
    <row r="7" spans="1:58" s="53" customFormat="1" ht="13.5" customHeight="1">
      <c r="A7" s="8">
        <v>1</v>
      </c>
      <c r="B7" s="8">
        <v>2</v>
      </c>
      <c r="C7" s="8">
        <v>3</v>
      </c>
      <c r="D7" s="8">
        <v>4</v>
      </c>
      <c r="E7" s="8">
        <v>5</v>
      </c>
      <c r="F7" s="91">
        <v>6</v>
      </c>
      <c r="G7" s="1330">
        <v>7</v>
      </c>
      <c r="H7" s="54">
        <v>8</v>
      </c>
      <c r="I7" s="54">
        <v>9</v>
      </c>
      <c r="J7" s="1321">
        <v>10</v>
      </c>
      <c r="K7" s="8">
        <v>3</v>
      </c>
      <c r="L7" s="8">
        <v>4</v>
      </c>
      <c r="M7" s="8">
        <v>5</v>
      </c>
      <c r="N7" s="91">
        <v>6</v>
      </c>
      <c r="O7" s="1330">
        <v>7</v>
      </c>
      <c r="P7" s="54">
        <v>8</v>
      </c>
      <c r="Q7" s="54">
        <v>9</v>
      </c>
      <c r="R7" s="1321">
        <v>10</v>
      </c>
      <c r="S7" s="1314">
        <v>11</v>
      </c>
      <c r="T7" s="54">
        <v>12</v>
      </c>
      <c r="U7" s="54">
        <v>13</v>
      </c>
      <c r="V7" s="1339">
        <v>14</v>
      </c>
      <c r="W7" s="1330">
        <v>15</v>
      </c>
      <c r="X7" s="54">
        <v>16</v>
      </c>
      <c r="Y7" s="54">
        <v>17</v>
      </c>
      <c r="Z7" s="1321">
        <v>18</v>
      </c>
      <c r="AA7" s="1314">
        <v>19</v>
      </c>
      <c r="AB7" s="54">
        <v>20</v>
      </c>
      <c r="AC7" s="54">
        <v>21</v>
      </c>
      <c r="AD7" s="1339">
        <v>22</v>
      </c>
      <c r="AE7" s="1330">
        <v>23</v>
      </c>
      <c r="AF7" s="54">
        <v>24</v>
      </c>
      <c r="AG7" s="54">
        <v>25</v>
      </c>
      <c r="AH7" s="1321">
        <v>26</v>
      </c>
      <c r="AI7" s="1330">
        <v>27</v>
      </c>
      <c r="AJ7" s="54">
        <v>28</v>
      </c>
      <c r="AK7" s="54">
        <v>29</v>
      </c>
      <c r="AL7" s="1321">
        <v>30</v>
      </c>
      <c r="AM7" s="1330">
        <v>31</v>
      </c>
      <c r="AN7" s="54">
        <v>32</v>
      </c>
      <c r="AO7" s="54">
        <v>33</v>
      </c>
      <c r="AP7" s="1321">
        <v>34</v>
      </c>
      <c r="AQ7" s="1314">
        <v>35</v>
      </c>
      <c r="AR7" s="54">
        <v>36</v>
      </c>
      <c r="AS7" s="54">
        <v>37</v>
      </c>
      <c r="AT7" s="1339">
        <v>38</v>
      </c>
      <c r="AU7" s="1330">
        <v>39</v>
      </c>
      <c r="AV7" s="54">
        <v>40</v>
      </c>
      <c r="AW7" s="54">
        <v>41</v>
      </c>
      <c r="AX7" s="1321">
        <v>42</v>
      </c>
      <c r="AY7" s="1314">
        <v>43</v>
      </c>
      <c r="AZ7" s="54">
        <v>44</v>
      </c>
      <c r="BA7" s="54">
        <v>45</v>
      </c>
      <c r="BB7" s="54">
        <v>46</v>
      </c>
      <c r="BC7" s="1314">
        <v>47</v>
      </c>
      <c r="BD7" s="54">
        <v>48</v>
      </c>
      <c r="BE7" s="54">
        <v>49</v>
      </c>
      <c r="BF7" s="1339">
        <v>50</v>
      </c>
    </row>
    <row r="8" spans="1:58" s="77" customFormat="1" ht="32.25" customHeight="1">
      <c r="A8" s="119">
        <v>1</v>
      </c>
      <c r="B8" s="116" t="s">
        <v>119</v>
      </c>
      <c r="C8" s="118">
        <f>C9+C13+C18</f>
        <v>146.37</v>
      </c>
      <c r="D8" s="118">
        <f t="shared" ref="D8:AP8" si="0">D9+D13+D18</f>
        <v>0</v>
      </c>
      <c r="E8" s="118">
        <f t="shared" si="0"/>
        <v>457.00900000000001</v>
      </c>
      <c r="F8" s="1340">
        <f t="shared" si="0"/>
        <v>0</v>
      </c>
      <c r="G8" s="1331">
        <f t="shared" si="0"/>
        <v>145</v>
      </c>
      <c r="H8" s="118">
        <f t="shared" si="0"/>
        <v>0</v>
      </c>
      <c r="I8" s="118">
        <f t="shared" si="0"/>
        <v>410.57600000000002</v>
      </c>
      <c r="J8" s="1322">
        <f t="shared" si="0"/>
        <v>0</v>
      </c>
      <c r="K8" s="1315">
        <v>145</v>
      </c>
      <c r="L8" s="118">
        <v>0</v>
      </c>
      <c r="M8" s="118">
        <v>461.95</v>
      </c>
      <c r="N8" s="1340">
        <v>0</v>
      </c>
      <c r="O8" s="1331">
        <v>143.79300000000001</v>
      </c>
      <c r="P8" s="118">
        <v>0</v>
      </c>
      <c r="Q8" s="118">
        <v>399.63940000000008</v>
      </c>
      <c r="R8" s="1322">
        <v>0</v>
      </c>
      <c r="S8" s="1315">
        <v>145</v>
      </c>
      <c r="T8" s="118">
        <v>0</v>
      </c>
      <c r="U8" s="118">
        <v>466.08759999999995</v>
      </c>
      <c r="V8" s="1322">
        <v>0</v>
      </c>
      <c r="W8" s="1315">
        <v>143.79300000000001</v>
      </c>
      <c r="X8" s="118">
        <v>0</v>
      </c>
      <c r="Y8" s="118">
        <v>377.28214835200004</v>
      </c>
      <c r="Z8" s="1322">
        <v>0</v>
      </c>
      <c r="AA8" s="1315">
        <v>143.79300000000001</v>
      </c>
      <c r="AB8" s="118"/>
      <c r="AC8" s="118">
        <v>402.64040000000011</v>
      </c>
      <c r="AD8" s="1322">
        <v>0</v>
      </c>
      <c r="AE8" s="1315">
        <v>143.79300000000001</v>
      </c>
      <c r="AF8" s="118">
        <v>0</v>
      </c>
      <c r="AG8" s="118">
        <v>400.41050000000007</v>
      </c>
      <c r="AH8" s="1322">
        <v>0</v>
      </c>
      <c r="AI8" s="1331">
        <v>143.79300000000001</v>
      </c>
      <c r="AJ8" s="118">
        <v>0</v>
      </c>
      <c r="AK8" s="118">
        <v>389</v>
      </c>
      <c r="AL8" s="1322">
        <v>0</v>
      </c>
      <c r="AM8" s="1315">
        <v>143.79300000000001</v>
      </c>
      <c r="AN8" s="118">
        <v>0</v>
      </c>
      <c r="AO8" s="118">
        <v>237.10000000000002</v>
      </c>
      <c r="AP8" s="1322">
        <v>0</v>
      </c>
      <c r="AQ8" s="1315">
        <v>143.79300000000001</v>
      </c>
      <c r="AR8" s="118">
        <v>0</v>
      </c>
      <c r="AS8" s="118">
        <v>151.9</v>
      </c>
      <c r="AT8" s="1322">
        <v>0</v>
      </c>
      <c r="AU8" s="1331">
        <v>143.79300000000001</v>
      </c>
      <c r="AV8" s="118">
        <v>0</v>
      </c>
      <c r="AW8" s="118">
        <v>389</v>
      </c>
      <c r="AX8" s="1322">
        <v>0</v>
      </c>
      <c r="AY8" s="1315">
        <v>143.79300000000001</v>
      </c>
      <c r="AZ8" s="118">
        <v>0</v>
      </c>
      <c r="BA8" s="118">
        <v>237.10000000000002</v>
      </c>
      <c r="BB8" s="1322">
        <v>0</v>
      </c>
      <c r="BC8" s="1315">
        <v>143.79300000000001</v>
      </c>
      <c r="BD8" s="118">
        <v>0</v>
      </c>
      <c r="BE8" s="118">
        <v>151.9</v>
      </c>
      <c r="BF8" s="1322">
        <v>0</v>
      </c>
    </row>
    <row r="9" spans="1:58" s="78" customFormat="1" ht="14.25">
      <c r="A9" s="86"/>
      <c r="B9" s="121" t="s">
        <v>120</v>
      </c>
      <c r="C9" s="122">
        <f t="shared" ref="C9:N9" si="1">C20+C31+C42</f>
        <v>146.37</v>
      </c>
      <c r="D9" s="122">
        <f t="shared" si="1"/>
        <v>0</v>
      </c>
      <c r="E9" s="122">
        <f t="shared" si="1"/>
        <v>457.00900000000001</v>
      </c>
      <c r="F9" s="1341">
        <f t="shared" si="1"/>
        <v>0</v>
      </c>
      <c r="G9" s="1332">
        <f t="shared" si="1"/>
        <v>144.80000000000001</v>
      </c>
      <c r="H9" s="122">
        <f t="shared" si="1"/>
        <v>0</v>
      </c>
      <c r="I9" s="122">
        <f t="shared" si="1"/>
        <v>408.82300000000004</v>
      </c>
      <c r="J9" s="1323">
        <f t="shared" si="1"/>
        <v>0</v>
      </c>
      <c r="K9" s="1316">
        <v>145</v>
      </c>
      <c r="L9" s="122">
        <v>0</v>
      </c>
      <c r="M9" s="122">
        <v>460.14499999999998</v>
      </c>
      <c r="N9" s="1341">
        <v>0</v>
      </c>
      <c r="O9" s="1332">
        <v>143.239</v>
      </c>
      <c r="P9" s="122">
        <v>0</v>
      </c>
      <c r="Q9" s="122">
        <v>398.27140000000009</v>
      </c>
      <c r="R9" s="1323">
        <v>0</v>
      </c>
      <c r="S9" s="1316">
        <v>144.80000000000001</v>
      </c>
      <c r="T9" s="122">
        <v>0</v>
      </c>
      <c r="U9" s="122">
        <v>464.30659999999995</v>
      </c>
      <c r="V9" s="1323">
        <v>0</v>
      </c>
      <c r="W9" s="1316">
        <v>143.239</v>
      </c>
      <c r="X9" s="122">
        <v>0</v>
      </c>
      <c r="Y9" s="122">
        <v>376.78214835200004</v>
      </c>
      <c r="Z9" s="1323">
        <v>0</v>
      </c>
      <c r="AA9" s="1316">
        <v>143.239</v>
      </c>
      <c r="AB9" s="122"/>
      <c r="AC9" s="122">
        <v>401.6296000000001</v>
      </c>
      <c r="AD9" s="1323">
        <v>0</v>
      </c>
      <c r="AE9" s="1316">
        <v>143.239</v>
      </c>
      <c r="AF9" s="122">
        <v>0</v>
      </c>
      <c r="AG9" s="122">
        <v>399.21450000000004</v>
      </c>
      <c r="AH9" s="1323">
        <v>0</v>
      </c>
      <c r="AI9" s="1332">
        <v>143.239</v>
      </c>
      <c r="AJ9" s="122">
        <v>0</v>
      </c>
      <c r="AK9" s="122">
        <v>387.80399999999997</v>
      </c>
      <c r="AL9" s="1323">
        <v>0</v>
      </c>
      <c r="AM9" s="1316">
        <v>143.239</v>
      </c>
      <c r="AN9" s="122">
        <v>0</v>
      </c>
      <c r="AO9" s="122">
        <v>236.60500000000002</v>
      </c>
      <c r="AP9" s="1323">
        <v>0</v>
      </c>
      <c r="AQ9" s="1316">
        <v>143.239</v>
      </c>
      <c r="AR9" s="122">
        <v>0</v>
      </c>
      <c r="AS9" s="122">
        <v>151.19900000000001</v>
      </c>
      <c r="AT9" s="1323">
        <v>0</v>
      </c>
      <c r="AU9" s="1332">
        <v>143.239</v>
      </c>
      <c r="AV9" s="122">
        <v>0</v>
      </c>
      <c r="AW9" s="122">
        <v>387.80399999999997</v>
      </c>
      <c r="AX9" s="1323">
        <v>0</v>
      </c>
      <c r="AY9" s="1316">
        <v>143.239</v>
      </c>
      <c r="AZ9" s="122">
        <v>0</v>
      </c>
      <c r="BA9" s="122">
        <v>236.60500000000002</v>
      </c>
      <c r="BB9" s="1323">
        <v>0</v>
      </c>
      <c r="BC9" s="1316">
        <v>143.239</v>
      </c>
      <c r="BD9" s="122">
        <v>0</v>
      </c>
      <c r="BE9" s="122">
        <v>151.19900000000001</v>
      </c>
      <c r="BF9" s="1323">
        <v>0</v>
      </c>
    </row>
    <row r="10" spans="1:58" s="1280" customFormat="1" ht="15">
      <c r="A10" s="1278"/>
      <c r="B10" s="1281" t="s">
        <v>1697</v>
      </c>
      <c r="C10" s="1279"/>
      <c r="D10" s="1279"/>
      <c r="E10" s="1279"/>
      <c r="F10" s="1342"/>
      <c r="G10" s="1348"/>
      <c r="H10" s="1279"/>
      <c r="I10" s="1279"/>
      <c r="J10" s="1338"/>
      <c r="K10" s="1347"/>
      <c r="L10" s="1279"/>
      <c r="M10" s="1279"/>
      <c r="N10" s="1342"/>
      <c r="O10" s="1333">
        <v>0</v>
      </c>
      <c r="P10" s="616">
        <v>0</v>
      </c>
      <c r="Q10" s="616">
        <v>0</v>
      </c>
      <c r="R10" s="1324">
        <v>0</v>
      </c>
      <c r="S10" s="1347"/>
      <c r="T10" s="1279"/>
      <c r="U10" s="1279"/>
      <c r="V10" s="1338"/>
      <c r="W10" s="1317">
        <v>0</v>
      </c>
      <c r="X10" s="616">
        <v>0</v>
      </c>
      <c r="Y10" s="616">
        <v>0</v>
      </c>
      <c r="Z10" s="1324">
        <v>0</v>
      </c>
      <c r="AA10" s="1317">
        <v>0</v>
      </c>
      <c r="AB10" s="616"/>
      <c r="AC10" s="616">
        <v>0</v>
      </c>
      <c r="AD10" s="1324"/>
      <c r="AE10" s="1317">
        <v>0</v>
      </c>
      <c r="AF10" s="616">
        <v>0</v>
      </c>
      <c r="AG10" s="616">
        <v>0</v>
      </c>
      <c r="AH10" s="1324">
        <v>0</v>
      </c>
      <c r="AI10" s="1333">
        <v>0</v>
      </c>
      <c r="AJ10" s="616">
        <v>0</v>
      </c>
      <c r="AK10" s="616">
        <v>0</v>
      </c>
      <c r="AL10" s="1324">
        <v>0</v>
      </c>
      <c r="AM10" s="1317">
        <v>0</v>
      </c>
      <c r="AN10" s="616">
        <v>0</v>
      </c>
      <c r="AO10" s="616">
        <v>0</v>
      </c>
      <c r="AP10" s="1324">
        <v>0</v>
      </c>
      <c r="AQ10" s="1317">
        <v>0</v>
      </c>
      <c r="AR10" s="616">
        <v>0</v>
      </c>
      <c r="AS10" s="616">
        <v>0</v>
      </c>
      <c r="AT10" s="1324">
        <v>0</v>
      </c>
      <c r="AU10" s="1333">
        <v>0</v>
      </c>
      <c r="AV10" s="616">
        <v>0</v>
      </c>
      <c r="AW10" s="616">
        <v>0</v>
      </c>
      <c r="AX10" s="1324">
        <v>0</v>
      </c>
      <c r="AY10" s="1317">
        <v>0</v>
      </c>
      <c r="AZ10" s="616">
        <v>0</v>
      </c>
      <c r="BA10" s="616">
        <v>0</v>
      </c>
      <c r="BB10" s="1324">
        <v>0</v>
      </c>
      <c r="BC10" s="1317">
        <v>0</v>
      </c>
      <c r="BD10" s="616">
        <v>0</v>
      </c>
      <c r="BE10" s="616">
        <v>0</v>
      </c>
      <c r="BF10" s="1324">
        <v>0</v>
      </c>
    </row>
    <row r="11" spans="1:58" s="1280" customFormat="1" ht="15">
      <c r="A11" s="1278"/>
      <c r="B11" s="1281" t="s">
        <v>1512</v>
      </c>
      <c r="C11" s="1279"/>
      <c r="D11" s="1279"/>
      <c r="E11" s="1279"/>
      <c r="F11" s="1342"/>
      <c r="G11" s="1348"/>
      <c r="H11" s="1279"/>
      <c r="I11" s="1279"/>
      <c r="J11" s="1338"/>
      <c r="K11" s="1347"/>
      <c r="L11" s="1279"/>
      <c r="M11" s="1279"/>
      <c r="N11" s="1342"/>
      <c r="O11" s="1333">
        <v>3.919</v>
      </c>
      <c r="P11" s="616">
        <v>0</v>
      </c>
      <c r="Q11" s="616">
        <v>8.3261717700000002</v>
      </c>
      <c r="R11" s="1324">
        <v>0</v>
      </c>
      <c r="S11" s="1347"/>
      <c r="T11" s="1279"/>
      <c r="U11" s="1279"/>
      <c r="V11" s="1338"/>
      <c r="W11" s="1317">
        <v>3.919</v>
      </c>
      <c r="X11" s="616">
        <v>0</v>
      </c>
      <c r="Y11" s="616">
        <v>8.2620000000000005</v>
      </c>
      <c r="Z11" s="1324">
        <v>0</v>
      </c>
      <c r="AA11" s="1317">
        <v>3.919</v>
      </c>
      <c r="AB11" s="616"/>
      <c r="AC11" s="616">
        <v>8.3260000000000005</v>
      </c>
      <c r="AD11" s="1324"/>
      <c r="AE11" s="1317">
        <v>3.919</v>
      </c>
      <c r="AF11" s="616">
        <v>0</v>
      </c>
      <c r="AG11" s="616">
        <v>7.9148999999999994</v>
      </c>
      <c r="AH11" s="1324">
        <v>0</v>
      </c>
      <c r="AI11" s="1333">
        <v>3.919</v>
      </c>
      <c r="AJ11" s="616">
        <v>0</v>
      </c>
      <c r="AK11" s="616">
        <v>7.915</v>
      </c>
      <c r="AL11" s="1324">
        <v>0</v>
      </c>
      <c r="AM11" s="1317">
        <v>3.919</v>
      </c>
      <c r="AN11" s="616">
        <v>0</v>
      </c>
      <c r="AO11" s="616">
        <v>5.274</v>
      </c>
      <c r="AP11" s="1324">
        <v>0</v>
      </c>
      <c r="AQ11" s="1317">
        <v>3.919</v>
      </c>
      <c r="AR11" s="616">
        <v>0</v>
      </c>
      <c r="AS11" s="616">
        <v>2.641</v>
      </c>
      <c r="AT11" s="1324">
        <v>0</v>
      </c>
      <c r="AU11" s="1333">
        <v>3.919</v>
      </c>
      <c r="AV11" s="616">
        <v>0</v>
      </c>
      <c r="AW11" s="616">
        <v>7.915</v>
      </c>
      <c r="AX11" s="1324">
        <v>0</v>
      </c>
      <c r="AY11" s="1317">
        <v>3.919</v>
      </c>
      <c r="AZ11" s="616">
        <v>0</v>
      </c>
      <c r="BA11" s="616">
        <v>5.274</v>
      </c>
      <c r="BB11" s="1324">
        <v>0</v>
      </c>
      <c r="BC11" s="1317">
        <v>3.919</v>
      </c>
      <c r="BD11" s="616">
        <v>0</v>
      </c>
      <c r="BE11" s="616">
        <v>2.641</v>
      </c>
      <c r="BF11" s="1324">
        <v>0</v>
      </c>
    </row>
    <row r="12" spans="1:58" s="1280" customFormat="1" ht="15">
      <c r="A12" s="1278"/>
      <c r="B12" s="1281" t="s">
        <v>1513</v>
      </c>
      <c r="C12" s="1279"/>
      <c r="D12" s="1279"/>
      <c r="E12" s="1279"/>
      <c r="F12" s="1342"/>
      <c r="G12" s="1348"/>
      <c r="H12" s="1279"/>
      <c r="I12" s="1279"/>
      <c r="J12" s="1338"/>
      <c r="K12" s="1347"/>
      <c r="L12" s="1279"/>
      <c r="M12" s="1279"/>
      <c r="N12" s="1342"/>
      <c r="O12" s="1333">
        <v>139.32</v>
      </c>
      <c r="P12" s="616">
        <v>0</v>
      </c>
      <c r="Q12" s="616">
        <v>389.94522823000005</v>
      </c>
      <c r="R12" s="1324">
        <v>0</v>
      </c>
      <c r="S12" s="1347"/>
      <c r="T12" s="1279"/>
      <c r="U12" s="1279"/>
      <c r="V12" s="1338"/>
      <c r="W12" s="1317">
        <v>139.32</v>
      </c>
      <c r="X12" s="616">
        <v>0</v>
      </c>
      <c r="Y12" s="616">
        <v>368.52014835200004</v>
      </c>
      <c r="Z12" s="1324">
        <v>0</v>
      </c>
      <c r="AA12" s="1317">
        <v>139.32</v>
      </c>
      <c r="AB12" s="616"/>
      <c r="AC12" s="616">
        <v>393.30360000000007</v>
      </c>
      <c r="AD12" s="1324"/>
      <c r="AE12" s="1317">
        <v>139.32</v>
      </c>
      <c r="AF12" s="616">
        <v>0</v>
      </c>
      <c r="AG12" s="616">
        <v>391.2996</v>
      </c>
      <c r="AH12" s="1324">
        <v>0</v>
      </c>
      <c r="AI12" s="1333">
        <v>139.32</v>
      </c>
      <c r="AJ12" s="616">
        <v>0</v>
      </c>
      <c r="AK12" s="616">
        <v>379.88900000000001</v>
      </c>
      <c r="AL12" s="1324">
        <v>0</v>
      </c>
      <c r="AM12" s="1317">
        <v>139.32</v>
      </c>
      <c r="AN12" s="616">
        <v>0</v>
      </c>
      <c r="AO12" s="616">
        <v>231.33099999999999</v>
      </c>
      <c r="AP12" s="1324">
        <v>0</v>
      </c>
      <c r="AQ12" s="1317">
        <v>139.32</v>
      </c>
      <c r="AR12" s="616">
        <v>0</v>
      </c>
      <c r="AS12" s="616">
        <v>148.55799999999999</v>
      </c>
      <c r="AT12" s="1324">
        <v>0</v>
      </c>
      <c r="AU12" s="1333">
        <v>139.32</v>
      </c>
      <c r="AV12" s="616">
        <v>0</v>
      </c>
      <c r="AW12" s="616">
        <v>379.88900000000001</v>
      </c>
      <c r="AX12" s="1324">
        <v>0</v>
      </c>
      <c r="AY12" s="1317">
        <v>139.32</v>
      </c>
      <c r="AZ12" s="616">
        <v>0</v>
      </c>
      <c r="BA12" s="616">
        <v>231.33099999999999</v>
      </c>
      <c r="BB12" s="1324">
        <v>0</v>
      </c>
      <c r="BC12" s="1317">
        <v>139.32</v>
      </c>
      <c r="BD12" s="616">
        <v>0</v>
      </c>
      <c r="BE12" s="616">
        <v>148.55799999999999</v>
      </c>
      <c r="BF12" s="1324">
        <v>0</v>
      </c>
    </row>
    <row r="13" spans="1:58" s="544" customFormat="1" ht="15" customHeight="1">
      <c r="A13" s="55"/>
      <c r="B13" s="57" t="s">
        <v>121</v>
      </c>
      <c r="C13" s="50">
        <f t="shared" ref="C13:AP13" si="2">C24+C35+C46</f>
        <v>0</v>
      </c>
      <c r="D13" s="50">
        <f t="shared" si="2"/>
        <v>0</v>
      </c>
      <c r="E13" s="50">
        <f t="shared" si="2"/>
        <v>0</v>
      </c>
      <c r="F13" s="1343">
        <f t="shared" si="2"/>
        <v>0</v>
      </c>
      <c r="G13" s="1334">
        <f t="shared" si="2"/>
        <v>0.2</v>
      </c>
      <c r="H13" s="50">
        <f t="shared" si="2"/>
        <v>0</v>
      </c>
      <c r="I13" s="50">
        <f t="shared" si="2"/>
        <v>1.7530000000000001</v>
      </c>
      <c r="J13" s="1325">
        <f t="shared" si="2"/>
        <v>0</v>
      </c>
      <c r="K13" s="1318">
        <v>0</v>
      </c>
      <c r="L13" s="50">
        <v>0</v>
      </c>
      <c r="M13" s="50">
        <v>1.8049999999999999</v>
      </c>
      <c r="N13" s="1343">
        <v>0</v>
      </c>
      <c r="O13" s="1337">
        <v>0.55400000000000005</v>
      </c>
      <c r="P13" s="50">
        <v>0</v>
      </c>
      <c r="Q13" s="50">
        <v>1.3680000000000001</v>
      </c>
      <c r="R13" s="1325">
        <v>0</v>
      </c>
      <c r="S13" s="1318">
        <v>0.2</v>
      </c>
      <c r="T13" s="50">
        <v>0</v>
      </c>
      <c r="U13" s="50">
        <v>1.7810000000000001</v>
      </c>
      <c r="V13" s="1325">
        <v>0</v>
      </c>
      <c r="W13" s="1328">
        <v>0.55400000000000005</v>
      </c>
      <c r="X13" s="50">
        <v>0</v>
      </c>
      <c r="Y13" s="50">
        <v>0.5</v>
      </c>
      <c r="Z13" s="1325">
        <v>0</v>
      </c>
      <c r="AA13" s="1328">
        <v>0.55400000000000005</v>
      </c>
      <c r="AB13" s="50"/>
      <c r="AC13" s="876">
        <v>1.0108000000000001</v>
      </c>
      <c r="AD13" s="1325"/>
      <c r="AE13" s="1328">
        <v>0.55400000000000005</v>
      </c>
      <c r="AF13" s="50">
        <v>0</v>
      </c>
      <c r="AG13" s="50">
        <v>1.196</v>
      </c>
      <c r="AH13" s="1325">
        <v>0</v>
      </c>
      <c r="AI13" s="1334">
        <v>0.55400000000000005</v>
      </c>
      <c r="AJ13" s="50">
        <v>0</v>
      </c>
      <c r="AK13" s="50">
        <v>1.196</v>
      </c>
      <c r="AL13" s="1325">
        <v>0</v>
      </c>
      <c r="AM13" s="1328">
        <v>0.55400000000000005</v>
      </c>
      <c r="AN13" s="50">
        <v>0</v>
      </c>
      <c r="AO13" s="50">
        <v>0.495</v>
      </c>
      <c r="AP13" s="1325">
        <v>0</v>
      </c>
      <c r="AQ13" s="1328">
        <v>0.55400000000000005</v>
      </c>
      <c r="AR13" s="50">
        <v>0</v>
      </c>
      <c r="AS13" s="50">
        <v>0.70099999999999996</v>
      </c>
      <c r="AT13" s="1325">
        <v>0</v>
      </c>
      <c r="AU13" s="1334">
        <v>0.55400000000000005</v>
      </c>
      <c r="AV13" s="50">
        <v>0</v>
      </c>
      <c r="AW13" s="50">
        <v>1.196</v>
      </c>
      <c r="AX13" s="1325">
        <v>0</v>
      </c>
      <c r="AY13" s="1328">
        <v>0.55400000000000005</v>
      </c>
      <c r="AZ13" s="50">
        <v>0</v>
      </c>
      <c r="BA13" s="50">
        <v>0.495</v>
      </c>
      <c r="BB13" s="1325">
        <v>0</v>
      </c>
      <c r="BC13" s="1328">
        <v>0.55400000000000005</v>
      </c>
      <c r="BD13" s="50">
        <v>0</v>
      </c>
      <c r="BE13" s="50">
        <v>0.70099999999999996</v>
      </c>
      <c r="BF13" s="1325">
        <v>0</v>
      </c>
    </row>
    <row r="14" spans="1:58" s="544" customFormat="1" ht="15" customHeight="1">
      <c r="A14" s="55"/>
      <c r="B14" s="57" t="s">
        <v>122</v>
      </c>
      <c r="C14" s="50">
        <f t="shared" ref="C14:R14" si="3">C25+C36+C47</f>
        <v>0</v>
      </c>
      <c r="D14" s="50">
        <f t="shared" si="3"/>
        <v>0</v>
      </c>
      <c r="E14" s="50">
        <f t="shared" si="3"/>
        <v>0</v>
      </c>
      <c r="F14" s="1343">
        <f t="shared" si="3"/>
        <v>0</v>
      </c>
      <c r="G14" s="1334">
        <f t="shared" si="3"/>
        <v>0</v>
      </c>
      <c r="H14" s="50">
        <f t="shared" si="3"/>
        <v>0</v>
      </c>
      <c r="I14" s="50">
        <f t="shared" si="3"/>
        <v>0</v>
      </c>
      <c r="J14" s="1325">
        <f t="shared" si="3"/>
        <v>0</v>
      </c>
      <c r="K14" s="1318">
        <v>0</v>
      </c>
      <c r="L14" s="50">
        <v>0</v>
      </c>
      <c r="M14" s="50">
        <v>0</v>
      </c>
      <c r="N14" s="1343">
        <v>0</v>
      </c>
      <c r="O14" s="1334">
        <v>0</v>
      </c>
      <c r="P14" s="50">
        <v>0</v>
      </c>
      <c r="Q14" s="50">
        <v>0</v>
      </c>
      <c r="R14" s="1325">
        <v>0</v>
      </c>
      <c r="S14" s="1318">
        <v>0</v>
      </c>
      <c r="T14" s="50">
        <v>0</v>
      </c>
      <c r="U14" s="50">
        <v>0</v>
      </c>
      <c r="V14" s="1325">
        <v>0</v>
      </c>
      <c r="W14" s="1318">
        <v>0</v>
      </c>
      <c r="X14" s="50">
        <v>0</v>
      </c>
      <c r="Y14" s="50">
        <v>0</v>
      </c>
      <c r="Z14" s="1325">
        <v>0</v>
      </c>
      <c r="AA14" s="1318"/>
      <c r="AB14" s="50"/>
      <c r="AC14" s="50"/>
      <c r="AD14" s="1325"/>
      <c r="AE14" s="1318">
        <v>0</v>
      </c>
      <c r="AF14" s="50">
        <v>0</v>
      </c>
      <c r="AG14" s="50">
        <v>0</v>
      </c>
      <c r="AH14" s="1325">
        <v>0</v>
      </c>
      <c r="AI14" s="1334">
        <v>0</v>
      </c>
      <c r="AJ14" s="50">
        <v>0</v>
      </c>
      <c r="AK14" s="50">
        <v>0</v>
      </c>
      <c r="AL14" s="1325">
        <v>0</v>
      </c>
      <c r="AM14" s="1318">
        <v>0</v>
      </c>
      <c r="AN14" s="50">
        <v>0</v>
      </c>
      <c r="AO14" s="50">
        <v>0</v>
      </c>
      <c r="AP14" s="1325">
        <v>0</v>
      </c>
      <c r="AQ14" s="1318">
        <v>0</v>
      </c>
      <c r="AR14" s="50">
        <v>0</v>
      </c>
      <c r="AS14" s="50">
        <v>0</v>
      </c>
      <c r="AT14" s="1325">
        <v>0</v>
      </c>
      <c r="AU14" s="1334">
        <v>0</v>
      </c>
      <c r="AV14" s="50">
        <v>0</v>
      </c>
      <c r="AW14" s="50">
        <v>0</v>
      </c>
      <c r="AX14" s="1325">
        <v>0</v>
      </c>
      <c r="AY14" s="1318">
        <v>0</v>
      </c>
      <c r="AZ14" s="50">
        <v>0</v>
      </c>
      <c r="BA14" s="50">
        <v>0</v>
      </c>
      <c r="BB14" s="1325">
        <v>0</v>
      </c>
      <c r="BC14" s="1318">
        <v>0</v>
      </c>
      <c r="BD14" s="50">
        <v>0</v>
      </c>
      <c r="BE14" s="50">
        <v>0</v>
      </c>
      <c r="BF14" s="1325">
        <v>0</v>
      </c>
    </row>
    <row r="15" spans="1:58" s="544" customFormat="1" ht="15" customHeight="1">
      <c r="A15" s="55"/>
      <c r="B15" s="57" t="s">
        <v>123</v>
      </c>
      <c r="C15" s="50">
        <f t="shared" ref="C15:R15" si="4">C26+C37+C48</f>
        <v>0</v>
      </c>
      <c r="D15" s="50">
        <f t="shared" si="4"/>
        <v>0</v>
      </c>
      <c r="E15" s="50">
        <f t="shared" si="4"/>
        <v>0</v>
      </c>
      <c r="F15" s="1343">
        <f t="shared" si="4"/>
        <v>0</v>
      </c>
      <c r="G15" s="1334">
        <f t="shared" si="4"/>
        <v>0.2</v>
      </c>
      <c r="H15" s="50">
        <f t="shared" si="4"/>
        <v>0</v>
      </c>
      <c r="I15" s="50">
        <f t="shared" si="4"/>
        <v>1.7530000000000001</v>
      </c>
      <c r="J15" s="1325">
        <f t="shared" si="4"/>
        <v>0</v>
      </c>
      <c r="K15" s="1318">
        <v>0</v>
      </c>
      <c r="L15" s="50">
        <v>0</v>
      </c>
      <c r="M15" s="50">
        <v>1.8049999999999999</v>
      </c>
      <c r="N15" s="1343">
        <v>0</v>
      </c>
      <c r="O15" s="1337">
        <v>0.55400000000000005</v>
      </c>
      <c r="P15" s="50">
        <v>0</v>
      </c>
      <c r="Q15" s="50">
        <v>1.3680000000000001</v>
      </c>
      <c r="R15" s="1325">
        <v>0</v>
      </c>
      <c r="S15" s="1318">
        <v>0.2</v>
      </c>
      <c r="T15" s="50">
        <v>0</v>
      </c>
      <c r="U15" s="50">
        <v>1.7810000000000001</v>
      </c>
      <c r="V15" s="1325">
        <v>0</v>
      </c>
      <c r="W15" s="1328">
        <v>0.55400000000000005</v>
      </c>
      <c r="X15" s="50">
        <v>0</v>
      </c>
      <c r="Y15" s="50">
        <v>0.5</v>
      </c>
      <c r="Z15" s="1325">
        <v>0</v>
      </c>
      <c r="AA15" s="1328">
        <v>0.55400000000000005</v>
      </c>
      <c r="AB15" s="50"/>
      <c r="AC15" s="876">
        <v>1.0108000000000001</v>
      </c>
      <c r="AD15" s="1325"/>
      <c r="AE15" s="1328">
        <v>0.55400000000000005</v>
      </c>
      <c r="AF15" s="50">
        <v>0</v>
      </c>
      <c r="AG15" s="50">
        <v>1.196</v>
      </c>
      <c r="AH15" s="1325">
        <v>0</v>
      </c>
      <c r="AI15" s="1334">
        <v>0.55400000000000005</v>
      </c>
      <c r="AJ15" s="50">
        <v>0</v>
      </c>
      <c r="AK15" s="50">
        <v>1.196</v>
      </c>
      <c r="AL15" s="1325">
        <v>0</v>
      </c>
      <c r="AM15" s="1328">
        <v>0.55400000000000005</v>
      </c>
      <c r="AN15" s="50">
        <v>0</v>
      </c>
      <c r="AO15" s="50">
        <v>0.495</v>
      </c>
      <c r="AP15" s="1325">
        <v>0</v>
      </c>
      <c r="AQ15" s="1328">
        <v>0.55400000000000005</v>
      </c>
      <c r="AR15" s="50">
        <v>0</v>
      </c>
      <c r="AS15" s="50">
        <v>0.70099999999999996</v>
      </c>
      <c r="AT15" s="1325">
        <v>0</v>
      </c>
      <c r="AU15" s="1334">
        <v>0.55400000000000005</v>
      </c>
      <c r="AV15" s="50">
        <v>0</v>
      </c>
      <c r="AW15" s="50">
        <v>1.196</v>
      </c>
      <c r="AX15" s="1325">
        <v>0</v>
      </c>
      <c r="AY15" s="1328">
        <v>0.55400000000000005</v>
      </c>
      <c r="AZ15" s="50">
        <v>0</v>
      </c>
      <c r="BA15" s="50">
        <v>0.495</v>
      </c>
      <c r="BB15" s="1325">
        <v>0</v>
      </c>
      <c r="BC15" s="1328">
        <v>0.55400000000000005</v>
      </c>
      <c r="BD15" s="50">
        <v>0</v>
      </c>
      <c r="BE15" s="50">
        <v>0.70099999999999996</v>
      </c>
      <c r="BF15" s="1325">
        <v>0</v>
      </c>
    </row>
    <row r="16" spans="1:58" s="544" customFormat="1" ht="15" customHeight="1">
      <c r="A16" s="55"/>
      <c r="B16" s="57" t="s">
        <v>124</v>
      </c>
      <c r="C16" s="50">
        <f t="shared" ref="C16:R16" si="5">C27+C38+C49</f>
        <v>0</v>
      </c>
      <c r="D16" s="50">
        <f t="shared" si="5"/>
        <v>0</v>
      </c>
      <c r="E16" s="50">
        <f t="shared" si="5"/>
        <v>0</v>
      </c>
      <c r="F16" s="1343">
        <f t="shared" si="5"/>
        <v>0</v>
      </c>
      <c r="G16" s="1334">
        <f t="shared" si="5"/>
        <v>0</v>
      </c>
      <c r="H16" s="50">
        <f t="shared" si="5"/>
        <v>0</v>
      </c>
      <c r="I16" s="50">
        <f t="shared" si="5"/>
        <v>0</v>
      </c>
      <c r="J16" s="1325">
        <f t="shared" si="5"/>
        <v>0</v>
      </c>
      <c r="K16" s="1318">
        <v>0</v>
      </c>
      <c r="L16" s="50">
        <v>0</v>
      </c>
      <c r="M16" s="50">
        <v>0</v>
      </c>
      <c r="N16" s="1343">
        <v>0</v>
      </c>
      <c r="O16" s="1334">
        <v>0</v>
      </c>
      <c r="P16" s="50">
        <v>0</v>
      </c>
      <c r="Q16" s="50">
        <v>0</v>
      </c>
      <c r="R16" s="1325">
        <v>0</v>
      </c>
      <c r="S16" s="1318">
        <v>0</v>
      </c>
      <c r="T16" s="50">
        <v>0</v>
      </c>
      <c r="U16" s="50">
        <v>0</v>
      </c>
      <c r="V16" s="1325">
        <v>0</v>
      </c>
      <c r="W16" s="1318">
        <v>0</v>
      </c>
      <c r="X16" s="50">
        <v>0</v>
      </c>
      <c r="Y16" s="50">
        <v>0</v>
      </c>
      <c r="Z16" s="1325">
        <v>0</v>
      </c>
      <c r="AA16" s="1318"/>
      <c r="AB16" s="50"/>
      <c r="AC16" s="50"/>
      <c r="AD16" s="1325"/>
      <c r="AE16" s="1318">
        <v>0</v>
      </c>
      <c r="AF16" s="50">
        <v>0</v>
      </c>
      <c r="AG16" s="50">
        <v>0</v>
      </c>
      <c r="AH16" s="1325">
        <v>0</v>
      </c>
      <c r="AI16" s="1334">
        <v>0</v>
      </c>
      <c r="AJ16" s="50">
        <v>0</v>
      </c>
      <c r="AK16" s="50">
        <v>0</v>
      </c>
      <c r="AL16" s="1325">
        <v>0</v>
      </c>
      <c r="AM16" s="1318">
        <v>0</v>
      </c>
      <c r="AN16" s="50">
        <v>0</v>
      </c>
      <c r="AO16" s="50">
        <v>0</v>
      </c>
      <c r="AP16" s="1325">
        <v>0</v>
      </c>
      <c r="AQ16" s="1318">
        <v>0</v>
      </c>
      <c r="AR16" s="50">
        <v>0</v>
      </c>
      <c r="AS16" s="50">
        <v>0</v>
      </c>
      <c r="AT16" s="1325">
        <v>0</v>
      </c>
      <c r="AU16" s="1334">
        <v>0</v>
      </c>
      <c r="AV16" s="50">
        <v>0</v>
      </c>
      <c r="AW16" s="50">
        <v>0</v>
      </c>
      <c r="AX16" s="1325">
        <v>0</v>
      </c>
      <c r="AY16" s="1318">
        <v>0</v>
      </c>
      <c r="AZ16" s="50">
        <v>0</v>
      </c>
      <c r="BA16" s="50">
        <v>0</v>
      </c>
      <c r="BB16" s="1325">
        <v>0</v>
      </c>
      <c r="BC16" s="1318">
        <v>0</v>
      </c>
      <c r="BD16" s="50">
        <v>0</v>
      </c>
      <c r="BE16" s="50">
        <v>0</v>
      </c>
      <c r="BF16" s="1325">
        <v>0</v>
      </c>
    </row>
    <row r="17" spans="1:58" s="544" customFormat="1" ht="15" customHeight="1">
      <c r="A17" s="55"/>
      <c r="B17" s="57" t="s">
        <v>125</v>
      </c>
      <c r="C17" s="50">
        <f t="shared" ref="C17:R17" si="6">C28+C39+C50</f>
        <v>0</v>
      </c>
      <c r="D17" s="50">
        <f t="shared" si="6"/>
        <v>0</v>
      </c>
      <c r="E17" s="50">
        <f t="shared" si="6"/>
        <v>0</v>
      </c>
      <c r="F17" s="1343">
        <f t="shared" si="6"/>
        <v>0</v>
      </c>
      <c r="G17" s="1334">
        <f t="shared" si="6"/>
        <v>0</v>
      </c>
      <c r="H17" s="50">
        <f t="shared" si="6"/>
        <v>0</v>
      </c>
      <c r="I17" s="50">
        <f t="shared" si="6"/>
        <v>0</v>
      </c>
      <c r="J17" s="1325">
        <f t="shared" si="6"/>
        <v>0</v>
      </c>
      <c r="K17" s="1318">
        <v>0</v>
      </c>
      <c r="L17" s="50">
        <v>0</v>
      </c>
      <c r="M17" s="50">
        <v>0</v>
      </c>
      <c r="N17" s="1343">
        <v>0</v>
      </c>
      <c r="O17" s="1334">
        <v>0</v>
      </c>
      <c r="P17" s="50">
        <v>0</v>
      </c>
      <c r="Q17" s="50">
        <v>0</v>
      </c>
      <c r="R17" s="1325">
        <v>0</v>
      </c>
      <c r="S17" s="1318">
        <v>0</v>
      </c>
      <c r="T17" s="50">
        <v>0</v>
      </c>
      <c r="U17" s="50">
        <v>0</v>
      </c>
      <c r="V17" s="1325">
        <v>0</v>
      </c>
      <c r="W17" s="1318">
        <v>0</v>
      </c>
      <c r="X17" s="50">
        <v>0</v>
      </c>
      <c r="Y17" s="50">
        <v>0</v>
      </c>
      <c r="Z17" s="1325">
        <v>0</v>
      </c>
      <c r="AA17" s="1318"/>
      <c r="AB17" s="50"/>
      <c r="AC17" s="50"/>
      <c r="AD17" s="1325"/>
      <c r="AE17" s="1318">
        <v>0</v>
      </c>
      <c r="AF17" s="50">
        <v>0</v>
      </c>
      <c r="AG17" s="50">
        <v>0</v>
      </c>
      <c r="AH17" s="1325">
        <v>0</v>
      </c>
      <c r="AI17" s="1334">
        <v>0</v>
      </c>
      <c r="AJ17" s="50">
        <v>0</v>
      </c>
      <c r="AK17" s="50">
        <v>0</v>
      </c>
      <c r="AL17" s="1325">
        <v>0</v>
      </c>
      <c r="AM17" s="1318">
        <v>0</v>
      </c>
      <c r="AN17" s="50">
        <v>0</v>
      </c>
      <c r="AO17" s="50">
        <v>0</v>
      </c>
      <c r="AP17" s="1325">
        <v>0</v>
      </c>
      <c r="AQ17" s="1318">
        <v>0</v>
      </c>
      <c r="AR17" s="50">
        <v>0</v>
      </c>
      <c r="AS17" s="50">
        <v>0</v>
      </c>
      <c r="AT17" s="1325">
        <v>0</v>
      </c>
      <c r="AU17" s="1334">
        <v>0</v>
      </c>
      <c r="AV17" s="50">
        <v>0</v>
      </c>
      <c r="AW17" s="50">
        <v>0</v>
      </c>
      <c r="AX17" s="1325">
        <v>0</v>
      </c>
      <c r="AY17" s="1318">
        <v>0</v>
      </c>
      <c r="AZ17" s="50">
        <v>0</v>
      </c>
      <c r="BA17" s="50">
        <v>0</v>
      </c>
      <c r="BB17" s="1325">
        <v>0</v>
      </c>
      <c r="BC17" s="1318">
        <v>0</v>
      </c>
      <c r="BD17" s="50">
        <v>0</v>
      </c>
      <c r="BE17" s="50">
        <v>0</v>
      </c>
      <c r="BF17" s="1325">
        <v>0</v>
      </c>
    </row>
    <row r="18" spans="1:58" s="294" customFormat="1" ht="15" customHeight="1">
      <c r="A18" s="292"/>
      <c r="B18" s="293" t="s">
        <v>126</v>
      </c>
      <c r="C18" s="50">
        <f t="shared" ref="C18:R18" si="7">C29+C40+C51</f>
        <v>0</v>
      </c>
      <c r="D18" s="50">
        <f t="shared" si="7"/>
        <v>0</v>
      </c>
      <c r="E18" s="50">
        <f t="shared" si="7"/>
        <v>0</v>
      </c>
      <c r="F18" s="1343">
        <f t="shared" si="7"/>
        <v>0</v>
      </c>
      <c r="G18" s="1334">
        <f t="shared" si="7"/>
        <v>0</v>
      </c>
      <c r="H18" s="50">
        <f t="shared" si="7"/>
        <v>0</v>
      </c>
      <c r="I18" s="50">
        <f t="shared" si="7"/>
        <v>0</v>
      </c>
      <c r="J18" s="1325">
        <f t="shared" si="7"/>
        <v>0</v>
      </c>
      <c r="K18" s="1318">
        <v>0</v>
      </c>
      <c r="L18" s="50">
        <v>0</v>
      </c>
      <c r="M18" s="50">
        <v>0</v>
      </c>
      <c r="N18" s="1343">
        <v>0</v>
      </c>
      <c r="O18" s="1334">
        <v>0</v>
      </c>
      <c r="P18" s="50">
        <v>0</v>
      </c>
      <c r="Q18" s="50">
        <v>0</v>
      </c>
      <c r="R18" s="1325">
        <v>0</v>
      </c>
      <c r="S18" s="1318">
        <v>0</v>
      </c>
      <c r="T18" s="50">
        <v>0</v>
      </c>
      <c r="U18" s="50">
        <v>0</v>
      </c>
      <c r="V18" s="1325">
        <v>0</v>
      </c>
      <c r="W18" s="1318">
        <v>0</v>
      </c>
      <c r="X18" s="50">
        <v>0</v>
      </c>
      <c r="Y18" s="50">
        <v>0</v>
      </c>
      <c r="Z18" s="1325">
        <v>0</v>
      </c>
      <c r="AA18" s="1318"/>
      <c r="AB18" s="50"/>
      <c r="AC18" s="50"/>
      <c r="AD18" s="1325"/>
      <c r="AE18" s="1318">
        <v>0</v>
      </c>
      <c r="AF18" s="50">
        <v>0</v>
      </c>
      <c r="AG18" s="50">
        <v>0</v>
      </c>
      <c r="AH18" s="1325">
        <v>0</v>
      </c>
      <c r="AI18" s="1334">
        <v>0</v>
      </c>
      <c r="AJ18" s="50">
        <v>0</v>
      </c>
      <c r="AK18" s="50">
        <v>0</v>
      </c>
      <c r="AL18" s="1325">
        <v>0</v>
      </c>
      <c r="AM18" s="1318">
        <v>0</v>
      </c>
      <c r="AN18" s="50">
        <v>0</v>
      </c>
      <c r="AO18" s="50">
        <v>0</v>
      </c>
      <c r="AP18" s="1325">
        <v>0</v>
      </c>
      <c r="AQ18" s="1318">
        <v>0</v>
      </c>
      <c r="AR18" s="50">
        <v>0</v>
      </c>
      <c r="AS18" s="50">
        <v>0</v>
      </c>
      <c r="AT18" s="1325">
        <v>0</v>
      </c>
      <c r="AU18" s="1334">
        <v>0</v>
      </c>
      <c r="AV18" s="50">
        <v>0</v>
      </c>
      <c r="AW18" s="50">
        <v>0</v>
      </c>
      <c r="AX18" s="1325">
        <v>0</v>
      </c>
      <c r="AY18" s="1318">
        <v>0</v>
      </c>
      <c r="AZ18" s="50">
        <v>0</v>
      </c>
      <c r="BA18" s="50">
        <v>0</v>
      </c>
      <c r="BB18" s="1325">
        <v>0</v>
      </c>
      <c r="BC18" s="1318">
        <v>0</v>
      </c>
      <c r="BD18" s="50">
        <v>0</v>
      </c>
      <c r="BE18" s="50">
        <v>0</v>
      </c>
      <c r="BF18" s="1325">
        <v>0</v>
      </c>
    </row>
    <row r="19" spans="1:58" s="77" customFormat="1" ht="29.25" customHeight="1">
      <c r="A19" s="115"/>
      <c r="B19" s="116" t="s">
        <v>127</v>
      </c>
      <c r="C19" s="118">
        <f t="shared" ref="C19:AP19" si="8">C20+C24+C29</f>
        <v>117.57</v>
      </c>
      <c r="D19" s="118">
        <f t="shared" si="8"/>
        <v>0</v>
      </c>
      <c r="E19" s="118">
        <f t="shared" si="8"/>
        <v>378.779</v>
      </c>
      <c r="F19" s="1340">
        <f t="shared" si="8"/>
        <v>0</v>
      </c>
      <c r="G19" s="1331">
        <f t="shared" si="8"/>
        <v>117.05</v>
      </c>
      <c r="H19" s="118">
        <f t="shared" si="8"/>
        <v>0</v>
      </c>
      <c r="I19" s="118">
        <f t="shared" si="8"/>
        <v>346.59</v>
      </c>
      <c r="J19" s="1322">
        <f t="shared" si="8"/>
        <v>0</v>
      </c>
      <c r="K19" s="1315">
        <v>117.05</v>
      </c>
      <c r="L19" s="118">
        <v>0</v>
      </c>
      <c r="M19" s="118">
        <v>391.64499999999998</v>
      </c>
      <c r="N19" s="1340">
        <v>0</v>
      </c>
      <c r="O19" s="1331">
        <v>114.84099999999999</v>
      </c>
      <c r="P19" s="118">
        <v>0</v>
      </c>
      <c r="Q19" s="118">
        <v>330.09740000000005</v>
      </c>
      <c r="R19" s="1322">
        <v>0</v>
      </c>
      <c r="S19" s="1315">
        <v>117.05</v>
      </c>
      <c r="T19" s="118">
        <v>0</v>
      </c>
      <c r="U19" s="118">
        <v>405.00559999999996</v>
      </c>
      <c r="V19" s="1322">
        <v>0</v>
      </c>
      <c r="W19" s="1315">
        <v>114.84099999999999</v>
      </c>
      <c r="X19" s="118">
        <v>0</v>
      </c>
      <c r="Y19" s="118">
        <v>313.86214835200002</v>
      </c>
      <c r="Z19" s="1322">
        <v>0</v>
      </c>
      <c r="AA19" s="1315">
        <v>114.84099999999999</v>
      </c>
      <c r="AB19" s="118"/>
      <c r="AC19" s="118">
        <v>333.49760000000009</v>
      </c>
      <c r="AD19" s="1322">
        <v>0</v>
      </c>
      <c r="AE19" s="1315">
        <v>114.84099999999999</v>
      </c>
      <c r="AF19" s="118">
        <v>0</v>
      </c>
      <c r="AG19" s="118">
        <v>339.32510000000002</v>
      </c>
      <c r="AH19" s="1322">
        <v>0</v>
      </c>
      <c r="AI19" s="1331">
        <v>114.84099999999999</v>
      </c>
      <c r="AJ19" s="118">
        <v>0</v>
      </c>
      <c r="AK19" s="118">
        <v>327.9</v>
      </c>
      <c r="AL19" s="1322">
        <v>0</v>
      </c>
      <c r="AM19" s="1315">
        <v>114.84099999999999</v>
      </c>
      <c r="AN19" s="118">
        <v>0</v>
      </c>
      <c r="AO19" s="118">
        <v>197.41</v>
      </c>
      <c r="AP19" s="1322">
        <v>0</v>
      </c>
      <c r="AQ19" s="1315">
        <v>114.84099999999999</v>
      </c>
      <c r="AR19" s="118">
        <v>0</v>
      </c>
      <c r="AS19" s="118">
        <v>130.49</v>
      </c>
      <c r="AT19" s="1322">
        <v>0</v>
      </c>
      <c r="AU19" s="1331">
        <v>114.84099999999999</v>
      </c>
      <c r="AV19" s="118">
        <v>0</v>
      </c>
      <c r="AW19" s="118">
        <v>327.9</v>
      </c>
      <c r="AX19" s="1322">
        <v>0</v>
      </c>
      <c r="AY19" s="1315">
        <v>114.84099999999999</v>
      </c>
      <c r="AZ19" s="118">
        <v>0</v>
      </c>
      <c r="BA19" s="118">
        <v>197.41</v>
      </c>
      <c r="BB19" s="1322">
        <v>0</v>
      </c>
      <c r="BC19" s="1315">
        <v>114.84099999999999</v>
      </c>
      <c r="BD19" s="118">
        <v>0</v>
      </c>
      <c r="BE19" s="118">
        <v>130.49</v>
      </c>
      <c r="BF19" s="1322">
        <v>0</v>
      </c>
    </row>
    <row r="20" spans="1:58" s="108" customFormat="1" ht="15">
      <c r="A20" s="295"/>
      <c r="B20" s="296" t="s">
        <v>120</v>
      </c>
      <c r="C20" s="297">
        <v>117.57</v>
      </c>
      <c r="D20" s="297"/>
      <c r="E20" s="297">
        <v>378.779</v>
      </c>
      <c r="F20" s="1344"/>
      <c r="G20" s="1335">
        <v>117.05</v>
      </c>
      <c r="H20" s="297"/>
      <c r="I20" s="297">
        <v>346.59</v>
      </c>
      <c r="J20" s="1326"/>
      <c r="K20" s="1319">
        <v>117.05</v>
      </c>
      <c r="L20" s="297"/>
      <c r="M20" s="297">
        <v>391.64499999999998</v>
      </c>
      <c r="N20" s="1344"/>
      <c r="O20" s="1335">
        <v>114.84099999999999</v>
      </c>
      <c r="P20" s="297"/>
      <c r="Q20" s="297">
        <v>330.09740000000005</v>
      </c>
      <c r="R20" s="1326"/>
      <c r="S20" s="1319">
        <v>117.05</v>
      </c>
      <c r="T20" s="297"/>
      <c r="U20" s="297">
        <v>405.00559999999996</v>
      </c>
      <c r="V20" s="1326"/>
      <c r="W20" s="1319">
        <v>114.84099999999999</v>
      </c>
      <c r="X20" s="297"/>
      <c r="Y20" s="297">
        <v>313.86214835200002</v>
      </c>
      <c r="Z20" s="1326"/>
      <c r="AA20" s="1319">
        <v>114.84099999999999</v>
      </c>
      <c r="AB20" s="297"/>
      <c r="AC20" s="297">
        <v>333.49760000000009</v>
      </c>
      <c r="AD20" s="1326"/>
      <c r="AE20" s="1319">
        <v>114.84099999999999</v>
      </c>
      <c r="AF20" s="297"/>
      <c r="AG20" s="297">
        <v>339.32510000000002</v>
      </c>
      <c r="AH20" s="1326"/>
      <c r="AI20" s="1335">
        <v>114.84099999999999</v>
      </c>
      <c r="AJ20" s="297"/>
      <c r="AK20" s="297">
        <v>327.9</v>
      </c>
      <c r="AL20" s="1326"/>
      <c r="AM20" s="1319">
        <v>114.84099999999999</v>
      </c>
      <c r="AN20" s="297"/>
      <c r="AO20" s="297">
        <v>197.41</v>
      </c>
      <c r="AP20" s="1326"/>
      <c r="AQ20" s="1319">
        <v>114.84099999999999</v>
      </c>
      <c r="AR20" s="297"/>
      <c r="AS20" s="297">
        <v>130.49</v>
      </c>
      <c r="AT20" s="1326"/>
      <c r="AU20" s="1335">
        <v>114.84099999999999</v>
      </c>
      <c r="AV20" s="297"/>
      <c r="AW20" s="297">
        <v>327.9</v>
      </c>
      <c r="AX20" s="1326"/>
      <c r="AY20" s="1319">
        <v>114.84099999999999</v>
      </c>
      <c r="AZ20" s="297"/>
      <c r="BA20" s="297">
        <v>197.41</v>
      </c>
      <c r="BB20" s="1326"/>
      <c r="BC20" s="1319">
        <v>114.84099999999999</v>
      </c>
      <c r="BD20" s="297"/>
      <c r="BE20" s="297">
        <v>130.49</v>
      </c>
      <c r="BF20" s="1326"/>
    </row>
    <row r="21" spans="1:58" s="294" customFormat="1" ht="15">
      <c r="A21" s="292"/>
      <c r="B21" s="1281" t="s">
        <v>1697</v>
      </c>
      <c r="C21" s="616"/>
      <c r="D21" s="616"/>
      <c r="E21" s="616"/>
      <c r="F21" s="1345"/>
      <c r="G21" s="1333"/>
      <c r="H21" s="616"/>
      <c r="I21" s="616"/>
      <c r="J21" s="1324"/>
      <c r="K21" s="1317"/>
      <c r="L21" s="616"/>
      <c r="M21" s="616"/>
      <c r="N21" s="1345"/>
      <c r="O21" s="1333"/>
      <c r="P21" s="616"/>
      <c r="Q21" s="616"/>
      <c r="R21" s="1324"/>
      <c r="S21" s="1317"/>
      <c r="T21" s="616"/>
      <c r="U21" s="616"/>
      <c r="V21" s="1324"/>
      <c r="W21" s="1317"/>
      <c r="X21" s="616"/>
      <c r="Y21" s="616"/>
      <c r="Z21" s="1324"/>
      <c r="AA21" s="1317"/>
      <c r="AB21" s="616"/>
      <c r="AC21" s="616">
        <v>0</v>
      </c>
      <c r="AD21" s="1324"/>
      <c r="AE21" s="1317"/>
      <c r="AF21" s="616"/>
      <c r="AG21" s="616"/>
      <c r="AH21" s="1324"/>
      <c r="AI21" s="1333"/>
      <c r="AJ21" s="616"/>
      <c r="AK21" s="616"/>
      <c r="AL21" s="1324"/>
      <c r="AM21" s="1317"/>
      <c r="AN21" s="616"/>
      <c r="AO21" s="616"/>
      <c r="AP21" s="1324"/>
      <c r="AQ21" s="1317"/>
      <c r="AR21" s="616"/>
      <c r="AS21" s="616"/>
      <c r="AT21" s="1324"/>
      <c r="AU21" s="1333"/>
      <c r="AV21" s="616"/>
      <c r="AW21" s="616"/>
      <c r="AX21" s="1324"/>
      <c r="AY21" s="1317"/>
      <c r="AZ21" s="616"/>
      <c r="BA21" s="616"/>
      <c r="BB21" s="1324"/>
      <c r="BC21" s="1317"/>
      <c r="BD21" s="616"/>
      <c r="BE21" s="616"/>
      <c r="BF21" s="1324"/>
    </row>
    <row r="22" spans="1:58" s="294" customFormat="1" ht="15">
      <c r="A22" s="292"/>
      <c r="B22" s="1281" t="s">
        <v>1512</v>
      </c>
      <c r="C22" s="616"/>
      <c r="D22" s="616"/>
      <c r="E22" s="616"/>
      <c r="F22" s="1345"/>
      <c r="G22" s="1333"/>
      <c r="H22" s="616"/>
      <c r="I22" s="616"/>
      <c r="J22" s="1324"/>
      <c r="K22" s="1317"/>
      <c r="L22" s="616"/>
      <c r="M22" s="616"/>
      <c r="N22" s="1345"/>
      <c r="O22" s="1333"/>
      <c r="P22" s="616"/>
      <c r="Q22" s="616"/>
      <c r="R22" s="1324"/>
      <c r="S22" s="1317"/>
      <c r="T22" s="616"/>
      <c r="U22" s="616"/>
      <c r="V22" s="1324"/>
      <c r="W22" s="1317"/>
      <c r="X22" s="616"/>
      <c r="Y22" s="616"/>
      <c r="Z22" s="1324"/>
      <c r="AA22" s="1317">
        <v>0</v>
      </c>
      <c r="AB22" s="616"/>
      <c r="AC22" s="616">
        <v>-1.7176999999968245E-4</v>
      </c>
      <c r="AD22" s="1324"/>
      <c r="AE22" s="1317"/>
      <c r="AF22" s="616"/>
      <c r="AG22" s="616"/>
      <c r="AH22" s="1324"/>
      <c r="AI22" s="1333"/>
      <c r="AJ22" s="616"/>
      <c r="AK22" s="616"/>
      <c r="AL22" s="1324"/>
      <c r="AM22" s="1317"/>
      <c r="AN22" s="616"/>
      <c r="AO22" s="616"/>
      <c r="AP22" s="1324"/>
      <c r="AQ22" s="1317"/>
      <c r="AR22" s="616"/>
      <c r="AS22" s="616"/>
      <c r="AT22" s="1324"/>
      <c r="AU22" s="1333"/>
      <c r="AV22" s="616"/>
      <c r="AW22" s="616"/>
      <c r="AX22" s="1324"/>
      <c r="AY22" s="1317"/>
      <c r="AZ22" s="616"/>
      <c r="BA22" s="616"/>
      <c r="BB22" s="1324"/>
      <c r="BC22" s="1317"/>
      <c r="BD22" s="616"/>
      <c r="BE22" s="616"/>
      <c r="BF22" s="1324"/>
    </row>
    <row r="23" spans="1:58" s="294" customFormat="1" ht="15">
      <c r="A23" s="292"/>
      <c r="B23" s="1281" t="s">
        <v>1513</v>
      </c>
      <c r="C23" s="616"/>
      <c r="D23" s="616"/>
      <c r="E23" s="616"/>
      <c r="F23" s="1345"/>
      <c r="G23" s="1333"/>
      <c r="H23" s="616"/>
      <c r="I23" s="616"/>
      <c r="J23" s="1324"/>
      <c r="K23" s="1317"/>
      <c r="L23" s="616"/>
      <c r="M23" s="616"/>
      <c r="N23" s="1324"/>
      <c r="O23" s="1317">
        <v>114.84099999999999</v>
      </c>
      <c r="P23" s="616"/>
      <c r="Q23" s="616">
        <v>330.09740000000005</v>
      </c>
      <c r="R23" s="1324"/>
      <c r="S23" s="1317"/>
      <c r="T23" s="616"/>
      <c r="U23" s="616"/>
      <c r="V23" s="1324"/>
      <c r="W23" s="1319">
        <v>114.84099999999999</v>
      </c>
      <c r="X23" s="616"/>
      <c r="Y23" s="297">
        <v>313.86214835200002</v>
      </c>
      <c r="Z23" s="1324"/>
      <c r="AA23" s="1319">
        <v>114.84099999999999</v>
      </c>
      <c r="AB23" s="616"/>
      <c r="AC23" s="297">
        <v>333.4977717700001</v>
      </c>
      <c r="AD23" s="1324"/>
      <c r="AE23" s="1319">
        <v>114.84099999999999</v>
      </c>
      <c r="AF23" s="616"/>
      <c r="AG23" s="297">
        <v>339.32510000000002</v>
      </c>
      <c r="AH23" s="1324"/>
      <c r="AI23" s="1333">
        <v>114.84099999999999</v>
      </c>
      <c r="AJ23" s="616"/>
      <c r="AK23" s="616">
        <v>327.9</v>
      </c>
      <c r="AL23" s="1324"/>
      <c r="AM23" s="1319">
        <v>114.84099999999999</v>
      </c>
      <c r="AN23" s="616"/>
      <c r="AO23" s="297">
        <v>197.41</v>
      </c>
      <c r="AP23" s="1324"/>
      <c r="AQ23" s="1319">
        <v>114.84099999999999</v>
      </c>
      <c r="AR23" s="616"/>
      <c r="AS23" s="297">
        <v>130.49</v>
      </c>
      <c r="AT23" s="1324"/>
      <c r="AU23" s="1333">
        <v>114.84099999999999</v>
      </c>
      <c r="AV23" s="616"/>
      <c r="AW23" s="616">
        <v>327.9</v>
      </c>
      <c r="AX23" s="1324"/>
      <c r="AY23" s="1319">
        <v>114.84099999999999</v>
      </c>
      <c r="AZ23" s="616"/>
      <c r="BA23" s="297">
        <v>197.41</v>
      </c>
      <c r="BB23" s="1324"/>
      <c r="BC23" s="1319">
        <v>114.84099999999999</v>
      </c>
      <c r="BD23" s="616"/>
      <c r="BE23" s="297">
        <v>130.49</v>
      </c>
      <c r="BF23" s="1324"/>
    </row>
    <row r="24" spans="1:58" s="544" customFormat="1" ht="15" customHeight="1">
      <c r="A24" s="55"/>
      <c r="B24" s="57" t="s">
        <v>121</v>
      </c>
      <c r="C24" s="50"/>
      <c r="D24" s="50"/>
      <c r="E24" s="50"/>
      <c r="F24" s="1343"/>
      <c r="G24" s="1334"/>
      <c r="H24" s="50"/>
      <c r="I24" s="50"/>
      <c r="J24" s="1325"/>
      <c r="K24" s="1318"/>
      <c r="L24" s="50"/>
      <c r="M24" s="50"/>
      <c r="N24" s="1343"/>
      <c r="O24" s="1334"/>
      <c r="P24" s="50"/>
      <c r="Q24" s="50"/>
      <c r="R24" s="1325"/>
      <c r="S24" s="1318"/>
      <c r="T24" s="50"/>
      <c r="U24" s="50"/>
      <c r="V24" s="1325"/>
      <c r="W24" s="1318"/>
      <c r="X24" s="50"/>
      <c r="Y24" s="50"/>
      <c r="Z24" s="1325"/>
      <c r="AA24" s="1318">
        <v>0</v>
      </c>
      <c r="AB24" s="50"/>
      <c r="AC24" s="50"/>
      <c r="AD24" s="1325"/>
      <c r="AE24" s="1318"/>
      <c r="AF24" s="50"/>
      <c r="AG24" s="50"/>
      <c r="AH24" s="1325"/>
      <c r="AI24" s="1334"/>
      <c r="AJ24" s="50"/>
      <c r="AK24" s="50"/>
      <c r="AL24" s="1325"/>
      <c r="AM24" s="1318"/>
      <c r="AN24" s="50"/>
      <c r="AO24" s="50"/>
      <c r="AP24" s="1325"/>
      <c r="AQ24" s="1318"/>
      <c r="AR24" s="50"/>
      <c r="AS24" s="50"/>
      <c r="AT24" s="1325"/>
      <c r="AU24" s="1334"/>
      <c r="AV24" s="50"/>
      <c r="AW24" s="50"/>
      <c r="AX24" s="1325"/>
      <c r="AY24" s="1318"/>
      <c r="AZ24" s="50"/>
      <c r="BA24" s="50"/>
      <c r="BB24" s="1325"/>
      <c r="BC24" s="1318"/>
      <c r="BD24" s="50"/>
      <c r="BE24" s="50"/>
      <c r="BF24" s="1325"/>
    </row>
    <row r="25" spans="1:58" s="544" customFormat="1" ht="15" customHeight="1">
      <c r="A25" s="55"/>
      <c r="B25" s="57" t="s">
        <v>122</v>
      </c>
      <c r="C25" s="50"/>
      <c r="D25" s="50"/>
      <c r="E25" s="50"/>
      <c r="F25" s="1343"/>
      <c r="G25" s="1334"/>
      <c r="H25" s="50"/>
      <c r="I25" s="50"/>
      <c r="J25" s="1325"/>
      <c r="K25" s="1318"/>
      <c r="L25" s="50"/>
      <c r="M25" s="50"/>
      <c r="N25" s="1343"/>
      <c r="O25" s="1334"/>
      <c r="P25" s="50"/>
      <c r="Q25" s="50"/>
      <c r="R25" s="1325"/>
      <c r="S25" s="1318"/>
      <c r="T25" s="50"/>
      <c r="U25" s="50"/>
      <c r="V25" s="1325"/>
      <c r="W25" s="1318"/>
      <c r="X25" s="50"/>
      <c r="Y25" s="50"/>
      <c r="Z25" s="1325"/>
      <c r="AA25" s="1318"/>
      <c r="AB25" s="50"/>
      <c r="AC25" s="50"/>
      <c r="AD25" s="1325"/>
      <c r="AE25" s="1318"/>
      <c r="AF25" s="50"/>
      <c r="AG25" s="50"/>
      <c r="AH25" s="1325"/>
      <c r="AI25" s="1334"/>
      <c r="AJ25" s="50"/>
      <c r="AK25" s="50"/>
      <c r="AL25" s="1325"/>
      <c r="AM25" s="1318"/>
      <c r="AN25" s="50"/>
      <c r="AO25" s="50"/>
      <c r="AP25" s="1325"/>
      <c r="AQ25" s="1318"/>
      <c r="AR25" s="50"/>
      <c r="AS25" s="50"/>
      <c r="AT25" s="1325"/>
      <c r="AU25" s="1334"/>
      <c r="AV25" s="50"/>
      <c r="AW25" s="50"/>
      <c r="AX25" s="1325"/>
      <c r="AY25" s="1318"/>
      <c r="AZ25" s="50"/>
      <c r="BA25" s="50"/>
      <c r="BB25" s="1325"/>
      <c r="BC25" s="1318"/>
      <c r="BD25" s="50"/>
      <c r="BE25" s="50"/>
      <c r="BF25" s="1325"/>
    </row>
    <row r="26" spans="1:58" s="544" customFormat="1" ht="15" customHeight="1">
      <c r="A26" s="55"/>
      <c r="B26" s="57" t="s">
        <v>123</v>
      </c>
      <c r="C26" s="50"/>
      <c r="D26" s="50"/>
      <c r="E26" s="50"/>
      <c r="F26" s="1343"/>
      <c r="G26" s="1334"/>
      <c r="H26" s="50"/>
      <c r="I26" s="50"/>
      <c r="J26" s="1325"/>
      <c r="K26" s="1318"/>
      <c r="L26" s="50"/>
      <c r="M26" s="50"/>
      <c r="N26" s="1343"/>
      <c r="O26" s="1334"/>
      <c r="P26" s="50"/>
      <c r="Q26" s="50"/>
      <c r="R26" s="1325"/>
      <c r="S26" s="1318"/>
      <c r="T26" s="50"/>
      <c r="U26" s="50"/>
      <c r="V26" s="1325"/>
      <c r="W26" s="1318"/>
      <c r="X26" s="50"/>
      <c r="Y26" s="50"/>
      <c r="Z26" s="1325"/>
      <c r="AA26" s="1318"/>
      <c r="AB26" s="50"/>
      <c r="AC26" s="50"/>
      <c r="AD26" s="1325"/>
      <c r="AE26" s="1318"/>
      <c r="AF26" s="50"/>
      <c r="AG26" s="50"/>
      <c r="AH26" s="1325"/>
      <c r="AI26" s="1334"/>
      <c r="AJ26" s="50"/>
      <c r="AK26" s="50"/>
      <c r="AL26" s="1325"/>
      <c r="AM26" s="1318"/>
      <c r="AN26" s="50"/>
      <c r="AO26" s="50"/>
      <c r="AP26" s="1325"/>
      <c r="AQ26" s="1318"/>
      <c r="AR26" s="50"/>
      <c r="AS26" s="50"/>
      <c r="AT26" s="1325"/>
      <c r="AU26" s="1334"/>
      <c r="AV26" s="50"/>
      <c r="AW26" s="50"/>
      <c r="AX26" s="1325"/>
      <c r="AY26" s="1318"/>
      <c r="AZ26" s="50"/>
      <c r="BA26" s="50"/>
      <c r="BB26" s="1325"/>
      <c r="BC26" s="1318"/>
      <c r="BD26" s="50"/>
      <c r="BE26" s="50"/>
      <c r="BF26" s="1325"/>
    </row>
    <row r="27" spans="1:58" s="544" customFormat="1" ht="15" customHeight="1">
      <c r="A27" s="55"/>
      <c r="B27" s="57" t="s">
        <v>124</v>
      </c>
      <c r="C27" s="50"/>
      <c r="D27" s="50"/>
      <c r="E27" s="50"/>
      <c r="F27" s="1343"/>
      <c r="G27" s="1334"/>
      <c r="H27" s="50"/>
      <c r="I27" s="50"/>
      <c r="J27" s="1325"/>
      <c r="K27" s="1318"/>
      <c r="L27" s="50"/>
      <c r="M27" s="50"/>
      <c r="N27" s="1343"/>
      <c r="O27" s="1334"/>
      <c r="P27" s="50"/>
      <c r="Q27" s="50"/>
      <c r="R27" s="1325"/>
      <c r="S27" s="1318"/>
      <c r="T27" s="50"/>
      <c r="U27" s="50"/>
      <c r="V27" s="1325"/>
      <c r="W27" s="1318"/>
      <c r="X27" s="50"/>
      <c r="Y27" s="50"/>
      <c r="Z27" s="1325"/>
      <c r="AA27" s="1318"/>
      <c r="AB27" s="50"/>
      <c r="AC27" s="50"/>
      <c r="AD27" s="1325"/>
      <c r="AE27" s="1318"/>
      <c r="AF27" s="50"/>
      <c r="AG27" s="50"/>
      <c r="AH27" s="1325"/>
      <c r="AI27" s="1334"/>
      <c r="AJ27" s="50"/>
      <c r="AK27" s="50"/>
      <c r="AL27" s="1325"/>
      <c r="AM27" s="1318"/>
      <c r="AN27" s="50"/>
      <c r="AO27" s="50"/>
      <c r="AP27" s="1325"/>
      <c r="AQ27" s="1318"/>
      <c r="AR27" s="50"/>
      <c r="AS27" s="50"/>
      <c r="AT27" s="1325"/>
      <c r="AU27" s="1334"/>
      <c r="AV27" s="50"/>
      <c r="AW27" s="50"/>
      <c r="AX27" s="1325"/>
      <c r="AY27" s="1318"/>
      <c r="AZ27" s="50"/>
      <c r="BA27" s="50"/>
      <c r="BB27" s="1325"/>
      <c r="BC27" s="1318"/>
      <c r="BD27" s="50"/>
      <c r="BE27" s="50"/>
      <c r="BF27" s="1325"/>
    </row>
    <row r="28" spans="1:58" s="544" customFormat="1" ht="15" customHeight="1">
      <c r="A28" s="55"/>
      <c r="B28" s="57" t="s">
        <v>125</v>
      </c>
      <c r="C28" s="50"/>
      <c r="D28" s="50"/>
      <c r="E28" s="50"/>
      <c r="F28" s="1343"/>
      <c r="G28" s="1334"/>
      <c r="H28" s="50"/>
      <c r="I28" s="50"/>
      <c r="J28" s="1325"/>
      <c r="K28" s="1318"/>
      <c r="L28" s="50"/>
      <c r="M28" s="50"/>
      <c r="N28" s="1343"/>
      <c r="O28" s="1334"/>
      <c r="P28" s="50"/>
      <c r="Q28" s="50"/>
      <c r="R28" s="1325"/>
      <c r="S28" s="1318"/>
      <c r="T28" s="50"/>
      <c r="U28" s="50"/>
      <c r="V28" s="1325"/>
      <c r="W28" s="1318"/>
      <c r="X28" s="50"/>
      <c r="Y28" s="50"/>
      <c r="Z28" s="1325"/>
      <c r="AA28" s="1318"/>
      <c r="AB28" s="50"/>
      <c r="AC28" s="50"/>
      <c r="AD28" s="1325"/>
      <c r="AE28" s="1318"/>
      <c r="AF28" s="50"/>
      <c r="AG28" s="50"/>
      <c r="AH28" s="1325"/>
      <c r="AI28" s="1334"/>
      <c r="AJ28" s="50"/>
      <c r="AK28" s="50"/>
      <c r="AL28" s="1325"/>
      <c r="AM28" s="1318"/>
      <c r="AN28" s="50"/>
      <c r="AO28" s="50"/>
      <c r="AP28" s="1325"/>
      <c r="AQ28" s="1318"/>
      <c r="AR28" s="50"/>
      <c r="AS28" s="50"/>
      <c r="AT28" s="1325"/>
      <c r="AU28" s="1334"/>
      <c r="AV28" s="50"/>
      <c r="AW28" s="50"/>
      <c r="AX28" s="1325"/>
      <c r="AY28" s="1318"/>
      <c r="AZ28" s="50"/>
      <c r="BA28" s="50"/>
      <c r="BB28" s="1325"/>
      <c r="BC28" s="1318"/>
      <c r="BD28" s="50"/>
      <c r="BE28" s="50"/>
      <c r="BF28" s="1325"/>
    </row>
    <row r="29" spans="1:58" s="544" customFormat="1" ht="15" customHeight="1">
      <c r="A29" s="55"/>
      <c r="B29" s="56" t="s">
        <v>126</v>
      </c>
      <c r="C29" s="50"/>
      <c r="D29" s="50"/>
      <c r="E29" s="50"/>
      <c r="F29" s="1343"/>
      <c r="G29" s="1334"/>
      <c r="H29" s="50"/>
      <c r="I29" s="50"/>
      <c r="J29" s="1325"/>
      <c r="K29" s="1318"/>
      <c r="L29" s="50"/>
      <c r="M29" s="50"/>
      <c r="N29" s="1343"/>
      <c r="O29" s="1334"/>
      <c r="P29" s="50"/>
      <c r="Q29" s="50"/>
      <c r="R29" s="1325"/>
      <c r="S29" s="1318"/>
      <c r="T29" s="50"/>
      <c r="U29" s="50"/>
      <c r="V29" s="1325"/>
      <c r="W29" s="1318"/>
      <c r="X29" s="50"/>
      <c r="Y29" s="50"/>
      <c r="Z29" s="1325"/>
      <c r="AA29" s="1318"/>
      <c r="AB29" s="50"/>
      <c r="AC29" s="50"/>
      <c r="AD29" s="1325"/>
      <c r="AE29" s="1318"/>
      <c r="AF29" s="50"/>
      <c r="AG29" s="50"/>
      <c r="AH29" s="1325"/>
      <c r="AI29" s="1334"/>
      <c r="AJ29" s="50"/>
      <c r="AK29" s="50"/>
      <c r="AL29" s="1325"/>
      <c r="AM29" s="1318"/>
      <c r="AN29" s="50"/>
      <c r="AO29" s="50"/>
      <c r="AP29" s="1325"/>
      <c r="AQ29" s="1318"/>
      <c r="AR29" s="50"/>
      <c r="AS29" s="50"/>
      <c r="AT29" s="1325"/>
      <c r="AU29" s="1334"/>
      <c r="AV29" s="50"/>
      <c r="AW29" s="50"/>
      <c r="AX29" s="1325"/>
      <c r="AY29" s="1318"/>
      <c r="AZ29" s="50"/>
      <c r="BA29" s="50"/>
      <c r="BB29" s="1325"/>
      <c r="BC29" s="1318"/>
      <c r="BD29" s="50"/>
      <c r="BE29" s="50"/>
      <c r="BF29" s="1325"/>
    </row>
    <row r="30" spans="1:58" s="544" customFormat="1" ht="15" customHeight="1">
      <c r="A30" s="115"/>
      <c r="B30" s="116" t="s">
        <v>1198</v>
      </c>
      <c r="C30" s="118">
        <f>C31+C35+C40</f>
        <v>15.5</v>
      </c>
      <c r="D30" s="118">
        <f t="shared" ref="D30:AP30" si="9">D31+D35+D40</f>
        <v>0</v>
      </c>
      <c r="E30" s="118">
        <f t="shared" si="9"/>
        <v>43.04</v>
      </c>
      <c r="F30" s="1340">
        <f t="shared" si="9"/>
        <v>0</v>
      </c>
      <c r="G30" s="1331">
        <f t="shared" si="9"/>
        <v>17.2</v>
      </c>
      <c r="H30" s="118">
        <f t="shared" si="9"/>
        <v>0</v>
      </c>
      <c r="I30" s="118">
        <f t="shared" si="9"/>
        <v>36.279000000000003</v>
      </c>
      <c r="J30" s="1322">
        <f t="shared" si="9"/>
        <v>0</v>
      </c>
      <c r="K30" s="1315">
        <v>17.2</v>
      </c>
      <c r="L30" s="118">
        <v>0</v>
      </c>
      <c r="M30" s="118">
        <v>39</v>
      </c>
      <c r="N30" s="1340">
        <v>0</v>
      </c>
      <c r="O30" s="1331">
        <v>15.574999999999999</v>
      </c>
      <c r="P30" s="118">
        <v>0</v>
      </c>
      <c r="Q30" s="118">
        <v>36.472499999999997</v>
      </c>
      <c r="R30" s="1322">
        <v>0</v>
      </c>
      <c r="S30" s="1315">
        <v>17.2</v>
      </c>
      <c r="T30" s="118">
        <v>0</v>
      </c>
      <c r="U30" s="118">
        <v>34.57</v>
      </c>
      <c r="V30" s="1322">
        <v>0</v>
      </c>
      <c r="W30" s="1315">
        <v>15.574999999999999</v>
      </c>
      <c r="X30" s="118">
        <v>0</v>
      </c>
      <c r="Y30" s="118">
        <v>34.433</v>
      </c>
      <c r="Z30" s="1322">
        <v>0</v>
      </c>
      <c r="AA30" s="1315">
        <v>15.574999999999999</v>
      </c>
      <c r="AB30" s="118">
        <v>0</v>
      </c>
      <c r="AC30" s="118">
        <v>36.472499999999997</v>
      </c>
      <c r="AD30" s="1322">
        <v>0</v>
      </c>
      <c r="AE30" s="1315">
        <v>15.574999999999999</v>
      </c>
      <c r="AF30" s="118">
        <v>0</v>
      </c>
      <c r="AG30" s="118">
        <v>34.163699999999999</v>
      </c>
      <c r="AH30" s="1322">
        <v>0</v>
      </c>
      <c r="AI30" s="1331">
        <v>15.574999999999999</v>
      </c>
      <c r="AJ30" s="118">
        <v>0</v>
      </c>
      <c r="AK30" s="118">
        <v>34.163999999999994</v>
      </c>
      <c r="AL30" s="1322">
        <v>0</v>
      </c>
      <c r="AM30" s="1315">
        <v>15.574999999999999</v>
      </c>
      <c r="AN30" s="118">
        <v>0</v>
      </c>
      <c r="AO30" s="118">
        <v>22.241</v>
      </c>
      <c r="AP30" s="1322">
        <v>0</v>
      </c>
      <c r="AQ30" s="1315">
        <v>15.574999999999999</v>
      </c>
      <c r="AR30" s="118">
        <v>0</v>
      </c>
      <c r="AS30" s="118">
        <v>11.923</v>
      </c>
      <c r="AT30" s="1322">
        <v>0</v>
      </c>
      <c r="AU30" s="1331">
        <v>15.574999999999999</v>
      </c>
      <c r="AV30" s="118">
        <v>0</v>
      </c>
      <c r="AW30" s="118">
        <v>34.163999999999994</v>
      </c>
      <c r="AX30" s="1322">
        <v>0</v>
      </c>
      <c r="AY30" s="1315">
        <v>15.574999999999999</v>
      </c>
      <c r="AZ30" s="118">
        <v>0</v>
      </c>
      <c r="BA30" s="118">
        <v>22.241</v>
      </c>
      <c r="BB30" s="1322">
        <v>0</v>
      </c>
      <c r="BC30" s="1315">
        <v>15.574999999999999</v>
      </c>
      <c r="BD30" s="118">
        <v>0</v>
      </c>
      <c r="BE30" s="118">
        <v>11.923</v>
      </c>
      <c r="BF30" s="1322">
        <v>0</v>
      </c>
    </row>
    <row r="31" spans="1:58" s="108" customFormat="1" ht="15" customHeight="1">
      <c r="A31" s="295"/>
      <c r="B31" s="296" t="s">
        <v>120</v>
      </c>
      <c r="C31" s="297">
        <v>15.5</v>
      </c>
      <c r="D31" s="297"/>
      <c r="E31" s="297">
        <v>43.04</v>
      </c>
      <c r="F31" s="1344"/>
      <c r="G31" s="1335">
        <v>17.2</v>
      </c>
      <c r="H31" s="297"/>
      <c r="I31" s="297">
        <v>36.279000000000003</v>
      </c>
      <c r="J31" s="1326"/>
      <c r="K31" s="1319">
        <v>17.2</v>
      </c>
      <c r="L31" s="297"/>
      <c r="M31" s="297">
        <v>39</v>
      </c>
      <c r="N31" s="1344"/>
      <c r="O31" s="1335">
        <v>15.574999999999999</v>
      </c>
      <c r="P31" s="297"/>
      <c r="Q31" s="297">
        <v>36.472499999999997</v>
      </c>
      <c r="R31" s="1326"/>
      <c r="S31" s="1319">
        <v>17.2</v>
      </c>
      <c r="T31" s="297"/>
      <c r="U31" s="297">
        <v>34.57</v>
      </c>
      <c r="V31" s="1326"/>
      <c r="W31" s="1319">
        <v>15.574999999999999</v>
      </c>
      <c r="X31" s="297"/>
      <c r="Y31" s="297">
        <v>34.433</v>
      </c>
      <c r="Z31" s="1326"/>
      <c r="AA31" s="1319">
        <v>15.574999999999999</v>
      </c>
      <c r="AB31" s="297"/>
      <c r="AC31" s="297">
        <v>36.472499999999997</v>
      </c>
      <c r="AD31" s="1326"/>
      <c r="AE31" s="1319">
        <v>15.574999999999999</v>
      </c>
      <c r="AF31" s="297"/>
      <c r="AG31" s="297">
        <v>34.163699999999999</v>
      </c>
      <c r="AH31" s="1326"/>
      <c r="AI31" s="1335">
        <v>15.574999999999999</v>
      </c>
      <c r="AJ31" s="297"/>
      <c r="AK31" s="297">
        <v>34.163999999999994</v>
      </c>
      <c r="AL31" s="1326"/>
      <c r="AM31" s="1319">
        <v>15.574999999999999</v>
      </c>
      <c r="AN31" s="297"/>
      <c r="AO31" s="297">
        <v>22.241</v>
      </c>
      <c r="AP31" s="1326"/>
      <c r="AQ31" s="1319">
        <v>15.574999999999999</v>
      </c>
      <c r="AR31" s="297"/>
      <c r="AS31" s="297">
        <v>11.923</v>
      </c>
      <c r="AT31" s="1326"/>
      <c r="AU31" s="1335">
        <v>15.574999999999999</v>
      </c>
      <c r="AV31" s="297"/>
      <c r="AW31" s="297">
        <v>34.163999999999994</v>
      </c>
      <c r="AX31" s="1326"/>
      <c r="AY31" s="1319">
        <v>15.574999999999999</v>
      </c>
      <c r="AZ31" s="297"/>
      <c r="BA31" s="297">
        <v>22.241</v>
      </c>
      <c r="BB31" s="1326"/>
      <c r="BC31" s="1319">
        <v>15.574999999999999</v>
      </c>
      <c r="BD31" s="297"/>
      <c r="BE31" s="297">
        <v>11.923</v>
      </c>
      <c r="BF31" s="1326"/>
    </row>
    <row r="32" spans="1:58" s="294" customFormat="1" ht="15" customHeight="1">
      <c r="A32" s="292"/>
      <c r="B32" s="1281" t="s">
        <v>1697</v>
      </c>
      <c r="C32" s="616"/>
      <c r="D32" s="616"/>
      <c r="E32" s="616"/>
      <c r="F32" s="1345"/>
      <c r="G32" s="1333"/>
      <c r="H32" s="616"/>
      <c r="I32" s="616"/>
      <c r="J32" s="1324"/>
      <c r="K32" s="1317"/>
      <c r="L32" s="616"/>
      <c r="M32" s="616"/>
      <c r="N32" s="1345"/>
      <c r="O32" s="1333"/>
      <c r="P32" s="616"/>
      <c r="Q32" s="616"/>
      <c r="R32" s="1324"/>
      <c r="S32" s="1317"/>
      <c r="T32" s="616"/>
      <c r="U32" s="616"/>
      <c r="V32" s="1324"/>
      <c r="W32" s="1317"/>
      <c r="X32" s="616"/>
      <c r="Y32" s="616"/>
      <c r="Z32" s="1324"/>
      <c r="AA32" s="1317"/>
      <c r="AB32" s="616"/>
      <c r="AC32" s="616"/>
      <c r="AD32" s="1324"/>
      <c r="AE32" s="1317"/>
      <c r="AF32" s="616"/>
      <c r="AG32" s="616"/>
      <c r="AH32" s="1324"/>
      <c r="AI32" s="1333"/>
      <c r="AJ32" s="616"/>
      <c r="AK32" s="616"/>
      <c r="AL32" s="1324"/>
      <c r="AM32" s="1317"/>
      <c r="AN32" s="616"/>
      <c r="AO32" s="616"/>
      <c r="AP32" s="1324"/>
      <c r="AQ32" s="1317"/>
      <c r="AR32" s="616"/>
      <c r="AS32" s="616"/>
      <c r="AT32" s="1324"/>
      <c r="AU32" s="1333"/>
      <c r="AV32" s="616"/>
      <c r="AW32" s="616"/>
      <c r="AX32" s="1324"/>
      <c r="AY32" s="1317"/>
      <c r="AZ32" s="616"/>
      <c r="BA32" s="616"/>
      <c r="BB32" s="1324"/>
      <c r="BC32" s="1317"/>
      <c r="BD32" s="616"/>
      <c r="BE32" s="616"/>
      <c r="BF32" s="1324"/>
    </row>
    <row r="33" spans="1:58" s="294" customFormat="1" ht="15" customHeight="1">
      <c r="A33" s="292"/>
      <c r="B33" s="1281" t="s">
        <v>1512</v>
      </c>
      <c r="C33" s="616"/>
      <c r="D33" s="616"/>
      <c r="E33" s="616"/>
      <c r="F33" s="1345"/>
      <c r="G33" s="1333"/>
      <c r="H33" s="616"/>
      <c r="I33" s="616"/>
      <c r="J33" s="1324"/>
      <c r="K33" s="1317"/>
      <c r="L33" s="616"/>
      <c r="M33" s="616"/>
      <c r="N33" s="1345"/>
      <c r="O33" s="616">
        <v>0.85599999999999998</v>
      </c>
      <c r="P33" s="616"/>
      <c r="Q33" s="616">
        <v>1.9676770000000001</v>
      </c>
      <c r="R33" s="1324"/>
      <c r="S33" s="1317"/>
      <c r="T33" s="616"/>
      <c r="U33" s="616"/>
      <c r="V33" s="1324"/>
      <c r="W33" s="1319">
        <v>0.85599999999999998</v>
      </c>
      <c r="X33" s="616"/>
      <c r="Y33" s="297">
        <v>2.028</v>
      </c>
      <c r="Z33" s="1324"/>
      <c r="AA33" s="1319">
        <v>0.85599999999999998</v>
      </c>
      <c r="AB33" s="616"/>
      <c r="AC33" s="297">
        <v>1.9676770000000001</v>
      </c>
      <c r="AD33" s="1324"/>
      <c r="AE33" s="1319">
        <v>0.85599999999999998</v>
      </c>
      <c r="AF33" s="616"/>
      <c r="AG33" s="297">
        <v>2.1137999999999999</v>
      </c>
      <c r="AH33" s="1324"/>
      <c r="AI33" s="1333">
        <v>0.85599999999999998</v>
      </c>
      <c r="AJ33" s="616"/>
      <c r="AK33" s="616">
        <v>2.1139999999999999</v>
      </c>
      <c r="AL33" s="1324"/>
      <c r="AM33" s="1319">
        <v>0.85599999999999998</v>
      </c>
      <c r="AN33" s="616"/>
      <c r="AO33" s="297">
        <v>1.415</v>
      </c>
      <c r="AP33" s="1324"/>
      <c r="AQ33" s="1319">
        <v>0.85599999999999998</v>
      </c>
      <c r="AR33" s="616"/>
      <c r="AS33" s="297">
        <v>0.69899999999999995</v>
      </c>
      <c r="AT33" s="1324"/>
      <c r="AU33" s="1333">
        <v>0.85599999999999998</v>
      </c>
      <c r="AV33" s="616"/>
      <c r="AW33" s="616">
        <v>2.1139999999999999</v>
      </c>
      <c r="AX33" s="1324"/>
      <c r="AY33" s="1319">
        <v>0.85599999999999998</v>
      </c>
      <c r="AZ33" s="616"/>
      <c r="BA33" s="297">
        <v>1.415</v>
      </c>
      <c r="BB33" s="1324"/>
      <c r="BC33" s="1319">
        <v>0.85599999999999998</v>
      </c>
      <c r="BD33" s="616"/>
      <c r="BE33" s="297">
        <v>0.69899999999999995</v>
      </c>
      <c r="BF33" s="1324"/>
    </row>
    <row r="34" spans="1:58" s="294" customFormat="1" ht="15" customHeight="1">
      <c r="A34" s="292"/>
      <c r="B34" s="1281" t="s">
        <v>1513</v>
      </c>
      <c r="C34" s="616"/>
      <c r="D34" s="616"/>
      <c r="E34" s="616"/>
      <c r="F34" s="1345"/>
      <c r="G34" s="1333"/>
      <c r="H34" s="616"/>
      <c r="I34" s="616"/>
      <c r="J34" s="1324"/>
      <c r="K34" s="1317"/>
      <c r="L34" s="616"/>
      <c r="M34" s="616"/>
      <c r="N34" s="1345"/>
      <c r="O34" s="616">
        <v>14.718999999999999</v>
      </c>
      <c r="P34" s="616"/>
      <c r="Q34" s="616">
        <v>34.504822999999995</v>
      </c>
      <c r="R34" s="1324"/>
      <c r="S34" s="1317"/>
      <c r="T34" s="616"/>
      <c r="U34" s="616"/>
      <c r="V34" s="1324"/>
      <c r="W34" s="1319">
        <v>14.718999999999999</v>
      </c>
      <c r="X34" s="616"/>
      <c r="Y34" s="297">
        <v>32.405000000000001</v>
      </c>
      <c r="Z34" s="1324"/>
      <c r="AA34" s="1319">
        <v>14.718999999999999</v>
      </c>
      <c r="AB34" s="616"/>
      <c r="AC34" s="297">
        <v>34.504822999999995</v>
      </c>
      <c r="AD34" s="1324"/>
      <c r="AE34" s="1319">
        <v>14.718999999999999</v>
      </c>
      <c r="AF34" s="616"/>
      <c r="AG34" s="297">
        <v>32.049900000000001</v>
      </c>
      <c r="AH34" s="1324"/>
      <c r="AI34" s="1333">
        <v>14.718999999999999</v>
      </c>
      <c r="AJ34" s="616"/>
      <c r="AK34" s="616">
        <v>32.049999999999997</v>
      </c>
      <c r="AL34" s="1324"/>
      <c r="AM34" s="1319">
        <v>14.718999999999999</v>
      </c>
      <c r="AN34" s="616"/>
      <c r="AO34" s="297">
        <v>20.826000000000001</v>
      </c>
      <c r="AP34" s="1324"/>
      <c r="AQ34" s="1319">
        <v>14.718999999999999</v>
      </c>
      <c r="AR34" s="616"/>
      <c r="AS34" s="297">
        <v>11.224</v>
      </c>
      <c r="AT34" s="1324"/>
      <c r="AU34" s="1333">
        <v>14.718999999999999</v>
      </c>
      <c r="AV34" s="616"/>
      <c r="AW34" s="616">
        <v>32.049999999999997</v>
      </c>
      <c r="AX34" s="1324"/>
      <c r="AY34" s="1319">
        <v>14.718999999999999</v>
      </c>
      <c r="AZ34" s="616"/>
      <c r="BA34" s="297">
        <v>20.826000000000001</v>
      </c>
      <c r="BB34" s="1324"/>
      <c r="BC34" s="1319">
        <v>14.718999999999999</v>
      </c>
      <c r="BD34" s="616"/>
      <c r="BE34" s="297">
        <v>11.224</v>
      </c>
      <c r="BF34" s="1324"/>
    </row>
    <row r="35" spans="1:58" s="544" customFormat="1" ht="15" customHeight="1">
      <c r="A35" s="55"/>
      <c r="B35" s="57" t="s">
        <v>121</v>
      </c>
      <c r="C35" s="50"/>
      <c r="D35" s="50"/>
      <c r="E35" s="50"/>
      <c r="F35" s="1343"/>
      <c r="G35" s="1334"/>
      <c r="H35" s="50"/>
      <c r="I35" s="50"/>
      <c r="J35" s="1325"/>
      <c r="K35" s="1318"/>
      <c r="L35" s="50"/>
      <c r="M35" s="50"/>
      <c r="N35" s="1343"/>
      <c r="O35" s="1334"/>
      <c r="P35" s="50"/>
      <c r="Q35" s="50"/>
      <c r="R35" s="1325"/>
      <c r="S35" s="1318"/>
      <c r="T35" s="50"/>
      <c r="U35" s="50"/>
      <c r="V35" s="1325"/>
      <c r="W35" s="1318"/>
      <c r="X35" s="50"/>
      <c r="Y35" s="50"/>
      <c r="Z35" s="1325"/>
      <c r="AA35" s="1318"/>
      <c r="AB35" s="50"/>
      <c r="AC35" s="50"/>
      <c r="AD35" s="1325"/>
      <c r="AE35" s="1318"/>
      <c r="AF35" s="50"/>
      <c r="AG35" s="50"/>
      <c r="AH35" s="1325"/>
      <c r="AI35" s="1334"/>
      <c r="AJ35" s="50"/>
      <c r="AK35" s="50"/>
      <c r="AL35" s="1325"/>
      <c r="AM35" s="1318"/>
      <c r="AN35" s="50"/>
      <c r="AO35" s="50"/>
      <c r="AP35" s="1325"/>
      <c r="AQ35" s="1318"/>
      <c r="AR35" s="50"/>
      <c r="AS35" s="50"/>
      <c r="AT35" s="1325"/>
      <c r="AU35" s="1334"/>
      <c r="AV35" s="50"/>
      <c r="AW35" s="50"/>
      <c r="AX35" s="1325"/>
      <c r="AY35" s="1318"/>
      <c r="AZ35" s="50"/>
      <c r="BA35" s="50"/>
      <c r="BB35" s="1325"/>
      <c r="BC35" s="1318"/>
      <c r="BD35" s="50"/>
      <c r="BE35" s="50"/>
      <c r="BF35" s="1325"/>
    </row>
    <row r="36" spans="1:58" s="544" customFormat="1" ht="15" customHeight="1">
      <c r="A36" s="55"/>
      <c r="B36" s="57" t="s">
        <v>122</v>
      </c>
      <c r="C36" s="50"/>
      <c r="D36" s="50"/>
      <c r="E36" s="50"/>
      <c r="F36" s="1343"/>
      <c r="G36" s="1334"/>
      <c r="H36" s="50"/>
      <c r="I36" s="50"/>
      <c r="J36" s="1325"/>
      <c r="K36" s="1318"/>
      <c r="L36" s="50"/>
      <c r="M36" s="50"/>
      <c r="N36" s="1343"/>
      <c r="O36" s="1334"/>
      <c r="P36" s="50"/>
      <c r="Q36" s="50"/>
      <c r="R36" s="1325"/>
      <c r="S36" s="1318"/>
      <c r="T36" s="50"/>
      <c r="U36" s="50"/>
      <c r="V36" s="1325"/>
      <c r="W36" s="1318"/>
      <c r="X36" s="50"/>
      <c r="Y36" s="50"/>
      <c r="Z36" s="1325"/>
      <c r="AA36" s="1318"/>
      <c r="AB36" s="50"/>
      <c r="AC36" s="50"/>
      <c r="AD36" s="1325"/>
      <c r="AE36" s="1318"/>
      <c r="AF36" s="50"/>
      <c r="AG36" s="50"/>
      <c r="AH36" s="1325"/>
      <c r="AI36" s="1334"/>
      <c r="AJ36" s="50"/>
      <c r="AK36" s="50"/>
      <c r="AL36" s="1325"/>
      <c r="AM36" s="1318"/>
      <c r="AN36" s="50"/>
      <c r="AO36" s="50"/>
      <c r="AP36" s="1325"/>
      <c r="AQ36" s="1318"/>
      <c r="AR36" s="50"/>
      <c r="AS36" s="50"/>
      <c r="AT36" s="1325"/>
      <c r="AU36" s="1334"/>
      <c r="AV36" s="50"/>
      <c r="AW36" s="50"/>
      <c r="AX36" s="1325"/>
      <c r="AY36" s="1318"/>
      <c r="AZ36" s="50"/>
      <c r="BA36" s="50"/>
      <c r="BB36" s="1325"/>
      <c r="BC36" s="1318"/>
      <c r="BD36" s="50"/>
      <c r="BE36" s="50"/>
      <c r="BF36" s="1325"/>
    </row>
    <row r="37" spans="1:58" s="544" customFormat="1" ht="15" customHeight="1">
      <c r="A37" s="55"/>
      <c r="B37" s="57" t="s">
        <v>123</v>
      </c>
      <c r="C37" s="50"/>
      <c r="D37" s="50"/>
      <c r="E37" s="50"/>
      <c r="F37" s="1343"/>
      <c r="G37" s="1334"/>
      <c r="H37" s="50"/>
      <c r="I37" s="50"/>
      <c r="J37" s="1325"/>
      <c r="K37" s="1318"/>
      <c r="L37" s="50"/>
      <c r="M37" s="50"/>
      <c r="N37" s="1343"/>
      <c r="O37" s="1334"/>
      <c r="P37" s="50"/>
      <c r="Q37" s="50"/>
      <c r="R37" s="1325"/>
      <c r="S37" s="1318"/>
      <c r="T37" s="50"/>
      <c r="U37" s="50"/>
      <c r="V37" s="1325"/>
      <c r="W37" s="1318"/>
      <c r="X37" s="50"/>
      <c r="Y37" s="50"/>
      <c r="Z37" s="1325"/>
      <c r="AA37" s="1318"/>
      <c r="AB37" s="50"/>
      <c r="AC37" s="50"/>
      <c r="AD37" s="1325"/>
      <c r="AE37" s="1318"/>
      <c r="AF37" s="50"/>
      <c r="AG37" s="50"/>
      <c r="AH37" s="1325"/>
      <c r="AI37" s="1334"/>
      <c r="AJ37" s="50"/>
      <c r="AK37" s="50"/>
      <c r="AL37" s="1325"/>
      <c r="AM37" s="1318"/>
      <c r="AN37" s="50"/>
      <c r="AO37" s="50"/>
      <c r="AP37" s="1325"/>
      <c r="AQ37" s="1318"/>
      <c r="AR37" s="50"/>
      <c r="AS37" s="50"/>
      <c r="AT37" s="1325"/>
      <c r="AU37" s="1334"/>
      <c r="AV37" s="50"/>
      <c r="AW37" s="50"/>
      <c r="AX37" s="1325"/>
      <c r="AY37" s="1318"/>
      <c r="AZ37" s="50"/>
      <c r="BA37" s="50"/>
      <c r="BB37" s="1325"/>
      <c r="BC37" s="1318"/>
      <c r="BD37" s="50"/>
      <c r="BE37" s="50"/>
      <c r="BF37" s="1325"/>
    </row>
    <row r="38" spans="1:58" s="544" customFormat="1" ht="15" customHeight="1">
      <c r="A38" s="55"/>
      <c r="B38" s="57" t="s">
        <v>124</v>
      </c>
      <c r="C38" s="50"/>
      <c r="D38" s="50"/>
      <c r="E38" s="50"/>
      <c r="F38" s="1343"/>
      <c r="G38" s="1334"/>
      <c r="H38" s="50"/>
      <c r="I38" s="50"/>
      <c r="J38" s="1325"/>
      <c r="K38" s="1318"/>
      <c r="L38" s="50"/>
      <c r="M38" s="50"/>
      <c r="N38" s="1343"/>
      <c r="O38" s="1334"/>
      <c r="P38" s="50"/>
      <c r="Q38" s="50"/>
      <c r="R38" s="1325"/>
      <c r="S38" s="1318"/>
      <c r="T38" s="50"/>
      <c r="U38" s="50"/>
      <c r="V38" s="1325"/>
      <c r="W38" s="1318"/>
      <c r="X38" s="50"/>
      <c r="Y38" s="50"/>
      <c r="Z38" s="1325"/>
      <c r="AA38" s="1318"/>
      <c r="AB38" s="50"/>
      <c r="AC38" s="50"/>
      <c r="AD38" s="1325"/>
      <c r="AE38" s="1318"/>
      <c r="AF38" s="50"/>
      <c r="AG38" s="50"/>
      <c r="AH38" s="1325"/>
      <c r="AI38" s="1334"/>
      <c r="AJ38" s="50"/>
      <c r="AK38" s="50"/>
      <c r="AL38" s="1325"/>
      <c r="AM38" s="1318"/>
      <c r="AN38" s="50"/>
      <c r="AO38" s="50"/>
      <c r="AP38" s="1325"/>
      <c r="AQ38" s="1318"/>
      <c r="AR38" s="50"/>
      <c r="AS38" s="50"/>
      <c r="AT38" s="1325"/>
      <c r="AU38" s="1334"/>
      <c r="AV38" s="50"/>
      <c r="AW38" s="50"/>
      <c r="AX38" s="1325"/>
      <c r="AY38" s="1318"/>
      <c r="AZ38" s="50"/>
      <c r="BA38" s="50"/>
      <c r="BB38" s="1325"/>
      <c r="BC38" s="1318"/>
      <c r="BD38" s="50"/>
      <c r="BE38" s="50"/>
      <c r="BF38" s="1325"/>
    </row>
    <row r="39" spans="1:58" s="544" customFormat="1" ht="15" customHeight="1">
      <c r="A39" s="55"/>
      <c r="B39" s="57" t="s">
        <v>125</v>
      </c>
      <c r="C39" s="50"/>
      <c r="D39" s="50"/>
      <c r="E39" s="50"/>
      <c r="F39" s="1343"/>
      <c r="G39" s="1334"/>
      <c r="H39" s="50"/>
      <c r="I39" s="50"/>
      <c r="J39" s="1325"/>
      <c r="K39" s="1318"/>
      <c r="L39" s="50"/>
      <c r="M39" s="50"/>
      <c r="N39" s="1343"/>
      <c r="O39" s="1334"/>
      <c r="P39" s="50"/>
      <c r="Q39" s="50"/>
      <c r="R39" s="1325"/>
      <c r="S39" s="1318"/>
      <c r="T39" s="50"/>
      <c r="U39" s="50"/>
      <c r="V39" s="1325"/>
      <c r="W39" s="1318"/>
      <c r="X39" s="50"/>
      <c r="Y39" s="50"/>
      <c r="Z39" s="1325"/>
      <c r="AA39" s="1318"/>
      <c r="AB39" s="50"/>
      <c r="AC39" s="50"/>
      <c r="AD39" s="1325"/>
      <c r="AE39" s="1318"/>
      <c r="AF39" s="50"/>
      <c r="AG39" s="50"/>
      <c r="AH39" s="1325"/>
      <c r="AI39" s="1334"/>
      <c r="AJ39" s="50"/>
      <c r="AK39" s="50"/>
      <c r="AL39" s="1325"/>
      <c r="AM39" s="1318"/>
      <c r="AN39" s="50"/>
      <c r="AO39" s="50"/>
      <c r="AP39" s="1325"/>
      <c r="AQ39" s="1318"/>
      <c r="AR39" s="50"/>
      <c r="AS39" s="50"/>
      <c r="AT39" s="1325"/>
      <c r="AU39" s="1334"/>
      <c r="AV39" s="50"/>
      <c r="AW39" s="50"/>
      <c r="AX39" s="1325"/>
      <c r="AY39" s="1318"/>
      <c r="AZ39" s="50"/>
      <c r="BA39" s="50"/>
      <c r="BB39" s="1325"/>
      <c r="BC39" s="1318"/>
      <c r="BD39" s="50"/>
      <c r="BE39" s="50"/>
      <c r="BF39" s="1325"/>
    </row>
    <row r="40" spans="1:58" s="544" customFormat="1" ht="15" customHeight="1">
      <c r="A40" s="55"/>
      <c r="B40" s="56" t="s">
        <v>126</v>
      </c>
      <c r="C40" s="50"/>
      <c r="D40" s="50"/>
      <c r="E40" s="50"/>
      <c r="F40" s="1343"/>
      <c r="G40" s="1334"/>
      <c r="H40" s="50"/>
      <c r="I40" s="50"/>
      <c r="J40" s="1325"/>
      <c r="K40" s="1318"/>
      <c r="L40" s="50"/>
      <c r="M40" s="50"/>
      <c r="N40" s="1343"/>
      <c r="O40" s="1334"/>
      <c r="P40" s="50"/>
      <c r="Q40" s="50"/>
      <c r="R40" s="1325"/>
      <c r="S40" s="1318"/>
      <c r="T40" s="50"/>
      <c r="U40" s="50"/>
      <c r="V40" s="1325"/>
      <c r="W40" s="1318"/>
      <c r="X40" s="50"/>
      <c r="Y40" s="50"/>
      <c r="Z40" s="1325"/>
      <c r="AA40" s="1318"/>
      <c r="AB40" s="50"/>
      <c r="AC40" s="50"/>
      <c r="AD40" s="1325"/>
      <c r="AE40" s="1318"/>
      <c r="AF40" s="50"/>
      <c r="AG40" s="50"/>
      <c r="AH40" s="1325"/>
      <c r="AI40" s="1334"/>
      <c r="AJ40" s="50"/>
      <c r="AK40" s="50"/>
      <c r="AL40" s="1325"/>
      <c r="AM40" s="1318"/>
      <c r="AN40" s="50"/>
      <c r="AO40" s="50"/>
      <c r="AP40" s="1325"/>
      <c r="AQ40" s="1318"/>
      <c r="AR40" s="50"/>
      <c r="AS40" s="50"/>
      <c r="AT40" s="1325"/>
      <c r="AU40" s="1334"/>
      <c r="AV40" s="50"/>
      <c r="AW40" s="50"/>
      <c r="AX40" s="1325"/>
      <c r="AY40" s="1318"/>
      <c r="AZ40" s="50"/>
      <c r="BA40" s="50"/>
      <c r="BB40" s="1325"/>
      <c r="BC40" s="1318"/>
      <c r="BD40" s="50"/>
      <c r="BE40" s="50"/>
      <c r="BF40" s="1325"/>
    </row>
    <row r="41" spans="1:58" s="544" customFormat="1" ht="15" customHeight="1">
      <c r="A41" s="115"/>
      <c r="B41" s="116" t="s">
        <v>1199</v>
      </c>
      <c r="C41" s="118">
        <f>C42+C46+C51</f>
        <v>13.3</v>
      </c>
      <c r="D41" s="118">
        <f t="shared" ref="D41:AP41" si="10">D42+D46+D51</f>
        <v>0</v>
      </c>
      <c r="E41" s="118">
        <f t="shared" si="10"/>
        <v>35.19</v>
      </c>
      <c r="F41" s="1340">
        <f t="shared" si="10"/>
        <v>0</v>
      </c>
      <c r="G41" s="1331">
        <f t="shared" si="10"/>
        <v>10.750000000000014</v>
      </c>
      <c r="H41" s="118">
        <f t="shared" si="10"/>
        <v>0</v>
      </c>
      <c r="I41" s="118">
        <f t="shared" si="10"/>
        <v>27.707000000000058</v>
      </c>
      <c r="J41" s="1322">
        <f t="shared" si="10"/>
        <v>0</v>
      </c>
      <c r="K41" s="1315">
        <v>10.75</v>
      </c>
      <c r="L41" s="118">
        <v>0</v>
      </c>
      <c r="M41" s="118">
        <v>31.305</v>
      </c>
      <c r="N41" s="1340">
        <v>0</v>
      </c>
      <c r="O41" s="1331">
        <v>13.377000000000001</v>
      </c>
      <c r="P41" s="118">
        <v>0</v>
      </c>
      <c r="Q41" s="118">
        <v>33.069499999999998</v>
      </c>
      <c r="R41" s="1322">
        <v>0</v>
      </c>
      <c r="S41" s="1315">
        <v>10.750000000000014</v>
      </c>
      <c r="T41" s="118">
        <v>0</v>
      </c>
      <c r="U41" s="118">
        <v>26.512000000000015</v>
      </c>
      <c r="V41" s="1322">
        <v>0</v>
      </c>
      <c r="W41" s="1315">
        <v>13.377000000000001</v>
      </c>
      <c r="X41" s="118">
        <v>0</v>
      </c>
      <c r="Y41" s="118">
        <v>28.987000000000002</v>
      </c>
      <c r="Z41" s="1322">
        <v>0</v>
      </c>
      <c r="AA41" s="1315">
        <v>13.377000000000001</v>
      </c>
      <c r="AB41" s="118">
        <v>0</v>
      </c>
      <c r="AC41" s="118">
        <v>32.670299999999997</v>
      </c>
      <c r="AD41" s="1322">
        <v>0</v>
      </c>
      <c r="AE41" s="1315">
        <v>13.377000000000001</v>
      </c>
      <c r="AF41" s="118">
        <v>0</v>
      </c>
      <c r="AG41" s="118">
        <v>26.921700000000005</v>
      </c>
      <c r="AH41" s="1322">
        <v>0</v>
      </c>
      <c r="AI41" s="1331">
        <v>13.377000000000001</v>
      </c>
      <c r="AJ41" s="118">
        <v>0</v>
      </c>
      <c r="AK41" s="118">
        <v>26.936000000000003</v>
      </c>
      <c r="AL41" s="1322">
        <v>0</v>
      </c>
      <c r="AM41" s="1315">
        <v>13.377000000000001</v>
      </c>
      <c r="AN41" s="118">
        <v>0</v>
      </c>
      <c r="AO41" s="118">
        <v>17.449000000000002</v>
      </c>
      <c r="AP41" s="1322">
        <v>0</v>
      </c>
      <c r="AQ41" s="1315">
        <v>13.377000000000001</v>
      </c>
      <c r="AR41" s="118">
        <v>0</v>
      </c>
      <c r="AS41" s="118">
        <v>9.4870000000000001</v>
      </c>
      <c r="AT41" s="1322">
        <v>0</v>
      </c>
      <c r="AU41" s="1331">
        <v>13.377000000000001</v>
      </c>
      <c r="AV41" s="118">
        <v>0</v>
      </c>
      <c r="AW41" s="118">
        <v>26.936000000000003</v>
      </c>
      <c r="AX41" s="1322">
        <v>0</v>
      </c>
      <c r="AY41" s="1315">
        <v>13.377000000000001</v>
      </c>
      <c r="AZ41" s="118">
        <v>0</v>
      </c>
      <c r="BA41" s="118">
        <v>17.449000000000002</v>
      </c>
      <c r="BB41" s="1322">
        <v>0</v>
      </c>
      <c r="BC41" s="1315">
        <v>13.377000000000001</v>
      </c>
      <c r="BD41" s="118">
        <v>0</v>
      </c>
      <c r="BE41" s="118">
        <v>9.4870000000000001</v>
      </c>
      <c r="BF41" s="1322">
        <v>0</v>
      </c>
    </row>
    <row r="42" spans="1:58" s="108" customFormat="1" ht="15" customHeight="1">
      <c r="A42" s="295"/>
      <c r="B42" s="296" t="s">
        <v>120</v>
      </c>
      <c r="C42" s="297">
        <v>13.3</v>
      </c>
      <c r="D42" s="297"/>
      <c r="E42" s="297">
        <v>35.19</v>
      </c>
      <c r="F42" s="1344"/>
      <c r="G42" s="1335">
        <v>10.550000000000015</v>
      </c>
      <c r="H42" s="297"/>
      <c r="I42" s="297">
        <v>25.954000000000057</v>
      </c>
      <c r="J42" s="1326"/>
      <c r="K42" s="1319">
        <v>10.75</v>
      </c>
      <c r="L42" s="297"/>
      <c r="M42" s="297">
        <v>29.5</v>
      </c>
      <c r="N42" s="1344"/>
      <c r="O42" s="1335">
        <v>12.823</v>
      </c>
      <c r="P42" s="297"/>
      <c r="Q42" s="297">
        <v>31.701499999999999</v>
      </c>
      <c r="R42" s="1326"/>
      <c r="S42" s="1319">
        <v>10.550000000000015</v>
      </c>
      <c r="T42" s="297"/>
      <c r="U42" s="297">
        <v>24.731000000000016</v>
      </c>
      <c r="V42" s="1326"/>
      <c r="W42" s="1319">
        <v>12.823</v>
      </c>
      <c r="X42" s="297"/>
      <c r="Y42" s="297">
        <v>28.487000000000002</v>
      </c>
      <c r="Z42" s="1326"/>
      <c r="AA42" s="1319">
        <v>12.823</v>
      </c>
      <c r="AB42" s="297"/>
      <c r="AC42" s="297">
        <v>31.659499999999998</v>
      </c>
      <c r="AD42" s="1326"/>
      <c r="AE42" s="1319">
        <v>12.823</v>
      </c>
      <c r="AF42" s="297"/>
      <c r="AG42" s="297">
        <v>25.725700000000003</v>
      </c>
      <c r="AH42" s="1326"/>
      <c r="AI42" s="1335">
        <v>12.823</v>
      </c>
      <c r="AJ42" s="297"/>
      <c r="AK42" s="297">
        <v>25.740000000000002</v>
      </c>
      <c r="AL42" s="1326"/>
      <c r="AM42" s="1319">
        <v>12.823</v>
      </c>
      <c r="AN42" s="297"/>
      <c r="AO42" s="297">
        <v>16.954000000000001</v>
      </c>
      <c r="AP42" s="1326"/>
      <c r="AQ42" s="1319">
        <v>12.823</v>
      </c>
      <c r="AR42" s="297"/>
      <c r="AS42" s="297">
        <v>8.7859999999999996</v>
      </c>
      <c r="AT42" s="1326"/>
      <c r="AU42" s="1335">
        <v>12.823</v>
      </c>
      <c r="AV42" s="297"/>
      <c r="AW42" s="297">
        <v>25.740000000000002</v>
      </c>
      <c r="AX42" s="1326"/>
      <c r="AY42" s="1319">
        <v>12.823</v>
      </c>
      <c r="AZ42" s="297"/>
      <c r="BA42" s="297">
        <v>16.954000000000001</v>
      </c>
      <c r="BB42" s="1326"/>
      <c r="BC42" s="1319">
        <v>12.823</v>
      </c>
      <c r="BD42" s="297"/>
      <c r="BE42" s="297">
        <v>8.7859999999999996</v>
      </c>
      <c r="BF42" s="1326"/>
    </row>
    <row r="43" spans="1:58" s="294" customFormat="1" ht="15" customHeight="1">
      <c r="A43" s="292"/>
      <c r="B43" s="1281" t="s">
        <v>1697</v>
      </c>
      <c r="C43" s="616"/>
      <c r="D43" s="616"/>
      <c r="E43" s="616"/>
      <c r="F43" s="1345"/>
      <c r="G43" s="1333"/>
      <c r="H43" s="616"/>
      <c r="I43" s="616"/>
      <c r="J43" s="1324"/>
      <c r="K43" s="1317"/>
      <c r="L43" s="616"/>
      <c r="M43" s="616"/>
      <c r="N43" s="1345"/>
      <c r="O43" s="1333"/>
      <c r="P43" s="616"/>
      <c r="Q43" s="616"/>
      <c r="R43" s="1324"/>
      <c r="S43" s="1317"/>
      <c r="T43" s="616"/>
      <c r="U43" s="616"/>
      <c r="V43" s="1324"/>
      <c r="W43" s="1317"/>
      <c r="X43" s="616"/>
      <c r="Y43" s="616"/>
      <c r="Z43" s="1324"/>
      <c r="AA43" s="1317"/>
      <c r="AB43" s="616"/>
      <c r="AC43" s="616"/>
      <c r="AD43" s="1324"/>
      <c r="AE43" s="1317"/>
      <c r="AF43" s="616"/>
      <c r="AG43" s="616"/>
      <c r="AH43" s="1324"/>
      <c r="AI43" s="1333"/>
      <c r="AJ43" s="616"/>
      <c r="AK43" s="616"/>
      <c r="AL43" s="1324"/>
      <c r="AM43" s="1317"/>
      <c r="AN43" s="616"/>
      <c r="AO43" s="616"/>
      <c r="AP43" s="1324"/>
      <c r="AQ43" s="1317"/>
      <c r="AR43" s="616"/>
      <c r="AS43" s="616"/>
      <c r="AT43" s="1324"/>
      <c r="AU43" s="1333"/>
      <c r="AV43" s="616"/>
      <c r="AW43" s="616"/>
      <c r="AX43" s="1324"/>
      <c r="AY43" s="1317"/>
      <c r="AZ43" s="616"/>
      <c r="BA43" s="616"/>
      <c r="BB43" s="1324"/>
      <c r="BC43" s="1317"/>
      <c r="BD43" s="616"/>
      <c r="BE43" s="616"/>
      <c r="BF43" s="1324"/>
    </row>
    <row r="44" spans="1:58" s="294" customFormat="1" ht="15" customHeight="1">
      <c r="A44" s="292"/>
      <c r="B44" s="1281" t="s">
        <v>1512</v>
      </c>
      <c r="C44" s="616"/>
      <c r="D44" s="616"/>
      <c r="E44" s="616"/>
      <c r="F44" s="1345"/>
      <c r="G44" s="1333"/>
      <c r="H44" s="616"/>
      <c r="I44" s="616"/>
      <c r="J44" s="1324"/>
      <c r="K44" s="1317"/>
      <c r="L44" s="616"/>
      <c r="M44" s="616"/>
      <c r="N44" s="1345"/>
      <c r="O44" s="1333">
        <v>3.0630000000000002</v>
      </c>
      <c r="P44" s="616"/>
      <c r="Q44" s="616">
        <v>6.3584947700000001</v>
      </c>
      <c r="R44" s="1324"/>
      <c r="S44" s="1317"/>
      <c r="T44" s="616"/>
      <c r="U44" s="616"/>
      <c r="V44" s="1324"/>
      <c r="W44" s="1319">
        <v>3.0630000000000002</v>
      </c>
      <c r="X44" s="616"/>
      <c r="Y44" s="297">
        <v>6.234</v>
      </c>
      <c r="Z44" s="1324"/>
      <c r="AA44" s="1319">
        <v>3.0630000000000002</v>
      </c>
      <c r="AB44" s="616"/>
      <c r="AC44" s="297">
        <v>6.3584947700000001</v>
      </c>
      <c r="AD44" s="1324"/>
      <c r="AE44" s="1319">
        <v>3.0630000000000002</v>
      </c>
      <c r="AF44" s="616"/>
      <c r="AG44" s="297">
        <v>5.8010999999999999</v>
      </c>
      <c r="AH44" s="1324"/>
      <c r="AI44" s="1333">
        <v>3.0630000000000002</v>
      </c>
      <c r="AJ44" s="616"/>
      <c r="AK44" s="616">
        <v>5.8010000000000002</v>
      </c>
      <c r="AL44" s="1324"/>
      <c r="AM44" s="1319">
        <v>3.0630000000000002</v>
      </c>
      <c r="AN44" s="616"/>
      <c r="AO44" s="297">
        <v>3.859</v>
      </c>
      <c r="AP44" s="1324"/>
      <c r="AQ44" s="1319">
        <v>3.0630000000000002</v>
      </c>
      <c r="AR44" s="616"/>
      <c r="AS44" s="297">
        <v>1.9419999999999999</v>
      </c>
      <c r="AT44" s="1324"/>
      <c r="AU44" s="1333">
        <v>3.0630000000000002</v>
      </c>
      <c r="AV44" s="616"/>
      <c r="AW44" s="616">
        <v>5.8010000000000002</v>
      </c>
      <c r="AX44" s="1324"/>
      <c r="AY44" s="1319">
        <v>3.0630000000000002</v>
      </c>
      <c r="AZ44" s="616"/>
      <c r="BA44" s="297">
        <v>3.859</v>
      </c>
      <c r="BB44" s="1324"/>
      <c r="BC44" s="1319">
        <v>3.0630000000000002</v>
      </c>
      <c r="BD44" s="616"/>
      <c r="BE44" s="297">
        <v>1.9419999999999999</v>
      </c>
      <c r="BF44" s="1324"/>
    </row>
    <row r="45" spans="1:58" s="294" customFormat="1" ht="15" customHeight="1">
      <c r="A45" s="292"/>
      <c r="B45" s="1281" t="s">
        <v>1513</v>
      </c>
      <c r="C45" s="616"/>
      <c r="D45" s="616"/>
      <c r="E45" s="616"/>
      <c r="F45" s="1345"/>
      <c r="G45" s="1333"/>
      <c r="H45" s="616"/>
      <c r="I45" s="616"/>
      <c r="J45" s="1324"/>
      <c r="K45" s="1317"/>
      <c r="L45" s="616"/>
      <c r="M45" s="616"/>
      <c r="N45" s="1345"/>
      <c r="O45" s="1333">
        <v>9.76</v>
      </c>
      <c r="P45" s="616"/>
      <c r="Q45" s="616">
        <v>25.343005229999999</v>
      </c>
      <c r="R45" s="1324"/>
      <c r="S45" s="1317"/>
      <c r="T45" s="616"/>
      <c r="U45" s="616"/>
      <c r="V45" s="1324"/>
      <c r="W45" s="1319">
        <v>9.76</v>
      </c>
      <c r="X45" s="616"/>
      <c r="Y45" s="297">
        <v>22.253</v>
      </c>
      <c r="Z45" s="1324"/>
      <c r="AA45" s="1319">
        <v>9.76</v>
      </c>
      <c r="AB45" s="616"/>
      <c r="AC45" s="297">
        <v>25.301005229999998</v>
      </c>
      <c r="AD45" s="1324"/>
      <c r="AE45" s="1319">
        <v>9.76</v>
      </c>
      <c r="AF45" s="616"/>
      <c r="AG45" s="297">
        <v>19.924600000000002</v>
      </c>
      <c r="AH45" s="1324"/>
      <c r="AI45" s="1333">
        <v>9.76</v>
      </c>
      <c r="AJ45" s="616"/>
      <c r="AK45" s="616">
        <v>19.939</v>
      </c>
      <c r="AL45" s="1324"/>
      <c r="AM45" s="1319">
        <v>9.76</v>
      </c>
      <c r="AN45" s="616"/>
      <c r="AO45" s="297">
        <v>13.095000000000001</v>
      </c>
      <c r="AP45" s="1324"/>
      <c r="AQ45" s="1319">
        <v>9.76</v>
      </c>
      <c r="AR45" s="616"/>
      <c r="AS45" s="297">
        <v>6.8440000000000003</v>
      </c>
      <c r="AT45" s="1324"/>
      <c r="AU45" s="1333">
        <v>9.76</v>
      </c>
      <c r="AV45" s="616"/>
      <c r="AW45" s="616">
        <v>19.939</v>
      </c>
      <c r="AX45" s="1324"/>
      <c r="AY45" s="1319">
        <v>9.76</v>
      </c>
      <c r="AZ45" s="616"/>
      <c r="BA45" s="297">
        <v>13.095000000000001</v>
      </c>
      <c r="BB45" s="1324"/>
      <c r="BC45" s="1319">
        <v>9.76</v>
      </c>
      <c r="BD45" s="616"/>
      <c r="BE45" s="297">
        <v>6.8440000000000003</v>
      </c>
      <c r="BF45" s="1324"/>
    </row>
    <row r="46" spans="1:58" s="544" customFormat="1" ht="15" customHeight="1">
      <c r="A46" s="55"/>
      <c r="B46" s="57" t="s">
        <v>121</v>
      </c>
      <c r="C46" s="89">
        <f>C48</f>
        <v>0</v>
      </c>
      <c r="D46" s="89"/>
      <c r="E46" s="89">
        <f>E48</f>
        <v>0</v>
      </c>
      <c r="F46" s="1346"/>
      <c r="G46" s="1335">
        <f>G48</f>
        <v>0.2</v>
      </c>
      <c r="H46" s="89"/>
      <c r="I46" s="89">
        <f>I48</f>
        <v>1.7530000000000001</v>
      </c>
      <c r="J46" s="1327"/>
      <c r="K46" s="1336">
        <v>0</v>
      </c>
      <c r="L46" s="89"/>
      <c r="M46" s="89">
        <v>1.8049999999999999</v>
      </c>
      <c r="N46" s="1346"/>
      <c r="O46" s="1335">
        <v>0.55400000000000005</v>
      </c>
      <c r="P46" s="89"/>
      <c r="Q46" s="89">
        <v>1.3680000000000001</v>
      </c>
      <c r="R46" s="1327"/>
      <c r="S46" s="1336">
        <v>0.2</v>
      </c>
      <c r="T46" s="89"/>
      <c r="U46" s="89">
        <v>1.7810000000000001</v>
      </c>
      <c r="V46" s="1327"/>
      <c r="W46" s="1319">
        <v>0.55400000000000005</v>
      </c>
      <c r="X46" s="89"/>
      <c r="Y46" s="89">
        <v>0.5</v>
      </c>
      <c r="Z46" s="1327"/>
      <c r="AA46" s="1319">
        <v>0.55400000000000005</v>
      </c>
      <c r="AB46" s="89"/>
      <c r="AC46" s="297">
        <v>1.0108000000000001</v>
      </c>
      <c r="AD46" s="1327"/>
      <c r="AE46" s="1319">
        <v>0.55400000000000005</v>
      </c>
      <c r="AF46" s="89"/>
      <c r="AG46" s="89">
        <v>1.196</v>
      </c>
      <c r="AH46" s="1327"/>
      <c r="AI46" s="1335">
        <v>0.55400000000000005</v>
      </c>
      <c r="AJ46" s="89"/>
      <c r="AK46" s="89">
        <v>1.196</v>
      </c>
      <c r="AL46" s="1327"/>
      <c r="AM46" s="1319">
        <v>0.55400000000000005</v>
      </c>
      <c r="AN46" s="89"/>
      <c r="AO46" s="89">
        <v>0.495</v>
      </c>
      <c r="AP46" s="1327"/>
      <c r="AQ46" s="1319">
        <v>0.55400000000000005</v>
      </c>
      <c r="AR46" s="89"/>
      <c r="AS46" s="89">
        <v>0.70099999999999996</v>
      </c>
      <c r="AT46" s="1327"/>
      <c r="AU46" s="1335">
        <v>0.55400000000000005</v>
      </c>
      <c r="AV46" s="89"/>
      <c r="AW46" s="89">
        <v>1.196</v>
      </c>
      <c r="AX46" s="1327"/>
      <c r="AY46" s="1319">
        <v>0.55400000000000005</v>
      </c>
      <c r="AZ46" s="89"/>
      <c r="BA46" s="89">
        <v>0.495</v>
      </c>
      <c r="BB46" s="1327"/>
      <c r="BC46" s="1319">
        <v>0.55400000000000005</v>
      </c>
      <c r="BD46" s="89"/>
      <c r="BE46" s="89">
        <v>0.70099999999999996</v>
      </c>
      <c r="BF46" s="1327"/>
    </row>
    <row r="47" spans="1:58" s="544" customFormat="1" ht="15" customHeight="1">
      <c r="A47" s="55"/>
      <c r="B47" s="57" t="s">
        <v>122</v>
      </c>
      <c r="C47" s="50"/>
      <c r="D47" s="50"/>
      <c r="E47" s="50"/>
      <c r="F47" s="1343"/>
      <c r="G47" s="1334"/>
      <c r="H47" s="50"/>
      <c r="I47" s="50"/>
      <c r="J47" s="1325"/>
      <c r="K47" s="1318"/>
      <c r="L47" s="50"/>
      <c r="M47" s="50"/>
      <c r="N47" s="1343"/>
      <c r="O47" s="1337"/>
      <c r="P47" s="50"/>
      <c r="Q47" s="50"/>
      <c r="R47" s="1325"/>
      <c r="S47" s="1318"/>
      <c r="T47" s="50"/>
      <c r="U47" s="50"/>
      <c r="V47" s="1325"/>
      <c r="W47" s="1328"/>
      <c r="X47" s="50"/>
      <c r="Y47" s="50"/>
      <c r="Z47" s="1325"/>
      <c r="AA47" s="1328"/>
      <c r="AB47" s="50"/>
      <c r="AC47" s="50"/>
      <c r="AD47" s="1325"/>
      <c r="AE47" s="1328"/>
      <c r="AF47" s="50"/>
      <c r="AG47" s="50"/>
      <c r="AH47" s="1325"/>
      <c r="AI47" s="1334"/>
      <c r="AJ47" s="50"/>
      <c r="AK47" s="50"/>
      <c r="AL47" s="1325"/>
      <c r="AM47" s="1328"/>
      <c r="AN47" s="50"/>
      <c r="AO47" s="50"/>
      <c r="AP47" s="1325"/>
      <c r="AQ47" s="1328"/>
      <c r="AR47" s="50"/>
      <c r="AS47" s="50"/>
      <c r="AT47" s="1325"/>
      <c r="AU47" s="1334"/>
      <c r="AV47" s="50"/>
      <c r="AW47" s="50"/>
      <c r="AX47" s="1325"/>
      <c r="AY47" s="1328"/>
      <c r="AZ47" s="50"/>
      <c r="BA47" s="50"/>
      <c r="BB47" s="1325"/>
      <c r="BC47" s="1328"/>
      <c r="BD47" s="50"/>
      <c r="BE47" s="50"/>
      <c r="BF47" s="1325"/>
    </row>
    <row r="48" spans="1:58" s="544" customFormat="1" ht="15" customHeight="1">
      <c r="A48" s="55"/>
      <c r="B48" s="57" t="s">
        <v>123</v>
      </c>
      <c r="C48" s="50"/>
      <c r="D48" s="50"/>
      <c r="E48" s="50"/>
      <c r="F48" s="1343"/>
      <c r="G48" s="1337">
        <v>0.2</v>
      </c>
      <c r="H48" s="50"/>
      <c r="I48" s="50">
        <v>1.7530000000000001</v>
      </c>
      <c r="J48" s="1325"/>
      <c r="K48" s="1318">
        <v>0</v>
      </c>
      <c r="L48" s="50"/>
      <c r="M48" s="50">
        <v>1.8049999999999999</v>
      </c>
      <c r="N48" s="1343"/>
      <c r="O48" s="1337">
        <v>0.55400000000000005</v>
      </c>
      <c r="P48" s="50"/>
      <c r="Q48" s="50">
        <v>1.3680000000000001</v>
      </c>
      <c r="R48" s="1325"/>
      <c r="S48" s="1318">
        <v>0.2</v>
      </c>
      <c r="T48" s="50"/>
      <c r="U48" s="50">
        <v>1.7810000000000001</v>
      </c>
      <c r="V48" s="1325"/>
      <c r="W48" s="1319">
        <v>0.55400000000000005</v>
      </c>
      <c r="X48" s="50"/>
      <c r="Y48" s="297">
        <v>0.5</v>
      </c>
      <c r="Z48" s="1325"/>
      <c r="AA48" s="1319">
        <v>0.55400000000000005</v>
      </c>
      <c r="AB48" s="50"/>
      <c r="AC48" s="297">
        <v>1.0108000000000001</v>
      </c>
      <c r="AD48" s="1325"/>
      <c r="AE48" s="1319">
        <v>0.55400000000000005</v>
      </c>
      <c r="AF48" s="50"/>
      <c r="AG48" s="297">
        <v>1.196</v>
      </c>
      <c r="AH48" s="1325"/>
      <c r="AI48" s="1333">
        <v>0.55400000000000005</v>
      </c>
      <c r="AJ48" s="616"/>
      <c r="AK48" s="616">
        <v>1.196</v>
      </c>
      <c r="AL48" s="1325"/>
      <c r="AM48" s="1319">
        <v>0.55400000000000005</v>
      </c>
      <c r="AN48" s="50"/>
      <c r="AO48" s="297">
        <v>0.495</v>
      </c>
      <c r="AP48" s="1325"/>
      <c r="AQ48" s="1319">
        <v>0.55400000000000005</v>
      </c>
      <c r="AR48" s="50"/>
      <c r="AS48" s="297">
        <v>0.70099999999999996</v>
      </c>
      <c r="AT48" s="1325"/>
      <c r="AU48" s="1333">
        <v>0.55400000000000005</v>
      </c>
      <c r="AV48" s="616"/>
      <c r="AW48" s="616">
        <v>1.196</v>
      </c>
      <c r="AX48" s="1325"/>
      <c r="AY48" s="1319">
        <v>0.55400000000000005</v>
      </c>
      <c r="AZ48" s="50"/>
      <c r="BA48" s="297">
        <v>0.495</v>
      </c>
      <c r="BB48" s="1325"/>
      <c r="BC48" s="1319">
        <v>0.55400000000000005</v>
      </c>
      <c r="BD48" s="50"/>
      <c r="BE48" s="89">
        <v>0.70099999999999996</v>
      </c>
      <c r="BF48" s="1325"/>
    </row>
    <row r="49" spans="1:58" s="544" customFormat="1" ht="15" customHeight="1">
      <c r="A49" s="55"/>
      <c r="B49" s="57" t="s">
        <v>124</v>
      </c>
      <c r="C49" s="50"/>
      <c r="D49" s="50"/>
      <c r="E49" s="50"/>
      <c r="F49" s="1343"/>
      <c r="G49" s="1334"/>
      <c r="H49" s="50"/>
      <c r="I49" s="50"/>
      <c r="J49" s="1325"/>
      <c r="K49" s="1318"/>
      <c r="L49" s="50"/>
      <c r="M49" s="50"/>
      <c r="N49" s="1343"/>
      <c r="O49" s="1334"/>
      <c r="P49" s="50"/>
      <c r="Q49" s="50"/>
      <c r="R49" s="1325"/>
      <c r="S49" s="1318"/>
      <c r="T49" s="50"/>
      <c r="U49" s="50"/>
      <c r="V49" s="1325"/>
      <c r="W49" s="1318"/>
      <c r="X49" s="50"/>
      <c r="Y49" s="50"/>
      <c r="Z49" s="1325"/>
      <c r="AA49" s="1318"/>
      <c r="AB49" s="50"/>
      <c r="AC49" s="50"/>
      <c r="AD49" s="1325"/>
      <c r="AE49" s="1318"/>
      <c r="AF49" s="50"/>
      <c r="AG49" s="50"/>
      <c r="AH49" s="1325"/>
      <c r="AI49" s="1334"/>
      <c r="AJ49" s="50"/>
      <c r="AK49" s="50"/>
      <c r="AL49" s="1325"/>
      <c r="AM49" s="1318"/>
      <c r="AN49" s="50"/>
      <c r="AO49" s="50"/>
      <c r="AP49" s="1325"/>
      <c r="AQ49" s="1318"/>
      <c r="AR49" s="50"/>
      <c r="AS49" s="50"/>
      <c r="AT49" s="1325"/>
      <c r="AU49" s="1334"/>
      <c r="AV49" s="50"/>
      <c r="AW49" s="50"/>
      <c r="AX49" s="1325"/>
      <c r="AY49" s="1318"/>
      <c r="AZ49" s="50"/>
      <c r="BA49" s="50"/>
      <c r="BB49" s="1325"/>
      <c r="BC49" s="1318"/>
      <c r="BD49" s="50"/>
      <c r="BE49" s="50"/>
      <c r="BF49" s="1325"/>
    </row>
    <row r="50" spans="1:58" s="544" customFormat="1" ht="15" customHeight="1">
      <c r="A50" s="55"/>
      <c r="B50" s="57" t="s">
        <v>125</v>
      </c>
      <c r="C50" s="50"/>
      <c r="D50" s="50"/>
      <c r="E50" s="50"/>
      <c r="F50" s="1343"/>
      <c r="G50" s="1334"/>
      <c r="H50" s="50"/>
      <c r="I50" s="50"/>
      <c r="J50" s="1325"/>
      <c r="K50" s="1318"/>
      <c r="L50" s="50"/>
      <c r="M50" s="50"/>
      <c r="N50" s="1343"/>
      <c r="O50" s="1334"/>
      <c r="P50" s="50"/>
      <c r="Q50" s="50"/>
      <c r="R50" s="1325"/>
      <c r="S50" s="1318"/>
      <c r="T50" s="50"/>
      <c r="U50" s="50"/>
      <c r="V50" s="1325"/>
      <c r="W50" s="1318"/>
      <c r="X50" s="50"/>
      <c r="Y50" s="50"/>
      <c r="Z50" s="1325"/>
      <c r="AA50" s="1318"/>
      <c r="AB50" s="50"/>
      <c r="AC50" s="50"/>
      <c r="AD50" s="1325"/>
      <c r="AE50" s="1318"/>
      <c r="AF50" s="50"/>
      <c r="AG50" s="50"/>
      <c r="AH50" s="1325"/>
      <c r="AI50" s="1334"/>
      <c r="AJ50" s="50"/>
      <c r="AK50" s="50"/>
      <c r="AL50" s="1325"/>
      <c r="AM50" s="1318"/>
      <c r="AN50" s="50"/>
      <c r="AO50" s="50"/>
      <c r="AP50" s="1325"/>
      <c r="AQ50" s="1318"/>
      <c r="AR50" s="50"/>
      <c r="AS50" s="50"/>
      <c r="AT50" s="1325"/>
      <c r="AU50" s="1334"/>
      <c r="AV50" s="50"/>
      <c r="AW50" s="50"/>
      <c r="AX50" s="1325"/>
      <c r="AY50" s="1318"/>
      <c r="AZ50" s="50"/>
      <c r="BA50" s="50"/>
      <c r="BB50" s="1325"/>
      <c r="BC50" s="1318"/>
      <c r="BD50" s="50"/>
      <c r="BE50" s="50"/>
      <c r="BF50" s="1325"/>
    </row>
    <row r="51" spans="1:58" s="544" customFormat="1" ht="15" customHeight="1">
      <c r="A51" s="55"/>
      <c r="B51" s="56" t="s">
        <v>126</v>
      </c>
      <c r="C51" s="50"/>
      <c r="D51" s="50"/>
      <c r="E51" s="50"/>
      <c r="F51" s="1343"/>
      <c r="G51" s="1334"/>
      <c r="H51" s="50"/>
      <c r="I51" s="50"/>
      <c r="J51" s="1325"/>
      <c r="K51" s="1318"/>
      <c r="L51" s="50"/>
      <c r="M51" s="50"/>
      <c r="N51" s="1343"/>
      <c r="O51" s="1334"/>
      <c r="P51" s="50"/>
      <c r="Q51" s="50"/>
      <c r="R51" s="1325"/>
      <c r="S51" s="1318"/>
      <c r="T51" s="50"/>
      <c r="U51" s="50"/>
      <c r="V51" s="1325"/>
      <c r="W51" s="1318"/>
      <c r="X51" s="50"/>
      <c r="Y51" s="50"/>
      <c r="Z51" s="1325"/>
      <c r="AA51" s="1318"/>
      <c r="AB51" s="50"/>
      <c r="AC51" s="50"/>
      <c r="AD51" s="1325"/>
      <c r="AE51" s="1318"/>
      <c r="AF51" s="50"/>
      <c r="AG51" s="50"/>
      <c r="AH51" s="1325"/>
      <c r="AI51" s="1334"/>
      <c r="AJ51" s="50"/>
      <c r="AK51" s="50"/>
      <c r="AL51" s="1325"/>
      <c r="AM51" s="1318"/>
      <c r="AN51" s="50"/>
      <c r="AO51" s="50"/>
      <c r="AP51" s="1325"/>
      <c r="AQ51" s="1318"/>
      <c r="AR51" s="50"/>
      <c r="AS51" s="50"/>
      <c r="AT51" s="1325"/>
      <c r="AU51" s="1334"/>
      <c r="AV51" s="50"/>
      <c r="AW51" s="50"/>
      <c r="AX51" s="1325"/>
      <c r="AY51" s="1318"/>
      <c r="AZ51" s="50"/>
      <c r="BA51" s="50"/>
      <c r="BB51" s="1325"/>
      <c r="BC51" s="1318"/>
      <c r="BD51" s="50"/>
      <c r="BE51" s="50"/>
      <c r="BF51" s="1325"/>
    </row>
    <row r="52" spans="1:58" ht="16.5" customHeight="1"/>
    <row r="53" spans="1:58" ht="13.5" customHeight="1">
      <c r="A53" s="26" t="s">
        <v>88</v>
      </c>
    </row>
    <row r="54" spans="1:58" s="544" customFormat="1" ht="29.25" customHeight="1">
      <c r="A54" s="45" t="s">
        <v>89</v>
      </c>
      <c r="B54" s="1842" t="s">
        <v>128</v>
      </c>
      <c r="C54" s="1842"/>
      <c r="D54" s="1842"/>
      <c r="E54" s="1842"/>
      <c r="F54" s="1842"/>
      <c r="G54" s="1842"/>
      <c r="H54" s="1842"/>
      <c r="I54" s="1842"/>
      <c r="J54" s="1842"/>
      <c r="K54" s="1842"/>
      <c r="L54" s="1842"/>
      <c r="M54" s="1842"/>
      <c r="N54" s="1842"/>
      <c r="O54" s="1842"/>
      <c r="P54" s="1842"/>
      <c r="Q54" s="1842"/>
      <c r="R54" s="1842"/>
      <c r="S54" s="1842"/>
      <c r="T54" s="1842"/>
      <c r="U54" s="1842"/>
      <c r="V54" s="1842"/>
      <c r="W54" s="1842"/>
      <c r="X54" s="1842"/>
      <c r="Y54" s="1842"/>
      <c r="Z54" s="1842"/>
      <c r="AA54" s="1842"/>
      <c r="AB54" s="1842"/>
      <c r="AC54" s="1842"/>
      <c r="AD54" s="1842"/>
      <c r="AE54" s="1842"/>
      <c r="AF54" s="1842"/>
      <c r="AG54" s="1842"/>
      <c r="AH54" s="1842"/>
      <c r="AI54" s="1842"/>
      <c r="AJ54" s="1842"/>
      <c r="AK54" s="1842"/>
      <c r="AL54" s="1842"/>
      <c r="AU54" s="1628"/>
      <c r="AV54" s="1628"/>
      <c r="AW54" s="1628"/>
      <c r="AX54" s="1628"/>
      <c r="AY54" s="1628"/>
      <c r="AZ54" s="1628"/>
      <c r="BA54" s="1628"/>
      <c r="BB54" s="1628"/>
      <c r="BC54" s="1628"/>
      <c r="BD54" s="1628"/>
      <c r="BE54" s="1628"/>
      <c r="BF54" s="1628"/>
    </row>
    <row r="55" spans="1:58" s="544" customFormat="1" ht="15">
      <c r="A55" s="45" t="s">
        <v>91</v>
      </c>
      <c r="B55" s="544" t="s">
        <v>129</v>
      </c>
      <c r="S55" s="1275"/>
      <c r="T55" s="1275"/>
      <c r="U55" s="1275"/>
      <c r="V55" s="1275"/>
      <c r="W55" s="1275"/>
      <c r="X55" s="1275"/>
      <c r="Y55" s="1275"/>
      <c r="Z55" s="1275"/>
      <c r="AA55" s="1579"/>
      <c r="AB55" s="1579"/>
      <c r="AC55" s="1579"/>
      <c r="AD55" s="1579"/>
      <c r="AE55" s="1579"/>
      <c r="AF55" s="1579"/>
      <c r="AG55" s="1579"/>
      <c r="AH55" s="1579"/>
      <c r="AU55" s="1628"/>
      <c r="AV55" s="1628"/>
      <c r="AW55" s="1628"/>
      <c r="AX55" s="1628"/>
      <c r="AY55" s="1628"/>
      <c r="AZ55" s="1628"/>
      <c r="BA55" s="1628"/>
      <c r="BB55" s="1628"/>
      <c r="BC55" s="1628"/>
      <c r="BD55" s="1628"/>
      <c r="BE55" s="1628"/>
      <c r="BF55" s="1628"/>
    </row>
  </sheetData>
  <mergeCells count="17">
    <mergeCell ref="AU5:AX5"/>
    <mergeCell ref="AY5:BB5"/>
    <mergeCell ref="BC5:BF5"/>
    <mergeCell ref="AM5:AP5"/>
    <mergeCell ref="AQ5:AT5"/>
    <mergeCell ref="B54:AL54"/>
    <mergeCell ref="A5:A6"/>
    <mergeCell ref="B5:B6"/>
    <mergeCell ref="C5:F5"/>
    <mergeCell ref="G5:J5"/>
    <mergeCell ref="K5:N5"/>
    <mergeCell ref="O5:R5"/>
    <mergeCell ref="AI5:AL5"/>
    <mergeCell ref="S5:V5"/>
    <mergeCell ref="W5:Z5"/>
    <mergeCell ref="AA5:AD5"/>
    <mergeCell ref="AE5:AH5"/>
  </mergeCells>
  <pageMargins left="0.78740157480314965" right="0.23622047244094491" top="0.78740157480314965" bottom="0.39370078740157483" header="0.19685039370078741" footer="0.19685039370078741"/>
  <pageSetup paperSize="9" scale="45" orientation="landscape" r:id="rId1"/>
  <headerFooter alignWithMargins="0"/>
  <rowBreaks count="1" manualBreakCount="1">
    <brk id="51" max="29" man="1"/>
  </rowBreaks>
  <colBreaks count="2" manualBreakCount="2">
    <brk id="26" max="50" man="1"/>
    <brk id="46" max="50" man="1"/>
  </colBreaks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EW36"/>
  <sheetViews>
    <sheetView view="pageBreakPreview" zoomScaleNormal="100" workbookViewId="0">
      <pane ySplit="7" topLeftCell="A11" activePane="bottomLeft" state="frozen"/>
      <selection activeCell="D9" sqref="D9"/>
      <selection pane="bottomLeft" activeCell="C11" sqref="C11"/>
    </sheetView>
  </sheetViews>
  <sheetFormatPr defaultColWidth="2.7109375" defaultRowHeight="15"/>
  <cols>
    <col min="1" max="1" width="6.5703125" style="1" customWidth="1"/>
    <col min="2" max="2" width="49" style="1" customWidth="1"/>
    <col min="3" max="8" width="13.7109375" style="1" customWidth="1"/>
    <col min="9" max="60" width="8.28515625" style="1" customWidth="1"/>
    <col min="61" max="16384" width="2.7109375" style="1"/>
  </cols>
  <sheetData>
    <row r="1" spans="1:9" s="5" customFormat="1" ht="18" customHeight="1">
      <c r="A1" s="74" t="s">
        <v>1860</v>
      </c>
      <c r="H1" s="6" t="s">
        <v>1464</v>
      </c>
    </row>
    <row r="2" spans="1:9" ht="12.75" customHeight="1">
      <c r="A2" s="1218" t="s">
        <v>1679</v>
      </c>
    </row>
    <row r="3" spans="1:9" ht="29.25" customHeight="1">
      <c r="A3" s="1980" t="s">
        <v>1465</v>
      </c>
      <c r="B3" s="1980"/>
      <c r="C3" s="1980"/>
      <c r="D3" s="1980"/>
      <c r="E3" s="1980"/>
      <c r="F3" s="1980"/>
      <c r="G3" s="1980"/>
      <c r="H3" s="1980"/>
    </row>
    <row r="4" spans="1:9" ht="12.75" customHeight="1">
      <c r="B4" s="769"/>
      <c r="C4" s="769"/>
      <c r="D4" s="769"/>
      <c r="E4" s="769"/>
      <c r="F4" s="769"/>
      <c r="G4" s="769"/>
      <c r="H4" s="769"/>
    </row>
    <row r="5" spans="1:9" ht="14.25" customHeight="1">
      <c r="A5" s="812"/>
      <c r="H5" s="23"/>
    </row>
    <row r="6" spans="1:9" s="3" customFormat="1" ht="15" customHeight="1">
      <c r="A6" s="1858" t="s">
        <v>0</v>
      </c>
      <c r="B6" s="1858" t="s">
        <v>1293</v>
      </c>
      <c r="C6" s="1981" t="s">
        <v>1336</v>
      </c>
      <c r="D6" s="1983"/>
      <c r="E6" s="1981" t="s">
        <v>1337</v>
      </c>
      <c r="F6" s="1983"/>
      <c r="G6" s="1981" t="s">
        <v>1715</v>
      </c>
      <c r="H6" s="1983"/>
    </row>
    <row r="7" spans="1:9" s="3" customFormat="1" ht="105">
      <c r="A7" s="1971"/>
      <c r="B7" s="1971"/>
      <c r="C7" s="822" t="s">
        <v>1353</v>
      </c>
      <c r="D7" s="822" t="s">
        <v>1354</v>
      </c>
      <c r="E7" s="822" t="s">
        <v>1353</v>
      </c>
      <c r="F7" s="822" t="s">
        <v>1354</v>
      </c>
      <c r="G7" s="822" t="s">
        <v>1353</v>
      </c>
      <c r="H7" s="822" t="s">
        <v>1354</v>
      </c>
    </row>
    <row r="8" spans="1:9" s="2" customFormat="1">
      <c r="A8" s="13">
        <v>1</v>
      </c>
      <c r="B8" s="13">
        <v>2</v>
      </c>
      <c r="C8" s="13">
        <v>3</v>
      </c>
      <c r="D8" s="13">
        <v>4</v>
      </c>
      <c r="E8" s="13">
        <v>5</v>
      </c>
      <c r="F8" s="13">
        <v>6</v>
      </c>
      <c r="G8" s="13">
        <v>7</v>
      </c>
      <c r="H8" s="13">
        <v>8</v>
      </c>
    </row>
    <row r="9" spans="1:9" s="41" customFormat="1">
      <c r="A9" s="60" t="s">
        <v>89</v>
      </c>
      <c r="B9" s="68" t="s">
        <v>1345</v>
      </c>
      <c r="C9" s="818"/>
      <c r="D9" s="818">
        <v>1024159.2160799999</v>
      </c>
      <c r="E9" s="818"/>
      <c r="F9" s="834">
        <v>1145260.3482300001</v>
      </c>
      <c r="G9" s="818"/>
      <c r="H9" s="818">
        <v>1201966.9983487513</v>
      </c>
    </row>
    <row r="10" spans="1:9" s="832" customFormat="1" ht="15" customHeight="1">
      <c r="A10" s="829" t="s">
        <v>91</v>
      </c>
      <c r="B10" s="830" t="s">
        <v>1466</v>
      </c>
      <c r="C10" s="831"/>
      <c r="D10" s="1225">
        <v>535921.50381914503</v>
      </c>
      <c r="E10" s="831"/>
      <c r="F10" s="818">
        <v>535617.63500000001</v>
      </c>
      <c r="G10" s="831"/>
      <c r="H10" s="818">
        <v>546725.27661499998</v>
      </c>
    </row>
    <row r="11" spans="1:9" s="832" customFormat="1" ht="45">
      <c r="A11" s="829" t="s">
        <v>93</v>
      </c>
      <c r="B11" s="833" t="s">
        <v>1467</v>
      </c>
      <c r="C11" s="834"/>
      <c r="D11" s="849">
        <v>1260473.6220946664</v>
      </c>
      <c r="E11" s="849"/>
      <c r="F11" s="849">
        <v>1397439.6974618619</v>
      </c>
      <c r="G11" s="849"/>
      <c r="H11" s="849">
        <v>1456862.0841478335</v>
      </c>
    </row>
    <row r="12" spans="1:9" s="41" customFormat="1">
      <c r="A12" s="60" t="s">
        <v>95</v>
      </c>
      <c r="B12" s="70" t="s">
        <v>1468</v>
      </c>
      <c r="C12" s="849"/>
      <c r="D12" s="826">
        <v>88172</v>
      </c>
      <c r="E12" s="835"/>
      <c r="F12" s="826">
        <v>96274.308000000005</v>
      </c>
      <c r="G12" s="835"/>
      <c r="H12" s="826">
        <v>101654.315172</v>
      </c>
      <c r="I12" s="41" t="s">
        <v>1469</v>
      </c>
    </row>
    <row r="13" spans="1:9" s="41" customFormat="1" ht="60">
      <c r="A13" s="60" t="s">
        <v>97</v>
      </c>
      <c r="B13" s="68" t="s">
        <v>1689</v>
      </c>
      <c r="C13" s="835"/>
      <c r="D13" s="1211">
        <v>-197419.59050814249</v>
      </c>
      <c r="E13" s="835"/>
      <c r="F13" s="826"/>
      <c r="G13" s="835"/>
      <c r="H13" s="835"/>
    </row>
    <row r="14" spans="1:9" s="41" customFormat="1" ht="45">
      <c r="A14" s="60" t="s">
        <v>582</v>
      </c>
      <c r="B14" s="68" t="s">
        <v>1471</v>
      </c>
      <c r="C14" s="835"/>
      <c r="D14" s="835"/>
      <c r="E14" s="835"/>
      <c r="F14" s="826">
        <v>333023.90000000002</v>
      </c>
      <c r="G14" s="835"/>
      <c r="H14" s="835"/>
    </row>
    <row r="15" spans="1:9" s="41" customFormat="1" ht="45">
      <c r="A15" s="60" t="s">
        <v>615</v>
      </c>
      <c r="B15" s="68" t="s">
        <v>1472</v>
      </c>
      <c r="C15" s="835"/>
      <c r="D15" s="835"/>
      <c r="E15" s="835"/>
      <c r="F15" s="835"/>
      <c r="G15" s="835"/>
      <c r="H15" s="835"/>
    </row>
    <row r="16" spans="1:9" s="41" customFormat="1" ht="30">
      <c r="A16" s="60" t="s">
        <v>649</v>
      </c>
      <c r="B16" s="70" t="s">
        <v>1473</v>
      </c>
      <c r="C16" s="818"/>
      <c r="D16" s="818"/>
      <c r="E16" s="818"/>
      <c r="F16" s="818"/>
      <c r="G16" s="818"/>
      <c r="H16" s="818"/>
    </row>
    <row r="17" spans="1:153" s="41" customFormat="1" ht="120">
      <c r="A17" s="60" t="s">
        <v>1028</v>
      </c>
      <c r="B17" s="850" t="s">
        <v>1474</v>
      </c>
      <c r="C17" s="850"/>
      <c r="D17" s="850"/>
      <c r="E17" s="850"/>
      <c r="F17" s="850"/>
      <c r="G17" s="850"/>
      <c r="H17" s="850"/>
      <c r="I17" s="851"/>
      <c r="J17" s="851"/>
      <c r="K17" s="851"/>
      <c r="L17" s="851"/>
      <c r="M17" s="851"/>
      <c r="N17" s="851"/>
      <c r="O17" s="851"/>
      <c r="P17" s="851"/>
      <c r="Q17" s="851"/>
      <c r="R17" s="851"/>
      <c r="S17" s="851"/>
      <c r="T17" s="851"/>
      <c r="U17" s="851"/>
      <c r="V17" s="851"/>
      <c r="W17" s="851"/>
      <c r="X17" s="851"/>
      <c r="Y17" s="851"/>
      <c r="Z17" s="851"/>
      <c r="AA17" s="851"/>
      <c r="AB17" s="851"/>
      <c r="AC17" s="851"/>
      <c r="AD17" s="851"/>
      <c r="AE17" s="851"/>
      <c r="AF17" s="851"/>
      <c r="AG17" s="851"/>
      <c r="AH17" s="851"/>
      <c r="AI17" s="851"/>
      <c r="AJ17" s="851"/>
      <c r="AK17" s="851"/>
      <c r="AL17" s="851"/>
      <c r="AM17" s="851"/>
    </row>
    <row r="18" spans="1:153" s="41" customFormat="1">
      <c r="A18" s="60" t="s">
        <v>1309</v>
      </c>
      <c r="B18" s="70" t="s">
        <v>1475</v>
      </c>
      <c r="C18" s="818"/>
      <c r="D18" s="818">
        <f>SUM(D9:D17)</f>
        <v>2711306.7514856691</v>
      </c>
      <c r="E18" s="818"/>
      <c r="F18" s="818">
        <f>SUM(F9:F17)</f>
        <v>3507615.8886918621</v>
      </c>
      <c r="G18" s="818"/>
      <c r="H18" s="818">
        <f>SUM(H9:H17)</f>
        <v>3307208.6742835846</v>
      </c>
    </row>
    <row r="19" spans="1:153" s="41" customFormat="1">
      <c r="A19" s="60" t="s">
        <v>1451</v>
      </c>
      <c r="B19" s="70" t="s">
        <v>1476</v>
      </c>
      <c r="C19" s="818"/>
      <c r="D19" s="818"/>
      <c r="E19" s="818"/>
      <c r="F19" s="818"/>
      <c r="G19" s="818"/>
      <c r="H19" s="818"/>
    </row>
    <row r="20" spans="1:153">
      <c r="B20" s="852" t="s">
        <v>1477</v>
      </c>
      <c r="C20" s="253"/>
      <c r="D20" s="1226">
        <f>D12/D18*100</f>
        <v>3.2520112285961695</v>
      </c>
      <c r="E20" s="1269"/>
      <c r="F20" s="1226">
        <f>F12/F18*100</f>
        <v>2.7447220863144386</v>
      </c>
      <c r="G20" s="1272"/>
      <c r="H20" s="1226">
        <f>H12/H18*100</f>
        <v>3.0737194166927067</v>
      </c>
    </row>
    <row r="21" spans="1:153">
      <c r="B21" s="1783"/>
      <c r="C21" s="1776"/>
      <c r="D21" s="1786"/>
      <c r="E21" s="1785"/>
      <c r="F21" s="1786"/>
      <c r="G21" s="1787"/>
      <c r="H21" s="1786"/>
    </row>
    <row r="22" spans="1:153">
      <c r="B22" s="1783"/>
      <c r="C22" s="1776"/>
      <c r="D22" s="1786"/>
      <c r="E22" s="1785"/>
      <c r="F22" s="1786">
        <f>F18/'4.6_котельные'!K97</f>
        <v>9017.0074259430894</v>
      </c>
      <c r="G22" s="1787"/>
      <c r="H22" s="1786">
        <f>H18/'4.6_котельные'!N97</f>
        <v>8501.8217847907054</v>
      </c>
    </row>
    <row r="23" spans="1:153">
      <c r="B23" s="1783"/>
      <c r="C23" s="1776"/>
      <c r="D23" s="1786"/>
      <c r="E23" s="1785"/>
      <c r="F23" s="1786"/>
      <c r="G23" s="1787"/>
      <c r="H23" s="1786"/>
    </row>
    <row r="24" spans="1:153">
      <c r="B24" s="1783"/>
      <c r="C24" s="1776"/>
      <c r="D24" s="1786"/>
      <c r="E24" s="1785"/>
      <c r="F24" s="1786"/>
      <c r="G24" s="1787"/>
      <c r="H24" s="1786"/>
    </row>
    <row r="25" spans="1:153" s="26" customFormat="1">
      <c r="A25" s="26" t="s">
        <v>88</v>
      </c>
    </row>
    <row r="26" spans="1:153" s="773" customFormat="1" ht="15" customHeight="1">
      <c r="A26" s="819" t="s">
        <v>89</v>
      </c>
      <c r="B26" s="26" t="s">
        <v>1346</v>
      </c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819"/>
      <c r="EI26" s="819"/>
      <c r="EJ26" s="819"/>
      <c r="EK26" s="819"/>
      <c r="EL26" s="819"/>
      <c r="EM26" s="819"/>
      <c r="EN26" s="819"/>
      <c r="EO26" s="819"/>
      <c r="EP26" s="819"/>
      <c r="EQ26" s="819"/>
      <c r="ER26" s="819"/>
      <c r="ES26" s="819"/>
      <c r="ET26" s="819"/>
      <c r="EU26" s="819"/>
      <c r="EV26" s="819"/>
      <c r="EW26" s="819"/>
    </row>
    <row r="27" spans="1:153" s="773" customFormat="1">
      <c r="A27" s="819" t="s">
        <v>91</v>
      </c>
      <c r="B27" s="26" t="s">
        <v>1479</v>
      </c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</row>
    <row r="28" spans="1:153" ht="15" customHeight="1">
      <c r="A28" s="819" t="s">
        <v>93</v>
      </c>
      <c r="B28" s="26" t="s">
        <v>1480</v>
      </c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819"/>
      <c r="EI28" s="819"/>
      <c r="EJ28" s="819"/>
      <c r="EK28" s="819"/>
      <c r="EL28" s="819"/>
      <c r="EM28" s="819"/>
      <c r="EN28" s="819"/>
      <c r="EO28" s="819"/>
      <c r="EP28" s="819"/>
      <c r="EQ28" s="819"/>
      <c r="ER28" s="819"/>
    </row>
    <row r="29" spans="1:153" ht="17.25" customHeight="1">
      <c r="A29" s="819" t="s">
        <v>95</v>
      </c>
      <c r="B29" s="26" t="s">
        <v>1481</v>
      </c>
      <c r="C29" s="106"/>
      <c r="D29" s="106"/>
      <c r="E29" s="106"/>
      <c r="F29" s="106"/>
      <c r="G29" s="106"/>
      <c r="H29" s="106"/>
      <c r="I29" s="106"/>
      <c r="J29" s="106"/>
      <c r="K29" s="106"/>
      <c r="L29" s="106"/>
      <c r="M29" s="106"/>
      <c r="N29" s="106"/>
      <c r="O29" s="106"/>
      <c r="P29" s="106"/>
      <c r="Q29" s="106"/>
      <c r="R29" s="106"/>
      <c r="S29" s="106"/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6"/>
      <c r="AJ29" s="106"/>
      <c r="AK29" s="106"/>
      <c r="AL29" s="106"/>
      <c r="AM29" s="106"/>
      <c r="AN29" s="106"/>
      <c r="AO29" s="106"/>
      <c r="AP29" s="106"/>
      <c r="AQ29" s="106"/>
      <c r="AR29" s="106"/>
      <c r="AS29" s="106"/>
      <c r="AT29" s="106"/>
      <c r="AU29" s="106"/>
      <c r="AV29" s="106"/>
      <c r="AW29" s="106"/>
      <c r="AX29" s="106"/>
      <c r="AY29" s="106"/>
      <c r="AZ29" s="106"/>
      <c r="BA29" s="106"/>
      <c r="BB29" s="106"/>
      <c r="BC29" s="106"/>
      <c r="BD29" s="106"/>
      <c r="BE29" s="106"/>
      <c r="BF29" s="106"/>
      <c r="BG29" s="106"/>
      <c r="BH29" s="106"/>
      <c r="BI29" s="106"/>
      <c r="BJ29" s="106"/>
      <c r="BK29" s="106"/>
      <c r="BL29" s="106"/>
      <c r="BM29" s="106"/>
      <c r="BN29" s="106"/>
      <c r="BO29" s="106"/>
      <c r="BP29" s="106"/>
      <c r="BQ29" s="106"/>
      <c r="BR29" s="106"/>
      <c r="BS29" s="106"/>
      <c r="BT29" s="106"/>
      <c r="BU29" s="106"/>
      <c r="BV29" s="106"/>
      <c r="BW29" s="106"/>
      <c r="BX29" s="106"/>
      <c r="BY29" s="106"/>
      <c r="BZ29" s="106"/>
      <c r="CA29" s="106"/>
      <c r="CB29" s="106"/>
      <c r="CC29" s="106"/>
      <c r="CD29" s="106"/>
      <c r="CE29" s="106"/>
      <c r="CF29" s="106"/>
      <c r="CG29" s="106"/>
      <c r="CH29" s="106"/>
      <c r="CI29" s="106"/>
      <c r="CJ29" s="106"/>
      <c r="CK29" s="106"/>
      <c r="CL29" s="106"/>
      <c r="CM29" s="106"/>
      <c r="CN29" s="106"/>
      <c r="CO29" s="106"/>
      <c r="CP29" s="106"/>
      <c r="CQ29" s="106"/>
      <c r="CR29" s="106"/>
      <c r="CS29" s="106"/>
      <c r="CT29" s="106"/>
      <c r="CU29" s="106"/>
      <c r="CV29" s="106"/>
      <c r="CW29" s="106"/>
      <c r="CX29" s="106"/>
      <c r="CY29" s="106"/>
      <c r="CZ29" s="106"/>
      <c r="DA29" s="106"/>
      <c r="DB29" s="106"/>
      <c r="DC29" s="106"/>
      <c r="DD29" s="106"/>
      <c r="DE29" s="106"/>
      <c r="DF29" s="106"/>
      <c r="DG29" s="106"/>
      <c r="DH29" s="106"/>
      <c r="DI29" s="106"/>
      <c r="DJ29" s="106"/>
      <c r="DK29" s="106"/>
      <c r="DL29" s="106"/>
      <c r="DM29" s="106"/>
      <c r="DN29" s="106"/>
      <c r="DO29" s="106"/>
      <c r="DP29" s="106"/>
      <c r="DQ29" s="106"/>
      <c r="DR29" s="106"/>
      <c r="DS29" s="106"/>
      <c r="DT29" s="106"/>
      <c r="DU29" s="106"/>
      <c r="DV29" s="106"/>
      <c r="DW29" s="106"/>
      <c r="DX29" s="106"/>
      <c r="DY29" s="106"/>
      <c r="DZ29" s="106"/>
      <c r="EA29" s="106"/>
      <c r="EB29" s="106"/>
      <c r="EC29" s="106"/>
      <c r="ED29" s="106"/>
      <c r="EE29" s="106"/>
      <c r="EF29" s="106"/>
      <c r="EG29" s="106"/>
      <c r="EH29" s="819"/>
      <c r="EI29" s="819"/>
      <c r="EJ29" s="819"/>
      <c r="EK29" s="819"/>
      <c r="EL29" s="819"/>
      <c r="EM29" s="819"/>
      <c r="EN29" s="819"/>
      <c r="EO29" s="819"/>
      <c r="EP29" s="819"/>
      <c r="EQ29" s="819"/>
      <c r="ER29" s="819"/>
    </row>
    <row r="30" spans="1:153">
      <c r="A30" s="1" t="s">
        <v>97</v>
      </c>
      <c r="B30" s="26" t="s">
        <v>1482</v>
      </c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</row>
    <row r="31" spans="1:153">
      <c r="A31" s="1" t="s">
        <v>582</v>
      </c>
      <c r="B31" s="26" t="s">
        <v>1483</v>
      </c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</row>
    <row r="32" spans="1:153">
      <c r="B32" s="26" t="s">
        <v>1484</v>
      </c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</row>
    <row r="33" spans="1:137">
      <c r="B33" s="26" t="s">
        <v>1485</v>
      </c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</row>
    <row r="34" spans="1:137">
      <c r="B34" s="26" t="s">
        <v>1486</v>
      </c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</row>
    <row r="35" spans="1:137">
      <c r="A35" s="1" t="s">
        <v>615</v>
      </c>
      <c r="B35" s="26" t="s">
        <v>1487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</row>
    <row r="36" spans="1:137">
      <c r="A36" s="1" t="s">
        <v>649</v>
      </c>
      <c r="B36" s="26" t="s">
        <v>1488</v>
      </c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</row>
  </sheetData>
  <mergeCells count="6">
    <mergeCell ref="A3:H3"/>
    <mergeCell ref="A6:A7"/>
    <mergeCell ref="B6:B7"/>
    <mergeCell ref="C6:D6"/>
    <mergeCell ref="E6:F6"/>
    <mergeCell ref="G6:H6"/>
  </mergeCells>
  <pageMargins left="0.78740157480314965" right="0.51181102362204722" top="0.59055118110236227" bottom="0.39370078740157483" header="0.19685039370078741" footer="0.19685039370078741"/>
  <pageSetup paperSize="9" scale="65" orientation="portrait" r:id="rId1"/>
  <headerFooter alignWithMargins="0"/>
</worksheet>
</file>

<file path=xl/worksheets/sheet1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0.39997558519241921"/>
  </sheetPr>
  <dimension ref="A1:EW36"/>
  <sheetViews>
    <sheetView view="pageBreakPreview" zoomScaleNormal="100" workbookViewId="0">
      <pane ySplit="7" topLeftCell="A17" activePane="bottomLeft" state="frozen"/>
      <selection activeCell="D9" sqref="D9"/>
      <selection pane="bottomLeft" activeCell="K13" sqref="K13"/>
    </sheetView>
  </sheetViews>
  <sheetFormatPr defaultColWidth="2.7109375" defaultRowHeight="15"/>
  <cols>
    <col min="1" max="1" width="6.5703125" style="1" customWidth="1"/>
    <col min="2" max="2" width="49" style="1" customWidth="1"/>
    <col min="3" max="8" width="13.7109375" style="1" customWidth="1"/>
    <col min="9" max="10" width="8.28515625" style="1" customWidth="1"/>
    <col min="11" max="11" width="11.7109375" style="1" customWidth="1"/>
    <col min="12" max="60" width="8.28515625" style="1" customWidth="1"/>
    <col min="61" max="16384" width="2.7109375" style="1"/>
  </cols>
  <sheetData>
    <row r="1" spans="1:12" s="5" customFormat="1" ht="18" customHeight="1">
      <c r="A1" s="74" t="s">
        <v>1860</v>
      </c>
      <c r="H1" s="6" t="s">
        <v>1464</v>
      </c>
    </row>
    <row r="2" spans="1:12" ht="12.75" customHeight="1">
      <c r="A2" s="1244" t="s">
        <v>1681</v>
      </c>
    </row>
    <row r="3" spans="1:12" ht="29.25" customHeight="1">
      <c r="A3" s="1980" t="s">
        <v>1465</v>
      </c>
      <c r="B3" s="1980"/>
      <c r="C3" s="1980"/>
      <c r="D3" s="1980"/>
      <c r="E3" s="1980"/>
      <c r="F3" s="1980"/>
      <c r="G3" s="1980"/>
      <c r="H3" s="1980"/>
    </row>
    <row r="4" spans="1:12" ht="12.75" customHeight="1">
      <c r="B4" s="1243"/>
      <c r="C4" s="1243"/>
      <c r="D4" s="1243"/>
      <c r="E4" s="1243"/>
      <c r="F4" s="1243"/>
      <c r="G4" s="1243"/>
      <c r="H4" s="1243"/>
    </row>
    <row r="5" spans="1:12" ht="14.25" customHeight="1">
      <c r="A5" s="812"/>
      <c r="H5" s="23"/>
    </row>
    <row r="6" spans="1:12" s="3" customFormat="1" ht="15" customHeight="1">
      <c r="A6" s="1858" t="s">
        <v>0</v>
      </c>
      <c r="B6" s="1858" t="s">
        <v>1293</v>
      </c>
      <c r="C6" s="1981" t="s">
        <v>1336</v>
      </c>
      <c r="D6" s="1983"/>
      <c r="E6" s="1981" t="s">
        <v>1337</v>
      </c>
      <c r="F6" s="1983"/>
      <c r="G6" s="1981" t="s">
        <v>1715</v>
      </c>
      <c r="H6" s="1983"/>
    </row>
    <row r="7" spans="1:12" s="3" customFormat="1" ht="105">
      <c r="A7" s="1971"/>
      <c r="B7" s="1971"/>
      <c r="C7" s="822" t="s">
        <v>1353</v>
      </c>
      <c r="D7" s="822" t="s">
        <v>1354</v>
      </c>
      <c r="E7" s="822" t="s">
        <v>1353</v>
      </c>
      <c r="F7" s="822" t="s">
        <v>1354</v>
      </c>
      <c r="G7" s="822" t="s">
        <v>1353</v>
      </c>
      <c r="H7" s="822" t="s">
        <v>1354</v>
      </c>
    </row>
    <row r="8" spans="1:12" s="2" customFormat="1">
      <c r="A8" s="13">
        <v>1</v>
      </c>
      <c r="B8" s="13">
        <v>2</v>
      </c>
      <c r="C8" s="13">
        <v>3</v>
      </c>
      <c r="D8" s="13">
        <v>4</v>
      </c>
      <c r="E8" s="13">
        <v>5</v>
      </c>
      <c r="F8" s="13">
        <v>6</v>
      </c>
      <c r="G8" s="13">
        <v>7</v>
      </c>
      <c r="H8" s="13">
        <v>8</v>
      </c>
    </row>
    <row r="9" spans="1:12" s="41" customFormat="1">
      <c r="A9" s="60" t="s">
        <v>89</v>
      </c>
      <c r="B9" s="68" t="s">
        <v>1345</v>
      </c>
      <c r="C9" s="818"/>
      <c r="D9" s="818">
        <v>2426118.3170400001</v>
      </c>
      <c r="E9" s="818"/>
      <c r="F9" s="834">
        <v>2733185.2650674405</v>
      </c>
      <c r="G9" s="818"/>
      <c r="H9" s="834">
        <v>2874366.6644878509</v>
      </c>
      <c r="K9" s="1209"/>
      <c r="L9" s="1209"/>
    </row>
    <row r="10" spans="1:12" s="832" customFormat="1" ht="15" customHeight="1">
      <c r="A10" s="829" t="s">
        <v>91</v>
      </c>
      <c r="B10" s="830" t="s">
        <v>1466</v>
      </c>
      <c r="C10" s="831"/>
      <c r="D10" s="1225">
        <v>1414845.486</v>
      </c>
      <c r="E10" s="831"/>
      <c r="F10" s="1225">
        <v>1523728.4649999999</v>
      </c>
      <c r="G10" s="831"/>
      <c r="H10" s="1225">
        <v>1545892.894175</v>
      </c>
      <c r="K10" s="1209"/>
      <c r="L10" s="1209"/>
    </row>
    <row r="11" spans="1:12" s="832" customFormat="1" ht="45">
      <c r="A11" s="829" t="s">
        <v>93</v>
      </c>
      <c r="B11" s="833" t="s">
        <v>1467</v>
      </c>
      <c r="C11" s="849"/>
      <c r="D11" s="849">
        <v>2326614.8922857153</v>
      </c>
      <c r="E11" s="849"/>
      <c r="F11" s="849">
        <v>2494368.7277942705</v>
      </c>
      <c r="G11" s="849"/>
      <c r="H11" s="849">
        <v>2596606.7758029723</v>
      </c>
      <c r="K11" s="1209"/>
      <c r="L11" s="1209"/>
    </row>
    <row r="12" spans="1:12" s="41" customFormat="1">
      <c r="A12" s="60" t="s">
        <v>95</v>
      </c>
      <c r="B12" s="70" t="s">
        <v>1468</v>
      </c>
      <c r="C12" s="835"/>
      <c r="D12" s="826">
        <v>204977.31940495147</v>
      </c>
      <c r="E12" s="835"/>
      <c r="F12" s="826">
        <v>429150.5369324882</v>
      </c>
      <c r="G12" s="835"/>
      <c r="H12" s="826">
        <v>386132.28577150498</v>
      </c>
      <c r="I12" s="41" t="s">
        <v>1469</v>
      </c>
      <c r="K12" s="1209"/>
      <c r="L12" s="1209"/>
    </row>
    <row r="13" spans="1:12" s="41" customFormat="1" ht="45">
      <c r="A13" s="60" t="s">
        <v>97</v>
      </c>
      <c r="B13" s="68" t="s">
        <v>1470</v>
      </c>
      <c r="C13" s="835"/>
      <c r="D13" s="826">
        <v>-257180</v>
      </c>
      <c r="E13" s="835"/>
      <c r="F13" s="826">
        <v>450819</v>
      </c>
      <c r="G13" s="835"/>
      <c r="H13" s="835"/>
      <c r="K13" s="1209"/>
      <c r="L13" s="1209"/>
    </row>
    <row r="14" spans="1:12" s="41" customFormat="1" ht="45">
      <c r="A14" s="60" t="s">
        <v>582</v>
      </c>
      <c r="B14" s="68" t="s">
        <v>1471</v>
      </c>
      <c r="C14" s="835"/>
      <c r="D14" s="835"/>
      <c r="E14" s="835"/>
      <c r="F14" s="826">
        <v>1578901.9</v>
      </c>
      <c r="G14" s="835"/>
      <c r="H14" s="835"/>
      <c r="K14" s="1209"/>
      <c r="L14" s="1209"/>
    </row>
    <row r="15" spans="1:12" s="41" customFormat="1" ht="45">
      <c r="A15" s="60" t="s">
        <v>615</v>
      </c>
      <c r="B15" s="68" t="s">
        <v>1472</v>
      </c>
      <c r="C15" s="835"/>
      <c r="D15" s="835"/>
      <c r="E15" s="835"/>
      <c r="F15" s="835"/>
      <c r="G15" s="835"/>
      <c r="H15" s="835"/>
    </row>
    <row r="16" spans="1:12" s="41" customFormat="1" ht="30">
      <c r="A16" s="60" t="s">
        <v>649</v>
      </c>
      <c r="B16" s="70" t="s">
        <v>1473</v>
      </c>
      <c r="C16" s="818"/>
      <c r="D16" s="818"/>
      <c r="E16" s="818"/>
      <c r="F16" s="818"/>
      <c r="G16" s="818"/>
      <c r="H16" s="818"/>
    </row>
    <row r="17" spans="1:153" s="41" customFormat="1" ht="120">
      <c r="A17" s="60" t="s">
        <v>1028</v>
      </c>
      <c r="B17" s="850" t="s">
        <v>1474</v>
      </c>
      <c r="C17" s="850"/>
      <c r="D17" s="850"/>
      <c r="E17" s="850"/>
      <c r="F17" s="850"/>
      <c r="G17" s="850"/>
      <c r="H17" s="850"/>
      <c r="I17" s="851"/>
      <c r="J17" s="851"/>
      <c r="K17" s="851"/>
      <c r="L17" s="851"/>
      <c r="M17" s="851"/>
      <c r="N17" s="851"/>
      <c r="O17" s="851"/>
      <c r="P17" s="851"/>
      <c r="Q17" s="851"/>
      <c r="R17" s="851"/>
      <c r="S17" s="851"/>
      <c r="T17" s="851"/>
      <c r="U17" s="851"/>
      <c r="V17" s="851"/>
      <c r="W17" s="851"/>
      <c r="X17" s="851"/>
      <c r="Y17" s="851"/>
      <c r="Z17" s="851"/>
      <c r="AA17" s="851"/>
      <c r="AB17" s="851"/>
      <c r="AC17" s="851"/>
      <c r="AD17" s="851"/>
      <c r="AE17" s="851"/>
      <c r="AF17" s="851"/>
      <c r="AG17" s="851"/>
      <c r="AH17" s="851"/>
      <c r="AI17" s="851"/>
      <c r="AJ17" s="851"/>
      <c r="AK17" s="851"/>
      <c r="AL17" s="851"/>
      <c r="AM17" s="851"/>
    </row>
    <row r="18" spans="1:153" s="41" customFormat="1">
      <c r="A18" s="60" t="s">
        <v>1309</v>
      </c>
      <c r="B18" s="70" t="s">
        <v>1475</v>
      </c>
      <c r="C18" s="818"/>
      <c r="D18" s="818">
        <f>SUM(D9:D17)</f>
        <v>6115376.0147306668</v>
      </c>
      <c r="E18" s="818"/>
      <c r="F18" s="818">
        <f>SUM(F9:F17)</f>
        <v>9210153.8947941978</v>
      </c>
      <c r="G18" s="818"/>
      <c r="H18" s="818">
        <f>SUM(H9:H17)</f>
        <v>7402998.6202373272</v>
      </c>
    </row>
    <row r="19" spans="1:153" s="41" customFormat="1">
      <c r="A19" s="60" t="s">
        <v>1451</v>
      </c>
      <c r="B19" s="70" t="s">
        <v>1476</v>
      </c>
      <c r="C19" s="818"/>
      <c r="D19" s="818"/>
      <c r="E19" s="818"/>
      <c r="F19" s="818"/>
      <c r="G19" s="818"/>
      <c r="H19" s="818"/>
    </row>
    <row r="20" spans="1:153">
      <c r="B20" s="852" t="s">
        <v>1477</v>
      </c>
      <c r="C20" s="253"/>
      <c r="D20" s="1268">
        <f>D12/D18*100</f>
        <v>3.3518350942150379</v>
      </c>
      <c r="E20" s="1269"/>
      <c r="F20" s="1268">
        <f>F12/F18*100</f>
        <v>4.6595370917206331</v>
      </c>
      <c r="G20" s="1269"/>
      <c r="H20" s="1268">
        <f>H12/H18*100</f>
        <v>5.2158902841876564</v>
      </c>
      <c r="I20" s="1" t="s">
        <v>1478</v>
      </c>
    </row>
    <row r="21" spans="1:153">
      <c r="B21" s="1783"/>
      <c r="C21" s="1776"/>
      <c r="D21" s="1784"/>
      <c r="E21" s="1785"/>
      <c r="F21" s="1784"/>
      <c r="G21" s="1785"/>
      <c r="H21" s="1784"/>
    </row>
    <row r="22" spans="1:153">
      <c r="B22" s="1783"/>
      <c r="C22" s="1776"/>
      <c r="D22" s="1784"/>
      <c r="E22" s="1785"/>
      <c r="F22" s="1786">
        <f>F18/'4.6_свод'!K97</f>
        <v>7369.7444596164742</v>
      </c>
      <c r="G22" s="1787"/>
      <c r="H22" s="1786">
        <f>H18/'4.6_свод'!N97</f>
        <v>5923.7021106542061</v>
      </c>
    </row>
    <row r="23" spans="1:153">
      <c r="B23" s="1783"/>
      <c r="C23" s="1776"/>
      <c r="D23" s="1784"/>
      <c r="E23" s="1785"/>
      <c r="F23" s="1784"/>
      <c r="G23" s="1785"/>
      <c r="H23" s="1784"/>
    </row>
    <row r="24" spans="1:153">
      <c r="B24" s="1783"/>
      <c r="C24" s="1776"/>
      <c r="D24" s="1793">
        <f>'5.9_КТЭЦ'!D18+'5.9_котельные'!D18</f>
        <v>6115373.4419915378</v>
      </c>
      <c r="E24" s="1785"/>
      <c r="F24" s="1793">
        <f>'5.9_КТЭЦ'!F18+'5.9_котельные'!F18</f>
        <v>9210152.9521141984</v>
      </c>
      <c r="G24" s="1785"/>
      <c r="H24" s="1793">
        <f>'5.9_КТЭЦ'!H18+'5.9_котельные'!H18</f>
        <v>7402998.7287421888</v>
      </c>
    </row>
    <row r="25" spans="1:153" s="26" customFormat="1">
      <c r="A25" s="26" t="s">
        <v>88</v>
      </c>
    </row>
    <row r="26" spans="1:153" s="1245" customFormat="1" ht="15" customHeight="1">
      <c r="A26" s="1246" t="s">
        <v>89</v>
      </c>
      <c r="B26" s="26" t="s">
        <v>1346</v>
      </c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1246"/>
      <c r="EI26" s="1246"/>
      <c r="EJ26" s="1246"/>
      <c r="EK26" s="1246"/>
      <c r="EL26" s="1246"/>
      <c r="EM26" s="1246"/>
      <c r="EN26" s="1246"/>
      <c r="EO26" s="1246"/>
      <c r="EP26" s="1246"/>
      <c r="EQ26" s="1246"/>
      <c r="ER26" s="1246"/>
      <c r="ES26" s="1246"/>
      <c r="ET26" s="1246"/>
      <c r="EU26" s="1246"/>
      <c r="EV26" s="1246"/>
      <c r="EW26" s="1246"/>
    </row>
    <row r="27" spans="1:153" s="1245" customFormat="1">
      <c r="A27" s="1246" t="s">
        <v>91</v>
      </c>
      <c r="B27" s="26" t="s">
        <v>1479</v>
      </c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</row>
    <row r="28" spans="1:153" ht="15" customHeight="1">
      <c r="A28" s="1246" t="s">
        <v>93</v>
      </c>
      <c r="B28" s="26" t="s">
        <v>1480</v>
      </c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1246"/>
      <c r="EI28" s="1246"/>
      <c r="EJ28" s="1246"/>
      <c r="EK28" s="1246"/>
      <c r="EL28" s="1246"/>
      <c r="EM28" s="1246"/>
      <c r="EN28" s="1246"/>
      <c r="EO28" s="1246"/>
      <c r="EP28" s="1246"/>
      <c r="EQ28" s="1246"/>
      <c r="ER28" s="1246"/>
    </row>
    <row r="29" spans="1:153" ht="17.25" customHeight="1">
      <c r="A29" s="1246" t="s">
        <v>95</v>
      </c>
      <c r="B29" s="26" t="s">
        <v>1481</v>
      </c>
      <c r="C29" s="106"/>
      <c r="D29" s="106"/>
      <c r="E29" s="106"/>
      <c r="F29" s="106"/>
      <c r="G29" s="106"/>
      <c r="H29" s="106"/>
      <c r="I29" s="106"/>
      <c r="J29" s="106"/>
      <c r="K29" s="106"/>
      <c r="L29" s="106"/>
      <c r="M29" s="106"/>
      <c r="N29" s="106"/>
      <c r="O29" s="106"/>
      <c r="P29" s="106"/>
      <c r="Q29" s="106"/>
      <c r="R29" s="106"/>
      <c r="S29" s="106"/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6"/>
      <c r="AJ29" s="106"/>
      <c r="AK29" s="106"/>
      <c r="AL29" s="106"/>
      <c r="AM29" s="106"/>
      <c r="AN29" s="106"/>
      <c r="AO29" s="106"/>
      <c r="AP29" s="106"/>
      <c r="AQ29" s="106"/>
      <c r="AR29" s="106"/>
      <c r="AS29" s="106"/>
      <c r="AT29" s="106"/>
      <c r="AU29" s="106"/>
      <c r="AV29" s="106"/>
      <c r="AW29" s="106"/>
      <c r="AX29" s="106"/>
      <c r="AY29" s="106"/>
      <c r="AZ29" s="106"/>
      <c r="BA29" s="106"/>
      <c r="BB29" s="106"/>
      <c r="BC29" s="106"/>
      <c r="BD29" s="106"/>
      <c r="BE29" s="106"/>
      <c r="BF29" s="106"/>
      <c r="BG29" s="106"/>
      <c r="BH29" s="106"/>
      <c r="BI29" s="106"/>
      <c r="BJ29" s="106"/>
      <c r="BK29" s="106"/>
      <c r="BL29" s="106"/>
      <c r="BM29" s="106"/>
      <c r="BN29" s="106"/>
      <c r="BO29" s="106"/>
      <c r="BP29" s="106"/>
      <c r="BQ29" s="106"/>
      <c r="BR29" s="106"/>
      <c r="BS29" s="106"/>
      <c r="BT29" s="106"/>
      <c r="BU29" s="106"/>
      <c r="BV29" s="106"/>
      <c r="BW29" s="106"/>
      <c r="BX29" s="106"/>
      <c r="BY29" s="106"/>
      <c r="BZ29" s="106"/>
      <c r="CA29" s="106"/>
      <c r="CB29" s="106"/>
      <c r="CC29" s="106"/>
      <c r="CD29" s="106"/>
      <c r="CE29" s="106"/>
      <c r="CF29" s="106"/>
      <c r="CG29" s="106"/>
      <c r="CH29" s="106"/>
      <c r="CI29" s="106"/>
      <c r="CJ29" s="106"/>
      <c r="CK29" s="106"/>
      <c r="CL29" s="106"/>
      <c r="CM29" s="106"/>
      <c r="CN29" s="106"/>
      <c r="CO29" s="106"/>
      <c r="CP29" s="106"/>
      <c r="CQ29" s="106"/>
      <c r="CR29" s="106"/>
      <c r="CS29" s="106"/>
      <c r="CT29" s="106"/>
      <c r="CU29" s="106"/>
      <c r="CV29" s="106"/>
      <c r="CW29" s="106"/>
      <c r="CX29" s="106"/>
      <c r="CY29" s="106"/>
      <c r="CZ29" s="106"/>
      <c r="DA29" s="106"/>
      <c r="DB29" s="106"/>
      <c r="DC29" s="106"/>
      <c r="DD29" s="106"/>
      <c r="DE29" s="106"/>
      <c r="DF29" s="106"/>
      <c r="DG29" s="106"/>
      <c r="DH29" s="106"/>
      <c r="DI29" s="106"/>
      <c r="DJ29" s="106"/>
      <c r="DK29" s="106"/>
      <c r="DL29" s="106"/>
      <c r="DM29" s="106"/>
      <c r="DN29" s="106"/>
      <c r="DO29" s="106"/>
      <c r="DP29" s="106"/>
      <c r="DQ29" s="106"/>
      <c r="DR29" s="106"/>
      <c r="DS29" s="106"/>
      <c r="DT29" s="106"/>
      <c r="DU29" s="106"/>
      <c r="DV29" s="106"/>
      <c r="DW29" s="106"/>
      <c r="DX29" s="106"/>
      <c r="DY29" s="106"/>
      <c r="DZ29" s="106"/>
      <c r="EA29" s="106"/>
      <c r="EB29" s="106"/>
      <c r="EC29" s="106"/>
      <c r="ED29" s="106"/>
      <c r="EE29" s="106"/>
      <c r="EF29" s="106"/>
      <c r="EG29" s="106"/>
      <c r="EH29" s="1246"/>
      <c r="EI29" s="1246"/>
      <c r="EJ29" s="1246"/>
      <c r="EK29" s="1246"/>
      <c r="EL29" s="1246"/>
      <c r="EM29" s="1246"/>
      <c r="EN29" s="1246"/>
      <c r="EO29" s="1246"/>
      <c r="EP29" s="1246"/>
      <c r="EQ29" s="1246"/>
      <c r="ER29" s="1246"/>
    </row>
    <row r="30" spans="1:153">
      <c r="A30" s="1" t="s">
        <v>97</v>
      </c>
      <c r="B30" s="26" t="s">
        <v>1482</v>
      </c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</row>
    <row r="31" spans="1:153">
      <c r="A31" s="1" t="s">
        <v>582</v>
      </c>
      <c r="B31" s="26" t="s">
        <v>1483</v>
      </c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</row>
    <row r="32" spans="1:153">
      <c r="B32" s="26" t="s">
        <v>1484</v>
      </c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</row>
    <row r="33" spans="1:137">
      <c r="B33" s="26" t="s">
        <v>1485</v>
      </c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</row>
    <row r="34" spans="1:137">
      <c r="B34" s="26" t="s">
        <v>1486</v>
      </c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</row>
    <row r="35" spans="1:137">
      <c r="A35" s="1" t="s">
        <v>615</v>
      </c>
      <c r="B35" s="26" t="s">
        <v>1487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</row>
    <row r="36" spans="1:137">
      <c r="A36" s="1" t="s">
        <v>649</v>
      </c>
      <c r="B36" s="26" t="s">
        <v>1488</v>
      </c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</row>
  </sheetData>
  <mergeCells count="6">
    <mergeCell ref="A3:H3"/>
    <mergeCell ref="A6:A7"/>
    <mergeCell ref="B6:B7"/>
    <mergeCell ref="C6:D6"/>
    <mergeCell ref="E6:F6"/>
    <mergeCell ref="G6:H6"/>
  </mergeCells>
  <pageMargins left="0.78740157480314965" right="0.51181102362204722" top="0.59055118110236227" bottom="0.39370078740157483" header="0.19685039370078741" footer="0.19685039370078741"/>
  <pageSetup paperSize="9" scale="65" orientation="portrait" r:id="rId1"/>
  <headerFooter alignWithMargins="0"/>
  <legacy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59999389629810485"/>
  </sheetPr>
  <dimension ref="A1:L226"/>
  <sheetViews>
    <sheetView view="pageBreakPreview" zoomScale="80" zoomScaleNormal="100" zoomScaleSheetLayoutView="80" workbookViewId="0">
      <pane xSplit="2" ySplit="6" topLeftCell="C131" activePane="bottomRight" state="frozen"/>
      <selection activeCell="F148" sqref="F148"/>
      <selection pane="topRight" activeCell="F148" sqref="F148"/>
      <selection pane="bottomLeft" activeCell="F148" sqref="F148"/>
      <selection pane="bottomRight" activeCell="F148" sqref="F148"/>
    </sheetView>
  </sheetViews>
  <sheetFormatPr defaultColWidth="0.85546875" defaultRowHeight="12" customHeight="1" outlineLevelRow="1"/>
  <cols>
    <col min="1" max="1" width="5.140625" style="26" customWidth="1"/>
    <col min="2" max="2" width="44.5703125" style="26" customWidth="1"/>
    <col min="3" max="3" width="12.85546875" style="26" customWidth="1"/>
    <col min="4" max="4" width="15.42578125" style="26" customWidth="1"/>
    <col min="5" max="5" width="12.85546875" style="26" customWidth="1"/>
    <col min="6" max="6" width="19.140625" style="26" customWidth="1"/>
    <col min="7" max="7" width="14.85546875" style="26" customWidth="1"/>
    <col min="8" max="9" width="12.85546875" style="26" customWidth="1"/>
    <col min="10" max="10" width="14.85546875" style="26" customWidth="1"/>
    <col min="11" max="11" width="18.42578125" style="26" customWidth="1"/>
    <col min="12" max="12" width="12.85546875" style="26" customWidth="1"/>
    <col min="13" max="256" width="3.5703125" style="26" customWidth="1"/>
    <col min="257" max="16384" width="0.85546875" style="26"/>
  </cols>
  <sheetData>
    <row r="1" spans="1:11" ht="18.75" customHeight="1">
      <c r="A1" s="74" t="s">
        <v>765</v>
      </c>
    </row>
    <row r="2" spans="1:11" s="24" customFormat="1" ht="15">
      <c r="A2" s="759" t="str">
        <f>'4.1 (свод)'!A2</f>
        <v>КТЭЦ + котельные СВОД</v>
      </c>
      <c r="K2" s="25" t="s">
        <v>584</v>
      </c>
    </row>
    <row r="4" spans="1:11" ht="15.75" customHeight="1">
      <c r="A4" s="1968" t="s">
        <v>585</v>
      </c>
      <c r="B4" s="1968"/>
      <c r="C4" s="1968"/>
      <c r="D4" s="1968"/>
      <c r="E4" s="1968"/>
      <c r="F4" s="1968"/>
      <c r="G4" s="1968"/>
      <c r="H4" s="1968"/>
      <c r="I4" s="1968"/>
      <c r="J4" s="1968"/>
      <c r="K4" s="1968"/>
    </row>
    <row r="5" spans="1:11" ht="12.75" customHeight="1">
      <c r="A5" s="27"/>
      <c r="B5" s="27"/>
      <c r="C5" s="27"/>
      <c r="D5" s="27"/>
      <c r="E5" s="27"/>
      <c r="F5" s="27"/>
      <c r="G5" s="27"/>
      <c r="H5" s="27"/>
    </row>
    <row r="6" spans="1:11" s="31" customFormat="1" ht="120">
      <c r="A6" s="772" t="s">
        <v>0</v>
      </c>
      <c r="B6" s="772" t="s">
        <v>586</v>
      </c>
      <c r="C6" s="771" t="s">
        <v>587</v>
      </c>
      <c r="D6" s="771" t="s">
        <v>588</v>
      </c>
      <c r="E6" s="771" t="s">
        <v>589</v>
      </c>
      <c r="F6" s="771" t="s">
        <v>590</v>
      </c>
      <c r="G6" s="771" t="s">
        <v>591</v>
      </c>
      <c r="H6" s="771" t="s">
        <v>592</v>
      </c>
      <c r="I6" s="771" t="s">
        <v>593</v>
      </c>
      <c r="J6" s="771" t="s">
        <v>594</v>
      </c>
      <c r="K6" s="771" t="s">
        <v>935</v>
      </c>
    </row>
    <row r="7" spans="1:11" s="48" customFormat="1" ht="15">
      <c r="A7" s="13">
        <v>1</v>
      </c>
      <c r="B7" s="13">
        <v>2</v>
      </c>
      <c r="C7" s="33">
        <v>3</v>
      </c>
      <c r="D7" s="33">
        <v>4</v>
      </c>
      <c r="E7" s="33">
        <v>5</v>
      </c>
      <c r="F7" s="33">
        <v>6</v>
      </c>
      <c r="G7" s="33">
        <v>7</v>
      </c>
      <c r="H7" s="33">
        <v>8</v>
      </c>
      <c r="I7" s="33">
        <v>9</v>
      </c>
      <c r="J7" s="33">
        <v>10</v>
      </c>
      <c r="K7" s="33">
        <v>11</v>
      </c>
    </row>
    <row r="8" spans="1:11" s="48" customFormat="1" ht="15" hidden="1">
      <c r="A8" s="1992" t="s">
        <v>1129</v>
      </c>
      <c r="B8" s="1992"/>
      <c r="C8" s="1992"/>
      <c r="D8" s="1992"/>
      <c r="E8" s="1992"/>
      <c r="F8" s="1992"/>
      <c r="G8" s="1992"/>
      <c r="H8" s="1992"/>
      <c r="I8" s="1992"/>
      <c r="J8" s="1992"/>
      <c r="K8" s="1992"/>
    </row>
    <row r="9" spans="1:11" s="48" customFormat="1" ht="15" hidden="1">
      <c r="A9" s="60" t="s">
        <v>4</v>
      </c>
      <c r="B9" s="61" t="s">
        <v>48</v>
      </c>
      <c r="C9" s="67"/>
      <c r="D9" s="67"/>
      <c r="E9" s="67"/>
      <c r="F9" s="67"/>
      <c r="G9" s="67"/>
      <c r="H9" s="67"/>
      <c r="I9" s="67"/>
      <c r="J9" s="67"/>
      <c r="K9" s="67"/>
    </row>
    <row r="10" spans="1:11" s="48" customFormat="1" ht="15" hidden="1">
      <c r="A10" s="60"/>
      <c r="B10" s="70" t="s">
        <v>596</v>
      </c>
      <c r="C10" s="67"/>
      <c r="D10" s="67"/>
      <c r="E10" s="67"/>
      <c r="F10" s="67"/>
      <c r="G10" s="67"/>
      <c r="H10" s="67"/>
      <c r="I10" s="67"/>
      <c r="J10" s="67"/>
      <c r="K10" s="67"/>
    </row>
    <row r="11" spans="1:11" s="48" customFormat="1" ht="18" hidden="1">
      <c r="A11" s="60"/>
      <c r="B11" s="70" t="s">
        <v>597</v>
      </c>
      <c r="C11" s="67"/>
      <c r="D11" s="67"/>
      <c r="E11" s="67"/>
      <c r="F11" s="67"/>
      <c r="G11" s="67"/>
      <c r="H11" s="67"/>
      <c r="I11" s="67"/>
      <c r="J11" s="67"/>
      <c r="K11" s="67"/>
    </row>
    <row r="12" spans="1:11" s="48" customFormat="1" ht="18" hidden="1">
      <c r="A12" s="60"/>
      <c r="B12" s="70" t="s">
        <v>598</v>
      </c>
      <c r="C12" s="67"/>
      <c r="D12" s="67"/>
      <c r="E12" s="67"/>
      <c r="F12" s="67"/>
      <c r="G12" s="67"/>
      <c r="H12" s="67"/>
      <c r="I12" s="67"/>
      <c r="J12" s="67"/>
      <c r="K12" s="67"/>
    </row>
    <row r="13" spans="1:11" s="48" customFormat="1" ht="18" hidden="1">
      <c r="A13" s="60"/>
      <c r="B13" s="70" t="s">
        <v>599</v>
      </c>
      <c r="C13" s="67"/>
      <c r="D13" s="67"/>
      <c r="E13" s="67"/>
      <c r="F13" s="67"/>
      <c r="G13" s="67"/>
      <c r="H13" s="67"/>
      <c r="I13" s="67"/>
      <c r="J13" s="67"/>
      <c r="K13" s="67"/>
    </row>
    <row r="14" spans="1:11" s="48" customFormat="1" ht="18" hidden="1">
      <c r="A14" s="60"/>
      <c r="B14" s="70" t="s">
        <v>600</v>
      </c>
      <c r="C14" s="67"/>
      <c r="D14" s="67"/>
      <c r="E14" s="67"/>
      <c r="F14" s="67"/>
      <c r="G14" s="67"/>
      <c r="H14" s="67"/>
      <c r="I14" s="67"/>
      <c r="J14" s="67"/>
      <c r="K14" s="67"/>
    </row>
    <row r="15" spans="1:11" s="48" customFormat="1" ht="15" hidden="1">
      <c r="A15" s="60"/>
      <c r="B15" s="70" t="s">
        <v>601</v>
      </c>
      <c r="C15" s="67"/>
      <c r="D15" s="67"/>
      <c r="E15" s="67"/>
      <c r="F15" s="67"/>
      <c r="G15" s="67"/>
      <c r="H15" s="67"/>
      <c r="I15" s="67"/>
      <c r="J15" s="67"/>
      <c r="K15" s="67"/>
    </row>
    <row r="16" spans="1:11" s="48" customFormat="1" ht="15" hidden="1">
      <c r="A16" s="60"/>
      <c r="B16" s="70" t="s">
        <v>26</v>
      </c>
      <c r="C16" s="67"/>
      <c r="D16" s="67"/>
      <c r="E16" s="67"/>
      <c r="F16" s="67"/>
      <c r="G16" s="67"/>
      <c r="H16" s="67"/>
      <c r="I16" s="67"/>
      <c r="J16" s="67"/>
      <c r="K16" s="67"/>
    </row>
    <row r="17" spans="1:11" s="48" customFormat="1" ht="15" hidden="1">
      <c r="A17" s="60" t="s">
        <v>434</v>
      </c>
      <c r="B17" s="70" t="s">
        <v>602</v>
      </c>
      <c r="C17" s="67"/>
      <c r="D17" s="67"/>
      <c r="E17" s="67"/>
      <c r="F17" s="67"/>
      <c r="G17" s="67"/>
      <c r="H17" s="67"/>
      <c r="I17" s="67"/>
      <c r="J17" s="67"/>
      <c r="K17" s="67"/>
    </row>
    <row r="18" spans="1:11" s="48" customFormat="1" ht="15" hidden="1">
      <c r="A18" s="60"/>
      <c r="B18" s="70" t="s">
        <v>26</v>
      </c>
      <c r="C18" s="67"/>
      <c r="D18" s="67"/>
      <c r="E18" s="67"/>
      <c r="F18" s="67"/>
      <c r="G18" s="67"/>
      <c r="H18" s="67"/>
      <c r="I18" s="67"/>
      <c r="J18" s="67"/>
      <c r="K18" s="67"/>
    </row>
    <row r="19" spans="1:11" s="48" customFormat="1" ht="60" hidden="1">
      <c r="A19" s="256" t="s">
        <v>603</v>
      </c>
      <c r="B19" s="257" t="s">
        <v>604</v>
      </c>
      <c r="C19" s="258">
        <f>C20</f>
        <v>0</v>
      </c>
      <c r="D19" s="259" t="e">
        <f t="shared" ref="D19:K19" si="0">D20</f>
        <v>#REF!</v>
      </c>
      <c r="E19" s="258"/>
      <c r="F19" s="259" t="e">
        <f t="shared" si="0"/>
        <v>#REF!</v>
      </c>
      <c r="G19" s="258"/>
      <c r="H19" s="258" t="e">
        <f t="shared" si="0"/>
        <v>#REF!</v>
      </c>
      <c r="I19" s="259" t="e">
        <f t="shared" si="0"/>
        <v>#REF!</v>
      </c>
      <c r="J19" s="259" t="e">
        <f t="shared" si="0"/>
        <v>#REF!</v>
      </c>
      <c r="K19" s="259" t="e">
        <f t="shared" si="0"/>
        <v>#REF!</v>
      </c>
    </row>
    <row r="20" spans="1:11" s="48" customFormat="1" ht="15" hidden="1">
      <c r="A20" s="60"/>
      <c r="B20" s="70" t="s">
        <v>596</v>
      </c>
      <c r="C20" s="250">
        <f>'[15]4.6_генерация'!D82</f>
        <v>0</v>
      </c>
      <c r="D20" s="67" t="e">
        <f>'[15]4.1'!#REF!</f>
        <v>#REF!</v>
      </c>
      <c r="E20" s="67"/>
      <c r="F20" s="67" t="e">
        <f>'[15]4.3'!#REF!</f>
        <v>#REF!</v>
      </c>
      <c r="G20" s="67"/>
      <c r="H20" s="250" t="e">
        <f>'[15]4.6_генерация'!#REF!</f>
        <v>#REF!</v>
      </c>
      <c r="I20" s="251" t="e">
        <f>C20/D20</f>
        <v>#REF!</v>
      </c>
      <c r="J20" s="251" t="e">
        <f>H20/D20</f>
        <v>#REF!</v>
      </c>
      <c r="K20" s="251" t="e">
        <f>(C20-H20)/(F20*12)</f>
        <v>#REF!</v>
      </c>
    </row>
    <row r="21" spans="1:11" s="48" customFormat="1" ht="18" hidden="1">
      <c r="A21" s="60"/>
      <c r="B21" s="70" t="s">
        <v>597</v>
      </c>
      <c r="C21" s="67"/>
      <c r="D21" s="67"/>
      <c r="E21" s="67"/>
      <c r="F21" s="67"/>
      <c r="G21" s="67"/>
      <c r="H21" s="67"/>
      <c r="I21" s="67"/>
      <c r="J21" s="67"/>
      <c r="K21" s="67"/>
    </row>
    <row r="22" spans="1:11" s="48" customFormat="1" ht="18" hidden="1">
      <c r="A22" s="60"/>
      <c r="B22" s="70" t="s">
        <v>598</v>
      </c>
      <c r="C22" s="67"/>
      <c r="D22" s="67"/>
      <c r="E22" s="67"/>
      <c r="F22" s="67"/>
      <c r="G22" s="67"/>
      <c r="H22" s="67"/>
      <c r="I22" s="67"/>
      <c r="J22" s="67"/>
      <c r="K22" s="67"/>
    </row>
    <row r="23" spans="1:11" s="48" customFormat="1" ht="18" hidden="1">
      <c r="A23" s="60"/>
      <c r="B23" s="70" t="s">
        <v>599</v>
      </c>
      <c r="C23" s="67"/>
      <c r="D23" s="67"/>
      <c r="E23" s="67"/>
      <c r="F23" s="67"/>
      <c r="G23" s="67"/>
      <c r="H23" s="67"/>
      <c r="I23" s="67"/>
      <c r="J23" s="67"/>
      <c r="K23" s="67"/>
    </row>
    <row r="24" spans="1:11" s="48" customFormat="1" ht="18" hidden="1">
      <c r="A24" s="60"/>
      <c r="B24" s="70" t="s">
        <v>600</v>
      </c>
      <c r="C24" s="67"/>
      <c r="D24" s="67"/>
      <c r="E24" s="67"/>
      <c r="F24" s="67"/>
      <c r="G24" s="67"/>
      <c r="H24" s="67"/>
      <c r="I24" s="67"/>
      <c r="J24" s="67"/>
      <c r="K24" s="67"/>
    </row>
    <row r="25" spans="1:11" s="48" customFormat="1" ht="15" hidden="1">
      <c r="A25" s="60"/>
      <c r="B25" s="70" t="s">
        <v>601</v>
      </c>
      <c r="C25" s="67"/>
      <c r="D25" s="67"/>
      <c r="E25" s="67"/>
      <c r="F25" s="67"/>
      <c r="G25" s="67"/>
      <c r="H25" s="67"/>
      <c r="I25" s="67"/>
      <c r="J25" s="67"/>
      <c r="K25" s="67"/>
    </row>
    <row r="26" spans="1:11" s="773" customFormat="1" ht="15">
      <c r="A26" s="1992" t="s">
        <v>1130</v>
      </c>
      <c r="B26" s="1992"/>
      <c r="C26" s="1992"/>
      <c r="D26" s="1992"/>
      <c r="E26" s="1992"/>
      <c r="F26" s="1992"/>
      <c r="G26" s="1992"/>
      <c r="H26" s="1992"/>
      <c r="I26" s="1992"/>
      <c r="J26" s="1992"/>
      <c r="K26" s="1992"/>
    </row>
    <row r="27" spans="1:11" s="773" customFormat="1" ht="15" hidden="1" customHeight="1" outlineLevel="1">
      <c r="A27" s="60" t="s">
        <v>4</v>
      </c>
      <c r="B27" s="61" t="s">
        <v>48</v>
      </c>
      <c r="C27" s="67"/>
      <c r="D27" s="67"/>
      <c r="E27" s="67"/>
      <c r="F27" s="67"/>
      <c r="G27" s="67"/>
      <c r="H27" s="67"/>
      <c r="I27" s="67"/>
      <c r="J27" s="67"/>
      <c r="K27" s="67"/>
    </row>
    <row r="28" spans="1:11" s="773" customFormat="1" ht="15" hidden="1" customHeight="1" outlineLevel="1">
      <c r="A28" s="60"/>
      <c r="B28" s="70" t="s">
        <v>596</v>
      </c>
      <c r="C28" s="67"/>
      <c r="D28" s="67"/>
      <c r="E28" s="67"/>
      <c r="F28" s="67"/>
      <c r="G28" s="67"/>
      <c r="H28" s="67"/>
      <c r="I28" s="67"/>
      <c r="J28" s="67"/>
      <c r="K28" s="67"/>
    </row>
    <row r="29" spans="1:11" s="773" customFormat="1" ht="18" hidden="1" customHeight="1" outlineLevel="1">
      <c r="A29" s="60"/>
      <c r="B29" s="70" t="s">
        <v>597</v>
      </c>
      <c r="C29" s="67"/>
      <c r="D29" s="67"/>
      <c r="E29" s="67"/>
      <c r="F29" s="67"/>
      <c r="G29" s="67"/>
      <c r="H29" s="67"/>
      <c r="I29" s="67"/>
      <c r="J29" s="67"/>
      <c r="K29" s="67"/>
    </row>
    <row r="30" spans="1:11" s="773" customFormat="1" ht="18" hidden="1" customHeight="1" outlineLevel="1">
      <c r="A30" s="60"/>
      <c r="B30" s="70" t="s">
        <v>598</v>
      </c>
      <c r="C30" s="67"/>
      <c r="D30" s="67"/>
      <c r="E30" s="67"/>
      <c r="F30" s="67"/>
      <c r="G30" s="67"/>
      <c r="H30" s="67"/>
      <c r="I30" s="67"/>
      <c r="J30" s="67"/>
      <c r="K30" s="67"/>
    </row>
    <row r="31" spans="1:11" s="773" customFormat="1" ht="18" hidden="1" customHeight="1" outlineLevel="1">
      <c r="A31" s="60"/>
      <c r="B31" s="70" t="s">
        <v>599</v>
      </c>
      <c r="C31" s="67"/>
      <c r="D31" s="67"/>
      <c r="E31" s="67"/>
      <c r="F31" s="67"/>
      <c r="G31" s="67"/>
      <c r="H31" s="67"/>
      <c r="I31" s="67"/>
      <c r="J31" s="67"/>
      <c r="K31" s="67"/>
    </row>
    <row r="32" spans="1:11" s="773" customFormat="1" ht="18" hidden="1" customHeight="1" outlineLevel="1">
      <c r="A32" s="60"/>
      <c r="B32" s="70" t="s">
        <v>600</v>
      </c>
      <c r="C32" s="67"/>
      <c r="D32" s="67"/>
      <c r="E32" s="67"/>
      <c r="F32" s="67"/>
      <c r="G32" s="67"/>
      <c r="H32" s="67"/>
      <c r="I32" s="67"/>
      <c r="J32" s="67"/>
      <c r="K32" s="67"/>
    </row>
    <row r="33" spans="1:11" s="773" customFormat="1" ht="15" hidden="1" customHeight="1" outlineLevel="1">
      <c r="A33" s="60"/>
      <c r="B33" s="70" t="s">
        <v>601</v>
      </c>
      <c r="C33" s="67"/>
      <c r="D33" s="67"/>
      <c r="E33" s="67"/>
      <c r="F33" s="67"/>
      <c r="G33" s="67"/>
      <c r="H33" s="67"/>
      <c r="I33" s="67"/>
      <c r="J33" s="67"/>
      <c r="K33" s="67"/>
    </row>
    <row r="34" spans="1:11" s="773" customFormat="1" ht="15" hidden="1" customHeight="1" outlineLevel="1">
      <c r="A34" s="60"/>
      <c r="B34" s="70" t="s">
        <v>26</v>
      </c>
      <c r="C34" s="67"/>
      <c r="D34" s="67"/>
      <c r="E34" s="67"/>
      <c r="F34" s="67"/>
      <c r="G34" s="67"/>
      <c r="H34" s="67"/>
      <c r="I34" s="67"/>
      <c r="J34" s="67"/>
      <c r="K34" s="67"/>
    </row>
    <row r="35" spans="1:11" s="773" customFormat="1" ht="15" hidden="1" customHeight="1" outlineLevel="1">
      <c r="A35" s="60" t="s">
        <v>434</v>
      </c>
      <c r="B35" s="70" t="s">
        <v>602</v>
      </c>
      <c r="C35" s="67"/>
      <c r="D35" s="67"/>
      <c r="E35" s="67"/>
      <c r="F35" s="67"/>
      <c r="G35" s="67"/>
      <c r="H35" s="67"/>
      <c r="I35" s="67"/>
      <c r="J35" s="67"/>
      <c r="K35" s="67"/>
    </row>
    <row r="36" spans="1:11" s="773" customFormat="1" ht="15" hidden="1" customHeight="1" outlineLevel="1">
      <c r="A36" s="60"/>
      <c r="B36" s="70" t="s">
        <v>26</v>
      </c>
      <c r="C36" s="67"/>
      <c r="D36" s="67"/>
      <c r="E36" s="67"/>
      <c r="F36" s="67"/>
      <c r="G36" s="67"/>
      <c r="H36" s="67"/>
      <c r="I36" s="67"/>
      <c r="J36" s="67"/>
      <c r="K36" s="67"/>
    </row>
    <row r="37" spans="1:11" s="108" customFormat="1" ht="60.75" customHeight="1" collapsed="1">
      <c r="A37" s="256" t="s">
        <v>603</v>
      </c>
      <c r="B37" s="257" t="s">
        <v>604</v>
      </c>
      <c r="C37" s="258">
        <f>'4.6_генерация (свод)'!D93</f>
        <v>3523722.0422879998</v>
      </c>
      <c r="D37" s="269">
        <f>'4.1 (свод)'!N20</f>
        <v>1704.5849000000001</v>
      </c>
      <c r="E37" s="259"/>
      <c r="F37" s="269">
        <f>'4.3_свод'!G8</f>
        <v>465.62599999999992</v>
      </c>
      <c r="G37" s="258"/>
      <c r="H37" s="258">
        <f>'4.6_генерация (свод)'!D10</f>
        <v>1900048.8975499999</v>
      </c>
      <c r="I37" s="259">
        <f>C37/D37</f>
        <v>2067.2024269885292</v>
      </c>
      <c r="J37" s="259">
        <f>H37/D37</f>
        <v>1114.6695582895284</v>
      </c>
      <c r="K37" s="259">
        <f>(C37-H37)/(F37*12)</f>
        <v>290.58964790375398</v>
      </c>
    </row>
    <row r="38" spans="1:11" s="854" customFormat="1" ht="15" customHeight="1">
      <c r="A38" s="824"/>
      <c r="B38" s="807" t="s">
        <v>596</v>
      </c>
      <c r="C38" s="806">
        <f>F38/F37*C37</f>
        <v>3518893.8439851138</v>
      </c>
      <c r="D38" s="871">
        <f>'4.1 (свод)'!O20</f>
        <v>1700.1419000000001</v>
      </c>
      <c r="E38" s="853"/>
      <c r="F38" s="871">
        <f>'4.3_свод'!G9</f>
        <v>464.98799999999994</v>
      </c>
      <c r="G38" s="853"/>
      <c r="H38" s="806">
        <f>H37-H40</f>
        <v>1897445.4535914648</v>
      </c>
      <c r="I38" s="855">
        <f>C38/D38</f>
        <v>2069.7647908007643</v>
      </c>
      <c r="J38" s="855">
        <f>H38/D38</f>
        <v>1116.051227013148</v>
      </c>
      <c r="K38" s="855">
        <f>(C38-H38)/(F38*12)</f>
        <v>290.58964790375398</v>
      </c>
    </row>
    <row r="39" spans="1:11" s="773" customFormat="1" ht="18" customHeight="1">
      <c r="A39" s="60"/>
      <c r="B39" s="70" t="s">
        <v>597</v>
      </c>
      <c r="C39" s="67"/>
      <c r="D39" s="872"/>
      <c r="E39" s="67"/>
      <c r="F39" s="872"/>
      <c r="G39" s="67"/>
      <c r="H39" s="67"/>
      <c r="I39" s="67"/>
      <c r="J39" s="67"/>
      <c r="K39" s="67"/>
    </row>
    <row r="40" spans="1:11" s="854" customFormat="1" ht="18" customHeight="1">
      <c r="A40" s="824"/>
      <c r="B40" s="807" t="s">
        <v>598</v>
      </c>
      <c r="C40" s="806">
        <f>C37-C38</f>
        <v>4828.1983028859831</v>
      </c>
      <c r="D40" s="871">
        <f>'4.1 (свод)'!U20</f>
        <v>4.4430000000000014</v>
      </c>
      <c r="E40" s="853"/>
      <c r="F40" s="871">
        <f>'4.3_свод'!G13</f>
        <v>0.63800000000000001</v>
      </c>
      <c r="G40" s="853"/>
      <c r="H40" s="806">
        <f>F40/F37*H37</f>
        <v>2603.4439585351765</v>
      </c>
      <c r="I40" s="855">
        <f>C40/D40</f>
        <v>1086.697794932699</v>
      </c>
      <c r="J40" s="855">
        <f>H40/D40</f>
        <v>585.96532940247039</v>
      </c>
      <c r="K40" s="855">
        <f>(C40-H40)/(F40*12)</f>
        <v>290.58964790371033</v>
      </c>
    </row>
    <row r="41" spans="1:11" s="773" customFormat="1" ht="18.75" customHeight="1">
      <c r="A41" s="60"/>
      <c r="B41" s="70" t="s">
        <v>599</v>
      </c>
      <c r="C41" s="67"/>
      <c r="D41" s="67"/>
      <c r="E41" s="67"/>
      <c r="F41" s="67"/>
      <c r="G41" s="67"/>
      <c r="H41" s="67"/>
      <c r="I41" s="67"/>
      <c r="J41" s="67"/>
      <c r="K41" s="67"/>
    </row>
    <row r="42" spans="1:11" s="773" customFormat="1" ht="18" customHeight="1">
      <c r="A42" s="60"/>
      <c r="B42" s="70" t="s">
        <v>600</v>
      </c>
      <c r="C42" s="67"/>
      <c r="D42" s="67"/>
      <c r="E42" s="67"/>
      <c r="F42" s="67"/>
      <c r="G42" s="67"/>
      <c r="H42" s="67"/>
      <c r="I42" s="67"/>
      <c r="J42" s="67"/>
      <c r="K42" s="67"/>
    </row>
    <row r="43" spans="1:11" s="773" customFormat="1" ht="15" customHeight="1">
      <c r="A43" s="60"/>
      <c r="B43" s="70" t="s">
        <v>601</v>
      </c>
      <c r="C43" s="67"/>
      <c r="D43" s="67"/>
      <c r="E43" s="67"/>
      <c r="F43" s="67"/>
      <c r="G43" s="67"/>
      <c r="H43" s="67"/>
      <c r="I43" s="67"/>
      <c r="J43" s="67"/>
      <c r="K43" s="67"/>
    </row>
    <row r="44" spans="1:11" s="773" customFormat="1" ht="15" customHeight="1">
      <c r="A44" s="1992" t="s">
        <v>1695</v>
      </c>
      <c r="B44" s="1992"/>
      <c r="C44" s="1992"/>
      <c r="D44" s="1992"/>
      <c r="E44" s="1992"/>
      <c r="F44" s="1992"/>
      <c r="G44" s="1992"/>
      <c r="H44" s="1992"/>
      <c r="I44" s="1992"/>
      <c r="J44" s="1992"/>
      <c r="K44" s="1992"/>
    </row>
    <row r="45" spans="1:11" s="773" customFormat="1" ht="15" hidden="1" customHeight="1" outlineLevel="1">
      <c r="A45" s="60" t="s">
        <v>4</v>
      </c>
      <c r="B45" s="61" t="s">
        <v>48</v>
      </c>
      <c r="C45" s="67"/>
      <c r="D45" s="67"/>
      <c r="E45" s="67"/>
      <c r="F45" s="67"/>
      <c r="G45" s="67"/>
      <c r="H45" s="67"/>
      <c r="I45" s="67"/>
      <c r="J45" s="67"/>
      <c r="K45" s="67"/>
    </row>
    <row r="46" spans="1:11" s="773" customFormat="1" ht="15" hidden="1" customHeight="1" outlineLevel="1">
      <c r="A46" s="60"/>
      <c r="B46" s="70" t="s">
        <v>596</v>
      </c>
      <c r="C46" s="67"/>
      <c r="D46" s="67"/>
      <c r="E46" s="67"/>
      <c r="F46" s="67"/>
      <c r="G46" s="67"/>
      <c r="H46" s="67"/>
      <c r="I46" s="67"/>
      <c r="J46" s="67"/>
      <c r="K46" s="67"/>
    </row>
    <row r="47" spans="1:11" s="773" customFormat="1" ht="15" hidden="1" customHeight="1" outlineLevel="1">
      <c r="A47" s="60"/>
      <c r="B47" s="70" t="s">
        <v>597</v>
      </c>
      <c r="C47" s="67"/>
      <c r="D47" s="67"/>
      <c r="E47" s="67"/>
      <c r="F47" s="67"/>
      <c r="G47" s="67"/>
      <c r="H47" s="67"/>
      <c r="I47" s="67"/>
      <c r="J47" s="67"/>
      <c r="K47" s="67"/>
    </row>
    <row r="48" spans="1:11" s="773" customFormat="1" ht="15" hidden="1" customHeight="1" outlineLevel="1">
      <c r="A48" s="60"/>
      <c r="B48" s="70" t="s">
        <v>598</v>
      </c>
      <c r="C48" s="67"/>
      <c r="D48" s="67"/>
      <c r="E48" s="67"/>
      <c r="F48" s="67"/>
      <c r="G48" s="67"/>
      <c r="H48" s="67"/>
      <c r="I48" s="67"/>
      <c r="J48" s="67"/>
      <c r="K48" s="67"/>
    </row>
    <row r="49" spans="1:11" s="773" customFormat="1" ht="15" hidden="1" customHeight="1" outlineLevel="1">
      <c r="A49" s="60"/>
      <c r="B49" s="70" t="s">
        <v>599</v>
      </c>
      <c r="C49" s="67"/>
      <c r="D49" s="67"/>
      <c r="E49" s="67"/>
      <c r="F49" s="67"/>
      <c r="G49" s="67"/>
      <c r="H49" s="67"/>
      <c r="I49" s="67"/>
      <c r="J49" s="67"/>
      <c r="K49" s="67"/>
    </row>
    <row r="50" spans="1:11" s="773" customFormat="1" ht="15" hidden="1" customHeight="1" outlineLevel="1">
      <c r="A50" s="60"/>
      <c r="B50" s="70" t="s">
        <v>600</v>
      </c>
      <c r="C50" s="67"/>
      <c r="D50" s="67"/>
      <c r="E50" s="67"/>
      <c r="F50" s="67"/>
      <c r="G50" s="67"/>
      <c r="H50" s="67"/>
      <c r="I50" s="67"/>
      <c r="J50" s="67"/>
      <c r="K50" s="67"/>
    </row>
    <row r="51" spans="1:11" s="773" customFormat="1" ht="15" hidden="1" customHeight="1" outlineLevel="1">
      <c r="A51" s="60"/>
      <c r="B51" s="70" t="s">
        <v>601</v>
      </c>
      <c r="C51" s="67"/>
      <c r="D51" s="67"/>
      <c r="E51" s="67"/>
      <c r="F51" s="67"/>
      <c r="G51" s="67"/>
      <c r="H51" s="67"/>
      <c r="I51" s="67"/>
      <c r="J51" s="67"/>
      <c r="K51" s="67"/>
    </row>
    <row r="52" spans="1:11" s="773" customFormat="1" ht="15" hidden="1" customHeight="1" outlineLevel="1">
      <c r="A52" s="60"/>
      <c r="B52" s="70" t="s">
        <v>26</v>
      </c>
      <c r="C52" s="67"/>
      <c r="D52" s="67"/>
      <c r="E52" s="67"/>
      <c r="F52" s="67"/>
      <c r="G52" s="67"/>
      <c r="H52" s="67"/>
      <c r="I52" s="67"/>
      <c r="J52" s="67"/>
      <c r="K52" s="67"/>
    </row>
    <row r="53" spans="1:11" s="773" customFormat="1" ht="15" hidden="1" customHeight="1" outlineLevel="1">
      <c r="A53" s="60" t="s">
        <v>434</v>
      </c>
      <c r="B53" s="70" t="s">
        <v>602</v>
      </c>
      <c r="C53" s="67"/>
      <c r="D53" s="67"/>
      <c r="E53" s="67"/>
      <c r="F53" s="67"/>
      <c r="G53" s="67"/>
      <c r="H53" s="67"/>
      <c r="I53" s="67"/>
      <c r="J53" s="67"/>
      <c r="K53" s="67"/>
    </row>
    <row r="54" spans="1:11" s="773" customFormat="1" ht="15" hidden="1" customHeight="1" outlineLevel="1">
      <c r="A54" s="60"/>
      <c r="B54" s="70" t="s">
        <v>26</v>
      </c>
      <c r="C54" s="67"/>
      <c r="D54" s="67"/>
      <c r="E54" s="67"/>
      <c r="F54" s="67"/>
      <c r="G54" s="67"/>
      <c r="H54" s="67"/>
      <c r="I54" s="67"/>
      <c r="J54" s="67"/>
      <c r="K54" s="67"/>
    </row>
    <row r="55" spans="1:11" s="773" customFormat="1" ht="69" customHeight="1" collapsed="1">
      <c r="A55" s="256" t="s">
        <v>603</v>
      </c>
      <c r="B55" s="257" t="s">
        <v>604</v>
      </c>
      <c r="C55" s="258">
        <f>'4.6_генерация (свод)'!F93</f>
        <v>3813910.7711101989</v>
      </c>
      <c r="D55" s="269">
        <f>'4.1 (свод)'!AJ20</f>
        <v>1625.5954999999999</v>
      </c>
      <c r="E55" s="259"/>
      <c r="F55" s="269">
        <f>'4.3_свод'!O8</f>
        <v>451.67099999999999</v>
      </c>
      <c r="G55" s="258"/>
      <c r="H55" s="258">
        <f>'4.6_генерация (свод)'!F10</f>
        <v>1873788.7820211467</v>
      </c>
      <c r="I55" s="259">
        <f>C55/D55</f>
        <v>2346.1622347688581</v>
      </c>
      <c r="J55" s="259">
        <f>H55/D55</f>
        <v>1152.6783766448339</v>
      </c>
      <c r="K55" s="259">
        <f>(C55-H55)/(F55*12)</f>
        <v>357.95265231570698</v>
      </c>
    </row>
    <row r="56" spans="1:11" s="854" customFormat="1" ht="15" customHeight="1">
      <c r="A56" s="824"/>
      <c r="B56" s="807" t="s">
        <v>596</v>
      </c>
      <c r="C56" s="806">
        <f>F56/F55*C55</f>
        <v>3805508.9892440736</v>
      </c>
      <c r="D56" s="871">
        <f>'4.1 (свод)'!AK20</f>
        <v>1621.3434999999999</v>
      </c>
      <c r="E56" s="853"/>
      <c r="F56" s="871">
        <f>'4.3_свод'!O9</f>
        <v>450.67599999999999</v>
      </c>
      <c r="G56" s="853"/>
      <c r="H56" s="806">
        <f>H55-H58</f>
        <v>1869660.9548236711</v>
      </c>
      <c r="I56" s="855">
        <f>C56/D56</f>
        <v>2347.1330962526285</v>
      </c>
      <c r="J56" s="855">
        <f>H56/D56</f>
        <v>1153.1553645625811</v>
      </c>
      <c r="K56" s="855">
        <f>(C56-H56)/(F56*12)</f>
        <v>357.95265231570693</v>
      </c>
    </row>
    <row r="57" spans="1:11" s="773" customFormat="1" ht="15" customHeight="1">
      <c r="A57" s="60"/>
      <c r="B57" s="70" t="s">
        <v>597</v>
      </c>
      <c r="C57" s="67"/>
      <c r="D57" s="872"/>
      <c r="E57" s="67"/>
      <c r="F57" s="872"/>
      <c r="G57" s="67"/>
      <c r="H57" s="67"/>
      <c r="I57" s="67"/>
      <c r="J57" s="67"/>
      <c r="K57" s="67"/>
    </row>
    <row r="58" spans="1:11" s="854" customFormat="1" ht="15" customHeight="1">
      <c r="A58" s="824"/>
      <c r="B58" s="807" t="s">
        <v>598</v>
      </c>
      <c r="C58" s="806">
        <f>C55-C56</f>
        <v>8401.7818661252968</v>
      </c>
      <c r="D58" s="871">
        <f>'4.1 (свод)'!AQ20</f>
        <v>4.2519999999999989</v>
      </c>
      <c r="E58" s="853"/>
      <c r="F58" s="871">
        <f>'4.3_свод'!O15</f>
        <v>0.99500000000000011</v>
      </c>
      <c r="G58" s="853"/>
      <c r="H58" s="806">
        <f>F58/F55*H55</f>
        <v>4127.8271974756872</v>
      </c>
      <c r="I58" s="855">
        <f>C58/D58</f>
        <v>1975.9599873295624</v>
      </c>
      <c r="J58" s="855">
        <f>H58/D58</f>
        <v>970.79661276474326</v>
      </c>
      <c r="K58" s="855">
        <f>(C58-H58)/(F58*12)</f>
        <v>357.95265231571267</v>
      </c>
    </row>
    <row r="59" spans="1:11" s="773" customFormat="1" ht="15" customHeight="1">
      <c r="A59" s="60"/>
      <c r="B59" s="70" t="s">
        <v>599</v>
      </c>
      <c r="C59" s="67"/>
      <c r="D59" s="67"/>
      <c r="E59" s="67"/>
      <c r="F59" s="67"/>
      <c r="G59" s="67"/>
      <c r="H59" s="67"/>
      <c r="I59" s="67"/>
      <c r="J59" s="67"/>
      <c r="K59" s="67"/>
    </row>
    <row r="60" spans="1:11" s="773" customFormat="1" ht="15" customHeight="1">
      <c r="A60" s="60"/>
      <c r="B60" s="70" t="s">
        <v>600</v>
      </c>
      <c r="C60" s="67"/>
      <c r="D60" s="67"/>
      <c r="E60" s="67"/>
      <c r="F60" s="67"/>
      <c r="G60" s="67"/>
      <c r="H60" s="67"/>
      <c r="I60" s="67"/>
      <c r="J60" s="67"/>
      <c r="K60" s="67"/>
    </row>
    <row r="61" spans="1:11" s="773" customFormat="1" ht="15" customHeight="1">
      <c r="A61" s="60"/>
      <c r="B61" s="70" t="s">
        <v>601</v>
      </c>
      <c r="C61" s="67"/>
      <c r="D61" s="67"/>
      <c r="E61" s="67"/>
      <c r="F61" s="67"/>
      <c r="G61" s="67"/>
      <c r="H61" s="67"/>
      <c r="I61" s="67"/>
      <c r="J61" s="67"/>
      <c r="K61" s="67"/>
    </row>
    <row r="62" spans="1:11" s="1292" customFormat="1" ht="15" customHeight="1">
      <c r="A62" s="1992" t="s">
        <v>1696</v>
      </c>
      <c r="B62" s="1992"/>
      <c r="C62" s="1992"/>
      <c r="D62" s="1992"/>
      <c r="E62" s="1992"/>
      <c r="F62" s="1992"/>
      <c r="G62" s="1992"/>
      <c r="H62" s="1992"/>
      <c r="I62" s="1992"/>
      <c r="J62" s="1992"/>
      <c r="K62" s="1992"/>
    </row>
    <row r="63" spans="1:11" s="1292" customFormat="1" ht="15" hidden="1" customHeight="1" outlineLevel="1">
      <c r="A63" s="60" t="s">
        <v>4</v>
      </c>
      <c r="B63" s="61" t="s">
        <v>48</v>
      </c>
      <c r="C63" s="67"/>
      <c r="D63" s="67"/>
      <c r="E63" s="67"/>
      <c r="F63" s="67"/>
      <c r="G63" s="67"/>
      <c r="H63" s="67"/>
      <c r="I63" s="67"/>
      <c r="J63" s="67"/>
      <c r="K63" s="67"/>
    </row>
    <row r="64" spans="1:11" s="1292" customFormat="1" ht="15" hidden="1" customHeight="1" outlineLevel="1">
      <c r="A64" s="60"/>
      <c r="B64" s="70" t="s">
        <v>596</v>
      </c>
      <c r="C64" s="250"/>
      <c r="D64" s="67"/>
      <c r="E64" s="67"/>
      <c r="F64" s="67"/>
      <c r="G64" s="67"/>
      <c r="H64" s="250"/>
      <c r="I64" s="251"/>
      <c r="J64" s="251"/>
      <c r="K64" s="251"/>
    </row>
    <row r="65" spans="1:11" s="1292" customFormat="1" ht="15" hidden="1" customHeight="1" outlineLevel="1">
      <c r="A65" s="60"/>
      <c r="B65" s="70" t="s">
        <v>597</v>
      </c>
      <c r="C65" s="67"/>
      <c r="D65" s="67"/>
      <c r="E65" s="67"/>
      <c r="F65" s="67"/>
      <c r="G65" s="67"/>
      <c r="H65" s="67"/>
      <c r="I65" s="67"/>
      <c r="J65" s="67"/>
      <c r="K65" s="67"/>
    </row>
    <row r="66" spans="1:11" s="1292" customFormat="1" ht="15" hidden="1" customHeight="1" outlineLevel="1">
      <c r="A66" s="60"/>
      <c r="B66" s="70" t="s">
        <v>598</v>
      </c>
      <c r="C66" s="67"/>
      <c r="D66" s="67"/>
      <c r="E66" s="67"/>
      <c r="F66" s="67"/>
      <c r="G66" s="67"/>
      <c r="H66" s="67"/>
      <c r="I66" s="67"/>
      <c r="J66" s="67"/>
      <c r="K66" s="67"/>
    </row>
    <row r="67" spans="1:11" s="1292" customFormat="1" ht="15" hidden="1" customHeight="1" outlineLevel="1">
      <c r="A67" s="60"/>
      <c r="B67" s="70" t="s">
        <v>599</v>
      </c>
      <c r="C67" s="67"/>
      <c r="D67" s="67"/>
      <c r="E67" s="67"/>
      <c r="F67" s="67"/>
      <c r="G67" s="67"/>
      <c r="H67" s="67"/>
      <c r="I67" s="67"/>
      <c r="J67" s="67"/>
      <c r="K67" s="67"/>
    </row>
    <row r="68" spans="1:11" s="1292" customFormat="1" ht="15" hidden="1" customHeight="1" outlineLevel="1">
      <c r="A68" s="60"/>
      <c r="B68" s="70" t="s">
        <v>600</v>
      </c>
      <c r="C68" s="67"/>
      <c r="D68" s="67"/>
      <c r="E68" s="67"/>
      <c r="F68" s="67"/>
      <c r="G68" s="67"/>
      <c r="H68" s="67"/>
      <c r="I68" s="67"/>
      <c r="J68" s="67"/>
      <c r="K68" s="67"/>
    </row>
    <row r="69" spans="1:11" s="1292" customFormat="1" ht="15" hidden="1" customHeight="1" outlineLevel="1">
      <c r="A69" s="60"/>
      <c r="B69" s="70" t="s">
        <v>601</v>
      </c>
      <c r="C69" s="67"/>
      <c r="D69" s="67"/>
      <c r="E69" s="67"/>
      <c r="F69" s="67"/>
      <c r="G69" s="67"/>
      <c r="H69" s="67"/>
      <c r="I69" s="67"/>
      <c r="J69" s="67"/>
      <c r="K69" s="67"/>
    </row>
    <row r="70" spans="1:11" s="1292" customFormat="1" ht="15" hidden="1" customHeight="1" outlineLevel="1">
      <c r="A70" s="60"/>
      <c r="B70" s="70" t="s">
        <v>26</v>
      </c>
      <c r="C70" s="67"/>
      <c r="D70" s="67"/>
      <c r="E70" s="67"/>
      <c r="F70" s="67"/>
      <c r="G70" s="67"/>
      <c r="H70" s="67"/>
      <c r="I70" s="67"/>
      <c r="J70" s="67"/>
      <c r="K70" s="67"/>
    </row>
    <row r="71" spans="1:11" s="1292" customFormat="1" ht="15" hidden="1" customHeight="1" outlineLevel="1">
      <c r="A71" s="60" t="s">
        <v>434</v>
      </c>
      <c r="B71" s="70" t="s">
        <v>602</v>
      </c>
      <c r="C71" s="67"/>
      <c r="D71" s="67"/>
      <c r="E71" s="67"/>
      <c r="F71" s="67"/>
      <c r="G71" s="67"/>
      <c r="H71" s="67"/>
      <c r="I71" s="67"/>
      <c r="J71" s="67"/>
      <c r="K71" s="67"/>
    </row>
    <row r="72" spans="1:11" s="1292" customFormat="1" ht="15" hidden="1" customHeight="1" outlineLevel="1">
      <c r="A72" s="60"/>
      <c r="B72" s="70" t="s">
        <v>26</v>
      </c>
      <c r="C72" s="67"/>
      <c r="D72" s="67"/>
      <c r="E72" s="67"/>
      <c r="F72" s="67"/>
      <c r="G72" s="67"/>
      <c r="H72" s="67"/>
      <c r="I72" s="67"/>
      <c r="J72" s="67"/>
      <c r="K72" s="67"/>
    </row>
    <row r="73" spans="1:11" s="1292" customFormat="1" ht="60" collapsed="1">
      <c r="A73" s="256" t="s">
        <v>603</v>
      </c>
      <c r="B73" s="257" t="s">
        <v>604</v>
      </c>
      <c r="C73" s="258">
        <f>'4.6_генерация (свод)'!G93</f>
        <v>3861544.4385583233</v>
      </c>
      <c r="D73" s="269">
        <f>'4.1 (свод)'!AU20</f>
        <v>1700.0639999999994</v>
      </c>
      <c r="E73" s="259"/>
      <c r="F73" s="269">
        <f>'4.3_свод'!S8</f>
        <v>465.62599999999992</v>
      </c>
      <c r="G73" s="258"/>
      <c r="H73" s="258">
        <f>'4.6_свод'!G10</f>
        <v>2254056.4385583238</v>
      </c>
      <c r="I73" s="259">
        <f>C73/D73</f>
        <v>2271.4112166120362</v>
      </c>
      <c r="J73" s="259">
        <f>H73/D73</f>
        <v>1325.8656371514983</v>
      </c>
      <c r="K73" s="259">
        <f>(C73-H73)/(F73*12)</f>
        <v>287.69298392558261</v>
      </c>
    </row>
    <row r="74" spans="1:11" s="1292" customFormat="1" ht="15" customHeight="1">
      <c r="A74" s="824"/>
      <c r="B74" s="807" t="s">
        <v>596</v>
      </c>
      <c r="C74" s="806">
        <v>2041736.6810774165</v>
      </c>
      <c r="D74" s="871">
        <v>606.04700000000003</v>
      </c>
      <c r="E74" s="853"/>
      <c r="F74" s="871">
        <v>464.98799999999994</v>
      </c>
      <c r="G74" s="853"/>
      <c r="H74" s="806">
        <v>719169.1850885374</v>
      </c>
      <c r="I74" s="855">
        <v>3368.9411565067007</v>
      </c>
      <c r="J74" s="855">
        <v>1186.6557958187027</v>
      </c>
      <c r="K74" s="855">
        <v>474.0507625963391</v>
      </c>
    </row>
    <row r="75" spans="1:11" s="1292" customFormat="1" ht="15" customHeight="1">
      <c r="A75" s="60"/>
      <c r="B75" s="70" t="s">
        <v>597</v>
      </c>
      <c r="C75" s="67"/>
      <c r="D75" s="872"/>
      <c r="E75" s="67"/>
      <c r="F75" s="872"/>
      <c r="G75" s="67"/>
      <c r="H75" s="67"/>
      <c r="I75" s="67"/>
      <c r="J75" s="67"/>
      <c r="K75" s="67"/>
    </row>
    <row r="76" spans="1:11" s="1292" customFormat="1" ht="15" customHeight="1">
      <c r="A76" s="824"/>
      <c r="B76" s="807" t="s">
        <v>598</v>
      </c>
      <c r="C76" s="806">
        <v>2801.4228378525004</v>
      </c>
      <c r="D76" s="871">
        <v>1.4809999999999999</v>
      </c>
      <c r="E76" s="853"/>
      <c r="F76" s="871">
        <v>0.63800000000000001</v>
      </c>
      <c r="G76" s="853"/>
      <c r="H76" s="806">
        <v>986.75651863378607</v>
      </c>
      <c r="I76" s="855">
        <v>1891.5751774831199</v>
      </c>
      <c r="J76" s="855">
        <v>666.27719016460912</v>
      </c>
      <c r="K76" s="855">
        <v>474.05076259632034</v>
      </c>
    </row>
    <row r="77" spans="1:11" s="1292" customFormat="1" ht="15" customHeight="1">
      <c r="A77" s="60"/>
      <c r="B77" s="70" t="s">
        <v>599</v>
      </c>
      <c r="C77" s="67"/>
      <c r="D77" s="67"/>
      <c r="E77" s="67"/>
      <c r="F77" s="67"/>
      <c r="G77" s="67"/>
      <c r="H77" s="67"/>
      <c r="I77" s="67"/>
      <c r="J77" s="67"/>
      <c r="K77" s="67"/>
    </row>
    <row r="78" spans="1:11" s="1292" customFormat="1" ht="15" customHeight="1">
      <c r="A78" s="60"/>
      <c r="B78" s="70" t="s">
        <v>600</v>
      </c>
      <c r="C78" s="67"/>
      <c r="D78" s="67"/>
      <c r="E78" s="67"/>
      <c r="F78" s="67"/>
      <c r="G78" s="67"/>
      <c r="H78" s="67"/>
      <c r="I78" s="67"/>
      <c r="J78" s="67"/>
      <c r="K78" s="67"/>
    </row>
    <row r="79" spans="1:11" s="1292" customFormat="1" ht="15" customHeight="1">
      <c r="A79" s="60"/>
      <c r="B79" s="70" t="s">
        <v>601</v>
      </c>
      <c r="C79" s="67"/>
      <c r="D79" s="67"/>
      <c r="E79" s="67"/>
      <c r="F79" s="67"/>
      <c r="G79" s="67"/>
      <c r="H79" s="67"/>
      <c r="I79" s="67"/>
      <c r="J79" s="67"/>
      <c r="K79" s="67"/>
    </row>
    <row r="80" spans="1:11" s="1292" customFormat="1" ht="15" customHeight="1">
      <c r="A80" s="99"/>
      <c r="B80" s="100"/>
      <c r="C80" s="45"/>
      <c r="D80" s="45"/>
      <c r="E80" s="45"/>
      <c r="F80" s="45"/>
      <c r="G80" s="45"/>
      <c r="H80" s="45"/>
      <c r="I80" s="45"/>
      <c r="J80" s="45"/>
      <c r="K80" s="45"/>
    </row>
    <row r="81" spans="1:11" s="1292" customFormat="1" ht="15" customHeight="1">
      <c r="A81" s="1992" t="s">
        <v>1828</v>
      </c>
      <c r="B81" s="1992"/>
      <c r="C81" s="1992"/>
      <c r="D81" s="1992"/>
      <c r="E81" s="1992"/>
      <c r="F81" s="1992"/>
      <c r="G81" s="1992"/>
      <c r="H81" s="1992"/>
      <c r="I81" s="1992"/>
      <c r="J81" s="1992"/>
      <c r="K81" s="1992"/>
    </row>
    <row r="82" spans="1:11" s="1292" customFormat="1" ht="15" hidden="1" customHeight="1" outlineLevel="1">
      <c r="A82" s="60" t="s">
        <v>4</v>
      </c>
      <c r="B82" s="61" t="s">
        <v>48</v>
      </c>
      <c r="C82" s="67"/>
      <c r="D82" s="67"/>
      <c r="E82" s="67"/>
      <c r="F82" s="67"/>
      <c r="G82" s="67"/>
      <c r="H82" s="67"/>
      <c r="I82" s="67"/>
      <c r="J82" s="67"/>
      <c r="K82" s="67"/>
    </row>
    <row r="83" spans="1:11" s="1292" customFormat="1" ht="15" hidden="1" customHeight="1" outlineLevel="1">
      <c r="A83" s="60"/>
      <c r="B83" s="70" t="s">
        <v>596</v>
      </c>
      <c r="C83" s="250"/>
      <c r="D83" s="67"/>
      <c r="E83" s="67"/>
      <c r="F83" s="67"/>
      <c r="G83" s="67"/>
      <c r="H83" s="250"/>
      <c r="I83" s="251"/>
      <c r="J83" s="251"/>
      <c r="K83" s="251"/>
    </row>
    <row r="84" spans="1:11" s="1292" customFormat="1" ht="15" hidden="1" customHeight="1" outlineLevel="1">
      <c r="A84" s="60"/>
      <c r="B84" s="70" t="s">
        <v>597</v>
      </c>
      <c r="C84" s="67"/>
      <c r="D84" s="67"/>
      <c r="E84" s="67"/>
      <c r="F84" s="67"/>
      <c r="G84" s="67"/>
      <c r="H84" s="67"/>
      <c r="I84" s="67"/>
      <c r="J84" s="67"/>
      <c r="K84" s="67"/>
    </row>
    <row r="85" spans="1:11" s="1292" customFormat="1" ht="15" hidden="1" customHeight="1" outlineLevel="1">
      <c r="A85" s="60"/>
      <c r="B85" s="70" t="s">
        <v>598</v>
      </c>
      <c r="C85" s="67"/>
      <c r="D85" s="67"/>
      <c r="E85" s="67"/>
      <c r="F85" s="67"/>
      <c r="G85" s="67"/>
      <c r="H85" s="67"/>
      <c r="I85" s="67"/>
      <c r="J85" s="67"/>
      <c r="K85" s="67"/>
    </row>
    <row r="86" spans="1:11" s="1292" customFormat="1" ht="15" hidden="1" customHeight="1" outlineLevel="1">
      <c r="A86" s="60"/>
      <c r="B86" s="70" t="s">
        <v>599</v>
      </c>
      <c r="C86" s="67"/>
      <c r="D86" s="67"/>
      <c r="E86" s="67"/>
      <c r="F86" s="67"/>
      <c r="G86" s="67"/>
      <c r="H86" s="67"/>
      <c r="I86" s="67"/>
      <c r="J86" s="67"/>
      <c r="K86" s="67"/>
    </row>
    <row r="87" spans="1:11" s="1292" customFormat="1" ht="15" hidden="1" customHeight="1" outlineLevel="1">
      <c r="A87" s="60"/>
      <c r="B87" s="70" t="s">
        <v>600</v>
      </c>
      <c r="C87" s="67"/>
      <c r="D87" s="67"/>
      <c r="E87" s="67"/>
      <c r="F87" s="67"/>
      <c r="G87" s="67"/>
      <c r="H87" s="67"/>
      <c r="I87" s="67"/>
      <c r="J87" s="67"/>
      <c r="K87" s="67"/>
    </row>
    <row r="88" spans="1:11" s="1292" customFormat="1" ht="15" hidden="1" customHeight="1" outlineLevel="1">
      <c r="A88" s="60"/>
      <c r="B88" s="70" t="s">
        <v>601</v>
      </c>
      <c r="C88" s="67"/>
      <c r="D88" s="67"/>
      <c r="E88" s="67"/>
      <c r="F88" s="67"/>
      <c r="G88" s="67"/>
      <c r="H88" s="67"/>
      <c r="I88" s="67"/>
      <c r="J88" s="67"/>
      <c r="K88" s="67"/>
    </row>
    <row r="89" spans="1:11" s="1292" customFormat="1" ht="15" hidden="1" customHeight="1" outlineLevel="1">
      <c r="A89" s="60"/>
      <c r="B89" s="70" t="s">
        <v>26</v>
      </c>
      <c r="C89" s="67"/>
      <c r="D89" s="67"/>
      <c r="E89" s="67"/>
      <c r="F89" s="67"/>
      <c r="G89" s="67"/>
      <c r="H89" s="67"/>
      <c r="I89" s="67"/>
      <c r="J89" s="67"/>
      <c r="K89" s="67"/>
    </row>
    <row r="90" spans="1:11" s="1292" customFormat="1" ht="15" hidden="1" customHeight="1" outlineLevel="1">
      <c r="A90" s="60" t="s">
        <v>434</v>
      </c>
      <c r="B90" s="70" t="s">
        <v>602</v>
      </c>
      <c r="C90" s="67"/>
      <c r="D90" s="67"/>
      <c r="E90" s="67"/>
      <c r="F90" s="67"/>
      <c r="G90" s="67"/>
      <c r="H90" s="67"/>
      <c r="I90" s="67"/>
      <c r="J90" s="67"/>
      <c r="K90" s="67"/>
    </row>
    <row r="91" spans="1:11" s="1292" customFormat="1" ht="15" hidden="1" customHeight="1" outlineLevel="1">
      <c r="A91" s="60"/>
      <c r="B91" s="70" t="s">
        <v>26</v>
      </c>
      <c r="C91" s="67"/>
      <c r="D91" s="67"/>
      <c r="E91" s="67"/>
      <c r="F91" s="67"/>
      <c r="G91" s="67"/>
      <c r="H91" s="67"/>
      <c r="I91" s="67"/>
      <c r="J91" s="67"/>
      <c r="K91" s="67"/>
    </row>
    <row r="92" spans="1:11" s="1292" customFormat="1" ht="60" collapsed="1">
      <c r="A92" s="256" t="s">
        <v>603</v>
      </c>
      <c r="B92" s="257" t="s">
        <v>604</v>
      </c>
      <c r="C92" s="258">
        <f>'4.6_генерация (свод)'!H93</f>
        <v>3759264.4151701145</v>
      </c>
      <c r="D92" s="269">
        <f>'4.1 (свод)'!BF20</f>
        <v>1549.3610000000001</v>
      </c>
      <c r="E92" s="259"/>
      <c r="F92" s="269">
        <f>'4.3_свод'!W8</f>
        <v>451.67099999999999</v>
      </c>
      <c r="G92" s="258"/>
      <c r="H92" s="258">
        <f>'4.6_свод'!H10</f>
        <v>1787015.8852061974</v>
      </c>
      <c r="I92" s="259">
        <f>C92/D92</f>
        <v>2426.3321557533163</v>
      </c>
      <c r="J92" s="259">
        <f>H92/D92</f>
        <v>1153.3889682302558</v>
      </c>
      <c r="K92" s="259">
        <f>(C92-H92)/(F92*12)</f>
        <v>363.88000151362331</v>
      </c>
    </row>
    <row r="93" spans="1:11" s="1292" customFormat="1" ht="15" customHeight="1">
      <c r="A93" s="824"/>
      <c r="B93" s="807" t="s">
        <v>596</v>
      </c>
      <c r="C93" s="806">
        <f>F93/F92*C92</f>
        <v>3750983.0154497554</v>
      </c>
      <c r="D93" s="871">
        <f>'4.1 (свод)'!BG20</f>
        <v>1545.94</v>
      </c>
      <c r="E93" s="853"/>
      <c r="F93" s="871">
        <f>'4.3_свод'!W9</f>
        <v>450.67599999999999</v>
      </c>
      <c r="G93" s="853"/>
      <c r="H93" s="806">
        <f>H92-H95</f>
        <v>1783079.2127039111</v>
      </c>
      <c r="I93" s="855">
        <f>C93/D93</f>
        <v>2426.3444994306087</v>
      </c>
      <c r="J93" s="855">
        <f>H93/D93</f>
        <v>1153.394835959941</v>
      </c>
      <c r="K93" s="855">
        <f>(C93-H93)/(F93*12)</f>
        <v>363.88000151362326</v>
      </c>
    </row>
    <row r="94" spans="1:11" s="1292" customFormat="1" ht="15" customHeight="1">
      <c r="A94" s="60"/>
      <c r="B94" s="70" t="s">
        <v>597</v>
      </c>
      <c r="C94" s="67"/>
      <c r="D94" s="872"/>
      <c r="E94" s="67"/>
      <c r="F94" s="872"/>
      <c r="G94" s="67"/>
      <c r="H94" s="67"/>
      <c r="I94" s="67"/>
      <c r="J94" s="67"/>
      <c r="K94" s="67"/>
    </row>
    <row r="95" spans="1:11" s="1292" customFormat="1" ht="15" customHeight="1">
      <c r="A95" s="824"/>
      <c r="B95" s="807" t="s">
        <v>598</v>
      </c>
      <c r="C95" s="806">
        <f>C92-C93</f>
        <v>8281.399720359128</v>
      </c>
      <c r="D95" s="871">
        <f>'4.1 (свод)'!BB20</f>
        <v>4.1630000000000003</v>
      </c>
      <c r="E95" s="853"/>
      <c r="F95" s="871">
        <f>'4.3_свод'!W15</f>
        <v>0.99500000000000011</v>
      </c>
      <c r="G95" s="853"/>
      <c r="H95" s="806">
        <f>F95/F92*H92</f>
        <v>3936.6725022863247</v>
      </c>
      <c r="I95" s="855">
        <f>C95/D95</f>
        <v>1989.2865050106</v>
      </c>
      <c r="J95" s="855">
        <f>H95/D95</f>
        <v>945.63355807982816</v>
      </c>
      <c r="K95" s="855">
        <f>(C95-H95)/(F95*12)</f>
        <v>363.88000151363508</v>
      </c>
    </row>
    <row r="96" spans="1:11" s="1292" customFormat="1" ht="15" customHeight="1">
      <c r="A96" s="60"/>
      <c r="B96" s="70" t="s">
        <v>599</v>
      </c>
      <c r="C96" s="67"/>
      <c r="D96" s="67"/>
      <c r="E96" s="67"/>
      <c r="F96" s="67"/>
      <c r="G96" s="67"/>
      <c r="H96" s="67"/>
      <c r="I96" s="67"/>
      <c r="J96" s="67"/>
      <c r="K96" s="67"/>
    </row>
    <row r="97" spans="1:11" s="1292" customFormat="1" ht="15" customHeight="1">
      <c r="A97" s="60"/>
      <c r="B97" s="70" t="s">
        <v>600</v>
      </c>
      <c r="C97" s="67"/>
      <c r="D97" s="67"/>
      <c r="E97" s="67"/>
      <c r="F97" s="67"/>
      <c r="G97" s="67"/>
      <c r="H97" s="67"/>
      <c r="I97" s="67"/>
      <c r="J97" s="67"/>
      <c r="K97" s="67"/>
    </row>
    <row r="98" spans="1:11" s="1292" customFormat="1" ht="15" customHeight="1">
      <c r="A98" s="60"/>
      <c r="B98" s="70" t="s">
        <v>601</v>
      </c>
      <c r="C98" s="67"/>
      <c r="D98" s="67"/>
      <c r="E98" s="67"/>
      <c r="F98" s="67"/>
      <c r="G98" s="67"/>
      <c r="H98" s="67"/>
      <c r="I98" s="67"/>
      <c r="J98" s="67"/>
      <c r="K98" s="67"/>
    </row>
    <row r="99" spans="1:11" s="1292" customFormat="1" ht="15" customHeight="1">
      <c r="A99" s="99"/>
      <c r="B99" s="100"/>
      <c r="C99" s="45"/>
      <c r="D99" s="45"/>
      <c r="E99" s="45"/>
      <c r="F99" s="45"/>
      <c r="G99" s="45"/>
      <c r="H99" s="45"/>
      <c r="I99" s="45"/>
      <c r="J99" s="45"/>
      <c r="K99" s="45"/>
    </row>
    <row r="100" spans="1:11" s="1588" customFormat="1" ht="15" customHeight="1">
      <c r="A100" s="1992" t="s">
        <v>1833</v>
      </c>
      <c r="B100" s="1992"/>
      <c r="C100" s="1992"/>
      <c r="D100" s="1992"/>
      <c r="E100" s="1992"/>
      <c r="F100" s="1992"/>
      <c r="G100" s="1992"/>
      <c r="H100" s="1992"/>
      <c r="I100" s="1992"/>
      <c r="J100" s="1992"/>
      <c r="K100" s="1992"/>
    </row>
    <row r="101" spans="1:11" s="1588" customFormat="1" ht="15" hidden="1" customHeight="1" outlineLevel="1">
      <c r="A101" s="60" t="s">
        <v>4</v>
      </c>
      <c r="B101" s="61" t="s">
        <v>48</v>
      </c>
      <c r="C101" s="67"/>
      <c r="D101" s="67"/>
      <c r="E101" s="67"/>
      <c r="F101" s="67"/>
      <c r="G101" s="67"/>
      <c r="H101" s="67"/>
      <c r="I101" s="67"/>
      <c r="J101" s="67"/>
      <c r="K101" s="67"/>
    </row>
    <row r="102" spans="1:11" s="1588" customFormat="1" ht="15" hidden="1" customHeight="1" outlineLevel="1">
      <c r="A102" s="60"/>
      <c r="B102" s="70" t="s">
        <v>596</v>
      </c>
      <c r="C102" s="250"/>
      <c r="D102" s="67"/>
      <c r="E102" s="67"/>
      <c r="F102" s="67"/>
      <c r="G102" s="67"/>
      <c r="H102" s="250"/>
      <c r="I102" s="251"/>
      <c r="J102" s="251"/>
      <c r="K102" s="251"/>
    </row>
    <row r="103" spans="1:11" s="1588" customFormat="1" ht="15" hidden="1" customHeight="1" outlineLevel="1">
      <c r="A103" s="60"/>
      <c r="B103" s="70" t="s">
        <v>597</v>
      </c>
      <c r="C103" s="67"/>
      <c r="D103" s="67"/>
      <c r="E103" s="67"/>
      <c r="F103" s="67"/>
      <c r="G103" s="67"/>
      <c r="H103" s="67"/>
      <c r="I103" s="67"/>
      <c r="J103" s="67"/>
      <c r="K103" s="67"/>
    </row>
    <row r="104" spans="1:11" s="1588" customFormat="1" ht="15" hidden="1" customHeight="1" outlineLevel="1">
      <c r="A104" s="60"/>
      <c r="B104" s="70" t="s">
        <v>598</v>
      </c>
      <c r="C104" s="67"/>
      <c r="D104" s="67"/>
      <c r="E104" s="67"/>
      <c r="F104" s="67"/>
      <c r="G104" s="67"/>
      <c r="H104" s="67"/>
      <c r="I104" s="67"/>
      <c r="J104" s="67"/>
      <c r="K104" s="67"/>
    </row>
    <row r="105" spans="1:11" s="1588" customFormat="1" ht="15" hidden="1" customHeight="1" outlineLevel="1">
      <c r="A105" s="60"/>
      <c r="B105" s="70" t="s">
        <v>599</v>
      </c>
      <c r="C105" s="67"/>
      <c r="D105" s="67"/>
      <c r="E105" s="67"/>
      <c r="F105" s="67"/>
      <c r="G105" s="67"/>
      <c r="H105" s="67"/>
      <c r="I105" s="67"/>
      <c r="J105" s="67"/>
      <c r="K105" s="67"/>
    </row>
    <row r="106" spans="1:11" s="1588" customFormat="1" ht="15" hidden="1" customHeight="1" outlineLevel="1">
      <c r="A106" s="60"/>
      <c r="B106" s="70" t="s">
        <v>600</v>
      </c>
      <c r="C106" s="67"/>
      <c r="D106" s="67"/>
      <c r="E106" s="67"/>
      <c r="F106" s="67"/>
      <c r="G106" s="67"/>
      <c r="H106" s="67"/>
      <c r="I106" s="67"/>
      <c r="J106" s="67"/>
      <c r="K106" s="67"/>
    </row>
    <row r="107" spans="1:11" s="1588" customFormat="1" ht="15" hidden="1" customHeight="1" outlineLevel="1">
      <c r="A107" s="60"/>
      <c r="B107" s="70" t="s">
        <v>601</v>
      </c>
      <c r="C107" s="67"/>
      <c r="D107" s="67"/>
      <c r="E107" s="67"/>
      <c r="F107" s="67"/>
      <c r="G107" s="67"/>
      <c r="H107" s="67"/>
      <c r="I107" s="67"/>
      <c r="J107" s="67"/>
      <c r="K107" s="67"/>
    </row>
    <row r="108" spans="1:11" s="1588" customFormat="1" ht="15" hidden="1" customHeight="1" outlineLevel="1">
      <c r="A108" s="60"/>
      <c r="B108" s="70" t="s">
        <v>26</v>
      </c>
      <c r="C108" s="67"/>
      <c r="D108" s="67"/>
      <c r="E108" s="67"/>
      <c r="F108" s="67"/>
      <c r="G108" s="67"/>
      <c r="H108" s="67"/>
      <c r="I108" s="67"/>
      <c r="J108" s="67"/>
      <c r="K108" s="67"/>
    </row>
    <row r="109" spans="1:11" s="1588" customFormat="1" ht="15" hidden="1" customHeight="1" outlineLevel="1">
      <c r="A109" s="60" t="s">
        <v>434</v>
      </c>
      <c r="B109" s="70" t="s">
        <v>602</v>
      </c>
      <c r="C109" s="67"/>
      <c r="D109" s="67"/>
      <c r="E109" s="67"/>
      <c r="F109" s="67"/>
      <c r="G109" s="67"/>
      <c r="H109" s="67"/>
      <c r="I109" s="67"/>
      <c r="J109" s="67"/>
      <c r="K109" s="67"/>
    </row>
    <row r="110" spans="1:11" s="1588" customFormat="1" ht="15" hidden="1" customHeight="1" outlineLevel="1">
      <c r="A110" s="60"/>
      <c r="B110" s="70" t="s">
        <v>26</v>
      </c>
      <c r="C110" s="67"/>
      <c r="D110" s="67"/>
      <c r="E110" s="67"/>
      <c r="F110" s="67"/>
      <c r="G110" s="67"/>
      <c r="H110" s="67"/>
      <c r="I110" s="67"/>
      <c r="J110" s="67"/>
      <c r="K110" s="67"/>
    </row>
    <row r="111" spans="1:11" s="1588" customFormat="1" ht="60" collapsed="1">
      <c r="A111" s="256" t="s">
        <v>603</v>
      </c>
      <c r="B111" s="257" t="s">
        <v>604</v>
      </c>
      <c r="C111" s="258">
        <f>'4.6_генерация (свод)'!I93</f>
        <v>3967279.6098118704</v>
      </c>
      <c r="D111" s="269">
        <f>'4.1 (свод)'!BQ20</f>
        <v>1587.9150000000002</v>
      </c>
      <c r="E111" s="259"/>
      <c r="F111" s="269">
        <f>'4.3_свод'!AA8</f>
        <v>451.67099999999999</v>
      </c>
      <c r="G111" s="258"/>
      <c r="H111" s="258">
        <f>'4.6_свод'!I10</f>
        <v>2092516</v>
      </c>
      <c r="I111" s="259">
        <f>C111/D111</f>
        <v>2498.4206395253336</v>
      </c>
      <c r="J111" s="259">
        <f>H111/D111</f>
        <v>1317.7758255322228</v>
      </c>
      <c r="K111" s="259">
        <f>(C111-H111)/(F111*12)</f>
        <v>345.89402644326486</v>
      </c>
    </row>
    <row r="112" spans="1:11" s="1588" customFormat="1" ht="15" customHeight="1">
      <c r="A112" s="824"/>
      <c r="B112" s="807" t="s">
        <v>596</v>
      </c>
      <c r="C112" s="806">
        <f>F112/F111*C111</f>
        <v>3958539.9669927326</v>
      </c>
      <c r="D112" s="871">
        <f>'4.1 (свод)'!BR20</f>
        <v>1583.7504852938803</v>
      </c>
      <c r="E112" s="853"/>
      <c r="F112" s="871">
        <f>'4.3_свод'!AA9</f>
        <v>450.67599999999999</v>
      </c>
      <c r="G112" s="853"/>
      <c r="H112" s="806">
        <f>H111-H114</f>
        <v>2087906.3318565947</v>
      </c>
      <c r="I112" s="855">
        <f>C112/D112</f>
        <v>2499.471983592281</v>
      </c>
      <c r="J112" s="855">
        <f>H112/D112</f>
        <v>1318.3303501682358</v>
      </c>
      <c r="K112" s="855">
        <f>(C112-H112)/(F112*12)</f>
        <v>345.89402644326486</v>
      </c>
    </row>
    <row r="113" spans="1:11" s="1588" customFormat="1" ht="15" customHeight="1">
      <c r="A113" s="60"/>
      <c r="B113" s="70" t="s">
        <v>597</v>
      </c>
      <c r="C113" s="67"/>
      <c r="D113" s="872"/>
      <c r="E113" s="67"/>
      <c r="F113" s="872"/>
      <c r="G113" s="67"/>
      <c r="H113" s="67"/>
      <c r="I113" s="67"/>
      <c r="J113" s="67"/>
      <c r="K113" s="67"/>
    </row>
    <row r="114" spans="1:11" s="1588" customFormat="1" ht="15" customHeight="1">
      <c r="A114" s="824"/>
      <c r="B114" s="807" t="s">
        <v>598</v>
      </c>
      <c r="C114" s="806">
        <f>C111-C112</f>
        <v>8739.6428191377781</v>
      </c>
      <c r="D114" s="871">
        <f>'4.1 (свод)'!BV20</f>
        <v>4.164514706119661</v>
      </c>
      <c r="E114" s="853"/>
      <c r="F114" s="871">
        <f>'4.3_свод'!AA13</f>
        <v>0.99500000000000011</v>
      </c>
      <c r="G114" s="853"/>
      <c r="H114" s="806">
        <f>F114/F111*H111</f>
        <v>4609.6681434052662</v>
      </c>
      <c r="I114" s="855">
        <f>C114/D114</f>
        <v>2098.5981406897349</v>
      </c>
      <c r="J114" s="855">
        <f>H114/D114</f>
        <v>1106.8920315328608</v>
      </c>
      <c r="K114" s="855">
        <f>(C114-H114)/(F114*12)</f>
        <v>345.89402644325889</v>
      </c>
    </row>
    <row r="115" spans="1:11" s="1588" customFormat="1" ht="15" customHeight="1">
      <c r="A115" s="60"/>
      <c r="B115" s="70" t="s">
        <v>599</v>
      </c>
      <c r="C115" s="67"/>
      <c r="D115" s="67"/>
      <c r="E115" s="67"/>
      <c r="F115" s="67"/>
      <c r="G115" s="67"/>
      <c r="H115" s="67"/>
      <c r="I115" s="67"/>
      <c r="J115" s="67"/>
      <c r="K115" s="67"/>
    </row>
    <row r="116" spans="1:11" s="1588" customFormat="1" ht="15" customHeight="1">
      <c r="A116" s="60"/>
      <c r="B116" s="70" t="s">
        <v>600</v>
      </c>
      <c r="C116" s="67"/>
      <c r="D116" s="67"/>
      <c r="E116" s="67"/>
      <c r="F116" s="67"/>
      <c r="G116" s="67"/>
      <c r="H116" s="67"/>
      <c r="I116" s="67"/>
      <c r="J116" s="67"/>
      <c r="K116" s="67"/>
    </row>
    <row r="117" spans="1:11" s="1588" customFormat="1" ht="15" customHeight="1">
      <c r="A117" s="60"/>
      <c r="B117" s="70" t="s">
        <v>601</v>
      </c>
      <c r="C117" s="67"/>
      <c r="D117" s="67"/>
      <c r="E117" s="67"/>
      <c r="F117" s="67"/>
      <c r="G117" s="67"/>
      <c r="H117" s="67"/>
      <c r="I117" s="67"/>
      <c r="J117" s="67"/>
      <c r="K117" s="67"/>
    </row>
    <row r="118" spans="1:11" s="1588" customFormat="1" ht="15" customHeight="1">
      <c r="A118" s="99"/>
      <c r="B118" s="100"/>
      <c r="C118" s="45"/>
      <c r="D118" s="45"/>
      <c r="E118" s="45"/>
      <c r="F118" s="45"/>
      <c r="G118" s="45"/>
      <c r="H118" s="45"/>
      <c r="I118" s="45"/>
      <c r="J118" s="45"/>
      <c r="K118" s="45"/>
    </row>
    <row r="119" spans="1:11" s="1588" customFormat="1" ht="15" customHeight="1">
      <c r="A119" s="1992" t="s">
        <v>1834</v>
      </c>
      <c r="B119" s="1992"/>
      <c r="C119" s="1992"/>
      <c r="D119" s="1992"/>
      <c r="E119" s="1992"/>
      <c r="F119" s="1992"/>
      <c r="G119" s="1992"/>
      <c r="H119" s="1992"/>
      <c r="I119" s="1992"/>
      <c r="J119" s="1992"/>
      <c r="K119" s="1992"/>
    </row>
    <row r="120" spans="1:11" s="1588" customFormat="1" ht="15" hidden="1" customHeight="1" outlineLevel="1">
      <c r="A120" s="60" t="s">
        <v>4</v>
      </c>
      <c r="B120" s="61" t="s">
        <v>48</v>
      </c>
      <c r="C120" s="67"/>
      <c r="D120" s="67"/>
      <c r="E120" s="67"/>
      <c r="F120" s="67"/>
      <c r="G120" s="67"/>
      <c r="H120" s="67"/>
      <c r="I120" s="67"/>
      <c r="J120" s="67"/>
      <c r="K120" s="67"/>
    </row>
    <row r="121" spans="1:11" s="1588" customFormat="1" ht="15" hidden="1" customHeight="1" outlineLevel="1">
      <c r="A121" s="60"/>
      <c r="B121" s="70" t="s">
        <v>596</v>
      </c>
      <c r="C121" s="250"/>
      <c r="D121" s="67"/>
      <c r="E121" s="67"/>
      <c r="F121" s="67"/>
      <c r="G121" s="67"/>
      <c r="H121" s="250"/>
      <c r="I121" s="251"/>
      <c r="J121" s="251"/>
      <c r="K121" s="251"/>
    </row>
    <row r="122" spans="1:11" s="1588" customFormat="1" ht="15" hidden="1" customHeight="1" outlineLevel="1">
      <c r="A122" s="60"/>
      <c r="B122" s="70" t="s">
        <v>597</v>
      </c>
      <c r="C122" s="67"/>
      <c r="D122" s="67"/>
      <c r="E122" s="67"/>
      <c r="F122" s="67"/>
      <c r="G122" s="67"/>
      <c r="H122" s="67"/>
      <c r="I122" s="67"/>
      <c r="J122" s="67"/>
      <c r="K122" s="67"/>
    </row>
    <row r="123" spans="1:11" s="1588" customFormat="1" ht="15" hidden="1" customHeight="1" outlineLevel="1">
      <c r="A123" s="60"/>
      <c r="B123" s="70" t="s">
        <v>598</v>
      </c>
      <c r="C123" s="67"/>
      <c r="D123" s="67"/>
      <c r="E123" s="67"/>
      <c r="F123" s="67"/>
      <c r="G123" s="67"/>
      <c r="H123" s="67"/>
      <c r="I123" s="67"/>
      <c r="J123" s="67"/>
      <c r="K123" s="67"/>
    </row>
    <row r="124" spans="1:11" s="1588" customFormat="1" ht="15" hidden="1" customHeight="1" outlineLevel="1">
      <c r="A124" s="60"/>
      <c r="B124" s="70" t="s">
        <v>599</v>
      </c>
      <c r="C124" s="67"/>
      <c r="D124" s="67"/>
      <c r="E124" s="67"/>
      <c r="F124" s="67"/>
      <c r="G124" s="67"/>
      <c r="H124" s="67"/>
      <c r="I124" s="67"/>
      <c r="J124" s="67"/>
      <c r="K124" s="67"/>
    </row>
    <row r="125" spans="1:11" s="1588" customFormat="1" ht="15" hidden="1" customHeight="1" outlineLevel="1">
      <c r="A125" s="60"/>
      <c r="B125" s="70" t="s">
        <v>600</v>
      </c>
      <c r="C125" s="67"/>
      <c r="D125" s="67"/>
      <c r="E125" s="67"/>
      <c r="F125" s="67"/>
      <c r="G125" s="67"/>
      <c r="H125" s="67"/>
      <c r="I125" s="67"/>
      <c r="J125" s="67"/>
      <c r="K125" s="67"/>
    </row>
    <row r="126" spans="1:11" s="1588" customFormat="1" ht="15" hidden="1" customHeight="1" outlineLevel="1">
      <c r="A126" s="60"/>
      <c r="B126" s="70" t="s">
        <v>601</v>
      </c>
      <c r="C126" s="67"/>
      <c r="D126" s="67"/>
      <c r="E126" s="67"/>
      <c r="F126" s="67"/>
      <c r="G126" s="67"/>
      <c r="H126" s="67"/>
      <c r="I126" s="67"/>
      <c r="J126" s="67"/>
      <c r="K126" s="67"/>
    </row>
    <row r="127" spans="1:11" s="1588" customFormat="1" ht="15" hidden="1" customHeight="1" outlineLevel="1">
      <c r="A127" s="60"/>
      <c r="B127" s="70" t="s">
        <v>26</v>
      </c>
      <c r="C127" s="67"/>
      <c r="D127" s="67"/>
      <c r="E127" s="67"/>
      <c r="F127" s="67"/>
      <c r="G127" s="67"/>
      <c r="H127" s="67"/>
      <c r="I127" s="67"/>
      <c r="J127" s="67"/>
      <c r="K127" s="67"/>
    </row>
    <row r="128" spans="1:11" s="1588" customFormat="1" ht="15" hidden="1" customHeight="1" outlineLevel="1">
      <c r="A128" s="60" t="s">
        <v>434</v>
      </c>
      <c r="B128" s="70" t="s">
        <v>602</v>
      </c>
      <c r="C128" s="67"/>
      <c r="D128" s="67"/>
      <c r="E128" s="67"/>
      <c r="F128" s="67"/>
      <c r="G128" s="67"/>
      <c r="H128" s="67"/>
      <c r="I128" s="67"/>
      <c r="J128" s="67"/>
      <c r="K128" s="67"/>
    </row>
    <row r="129" spans="1:11" s="1588" customFormat="1" ht="15" hidden="1" customHeight="1" outlineLevel="1">
      <c r="A129" s="60"/>
      <c r="B129" s="70" t="s">
        <v>26</v>
      </c>
      <c r="C129" s="67"/>
      <c r="D129" s="67"/>
      <c r="E129" s="67"/>
      <c r="F129" s="67"/>
      <c r="G129" s="67"/>
      <c r="H129" s="67"/>
      <c r="I129" s="67"/>
      <c r="J129" s="67"/>
      <c r="K129" s="67"/>
    </row>
    <row r="130" spans="1:11" s="1588" customFormat="1" ht="60" collapsed="1">
      <c r="A130" s="256" t="s">
        <v>603</v>
      </c>
      <c r="B130" s="257" t="s">
        <v>604</v>
      </c>
      <c r="C130" s="258">
        <f>'4.6_генерация (свод)'!J93</f>
        <v>3964292.3643493694</v>
      </c>
      <c r="D130" s="269">
        <f>'4.1 (свод)'!CB20</f>
        <v>1573.4630000000002</v>
      </c>
      <c r="E130" s="259"/>
      <c r="F130" s="269">
        <f>'4.3_свод'!AE8</f>
        <v>451.67099999999999</v>
      </c>
      <c r="G130" s="258"/>
      <c r="H130" s="258">
        <f>'4.6_свод'!J10</f>
        <v>2017682.1726247889</v>
      </c>
      <c r="I130" s="259">
        <f>C130/D130</f>
        <v>2519.4697074855708</v>
      </c>
      <c r="J130" s="259">
        <f>H130/D130</f>
        <v>1282.3194270375527</v>
      </c>
      <c r="K130" s="259">
        <f>(C130-H130)/(F130*12)</f>
        <v>359.14972618797395</v>
      </c>
    </row>
    <row r="131" spans="1:11" s="1588" customFormat="1" ht="15" customHeight="1">
      <c r="A131" s="824"/>
      <c r="B131" s="807" t="s">
        <v>596</v>
      </c>
      <c r="C131" s="806">
        <f>F131/F130*C130</f>
        <v>3955559.3022255502</v>
      </c>
      <c r="D131" s="871">
        <f>'4.1 (свод)'!CC20</f>
        <v>1569.367</v>
      </c>
      <c r="E131" s="853"/>
      <c r="F131" s="871">
        <f>'4.3_свод'!AE9</f>
        <v>450.67599999999999</v>
      </c>
      <c r="G131" s="853"/>
      <c r="H131" s="806">
        <f>H130-H133</f>
        <v>2013237.3582316539</v>
      </c>
      <c r="I131" s="855">
        <f>C131/D131</f>
        <v>2520.4807430164838</v>
      </c>
      <c r="J131" s="855">
        <f>H131/D131</f>
        <v>1282.8340077443033</v>
      </c>
      <c r="K131" s="855">
        <f>(C131-H131)/(F131*12)</f>
        <v>359.14972618797395</v>
      </c>
    </row>
    <row r="132" spans="1:11" s="1588" customFormat="1" ht="15" customHeight="1">
      <c r="A132" s="60"/>
      <c r="B132" s="70" t="s">
        <v>597</v>
      </c>
      <c r="C132" s="67"/>
      <c r="D132" s="872"/>
      <c r="E132" s="67"/>
      <c r="F132" s="872"/>
      <c r="G132" s="67"/>
      <c r="H132" s="67"/>
      <c r="I132" s="67"/>
      <c r="J132" s="67"/>
      <c r="K132" s="67"/>
    </row>
    <row r="133" spans="1:11" s="1588" customFormat="1" ht="15" customHeight="1">
      <c r="A133" s="824"/>
      <c r="B133" s="807" t="s">
        <v>598</v>
      </c>
      <c r="C133" s="806">
        <f>C130-C131</f>
        <v>8733.0621238192543</v>
      </c>
      <c r="D133" s="871">
        <f>'4.1 (свод)'!CG20</f>
        <v>4.0959999999999965</v>
      </c>
      <c r="E133" s="853"/>
      <c r="F133" s="871">
        <f>'4.3_свод'!AE13</f>
        <v>0.99500000000000011</v>
      </c>
      <c r="G133" s="853"/>
      <c r="H133" s="806">
        <f>F133/F130*H130</f>
        <v>4444.8143931349705</v>
      </c>
      <c r="I133" s="855">
        <f>C133/D133</f>
        <v>2132.095245073062</v>
      </c>
      <c r="J133" s="855">
        <f>H133/D133</f>
        <v>1085.1597639489682</v>
      </c>
      <c r="K133" s="855">
        <f>(C133-H133)/(F133*12)</f>
        <v>359.14972618796344</v>
      </c>
    </row>
    <row r="134" spans="1:11" s="1588" customFormat="1" ht="15" customHeight="1">
      <c r="A134" s="60"/>
      <c r="B134" s="70" t="s">
        <v>599</v>
      </c>
      <c r="C134" s="67"/>
      <c r="D134" s="67"/>
      <c r="E134" s="67"/>
      <c r="F134" s="67"/>
      <c r="G134" s="67"/>
      <c r="H134" s="67"/>
      <c r="I134" s="67"/>
      <c r="J134" s="67"/>
      <c r="K134" s="67"/>
    </row>
    <row r="135" spans="1:11" s="1588" customFormat="1" ht="15" customHeight="1">
      <c r="A135" s="60"/>
      <c r="B135" s="70" t="s">
        <v>600</v>
      </c>
      <c r="C135" s="67"/>
      <c r="D135" s="67"/>
      <c r="E135" s="67"/>
      <c r="F135" s="67"/>
      <c r="G135" s="67"/>
      <c r="H135" s="67"/>
      <c r="I135" s="67"/>
      <c r="J135" s="67"/>
      <c r="K135" s="67"/>
    </row>
    <row r="136" spans="1:11" s="1588" customFormat="1" ht="15" customHeight="1">
      <c r="A136" s="60"/>
      <c r="B136" s="70" t="s">
        <v>601</v>
      </c>
      <c r="C136" s="67"/>
      <c r="D136" s="67"/>
      <c r="E136" s="67"/>
      <c r="F136" s="67"/>
      <c r="G136" s="67"/>
      <c r="H136" s="67"/>
      <c r="I136" s="67"/>
      <c r="J136" s="67"/>
      <c r="K136" s="67"/>
    </row>
    <row r="137" spans="1:11" s="773" customFormat="1" ht="15">
      <c r="A137" s="1992" t="s">
        <v>1688</v>
      </c>
      <c r="B137" s="1992"/>
      <c r="C137" s="1992"/>
      <c r="D137" s="1992"/>
      <c r="E137" s="1992"/>
      <c r="F137" s="1992"/>
      <c r="G137" s="1992"/>
      <c r="H137" s="1992"/>
      <c r="I137" s="1992"/>
      <c r="J137" s="1992"/>
      <c r="K137" s="1992"/>
    </row>
    <row r="138" spans="1:11" s="773" customFormat="1" ht="15" hidden="1" customHeight="1" outlineLevel="1">
      <c r="A138" s="60" t="s">
        <v>4</v>
      </c>
      <c r="B138" s="61" t="s">
        <v>48</v>
      </c>
      <c r="C138" s="67"/>
      <c r="D138" s="67"/>
      <c r="E138" s="67"/>
      <c r="F138" s="67"/>
      <c r="G138" s="67"/>
      <c r="H138" s="67"/>
      <c r="I138" s="67"/>
      <c r="J138" s="67"/>
      <c r="K138" s="67"/>
    </row>
    <row r="139" spans="1:11" s="773" customFormat="1" ht="15" hidden="1" customHeight="1" outlineLevel="1">
      <c r="A139" s="60"/>
      <c r="B139" s="70" t="s">
        <v>596</v>
      </c>
      <c r="C139" s="250"/>
      <c r="D139" s="67"/>
      <c r="E139" s="67"/>
      <c r="F139" s="67"/>
      <c r="G139" s="67"/>
      <c r="H139" s="250"/>
      <c r="I139" s="251"/>
      <c r="J139" s="251"/>
      <c r="K139" s="251"/>
    </row>
    <row r="140" spans="1:11" s="773" customFormat="1" ht="18" hidden="1" customHeight="1" outlineLevel="1">
      <c r="A140" s="60"/>
      <c r="B140" s="70" t="s">
        <v>597</v>
      </c>
      <c r="C140" s="67"/>
      <c r="D140" s="67"/>
      <c r="E140" s="67"/>
      <c r="F140" s="67"/>
      <c r="G140" s="67"/>
      <c r="H140" s="67"/>
      <c r="I140" s="67"/>
      <c r="J140" s="67"/>
      <c r="K140" s="67"/>
    </row>
    <row r="141" spans="1:11" s="773" customFormat="1" ht="18" hidden="1" customHeight="1" outlineLevel="1">
      <c r="A141" s="60"/>
      <c r="B141" s="70" t="s">
        <v>598</v>
      </c>
      <c r="C141" s="67"/>
      <c r="D141" s="67"/>
      <c r="E141" s="67"/>
      <c r="F141" s="67"/>
      <c r="G141" s="67"/>
      <c r="H141" s="67"/>
      <c r="I141" s="67"/>
      <c r="J141" s="67"/>
      <c r="K141" s="67"/>
    </row>
    <row r="142" spans="1:11" s="773" customFormat="1" ht="18" hidden="1" customHeight="1" outlineLevel="1">
      <c r="A142" s="60"/>
      <c r="B142" s="70" t="s">
        <v>599</v>
      </c>
      <c r="C142" s="67"/>
      <c r="D142" s="67"/>
      <c r="E142" s="67"/>
      <c r="F142" s="67"/>
      <c r="G142" s="67"/>
      <c r="H142" s="67"/>
      <c r="I142" s="67"/>
      <c r="J142" s="67"/>
      <c r="K142" s="67"/>
    </row>
    <row r="143" spans="1:11" s="773" customFormat="1" ht="18" hidden="1" customHeight="1" outlineLevel="1">
      <c r="A143" s="60"/>
      <c r="B143" s="70" t="s">
        <v>600</v>
      </c>
      <c r="C143" s="67"/>
      <c r="D143" s="67"/>
      <c r="E143" s="67"/>
      <c r="F143" s="67"/>
      <c r="G143" s="67"/>
      <c r="H143" s="67"/>
      <c r="I143" s="67"/>
      <c r="J143" s="67"/>
      <c r="K143" s="67"/>
    </row>
    <row r="144" spans="1:11" s="773" customFormat="1" ht="15" hidden="1" customHeight="1" outlineLevel="1">
      <c r="A144" s="60"/>
      <c r="B144" s="70" t="s">
        <v>601</v>
      </c>
      <c r="C144" s="67"/>
      <c r="D144" s="67"/>
      <c r="E144" s="67"/>
      <c r="F144" s="67"/>
      <c r="G144" s="67"/>
      <c r="H144" s="67"/>
      <c r="I144" s="67"/>
      <c r="J144" s="67"/>
      <c r="K144" s="67"/>
    </row>
    <row r="145" spans="1:12" s="773" customFormat="1" ht="15" hidden="1" outlineLevel="1">
      <c r="A145" s="60"/>
      <c r="B145" s="70" t="s">
        <v>26</v>
      </c>
      <c r="C145" s="67"/>
      <c r="D145" s="67"/>
      <c r="E145" s="67"/>
      <c r="F145" s="67"/>
      <c r="G145" s="67"/>
      <c r="H145" s="67"/>
      <c r="I145" s="67"/>
      <c r="J145" s="67"/>
      <c r="K145" s="67"/>
    </row>
    <row r="146" spans="1:12" s="773" customFormat="1" ht="15" hidden="1" customHeight="1" outlineLevel="1">
      <c r="A146" s="60" t="s">
        <v>434</v>
      </c>
      <c r="B146" s="70" t="s">
        <v>602</v>
      </c>
      <c r="C146" s="67"/>
      <c r="D146" s="67"/>
      <c r="E146" s="67"/>
      <c r="F146" s="67"/>
      <c r="G146" s="67"/>
      <c r="H146" s="67"/>
      <c r="I146" s="67"/>
      <c r="J146" s="67"/>
      <c r="K146" s="67"/>
    </row>
    <row r="147" spans="1:12" s="773" customFormat="1" ht="15" hidden="1" outlineLevel="1">
      <c r="A147" s="60"/>
      <c r="B147" s="70" t="s">
        <v>26</v>
      </c>
      <c r="C147" s="67"/>
      <c r="D147" s="67"/>
      <c r="E147" s="67"/>
      <c r="F147" s="67"/>
      <c r="G147" s="67"/>
      <c r="H147" s="67"/>
      <c r="I147" s="67"/>
      <c r="J147" s="67"/>
      <c r="K147" s="67"/>
    </row>
    <row r="148" spans="1:12" s="108" customFormat="1" ht="60.75" customHeight="1" collapsed="1">
      <c r="A148" s="256" t="s">
        <v>603</v>
      </c>
      <c r="B148" s="257" t="s">
        <v>604</v>
      </c>
      <c r="C148" s="258">
        <f>'4.6_генерация (свод)'!K93</f>
        <v>5438295.8218759848</v>
      </c>
      <c r="D148" s="269">
        <f>'4.1 (свод)'!CM20</f>
        <v>1573.9169999999999</v>
      </c>
      <c r="E148" s="259"/>
      <c r="F148" s="269">
        <f>'4.3_свод'!AI8</f>
        <v>451.67099999999999</v>
      </c>
      <c r="G148" s="258"/>
      <c r="H148" s="258">
        <f>'4.6_свод'!K10</f>
        <v>2156455.0063246526</v>
      </c>
      <c r="I148" s="259">
        <f>C148/D148</f>
        <v>3455.262140173837</v>
      </c>
      <c r="J148" s="259">
        <f>H148/D148</f>
        <v>1370.1199023357983</v>
      </c>
      <c r="K148" s="259">
        <f>(C148-H148)/(F148*12)</f>
        <v>605.49987630217061</v>
      </c>
    </row>
    <row r="149" spans="1:12" s="854" customFormat="1" ht="15" customHeight="1">
      <c r="A149" s="824"/>
      <c r="B149" s="807" t="s">
        <v>596</v>
      </c>
      <c r="C149" s="806">
        <f>F149/F148*C148</f>
        <v>5426315.631997142</v>
      </c>
      <c r="D149" s="871">
        <f>'4.1 (свод)'!CN20</f>
        <v>1569.8209999999999</v>
      </c>
      <c r="E149" s="853"/>
      <c r="F149" s="871">
        <f>'4.3_свод'!AI9</f>
        <v>450.67599999999999</v>
      </c>
      <c r="G149" s="853"/>
      <c r="H149" s="806">
        <f>H148-H151</f>
        <v>2151704.4849688583</v>
      </c>
      <c r="I149" s="855">
        <f>C149/D149</f>
        <v>3456.6460965913579</v>
      </c>
      <c r="J149" s="855">
        <f>H149/D149</f>
        <v>1370.6686844989706</v>
      </c>
      <c r="K149" s="855">
        <f>(C149-H149)/(F149*12)</f>
        <v>605.49987630217049</v>
      </c>
      <c r="L149" s="856">
        <f>C149-H149</f>
        <v>3274611.1470282837</v>
      </c>
    </row>
    <row r="150" spans="1:12" s="773" customFormat="1" ht="20.25" customHeight="1">
      <c r="A150" s="60"/>
      <c r="B150" s="70" t="s">
        <v>597</v>
      </c>
      <c r="C150" s="67"/>
      <c r="D150" s="872"/>
      <c r="E150" s="67"/>
      <c r="F150" s="872"/>
      <c r="G150" s="67"/>
      <c r="H150" s="67"/>
      <c r="I150" s="67"/>
      <c r="J150" s="67"/>
      <c r="K150" s="67"/>
    </row>
    <row r="151" spans="1:12" s="854" customFormat="1" ht="18" customHeight="1">
      <c r="A151" s="824"/>
      <c r="B151" s="807" t="s">
        <v>598</v>
      </c>
      <c r="C151" s="806">
        <f>C148-C149</f>
        <v>11980.189878842793</v>
      </c>
      <c r="D151" s="871">
        <f>'4.1 (свод)'!CT20</f>
        <v>4.0960000000000036</v>
      </c>
      <c r="E151" s="853"/>
      <c r="F151" s="871">
        <f>'4.3_свод'!AI15</f>
        <v>0.99500000000000011</v>
      </c>
      <c r="G151" s="853"/>
      <c r="H151" s="806">
        <f>F151/F148*H148</f>
        <v>4750.521355794438</v>
      </c>
      <c r="I151" s="855">
        <f>C151/D151</f>
        <v>2924.8510446393511</v>
      </c>
      <c r="J151" s="855">
        <f>H151/D151</f>
        <v>1159.7952528795004</v>
      </c>
      <c r="K151" s="855">
        <f>(C151-H151)/(F151*12)</f>
        <v>605.49987630220721</v>
      </c>
    </row>
    <row r="152" spans="1:12" s="773" customFormat="1" ht="17.25" customHeight="1">
      <c r="A152" s="60"/>
      <c r="B152" s="70" t="s">
        <v>599</v>
      </c>
      <c r="C152" s="67"/>
      <c r="D152" s="67"/>
      <c r="E152" s="67"/>
      <c r="F152" s="67"/>
      <c r="G152" s="67"/>
      <c r="H152" s="67"/>
      <c r="I152" s="67"/>
      <c r="J152" s="67"/>
      <c r="K152" s="67"/>
    </row>
    <row r="153" spans="1:12" s="773" customFormat="1" ht="18" customHeight="1">
      <c r="A153" s="60"/>
      <c r="B153" s="70" t="s">
        <v>600</v>
      </c>
      <c r="C153" s="67"/>
      <c r="D153" s="67"/>
      <c r="E153" s="67"/>
      <c r="F153" s="67"/>
      <c r="G153" s="67"/>
      <c r="H153" s="67"/>
      <c r="I153" s="67"/>
      <c r="J153" s="67"/>
      <c r="K153" s="67"/>
    </row>
    <row r="154" spans="1:12" s="773" customFormat="1" ht="15" customHeight="1">
      <c r="A154" s="60"/>
      <c r="B154" s="70" t="s">
        <v>601</v>
      </c>
      <c r="C154" s="67"/>
      <c r="D154" s="67"/>
      <c r="E154" s="67"/>
      <c r="F154" s="67"/>
      <c r="G154" s="67"/>
      <c r="H154" s="67"/>
      <c r="I154" s="67"/>
      <c r="J154" s="67"/>
      <c r="K154" s="67"/>
    </row>
    <row r="155" spans="1:12" s="773" customFormat="1" ht="15" customHeight="1">
      <c r="A155" s="99"/>
      <c r="B155" s="100"/>
      <c r="C155" s="45"/>
      <c r="D155" s="45"/>
      <c r="E155" s="45"/>
      <c r="F155" s="45"/>
      <c r="G155" s="45"/>
      <c r="H155" s="45"/>
      <c r="I155" s="45"/>
      <c r="J155" s="45"/>
      <c r="K155" s="45"/>
    </row>
    <row r="156" spans="1:12" s="773" customFormat="1" ht="15" hidden="1" customHeight="1" outlineLevel="1">
      <c r="A156" s="99"/>
      <c r="B156" s="100"/>
      <c r="C156" s="45"/>
      <c r="D156" s="45"/>
      <c r="E156" s="45"/>
      <c r="F156" s="45"/>
      <c r="G156" s="45"/>
      <c r="H156" s="45"/>
      <c r="I156" s="45"/>
      <c r="J156" s="45"/>
      <c r="K156" s="45"/>
    </row>
    <row r="157" spans="1:12" s="773" customFormat="1" ht="15" hidden="1" customHeight="1" outlineLevel="1">
      <c r="A157" s="99"/>
      <c r="B157" s="100"/>
      <c r="C157" s="45"/>
      <c r="D157" s="45"/>
      <c r="E157" s="45"/>
      <c r="F157" s="45"/>
      <c r="G157" s="45"/>
      <c r="H157" s="45"/>
      <c r="I157" s="45"/>
      <c r="J157" s="45"/>
      <c r="K157" s="45"/>
    </row>
    <row r="158" spans="1:12" s="773" customFormat="1" ht="15" collapsed="1">
      <c r="A158" s="1992" t="s">
        <v>1848</v>
      </c>
      <c r="B158" s="1992"/>
      <c r="C158" s="1992"/>
      <c r="D158" s="1992"/>
      <c r="E158" s="1992"/>
      <c r="F158" s="1992"/>
      <c r="G158" s="1992"/>
      <c r="H158" s="1992"/>
      <c r="I158" s="1992"/>
      <c r="J158" s="1992"/>
      <c r="K158" s="1992"/>
    </row>
    <row r="159" spans="1:12" s="773" customFormat="1" ht="15" hidden="1" customHeight="1" outlineLevel="1">
      <c r="A159" s="60" t="s">
        <v>4</v>
      </c>
      <c r="B159" s="61" t="s">
        <v>48</v>
      </c>
      <c r="C159" s="67"/>
      <c r="D159" s="67"/>
      <c r="E159" s="67"/>
      <c r="F159" s="67"/>
      <c r="G159" s="67"/>
      <c r="H159" s="67"/>
      <c r="I159" s="67"/>
      <c r="J159" s="67"/>
      <c r="K159" s="67"/>
    </row>
    <row r="160" spans="1:12" s="773" customFormat="1" ht="15" hidden="1" customHeight="1" outlineLevel="1">
      <c r="A160" s="60"/>
      <c r="B160" s="70" t="s">
        <v>596</v>
      </c>
      <c r="C160" s="250"/>
      <c r="D160" s="67"/>
      <c r="E160" s="67"/>
      <c r="F160" s="67"/>
      <c r="G160" s="67"/>
      <c r="H160" s="250"/>
      <c r="I160" s="251"/>
      <c r="J160" s="251"/>
      <c r="K160" s="251"/>
    </row>
    <row r="161" spans="1:11" s="773" customFormat="1" ht="18" hidden="1" customHeight="1" outlineLevel="1">
      <c r="A161" s="60"/>
      <c r="B161" s="70" t="s">
        <v>597</v>
      </c>
      <c r="C161" s="67"/>
      <c r="D161" s="67"/>
      <c r="E161" s="67"/>
      <c r="F161" s="67"/>
      <c r="G161" s="67"/>
      <c r="H161" s="67"/>
      <c r="I161" s="67"/>
      <c r="J161" s="67"/>
      <c r="K161" s="67"/>
    </row>
    <row r="162" spans="1:11" s="773" customFormat="1" ht="18" hidden="1" customHeight="1" outlineLevel="1">
      <c r="A162" s="60"/>
      <c r="B162" s="70" t="s">
        <v>598</v>
      </c>
      <c r="C162" s="67"/>
      <c r="D162" s="67"/>
      <c r="E162" s="67"/>
      <c r="F162" s="67"/>
      <c r="G162" s="67"/>
      <c r="H162" s="67"/>
      <c r="I162" s="67"/>
      <c r="J162" s="67"/>
      <c r="K162" s="67"/>
    </row>
    <row r="163" spans="1:11" s="773" customFormat="1" ht="18" hidden="1" customHeight="1" outlineLevel="1">
      <c r="A163" s="60"/>
      <c r="B163" s="70" t="s">
        <v>599</v>
      </c>
      <c r="C163" s="67"/>
      <c r="D163" s="67"/>
      <c r="E163" s="67"/>
      <c r="F163" s="67"/>
      <c r="G163" s="67"/>
      <c r="H163" s="67"/>
      <c r="I163" s="67"/>
      <c r="J163" s="67"/>
      <c r="K163" s="67"/>
    </row>
    <row r="164" spans="1:11" s="773" customFormat="1" ht="18" hidden="1" customHeight="1" outlineLevel="1">
      <c r="A164" s="60"/>
      <c r="B164" s="70" t="s">
        <v>600</v>
      </c>
      <c r="C164" s="67"/>
      <c r="D164" s="67"/>
      <c r="E164" s="67"/>
      <c r="F164" s="67"/>
      <c r="G164" s="67"/>
      <c r="H164" s="67"/>
      <c r="I164" s="67"/>
      <c r="J164" s="67"/>
      <c r="K164" s="67"/>
    </row>
    <row r="165" spans="1:11" s="773" customFormat="1" ht="15" hidden="1" customHeight="1" outlineLevel="1">
      <c r="A165" s="60"/>
      <c r="B165" s="70" t="s">
        <v>601</v>
      </c>
      <c r="C165" s="67"/>
      <c r="D165" s="67"/>
      <c r="E165" s="67"/>
      <c r="F165" s="67"/>
      <c r="G165" s="67"/>
      <c r="H165" s="67"/>
      <c r="I165" s="67"/>
      <c r="J165" s="67"/>
      <c r="K165" s="67"/>
    </row>
    <row r="166" spans="1:11" s="773" customFormat="1" ht="15" hidden="1" outlineLevel="1">
      <c r="A166" s="60"/>
      <c r="B166" s="70" t="s">
        <v>26</v>
      </c>
      <c r="C166" s="67"/>
      <c r="D166" s="67"/>
      <c r="E166" s="67"/>
      <c r="F166" s="67"/>
      <c r="G166" s="67"/>
      <c r="H166" s="67"/>
      <c r="I166" s="67"/>
      <c r="J166" s="67"/>
      <c r="K166" s="67"/>
    </row>
    <row r="167" spans="1:11" s="773" customFormat="1" ht="15" hidden="1" customHeight="1" outlineLevel="1">
      <c r="A167" s="60" t="s">
        <v>434</v>
      </c>
      <c r="B167" s="70" t="s">
        <v>602</v>
      </c>
      <c r="C167" s="67"/>
      <c r="D167" s="67"/>
      <c r="E167" s="67"/>
      <c r="F167" s="67"/>
      <c r="G167" s="67"/>
      <c r="H167" s="67"/>
      <c r="I167" s="67"/>
      <c r="J167" s="67"/>
      <c r="K167" s="67"/>
    </row>
    <row r="168" spans="1:11" s="773" customFormat="1" ht="15" hidden="1" outlineLevel="1">
      <c r="A168" s="60"/>
      <c r="B168" s="70" t="s">
        <v>26</v>
      </c>
      <c r="C168" s="67"/>
      <c r="D168" s="67"/>
      <c r="E168" s="67"/>
      <c r="F168" s="67"/>
      <c r="G168" s="67"/>
      <c r="H168" s="67"/>
      <c r="I168" s="67"/>
      <c r="J168" s="67"/>
      <c r="K168" s="67"/>
    </row>
    <row r="169" spans="1:11" s="108" customFormat="1" ht="60.75" customHeight="1" collapsed="1">
      <c r="A169" s="256" t="s">
        <v>603</v>
      </c>
      <c r="B169" s="257" t="s">
        <v>604</v>
      </c>
      <c r="C169" s="258">
        <f>'4.6_генерация (свод)'!L93</f>
        <v>2435330.3215396963</v>
      </c>
      <c r="D169" s="269">
        <f>'4.1 (свод)'!CX20</f>
        <v>955.19299999999998</v>
      </c>
      <c r="E169" s="259"/>
      <c r="F169" s="269">
        <f>'4.3_свод'!AM8</f>
        <v>451.67099999999999</v>
      </c>
      <c r="G169" s="258"/>
      <c r="H169" s="258">
        <f>'4.6_генерация (свод)'!L10</f>
        <v>1283814.0535755288</v>
      </c>
      <c r="I169" s="259">
        <f>C169/D169</f>
        <v>2549.5688531424503</v>
      </c>
      <c r="J169" s="259">
        <f>H169/D169</f>
        <v>1344.0362875099888</v>
      </c>
      <c r="K169" s="259">
        <f>(C169-H169)/(F169*6)</f>
        <v>424.90967539210607</v>
      </c>
    </row>
    <row r="170" spans="1:11" s="854" customFormat="1" ht="15" customHeight="1">
      <c r="A170" s="824"/>
      <c r="B170" s="807" t="s">
        <v>596</v>
      </c>
      <c r="C170" s="806">
        <f>F170/F169*C169</f>
        <v>2429965.4571363321</v>
      </c>
      <c r="D170" s="871">
        <f>'4.1 (свод)'!CY20</f>
        <v>953.25799999999992</v>
      </c>
      <c r="E170" s="853"/>
      <c r="F170" s="871">
        <f>'4.3_свод'!AM9</f>
        <v>450.67599999999999</v>
      </c>
      <c r="G170" s="853"/>
      <c r="H170" s="806">
        <f>H169-H172</f>
        <v>1280985.8999342553</v>
      </c>
      <c r="I170" s="855">
        <f>C170/D170</f>
        <v>2549.1162488395926</v>
      </c>
      <c r="J170" s="855">
        <f>H170/D170</f>
        <v>1343.79769163674</v>
      </c>
      <c r="K170" s="855">
        <f>(C170-H170)/(F170*6)</f>
        <v>424.90967539210607</v>
      </c>
    </row>
    <row r="171" spans="1:11" s="773" customFormat="1" ht="20.25" customHeight="1">
      <c r="A171" s="60"/>
      <c r="B171" s="70" t="s">
        <v>597</v>
      </c>
      <c r="C171" s="67"/>
      <c r="D171" s="872"/>
      <c r="E171" s="67"/>
      <c r="F171" s="872"/>
      <c r="G171" s="67"/>
      <c r="H171" s="67"/>
      <c r="I171" s="67"/>
      <c r="J171" s="67"/>
      <c r="K171" s="67"/>
    </row>
    <row r="172" spans="1:11" s="854" customFormat="1" ht="18" customHeight="1">
      <c r="A172" s="824"/>
      <c r="B172" s="807" t="s">
        <v>598</v>
      </c>
      <c r="C172" s="806">
        <f>C169-C170</f>
        <v>5364.8644033642486</v>
      </c>
      <c r="D172" s="871">
        <f>'4.1 (свод)'!DE20</f>
        <v>1.9350000000000023</v>
      </c>
      <c r="E172" s="853"/>
      <c r="F172" s="871">
        <f>'4.3_свод'!AM15</f>
        <v>0.99500000000000011</v>
      </c>
      <c r="G172" s="853"/>
      <c r="H172" s="806">
        <f>F172/F169*H169</f>
        <v>2828.1536412735181</v>
      </c>
      <c r="I172" s="855">
        <f>C172/D172</f>
        <v>2772.5397433406938</v>
      </c>
      <c r="J172" s="855">
        <f>H172/D172</f>
        <v>1461.5781091852789</v>
      </c>
      <c r="K172" s="855">
        <f>(C172-H172)/(F172*6)</f>
        <v>424.90967539208208</v>
      </c>
    </row>
    <row r="173" spans="1:11" s="773" customFormat="1" ht="17.25" customHeight="1">
      <c r="A173" s="60"/>
      <c r="B173" s="70" t="s">
        <v>599</v>
      </c>
      <c r="C173" s="67"/>
      <c r="D173" s="67"/>
      <c r="E173" s="67"/>
      <c r="F173" s="67"/>
      <c r="G173" s="67"/>
      <c r="H173" s="67"/>
      <c r="I173" s="67"/>
      <c r="J173" s="67"/>
      <c r="K173" s="67"/>
    </row>
    <row r="174" spans="1:11" s="773" customFormat="1" ht="18" customHeight="1">
      <c r="A174" s="60"/>
      <c r="B174" s="70" t="s">
        <v>600</v>
      </c>
      <c r="C174" s="67"/>
      <c r="D174" s="67"/>
      <c r="E174" s="67"/>
      <c r="F174" s="67"/>
      <c r="G174" s="67"/>
      <c r="H174" s="67"/>
      <c r="I174" s="67"/>
      <c r="J174" s="67"/>
      <c r="K174" s="67"/>
    </row>
    <row r="175" spans="1:11" s="773" customFormat="1" ht="15" customHeight="1">
      <c r="A175" s="60"/>
      <c r="B175" s="70" t="s">
        <v>601</v>
      </c>
      <c r="C175" s="67"/>
      <c r="D175" s="67"/>
      <c r="E175" s="67"/>
      <c r="F175" s="67"/>
      <c r="G175" s="67"/>
      <c r="H175" s="67"/>
      <c r="I175" s="67"/>
      <c r="J175" s="67"/>
      <c r="K175" s="67"/>
    </row>
    <row r="176" spans="1:11" s="773" customFormat="1" ht="15" hidden="1" customHeight="1" outlineLevel="1">
      <c r="A176" s="99"/>
      <c r="B176" s="100"/>
      <c r="C176" s="45"/>
      <c r="D176" s="45"/>
      <c r="E176" s="45"/>
      <c r="F176" s="45"/>
      <c r="G176" s="45"/>
      <c r="H176" s="45"/>
      <c r="I176" s="45"/>
      <c r="J176" s="45"/>
      <c r="K176" s="45"/>
    </row>
    <row r="177" spans="1:11" s="773" customFormat="1" ht="15" hidden="1" customHeight="1" outlineLevel="1">
      <c r="A177" s="99"/>
      <c r="B177" s="100"/>
      <c r="C177" s="45"/>
      <c r="D177" s="45"/>
      <c r="E177" s="45"/>
      <c r="F177" s="45"/>
      <c r="G177" s="45"/>
      <c r="H177" s="45"/>
      <c r="I177" s="45"/>
      <c r="J177" s="45"/>
      <c r="K177" s="45"/>
    </row>
    <row r="178" spans="1:11" s="773" customFormat="1" ht="15" hidden="1" customHeight="1" outlineLevel="1">
      <c r="A178" s="99"/>
      <c r="B178" s="100"/>
      <c r="C178" s="45"/>
      <c r="D178" s="45"/>
      <c r="E178" s="45"/>
      <c r="F178" s="45"/>
      <c r="G178" s="45"/>
      <c r="H178" s="45"/>
      <c r="I178" s="45"/>
      <c r="J178" s="45"/>
      <c r="K178" s="45"/>
    </row>
    <row r="179" spans="1:11" s="773" customFormat="1" ht="15" collapsed="1">
      <c r="A179" s="1992" t="s">
        <v>1849</v>
      </c>
      <c r="B179" s="1992"/>
      <c r="C179" s="1992"/>
      <c r="D179" s="1992"/>
      <c r="E179" s="1992"/>
      <c r="F179" s="1992"/>
      <c r="G179" s="1992"/>
      <c r="H179" s="1992"/>
      <c r="I179" s="1992"/>
      <c r="J179" s="1992"/>
      <c r="K179" s="1992"/>
    </row>
    <row r="180" spans="1:11" s="773" customFormat="1" ht="15" hidden="1" customHeight="1" outlineLevel="1">
      <c r="A180" s="60" t="s">
        <v>4</v>
      </c>
      <c r="B180" s="61" t="s">
        <v>48</v>
      </c>
      <c r="C180" s="67"/>
      <c r="D180" s="67"/>
      <c r="E180" s="67"/>
      <c r="F180" s="67"/>
      <c r="G180" s="67"/>
      <c r="H180" s="67"/>
      <c r="I180" s="67"/>
      <c r="J180" s="67"/>
      <c r="K180" s="67"/>
    </row>
    <row r="181" spans="1:11" s="773" customFormat="1" ht="15" hidden="1" customHeight="1" outlineLevel="1">
      <c r="A181" s="60"/>
      <c r="B181" s="70" t="s">
        <v>596</v>
      </c>
      <c r="C181" s="250"/>
      <c r="D181" s="67"/>
      <c r="E181" s="67"/>
      <c r="F181" s="67"/>
      <c r="G181" s="67"/>
      <c r="H181" s="250"/>
      <c r="I181" s="251"/>
      <c r="J181" s="251"/>
      <c r="K181" s="251"/>
    </row>
    <row r="182" spans="1:11" s="773" customFormat="1" ht="18" hidden="1" customHeight="1" outlineLevel="1">
      <c r="A182" s="60"/>
      <c r="B182" s="70" t="s">
        <v>597</v>
      </c>
      <c r="C182" s="67"/>
      <c r="D182" s="67"/>
      <c r="E182" s="67"/>
      <c r="F182" s="67"/>
      <c r="G182" s="67"/>
      <c r="H182" s="67"/>
      <c r="I182" s="67"/>
      <c r="J182" s="67"/>
      <c r="K182" s="67"/>
    </row>
    <row r="183" spans="1:11" s="773" customFormat="1" ht="18" hidden="1" customHeight="1" outlineLevel="1">
      <c r="A183" s="60"/>
      <c r="B183" s="70" t="s">
        <v>598</v>
      </c>
      <c r="C183" s="67"/>
      <c r="D183" s="67"/>
      <c r="E183" s="67"/>
      <c r="F183" s="67"/>
      <c r="G183" s="67"/>
      <c r="H183" s="67"/>
      <c r="I183" s="67"/>
      <c r="J183" s="67"/>
      <c r="K183" s="67"/>
    </row>
    <row r="184" spans="1:11" s="773" customFormat="1" ht="18" hidden="1" customHeight="1" outlineLevel="1">
      <c r="A184" s="60"/>
      <c r="B184" s="70" t="s">
        <v>599</v>
      </c>
      <c r="C184" s="67"/>
      <c r="D184" s="67"/>
      <c r="E184" s="67"/>
      <c r="F184" s="67"/>
      <c r="G184" s="67"/>
      <c r="H184" s="67"/>
      <c r="I184" s="67"/>
      <c r="J184" s="67"/>
      <c r="K184" s="67"/>
    </row>
    <row r="185" spans="1:11" s="773" customFormat="1" ht="18" hidden="1" customHeight="1" outlineLevel="1">
      <c r="A185" s="60"/>
      <c r="B185" s="70" t="s">
        <v>600</v>
      </c>
      <c r="C185" s="67"/>
      <c r="D185" s="67"/>
      <c r="E185" s="67"/>
      <c r="F185" s="67"/>
      <c r="G185" s="67"/>
      <c r="H185" s="67"/>
      <c r="I185" s="67"/>
      <c r="J185" s="67"/>
      <c r="K185" s="67"/>
    </row>
    <row r="186" spans="1:11" s="773" customFormat="1" ht="15" hidden="1" customHeight="1" outlineLevel="1">
      <c r="A186" s="60"/>
      <c r="B186" s="70" t="s">
        <v>601</v>
      </c>
      <c r="C186" s="67"/>
      <c r="D186" s="67"/>
      <c r="E186" s="67"/>
      <c r="F186" s="67"/>
      <c r="G186" s="67"/>
      <c r="H186" s="67"/>
      <c r="I186" s="67"/>
      <c r="J186" s="67"/>
      <c r="K186" s="67"/>
    </row>
    <row r="187" spans="1:11" s="773" customFormat="1" ht="15" hidden="1" outlineLevel="1">
      <c r="A187" s="60"/>
      <c r="B187" s="70" t="s">
        <v>26</v>
      </c>
      <c r="C187" s="67"/>
      <c r="D187" s="67"/>
      <c r="E187" s="67"/>
      <c r="F187" s="67"/>
      <c r="G187" s="67"/>
      <c r="H187" s="67"/>
      <c r="I187" s="67"/>
      <c r="J187" s="67"/>
      <c r="K187" s="67"/>
    </row>
    <row r="188" spans="1:11" s="773" customFormat="1" ht="15" hidden="1" customHeight="1" outlineLevel="1">
      <c r="A188" s="60" t="s">
        <v>434</v>
      </c>
      <c r="B188" s="70" t="s">
        <v>602</v>
      </c>
      <c r="C188" s="67"/>
      <c r="D188" s="67"/>
      <c r="E188" s="67"/>
      <c r="F188" s="67"/>
      <c r="G188" s="67"/>
      <c r="H188" s="67"/>
      <c r="I188" s="67"/>
      <c r="J188" s="67"/>
      <c r="K188" s="67"/>
    </row>
    <row r="189" spans="1:11" s="773" customFormat="1" ht="15" hidden="1" outlineLevel="1">
      <c r="A189" s="60"/>
      <c r="B189" s="70" t="s">
        <v>26</v>
      </c>
      <c r="C189" s="67"/>
      <c r="D189" s="67"/>
      <c r="E189" s="67"/>
      <c r="F189" s="67"/>
      <c r="G189" s="67"/>
      <c r="H189" s="67"/>
      <c r="I189" s="67"/>
      <c r="J189" s="67"/>
      <c r="K189" s="67"/>
    </row>
    <row r="190" spans="1:11" s="108" customFormat="1" ht="60.75" customHeight="1" collapsed="1">
      <c r="A190" s="256" t="s">
        <v>603</v>
      </c>
      <c r="B190" s="257" t="s">
        <v>604</v>
      </c>
      <c r="C190" s="258">
        <f>'4.6_генерация (свод)'!M93</f>
        <v>3002971.3311122884</v>
      </c>
      <c r="D190" s="269">
        <f>'4.1 (свод)'!DI20</f>
        <v>618.72399999999993</v>
      </c>
      <c r="E190" s="259"/>
      <c r="F190" s="269">
        <f>'4.3_свод'!AQ8</f>
        <v>451.67099999999999</v>
      </c>
      <c r="G190" s="258"/>
      <c r="H190" s="258">
        <f>'4.6_генерация (свод)'!M10</f>
        <v>872640.95274912403</v>
      </c>
      <c r="I190" s="259">
        <f>C190/D190</f>
        <v>4853.4909444474251</v>
      </c>
      <c r="J190" s="259">
        <f>H190/D190</f>
        <v>1410.3880773157728</v>
      </c>
      <c r="K190" s="259">
        <f>(C190-H190)/(F190*6)</f>
        <v>786.0922287694525</v>
      </c>
    </row>
    <row r="191" spans="1:11" s="854" customFormat="1" ht="15" customHeight="1">
      <c r="A191" s="824"/>
      <c r="B191" s="807" t="s">
        <v>596</v>
      </c>
      <c r="C191" s="806">
        <f>F191/F190*C190</f>
        <v>2996355.992792014</v>
      </c>
      <c r="D191" s="871">
        <f>'4.1 (свод)'!DJ20</f>
        <v>616.56299999999999</v>
      </c>
      <c r="E191" s="853"/>
      <c r="F191" s="871">
        <f>'4.3_свод'!AQ9</f>
        <v>450.67599999999999</v>
      </c>
      <c r="G191" s="853"/>
      <c r="H191" s="806">
        <f>H190-H193</f>
        <v>870718.58503460314</v>
      </c>
      <c r="I191" s="855">
        <f>C191/D191</f>
        <v>4859.7726311699116</v>
      </c>
      <c r="J191" s="855">
        <f>H191/D191</f>
        <v>1412.213488377673</v>
      </c>
      <c r="K191" s="855">
        <f>(C191-H191)/(F191*6)</f>
        <v>786.0922287694525</v>
      </c>
    </row>
    <row r="192" spans="1:11" s="773" customFormat="1" ht="20.25" customHeight="1">
      <c r="A192" s="60"/>
      <c r="B192" s="70" t="s">
        <v>597</v>
      </c>
      <c r="C192" s="67"/>
      <c r="D192" s="872"/>
      <c r="E192" s="67"/>
      <c r="F192" s="872"/>
      <c r="G192" s="67"/>
      <c r="H192" s="67"/>
      <c r="I192" s="67"/>
      <c r="J192" s="67"/>
      <c r="K192" s="67"/>
    </row>
    <row r="193" spans="1:11" s="854" customFormat="1" ht="18" customHeight="1">
      <c r="A193" s="824"/>
      <c r="B193" s="807" t="s">
        <v>598</v>
      </c>
      <c r="C193" s="806">
        <f>C190-C191</f>
        <v>6615.3383202743717</v>
      </c>
      <c r="D193" s="871">
        <f>'4.1 (свод)'!DP20</f>
        <v>2.1610000000000014</v>
      </c>
      <c r="E193" s="853"/>
      <c r="F193" s="871">
        <f>'4.3_свод'!AQ15</f>
        <v>0.99500000000000011</v>
      </c>
      <c r="G193" s="853"/>
      <c r="H193" s="806">
        <f>F193/F190*H190</f>
        <v>1922.3677145209201</v>
      </c>
      <c r="I193" s="855">
        <f>C193/D193</f>
        <v>3061.2393892986429</v>
      </c>
      <c r="J193" s="855">
        <f>H193/D193</f>
        <v>889.57321356821797</v>
      </c>
      <c r="K193" s="855">
        <f>(C193-H193)/(F193*6)</f>
        <v>786.09222876942226</v>
      </c>
    </row>
    <row r="194" spans="1:11" s="773" customFormat="1" ht="17.25" customHeight="1">
      <c r="A194" s="60"/>
      <c r="B194" s="70" t="s">
        <v>599</v>
      </c>
      <c r="C194" s="67"/>
      <c r="D194" s="67"/>
      <c r="E194" s="67"/>
      <c r="F194" s="67"/>
      <c r="G194" s="67"/>
      <c r="H194" s="67"/>
      <c r="I194" s="67"/>
      <c r="J194" s="67"/>
      <c r="K194" s="67"/>
    </row>
    <row r="195" spans="1:11" s="773" customFormat="1" ht="18" customHeight="1">
      <c r="A195" s="60"/>
      <c r="B195" s="70" t="s">
        <v>600</v>
      </c>
      <c r="C195" s="67"/>
      <c r="D195" s="67"/>
      <c r="E195" s="67"/>
      <c r="F195" s="67"/>
      <c r="G195" s="67"/>
      <c r="H195" s="67"/>
      <c r="I195" s="67"/>
      <c r="J195" s="67"/>
      <c r="K195" s="67"/>
    </row>
    <row r="196" spans="1:11" s="773" customFormat="1" ht="15" customHeight="1">
      <c r="A196" s="60"/>
      <c r="B196" s="70" t="s">
        <v>601</v>
      </c>
      <c r="C196" s="67"/>
      <c r="D196" s="67"/>
      <c r="E196" s="67"/>
      <c r="F196" s="67"/>
      <c r="G196" s="67"/>
      <c r="H196" s="67"/>
      <c r="I196" s="67"/>
      <c r="J196" s="67"/>
      <c r="K196" s="67"/>
    </row>
    <row r="197" spans="1:11" s="773" customFormat="1" ht="15" hidden="1" customHeight="1" outlineLevel="1">
      <c r="A197" s="99"/>
      <c r="B197" s="100"/>
      <c r="C197" s="45"/>
      <c r="D197" s="45"/>
      <c r="E197" s="45"/>
      <c r="F197" s="45"/>
      <c r="G197" s="45"/>
      <c r="H197" s="45"/>
      <c r="I197" s="45"/>
      <c r="J197" s="45"/>
      <c r="K197" s="45"/>
    </row>
    <row r="198" spans="1:11" s="773" customFormat="1" ht="15" hidden="1" customHeight="1" outlineLevel="1">
      <c r="A198" s="99"/>
      <c r="B198" s="100"/>
      <c r="C198" s="45"/>
      <c r="D198" s="45"/>
      <c r="E198" s="45"/>
      <c r="F198" s="45"/>
      <c r="G198" s="45"/>
      <c r="H198" s="45"/>
      <c r="I198" s="45"/>
      <c r="J198" s="45"/>
      <c r="K198" s="45"/>
    </row>
    <row r="199" spans="1:11" s="773" customFormat="1" ht="15" hidden="1" customHeight="1" outlineLevel="1">
      <c r="A199" s="99"/>
      <c r="B199" s="100"/>
      <c r="C199" s="45"/>
      <c r="D199" s="45"/>
      <c r="E199" s="45"/>
      <c r="F199" s="45"/>
      <c r="G199" s="45"/>
      <c r="H199" s="45"/>
      <c r="I199" s="45"/>
      <c r="J199" s="45"/>
      <c r="K199" s="45"/>
    </row>
    <row r="200" spans="1:11" s="773" customFormat="1" ht="15" hidden="1" customHeight="1" outlineLevel="1">
      <c r="A200" s="99"/>
      <c r="B200" s="100"/>
      <c r="C200" s="45"/>
      <c r="D200" s="45"/>
      <c r="E200" s="45"/>
      <c r="F200" s="45"/>
      <c r="G200" s="45"/>
      <c r="H200" s="45"/>
      <c r="I200" s="45"/>
      <c r="J200" s="45"/>
      <c r="K200" s="45"/>
    </row>
    <row r="201" spans="1:11" s="773" customFormat="1" ht="15" hidden="1" customHeight="1" outlineLevel="1">
      <c r="A201" s="99"/>
      <c r="B201" s="100"/>
      <c r="C201" s="45"/>
      <c r="D201" s="45"/>
      <c r="E201" s="45"/>
      <c r="F201" s="45"/>
      <c r="G201" s="45"/>
      <c r="H201" s="45"/>
      <c r="I201" s="45"/>
      <c r="J201" s="45"/>
      <c r="K201" s="45"/>
    </row>
    <row r="202" spans="1:11" s="773" customFormat="1" ht="15" hidden="1" customHeight="1" outlineLevel="1">
      <c r="A202" s="99"/>
      <c r="B202" s="100"/>
      <c r="C202" s="45"/>
      <c r="D202" s="45"/>
      <c r="E202" s="45"/>
      <c r="F202" s="45"/>
      <c r="G202" s="45"/>
      <c r="H202" s="45"/>
      <c r="I202" s="45"/>
      <c r="J202" s="45"/>
      <c r="K202" s="45"/>
    </row>
    <row r="203" spans="1:11" s="773" customFormat="1" ht="15" hidden="1" outlineLevel="1">
      <c r="A203" s="99"/>
      <c r="B203" s="100"/>
      <c r="C203" s="45"/>
      <c r="D203" s="45"/>
      <c r="E203" s="45"/>
      <c r="F203" s="45"/>
      <c r="G203" s="45"/>
      <c r="H203" s="45"/>
      <c r="I203" s="45"/>
      <c r="J203" s="45"/>
      <c r="K203" s="45"/>
    </row>
    <row r="204" spans="1:11" s="773" customFormat="1" ht="15" hidden="1" outlineLevel="1">
      <c r="A204" s="99"/>
      <c r="B204" s="100"/>
      <c r="C204" s="45"/>
      <c r="D204" s="45"/>
      <c r="E204" s="45"/>
      <c r="F204" s="45"/>
      <c r="G204" s="45"/>
      <c r="H204" s="45"/>
      <c r="I204" s="45"/>
      <c r="J204" s="45"/>
      <c r="K204" s="45"/>
    </row>
    <row r="205" spans="1:11" s="773" customFormat="1" ht="15" hidden="1" outlineLevel="1">
      <c r="A205" s="99"/>
      <c r="B205" s="100"/>
      <c r="C205" s="45"/>
      <c r="D205" s="45"/>
      <c r="E205" s="45"/>
      <c r="F205" s="45"/>
      <c r="G205" s="45"/>
      <c r="H205" s="45"/>
      <c r="I205" s="45"/>
      <c r="J205" s="45"/>
      <c r="K205" s="45"/>
    </row>
    <row r="206" spans="1:11" s="773" customFormat="1" ht="15" hidden="1" outlineLevel="1">
      <c r="A206" s="99"/>
      <c r="B206" s="100"/>
      <c r="C206" s="45"/>
      <c r="D206" s="45"/>
      <c r="E206" s="45"/>
      <c r="F206" s="45"/>
      <c r="G206" s="45"/>
      <c r="H206" s="45"/>
      <c r="I206" s="45"/>
      <c r="J206" s="45"/>
      <c r="K206" s="45"/>
    </row>
    <row r="207" spans="1:11" s="773" customFormat="1" ht="15" hidden="1" outlineLevel="1">
      <c r="A207" s="99"/>
      <c r="B207" s="100"/>
      <c r="C207" s="45"/>
      <c r="D207" s="45"/>
      <c r="E207" s="45"/>
      <c r="F207" s="45"/>
      <c r="G207" s="45"/>
      <c r="H207" s="45"/>
      <c r="I207" s="45"/>
      <c r="J207" s="45"/>
      <c r="K207" s="45"/>
    </row>
    <row r="208" spans="1:11" s="773" customFormat="1" ht="15" hidden="1" outlineLevel="1">
      <c r="A208" s="99"/>
      <c r="B208" s="100"/>
      <c r="C208" s="45"/>
      <c r="D208" s="45"/>
      <c r="E208" s="45"/>
      <c r="F208" s="45"/>
      <c r="G208" s="45"/>
      <c r="H208" s="45"/>
      <c r="I208" s="45"/>
      <c r="J208" s="45"/>
      <c r="K208" s="45"/>
    </row>
    <row r="209" spans="1:11" s="773" customFormat="1" ht="15" hidden="1" outlineLevel="1">
      <c r="A209" s="99"/>
      <c r="B209" s="100"/>
      <c r="C209" s="45"/>
      <c r="D209" s="45"/>
      <c r="E209" s="45"/>
      <c r="F209" s="45"/>
      <c r="G209" s="45"/>
      <c r="H209" s="45"/>
      <c r="I209" s="45"/>
      <c r="J209" s="45"/>
      <c r="K209" s="45"/>
    </row>
    <row r="210" spans="1:11" s="773" customFormat="1" ht="15" hidden="1" outlineLevel="1">
      <c r="A210" s="99"/>
      <c r="B210" s="100"/>
      <c r="C210" s="45"/>
      <c r="D210" s="45"/>
      <c r="E210" s="45"/>
      <c r="F210" s="45"/>
      <c r="G210" s="45"/>
      <c r="H210" s="45"/>
      <c r="I210" s="45"/>
      <c r="J210" s="45"/>
      <c r="K210" s="45"/>
    </row>
    <row r="211" spans="1:11" ht="15" hidden="1" outlineLevel="1"/>
    <row r="212" spans="1:11" s="43" customFormat="1" ht="12.75" collapsed="1">
      <c r="A212" s="43" t="s">
        <v>88</v>
      </c>
    </row>
    <row r="213" spans="1:11" s="44" customFormat="1" ht="15" customHeight="1">
      <c r="A213" s="96" t="s">
        <v>89</v>
      </c>
      <c r="B213" s="44" t="s">
        <v>605</v>
      </c>
    </row>
    <row r="214" spans="1:11" s="44" customFormat="1" ht="15" customHeight="1">
      <c r="A214" s="96" t="s">
        <v>91</v>
      </c>
      <c r="B214" s="44" t="s">
        <v>606</v>
      </c>
    </row>
    <row r="215" spans="1:11" s="44" customFormat="1" ht="15" customHeight="1">
      <c r="B215" s="44" t="s">
        <v>607</v>
      </c>
    </row>
    <row r="216" spans="1:11" s="44" customFormat="1" ht="15" customHeight="1">
      <c r="B216" s="44" t="s">
        <v>608</v>
      </c>
    </row>
    <row r="217" spans="1:11" s="44" customFormat="1" ht="15" customHeight="1">
      <c r="A217" s="96" t="s">
        <v>93</v>
      </c>
      <c r="B217" s="44" t="s">
        <v>609</v>
      </c>
    </row>
    <row r="218" spans="1:11" s="44" customFormat="1" ht="15" customHeight="1">
      <c r="B218" s="44" t="s">
        <v>610</v>
      </c>
    </row>
    <row r="219" spans="1:11" s="44" customFormat="1" ht="15" customHeight="1">
      <c r="B219" s="44" t="s">
        <v>611</v>
      </c>
    </row>
    <row r="220" spans="1:11" s="44" customFormat="1" ht="15" customHeight="1">
      <c r="A220" s="96" t="s">
        <v>95</v>
      </c>
      <c r="B220" s="44" t="s">
        <v>612</v>
      </c>
    </row>
    <row r="221" spans="1:11" s="44" customFormat="1" ht="15" customHeight="1">
      <c r="A221" s="96" t="s">
        <v>97</v>
      </c>
      <c r="B221" s="44" t="s">
        <v>613</v>
      </c>
    </row>
    <row r="222" spans="1:11" s="44" customFormat="1" ht="39.75" customHeight="1">
      <c r="A222" s="96" t="s">
        <v>582</v>
      </c>
      <c r="B222" s="1993" t="s">
        <v>614</v>
      </c>
      <c r="C222" s="1993"/>
      <c r="D222" s="1993"/>
      <c r="E222" s="1993"/>
      <c r="F222" s="1993"/>
      <c r="G222" s="1993"/>
      <c r="H222" s="1993"/>
      <c r="I222" s="1993"/>
      <c r="J222" s="1993"/>
      <c r="K222" s="1993"/>
    </row>
    <row r="223" spans="1:11" s="44" customFormat="1" ht="14.25" customHeight="1">
      <c r="A223" s="96" t="s">
        <v>615</v>
      </c>
      <c r="B223" s="1993" t="s">
        <v>616</v>
      </c>
      <c r="C223" s="1993"/>
      <c r="D223" s="1993"/>
      <c r="E223" s="1993"/>
      <c r="F223" s="1993"/>
      <c r="G223" s="1993"/>
      <c r="H223" s="1993"/>
      <c r="I223" s="1993"/>
      <c r="J223" s="1993"/>
      <c r="K223" s="1993"/>
    </row>
    <row r="224" spans="1:11" s="44" customFormat="1" ht="27.75" customHeight="1">
      <c r="B224" s="97" t="s">
        <v>617</v>
      </c>
      <c r="C224" s="97"/>
      <c r="D224" s="97"/>
      <c r="E224" s="97"/>
      <c r="F224" s="97"/>
      <c r="G224" s="97"/>
      <c r="H224" s="97"/>
      <c r="I224" s="97"/>
      <c r="J224" s="97"/>
      <c r="K224" s="97"/>
    </row>
    <row r="225" spans="2:11" s="44" customFormat="1" ht="27.75" customHeight="1">
      <c r="B225" s="97" t="s">
        <v>618</v>
      </c>
      <c r="C225" s="97"/>
      <c r="D225" s="97"/>
      <c r="E225" s="97"/>
      <c r="F225" s="97"/>
      <c r="G225" s="97"/>
      <c r="H225" s="97"/>
      <c r="I225" s="97"/>
      <c r="J225" s="97"/>
      <c r="K225" s="97"/>
    </row>
    <row r="226" spans="2:11" s="773" customFormat="1" ht="24" customHeight="1"/>
  </sheetData>
  <mergeCells count="13">
    <mergeCell ref="A179:K179"/>
    <mergeCell ref="B222:K222"/>
    <mergeCell ref="B223:K223"/>
    <mergeCell ref="A4:K4"/>
    <mergeCell ref="A8:K8"/>
    <mergeCell ref="A26:K26"/>
    <mergeCell ref="A44:K44"/>
    <mergeCell ref="A137:K137"/>
    <mergeCell ref="A158:K158"/>
    <mergeCell ref="A62:K62"/>
    <mergeCell ref="A81:K81"/>
    <mergeCell ref="A100:K100"/>
    <mergeCell ref="A119:K119"/>
  </mergeCells>
  <pageMargins left="0.87" right="0.31496062992125984" top="0.31496062992125984" bottom="0.19685039370078741" header="0.19685039370078741" footer="0.19685039370078741"/>
  <pageSetup paperSize="9" scale="42" orientation="landscape" r:id="rId1"/>
  <headerFooter alignWithMargins="0"/>
  <rowBreaks count="1" manualBreakCount="1">
    <brk id="136" max="10" man="1"/>
  </rowBreaks>
  <legacy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59999389629810485"/>
  </sheetPr>
  <dimension ref="A1:L227"/>
  <sheetViews>
    <sheetView view="pageBreakPreview" zoomScale="80" zoomScaleNormal="100" zoomScaleSheetLayoutView="80" workbookViewId="0">
      <pane xSplit="2" ySplit="6" topLeftCell="C78" activePane="bottomRight" state="frozen"/>
      <selection activeCell="F148" sqref="F148"/>
      <selection pane="topRight" activeCell="F148" sqref="F148"/>
      <selection pane="bottomLeft" activeCell="F148" sqref="F148"/>
      <selection pane="bottomRight" activeCell="F148" sqref="F148"/>
    </sheetView>
  </sheetViews>
  <sheetFormatPr defaultColWidth="0.85546875" defaultRowHeight="12" customHeight="1" outlineLevelRow="1"/>
  <cols>
    <col min="1" max="1" width="5.140625" style="26" customWidth="1"/>
    <col min="2" max="2" width="44.5703125" style="26" customWidth="1"/>
    <col min="3" max="3" width="12.85546875" style="26" customWidth="1"/>
    <col min="4" max="4" width="15.42578125" style="26" customWidth="1"/>
    <col min="5" max="5" width="12.85546875" style="26" customWidth="1"/>
    <col min="6" max="6" width="19.140625" style="26" customWidth="1"/>
    <col min="7" max="7" width="14.85546875" style="26" customWidth="1"/>
    <col min="8" max="9" width="12.85546875" style="26" customWidth="1"/>
    <col min="10" max="10" width="14.85546875" style="26" customWidth="1"/>
    <col min="11" max="11" width="18.42578125" style="26" customWidth="1"/>
    <col min="12" max="12" width="12.85546875" style="26" customWidth="1"/>
    <col min="13" max="256" width="3.5703125" style="26" customWidth="1"/>
    <col min="257" max="16384" width="0.85546875" style="26"/>
  </cols>
  <sheetData>
    <row r="1" spans="1:12" ht="18.75" customHeight="1">
      <c r="A1" s="74" t="s">
        <v>765</v>
      </c>
    </row>
    <row r="2" spans="1:12" s="24" customFormat="1" ht="15">
      <c r="A2" s="759" t="str">
        <f>'4.1_КТЭЦ'!A2</f>
        <v>ПКГО - Комбинированная выработка КТЭЦ</v>
      </c>
      <c r="K2" s="25" t="s">
        <v>584</v>
      </c>
    </row>
    <row r="4" spans="1:12" ht="15.75" customHeight="1">
      <c r="A4" s="1968" t="s">
        <v>585</v>
      </c>
      <c r="B4" s="1968"/>
      <c r="C4" s="1968"/>
      <c r="D4" s="1968"/>
      <c r="E4" s="1968"/>
      <c r="F4" s="1968"/>
      <c r="G4" s="1968"/>
      <c r="H4" s="1968"/>
      <c r="I4" s="1968"/>
      <c r="J4" s="1968"/>
      <c r="K4" s="1968"/>
      <c r="L4" s="1311" t="s">
        <v>1703</v>
      </c>
    </row>
    <row r="5" spans="1:12" ht="12.75" customHeight="1">
      <c r="A5" s="27"/>
      <c r="B5" s="27"/>
      <c r="C5" s="27"/>
      <c r="D5" s="27"/>
      <c r="E5" s="27"/>
      <c r="F5" s="27"/>
      <c r="G5" s="27"/>
      <c r="H5" s="27"/>
    </row>
    <row r="6" spans="1:12" s="31" customFormat="1" ht="120">
      <c r="A6" s="772" t="s">
        <v>0</v>
      </c>
      <c r="B6" s="772" t="s">
        <v>586</v>
      </c>
      <c r="C6" s="771" t="s">
        <v>587</v>
      </c>
      <c r="D6" s="771" t="s">
        <v>588</v>
      </c>
      <c r="E6" s="771" t="s">
        <v>589</v>
      </c>
      <c r="F6" s="771" t="s">
        <v>590</v>
      </c>
      <c r="G6" s="771" t="s">
        <v>591</v>
      </c>
      <c r="H6" s="771" t="s">
        <v>592</v>
      </c>
      <c r="I6" s="771" t="s">
        <v>593</v>
      </c>
      <c r="J6" s="771" t="s">
        <v>594</v>
      </c>
      <c r="K6" s="771" t="s">
        <v>935</v>
      </c>
    </row>
    <row r="7" spans="1:12" s="48" customFormat="1" ht="15">
      <c r="A7" s="13">
        <v>1</v>
      </c>
      <c r="B7" s="13">
        <v>2</v>
      </c>
      <c r="C7" s="33">
        <v>3</v>
      </c>
      <c r="D7" s="33">
        <v>4</v>
      </c>
      <c r="E7" s="33">
        <v>5</v>
      </c>
      <c r="F7" s="33">
        <v>6</v>
      </c>
      <c r="G7" s="33">
        <v>7</v>
      </c>
      <c r="H7" s="33">
        <v>8</v>
      </c>
      <c r="I7" s="33">
        <v>9</v>
      </c>
      <c r="J7" s="33">
        <v>10</v>
      </c>
      <c r="K7" s="33">
        <v>11</v>
      </c>
    </row>
    <row r="8" spans="1:12" s="48" customFormat="1" ht="15" hidden="1">
      <c r="A8" s="1992" t="s">
        <v>1129</v>
      </c>
      <c r="B8" s="1992"/>
      <c r="C8" s="1992"/>
      <c r="D8" s="1992"/>
      <c r="E8" s="1992"/>
      <c r="F8" s="1992"/>
      <c r="G8" s="1992"/>
      <c r="H8" s="1992"/>
      <c r="I8" s="1992"/>
      <c r="J8" s="1992"/>
      <c r="K8" s="1992"/>
    </row>
    <row r="9" spans="1:12" s="48" customFormat="1" ht="15" hidden="1">
      <c r="A9" s="60" t="s">
        <v>4</v>
      </c>
      <c r="B9" s="61" t="s">
        <v>48</v>
      </c>
      <c r="C9" s="67"/>
      <c r="D9" s="67"/>
      <c r="E9" s="67"/>
      <c r="F9" s="67"/>
      <c r="G9" s="67"/>
      <c r="H9" s="67"/>
      <c r="I9" s="67"/>
      <c r="J9" s="67"/>
      <c r="K9" s="67"/>
    </row>
    <row r="10" spans="1:12" s="48" customFormat="1" ht="15" hidden="1">
      <c r="A10" s="60"/>
      <c r="B10" s="70" t="s">
        <v>596</v>
      </c>
      <c r="C10" s="67"/>
      <c r="D10" s="67"/>
      <c r="E10" s="67"/>
      <c r="F10" s="67"/>
      <c r="G10" s="67"/>
      <c r="H10" s="67"/>
      <c r="I10" s="67"/>
      <c r="J10" s="67"/>
      <c r="K10" s="67"/>
    </row>
    <row r="11" spans="1:12" s="48" customFormat="1" ht="18" hidden="1">
      <c r="A11" s="60"/>
      <c r="B11" s="70" t="s">
        <v>597</v>
      </c>
      <c r="C11" s="67"/>
      <c r="D11" s="67"/>
      <c r="E11" s="67"/>
      <c r="F11" s="67"/>
      <c r="G11" s="67"/>
      <c r="H11" s="67"/>
      <c r="I11" s="67"/>
      <c r="J11" s="67"/>
      <c r="K11" s="67"/>
    </row>
    <row r="12" spans="1:12" s="48" customFormat="1" ht="18" hidden="1">
      <c r="A12" s="60"/>
      <c r="B12" s="70" t="s">
        <v>598</v>
      </c>
      <c r="C12" s="67"/>
      <c r="D12" s="67"/>
      <c r="E12" s="67"/>
      <c r="F12" s="67"/>
      <c r="G12" s="67"/>
      <c r="H12" s="67"/>
      <c r="I12" s="67"/>
      <c r="J12" s="67"/>
      <c r="K12" s="67"/>
    </row>
    <row r="13" spans="1:12" s="48" customFormat="1" ht="18" hidden="1">
      <c r="A13" s="60"/>
      <c r="B13" s="70" t="s">
        <v>599</v>
      </c>
      <c r="C13" s="67"/>
      <c r="D13" s="67"/>
      <c r="E13" s="67"/>
      <c r="F13" s="67"/>
      <c r="G13" s="67"/>
      <c r="H13" s="67"/>
      <c r="I13" s="67"/>
      <c r="J13" s="67"/>
      <c r="K13" s="67"/>
    </row>
    <row r="14" spans="1:12" s="48" customFormat="1" ht="18" hidden="1">
      <c r="A14" s="60"/>
      <c r="B14" s="70" t="s">
        <v>600</v>
      </c>
      <c r="C14" s="67"/>
      <c r="D14" s="67"/>
      <c r="E14" s="67"/>
      <c r="F14" s="67"/>
      <c r="G14" s="67"/>
      <c r="H14" s="67"/>
      <c r="I14" s="67"/>
      <c r="J14" s="67"/>
      <c r="K14" s="67"/>
    </row>
    <row r="15" spans="1:12" s="48" customFormat="1" ht="15" hidden="1">
      <c r="A15" s="60"/>
      <c r="B15" s="70" t="s">
        <v>601</v>
      </c>
      <c r="C15" s="67"/>
      <c r="D15" s="67"/>
      <c r="E15" s="67"/>
      <c r="F15" s="67"/>
      <c r="G15" s="67"/>
      <c r="H15" s="67"/>
      <c r="I15" s="67"/>
      <c r="J15" s="67"/>
      <c r="K15" s="67"/>
    </row>
    <row r="16" spans="1:12" s="48" customFormat="1" ht="15" hidden="1">
      <c r="A16" s="60"/>
      <c r="B16" s="70" t="s">
        <v>26</v>
      </c>
      <c r="C16" s="67"/>
      <c r="D16" s="67"/>
      <c r="E16" s="67"/>
      <c r="F16" s="67"/>
      <c r="G16" s="67"/>
      <c r="H16" s="67"/>
      <c r="I16" s="67"/>
      <c r="J16" s="67"/>
      <c r="K16" s="67"/>
    </row>
    <row r="17" spans="1:11" s="48" customFormat="1" ht="15" hidden="1">
      <c r="A17" s="60" t="s">
        <v>434</v>
      </c>
      <c r="B17" s="70" t="s">
        <v>602</v>
      </c>
      <c r="C17" s="67"/>
      <c r="D17" s="67"/>
      <c r="E17" s="67"/>
      <c r="F17" s="67"/>
      <c r="G17" s="67"/>
      <c r="H17" s="67"/>
      <c r="I17" s="67"/>
      <c r="J17" s="67"/>
      <c r="K17" s="67"/>
    </row>
    <row r="18" spans="1:11" s="48" customFormat="1" ht="15" hidden="1">
      <c r="A18" s="60"/>
      <c r="B18" s="70" t="s">
        <v>26</v>
      </c>
      <c r="C18" s="67"/>
      <c r="D18" s="67"/>
      <c r="E18" s="67"/>
      <c r="F18" s="67"/>
      <c r="G18" s="67"/>
      <c r="H18" s="67"/>
      <c r="I18" s="67"/>
      <c r="J18" s="67"/>
      <c r="K18" s="67"/>
    </row>
    <row r="19" spans="1:11" s="48" customFormat="1" ht="60" hidden="1">
      <c r="A19" s="256" t="s">
        <v>603</v>
      </c>
      <c r="B19" s="257" t="s">
        <v>604</v>
      </c>
      <c r="C19" s="258">
        <f>C20</f>
        <v>0</v>
      </c>
      <c r="D19" s="259" t="e">
        <f t="shared" ref="D19:K19" si="0">D20</f>
        <v>#REF!</v>
      </c>
      <c r="E19" s="258"/>
      <c r="F19" s="259" t="e">
        <f t="shared" si="0"/>
        <v>#REF!</v>
      </c>
      <c r="G19" s="258"/>
      <c r="H19" s="258" t="e">
        <f t="shared" si="0"/>
        <v>#REF!</v>
      </c>
      <c r="I19" s="259" t="e">
        <f t="shared" si="0"/>
        <v>#REF!</v>
      </c>
      <c r="J19" s="259" t="e">
        <f t="shared" si="0"/>
        <v>#REF!</v>
      </c>
      <c r="K19" s="259" t="e">
        <f t="shared" si="0"/>
        <v>#REF!</v>
      </c>
    </row>
    <row r="20" spans="1:11" s="48" customFormat="1" ht="15" hidden="1">
      <c r="A20" s="60"/>
      <c r="B20" s="70" t="s">
        <v>596</v>
      </c>
      <c r="C20" s="250">
        <f>'[15]4.6_генерация'!D82</f>
        <v>0</v>
      </c>
      <c r="D20" s="67" t="e">
        <f>'[15]4.1'!#REF!</f>
        <v>#REF!</v>
      </c>
      <c r="E20" s="67"/>
      <c r="F20" s="67" t="e">
        <f>'[15]4.3'!#REF!</f>
        <v>#REF!</v>
      </c>
      <c r="G20" s="67"/>
      <c r="H20" s="250" t="e">
        <f>'[15]4.6_генерация'!#REF!</f>
        <v>#REF!</v>
      </c>
      <c r="I20" s="251" t="e">
        <f>C20/D20</f>
        <v>#REF!</v>
      </c>
      <c r="J20" s="251" t="e">
        <f>H20/D20</f>
        <v>#REF!</v>
      </c>
      <c r="K20" s="251" t="e">
        <f>(C20-H20)/(F20*12)</f>
        <v>#REF!</v>
      </c>
    </row>
    <row r="21" spans="1:11" s="48" customFormat="1" ht="18" hidden="1">
      <c r="A21" s="60"/>
      <c r="B21" s="70" t="s">
        <v>597</v>
      </c>
      <c r="C21" s="67"/>
      <c r="D21" s="67"/>
      <c r="E21" s="67"/>
      <c r="F21" s="67"/>
      <c r="G21" s="67"/>
      <c r="H21" s="67"/>
      <c r="I21" s="67"/>
      <c r="J21" s="67"/>
      <c r="K21" s="67"/>
    </row>
    <row r="22" spans="1:11" s="48" customFormat="1" ht="18" hidden="1">
      <c r="A22" s="60"/>
      <c r="B22" s="70" t="s">
        <v>598</v>
      </c>
      <c r="C22" s="67"/>
      <c r="D22" s="67"/>
      <c r="E22" s="67"/>
      <c r="F22" s="67"/>
      <c r="G22" s="67"/>
      <c r="H22" s="67"/>
      <c r="I22" s="67"/>
      <c r="J22" s="67"/>
      <c r="K22" s="67"/>
    </row>
    <row r="23" spans="1:11" s="48" customFormat="1" ht="18" hidden="1">
      <c r="A23" s="60"/>
      <c r="B23" s="70" t="s">
        <v>599</v>
      </c>
      <c r="C23" s="67"/>
      <c r="D23" s="67"/>
      <c r="E23" s="67"/>
      <c r="F23" s="67"/>
      <c r="G23" s="67"/>
      <c r="H23" s="67"/>
      <c r="I23" s="67"/>
      <c r="J23" s="67"/>
      <c r="K23" s="67"/>
    </row>
    <row r="24" spans="1:11" s="48" customFormat="1" ht="18" hidden="1">
      <c r="A24" s="60"/>
      <c r="B24" s="70" t="s">
        <v>600</v>
      </c>
      <c r="C24" s="67"/>
      <c r="D24" s="67"/>
      <c r="E24" s="67"/>
      <c r="F24" s="67"/>
      <c r="G24" s="67"/>
      <c r="H24" s="67"/>
      <c r="I24" s="67"/>
      <c r="J24" s="67"/>
      <c r="K24" s="67"/>
    </row>
    <row r="25" spans="1:11" s="48" customFormat="1" ht="15" hidden="1">
      <c r="A25" s="60"/>
      <c r="B25" s="70" t="s">
        <v>601</v>
      </c>
      <c r="C25" s="67"/>
      <c r="D25" s="67"/>
      <c r="E25" s="67"/>
      <c r="F25" s="67"/>
      <c r="G25" s="67"/>
      <c r="H25" s="67"/>
      <c r="I25" s="67"/>
      <c r="J25" s="67"/>
      <c r="K25" s="67"/>
    </row>
    <row r="26" spans="1:11" s="773" customFormat="1" ht="15">
      <c r="A26" s="1992" t="s">
        <v>1130</v>
      </c>
      <c r="B26" s="1992"/>
      <c r="C26" s="1992"/>
      <c r="D26" s="1992"/>
      <c r="E26" s="1992"/>
      <c r="F26" s="1992"/>
      <c r="G26" s="1992"/>
      <c r="H26" s="1992"/>
      <c r="I26" s="1992"/>
      <c r="J26" s="1992"/>
      <c r="K26" s="1992"/>
    </row>
    <row r="27" spans="1:11" s="773" customFormat="1" ht="15" hidden="1" customHeight="1">
      <c r="A27" s="60" t="s">
        <v>4</v>
      </c>
      <c r="B27" s="61" t="s">
        <v>48</v>
      </c>
      <c r="C27" s="67"/>
      <c r="D27" s="67"/>
      <c r="E27" s="67"/>
      <c r="F27" s="67"/>
      <c r="G27" s="67"/>
      <c r="H27" s="67"/>
      <c r="I27" s="67"/>
      <c r="J27" s="67"/>
      <c r="K27" s="67"/>
    </row>
    <row r="28" spans="1:11" s="773" customFormat="1" ht="15" hidden="1" customHeight="1">
      <c r="A28" s="60"/>
      <c r="B28" s="70" t="s">
        <v>596</v>
      </c>
      <c r="C28" s="67"/>
      <c r="D28" s="67"/>
      <c r="E28" s="67"/>
      <c r="F28" s="67"/>
      <c r="G28" s="67"/>
      <c r="H28" s="67"/>
      <c r="I28" s="67"/>
      <c r="J28" s="67"/>
      <c r="K28" s="67"/>
    </row>
    <row r="29" spans="1:11" s="773" customFormat="1" ht="18" hidden="1" customHeight="1">
      <c r="A29" s="60"/>
      <c r="B29" s="70" t="s">
        <v>597</v>
      </c>
      <c r="C29" s="67"/>
      <c r="D29" s="67"/>
      <c r="E29" s="67"/>
      <c r="F29" s="67"/>
      <c r="G29" s="67"/>
      <c r="H29" s="67"/>
      <c r="I29" s="67"/>
      <c r="J29" s="67"/>
      <c r="K29" s="67"/>
    </row>
    <row r="30" spans="1:11" s="773" customFormat="1" ht="18" hidden="1" customHeight="1">
      <c r="A30" s="60"/>
      <c r="B30" s="70" t="s">
        <v>598</v>
      </c>
      <c r="C30" s="67"/>
      <c r="D30" s="67"/>
      <c r="E30" s="67"/>
      <c r="F30" s="67"/>
      <c r="G30" s="67"/>
      <c r="H30" s="67"/>
      <c r="I30" s="67"/>
      <c r="J30" s="67"/>
      <c r="K30" s="67"/>
    </row>
    <row r="31" spans="1:11" s="773" customFormat="1" ht="18" hidden="1" customHeight="1">
      <c r="A31" s="60"/>
      <c r="B31" s="70" t="s">
        <v>599</v>
      </c>
      <c r="C31" s="67"/>
      <c r="D31" s="67"/>
      <c r="E31" s="67"/>
      <c r="F31" s="67"/>
      <c r="G31" s="67"/>
      <c r="H31" s="67"/>
      <c r="I31" s="67"/>
      <c r="J31" s="67"/>
      <c r="K31" s="67"/>
    </row>
    <row r="32" spans="1:11" s="773" customFormat="1" ht="18" hidden="1" customHeight="1">
      <c r="A32" s="60"/>
      <c r="B32" s="70" t="s">
        <v>600</v>
      </c>
      <c r="C32" s="67"/>
      <c r="D32" s="67"/>
      <c r="E32" s="67"/>
      <c r="F32" s="67"/>
      <c r="G32" s="67"/>
      <c r="H32" s="67"/>
      <c r="I32" s="67"/>
      <c r="J32" s="67"/>
      <c r="K32" s="67"/>
    </row>
    <row r="33" spans="1:11" s="773" customFormat="1" ht="15" hidden="1" customHeight="1">
      <c r="A33" s="60"/>
      <c r="B33" s="70" t="s">
        <v>601</v>
      </c>
      <c r="C33" s="67"/>
      <c r="D33" s="67"/>
      <c r="E33" s="67"/>
      <c r="F33" s="67"/>
      <c r="G33" s="67"/>
      <c r="H33" s="67"/>
      <c r="I33" s="67"/>
      <c r="J33" s="67"/>
      <c r="K33" s="67"/>
    </row>
    <row r="34" spans="1:11" s="773" customFormat="1" ht="15" hidden="1" customHeight="1">
      <c r="A34" s="60"/>
      <c r="B34" s="70" t="s">
        <v>26</v>
      </c>
      <c r="C34" s="67"/>
      <c r="D34" s="67"/>
      <c r="E34" s="67"/>
      <c r="F34" s="67"/>
      <c r="G34" s="67"/>
      <c r="H34" s="67"/>
      <c r="I34" s="67"/>
      <c r="J34" s="67"/>
      <c r="K34" s="67"/>
    </row>
    <row r="35" spans="1:11" s="773" customFormat="1" ht="15" hidden="1" customHeight="1">
      <c r="A35" s="60" t="s">
        <v>434</v>
      </c>
      <c r="B35" s="70" t="s">
        <v>602</v>
      </c>
      <c r="C35" s="67"/>
      <c r="D35" s="67"/>
      <c r="E35" s="67"/>
      <c r="F35" s="67"/>
      <c r="G35" s="67"/>
      <c r="H35" s="67"/>
      <c r="I35" s="67"/>
      <c r="J35" s="67"/>
      <c r="K35" s="67"/>
    </row>
    <row r="36" spans="1:11" s="773" customFormat="1" ht="15" hidden="1" customHeight="1">
      <c r="A36" s="60"/>
      <c r="B36" s="70" t="s">
        <v>26</v>
      </c>
      <c r="C36" s="67"/>
      <c r="D36" s="67"/>
      <c r="E36" s="67"/>
      <c r="F36" s="67"/>
      <c r="G36" s="67"/>
      <c r="H36" s="67"/>
      <c r="I36" s="67"/>
      <c r="J36" s="67"/>
      <c r="K36" s="67"/>
    </row>
    <row r="37" spans="1:11" s="108" customFormat="1" ht="60.75" customHeight="1">
      <c r="A37" s="256" t="s">
        <v>603</v>
      </c>
      <c r="B37" s="257" t="s">
        <v>604</v>
      </c>
      <c r="C37" s="258">
        <f>'4.6_генерация_КТЭЦ с косв.'!D93</f>
        <v>1365280.3693999997</v>
      </c>
      <c r="D37" s="269">
        <f>'4.1_КТЭЦ'!N20</f>
        <v>1140.328</v>
      </c>
      <c r="E37" s="258"/>
      <c r="F37" s="269">
        <f>'4.3_КТЭЦ'!G8</f>
        <v>320.62599999999998</v>
      </c>
      <c r="G37" s="258"/>
      <c r="H37" s="258">
        <f>'4.6_генерация_КТЭЦ с косв.'!D10</f>
        <v>745750.77094999992</v>
      </c>
      <c r="I37" s="259">
        <f>C37/D37</f>
        <v>1197.2698814726989</v>
      </c>
      <c r="J37" s="259">
        <f>H37/D37</f>
        <v>653.97918050771352</v>
      </c>
      <c r="K37" s="259">
        <f>(C37-H37)/(F37*12)</f>
        <v>161.02083591942011</v>
      </c>
    </row>
    <row r="38" spans="1:11" s="854" customFormat="1" ht="15" customHeight="1">
      <c r="A38" s="824"/>
      <c r="B38" s="807" t="s">
        <v>596</v>
      </c>
      <c r="C38" s="806">
        <f>F38/F37*C37</f>
        <v>1363415.2904550696</v>
      </c>
      <c r="D38" s="871">
        <f>'4.1_КТЭЦ'!O20</f>
        <v>1137.6379999999999</v>
      </c>
      <c r="E38" s="853"/>
      <c r="F38" s="871">
        <f>'4.3_КТЭЦ'!G9</f>
        <v>320.18799999999999</v>
      </c>
      <c r="G38" s="853"/>
      <c r="H38" s="806">
        <f>H37-H40</f>
        <v>744732.01751866215</v>
      </c>
      <c r="I38" s="855">
        <f>C38/D38</f>
        <v>1198.4614529886219</v>
      </c>
      <c r="J38" s="855">
        <f>H38/D38</f>
        <v>654.630047096407</v>
      </c>
      <c r="K38" s="855">
        <f>(C38-H38)/(F38*12)</f>
        <v>161.02083591942014</v>
      </c>
    </row>
    <row r="39" spans="1:11" s="773" customFormat="1" ht="18" customHeight="1">
      <c r="A39" s="60"/>
      <c r="B39" s="70" t="s">
        <v>597</v>
      </c>
      <c r="C39" s="67"/>
      <c r="D39" s="872"/>
      <c r="E39" s="67"/>
      <c r="F39" s="872"/>
      <c r="G39" s="67"/>
      <c r="H39" s="67"/>
      <c r="I39" s="67"/>
      <c r="J39" s="67"/>
      <c r="K39" s="67"/>
    </row>
    <row r="40" spans="1:11" s="854" customFormat="1" ht="18" customHeight="1">
      <c r="A40" s="824"/>
      <c r="B40" s="807" t="s">
        <v>598</v>
      </c>
      <c r="C40" s="806">
        <f>C37-C38</f>
        <v>1865.0789449301083</v>
      </c>
      <c r="D40" s="871">
        <f>'4.1_КТЭЦ'!U20</f>
        <v>2.6900000000000013</v>
      </c>
      <c r="E40" s="853"/>
      <c r="F40" s="871">
        <f>'4.3_КТЭЦ'!G13</f>
        <v>0.438</v>
      </c>
      <c r="G40" s="853"/>
      <c r="H40" s="806">
        <f>F40/F37*H37</f>
        <v>1018.753431337758</v>
      </c>
      <c r="I40" s="855">
        <f>C40/D40</f>
        <v>693.33789774353431</v>
      </c>
      <c r="J40" s="855">
        <f>H40/D40</f>
        <v>378.71874770920351</v>
      </c>
      <c r="K40" s="855">
        <f>(C40-H40)/(F40*12)</f>
        <v>161.02083591939692</v>
      </c>
    </row>
    <row r="41" spans="1:11" s="773" customFormat="1" ht="18.75" customHeight="1">
      <c r="A41" s="60"/>
      <c r="B41" s="70" t="s">
        <v>599</v>
      </c>
      <c r="C41" s="67"/>
      <c r="D41" s="67"/>
      <c r="E41" s="67"/>
      <c r="F41" s="67"/>
      <c r="G41" s="67"/>
      <c r="H41" s="67"/>
      <c r="I41" s="67"/>
      <c r="J41" s="67"/>
      <c r="K41" s="67"/>
    </row>
    <row r="42" spans="1:11" s="773" customFormat="1" ht="18" customHeight="1">
      <c r="A42" s="60"/>
      <c r="B42" s="70" t="s">
        <v>600</v>
      </c>
      <c r="C42" s="67"/>
      <c r="D42" s="67"/>
      <c r="E42" s="67"/>
      <c r="F42" s="67"/>
      <c r="G42" s="67"/>
      <c r="H42" s="67"/>
      <c r="I42" s="67"/>
      <c r="J42" s="67"/>
      <c r="K42" s="67"/>
    </row>
    <row r="43" spans="1:11" s="773" customFormat="1" ht="15" customHeight="1">
      <c r="A43" s="60"/>
      <c r="B43" s="70" t="s">
        <v>601</v>
      </c>
      <c r="C43" s="67"/>
      <c r="D43" s="67"/>
      <c r="E43" s="67"/>
      <c r="F43" s="67"/>
      <c r="G43" s="67"/>
      <c r="H43" s="67"/>
      <c r="I43" s="67"/>
      <c r="J43" s="67"/>
      <c r="K43" s="67"/>
    </row>
    <row r="44" spans="1:11" s="773" customFormat="1" ht="15" customHeight="1">
      <c r="A44" s="1992" t="s">
        <v>1695</v>
      </c>
      <c r="B44" s="1992"/>
      <c r="C44" s="1992"/>
      <c r="D44" s="1992"/>
      <c r="E44" s="1992"/>
      <c r="F44" s="1992"/>
      <c r="G44" s="1992"/>
      <c r="H44" s="1992"/>
      <c r="I44" s="1992"/>
      <c r="J44" s="1992"/>
      <c r="K44" s="1992"/>
    </row>
    <row r="45" spans="1:11" s="773" customFormat="1" ht="15" hidden="1" customHeight="1">
      <c r="A45" s="60" t="s">
        <v>4</v>
      </c>
      <c r="B45" s="61" t="s">
        <v>48</v>
      </c>
      <c r="C45" s="67"/>
      <c r="D45" s="67"/>
      <c r="E45" s="67"/>
      <c r="F45" s="67"/>
      <c r="G45" s="67"/>
      <c r="H45" s="67"/>
      <c r="I45" s="67"/>
      <c r="J45" s="67"/>
      <c r="K45" s="67"/>
    </row>
    <row r="46" spans="1:11" s="773" customFormat="1" ht="15" hidden="1" customHeight="1">
      <c r="A46" s="60"/>
      <c r="B46" s="70" t="s">
        <v>596</v>
      </c>
      <c r="C46" s="67"/>
      <c r="D46" s="67"/>
      <c r="E46" s="67"/>
      <c r="F46" s="67"/>
      <c r="G46" s="67"/>
      <c r="H46" s="67"/>
      <c r="I46" s="67"/>
      <c r="J46" s="67"/>
      <c r="K46" s="67"/>
    </row>
    <row r="47" spans="1:11" s="773" customFormat="1" ht="15" hidden="1" customHeight="1">
      <c r="A47" s="60"/>
      <c r="B47" s="70" t="s">
        <v>597</v>
      </c>
      <c r="C47" s="67"/>
      <c r="D47" s="67"/>
      <c r="E47" s="67"/>
      <c r="F47" s="67"/>
      <c r="G47" s="67"/>
      <c r="H47" s="67"/>
      <c r="I47" s="67"/>
      <c r="J47" s="67"/>
      <c r="K47" s="67"/>
    </row>
    <row r="48" spans="1:11" s="773" customFormat="1" ht="15" hidden="1" customHeight="1">
      <c r="A48" s="60"/>
      <c r="B48" s="70" t="s">
        <v>598</v>
      </c>
      <c r="C48" s="67"/>
      <c r="D48" s="67"/>
      <c r="E48" s="67"/>
      <c r="F48" s="67"/>
      <c r="G48" s="67"/>
      <c r="H48" s="67"/>
      <c r="I48" s="67"/>
      <c r="J48" s="67"/>
      <c r="K48" s="67"/>
    </row>
    <row r="49" spans="1:11" s="773" customFormat="1" ht="15" hidden="1" customHeight="1">
      <c r="A49" s="60"/>
      <c r="B49" s="70" t="s">
        <v>599</v>
      </c>
      <c r="C49" s="67"/>
      <c r="D49" s="67"/>
      <c r="E49" s="67"/>
      <c r="F49" s="67"/>
      <c r="G49" s="67"/>
      <c r="H49" s="67"/>
      <c r="I49" s="67"/>
      <c r="J49" s="67"/>
      <c r="K49" s="67"/>
    </row>
    <row r="50" spans="1:11" s="773" customFormat="1" ht="15" hidden="1" customHeight="1">
      <c r="A50" s="60"/>
      <c r="B50" s="70" t="s">
        <v>600</v>
      </c>
      <c r="C50" s="67"/>
      <c r="D50" s="67"/>
      <c r="E50" s="67"/>
      <c r="F50" s="67"/>
      <c r="G50" s="67"/>
      <c r="H50" s="67"/>
      <c r="I50" s="67"/>
      <c r="J50" s="67"/>
      <c r="K50" s="67"/>
    </row>
    <row r="51" spans="1:11" s="773" customFormat="1" ht="15" hidden="1" customHeight="1">
      <c r="A51" s="60"/>
      <c r="B51" s="70" t="s">
        <v>601</v>
      </c>
      <c r="C51" s="67"/>
      <c r="D51" s="67"/>
      <c r="E51" s="67"/>
      <c r="F51" s="67"/>
      <c r="G51" s="67"/>
      <c r="H51" s="67"/>
      <c r="I51" s="67"/>
      <c r="J51" s="67"/>
      <c r="K51" s="67"/>
    </row>
    <row r="52" spans="1:11" s="773" customFormat="1" ht="15" hidden="1" customHeight="1">
      <c r="A52" s="60"/>
      <c r="B52" s="70" t="s">
        <v>26</v>
      </c>
      <c r="C52" s="67"/>
      <c r="D52" s="67"/>
      <c r="E52" s="67"/>
      <c r="F52" s="67"/>
      <c r="G52" s="67"/>
      <c r="H52" s="67"/>
      <c r="I52" s="67"/>
      <c r="J52" s="67"/>
      <c r="K52" s="67"/>
    </row>
    <row r="53" spans="1:11" s="773" customFormat="1" ht="15" hidden="1" customHeight="1">
      <c r="A53" s="60" t="s">
        <v>434</v>
      </c>
      <c r="B53" s="70" t="s">
        <v>602</v>
      </c>
      <c r="C53" s="67"/>
      <c r="D53" s="67"/>
      <c r="E53" s="67"/>
      <c r="F53" s="67"/>
      <c r="G53" s="67"/>
      <c r="H53" s="67"/>
      <c r="I53" s="67"/>
      <c r="J53" s="67"/>
      <c r="K53" s="67"/>
    </row>
    <row r="54" spans="1:11" s="773" customFormat="1" ht="15" hidden="1" customHeight="1">
      <c r="A54" s="60"/>
      <c r="B54" s="70" t="s">
        <v>26</v>
      </c>
      <c r="C54" s="67"/>
      <c r="D54" s="67"/>
      <c r="E54" s="67"/>
      <c r="F54" s="67"/>
      <c r="G54" s="67"/>
      <c r="H54" s="67"/>
      <c r="I54" s="67"/>
      <c r="J54" s="67"/>
      <c r="K54" s="67"/>
    </row>
    <row r="55" spans="1:11" s="773" customFormat="1" ht="69" customHeight="1">
      <c r="A55" s="256" t="s">
        <v>603</v>
      </c>
      <c r="B55" s="257" t="s">
        <v>604</v>
      </c>
      <c r="C55" s="258">
        <f>'4.6_генерация_КТЭЦ с косв.'!F93</f>
        <v>1718141.0520111467</v>
      </c>
      <c r="D55" s="269">
        <f>'4.1_КТЭЦ'!AJ20</f>
        <v>1115.827</v>
      </c>
      <c r="E55" s="258"/>
      <c r="F55" s="269">
        <f>'4.3_КТЭЦ'!O8</f>
        <v>307.87799999999999</v>
      </c>
      <c r="G55" s="258"/>
      <c r="H55" s="258">
        <f>'4.6_генерация_КТЭЦ с косв.'!F10</f>
        <v>820511.83115114667</v>
      </c>
      <c r="I55" s="259">
        <f>C55/D55</f>
        <v>1539.7916092827531</v>
      </c>
      <c r="J55" s="259">
        <f>H55/D55</f>
        <v>735.3396459766135</v>
      </c>
      <c r="K55" s="259">
        <f>(C55-H55)/(F55*12)</f>
        <v>242.96128684630492</v>
      </c>
    </row>
    <row r="56" spans="1:11" s="854" customFormat="1" ht="15" customHeight="1">
      <c r="A56" s="824"/>
      <c r="B56" s="807" t="s">
        <v>596</v>
      </c>
      <c r="C56" s="806">
        <f>F56/F55*C55</f>
        <v>1715680.0115862482</v>
      </c>
      <c r="D56" s="871">
        <f>'4.1_КТЭЦ'!AK20</f>
        <v>1112.943</v>
      </c>
      <c r="E56" s="853"/>
      <c r="F56" s="871">
        <f>'4.3_КТЭЦ'!O9</f>
        <v>307.43700000000001</v>
      </c>
      <c r="G56" s="853"/>
      <c r="H56" s="806">
        <f>H55-H58</f>
        <v>819336.54185623873</v>
      </c>
      <c r="I56" s="855">
        <f>C56/D56</f>
        <v>1541.5704232707769</v>
      </c>
      <c r="J56" s="855">
        <f>H56/D56</f>
        <v>736.18913264761875</v>
      </c>
      <c r="K56" s="855">
        <f>(C56-H56)/(F56*12)</f>
        <v>242.96128684630494</v>
      </c>
    </row>
    <row r="57" spans="1:11" s="773" customFormat="1" ht="18" customHeight="1">
      <c r="A57" s="60"/>
      <c r="B57" s="70" t="s">
        <v>597</v>
      </c>
      <c r="C57" s="67"/>
      <c r="D57" s="872"/>
      <c r="E57" s="67"/>
      <c r="F57" s="872"/>
      <c r="G57" s="67"/>
      <c r="H57" s="67"/>
      <c r="I57" s="67"/>
      <c r="J57" s="67"/>
      <c r="K57" s="67"/>
    </row>
    <row r="58" spans="1:11" s="854" customFormat="1" ht="17.25" customHeight="1">
      <c r="A58" s="824"/>
      <c r="B58" s="807" t="s">
        <v>598</v>
      </c>
      <c r="C58" s="806">
        <f>C55-C56</f>
        <v>2461.0404248984996</v>
      </c>
      <c r="D58" s="871">
        <f>'4.1_КТЭЦ'!AQ20</f>
        <v>2.8840000000000003</v>
      </c>
      <c r="E58" s="853"/>
      <c r="F58" s="871">
        <f>'4.3_КТЭЦ'!O15</f>
        <v>0.441</v>
      </c>
      <c r="G58" s="853"/>
      <c r="H58" s="806">
        <f>F58/F55*H55</f>
        <v>1175.2892949079042</v>
      </c>
      <c r="I58" s="855">
        <f>C58/D58</f>
        <v>853.34272707992352</v>
      </c>
      <c r="J58" s="855">
        <f>H58/D58</f>
        <v>407.52055995419693</v>
      </c>
      <c r="K58" s="855">
        <f>(C58-H58)/(F58*12)</f>
        <v>242.96128684629545</v>
      </c>
    </row>
    <row r="59" spans="1:11" s="773" customFormat="1" ht="15" customHeight="1">
      <c r="A59" s="60"/>
      <c r="B59" s="70" t="s">
        <v>599</v>
      </c>
      <c r="C59" s="67"/>
      <c r="D59" s="67"/>
      <c r="E59" s="67"/>
      <c r="F59" s="67"/>
      <c r="G59" s="67"/>
      <c r="H59" s="67"/>
      <c r="I59" s="67"/>
      <c r="J59" s="67"/>
      <c r="K59" s="67"/>
    </row>
    <row r="60" spans="1:11" s="773" customFormat="1" ht="15" customHeight="1">
      <c r="A60" s="60"/>
      <c r="B60" s="70" t="s">
        <v>600</v>
      </c>
      <c r="C60" s="67"/>
      <c r="D60" s="67"/>
      <c r="E60" s="67"/>
      <c r="F60" s="67"/>
      <c r="G60" s="67"/>
      <c r="H60" s="67"/>
      <c r="I60" s="67"/>
      <c r="J60" s="67"/>
      <c r="K60" s="67"/>
    </row>
    <row r="61" spans="1:11" s="773" customFormat="1" ht="15" customHeight="1">
      <c r="A61" s="60"/>
      <c r="B61" s="70" t="s">
        <v>601</v>
      </c>
      <c r="C61" s="67"/>
      <c r="D61" s="67"/>
      <c r="E61" s="67"/>
      <c r="F61" s="67"/>
      <c r="G61" s="67"/>
      <c r="H61" s="67"/>
      <c r="I61" s="67"/>
      <c r="J61" s="67"/>
      <c r="K61" s="67"/>
    </row>
    <row r="62" spans="1:11" s="1292" customFormat="1" ht="15" customHeight="1">
      <c r="A62" s="1992" t="s">
        <v>1696</v>
      </c>
      <c r="B62" s="1992"/>
      <c r="C62" s="1992"/>
      <c r="D62" s="1992"/>
      <c r="E62" s="1992"/>
      <c r="F62" s="1992"/>
      <c r="G62" s="1992"/>
      <c r="H62" s="1992"/>
      <c r="I62" s="1992"/>
      <c r="J62" s="1992"/>
      <c r="K62" s="1992"/>
    </row>
    <row r="63" spans="1:11" s="1292" customFormat="1" ht="15" hidden="1" customHeight="1" outlineLevel="1">
      <c r="A63" s="60" t="s">
        <v>4</v>
      </c>
      <c r="B63" s="61" t="s">
        <v>48</v>
      </c>
      <c r="C63" s="67"/>
      <c r="D63" s="67"/>
      <c r="E63" s="67"/>
      <c r="F63" s="67"/>
      <c r="G63" s="67"/>
      <c r="H63" s="67"/>
      <c r="I63" s="67"/>
      <c r="J63" s="67"/>
      <c r="K63" s="67"/>
    </row>
    <row r="64" spans="1:11" s="1292" customFormat="1" ht="15" hidden="1" customHeight="1" outlineLevel="1">
      <c r="A64" s="60"/>
      <c r="B64" s="70" t="s">
        <v>596</v>
      </c>
      <c r="C64" s="250"/>
      <c r="D64" s="67"/>
      <c r="E64" s="67"/>
      <c r="F64" s="67"/>
      <c r="G64" s="67"/>
      <c r="H64" s="250"/>
      <c r="I64" s="251"/>
      <c r="J64" s="251"/>
      <c r="K64" s="251"/>
    </row>
    <row r="65" spans="1:11" s="1292" customFormat="1" ht="15" hidden="1" customHeight="1" outlineLevel="1">
      <c r="A65" s="60"/>
      <c r="B65" s="70" t="s">
        <v>597</v>
      </c>
      <c r="C65" s="67"/>
      <c r="D65" s="67"/>
      <c r="E65" s="67"/>
      <c r="F65" s="67"/>
      <c r="G65" s="67"/>
      <c r="H65" s="67"/>
      <c r="I65" s="67"/>
      <c r="J65" s="67"/>
      <c r="K65" s="67"/>
    </row>
    <row r="66" spans="1:11" s="1292" customFormat="1" ht="15" hidden="1" customHeight="1" outlineLevel="1">
      <c r="A66" s="60"/>
      <c r="B66" s="70" t="s">
        <v>598</v>
      </c>
      <c r="C66" s="67"/>
      <c r="D66" s="67"/>
      <c r="E66" s="67"/>
      <c r="F66" s="67"/>
      <c r="G66" s="67"/>
      <c r="H66" s="67"/>
      <c r="I66" s="67"/>
      <c r="J66" s="67"/>
      <c r="K66" s="67"/>
    </row>
    <row r="67" spans="1:11" s="1292" customFormat="1" ht="15" hidden="1" customHeight="1" outlineLevel="1">
      <c r="A67" s="60"/>
      <c r="B67" s="70" t="s">
        <v>599</v>
      </c>
      <c r="C67" s="67"/>
      <c r="D67" s="67"/>
      <c r="E67" s="67"/>
      <c r="F67" s="67"/>
      <c r="G67" s="67"/>
      <c r="H67" s="67"/>
      <c r="I67" s="67"/>
      <c r="J67" s="67"/>
      <c r="K67" s="67"/>
    </row>
    <row r="68" spans="1:11" s="1292" customFormat="1" ht="15" hidden="1" customHeight="1" outlineLevel="1">
      <c r="A68" s="60"/>
      <c r="B68" s="70" t="s">
        <v>600</v>
      </c>
      <c r="C68" s="67"/>
      <c r="D68" s="67"/>
      <c r="E68" s="67"/>
      <c r="F68" s="67"/>
      <c r="G68" s="67"/>
      <c r="H68" s="67"/>
      <c r="I68" s="67"/>
      <c r="J68" s="67"/>
      <c r="K68" s="67"/>
    </row>
    <row r="69" spans="1:11" s="1292" customFormat="1" ht="15" hidden="1" customHeight="1" outlineLevel="1">
      <c r="A69" s="60"/>
      <c r="B69" s="70" t="s">
        <v>601</v>
      </c>
      <c r="C69" s="67"/>
      <c r="D69" s="67"/>
      <c r="E69" s="67"/>
      <c r="F69" s="67"/>
      <c r="G69" s="67"/>
      <c r="H69" s="67"/>
      <c r="I69" s="67"/>
      <c r="J69" s="67"/>
      <c r="K69" s="67"/>
    </row>
    <row r="70" spans="1:11" s="1292" customFormat="1" ht="15" hidden="1" customHeight="1" outlineLevel="1">
      <c r="A70" s="60"/>
      <c r="B70" s="70" t="s">
        <v>26</v>
      </c>
      <c r="C70" s="67"/>
      <c r="D70" s="67"/>
      <c r="E70" s="67"/>
      <c r="F70" s="67"/>
      <c r="G70" s="67"/>
      <c r="H70" s="67"/>
      <c r="I70" s="67"/>
      <c r="J70" s="67"/>
      <c r="K70" s="67"/>
    </row>
    <row r="71" spans="1:11" s="1292" customFormat="1" ht="15" hidden="1" customHeight="1" outlineLevel="1">
      <c r="A71" s="60" t="s">
        <v>434</v>
      </c>
      <c r="B71" s="70" t="s">
        <v>602</v>
      </c>
      <c r="C71" s="67"/>
      <c r="D71" s="67"/>
      <c r="E71" s="67"/>
      <c r="F71" s="67"/>
      <c r="G71" s="67"/>
      <c r="H71" s="67"/>
      <c r="I71" s="67"/>
      <c r="J71" s="67"/>
      <c r="K71" s="67"/>
    </row>
    <row r="72" spans="1:11" s="1292" customFormat="1" ht="15" hidden="1" customHeight="1" outlineLevel="1">
      <c r="A72" s="60"/>
      <c r="B72" s="70" t="s">
        <v>26</v>
      </c>
      <c r="C72" s="67"/>
      <c r="D72" s="67"/>
      <c r="E72" s="67"/>
      <c r="F72" s="67"/>
      <c r="G72" s="67"/>
      <c r="H72" s="67"/>
      <c r="I72" s="67"/>
      <c r="J72" s="67"/>
      <c r="K72" s="67"/>
    </row>
    <row r="73" spans="1:11" s="1292" customFormat="1" ht="60" collapsed="1">
      <c r="A73" s="256" t="s">
        <v>603</v>
      </c>
      <c r="B73" s="257" t="s">
        <v>604</v>
      </c>
      <c r="C73" s="258">
        <f>'4.6_генерация_КТЭЦ с косв.'!G93</f>
        <v>1532762.9619877937</v>
      </c>
      <c r="D73" s="269">
        <f>'4.1_КТЭЦ'!AU20</f>
        <v>1140.3279999999995</v>
      </c>
      <c r="E73" s="258"/>
      <c r="F73" s="269">
        <f>'4.3_КТЭЦ'!S8</f>
        <v>320.62599999999998</v>
      </c>
      <c r="G73" s="258"/>
      <c r="H73" s="258">
        <f>'4.6_генерация_КТЭЦ с косв.'!G10</f>
        <v>845707.96198779368</v>
      </c>
      <c r="I73" s="259">
        <f>C73/D73</f>
        <v>1344.1421783800752</v>
      </c>
      <c r="J73" s="259">
        <f>H73/D73</f>
        <v>741.63570655793251</v>
      </c>
      <c r="K73" s="259">
        <f>(C73-H73)/(F73*12)</f>
        <v>178.57124292269916</v>
      </c>
    </row>
    <row r="74" spans="1:11" s="1292" customFormat="1" ht="15" customHeight="1">
      <c r="A74" s="824"/>
      <c r="B74" s="807" t="s">
        <v>596</v>
      </c>
      <c r="C74" s="806">
        <v>1525784.9163499996</v>
      </c>
      <c r="D74" s="871">
        <v>1137.9459999999997</v>
      </c>
      <c r="E74" s="853"/>
      <c r="F74" s="871">
        <v>320.18799999999999</v>
      </c>
      <c r="G74" s="853"/>
      <c r="H74" s="806">
        <v>841859.34031920996</v>
      </c>
      <c r="I74" s="855">
        <v>1340.8236562631268</v>
      </c>
      <c r="J74" s="855">
        <v>739.80605434634879</v>
      </c>
      <c r="K74" s="855">
        <v>178.00104314517034</v>
      </c>
    </row>
    <row r="75" spans="1:11" s="1292" customFormat="1" ht="15" customHeight="1">
      <c r="A75" s="60"/>
      <c r="B75" s="70" t="s">
        <v>597</v>
      </c>
      <c r="C75" s="67"/>
      <c r="D75" s="269"/>
      <c r="E75" s="67"/>
      <c r="F75" s="872"/>
      <c r="G75" s="67"/>
      <c r="H75" s="67"/>
      <c r="I75" s="67"/>
      <c r="J75" s="67"/>
      <c r="K75" s="67"/>
    </row>
    <row r="76" spans="1:11" s="1292" customFormat="1" ht="15" customHeight="1">
      <c r="A76" s="824"/>
      <c r="B76" s="807" t="s">
        <v>598</v>
      </c>
      <c r="C76" s="806">
        <v>6978.279649999924</v>
      </c>
      <c r="D76" s="871">
        <v>2.3820000000000014</v>
      </c>
      <c r="E76" s="853"/>
      <c r="F76" s="871">
        <v>0.438</v>
      </c>
      <c r="G76" s="853"/>
      <c r="H76" s="806">
        <v>3848.6216685836685</v>
      </c>
      <c r="I76" s="855">
        <v>2929.588434088967</v>
      </c>
      <c r="J76" s="855">
        <v>1615.7101883222779</v>
      </c>
      <c r="K76" s="855">
        <v>595.44482142622826</v>
      </c>
    </row>
    <row r="77" spans="1:11" s="1292" customFormat="1" ht="15" customHeight="1">
      <c r="A77" s="60"/>
      <c r="B77" s="70" t="s">
        <v>599</v>
      </c>
      <c r="C77" s="67"/>
      <c r="D77" s="67"/>
      <c r="E77" s="67"/>
      <c r="F77" s="67"/>
      <c r="G77" s="67"/>
      <c r="H77" s="67"/>
      <c r="I77" s="67"/>
      <c r="J77" s="67"/>
      <c r="K77" s="67"/>
    </row>
    <row r="78" spans="1:11" s="1292" customFormat="1" ht="15" customHeight="1">
      <c r="A78" s="60"/>
      <c r="B78" s="70" t="s">
        <v>600</v>
      </c>
      <c r="C78" s="67"/>
      <c r="D78" s="67"/>
      <c r="E78" s="67"/>
      <c r="F78" s="67"/>
      <c r="G78" s="67"/>
      <c r="H78" s="67"/>
      <c r="I78" s="67"/>
      <c r="J78" s="67"/>
      <c r="K78" s="67"/>
    </row>
    <row r="79" spans="1:11" s="1292" customFormat="1" ht="15" customHeight="1">
      <c r="A79" s="60"/>
      <c r="B79" s="70" t="s">
        <v>601</v>
      </c>
      <c r="C79" s="67"/>
      <c r="D79" s="67"/>
      <c r="E79" s="67"/>
      <c r="F79" s="67"/>
      <c r="G79" s="67"/>
      <c r="H79" s="67"/>
      <c r="I79" s="67"/>
      <c r="J79" s="67"/>
      <c r="K79" s="67"/>
    </row>
    <row r="80" spans="1:11" s="1292" customFormat="1" ht="15" customHeight="1">
      <c r="A80" s="99"/>
      <c r="B80" s="100"/>
      <c r="C80" s="45"/>
      <c r="D80" s="45"/>
      <c r="E80" s="45"/>
      <c r="F80" s="45"/>
      <c r="G80" s="45"/>
      <c r="H80" s="45"/>
      <c r="I80" s="45"/>
      <c r="J80" s="45"/>
      <c r="K80" s="45"/>
    </row>
    <row r="81" spans="1:11" s="1292" customFormat="1" ht="15" customHeight="1">
      <c r="A81" s="1992" t="s">
        <v>1828</v>
      </c>
      <c r="B81" s="1992"/>
      <c r="C81" s="1992"/>
      <c r="D81" s="1992"/>
      <c r="E81" s="1992"/>
      <c r="F81" s="1992"/>
      <c r="G81" s="1992"/>
      <c r="H81" s="1992"/>
      <c r="I81" s="1992"/>
      <c r="J81" s="1992"/>
      <c r="K81" s="1992"/>
    </row>
    <row r="82" spans="1:11" s="1292" customFormat="1" ht="15" hidden="1" customHeight="1" outlineLevel="1">
      <c r="A82" s="60" t="s">
        <v>4</v>
      </c>
      <c r="B82" s="61" t="s">
        <v>48</v>
      </c>
      <c r="C82" s="67"/>
      <c r="D82" s="67"/>
      <c r="E82" s="67"/>
      <c r="F82" s="67"/>
      <c r="G82" s="67"/>
      <c r="H82" s="67"/>
      <c r="I82" s="67"/>
      <c r="J82" s="67"/>
      <c r="K82" s="67"/>
    </row>
    <row r="83" spans="1:11" s="1292" customFormat="1" ht="15" hidden="1" customHeight="1" outlineLevel="1">
      <c r="A83" s="60"/>
      <c r="B83" s="70" t="s">
        <v>596</v>
      </c>
      <c r="C83" s="250"/>
      <c r="D83" s="67"/>
      <c r="E83" s="67"/>
      <c r="F83" s="67"/>
      <c r="G83" s="67"/>
      <c r="H83" s="250"/>
      <c r="I83" s="251"/>
      <c r="J83" s="251"/>
      <c r="K83" s="251"/>
    </row>
    <row r="84" spans="1:11" s="1292" customFormat="1" ht="15" hidden="1" customHeight="1" outlineLevel="1">
      <c r="A84" s="60"/>
      <c r="B84" s="70" t="s">
        <v>597</v>
      </c>
      <c r="C84" s="67"/>
      <c r="D84" s="67"/>
      <c r="E84" s="67"/>
      <c r="F84" s="67"/>
      <c r="G84" s="67"/>
      <c r="H84" s="67"/>
      <c r="I84" s="67"/>
      <c r="J84" s="67"/>
      <c r="K84" s="67"/>
    </row>
    <row r="85" spans="1:11" s="1292" customFormat="1" ht="15" hidden="1" customHeight="1" outlineLevel="1">
      <c r="A85" s="60"/>
      <c r="B85" s="70" t="s">
        <v>598</v>
      </c>
      <c r="C85" s="67"/>
      <c r="D85" s="67"/>
      <c r="E85" s="67"/>
      <c r="F85" s="67"/>
      <c r="G85" s="67"/>
      <c r="H85" s="67"/>
      <c r="I85" s="67"/>
      <c r="J85" s="67"/>
      <c r="K85" s="67"/>
    </row>
    <row r="86" spans="1:11" s="1292" customFormat="1" ht="15" hidden="1" customHeight="1" outlineLevel="1">
      <c r="A86" s="60"/>
      <c r="B86" s="70" t="s">
        <v>599</v>
      </c>
      <c r="C86" s="67"/>
      <c r="D86" s="67"/>
      <c r="E86" s="67"/>
      <c r="F86" s="67"/>
      <c r="G86" s="67"/>
      <c r="H86" s="67"/>
      <c r="I86" s="67"/>
      <c r="J86" s="67"/>
      <c r="K86" s="67"/>
    </row>
    <row r="87" spans="1:11" s="1292" customFormat="1" ht="15" hidden="1" customHeight="1" outlineLevel="1">
      <c r="A87" s="60"/>
      <c r="B87" s="70" t="s">
        <v>600</v>
      </c>
      <c r="C87" s="67"/>
      <c r="D87" s="67"/>
      <c r="E87" s="67"/>
      <c r="F87" s="67"/>
      <c r="G87" s="67"/>
      <c r="H87" s="67"/>
      <c r="I87" s="67"/>
      <c r="J87" s="67"/>
      <c r="K87" s="67"/>
    </row>
    <row r="88" spans="1:11" s="1292" customFormat="1" ht="15" hidden="1" customHeight="1" outlineLevel="1">
      <c r="A88" s="60"/>
      <c r="B88" s="70" t="s">
        <v>601</v>
      </c>
      <c r="C88" s="67"/>
      <c r="D88" s="67"/>
      <c r="E88" s="67"/>
      <c r="F88" s="67"/>
      <c r="G88" s="67"/>
      <c r="H88" s="67"/>
      <c r="I88" s="67"/>
      <c r="J88" s="67"/>
      <c r="K88" s="67"/>
    </row>
    <row r="89" spans="1:11" s="1292" customFormat="1" ht="15" hidden="1" customHeight="1" outlineLevel="1">
      <c r="A89" s="60"/>
      <c r="B89" s="70" t="s">
        <v>26</v>
      </c>
      <c r="C89" s="67"/>
      <c r="D89" s="67"/>
      <c r="E89" s="67"/>
      <c r="F89" s="67"/>
      <c r="G89" s="67"/>
      <c r="H89" s="67"/>
      <c r="I89" s="67"/>
      <c r="J89" s="67"/>
      <c r="K89" s="67"/>
    </row>
    <row r="90" spans="1:11" s="1292" customFormat="1" ht="15" hidden="1" customHeight="1" outlineLevel="1">
      <c r="A90" s="60" t="s">
        <v>434</v>
      </c>
      <c r="B90" s="70" t="s">
        <v>602</v>
      </c>
      <c r="C90" s="67"/>
      <c r="D90" s="67"/>
      <c r="E90" s="67"/>
      <c r="F90" s="67"/>
      <c r="G90" s="67"/>
      <c r="H90" s="67"/>
      <c r="I90" s="67"/>
      <c r="J90" s="67"/>
      <c r="K90" s="67"/>
    </row>
    <row r="91" spans="1:11" s="1292" customFormat="1" ht="15" hidden="1" customHeight="1" outlineLevel="1">
      <c r="A91" s="60"/>
      <c r="B91" s="70" t="s">
        <v>26</v>
      </c>
      <c r="C91" s="67"/>
      <c r="D91" s="67"/>
      <c r="E91" s="67"/>
      <c r="F91" s="67"/>
      <c r="G91" s="67"/>
      <c r="H91" s="67"/>
      <c r="I91" s="67"/>
      <c r="J91" s="67"/>
      <c r="K91" s="67"/>
    </row>
    <row r="92" spans="1:11" s="1292" customFormat="1" ht="60" collapsed="1">
      <c r="A92" s="256" t="s">
        <v>603</v>
      </c>
      <c r="B92" s="257" t="s">
        <v>604</v>
      </c>
      <c r="C92" s="258">
        <f>'4.6_генерация_КТЭЦ с косв.'!H93</f>
        <v>1640213.5478267176</v>
      </c>
      <c r="D92" s="269">
        <f>'4.1_КТЭЦ'!BF20</f>
        <v>1091.739</v>
      </c>
      <c r="E92" s="258"/>
      <c r="F92" s="269">
        <f>'4.3_КТЭЦ'!W8</f>
        <v>307.87799999999999</v>
      </c>
      <c r="G92" s="258"/>
      <c r="H92" s="258">
        <f>'4.6_генерация_КТЭЦ с косв.'!H10</f>
        <v>791710.72252619755</v>
      </c>
      <c r="I92" s="259">
        <f>C92/D92</f>
        <v>1502.3861452478272</v>
      </c>
      <c r="J92" s="259">
        <f>H92/D92</f>
        <v>725.18314590410114</v>
      </c>
      <c r="K92" s="259">
        <f>(C92-H92)/(F92*12)</f>
        <v>229.66424614634153</v>
      </c>
    </row>
    <row r="93" spans="1:11" s="1292" customFormat="1" ht="15" customHeight="1">
      <c r="A93" s="824"/>
      <c r="B93" s="807" t="s">
        <v>596</v>
      </c>
      <c r="C93" s="806">
        <f>F93/F92*C92</f>
        <v>1637864.1296331747</v>
      </c>
      <c r="D93" s="871">
        <f>'4.1_КТЭЦ'!BG20</f>
        <v>1088.818</v>
      </c>
      <c r="E93" s="853"/>
      <c r="F93" s="871">
        <f>'4.3_КТЭЦ'!W9</f>
        <v>307.43700000000001</v>
      </c>
      <c r="G93" s="853"/>
      <c r="H93" s="806">
        <f>H92-H95</f>
        <v>790576.68752326118</v>
      </c>
      <c r="I93" s="855">
        <f>C93/D93</f>
        <v>1504.2588656994785</v>
      </c>
      <c r="J93" s="855">
        <f>H93/D93</f>
        <v>726.08708482341513</v>
      </c>
      <c r="K93" s="855">
        <f>(C93-H93)/(F93*12)</f>
        <v>229.6642461463415</v>
      </c>
    </row>
    <row r="94" spans="1:11" s="1292" customFormat="1" ht="15" customHeight="1">
      <c r="A94" s="60"/>
      <c r="B94" s="70" t="s">
        <v>597</v>
      </c>
      <c r="C94" s="67"/>
      <c r="D94" s="872"/>
      <c r="E94" s="67"/>
      <c r="F94" s="872"/>
      <c r="G94" s="67"/>
      <c r="H94" s="67"/>
      <c r="I94" s="67"/>
      <c r="J94" s="67"/>
      <c r="K94" s="67"/>
    </row>
    <row r="95" spans="1:11" s="1292" customFormat="1" ht="15" customHeight="1">
      <c r="A95" s="824"/>
      <c r="B95" s="807" t="s">
        <v>598</v>
      </c>
      <c r="C95" s="806">
        <f>C92-C93</f>
        <v>2349.4181935428642</v>
      </c>
      <c r="D95" s="871">
        <f>'4.1_КТЭЦ'!BM20</f>
        <v>2.9210000000000029</v>
      </c>
      <c r="E95" s="853"/>
      <c r="F95" s="871">
        <f>'4.3_КТЭЦ'!W15</f>
        <v>0.441</v>
      </c>
      <c r="G95" s="853"/>
      <c r="H95" s="806">
        <f>F95/F92*H92</f>
        <v>1134.0350029364006</v>
      </c>
      <c r="I95" s="855">
        <f>C95/D95</f>
        <v>804.3198197681827</v>
      </c>
      <c r="J95" s="855">
        <f>H95/D95</f>
        <v>388.23519443218055</v>
      </c>
      <c r="K95" s="855">
        <f>(C95-H95)/(F95*12)</f>
        <v>229.6642461463461</v>
      </c>
    </row>
    <row r="96" spans="1:11" s="1292" customFormat="1" ht="15" customHeight="1">
      <c r="A96" s="60"/>
      <c r="B96" s="70" t="s">
        <v>599</v>
      </c>
      <c r="C96" s="67"/>
      <c r="D96" s="67"/>
      <c r="E96" s="67"/>
      <c r="F96" s="67"/>
      <c r="G96" s="67"/>
      <c r="H96" s="67"/>
      <c r="I96" s="67"/>
      <c r="J96" s="67"/>
      <c r="K96" s="67"/>
    </row>
    <row r="97" spans="1:11" s="1292" customFormat="1" ht="15" customHeight="1">
      <c r="A97" s="60"/>
      <c r="B97" s="70" t="s">
        <v>600</v>
      </c>
      <c r="C97" s="67"/>
      <c r="D97" s="67"/>
      <c r="E97" s="67"/>
      <c r="F97" s="67"/>
      <c r="G97" s="67"/>
      <c r="H97" s="67"/>
      <c r="I97" s="67"/>
      <c r="J97" s="67"/>
      <c r="K97" s="67"/>
    </row>
    <row r="98" spans="1:11" s="1292" customFormat="1" ht="15" customHeight="1">
      <c r="A98" s="60"/>
      <c r="B98" s="70" t="s">
        <v>601</v>
      </c>
      <c r="C98" s="67"/>
      <c r="D98" s="67"/>
      <c r="E98" s="67"/>
      <c r="F98" s="67"/>
      <c r="G98" s="67"/>
      <c r="H98" s="67"/>
      <c r="I98" s="67"/>
      <c r="J98" s="67"/>
      <c r="K98" s="67"/>
    </row>
    <row r="99" spans="1:11" s="1292" customFormat="1" ht="15" customHeight="1">
      <c r="A99" s="99"/>
      <c r="B99" s="100"/>
      <c r="C99" s="45"/>
      <c r="D99" s="45"/>
      <c r="E99" s="45"/>
      <c r="F99" s="45"/>
      <c r="G99" s="45"/>
      <c r="H99" s="45"/>
      <c r="I99" s="45"/>
      <c r="J99" s="45"/>
      <c r="K99" s="45"/>
    </row>
    <row r="100" spans="1:11" s="1588" customFormat="1" ht="15" customHeight="1">
      <c r="A100" s="1992" t="s">
        <v>1833</v>
      </c>
      <c r="B100" s="1992"/>
      <c r="C100" s="1992"/>
      <c r="D100" s="1992"/>
      <c r="E100" s="1992"/>
      <c r="F100" s="1992"/>
      <c r="G100" s="1992"/>
      <c r="H100" s="1992"/>
      <c r="I100" s="1992"/>
      <c r="J100" s="1992"/>
      <c r="K100" s="1992"/>
    </row>
    <row r="101" spans="1:11" s="1588" customFormat="1" ht="15" hidden="1" customHeight="1" outlineLevel="1">
      <c r="A101" s="60" t="s">
        <v>4</v>
      </c>
      <c r="B101" s="61" t="s">
        <v>48</v>
      </c>
      <c r="C101" s="67"/>
      <c r="D101" s="67"/>
      <c r="E101" s="67"/>
      <c r="F101" s="67"/>
      <c r="G101" s="67"/>
      <c r="H101" s="67"/>
      <c r="I101" s="67"/>
      <c r="J101" s="67"/>
      <c r="K101" s="67"/>
    </row>
    <row r="102" spans="1:11" s="1588" customFormat="1" ht="15" hidden="1" customHeight="1" outlineLevel="1">
      <c r="A102" s="60"/>
      <c r="B102" s="70" t="s">
        <v>596</v>
      </c>
      <c r="C102" s="250"/>
      <c r="D102" s="67"/>
      <c r="E102" s="67"/>
      <c r="F102" s="67"/>
      <c r="G102" s="67"/>
      <c r="H102" s="250"/>
      <c r="I102" s="251"/>
      <c r="J102" s="251"/>
      <c r="K102" s="251"/>
    </row>
    <row r="103" spans="1:11" s="1588" customFormat="1" ht="15" hidden="1" customHeight="1" outlineLevel="1">
      <c r="A103" s="60"/>
      <c r="B103" s="70" t="s">
        <v>597</v>
      </c>
      <c r="C103" s="67"/>
      <c r="D103" s="67"/>
      <c r="E103" s="67"/>
      <c r="F103" s="67"/>
      <c r="G103" s="67"/>
      <c r="H103" s="67"/>
      <c r="I103" s="67"/>
      <c r="J103" s="67"/>
      <c r="K103" s="67"/>
    </row>
    <row r="104" spans="1:11" s="1588" customFormat="1" ht="15" hidden="1" customHeight="1" outlineLevel="1">
      <c r="A104" s="60"/>
      <c r="B104" s="70" t="s">
        <v>598</v>
      </c>
      <c r="C104" s="67"/>
      <c r="D104" s="67"/>
      <c r="E104" s="67"/>
      <c r="F104" s="67"/>
      <c r="G104" s="67"/>
      <c r="H104" s="67"/>
      <c r="I104" s="67"/>
      <c r="J104" s="67"/>
      <c r="K104" s="67"/>
    </row>
    <row r="105" spans="1:11" s="1588" customFormat="1" ht="15" hidden="1" customHeight="1" outlineLevel="1">
      <c r="A105" s="60"/>
      <c r="B105" s="70" t="s">
        <v>599</v>
      </c>
      <c r="C105" s="67"/>
      <c r="D105" s="67"/>
      <c r="E105" s="67"/>
      <c r="F105" s="67"/>
      <c r="G105" s="67"/>
      <c r="H105" s="67"/>
      <c r="I105" s="67"/>
      <c r="J105" s="67"/>
      <c r="K105" s="67"/>
    </row>
    <row r="106" spans="1:11" s="1588" customFormat="1" ht="15" hidden="1" customHeight="1" outlineLevel="1">
      <c r="A106" s="60"/>
      <c r="B106" s="70" t="s">
        <v>600</v>
      </c>
      <c r="C106" s="67"/>
      <c r="D106" s="67"/>
      <c r="E106" s="67"/>
      <c r="F106" s="67"/>
      <c r="G106" s="67"/>
      <c r="H106" s="67"/>
      <c r="I106" s="67"/>
      <c r="J106" s="67"/>
      <c r="K106" s="67"/>
    </row>
    <row r="107" spans="1:11" s="1588" customFormat="1" ht="15" hidden="1" customHeight="1" outlineLevel="1">
      <c r="A107" s="60"/>
      <c r="B107" s="70" t="s">
        <v>601</v>
      </c>
      <c r="C107" s="67"/>
      <c r="D107" s="67"/>
      <c r="E107" s="67"/>
      <c r="F107" s="67"/>
      <c r="G107" s="67"/>
      <c r="H107" s="67"/>
      <c r="I107" s="67"/>
      <c r="J107" s="67"/>
      <c r="K107" s="67"/>
    </row>
    <row r="108" spans="1:11" s="1588" customFormat="1" ht="15" hidden="1" customHeight="1" outlineLevel="1">
      <c r="A108" s="60"/>
      <c r="B108" s="70" t="s">
        <v>26</v>
      </c>
      <c r="C108" s="67"/>
      <c r="D108" s="67"/>
      <c r="E108" s="67"/>
      <c r="F108" s="67"/>
      <c r="G108" s="67"/>
      <c r="H108" s="67"/>
      <c r="I108" s="67"/>
      <c r="J108" s="67"/>
      <c r="K108" s="67"/>
    </row>
    <row r="109" spans="1:11" s="1588" customFormat="1" ht="15" hidden="1" customHeight="1" outlineLevel="1">
      <c r="A109" s="60" t="s">
        <v>434</v>
      </c>
      <c r="B109" s="70" t="s">
        <v>602</v>
      </c>
      <c r="C109" s="67"/>
      <c r="D109" s="67"/>
      <c r="E109" s="67"/>
      <c r="F109" s="67"/>
      <c r="G109" s="67"/>
      <c r="H109" s="67"/>
      <c r="I109" s="67"/>
      <c r="J109" s="67"/>
      <c r="K109" s="67"/>
    </row>
    <row r="110" spans="1:11" s="1588" customFormat="1" ht="15" hidden="1" customHeight="1" outlineLevel="1">
      <c r="A110" s="60"/>
      <c r="B110" s="70" t="s">
        <v>26</v>
      </c>
      <c r="C110" s="67"/>
      <c r="D110" s="67"/>
      <c r="E110" s="67"/>
      <c r="F110" s="67"/>
      <c r="G110" s="67"/>
      <c r="H110" s="67"/>
      <c r="I110" s="67"/>
      <c r="J110" s="67"/>
      <c r="K110" s="67"/>
    </row>
    <row r="111" spans="1:11" s="1588" customFormat="1" ht="60" collapsed="1">
      <c r="A111" s="256" t="s">
        <v>603</v>
      </c>
      <c r="B111" s="257" t="s">
        <v>604</v>
      </c>
      <c r="C111" s="258">
        <f>'4.6_свод'!I93</f>
        <v>5658234.2313373489</v>
      </c>
      <c r="D111" s="269">
        <f>'4.1_КТЭЦ'!BQ20</f>
        <v>1091.269</v>
      </c>
      <c r="E111" s="258"/>
      <c r="F111" s="269">
        <f>'4.3_КТЭЦ'!AA8</f>
        <v>307.87799999999999</v>
      </c>
      <c r="G111" s="258"/>
      <c r="H111" s="258">
        <f>'4.6_генерация_КТЭЦ с косв.'!I10</f>
        <v>899891</v>
      </c>
      <c r="I111" s="259">
        <f>C111/D111</f>
        <v>5185.0040927922892</v>
      </c>
      <c r="J111" s="259">
        <f>H111/D111</f>
        <v>824.62802480415007</v>
      </c>
      <c r="K111" s="259">
        <f>(C111-H111)/(F111*12)</f>
        <v>1287.9406862830269</v>
      </c>
    </row>
    <row r="112" spans="1:11" s="1588" customFormat="1" ht="15" customHeight="1">
      <c r="A112" s="824"/>
      <c r="B112" s="807" t="s">
        <v>596</v>
      </c>
      <c r="C112" s="806">
        <f>F112/F111*C111</f>
        <v>5650129.4583557788</v>
      </c>
      <c r="D112" s="871">
        <f>'4.1_КТЭЦ'!BR20</f>
        <v>1088.4724852938803</v>
      </c>
      <c r="E112" s="853"/>
      <c r="F112" s="871">
        <f>'4.3_КТЭЦ'!AA9</f>
        <v>307.43700000000001</v>
      </c>
      <c r="G112" s="853"/>
      <c r="H112" s="806">
        <f>H111-H114</f>
        <v>898602.00913023995</v>
      </c>
      <c r="I112" s="855">
        <f>C112/D112</f>
        <v>5190.8794523458091</v>
      </c>
      <c r="J112" s="855">
        <f>H112/D112</f>
        <v>825.56244762367464</v>
      </c>
      <c r="K112" s="855">
        <f>(C112-H112)/(F112*12)</f>
        <v>1287.9406862830269</v>
      </c>
    </row>
    <row r="113" spans="1:11" s="1588" customFormat="1" ht="15" customHeight="1">
      <c r="A113" s="60"/>
      <c r="B113" s="70" t="s">
        <v>597</v>
      </c>
      <c r="C113" s="67"/>
      <c r="D113" s="872"/>
      <c r="E113" s="67"/>
      <c r="F113" s="872"/>
      <c r="G113" s="67"/>
      <c r="H113" s="67"/>
      <c r="I113" s="67"/>
      <c r="J113" s="67"/>
      <c r="K113" s="67"/>
    </row>
    <row r="114" spans="1:11" s="1588" customFormat="1" ht="15" customHeight="1">
      <c r="A114" s="824"/>
      <c r="B114" s="807" t="s">
        <v>598</v>
      </c>
      <c r="C114" s="806">
        <f>C111-C112</f>
        <v>8104.7729815701023</v>
      </c>
      <c r="D114" s="871">
        <f>'4.1_КТЭЦ'!BV20</f>
        <v>2.7965147061196607</v>
      </c>
      <c r="E114" s="853"/>
      <c r="F114" s="871">
        <f>'4.3_КТЭЦ'!AA13</f>
        <v>0.441</v>
      </c>
      <c r="G114" s="853"/>
      <c r="H114" s="806">
        <f>F114/F111*H111</f>
        <v>1288.9908697600999</v>
      </c>
      <c r="I114" s="855">
        <f>C114/D114</f>
        <v>2898.169268995543</v>
      </c>
      <c r="J114" s="855">
        <f>H114/D114</f>
        <v>460.92762070565169</v>
      </c>
      <c r="K114" s="855">
        <f>(C114-H114)/(F114*12)</f>
        <v>1287.9406862830692</v>
      </c>
    </row>
    <row r="115" spans="1:11" s="1588" customFormat="1" ht="15" customHeight="1">
      <c r="A115" s="60"/>
      <c r="B115" s="70" t="s">
        <v>599</v>
      </c>
      <c r="C115" s="67"/>
      <c r="D115" s="67"/>
      <c r="E115" s="67"/>
      <c r="F115" s="67"/>
      <c r="G115" s="67"/>
      <c r="H115" s="67"/>
      <c r="I115" s="67"/>
      <c r="J115" s="67"/>
      <c r="K115" s="67"/>
    </row>
    <row r="116" spans="1:11" s="1588" customFormat="1" ht="15" customHeight="1">
      <c r="A116" s="60"/>
      <c r="B116" s="70" t="s">
        <v>600</v>
      </c>
      <c r="C116" s="67"/>
      <c r="D116" s="67"/>
      <c r="E116" s="67"/>
      <c r="F116" s="67"/>
      <c r="G116" s="67"/>
      <c r="H116" s="67"/>
      <c r="I116" s="67"/>
      <c r="J116" s="67"/>
      <c r="K116" s="67"/>
    </row>
    <row r="117" spans="1:11" s="1588" customFormat="1" ht="15" customHeight="1">
      <c r="A117" s="60"/>
      <c r="B117" s="70" t="s">
        <v>601</v>
      </c>
      <c r="C117" s="67"/>
      <c r="D117" s="67"/>
      <c r="E117" s="67"/>
      <c r="F117" s="67"/>
      <c r="G117" s="67"/>
      <c r="H117" s="67"/>
      <c r="I117" s="67"/>
      <c r="J117" s="67"/>
      <c r="K117" s="67"/>
    </row>
    <row r="118" spans="1:11" s="1588" customFormat="1" ht="15" customHeight="1">
      <c r="A118" s="99"/>
      <c r="B118" s="100"/>
      <c r="C118" s="45"/>
      <c r="D118" s="45"/>
      <c r="E118" s="45"/>
      <c r="F118" s="45"/>
      <c r="G118" s="45"/>
      <c r="H118" s="45"/>
      <c r="I118" s="45"/>
      <c r="J118" s="45"/>
      <c r="K118" s="45"/>
    </row>
    <row r="119" spans="1:11" s="1588" customFormat="1" ht="15" customHeight="1">
      <c r="A119" s="1992" t="s">
        <v>1834</v>
      </c>
      <c r="B119" s="1992"/>
      <c r="C119" s="1992"/>
      <c r="D119" s="1992"/>
      <c r="E119" s="1992"/>
      <c r="F119" s="1992"/>
      <c r="G119" s="1992"/>
      <c r="H119" s="1992"/>
      <c r="I119" s="1992"/>
      <c r="J119" s="1992"/>
      <c r="K119" s="1992"/>
    </row>
    <row r="120" spans="1:11" s="1588" customFormat="1" ht="15" hidden="1" customHeight="1" outlineLevel="1">
      <c r="A120" s="60" t="s">
        <v>4</v>
      </c>
      <c r="B120" s="61" t="s">
        <v>48</v>
      </c>
      <c r="C120" s="67"/>
      <c r="D120" s="67"/>
      <c r="E120" s="67"/>
      <c r="F120" s="67"/>
      <c r="G120" s="67"/>
      <c r="H120" s="67"/>
      <c r="I120" s="67"/>
      <c r="J120" s="67"/>
      <c r="K120" s="67"/>
    </row>
    <row r="121" spans="1:11" s="1588" customFormat="1" ht="15" hidden="1" customHeight="1" outlineLevel="1">
      <c r="A121" s="60"/>
      <c r="B121" s="70" t="s">
        <v>596</v>
      </c>
      <c r="C121" s="250"/>
      <c r="D121" s="67"/>
      <c r="E121" s="67"/>
      <c r="F121" s="67"/>
      <c r="G121" s="67"/>
      <c r="H121" s="250"/>
      <c r="I121" s="251"/>
      <c r="J121" s="251"/>
      <c r="K121" s="251"/>
    </row>
    <row r="122" spans="1:11" s="1588" customFormat="1" ht="15" hidden="1" customHeight="1" outlineLevel="1">
      <c r="A122" s="60"/>
      <c r="B122" s="70" t="s">
        <v>597</v>
      </c>
      <c r="C122" s="67"/>
      <c r="D122" s="67"/>
      <c r="E122" s="67"/>
      <c r="F122" s="67"/>
      <c r="G122" s="67"/>
      <c r="H122" s="67"/>
      <c r="I122" s="67"/>
      <c r="J122" s="67"/>
      <c r="K122" s="67"/>
    </row>
    <row r="123" spans="1:11" s="1588" customFormat="1" ht="15" hidden="1" customHeight="1" outlineLevel="1">
      <c r="A123" s="60"/>
      <c r="B123" s="70" t="s">
        <v>598</v>
      </c>
      <c r="C123" s="67"/>
      <c r="D123" s="67"/>
      <c r="E123" s="67"/>
      <c r="F123" s="67"/>
      <c r="G123" s="67"/>
      <c r="H123" s="67"/>
      <c r="I123" s="67"/>
      <c r="J123" s="67"/>
      <c r="K123" s="67"/>
    </row>
    <row r="124" spans="1:11" s="1588" customFormat="1" ht="15" hidden="1" customHeight="1" outlineLevel="1">
      <c r="A124" s="60"/>
      <c r="B124" s="70" t="s">
        <v>599</v>
      </c>
      <c r="C124" s="67"/>
      <c r="D124" s="67"/>
      <c r="E124" s="67"/>
      <c r="F124" s="67"/>
      <c r="G124" s="67"/>
      <c r="H124" s="67"/>
      <c r="I124" s="67"/>
      <c r="J124" s="67"/>
      <c r="K124" s="67"/>
    </row>
    <row r="125" spans="1:11" s="1588" customFormat="1" ht="15" hidden="1" customHeight="1" outlineLevel="1">
      <c r="A125" s="60"/>
      <c r="B125" s="70" t="s">
        <v>600</v>
      </c>
      <c r="C125" s="67"/>
      <c r="D125" s="67"/>
      <c r="E125" s="67"/>
      <c r="F125" s="67"/>
      <c r="G125" s="67"/>
      <c r="H125" s="67"/>
      <c r="I125" s="67"/>
      <c r="J125" s="67"/>
      <c r="K125" s="67"/>
    </row>
    <row r="126" spans="1:11" s="1588" customFormat="1" ht="15" hidden="1" customHeight="1" outlineLevel="1">
      <c r="A126" s="60"/>
      <c r="B126" s="70" t="s">
        <v>601</v>
      </c>
      <c r="C126" s="67"/>
      <c r="D126" s="67"/>
      <c r="E126" s="67"/>
      <c r="F126" s="67"/>
      <c r="G126" s="67"/>
      <c r="H126" s="67"/>
      <c r="I126" s="67"/>
      <c r="J126" s="67"/>
      <c r="K126" s="67"/>
    </row>
    <row r="127" spans="1:11" s="1588" customFormat="1" ht="15" hidden="1" customHeight="1" outlineLevel="1">
      <c r="A127" s="60"/>
      <c r="B127" s="70" t="s">
        <v>26</v>
      </c>
      <c r="C127" s="67"/>
      <c r="D127" s="67"/>
      <c r="E127" s="67"/>
      <c r="F127" s="67"/>
      <c r="G127" s="67"/>
      <c r="H127" s="67"/>
      <c r="I127" s="67"/>
      <c r="J127" s="67"/>
      <c r="K127" s="67"/>
    </row>
    <row r="128" spans="1:11" s="1588" customFormat="1" ht="15" hidden="1" customHeight="1" outlineLevel="1">
      <c r="A128" s="60" t="s">
        <v>434</v>
      </c>
      <c r="B128" s="70" t="s">
        <v>602</v>
      </c>
      <c r="C128" s="67"/>
      <c r="D128" s="67"/>
      <c r="E128" s="67"/>
      <c r="F128" s="67"/>
      <c r="G128" s="67"/>
      <c r="H128" s="67"/>
      <c r="I128" s="67"/>
      <c r="J128" s="67"/>
      <c r="K128" s="67"/>
    </row>
    <row r="129" spans="1:11" s="1588" customFormat="1" ht="15" hidden="1" customHeight="1" outlineLevel="1">
      <c r="A129" s="60"/>
      <c r="B129" s="70" t="s">
        <v>26</v>
      </c>
      <c r="C129" s="67"/>
      <c r="D129" s="67"/>
      <c r="E129" s="67"/>
      <c r="F129" s="67"/>
      <c r="G129" s="67"/>
      <c r="H129" s="67"/>
      <c r="I129" s="67"/>
      <c r="J129" s="67"/>
      <c r="K129" s="67"/>
    </row>
    <row r="130" spans="1:11" s="1588" customFormat="1" ht="60" collapsed="1">
      <c r="A130" s="256" t="s">
        <v>603</v>
      </c>
      <c r="B130" s="257" t="s">
        <v>604</v>
      </c>
      <c r="C130" s="258">
        <f>'4.6_генерация_КТЭЦ с косв.'!J93</f>
        <v>1769284.030008974</v>
      </c>
      <c r="D130" s="269">
        <f>'4.1_КТЭЦ'!CB20</f>
        <v>1091.269</v>
      </c>
      <c r="E130" s="258"/>
      <c r="F130" s="269">
        <f>'4.3_КТЭЦ'!AE8</f>
        <v>307.87799999999999</v>
      </c>
      <c r="G130" s="258"/>
      <c r="H130" s="258">
        <f>'4.6_генерация_КТЭЦ с косв.'!J10</f>
        <v>922221.98336478905</v>
      </c>
      <c r="I130" s="259">
        <f>C130/D130</f>
        <v>1621.3087973808235</v>
      </c>
      <c r="J130" s="259">
        <f>H130/D130</f>
        <v>845.09134169924107</v>
      </c>
      <c r="K130" s="259">
        <f>(C130-H130)/(F130*12)</f>
        <v>229.27427061048667</v>
      </c>
    </row>
    <row r="131" spans="1:11" s="1588" customFormat="1" ht="15" customHeight="1">
      <c r="A131" s="824"/>
      <c r="B131" s="807" t="s">
        <v>596</v>
      </c>
      <c r="C131" s="806">
        <f>F131/F130*C130</f>
        <v>1766749.7331211355</v>
      </c>
      <c r="D131" s="871">
        <f>'4.1_КТЭЦ'!CC20</f>
        <v>1088.3689999999999</v>
      </c>
      <c r="E131" s="853"/>
      <c r="F131" s="871">
        <f>'4.3_КТЭЦ'!AE9</f>
        <v>307.43700000000001</v>
      </c>
      <c r="G131" s="853"/>
      <c r="H131" s="806">
        <f>H130-H133</f>
        <v>920901.00591702119</v>
      </c>
      <c r="I131" s="855">
        <f>C131/D131</f>
        <v>1623.300308186962</v>
      </c>
      <c r="J131" s="855">
        <f>H131/D131</f>
        <v>846.12939721456712</v>
      </c>
      <c r="K131" s="855">
        <f>(C131-H131)/(F131*12)</f>
        <v>229.27427061048667</v>
      </c>
    </row>
    <row r="132" spans="1:11" s="1588" customFormat="1" ht="15" customHeight="1">
      <c r="A132" s="60"/>
      <c r="B132" s="70" t="s">
        <v>597</v>
      </c>
      <c r="C132" s="67"/>
      <c r="D132" s="872"/>
      <c r="E132" s="67"/>
      <c r="F132" s="872"/>
      <c r="G132" s="67"/>
      <c r="H132" s="67"/>
      <c r="I132" s="67"/>
      <c r="J132" s="67"/>
      <c r="K132" s="67"/>
    </row>
    <row r="133" spans="1:11" s="1588" customFormat="1" ht="15" customHeight="1">
      <c r="A133" s="824"/>
      <c r="B133" s="807" t="s">
        <v>598</v>
      </c>
      <c r="C133" s="806">
        <f>C130-C131</f>
        <v>2534.2968878385145</v>
      </c>
      <c r="D133" s="871">
        <f>'4.1_КТЭЦ'!CG20</f>
        <v>2.8999999999999986</v>
      </c>
      <c r="E133" s="853"/>
      <c r="F133" s="871">
        <f>'4.3_КТЭЦ'!AE13</f>
        <v>0.441</v>
      </c>
      <c r="G133" s="853"/>
      <c r="H133" s="806">
        <f>F133/F130*H130</f>
        <v>1320.9774477678561</v>
      </c>
      <c r="I133" s="855">
        <f>C133/D133</f>
        <v>873.89547856500542</v>
      </c>
      <c r="J133" s="855">
        <f>H133/D133</f>
        <v>455.50946474753681</v>
      </c>
      <c r="K133" s="855">
        <f>(C133-H133)/(F133*12)</f>
        <v>229.27427061047968</v>
      </c>
    </row>
    <row r="134" spans="1:11" s="1588" customFormat="1" ht="15" customHeight="1">
      <c r="A134" s="60"/>
      <c r="B134" s="70" t="s">
        <v>599</v>
      </c>
      <c r="C134" s="67"/>
      <c r="D134" s="67"/>
      <c r="E134" s="67"/>
      <c r="F134" s="67"/>
      <c r="G134" s="67"/>
      <c r="H134" s="67"/>
      <c r="I134" s="67"/>
      <c r="J134" s="67"/>
      <c r="K134" s="67"/>
    </row>
    <row r="135" spans="1:11" s="1588" customFormat="1" ht="15" customHeight="1">
      <c r="A135" s="60"/>
      <c r="B135" s="70" t="s">
        <v>600</v>
      </c>
      <c r="C135" s="67"/>
      <c r="D135" s="67"/>
      <c r="E135" s="67"/>
      <c r="F135" s="67"/>
      <c r="G135" s="67"/>
      <c r="H135" s="67"/>
      <c r="I135" s="67"/>
      <c r="J135" s="67"/>
      <c r="K135" s="67"/>
    </row>
    <row r="136" spans="1:11" s="1588" customFormat="1" ht="15" customHeight="1">
      <c r="A136" s="60"/>
      <c r="B136" s="70" t="s">
        <v>601</v>
      </c>
      <c r="C136" s="67"/>
      <c r="D136" s="67"/>
      <c r="E136" s="67"/>
      <c r="F136" s="67"/>
      <c r="G136" s="67"/>
      <c r="H136" s="67"/>
      <c r="I136" s="67"/>
      <c r="J136" s="67"/>
      <c r="K136" s="67"/>
    </row>
    <row r="137" spans="1:11" s="1588" customFormat="1" ht="15" customHeight="1">
      <c r="A137" s="99"/>
      <c r="B137" s="100"/>
      <c r="C137" s="45"/>
      <c r="D137" s="45"/>
      <c r="E137" s="45"/>
      <c r="F137" s="45"/>
      <c r="G137" s="45"/>
      <c r="H137" s="45"/>
      <c r="I137" s="45"/>
      <c r="J137" s="45"/>
      <c r="K137" s="45"/>
    </row>
    <row r="138" spans="1:11" s="773" customFormat="1" ht="15">
      <c r="A138" s="1994" t="s">
        <v>1688</v>
      </c>
      <c r="B138" s="1995"/>
      <c r="C138" s="1995"/>
      <c r="D138" s="1995"/>
      <c r="E138" s="1995"/>
      <c r="F138" s="1995"/>
      <c r="G138" s="1995"/>
      <c r="H138" s="1995"/>
      <c r="I138" s="1995"/>
      <c r="J138" s="1995"/>
      <c r="K138" s="1996"/>
    </row>
    <row r="139" spans="1:11" s="773" customFormat="1" ht="15" hidden="1" customHeight="1" outlineLevel="1">
      <c r="A139" s="60" t="s">
        <v>4</v>
      </c>
      <c r="B139" s="61" t="s">
        <v>48</v>
      </c>
      <c r="C139" s="67"/>
      <c r="D139" s="67"/>
      <c r="E139" s="67"/>
      <c r="F139" s="67"/>
      <c r="G139" s="67"/>
      <c r="H139" s="67"/>
      <c r="I139" s="67"/>
      <c r="J139" s="67"/>
      <c r="K139" s="67"/>
    </row>
    <row r="140" spans="1:11" s="773" customFormat="1" ht="15" hidden="1" customHeight="1" outlineLevel="1">
      <c r="A140" s="60"/>
      <c r="B140" s="70" t="s">
        <v>596</v>
      </c>
      <c r="C140" s="250"/>
      <c r="D140" s="67"/>
      <c r="E140" s="67"/>
      <c r="F140" s="67"/>
      <c r="G140" s="67"/>
      <c r="H140" s="250"/>
      <c r="I140" s="251"/>
      <c r="J140" s="251"/>
      <c r="K140" s="251"/>
    </row>
    <row r="141" spans="1:11" s="773" customFormat="1" ht="18" hidden="1" customHeight="1" outlineLevel="1">
      <c r="A141" s="60"/>
      <c r="B141" s="70" t="s">
        <v>597</v>
      </c>
      <c r="C141" s="67"/>
      <c r="D141" s="67"/>
      <c r="E141" s="67"/>
      <c r="F141" s="67"/>
      <c r="G141" s="67"/>
      <c r="H141" s="67"/>
      <c r="I141" s="67"/>
      <c r="J141" s="67"/>
      <c r="K141" s="67"/>
    </row>
    <row r="142" spans="1:11" s="773" customFormat="1" ht="18" hidden="1" customHeight="1" outlineLevel="1">
      <c r="A142" s="60"/>
      <c r="B142" s="70" t="s">
        <v>598</v>
      </c>
      <c r="C142" s="67"/>
      <c r="D142" s="67"/>
      <c r="E142" s="67"/>
      <c r="F142" s="67"/>
      <c r="G142" s="67"/>
      <c r="H142" s="67"/>
      <c r="I142" s="67"/>
      <c r="J142" s="67"/>
      <c r="K142" s="67"/>
    </row>
    <row r="143" spans="1:11" s="773" customFormat="1" ht="18" hidden="1" customHeight="1" outlineLevel="1">
      <c r="A143" s="60"/>
      <c r="B143" s="70" t="s">
        <v>599</v>
      </c>
      <c r="C143" s="67"/>
      <c r="D143" s="67"/>
      <c r="E143" s="67"/>
      <c r="F143" s="67"/>
      <c r="G143" s="67"/>
      <c r="H143" s="67"/>
      <c r="I143" s="67"/>
      <c r="J143" s="67"/>
      <c r="K143" s="67"/>
    </row>
    <row r="144" spans="1:11" s="773" customFormat="1" ht="18" hidden="1" customHeight="1" outlineLevel="1">
      <c r="A144" s="60"/>
      <c r="B144" s="70" t="s">
        <v>600</v>
      </c>
      <c r="C144" s="67"/>
      <c r="D144" s="67"/>
      <c r="E144" s="67"/>
      <c r="F144" s="67"/>
      <c r="G144" s="67"/>
      <c r="H144" s="67"/>
      <c r="I144" s="67"/>
      <c r="J144" s="67"/>
      <c r="K144" s="67"/>
    </row>
    <row r="145" spans="1:12" s="773" customFormat="1" ht="15" hidden="1" customHeight="1" outlineLevel="1">
      <c r="A145" s="60"/>
      <c r="B145" s="70" t="s">
        <v>601</v>
      </c>
      <c r="C145" s="67"/>
      <c r="D145" s="67"/>
      <c r="E145" s="67"/>
      <c r="F145" s="67"/>
      <c r="G145" s="67"/>
      <c r="H145" s="67"/>
      <c r="I145" s="67"/>
      <c r="J145" s="67"/>
      <c r="K145" s="67"/>
    </row>
    <row r="146" spans="1:12" s="773" customFormat="1" ht="15" hidden="1" outlineLevel="1">
      <c r="A146" s="60"/>
      <c r="B146" s="70" t="s">
        <v>26</v>
      </c>
      <c r="C146" s="67"/>
      <c r="D146" s="67"/>
      <c r="E146" s="67"/>
      <c r="F146" s="67"/>
      <c r="G146" s="67"/>
      <c r="H146" s="67"/>
      <c r="I146" s="67"/>
      <c r="J146" s="67"/>
      <c r="K146" s="67"/>
    </row>
    <row r="147" spans="1:12" s="773" customFormat="1" ht="15" hidden="1" customHeight="1" outlineLevel="1">
      <c r="A147" s="60" t="s">
        <v>434</v>
      </c>
      <c r="B147" s="70" t="s">
        <v>602</v>
      </c>
      <c r="C147" s="67"/>
      <c r="D147" s="67"/>
      <c r="E147" s="67"/>
      <c r="F147" s="67"/>
      <c r="G147" s="67"/>
      <c r="H147" s="67"/>
      <c r="I147" s="67"/>
      <c r="J147" s="67"/>
      <c r="K147" s="67"/>
    </row>
    <row r="148" spans="1:12" s="773" customFormat="1" ht="15" hidden="1" outlineLevel="1">
      <c r="A148" s="60"/>
      <c r="B148" s="70" t="s">
        <v>26</v>
      </c>
      <c r="C148" s="67"/>
      <c r="D148" s="67"/>
      <c r="E148" s="67"/>
      <c r="F148" s="67"/>
      <c r="G148" s="67"/>
      <c r="H148" s="67"/>
      <c r="I148" s="67"/>
      <c r="J148" s="67"/>
      <c r="K148" s="67"/>
    </row>
    <row r="149" spans="1:12" s="108" customFormat="1" ht="60.75" customHeight="1" collapsed="1">
      <c r="A149" s="256" t="s">
        <v>603</v>
      </c>
      <c r="B149" s="257" t="s">
        <v>604</v>
      </c>
      <c r="C149" s="258">
        <f>'4.6_генерация_КТЭЦ с косв.'!K93</f>
        <v>2833366.353981141</v>
      </c>
      <c r="D149" s="269">
        <f>'4.1_КТЭЦ'!CM20</f>
        <v>1091.269</v>
      </c>
      <c r="E149" s="258"/>
      <c r="F149" s="269">
        <f>'4.3_КТЭЦ'!AI8</f>
        <v>307.87799999999999</v>
      </c>
      <c r="G149" s="258"/>
      <c r="H149" s="258">
        <f>'4.6_генерация_КТЭЦ с косв.'!K10</f>
        <v>940898.01732465264</v>
      </c>
      <c r="I149" s="259">
        <f>C149/D149</f>
        <v>2596.395896869737</v>
      </c>
      <c r="J149" s="259">
        <f>H149/D149</f>
        <v>862.20539328493032</v>
      </c>
      <c r="K149" s="259">
        <f>(C149-H149)/(F149*12)</f>
        <v>512.23437439951556</v>
      </c>
    </row>
    <row r="150" spans="1:12" s="854" customFormat="1" ht="15" customHeight="1">
      <c r="A150" s="824"/>
      <c r="B150" s="807" t="s">
        <v>596</v>
      </c>
      <c r="C150" s="806">
        <f>F150/F149*C149</f>
        <v>2829307.8809427763</v>
      </c>
      <c r="D150" s="871">
        <f>'4.1_КТЭЦ'!CN20</f>
        <v>1088.3689999999999</v>
      </c>
      <c r="E150" s="853"/>
      <c r="F150" s="871">
        <f>'4.3_КТЭЦ'!AI9</f>
        <v>307.43700000000001</v>
      </c>
      <c r="G150" s="853"/>
      <c r="H150" s="806">
        <f>H149-H152</f>
        <v>939550.28859561007</v>
      </c>
      <c r="I150" s="855">
        <f>C150/D150</f>
        <v>2599.5851415675902</v>
      </c>
      <c r="J150" s="855">
        <f>H150/D150</f>
        <v>863.26447059371424</v>
      </c>
      <c r="K150" s="855">
        <f>(C150-H150)/(F150*12)</f>
        <v>512.23437439951556</v>
      </c>
      <c r="L150" s="856">
        <f>C150-H150</f>
        <v>1889757.5923471663</v>
      </c>
    </row>
    <row r="151" spans="1:12" s="773" customFormat="1" ht="20.25" customHeight="1">
      <c r="A151" s="60"/>
      <c r="B151" s="70" t="s">
        <v>597</v>
      </c>
      <c r="C151" s="67"/>
      <c r="D151" s="872"/>
      <c r="E151" s="67"/>
      <c r="F151" s="872"/>
      <c r="G151" s="67"/>
      <c r="H151" s="67"/>
      <c r="I151" s="67"/>
      <c r="J151" s="67"/>
      <c r="K151" s="67"/>
    </row>
    <row r="152" spans="1:12" s="854" customFormat="1" ht="18" customHeight="1">
      <c r="A152" s="824"/>
      <c r="B152" s="807" t="s">
        <v>598</v>
      </c>
      <c r="C152" s="806">
        <f>C149-C150</f>
        <v>4058.4730383646674</v>
      </c>
      <c r="D152" s="871">
        <f>'4.1_КТЭЦ'!CT20</f>
        <v>2.9000000000000057</v>
      </c>
      <c r="E152" s="853"/>
      <c r="F152" s="871">
        <f>'4.3_КТЭЦ'!AI15</f>
        <v>0.441</v>
      </c>
      <c r="G152" s="853"/>
      <c r="H152" s="806">
        <f>F152/F149*H149</f>
        <v>1347.7287290425813</v>
      </c>
      <c r="I152" s="855">
        <f>C152/D152</f>
        <v>1399.473461505055</v>
      </c>
      <c r="J152" s="855">
        <f>H152/D152</f>
        <v>464.73404449744095</v>
      </c>
      <c r="K152" s="855">
        <f>(C152-H152)/(F152*12)</f>
        <v>512.23437439948725</v>
      </c>
    </row>
    <row r="153" spans="1:12" s="773" customFormat="1" ht="17.25" customHeight="1">
      <c r="A153" s="60"/>
      <c r="B153" s="70" t="s">
        <v>599</v>
      </c>
      <c r="C153" s="67"/>
      <c r="D153" s="67"/>
      <c r="E153" s="67"/>
      <c r="F153" s="67"/>
      <c r="G153" s="67"/>
      <c r="H153" s="67"/>
      <c r="I153" s="67"/>
      <c r="J153" s="67"/>
      <c r="K153" s="67"/>
    </row>
    <row r="154" spans="1:12" s="773" customFormat="1" ht="18" customHeight="1">
      <c r="A154" s="60"/>
      <c r="B154" s="70" t="s">
        <v>600</v>
      </c>
      <c r="C154" s="67"/>
      <c r="D154" s="67"/>
      <c r="E154" s="67"/>
      <c r="F154" s="67"/>
      <c r="G154" s="67"/>
      <c r="H154" s="67"/>
      <c r="I154" s="67"/>
      <c r="J154" s="67"/>
      <c r="K154" s="67"/>
    </row>
    <row r="155" spans="1:12" s="773" customFormat="1" ht="15" customHeight="1">
      <c r="A155" s="60"/>
      <c r="B155" s="70" t="s">
        <v>601</v>
      </c>
      <c r="C155" s="67"/>
      <c r="D155" s="67"/>
      <c r="E155" s="67"/>
      <c r="F155" s="67"/>
      <c r="G155" s="67"/>
      <c r="H155" s="67"/>
      <c r="I155" s="67"/>
      <c r="J155" s="67"/>
      <c r="K155" s="67"/>
    </row>
    <row r="156" spans="1:12" s="773" customFormat="1" ht="15" customHeight="1">
      <c r="A156" s="99"/>
      <c r="B156" s="100"/>
      <c r="C156" s="45"/>
      <c r="D156" s="45"/>
      <c r="E156" s="45"/>
      <c r="F156" s="45"/>
      <c r="G156" s="45"/>
      <c r="H156" s="45"/>
      <c r="I156" s="45"/>
      <c r="J156" s="45"/>
      <c r="K156" s="45"/>
    </row>
    <row r="157" spans="1:12" s="773" customFormat="1" ht="15" hidden="1" customHeight="1" outlineLevel="1">
      <c r="A157" s="99"/>
      <c r="B157" s="100"/>
      <c r="C157" s="45"/>
      <c r="D157" s="45"/>
      <c r="E157" s="45"/>
      <c r="F157" s="45"/>
      <c r="G157" s="45"/>
      <c r="H157" s="45"/>
      <c r="I157" s="45"/>
      <c r="J157" s="45"/>
      <c r="K157" s="45"/>
    </row>
    <row r="158" spans="1:12" s="773" customFormat="1" ht="15" hidden="1" customHeight="1" outlineLevel="1">
      <c r="A158" s="99"/>
      <c r="B158" s="100"/>
      <c r="C158" s="45"/>
      <c r="D158" s="45"/>
      <c r="E158" s="45"/>
      <c r="F158" s="45"/>
      <c r="G158" s="45"/>
      <c r="H158" s="45"/>
      <c r="I158" s="45"/>
      <c r="J158" s="45"/>
      <c r="K158" s="45"/>
    </row>
    <row r="159" spans="1:12" s="773" customFormat="1" ht="15" collapsed="1">
      <c r="A159" s="1992" t="s">
        <v>1848</v>
      </c>
      <c r="B159" s="1992"/>
      <c r="C159" s="1992"/>
      <c r="D159" s="1992"/>
      <c r="E159" s="1992"/>
      <c r="F159" s="1992"/>
      <c r="G159" s="1992"/>
      <c r="H159" s="1992"/>
      <c r="I159" s="1992"/>
      <c r="J159" s="1992"/>
      <c r="K159" s="1992"/>
    </row>
    <row r="160" spans="1:12" s="773" customFormat="1" ht="15" hidden="1" customHeight="1" outlineLevel="1">
      <c r="A160" s="60" t="s">
        <v>4</v>
      </c>
      <c r="B160" s="61" t="s">
        <v>48</v>
      </c>
      <c r="C160" s="67"/>
      <c r="D160" s="67"/>
      <c r="E160" s="67"/>
      <c r="F160" s="67"/>
      <c r="G160" s="67"/>
      <c r="H160" s="67"/>
      <c r="I160" s="67"/>
      <c r="J160" s="67"/>
      <c r="K160" s="67"/>
    </row>
    <row r="161" spans="1:11" s="773" customFormat="1" ht="15" hidden="1" customHeight="1" outlineLevel="1">
      <c r="A161" s="60"/>
      <c r="B161" s="70" t="s">
        <v>596</v>
      </c>
      <c r="C161" s="250"/>
      <c r="D161" s="67"/>
      <c r="E161" s="67"/>
      <c r="F161" s="67"/>
      <c r="G161" s="67"/>
      <c r="H161" s="250"/>
      <c r="I161" s="251"/>
      <c r="J161" s="251"/>
      <c r="K161" s="251"/>
    </row>
    <row r="162" spans="1:11" s="773" customFormat="1" ht="18" hidden="1" customHeight="1" outlineLevel="1">
      <c r="A162" s="60"/>
      <c r="B162" s="70" t="s">
        <v>597</v>
      </c>
      <c r="C162" s="67"/>
      <c r="D162" s="67"/>
      <c r="E162" s="67"/>
      <c r="F162" s="67"/>
      <c r="G162" s="67"/>
      <c r="H162" s="67"/>
      <c r="I162" s="67"/>
      <c r="J162" s="67"/>
      <c r="K162" s="67"/>
    </row>
    <row r="163" spans="1:11" s="773" customFormat="1" ht="18" hidden="1" customHeight="1" outlineLevel="1">
      <c r="A163" s="60"/>
      <c r="B163" s="70" t="s">
        <v>598</v>
      </c>
      <c r="C163" s="67"/>
      <c r="D163" s="67"/>
      <c r="E163" s="67"/>
      <c r="F163" s="67"/>
      <c r="G163" s="67"/>
      <c r="H163" s="67"/>
      <c r="I163" s="67"/>
      <c r="J163" s="67"/>
      <c r="K163" s="67"/>
    </row>
    <row r="164" spans="1:11" s="773" customFormat="1" ht="18" hidden="1" customHeight="1" outlineLevel="1">
      <c r="A164" s="60"/>
      <c r="B164" s="70" t="s">
        <v>599</v>
      </c>
      <c r="C164" s="67"/>
      <c r="D164" s="67"/>
      <c r="E164" s="67"/>
      <c r="F164" s="67"/>
      <c r="G164" s="67"/>
      <c r="H164" s="67"/>
      <c r="I164" s="67"/>
      <c r="J164" s="67"/>
      <c r="K164" s="67"/>
    </row>
    <row r="165" spans="1:11" s="773" customFormat="1" ht="18" hidden="1" customHeight="1" outlineLevel="1">
      <c r="A165" s="60"/>
      <c r="B165" s="70" t="s">
        <v>600</v>
      </c>
      <c r="C165" s="67"/>
      <c r="D165" s="67"/>
      <c r="E165" s="67"/>
      <c r="F165" s="67"/>
      <c r="G165" s="67"/>
      <c r="H165" s="67"/>
      <c r="I165" s="67"/>
      <c r="J165" s="67"/>
      <c r="K165" s="67"/>
    </row>
    <row r="166" spans="1:11" s="773" customFormat="1" ht="15" hidden="1" customHeight="1" outlineLevel="1">
      <c r="A166" s="60"/>
      <c r="B166" s="70" t="s">
        <v>601</v>
      </c>
      <c r="C166" s="67"/>
      <c r="D166" s="67"/>
      <c r="E166" s="67"/>
      <c r="F166" s="67"/>
      <c r="G166" s="67"/>
      <c r="H166" s="67"/>
      <c r="I166" s="67"/>
      <c r="J166" s="67"/>
      <c r="K166" s="67"/>
    </row>
    <row r="167" spans="1:11" s="773" customFormat="1" ht="15" hidden="1" outlineLevel="1">
      <c r="A167" s="60"/>
      <c r="B167" s="70" t="s">
        <v>26</v>
      </c>
      <c r="C167" s="67"/>
      <c r="D167" s="67"/>
      <c r="E167" s="67"/>
      <c r="F167" s="67"/>
      <c r="G167" s="67"/>
      <c r="H167" s="67"/>
      <c r="I167" s="67"/>
      <c r="J167" s="67"/>
      <c r="K167" s="67"/>
    </row>
    <row r="168" spans="1:11" s="773" customFormat="1" ht="15" hidden="1" customHeight="1" outlineLevel="1">
      <c r="A168" s="60" t="s">
        <v>434</v>
      </c>
      <c r="B168" s="70" t="s">
        <v>602</v>
      </c>
      <c r="C168" s="67"/>
      <c r="D168" s="67"/>
      <c r="E168" s="67"/>
      <c r="F168" s="67"/>
      <c r="G168" s="67"/>
      <c r="H168" s="67"/>
      <c r="I168" s="67"/>
      <c r="J168" s="67"/>
      <c r="K168" s="67"/>
    </row>
    <row r="169" spans="1:11" s="773" customFormat="1" ht="15" hidden="1" outlineLevel="1">
      <c r="A169" s="60"/>
      <c r="B169" s="70" t="s">
        <v>26</v>
      </c>
      <c r="C169" s="67"/>
      <c r="D169" s="67"/>
      <c r="E169" s="67"/>
      <c r="F169" s="67"/>
      <c r="G169" s="67"/>
      <c r="H169" s="67"/>
      <c r="I169" s="67"/>
      <c r="J169" s="67"/>
      <c r="K169" s="67"/>
    </row>
    <row r="170" spans="1:11" s="108" customFormat="1" ht="60.75" customHeight="1" collapsed="1">
      <c r="A170" s="256" t="s">
        <v>603</v>
      </c>
      <c r="B170" s="257" t="s">
        <v>604</v>
      </c>
      <c r="C170" s="258">
        <f>'4.6_генерация_КТЭЦ с косв.'!L93</f>
        <v>1042767.7449822568</v>
      </c>
      <c r="D170" s="269">
        <f>'4.1_КТЭЦ'!CX20</f>
        <v>666.77</v>
      </c>
      <c r="E170" s="258"/>
      <c r="F170" s="269">
        <f>'4.3_КТЭЦ'!AM8</f>
        <v>307.87799999999999</v>
      </c>
      <c r="G170" s="258"/>
      <c r="H170" s="258">
        <f>'4.6_генерация_КТЭЦ с косв.'!L10</f>
        <v>563451.80582552869</v>
      </c>
      <c r="I170" s="259">
        <f>C170/D170</f>
        <v>1563.9092115455956</v>
      </c>
      <c r="J170" s="259">
        <f>H170/D170</f>
        <v>845.04672649568624</v>
      </c>
      <c r="K170" s="259">
        <f>(C170-H170)/(F170*6)</f>
        <v>259.47287516306682</v>
      </c>
    </row>
    <row r="171" spans="1:11" s="854" customFormat="1" ht="15" customHeight="1">
      <c r="A171" s="824"/>
      <c r="B171" s="807" t="s">
        <v>596</v>
      </c>
      <c r="C171" s="806">
        <f>F171/F170*C170</f>
        <v>1041274.0995267933</v>
      </c>
      <c r="D171" s="871">
        <f>'4.1_КТЭЦ'!CY20</f>
        <v>665.32999999999993</v>
      </c>
      <c r="E171" s="853"/>
      <c r="F171" s="871">
        <f>'4.3_КТЭЦ'!AM9</f>
        <v>307.43700000000001</v>
      </c>
      <c r="G171" s="853"/>
      <c r="H171" s="806">
        <f>H170-H173</f>
        <v>562644.72559774667</v>
      </c>
      <c r="I171" s="855">
        <f>C171/D171</f>
        <v>1565.0490726809155</v>
      </c>
      <c r="J171" s="855">
        <f>H171/D171</f>
        <v>845.66264199381772</v>
      </c>
      <c r="K171" s="855">
        <f>(C171-H171)/(F171*6)</f>
        <v>259.47287516306682</v>
      </c>
    </row>
    <row r="172" spans="1:11" s="773" customFormat="1" ht="20.25" customHeight="1">
      <c r="A172" s="60"/>
      <c r="B172" s="70" t="s">
        <v>597</v>
      </c>
      <c r="C172" s="67"/>
      <c r="D172" s="872"/>
      <c r="E172" s="67"/>
      <c r="F172" s="872"/>
      <c r="G172" s="67"/>
      <c r="H172" s="67"/>
      <c r="I172" s="67"/>
      <c r="J172" s="67"/>
      <c r="K172" s="67"/>
    </row>
    <row r="173" spans="1:11" s="854" customFormat="1" ht="18" customHeight="1">
      <c r="A173" s="824"/>
      <c r="B173" s="807" t="s">
        <v>598</v>
      </c>
      <c r="C173" s="806">
        <f>C170-C171</f>
        <v>1493.6454554634402</v>
      </c>
      <c r="D173" s="871">
        <f>'4.1_КТЭЦ'!DE20</f>
        <v>1.4400000000000013</v>
      </c>
      <c r="E173" s="853"/>
      <c r="F173" s="871">
        <f>'4.3_КТЭЦ'!AM15</f>
        <v>0.441</v>
      </c>
      <c r="G173" s="853"/>
      <c r="H173" s="806">
        <f>F173/F170*H170</f>
        <v>807.08022778197267</v>
      </c>
      <c r="I173" s="855">
        <f>C173/D173</f>
        <v>1037.2537885162769</v>
      </c>
      <c r="J173" s="855">
        <f>H173/D173</f>
        <v>560.4723804041472</v>
      </c>
      <c r="K173" s="855">
        <f>(C173-H173)/(F173*6)</f>
        <v>259.47287516306409</v>
      </c>
    </row>
    <row r="174" spans="1:11" s="773" customFormat="1" ht="17.25" customHeight="1">
      <c r="A174" s="60"/>
      <c r="B174" s="70" t="s">
        <v>599</v>
      </c>
      <c r="C174" s="67"/>
      <c r="D174" s="67"/>
      <c r="E174" s="67"/>
      <c r="F174" s="67"/>
      <c r="G174" s="67"/>
      <c r="H174" s="67"/>
      <c r="I174" s="67"/>
      <c r="J174" s="67"/>
      <c r="K174" s="67"/>
    </row>
    <row r="175" spans="1:11" s="773" customFormat="1" ht="18" customHeight="1">
      <c r="A175" s="60"/>
      <c r="B175" s="70" t="s">
        <v>600</v>
      </c>
      <c r="C175" s="67"/>
      <c r="D175" s="67"/>
      <c r="E175" s="67"/>
      <c r="F175" s="67"/>
      <c r="G175" s="67"/>
      <c r="H175" s="67"/>
      <c r="I175" s="67"/>
      <c r="J175" s="67"/>
      <c r="K175" s="67"/>
    </row>
    <row r="176" spans="1:11" s="773" customFormat="1" ht="15" customHeight="1">
      <c r="A176" s="60"/>
      <c r="B176" s="70" t="s">
        <v>601</v>
      </c>
      <c r="C176" s="67"/>
      <c r="D176" s="67"/>
      <c r="E176" s="67"/>
      <c r="F176" s="67"/>
      <c r="G176" s="67"/>
      <c r="H176" s="67"/>
      <c r="I176" s="67"/>
      <c r="J176" s="67"/>
      <c r="K176" s="67"/>
    </row>
    <row r="177" spans="1:11" s="773" customFormat="1" ht="15" hidden="1" customHeight="1" outlineLevel="1">
      <c r="A177" s="99"/>
      <c r="B177" s="100"/>
      <c r="C177" s="45"/>
      <c r="D177" s="45"/>
      <c r="E177" s="45"/>
      <c r="F177" s="45"/>
      <c r="G177" s="45"/>
      <c r="H177" s="45"/>
      <c r="I177" s="45"/>
      <c r="J177" s="45"/>
      <c r="K177" s="45"/>
    </row>
    <row r="178" spans="1:11" s="773" customFormat="1" ht="15" hidden="1" customHeight="1" outlineLevel="1">
      <c r="A178" s="99"/>
      <c r="B178" s="100"/>
      <c r="C178" s="45"/>
      <c r="D178" s="45"/>
      <c r="E178" s="45"/>
      <c r="F178" s="45"/>
      <c r="G178" s="45"/>
      <c r="H178" s="45"/>
      <c r="I178" s="45"/>
      <c r="J178" s="45"/>
      <c r="K178" s="45"/>
    </row>
    <row r="179" spans="1:11" s="773" customFormat="1" ht="15" hidden="1" customHeight="1" outlineLevel="1">
      <c r="A179" s="99"/>
      <c r="B179" s="100"/>
      <c r="C179" s="45"/>
      <c r="D179" s="45"/>
      <c r="E179" s="45"/>
      <c r="F179" s="45"/>
      <c r="G179" s="45"/>
      <c r="H179" s="45"/>
      <c r="I179" s="45"/>
      <c r="J179" s="45"/>
      <c r="K179" s="45"/>
    </row>
    <row r="180" spans="1:11" s="773" customFormat="1" ht="15" collapsed="1">
      <c r="A180" s="1992" t="s">
        <v>1849</v>
      </c>
      <c r="B180" s="1992"/>
      <c r="C180" s="1992"/>
      <c r="D180" s="1992"/>
      <c r="E180" s="1992"/>
      <c r="F180" s="1992"/>
      <c r="G180" s="1992"/>
      <c r="H180" s="1992"/>
      <c r="I180" s="1992"/>
      <c r="J180" s="1992"/>
      <c r="K180" s="1992"/>
    </row>
    <row r="181" spans="1:11" s="773" customFormat="1" ht="15" hidden="1" customHeight="1" outlineLevel="1">
      <c r="A181" s="60" t="s">
        <v>4</v>
      </c>
      <c r="B181" s="61" t="s">
        <v>48</v>
      </c>
      <c r="C181" s="67"/>
      <c r="D181" s="67"/>
      <c r="E181" s="67"/>
      <c r="F181" s="67"/>
      <c r="G181" s="67"/>
      <c r="H181" s="67"/>
      <c r="I181" s="67"/>
      <c r="J181" s="67"/>
      <c r="K181" s="67"/>
    </row>
    <row r="182" spans="1:11" s="773" customFormat="1" ht="15" hidden="1" customHeight="1" outlineLevel="1">
      <c r="A182" s="60"/>
      <c r="B182" s="70" t="s">
        <v>596</v>
      </c>
      <c r="C182" s="250"/>
      <c r="D182" s="67"/>
      <c r="E182" s="67"/>
      <c r="F182" s="67"/>
      <c r="G182" s="67"/>
      <c r="H182" s="250"/>
      <c r="I182" s="251"/>
      <c r="J182" s="251"/>
      <c r="K182" s="251"/>
    </row>
    <row r="183" spans="1:11" s="773" customFormat="1" ht="18" hidden="1" customHeight="1" outlineLevel="1">
      <c r="A183" s="60"/>
      <c r="B183" s="70" t="s">
        <v>597</v>
      </c>
      <c r="C183" s="67"/>
      <c r="D183" s="67"/>
      <c r="E183" s="67"/>
      <c r="F183" s="67"/>
      <c r="G183" s="67"/>
      <c r="H183" s="67"/>
      <c r="I183" s="67"/>
      <c r="J183" s="67"/>
      <c r="K183" s="67"/>
    </row>
    <row r="184" spans="1:11" s="773" customFormat="1" ht="18" hidden="1" customHeight="1" outlineLevel="1">
      <c r="A184" s="60"/>
      <c r="B184" s="70" t="s">
        <v>598</v>
      </c>
      <c r="C184" s="67"/>
      <c r="D184" s="67"/>
      <c r="E184" s="67"/>
      <c r="F184" s="67"/>
      <c r="G184" s="67"/>
      <c r="H184" s="67"/>
      <c r="I184" s="67"/>
      <c r="J184" s="67"/>
      <c r="K184" s="67"/>
    </row>
    <row r="185" spans="1:11" s="773" customFormat="1" ht="18" hidden="1" customHeight="1" outlineLevel="1">
      <c r="A185" s="60"/>
      <c r="B185" s="70" t="s">
        <v>599</v>
      </c>
      <c r="C185" s="67"/>
      <c r="D185" s="67"/>
      <c r="E185" s="67"/>
      <c r="F185" s="67"/>
      <c r="G185" s="67"/>
      <c r="H185" s="67"/>
      <c r="I185" s="67"/>
      <c r="J185" s="67"/>
      <c r="K185" s="67"/>
    </row>
    <row r="186" spans="1:11" s="773" customFormat="1" ht="18" hidden="1" customHeight="1" outlineLevel="1">
      <c r="A186" s="60"/>
      <c r="B186" s="70" t="s">
        <v>600</v>
      </c>
      <c r="C186" s="67"/>
      <c r="D186" s="67"/>
      <c r="E186" s="67"/>
      <c r="F186" s="67"/>
      <c r="G186" s="67"/>
      <c r="H186" s="67"/>
      <c r="I186" s="67"/>
      <c r="J186" s="67"/>
      <c r="K186" s="67"/>
    </row>
    <row r="187" spans="1:11" s="773" customFormat="1" ht="15" hidden="1" customHeight="1" outlineLevel="1">
      <c r="A187" s="60"/>
      <c r="B187" s="70" t="s">
        <v>601</v>
      </c>
      <c r="C187" s="67"/>
      <c r="D187" s="67"/>
      <c r="E187" s="67"/>
      <c r="F187" s="67"/>
      <c r="G187" s="67"/>
      <c r="H187" s="67"/>
      <c r="I187" s="67"/>
      <c r="J187" s="67"/>
      <c r="K187" s="67"/>
    </row>
    <row r="188" spans="1:11" s="773" customFormat="1" ht="15" hidden="1" outlineLevel="1">
      <c r="A188" s="60"/>
      <c r="B188" s="70" t="s">
        <v>26</v>
      </c>
      <c r="C188" s="67"/>
      <c r="D188" s="67"/>
      <c r="E188" s="67"/>
      <c r="F188" s="67"/>
      <c r="G188" s="67"/>
      <c r="H188" s="67"/>
      <c r="I188" s="67"/>
      <c r="J188" s="67"/>
      <c r="K188" s="67"/>
    </row>
    <row r="189" spans="1:11" s="773" customFormat="1" ht="15" hidden="1" customHeight="1" outlineLevel="1">
      <c r="A189" s="60" t="s">
        <v>434</v>
      </c>
      <c r="B189" s="70" t="s">
        <v>602</v>
      </c>
      <c r="C189" s="67"/>
      <c r="D189" s="67"/>
      <c r="E189" s="67"/>
      <c r="F189" s="67"/>
      <c r="G189" s="67"/>
      <c r="H189" s="67"/>
      <c r="I189" s="67"/>
      <c r="J189" s="67"/>
      <c r="K189" s="67"/>
    </row>
    <row r="190" spans="1:11" s="773" customFormat="1" ht="15" hidden="1" outlineLevel="1">
      <c r="A190" s="60"/>
      <c r="B190" s="70" t="s">
        <v>26</v>
      </c>
      <c r="C190" s="67"/>
      <c r="D190" s="67"/>
      <c r="E190" s="67"/>
      <c r="F190" s="67"/>
      <c r="G190" s="67"/>
      <c r="H190" s="67"/>
      <c r="I190" s="67"/>
      <c r="J190" s="67"/>
      <c r="K190" s="67"/>
    </row>
    <row r="191" spans="1:11" s="108" customFormat="1" ht="60.75" customHeight="1" collapsed="1">
      <c r="A191" s="256" t="s">
        <v>603</v>
      </c>
      <c r="B191" s="257" t="s">
        <v>604</v>
      </c>
      <c r="C191" s="258">
        <f>'4.6_генерация_КТЭЦ с косв.'!M93</f>
        <v>1790603.4397748841</v>
      </c>
      <c r="D191" s="269">
        <f>'4.1_КТЭЦ'!DI20</f>
        <v>424.49899999999997</v>
      </c>
      <c r="E191" s="258"/>
      <c r="F191" s="269">
        <f>'4.3_КТЭЦ'!AQ8</f>
        <v>307.87799999999999</v>
      </c>
      <c r="G191" s="258"/>
      <c r="H191" s="258">
        <f>'4.6_генерация_КТЭЦ с косв.'!M10</f>
        <v>377446.21149912395</v>
      </c>
      <c r="I191" s="259">
        <f>C191/D191</f>
        <v>4218.1570269302974</v>
      </c>
      <c r="J191" s="259">
        <f>H191/D191</f>
        <v>889.15689200474912</v>
      </c>
      <c r="K191" s="259">
        <f>(C191-H191)/(F191*6)</f>
        <v>764.99848872808934</v>
      </c>
    </row>
    <row r="192" spans="1:11" s="854" customFormat="1" ht="15" customHeight="1">
      <c r="A192" s="824"/>
      <c r="B192" s="807" t="s">
        <v>596</v>
      </c>
      <c r="C192" s="806">
        <f>F192/F191*C191</f>
        <v>1788038.6052724491</v>
      </c>
      <c r="D192" s="871">
        <f>'4.1_КТЭЦ'!DJ20</f>
        <v>423.03899999999999</v>
      </c>
      <c r="E192" s="853"/>
      <c r="F192" s="871">
        <f>'4.3_КТЭЦ'!AQ9</f>
        <v>307.43700000000001</v>
      </c>
      <c r="G192" s="853"/>
      <c r="H192" s="806">
        <f>H191-H194</f>
        <v>376905.56299786334</v>
      </c>
      <c r="I192" s="855">
        <f>C192/D192</f>
        <v>4226.6519287168539</v>
      </c>
      <c r="J192" s="855">
        <f>H192/D192</f>
        <v>890.94755565766593</v>
      </c>
      <c r="K192" s="855">
        <f>(C192-H192)/(F192*6)</f>
        <v>764.99848872808934</v>
      </c>
    </row>
    <row r="193" spans="1:11" s="773" customFormat="1" ht="20.25" customHeight="1">
      <c r="A193" s="60"/>
      <c r="B193" s="70" t="s">
        <v>597</v>
      </c>
      <c r="C193" s="67"/>
      <c r="D193" s="872"/>
      <c r="E193" s="67"/>
      <c r="F193" s="872"/>
      <c r="G193" s="67"/>
      <c r="H193" s="67"/>
      <c r="I193" s="67"/>
      <c r="J193" s="67"/>
      <c r="K193" s="67"/>
    </row>
    <row r="194" spans="1:11" s="854" customFormat="1" ht="18" customHeight="1">
      <c r="A194" s="824"/>
      <c r="B194" s="807" t="s">
        <v>598</v>
      </c>
      <c r="C194" s="806">
        <f>C191-C192</f>
        <v>2564.8345024350565</v>
      </c>
      <c r="D194" s="871">
        <f>'4.1_КТЭЦ'!DP20</f>
        <v>1.46</v>
      </c>
      <c r="E194" s="853"/>
      <c r="F194" s="871">
        <f>'4.3_КТЭЦ'!AQ15</f>
        <v>0.441</v>
      </c>
      <c r="G194" s="853"/>
      <c r="H194" s="806">
        <f>F194/F191*H191</f>
        <v>540.64850126060867</v>
      </c>
      <c r="I194" s="855">
        <f>C194/D194</f>
        <v>1756.7359605719566</v>
      </c>
      <c r="J194" s="855">
        <f>H194/D194</f>
        <v>370.3071926442525</v>
      </c>
      <c r="K194" s="855">
        <f>(C194-H194)/(F194*6)</f>
        <v>764.99848872806047</v>
      </c>
    </row>
    <row r="195" spans="1:11" s="773" customFormat="1" ht="17.25" customHeight="1">
      <c r="A195" s="60"/>
      <c r="B195" s="70" t="s">
        <v>599</v>
      </c>
      <c r="C195" s="67"/>
      <c r="D195" s="67"/>
      <c r="E195" s="67"/>
      <c r="F195" s="67"/>
      <c r="G195" s="67"/>
      <c r="H195" s="67"/>
      <c r="I195" s="67"/>
      <c r="J195" s="67"/>
      <c r="K195" s="67"/>
    </row>
    <row r="196" spans="1:11" s="773" customFormat="1" ht="18" customHeight="1">
      <c r="A196" s="60"/>
      <c r="B196" s="70" t="s">
        <v>600</v>
      </c>
      <c r="C196" s="67"/>
      <c r="D196" s="67"/>
      <c r="E196" s="67"/>
      <c r="F196" s="67"/>
      <c r="G196" s="67"/>
      <c r="H196" s="67"/>
      <c r="I196" s="67"/>
      <c r="J196" s="67"/>
      <c r="K196" s="67"/>
    </row>
    <row r="197" spans="1:11" s="773" customFormat="1" ht="15" customHeight="1">
      <c r="A197" s="60"/>
      <c r="B197" s="70" t="s">
        <v>601</v>
      </c>
      <c r="C197" s="67"/>
      <c r="D197" s="67"/>
      <c r="E197" s="67"/>
      <c r="F197" s="67"/>
      <c r="G197" s="67"/>
      <c r="H197" s="67"/>
      <c r="I197" s="67"/>
      <c r="J197" s="67"/>
      <c r="K197" s="67"/>
    </row>
    <row r="198" spans="1:11" s="773" customFormat="1" ht="15" hidden="1" customHeight="1" outlineLevel="1">
      <c r="A198" s="99"/>
      <c r="B198" s="100"/>
      <c r="C198" s="45"/>
      <c r="D198" s="45"/>
      <c r="E198" s="45"/>
      <c r="F198" s="45"/>
      <c r="G198" s="45"/>
      <c r="H198" s="45"/>
      <c r="I198" s="45"/>
      <c r="J198" s="45"/>
      <c r="K198" s="45"/>
    </row>
    <row r="199" spans="1:11" s="773" customFormat="1" ht="15" hidden="1" customHeight="1" outlineLevel="1">
      <c r="A199" s="99"/>
      <c r="B199" s="100"/>
      <c r="C199" s="45"/>
      <c r="D199" s="45"/>
      <c r="E199" s="45"/>
      <c r="F199" s="45"/>
      <c r="G199" s="45"/>
      <c r="H199" s="45"/>
      <c r="I199" s="45"/>
      <c r="J199" s="45"/>
      <c r="K199" s="45"/>
    </row>
    <row r="200" spans="1:11" s="773" customFormat="1" ht="15" hidden="1" customHeight="1" outlineLevel="1">
      <c r="A200" s="99"/>
      <c r="B200" s="100"/>
      <c r="C200" s="45"/>
      <c r="D200" s="45"/>
      <c r="E200" s="45"/>
      <c r="F200" s="45"/>
      <c r="G200" s="45"/>
      <c r="H200" s="45"/>
      <c r="I200" s="45"/>
      <c r="J200" s="45"/>
      <c r="K200" s="45"/>
    </row>
    <row r="201" spans="1:11" s="773" customFormat="1" ht="15" hidden="1" customHeight="1" outlineLevel="1">
      <c r="A201" s="99"/>
      <c r="B201" s="100"/>
      <c r="C201" s="45"/>
      <c r="D201" s="45"/>
      <c r="E201" s="45"/>
      <c r="F201" s="45"/>
      <c r="G201" s="45"/>
      <c r="H201" s="45"/>
      <c r="I201" s="45"/>
      <c r="J201" s="45"/>
      <c r="K201" s="45"/>
    </row>
    <row r="202" spans="1:11" s="773" customFormat="1" ht="15" hidden="1" customHeight="1" outlineLevel="1">
      <c r="A202" s="99"/>
      <c r="B202" s="100"/>
      <c r="C202" s="45"/>
      <c r="D202" s="45"/>
      <c r="E202" s="45"/>
      <c r="F202" s="45"/>
      <c r="G202" s="45"/>
      <c r="H202" s="45"/>
      <c r="I202" s="45"/>
      <c r="J202" s="45"/>
      <c r="K202" s="45"/>
    </row>
    <row r="203" spans="1:11" s="773" customFormat="1" ht="15" hidden="1" customHeight="1" outlineLevel="1">
      <c r="A203" s="99"/>
      <c r="B203" s="100"/>
      <c r="C203" s="45"/>
      <c r="D203" s="45"/>
      <c r="E203" s="45"/>
      <c r="F203" s="45"/>
      <c r="G203" s="45"/>
      <c r="H203" s="45"/>
      <c r="I203" s="45"/>
      <c r="J203" s="45"/>
      <c r="K203" s="45"/>
    </row>
    <row r="204" spans="1:11" s="773" customFormat="1" ht="15" hidden="1" outlineLevel="1">
      <c r="A204" s="99"/>
      <c r="B204" s="100"/>
      <c r="C204" s="45"/>
      <c r="D204" s="45"/>
      <c r="E204" s="45"/>
      <c r="F204" s="45"/>
      <c r="G204" s="45"/>
      <c r="H204" s="45"/>
      <c r="I204" s="45"/>
      <c r="J204" s="45"/>
      <c r="K204" s="45"/>
    </row>
    <row r="205" spans="1:11" s="773" customFormat="1" ht="15" hidden="1" outlineLevel="1">
      <c r="A205" s="99"/>
      <c r="B205" s="100"/>
      <c r="C205" s="45"/>
      <c r="D205" s="45"/>
      <c r="E205" s="45"/>
      <c r="F205" s="45"/>
      <c r="G205" s="45"/>
      <c r="H205" s="45"/>
      <c r="I205" s="45"/>
      <c r="J205" s="45"/>
      <c r="K205" s="45"/>
    </row>
    <row r="206" spans="1:11" s="773" customFormat="1" ht="15" hidden="1" outlineLevel="1">
      <c r="A206" s="99"/>
      <c r="B206" s="100"/>
      <c r="C206" s="45"/>
      <c r="D206" s="45"/>
      <c r="E206" s="45"/>
      <c r="F206" s="45"/>
      <c r="G206" s="45"/>
      <c r="H206" s="45"/>
      <c r="I206" s="45"/>
      <c r="J206" s="45"/>
      <c r="K206" s="45"/>
    </row>
    <row r="207" spans="1:11" s="773" customFormat="1" ht="15" hidden="1" outlineLevel="1">
      <c r="A207" s="99"/>
      <c r="B207" s="100"/>
      <c r="C207" s="45"/>
      <c r="D207" s="45"/>
      <c r="E207" s="45"/>
      <c r="F207" s="45"/>
      <c r="G207" s="45"/>
      <c r="H207" s="45"/>
      <c r="I207" s="45"/>
      <c r="J207" s="45"/>
      <c r="K207" s="45"/>
    </row>
    <row r="208" spans="1:11" s="773" customFormat="1" ht="15" hidden="1" outlineLevel="1">
      <c r="A208" s="99"/>
      <c r="B208" s="100"/>
      <c r="C208" s="45"/>
      <c r="D208" s="45"/>
      <c r="E208" s="45"/>
      <c r="F208" s="45"/>
      <c r="G208" s="45"/>
      <c r="H208" s="45"/>
      <c r="I208" s="45"/>
      <c r="J208" s="45"/>
      <c r="K208" s="45"/>
    </row>
    <row r="209" spans="1:11" s="773" customFormat="1" ht="15" hidden="1" outlineLevel="1">
      <c r="A209" s="99"/>
      <c r="B209" s="100"/>
      <c r="C209" s="45"/>
      <c r="D209" s="45"/>
      <c r="E209" s="45"/>
      <c r="F209" s="45"/>
      <c r="G209" s="45"/>
      <c r="H209" s="45"/>
      <c r="I209" s="45"/>
      <c r="J209" s="45"/>
      <c r="K209" s="45"/>
    </row>
    <row r="210" spans="1:11" s="773" customFormat="1" ht="15" hidden="1" outlineLevel="1">
      <c r="A210" s="99"/>
      <c r="B210" s="100"/>
      <c r="C210" s="45"/>
      <c r="D210" s="45"/>
      <c r="E210" s="45"/>
      <c r="F210" s="45"/>
      <c r="G210" s="45"/>
      <c r="H210" s="45"/>
      <c r="I210" s="45"/>
      <c r="J210" s="45"/>
      <c r="K210" s="45"/>
    </row>
    <row r="211" spans="1:11" s="773" customFormat="1" ht="15" hidden="1" outlineLevel="1">
      <c r="A211" s="99"/>
      <c r="B211" s="100"/>
      <c r="C211" s="45"/>
      <c r="D211" s="45"/>
      <c r="E211" s="45"/>
      <c r="F211" s="45"/>
      <c r="G211" s="45"/>
      <c r="H211" s="45"/>
      <c r="I211" s="45"/>
      <c r="J211" s="45"/>
      <c r="K211" s="45"/>
    </row>
    <row r="212" spans="1:11" ht="15" hidden="1" outlineLevel="1"/>
    <row r="213" spans="1:11" s="43" customFormat="1" ht="12.75" collapsed="1">
      <c r="A213" s="43" t="s">
        <v>88</v>
      </c>
    </row>
    <row r="214" spans="1:11" s="44" customFormat="1" ht="15" customHeight="1">
      <c r="A214" s="96" t="s">
        <v>89</v>
      </c>
      <c r="B214" s="44" t="s">
        <v>605</v>
      </c>
    </row>
    <row r="215" spans="1:11" s="44" customFormat="1" ht="15" customHeight="1">
      <c r="A215" s="96" t="s">
        <v>91</v>
      </c>
      <c r="B215" s="44" t="s">
        <v>606</v>
      </c>
    </row>
    <row r="216" spans="1:11" s="44" customFormat="1" ht="15" customHeight="1">
      <c r="B216" s="44" t="s">
        <v>607</v>
      </c>
    </row>
    <row r="217" spans="1:11" s="44" customFormat="1" ht="15" customHeight="1">
      <c r="B217" s="44" t="s">
        <v>608</v>
      </c>
    </row>
    <row r="218" spans="1:11" s="44" customFormat="1" ht="15" customHeight="1">
      <c r="A218" s="96" t="s">
        <v>93</v>
      </c>
      <c r="B218" s="44" t="s">
        <v>609</v>
      </c>
    </row>
    <row r="219" spans="1:11" s="44" customFormat="1" ht="15" customHeight="1">
      <c r="B219" s="44" t="s">
        <v>610</v>
      </c>
    </row>
    <row r="220" spans="1:11" s="44" customFormat="1" ht="15" customHeight="1">
      <c r="B220" s="44" t="s">
        <v>611</v>
      </c>
    </row>
    <row r="221" spans="1:11" s="44" customFormat="1" ht="15" customHeight="1">
      <c r="A221" s="96" t="s">
        <v>95</v>
      </c>
      <c r="B221" s="44" t="s">
        <v>612</v>
      </c>
    </row>
    <row r="222" spans="1:11" s="44" customFormat="1" ht="15" customHeight="1">
      <c r="A222" s="96" t="s">
        <v>97</v>
      </c>
      <c r="B222" s="44" t="s">
        <v>613</v>
      </c>
    </row>
    <row r="223" spans="1:11" s="44" customFormat="1" ht="39.75" customHeight="1">
      <c r="A223" s="96" t="s">
        <v>582</v>
      </c>
      <c r="B223" s="1993" t="s">
        <v>614</v>
      </c>
      <c r="C223" s="1993"/>
      <c r="D223" s="1993"/>
      <c r="E223" s="1993"/>
      <c r="F223" s="1993"/>
      <c r="G223" s="1993"/>
      <c r="H223" s="1993"/>
      <c r="I223" s="1993"/>
      <c r="J223" s="1993"/>
      <c r="K223" s="1993"/>
    </row>
    <row r="224" spans="1:11" s="44" customFormat="1" ht="14.25" customHeight="1">
      <c r="A224" s="96" t="s">
        <v>615</v>
      </c>
      <c r="B224" s="1993" t="s">
        <v>616</v>
      </c>
      <c r="C224" s="1993"/>
      <c r="D224" s="1993"/>
      <c r="E224" s="1993"/>
      <c r="F224" s="1993"/>
      <c r="G224" s="1993"/>
      <c r="H224" s="1993"/>
      <c r="I224" s="1993"/>
      <c r="J224" s="1993"/>
      <c r="K224" s="1993"/>
    </row>
    <row r="225" spans="2:11" s="44" customFormat="1" ht="27.75" customHeight="1">
      <c r="B225" s="97" t="s">
        <v>617</v>
      </c>
      <c r="C225" s="97"/>
      <c r="D225" s="97"/>
      <c r="E225" s="97"/>
      <c r="F225" s="97"/>
      <c r="G225" s="97"/>
      <c r="H225" s="97"/>
      <c r="I225" s="97"/>
      <c r="J225" s="97"/>
      <c r="K225" s="97"/>
    </row>
    <row r="226" spans="2:11" s="44" customFormat="1" ht="27.75" customHeight="1">
      <c r="B226" s="97" t="s">
        <v>618</v>
      </c>
      <c r="C226" s="97"/>
      <c r="D226" s="97"/>
      <c r="E226" s="97"/>
      <c r="F226" s="97"/>
      <c r="G226" s="97"/>
      <c r="H226" s="97"/>
      <c r="I226" s="97"/>
      <c r="J226" s="97"/>
      <c r="K226" s="97"/>
    </row>
    <row r="227" spans="2:11" s="773" customFormat="1" ht="24" customHeight="1"/>
  </sheetData>
  <mergeCells count="13">
    <mergeCell ref="A180:K180"/>
    <mergeCell ref="B223:K223"/>
    <mergeCell ref="B224:K224"/>
    <mergeCell ref="A4:K4"/>
    <mergeCell ref="A8:K8"/>
    <mergeCell ref="A26:K26"/>
    <mergeCell ref="A44:K44"/>
    <mergeCell ref="A138:K138"/>
    <mergeCell ref="A159:K159"/>
    <mergeCell ref="A62:K62"/>
    <mergeCell ref="A81:K81"/>
    <mergeCell ref="A100:K100"/>
    <mergeCell ref="A119:K119"/>
  </mergeCells>
  <pageMargins left="0.9" right="0.31496062992125984" top="0.31496062992125984" bottom="0.19685039370078741" header="0.19685039370078741" footer="0.19685039370078741"/>
  <pageSetup paperSize="9" scale="42" orientation="landscape" r:id="rId1"/>
  <headerFooter alignWithMargins="0"/>
  <rowBreaks count="1" manualBreakCount="1">
    <brk id="137" max="10" man="1"/>
  </rowBreaks>
  <legacy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59999389629810485"/>
  </sheetPr>
  <dimension ref="A1:L227"/>
  <sheetViews>
    <sheetView view="pageBreakPreview" zoomScale="80" zoomScaleNormal="100" zoomScaleSheetLayoutView="80" workbookViewId="0">
      <pane xSplit="2" ySplit="6" topLeftCell="C78" activePane="bottomRight" state="frozen"/>
      <selection activeCell="F148" sqref="F148"/>
      <selection pane="topRight" activeCell="F148" sqref="F148"/>
      <selection pane="bottomLeft" activeCell="F148" sqref="F148"/>
      <selection pane="bottomRight" activeCell="F148" sqref="F148"/>
    </sheetView>
  </sheetViews>
  <sheetFormatPr defaultColWidth="0.85546875" defaultRowHeight="12" customHeight="1" outlineLevelRow="1"/>
  <cols>
    <col min="1" max="1" width="5.140625" style="26" customWidth="1"/>
    <col min="2" max="2" width="44.5703125" style="26" customWidth="1"/>
    <col min="3" max="3" width="12.85546875" style="26" customWidth="1"/>
    <col min="4" max="4" width="15.42578125" style="26" customWidth="1"/>
    <col min="5" max="5" width="12.85546875" style="26" customWidth="1"/>
    <col min="6" max="6" width="19.140625" style="26" customWidth="1"/>
    <col min="7" max="7" width="14.85546875" style="26" customWidth="1"/>
    <col min="8" max="9" width="12.85546875" style="26" customWidth="1"/>
    <col min="10" max="10" width="14.85546875" style="26" customWidth="1"/>
    <col min="11" max="11" width="18.42578125" style="26" customWidth="1"/>
    <col min="12" max="12" width="12.85546875" style="26" customWidth="1"/>
    <col min="13" max="256" width="3.5703125" style="26" customWidth="1"/>
    <col min="257" max="16384" width="0.85546875" style="26"/>
  </cols>
  <sheetData>
    <row r="1" spans="1:11" ht="18.75" customHeight="1">
      <c r="A1" s="74" t="s">
        <v>765</v>
      </c>
    </row>
    <row r="2" spans="1:11" s="24" customFormat="1" ht="15">
      <c r="A2" s="759" t="str">
        <f>'4.1_котельные'!A2</f>
        <v>ПКГО - выработка котельными</v>
      </c>
      <c r="K2" s="25" t="s">
        <v>584</v>
      </c>
    </row>
    <row r="4" spans="1:11" ht="15.75" customHeight="1">
      <c r="A4" s="1968" t="s">
        <v>585</v>
      </c>
      <c r="B4" s="1968"/>
      <c r="C4" s="1968"/>
      <c r="D4" s="1968"/>
      <c r="E4" s="1968"/>
      <c r="F4" s="1968"/>
      <c r="G4" s="1968"/>
      <c r="H4" s="1968"/>
      <c r="I4" s="1968"/>
      <c r="J4" s="1968"/>
      <c r="K4" s="1968"/>
    </row>
    <row r="5" spans="1:11" ht="12.75" customHeight="1">
      <c r="A5" s="27"/>
      <c r="B5" s="27"/>
      <c r="C5" s="27"/>
      <c r="D5" s="27"/>
      <c r="E5" s="27"/>
      <c r="F5" s="27"/>
      <c r="G5" s="27"/>
      <c r="H5" s="27"/>
    </row>
    <row r="6" spans="1:11" s="31" customFormat="1" ht="120">
      <c r="A6" s="772" t="s">
        <v>0</v>
      </c>
      <c r="B6" s="772" t="s">
        <v>586</v>
      </c>
      <c r="C6" s="771" t="s">
        <v>587</v>
      </c>
      <c r="D6" s="771" t="s">
        <v>588</v>
      </c>
      <c r="E6" s="771" t="s">
        <v>589</v>
      </c>
      <c r="F6" s="771" t="s">
        <v>590</v>
      </c>
      <c r="G6" s="771" t="s">
        <v>591</v>
      </c>
      <c r="H6" s="771" t="s">
        <v>592</v>
      </c>
      <c r="I6" s="771" t="s">
        <v>593</v>
      </c>
      <c r="J6" s="771" t="s">
        <v>594</v>
      </c>
      <c r="K6" s="771" t="s">
        <v>935</v>
      </c>
    </row>
    <row r="7" spans="1:11" s="48" customFormat="1" ht="15">
      <c r="A7" s="13">
        <v>1</v>
      </c>
      <c r="B7" s="13">
        <v>2</v>
      </c>
      <c r="C7" s="33">
        <v>3</v>
      </c>
      <c r="D7" s="33">
        <v>4</v>
      </c>
      <c r="E7" s="33">
        <v>5</v>
      </c>
      <c r="F7" s="33">
        <v>6</v>
      </c>
      <c r="G7" s="33">
        <v>7</v>
      </c>
      <c r="H7" s="33">
        <v>8</v>
      </c>
      <c r="I7" s="33">
        <v>9</v>
      </c>
      <c r="J7" s="33">
        <v>10</v>
      </c>
      <c r="K7" s="33">
        <v>11</v>
      </c>
    </row>
    <row r="8" spans="1:11" s="48" customFormat="1" ht="15" hidden="1">
      <c r="A8" s="1992" t="s">
        <v>1129</v>
      </c>
      <c r="B8" s="1992"/>
      <c r="C8" s="1992"/>
      <c r="D8" s="1992"/>
      <c r="E8" s="1992"/>
      <c r="F8" s="1992"/>
      <c r="G8" s="1992"/>
      <c r="H8" s="1992"/>
      <c r="I8" s="1992"/>
      <c r="J8" s="1992"/>
      <c r="K8" s="1992"/>
    </row>
    <row r="9" spans="1:11" s="48" customFormat="1" ht="15" hidden="1">
      <c r="A9" s="60" t="s">
        <v>4</v>
      </c>
      <c r="B9" s="61" t="s">
        <v>48</v>
      </c>
      <c r="C9" s="67"/>
      <c r="D9" s="67"/>
      <c r="E9" s="67"/>
      <c r="F9" s="67"/>
      <c r="G9" s="67"/>
      <c r="H9" s="67"/>
      <c r="I9" s="67"/>
      <c r="J9" s="67"/>
      <c r="K9" s="67"/>
    </row>
    <row r="10" spans="1:11" s="48" customFormat="1" ht="15" hidden="1">
      <c r="A10" s="60"/>
      <c r="B10" s="70" t="s">
        <v>596</v>
      </c>
      <c r="C10" s="67"/>
      <c r="D10" s="67"/>
      <c r="E10" s="67"/>
      <c r="F10" s="67"/>
      <c r="G10" s="67"/>
      <c r="H10" s="67"/>
      <c r="I10" s="67"/>
      <c r="J10" s="67"/>
      <c r="K10" s="67"/>
    </row>
    <row r="11" spans="1:11" s="48" customFormat="1" ht="18" hidden="1">
      <c r="A11" s="60"/>
      <c r="B11" s="70" t="s">
        <v>597</v>
      </c>
      <c r="C11" s="67"/>
      <c r="D11" s="67"/>
      <c r="E11" s="67"/>
      <c r="F11" s="67"/>
      <c r="G11" s="67"/>
      <c r="H11" s="67"/>
      <c r="I11" s="67"/>
      <c r="J11" s="67"/>
      <c r="K11" s="67"/>
    </row>
    <row r="12" spans="1:11" s="48" customFormat="1" ht="18" hidden="1">
      <c r="A12" s="60"/>
      <c r="B12" s="70" t="s">
        <v>598</v>
      </c>
      <c r="C12" s="67"/>
      <c r="D12" s="67"/>
      <c r="E12" s="67"/>
      <c r="F12" s="67"/>
      <c r="G12" s="67"/>
      <c r="H12" s="67"/>
      <c r="I12" s="67"/>
      <c r="J12" s="67"/>
      <c r="K12" s="67"/>
    </row>
    <row r="13" spans="1:11" s="48" customFormat="1" ht="18" hidden="1">
      <c r="A13" s="60"/>
      <c r="B13" s="70" t="s">
        <v>599</v>
      </c>
      <c r="C13" s="67"/>
      <c r="D13" s="67"/>
      <c r="E13" s="67"/>
      <c r="F13" s="67"/>
      <c r="G13" s="67"/>
      <c r="H13" s="67"/>
      <c r="I13" s="67"/>
      <c r="J13" s="67"/>
      <c r="K13" s="67"/>
    </row>
    <row r="14" spans="1:11" s="48" customFormat="1" ht="18" hidden="1">
      <c r="A14" s="60"/>
      <c r="B14" s="70" t="s">
        <v>600</v>
      </c>
      <c r="C14" s="67"/>
      <c r="D14" s="67"/>
      <c r="E14" s="67"/>
      <c r="F14" s="67"/>
      <c r="G14" s="67"/>
      <c r="H14" s="67"/>
      <c r="I14" s="67"/>
      <c r="J14" s="67"/>
      <c r="K14" s="67"/>
    </row>
    <row r="15" spans="1:11" s="48" customFormat="1" ht="15" hidden="1">
      <c r="A15" s="60"/>
      <c r="B15" s="70" t="s">
        <v>601</v>
      </c>
      <c r="C15" s="67"/>
      <c r="D15" s="67"/>
      <c r="E15" s="67"/>
      <c r="F15" s="67"/>
      <c r="G15" s="67"/>
      <c r="H15" s="67"/>
      <c r="I15" s="67"/>
      <c r="J15" s="67"/>
      <c r="K15" s="67"/>
    </row>
    <row r="16" spans="1:11" s="48" customFormat="1" ht="15" hidden="1">
      <c r="A16" s="60"/>
      <c r="B16" s="70" t="s">
        <v>26</v>
      </c>
      <c r="C16" s="67"/>
      <c r="D16" s="67"/>
      <c r="E16" s="67"/>
      <c r="F16" s="67"/>
      <c r="G16" s="67"/>
      <c r="H16" s="67"/>
      <c r="I16" s="67"/>
      <c r="J16" s="67"/>
      <c r="K16" s="67"/>
    </row>
    <row r="17" spans="1:11" s="48" customFormat="1" ht="15" hidden="1">
      <c r="A17" s="60" t="s">
        <v>434</v>
      </c>
      <c r="B17" s="70" t="s">
        <v>602</v>
      </c>
      <c r="C17" s="67"/>
      <c r="D17" s="67"/>
      <c r="E17" s="67"/>
      <c r="F17" s="67"/>
      <c r="G17" s="67"/>
      <c r="H17" s="67"/>
      <c r="I17" s="67"/>
      <c r="J17" s="67"/>
      <c r="K17" s="67"/>
    </row>
    <row r="18" spans="1:11" s="48" customFormat="1" ht="15" hidden="1">
      <c r="A18" s="60"/>
      <c r="B18" s="70" t="s">
        <v>26</v>
      </c>
      <c r="C18" s="67"/>
      <c r="D18" s="67"/>
      <c r="E18" s="67"/>
      <c r="F18" s="67"/>
      <c r="G18" s="67"/>
      <c r="H18" s="67"/>
      <c r="I18" s="67"/>
      <c r="J18" s="67"/>
      <c r="K18" s="67"/>
    </row>
    <row r="19" spans="1:11" s="48" customFormat="1" ht="60" hidden="1">
      <c r="A19" s="256" t="s">
        <v>603</v>
      </c>
      <c r="B19" s="257" t="s">
        <v>604</v>
      </c>
      <c r="C19" s="258">
        <f>C20</f>
        <v>0</v>
      </c>
      <c r="D19" s="259" t="e">
        <f t="shared" ref="D19:K19" si="0">D20</f>
        <v>#REF!</v>
      </c>
      <c r="E19" s="258"/>
      <c r="F19" s="259" t="e">
        <f t="shared" si="0"/>
        <v>#REF!</v>
      </c>
      <c r="G19" s="258"/>
      <c r="H19" s="258" t="e">
        <f t="shared" si="0"/>
        <v>#REF!</v>
      </c>
      <c r="I19" s="259" t="e">
        <f t="shared" si="0"/>
        <v>#REF!</v>
      </c>
      <c r="J19" s="259" t="e">
        <f t="shared" si="0"/>
        <v>#REF!</v>
      </c>
      <c r="K19" s="259" t="e">
        <f t="shared" si="0"/>
        <v>#REF!</v>
      </c>
    </row>
    <row r="20" spans="1:11" s="48" customFormat="1" ht="15" hidden="1">
      <c r="A20" s="60"/>
      <c r="B20" s="70" t="s">
        <v>596</v>
      </c>
      <c r="C20" s="250">
        <f>'[15]4.6_генерация'!D82</f>
        <v>0</v>
      </c>
      <c r="D20" s="67" t="e">
        <f>'[15]4.1'!#REF!</f>
        <v>#REF!</v>
      </c>
      <c r="E20" s="67"/>
      <c r="F20" s="67" t="e">
        <f>'[15]4.3'!#REF!</f>
        <v>#REF!</v>
      </c>
      <c r="G20" s="67"/>
      <c r="H20" s="250" t="e">
        <f>'[15]4.6_генерация'!#REF!</f>
        <v>#REF!</v>
      </c>
      <c r="I20" s="251" t="e">
        <f>C20/D20</f>
        <v>#REF!</v>
      </c>
      <c r="J20" s="251" t="e">
        <f>H20/D20</f>
        <v>#REF!</v>
      </c>
      <c r="K20" s="251" t="e">
        <f>(C20-H20)/(F20*12)</f>
        <v>#REF!</v>
      </c>
    </row>
    <row r="21" spans="1:11" s="48" customFormat="1" ht="18" hidden="1">
      <c r="A21" s="60"/>
      <c r="B21" s="70" t="s">
        <v>597</v>
      </c>
      <c r="C21" s="67"/>
      <c r="D21" s="67"/>
      <c r="E21" s="67"/>
      <c r="F21" s="67"/>
      <c r="G21" s="67"/>
      <c r="H21" s="67"/>
      <c r="I21" s="67"/>
      <c r="J21" s="67"/>
      <c r="K21" s="67"/>
    </row>
    <row r="22" spans="1:11" s="48" customFormat="1" ht="18" hidden="1">
      <c r="A22" s="60"/>
      <c r="B22" s="70" t="s">
        <v>598</v>
      </c>
      <c r="C22" s="67"/>
      <c r="D22" s="67"/>
      <c r="E22" s="67"/>
      <c r="F22" s="67"/>
      <c r="G22" s="67"/>
      <c r="H22" s="67"/>
      <c r="I22" s="67"/>
      <c r="J22" s="67"/>
      <c r="K22" s="67"/>
    </row>
    <row r="23" spans="1:11" s="48" customFormat="1" ht="18" hidden="1">
      <c r="A23" s="60"/>
      <c r="B23" s="70" t="s">
        <v>599</v>
      </c>
      <c r="C23" s="67"/>
      <c r="D23" s="67"/>
      <c r="E23" s="67"/>
      <c r="F23" s="67"/>
      <c r="G23" s="67"/>
      <c r="H23" s="67"/>
      <c r="I23" s="67"/>
      <c r="J23" s="67"/>
      <c r="K23" s="67"/>
    </row>
    <row r="24" spans="1:11" s="48" customFormat="1" ht="18" hidden="1">
      <c r="A24" s="60"/>
      <c r="B24" s="70" t="s">
        <v>600</v>
      </c>
      <c r="C24" s="67"/>
      <c r="D24" s="67"/>
      <c r="E24" s="67"/>
      <c r="F24" s="67"/>
      <c r="G24" s="67"/>
      <c r="H24" s="67"/>
      <c r="I24" s="67"/>
      <c r="J24" s="67"/>
      <c r="K24" s="67"/>
    </row>
    <row r="25" spans="1:11" s="48" customFormat="1" ht="15" hidden="1">
      <c r="A25" s="60"/>
      <c r="B25" s="70" t="s">
        <v>601</v>
      </c>
      <c r="C25" s="67"/>
      <c r="D25" s="67"/>
      <c r="E25" s="67"/>
      <c r="F25" s="67"/>
      <c r="G25" s="67"/>
      <c r="H25" s="67"/>
      <c r="I25" s="67"/>
      <c r="J25" s="67"/>
      <c r="K25" s="67"/>
    </row>
    <row r="26" spans="1:11" s="773" customFormat="1" ht="15">
      <c r="A26" s="1992" t="s">
        <v>1130</v>
      </c>
      <c r="B26" s="1992"/>
      <c r="C26" s="1992"/>
      <c r="D26" s="1992"/>
      <c r="E26" s="1992"/>
      <c r="F26" s="1992"/>
      <c r="G26" s="1992"/>
      <c r="H26" s="1992"/>
      <c r="I26" s="1992"/>
      <c r="J26" s="1992"/>
      <c r="K26" s="1992"/>
    </row>
    <row r="27" spans="1:11" s="773" customFormat="1" ht="15" hidden="1" customHeight="1">
      <c r="A27" s="60" t="s">
        <v>4</v>
      </c>
      <c r="B27" s="61" t="s">
        <v>48</v>
      </c>
      <c r="C27" s="67"/>
      <c r="D27" s="67"/>
      <c r="E27" s="67"/>
      <c r="F27" s="67"/>
      <c r="G27" s="67"/>
      <c r="H27" s="67"/>
      <c r="I27" s="67"/>
      <c r="J27" s="67"/>
      <c r="K27" s="67"/>
    </row>
    <row r="28" spans="1:11" s="773" customFormat="1" ht="15" hidden="1" customHeight="1">
      <c r="A28" s="60"/>
      <c r="B28" s="70" t="s">
        <v>596</v>
      </c>
      <c r="C28" s="67"/>
      <c r="D28" s="67"/>
      <c r="E28" s="67"/>
      <c r="F28" s="67"/>
      <c r="G28" s="67"/>
      <c r="H28" s="67"/>
      <c r="I28" s="67"/>
      <c r="J28" s="67"/>
      <c r="K28" s="67"/>
    </row>
    <row r="29" spans="1:11" s="773" customFormat="1" ht="18" hidden="1" customHeight="1">
      <c r="A29" s="60"/>
      <c r="B29" s="70" t="s">
        <v>597</v>
      </c>
      <c r="C29" s="67"/>
      <c r="D29" s="67"/>
      <c r="E29" s="67"/>
      <c r="F29" s="67"/>
      <c r="G29" s="67"/>
      <c r="H29" s="67"/>
      <c r="I29" s="67"/>
      <c r="J29" s="67"/>
      <c r="K29" s="67"/>
    </row>
    <row r="30" spans="1:11" s="773" customFormat="1" ht="18" hidden="1" customHeight="1">
      <c r="A30" s="60"/>
      <c r="B30" s="70" t="s">
        <v>598</v>
      </c>
      <c r="C30" s="67"/>
      <c r="D30" s="67"/>
      <c r="E30" s="67"/>
      <c r="F30" s="67"/>
      <c r="G30" s="67"/>
      <c r="H30" s="67"/>
      <c r="I30" s="67"/>
      <c r="J30" s="67"/>
      <c r="K30" s="67"/>
    </row>
    <row r="31" spans="1:11" s="773" customFormat="1" ht="18" hidden="1" customHeight="1">
      <c r="A31" s="60"/>
      <c r="B31" s="70" t="s">
        <v>599</v>
      </c>
      <c r="C31" s="67"/>
      <c r="D31" s="67"/>
      <c r="E31" s="67"/>
      <c r="F31" s="67"/>
      <c r="G31" s="67"/>
      <c r="H31" s="67"/>
      <c r="I31" s="67"/>
      <c r="J31" s="67"/>
      <c r="K31" s="67"/>
    </row>
    <row r="32" spans="1:11" s="773" customFormat="1" ht="18" hidden="1" customHeight="1">
      <c r="A32" s="60"/>
      <c r="B32" s="70" t="s">
        <v>600</v>
      </c>
      <c r="C32" s="67"/>
      <c r="D32" s="67"/>
      <c r="E32" s="67"/>
      <c r="F32" s="67"/>
      <c r="G32" s="67"/>
      <c r="H32" s="67"/>
      <c r="I32" s="67"/>
      <c r="J32" s="67"/>
      <c r="K32" s="67"/>
    </row>
    <row r="33" spans="1:11" s="773" customFormat="1" ht="15" hidden="1" customHeight="1">
      <c r="A33" s="60"/>
      <c r="B33" s="70" t="s">
        <v>601</v>
      </c>
      <c r="C33" s="67"/>
      <c r="D33" s="67"/>
      <c r="E33" s="67"/>
      <c r="F33" s="67"/>
      <c r="G33" s="67"/>
      <c r="H33" s="67"/>
      <c r="I33" s="67"/>
      <c r="J33" s="67"/>
      <c r="K33" s="67"/>
    </row>
    <row r="34" spans="1:11" s="773" customFormat="1" ht="15" hidden="1" customHeight="1">
      <c r="A34" s="60"/>
      <c r="B34" s="70" t="s">
        <v>26</v>
      </c>
      <c r="C34" s="67"/>
      <c r="D34" s="67"/>
      <c r="E34" s="67"/>
      <c r="F34" s="67"/>
      <c r="G34" s="67"/>
      <c r="H34" s="67"/>
      <c r="I34" s="67"/>
      <c r="J34" s="67"/>
      <c r="K34" s="67"/>
    </row>
    <row r="35" spans="1:11" s="773" customFormat="1" ht="15" hidden="1" customHeight="1">
      <c r="A35" s="60" t="s">
        <v>434</v>
      </c>
      <c r="B35" s="70" t="s">
        <v>602</v>
      </c>
      <c r="C35" s="67"/>
      <c r="D35" s="67"/>
      <c r="E35" s="67"/>
      <c r="F35" s="67"/>
      <c r="G35" s="67"/>
      <c r="H35" s="67"/>
      <c r="I35" s="67"/>
      <c r="J35" s="67"/>
      <c r="K35" s="67"/>
    </row>
    <row r="36" spans="1:11" s="773" customFormat="1" ht="15" hidden="1" customHeight="1">
      <c r="A36" s="60"/>
      <c r="B36" s="70" t="s">
        <v>26</v>
      </c>
      <c r="C36" s="67"/>
      <c r="D36" s="67"/>
      <c r="E36" s="67"/>
      <c r="F36" s="67"/>
      <c r="G36" s="67"/>
      <c r="H36" s="67"/>
      <c r="I36" s="67"/>
      <c r="J36" s="67"/>
      <c r="K36" s="67"/>
    </row>
    <row r="37" spans="1:11" s="108" customFormat="1" ht="60.75" customHeight="1">
      <c r="A37" s="256" t="s">
        <v>603</v>
      </c>
      <c r="B37" s="257" t="s">
        <v>604</v>
      </c>
      <c r="C37" s="258">
        <f>'4.6_генерация_котельн.'!D93</f>
        <v>2158441.672888</v>
      </c>
      <c r="D37" s="269">
        <f>'4.1_котельные'!N20</f>
        <v>564.25689999999997</v>
      </c>
      <c r="E37" s="258"/>
      <c r="F37" s="269">
        <f>'4.3_котельные'!G8</f>
        <v>145</v>
      </c>
      <c r="G37" s="258"/>
      <c r="H37" s="258">
        <f>'4.6_генерация_котельн.'!D10</f>
        <v>1154298.1266000001</v>
      </c>
      <c r="I37" s="259">
        <f>C37/D37</f>
        <v>3825.281840395749</v>
      </c>
      <c r="J37" s="259">
        <f>H37/D37</f>
        <v>2045.6960767338426</v>
      </c>
      <c r="K37" s="259">
        <f>(C37-H37)/(F37*12)</f>
        <v>577.09399211954019</v>
      </c>
    </row>
    <row r="38" spans="1:11" s="854" customFormat="1" ht="15" customHeight="1">
      <c r="A38" s="824"/>
      <c r="B38" s="807" t="s">
        <v>596</v>
      </c>
      <c r="C38" s="806">
        <f>F38/F37*C37</f>
        <v>2155464.5119598787</v>
      </c>
      <c r="D38" s="871">
        <f>'4.1_котельные'!O20</f>
        <v>562.50389999999993</v>
      </c>
      <c r="E38" s="853"/>
      <c r="F38" s="871">
        <f>'4.3_котельные'!G9</f>
        <v>144.80000000000001</v>
      </c>
      <c r="G38" s="853"/>
      <c r="H38" s="806">
        <f>H37-H40</f>
        <v>1152705.9912529655</v>
      </c>
      <c r="I38" s="855">
        <f>C38/D38</f>
        <v>3831.91034223919</v>
      </c>
      <c r="J38" s="855">
        <f>H38/D38</f>
        <v>2049.2408874906746</v>
      </c>
      <c r="K38" s="855">
        <f>(C38-H38)/(F38*12)</f>
        <v>577.09399211954019</v>
      </c>
    </row>
    <row r="39" spans="1:11" s="773" customFormat="1" ht="18" customHeight="1">
      <c r="A39" s="60"/>
      <c r="B39" s="70" t="s">
        <v>597</v>
      </c>
      <c r="C39" s="67"/>
      <c r="D39" s="872"/>
      <c r="E39" s="67"/>
      <c r="F39" s="872"/>
      <c r="G39" s="67"/>
      <c r="H39" s="67"/>
      <c r="I39" s="67"/>
      <c r="J39" s="67"/>
      <c r="K39" s="67"/>
    </row>
    <row r="40" spans="1:11" s="854" customFormat="1" ht="18" customHeight="1">
      <c r="A40" s="824"/>
      <c r="B40" s="807" t="s">
        <v>598</v>
      </c>
      <c r="C40" s="806">
        <f>C37-C38</f>
        <v>2977.1609281213023</v>
      </c>
      <c r="D40" s="871">
        <f>'4.1_котельные'!U20</f>
        <v>1.7529999999999999</v>
      </c>
      <c r="E40" s="853"/>
      <c r="F40" s="871">
        <f>'4.3_котельные'!G13</f>
        <v>0.2</v>
      </c>
      <c r="G40" s="853"/>
      <c r="H40" s="806">
        <f>F40/F37*H37</f>
        <v>1592.1353470344829</v>
      </c>
      <c r="I40" s="855">
        <f>C40/D40</f>
        <v>1698.3234045187121</v>
      </c>
      <c r="J40" s="855">
        <f>H40/D40</f>
        <v>908.23465318567207</v>
      </c>
      <c r="K40" s="855">
        <f>(C40-H40)/(F40*12)</f>
        <v>577.09399211950802</v>
      </c>
    </row>
    <row r="41" spans="1:11" s="773" customFormat="1" ht="18.75" customHeight="1">
      <c r="A41" s="60"/>
      <c r="B41" s="70" t="s">
        <v>599</v>
      </c>
      <c r="C41" s="67"/>
      <c r="D41" s="67"/>
      <c r="E41" s="67"/>
      <c r="F41" s="67"/>
      <c r="G41" s="67"/>
      <c r="H41" s="67"/>
      <c r="I41" s="67"/>
      <c r="J41" s="67"/>
      <c r="K41" s="67"/>
    </row>
    <row r="42" spans="1:11" s="773" customFormat="1" ht="18" customHeight="1">
      <c r="A42" s="60"/>
      <c r="B42" s="70" t="s">
        <v>600</v>
      </c>
      <c r="C42" s="67"/>
      <c r="D42" s="67"/>
      <c r="E42" s="67"/>
      <c r="F42" s="67"/>
      <c r="G42" s="67"/>
      <c r="H42" s="67"/>
      <c r="I42" s="67"/>
      <c r="J42" s="67"/>
      <c r="K42" s="67"/>
    </row>
    <row r="43" spans="1:11" s="773" customFormat="1" ht="15" customHeight="1">
      <c r="A43" s="60"/>
      <c r="B43" s="70" t="s">
        <v>601</v>
      </c>
      <c r="C43" s="67"/>
      <c r="D43" s="67"/>
      <c r="E43" s="67"/>
      <c r="F43" s="67"/>
      <c r="G43" s="67"/>
      <c r="H43" s="67"/>
      <c r="I43" s="67"/>
      <c r="J43" s="67"/>
      <c r="K43" s="67"/>
    </row>
    <row r="44" spans="1:11" s="773" customFormat="1" ht="15" customHeight="1">
      <c r="A44" s="1992" t="s">
        <v>1695</v>
      </c>
      <c r="B44" s="1992"/>
      <c r="C44" s="1992"/>
      <c r="D44" s="1992"/>
      <c r="E44" s="1992"/>
      <c r="F44" s="1992"/>
      <c r="G44" s="1992"/>
      <c r="H44" s="1992"/>
      <c r="I44" s="1992"/>
      <c r="J44" s="1992"/>
      <c r="K44" s="1992"/>
    </row>
    <row r="45" spans="1:11" s="773" customFormat="1" ht="15" hidden="1" customHeight="1">
      <c r="A45" s="60" t="s">
        <v>4</v>
      </c>
      <c r="B45" s="61" t="s">
        <v>48</v>
      </c>
      <c r="C45" s="67"/>
      <c r="D45" s="67"/>
      <c r="E45" s="67"/>
      <c r="F45" s="67"/>
      <c r="G45" s="67"/>
      <c r="H45" s="67"/>
      <c r="I45" s="67"/>
      <c r="J45" s="67"/>
      <c r="K45" s="67"/>
    </row>
    <row r="46" spans="1:11" s="773" customFormat="1" ht="15" hidden="1" customHeight="1">
      <c r="A46" s="60"/>
      <c r="B46" s="70" t="s">
        <v>596</v>
      </c>
      <c r="C46" s="67"/>
      <c r="D46" s="67"/>
      <c r="E46" s="67"/>
      <c r="F46" s="67"/>
      <c r="G46" s="67"/>
      <c r="H46" s="67"/>
      <c r="I46" s="67"/>
      <c r="J46" s="67"/>
      <c r="K46" s="67"/>
    </row>
    <row r="47" spans="1:11" s="773" customFormat="1" ht="15" hidden="1" customHeight="1">
      <c r="A47" s="60"/>
      <c r="B47" s="70" t="s">
        <v>597</v>
      </c>
      <c r="C47" s="67"/>
      <c r="D47" s="67"/>
      <c r="E47" s="67"/>
      <c r="F47" s="67"/>
      <c r="G47" s="67"/>
      <c r="H47" s="67"/>
      <c r="I47" s="67"/>
      <c r="J47" s="67"/>
      <c r="K47" s="67"/>
    </row>
    <row r="48" spans="1:11" s="773" customFormat="1" ht="15" hidden="1" customHeight="1">
      <c r="A48" s="60"/>
      <c r="B48" s="70" t="s">
        <v>598</v>
      </c>
      <c r="C48" s="67"/>
      <c r="D48" s="67"/>
      <c r="E48" s="67"/>
      <c r="F48" s="67"/>
      <c r="G48" s="67"/>
      <c r="H48" s="67"/>
      <c r="I48" s="67"/>
      <c r="J48" s="67"/>
      <c r="K48" s="67"/>
    </row>
    <row r="49" spans="1:11" s="773" customFormat="1" ht="15" hidden="1" customHeight="1">
      <c r="A49" s="60"/>
      <c r="B49" s="70" t="s">
        <v>599</v>
      </c>
      <c r="C49" s="67"/>
      <c r="D49" s="67"/>
      <c r="E49" s="67"/>
      <c r="F49" s="67"/>
      <c r="G49" s="67"/>
      <c r="H49" s="67"/>
      <c r="I49" s="67"/>
      <c r="J49" s="67"/>
      <c r="K49" s="67"/>
    </row>
    <row r="50" spans="1:11" s="773" customFormat="1" ht="15" hidden="1" customHeight="1">
      <c r="A50" s="60"/>
      <c r="B50" s="70" t="s">
        <v>600</v>
      </c>
      <c r="C50" s="67"/>
      <c r="D50" s="67"/>
      <c r="E50" s="67"/>
      <c r="F50" s="67"/>
      <c r="G50" s="67"/>
      <c r="H50" s="67"/>
      <c r="I50" s="67"/>
      <c r="J50" s="67"/>
      <c r="K50" s="67"/>
    </row>
    <row r="51" spans="1:11" s="773" customFormat="1" ht="15" hidden="1" customHeight="1">
      <c r="A51" s="60"/>
      <c r="B51" s="70" t="s">
        <v>601</v>
      </c>
      <c r="C51" s="67"/>
      <c r="D51" s="67"/>
      <c r="E51" s="67"/>
      <c r="F51" s="67"/>
      <c r="G51" s="67"/>
      <c r="H51" s="67"/>
      <c r="I51" s="67"/>
      <c r="J51" s="67"/>
      <c r="K51" s="67"/>
    </row>
    <row r="52" spans="1:11" s="773" customFormat="1" ht="15" hidden="1" customHeight="1">
      <c r="A52" s="60"/>
      <c r="B52" s="70" t="s">
        <v>26</v>
      </c>
      <c r="C52" s="67"/>
      <c r="D52" s="67"/>
      <c r="E52" s="67"/>
      <c r="F52" s="67"/>
      <c r="G52" s="67"/>
      <c r="H52" s="67"/>
      <c r="I52" s="67"/>
      <c r="J52" s="67"/>
      <c r="K52" s="67"/>
    </row>
    <row r="53" spans="1:11" s="773" customFormat="1" ht="15" hidden="1" customHeight="1">
      <c r="A53" s="60" t="s">
        <v>434</v>
      </c>
      <c r="B53" s="70" t="s">
        <v>602</v>
      </c>
      <c r="C53" s="67"/>
      <c r="D53" s="67"/>
      <c r="E53" s="67"/>
      <c r="F53" s="67"/>
      <c r="G53" s="67"/>
      <c r="H53" s="67"/>
      <c r="I53" s="67"/>
      <c r="J53" s="67"/>
      <c r="K53" s="67"/>
    </row>
    <row r="54" spans="1:11" s="773" customFormat="1" ht="15" hidden="1" customHeight="1">
      <c r="A54" s="60"/>
      <c r="B54" s="70" t="s">
        <v>26</v>
      </c>
      <c r="C54" s="67"/>
      <c r="D54" s="67"/>
      <c r="E54" s="67"/>
      <c r="F54" s="67"/>
      <c r="G54" s="67"/>
      <c r="H54" s="67"/>
      <c r="I54" s="67"/>
      <c r="J54" s="67"/>
      <c r="K54" s="67"/>
    </row>
    <row r="55" spans="1:11" s="773" customFormat="1" ht="69" customHeight="1">
      <c r="A55" s="256" t="s">
        <v>603</v>
      </c>
      <c r="B55" s="257" t="s">
        <v>604</v>
      </c>
      <c r="C55" s="258">
        <f>'4.6_генерация_котельн.'!F93</f>
        <v>2095769.7190990523</v>
      </c>
      <c r="D55" s="269">
        <f>'4.1_котельные'!AJ20</f>
        <v>509.76849999999996</v>
      </c>
      <c r="E55" s="258"/>
      <c r="F55" s="269">
        <f>'4.3_котельные'!O8</f>
        <v>143.79300000000001</v>
      </c>
      <c r="G55" s="258"/>
      <c r="H55" s="258">
        <f>'4.6_генерация_котельн.'!F10</f>
        <v>1053276.9508700001</v>
      </c>
      <c r="I55" s="259">
        <f>C55/D55</f>
        <v>4111.2185611685545</v>
      </c>
      <c r="J55" s="259">
        <f>H55/D55</f>
        <v>2066.1868100323973</v>
      </c>
      <c r="K55" s="259">
        <f>(C55-H55)/(F55*12)</f>
        <v>604.16291024195209</v>
      </c>
    </row>
    <row r="56" spans="1:11" s="854" customFormat="1" ht="15" customHeight="1">
      <c r="A56" s="824"/>
      <c r="B56" s="807" t="s">
        <v>596</v>
      </c>
      <c r="C56" s="806">
        <f>F56/F55*C55</f>
        <v>2087695.2201708646</v>
      </c>
      <c r="D56" s="871">
        <f>'4.1_котельные'!AK20</f>
        <v>508.40049999999997</v>
      </c>
      <c r="E56" s="853"/>
      <c r="F56" s="871">
        <f>'4.3_котельные'!O9</f>
        <v>143.239</v>
      </c>
      <c r="G56" s="853"/>
      <c r="H56" s="806">
        <f>H55-H58</f>
        <v>1049218.926969101</v>
      </c>
      <c r="I56" s="855">
        <f>C56/D56</f>
        <v>4106.3988335394333</v>
      </c>
      <c r="J56" s="855">
        <f>H56/D56</f>
        <v>2063.7645458041466</v>
      </c>
      <c r="K56" s="855">
        <f>(C56-H56)/(F56*12)</f>
        <v>604.16291024195209</v>
      </c>
    </row>
    <row r="57" spans="1:11" s="773" customFormat="1" ht="15" customHeight="1">
      <c r="A57" s="60"/>
      <c r="B57" s="70" t="s">
        <v>597</v>
      </c>
      <c r="C57" s="67"/>
      <c r="D57" s="872"/>
      <c r="E57" s="67"/>
      <c r="F57" s="872"/>
      <c r="G57" s="67"/>
      <c r="H57" s="67"/>
      <c r="I57" s="67"/>
      <c r="J57" s="67"/>
      <c r="K57" s="67"/>
    </row>
    <row r="58" spans="1:11" s="854" customFormat="1" ht="18" customHeight="1">
      <c r="A58" s="824"/>
      <c r="B58" s="807" t="s">
        <v>598</v>
      </c>
      <c r="C58" s="806">
        <f>C55-C56</f>
        <v>8074.4989281876478</v>
      </c>
      <c r="D58" s="871">
        <f>'4.1_котельные'!AQ20</f>
        <v>1.3680000000000001</v>
      </c>
      <c r="E58" s="853"/>
      <c r="F58" s="871">
        <f>'4.3_котельные'!O15</f>
        <v>0.55400000000000005</v>
      </c>
      <c r="G58" s="853"/>
      <c r="H58" s="806">
        <f>F58/F55*H55</f>
        <v>4058.0239008990707</v>
      </c>
      <c r="I58" s="855">
        <f>C58/D58</f>
        <v>5902.411497213192</v>
      </c>
      <c r="J58" s="855">
        <f>H58/D58</f>
        <v>2966.3917404232971</v>
      </c>
      <c r="K58" s="855">
        <f>(C58-H58)/(F58*12)</f>
        <v>604.16291024196403</v>
      </c>
    </row>
    <row r="59" spans="1:11" s="773" customFormat="1" ht="15" customHeight="1">
      <c r="A59" s="60"/>
      <c r="B59" s="70" t="s">
        <v>599</v>
      </c>
      <c r="C59" s="67"/>
      <c r="D59" s="67"/>
      <c r="E59" s="67"/>
      <c r="F59" s="67"/>
      <c r="G59" s="67"/>
      <c r="H59" s="67"/>
      <c r="I59" s="67"/>
      <c r="J59" s="67"/>
      <c r="K59" s="67"/>
    </row>
    <row r="60" spans="1:11" s="773" customFormat="1" ht="15" customHeight="1">
      <c r="A60" s="60"/>
      <c r="B60" s="70" t="s">
        <v>600</v>
      </c>
      <c r="C60" s="67"/>
      <c r="D60" s="67"/>
      <c r="E60" s="67"/>
      <c r="F60" s="67"/>
      <c r="G60" s="67"/>
      <c r="H60" s="67"/>
      <c r="I60" s="67"/>
      <c r="J60" s="67"/>
      <c r="K60" s="67"/>
    </row>
    <row r="61" spans="1:11" s="773" customFormat="1" ht="15" customHeight="1">
      <c r="A61" s="60"/>
      <c r="B61" s="70" t="s">
        <v>601</v>
      </c>
      <c r="C61" s="67"/>
      <c r="D61" s="67"/>
      <c r="E61" s="67"/>
      <c r="F61" s="67"/>
      <c r="G61" s="67"/>
      <c r="H61" s="67"/>
      <c r="I61" s="67"/>
      <c r="J61" s="67"/>
      <c r="K61" s="67"/>
    </row>
    <row r="62" spans="1:11" s="1292" customFormat="1" ht="15" customHeight="1">
      <c r="A62" s="1992" t="s">
        <v>1696</v>
      </c>
      <c r="B62" s="1992"/>
      <c r="C62" s="1992"/>
      <c r="D62" s="1992"/>
      <c r="E62" s="1992"/>
      <c r="F62" s="1992"/>
      <c r="G62" s="1992"/>
      <c r="H62" s="1992"/>
      <c r="I62" s="1992"/>
      <c r="J62" s="1992"/>
      <c r="K62" s="1992"/>
    </row>
    <row r="63" spans="1:11" s="1292" customFormat="1" ht="15" hidden="1" customHeight="1" outlineLevel="1">
      <c r="A63" s="60" t="s">
        <v>4</v>
      </c>
      <c r="B63" s="61" t="s">
        <v>48</v>
      </c>
      <c r="C63" s="67"/>
      <c r="D63" s="67"/>
      <c r="E63" s="67"/>
      <c r="F63" s="67"/>
      <c r="G63" s="67"/>
      <c r="H63" s="67"/>
      <c r="I63" s="67"/>
      <c r="J63" s="67"/>
      <c r="K63" s="67"/>
    </row>
    <row r="64" spans="1:11" s="1292" customFormat="1" ht="15" hidden="1" customHeight="1" outlineLevel="1">
      <c r="A64" s="60"/>
      <c r="B64" s="70" t="s">
        <v>596</v>
      </c>
      <c r="C64" s="250"/>
      <c r="D64" s="67"/>
      <c r="E64" s="67"/>
      <c r="F64" s="67"/>
      <c r="G64" s="67"/>
      <c r="H64" s="250"/>
      <c r="I64" s="251"/>
      <c r="J64" s="251"/>
      <c r="K64" s="251"/>
    </row>
    <row r="65" spans="1:11" s="1292" customFormat="1" ht="15" hidden="1" customHeight="1" outlineLevel="1">
      <c r="A65" s="60"/>
      <c r="B65" s="70" t="s">
        <v>597</v>
      </c>
      <c r="C65" s="67"/>
      <c r="D65" s="67"/>
      <c r="E65" s="67"/>
      <c r="F65" s="67"/>
      <c r="G65" s="67"/>
      <c r="H65" s="67"/>
      <c r="I65" s="67"/>
      <c r="J65" s="67"/>
      <c r="K65" s="67"/>
    </row>
    <row r="66" spans="1:11" s="1292" customFormat="1" ht="15" hidden="1" customHeight="1" outlineLevel="1">
      <c r="A66" s="60"/>
      <c r="B66" s="70" t="s">
        <v>598</v>
      </c>
      <c r="C66" s="67"/>
      <c r="D66" s="67"/>
      <c r="E66" s="67"/>
      <c r="F66" s="67"/>
      <c r="G66" s="67"/>
      <c r="H66" s="67"/>
      <c r="I66" s="67"/>
      <c r="J66" s="67"/>
      <c r="K66" s="67"/>
    </row>
    <row r="67" spans="1:11" s="1292" customFormat="1" ht="15" hidden="1" customHeight="1" outlineLevel="1">
      <c r="A67" s="60"/>
      <c r="B67" s="70" t="s">
        <v>599</v>
      </c>
      <c r="C67" s="67"/>
      <c r="D67" s="67"/>
      <c r="E67" s="67"/>
      <c r="F67" s="67"/>
      <c r="G67" s="67"/>
      <c r="H67" s="67"/>
      <c r="I67" s="67"/>
      <c r="J67" s="67"/>
      <c r="K67" s="67"/>
    </row>
    <row r="68" spans="1:11" s="1292" customFormat="1" ht="15" hidden="1" customHeight="1" outlineLevel="1">
      <c r="A68" s="60"/>
      <c r="B68" s="70" t="s">
        <v>600</v>
      </c>
      <c r="C68" s="67"/>
      <c r="D68" s="67"/>
      <c r="E68" s="67"/>
      <c r="F68" s="67"/>
      <c r="G68" s="67"/>
      <c r="H68" s="67"/>
      <c r="I68" s="67"/>
      <c r="J68" s="67"/>
      <c r="K68" s="67"/>
    </row>
    <row r="69" spans="1:11" s="1292" customFormat="1" ht="15" hidden="1" customHeight="1" outlineLevel="1">
      <c r="A69" s="60"/>
      <c r="B69" s="70" t="s">
        <v>601</v>
      </c>
      <c r="C69" s="67"/>
      <c r="D69" s="67"/>
      <c r="E69" s="67"/>
      <c r="F69" s="67"/>
      <c r="G69" s="67"/>
      <c r="H69" s="67"/>
      <c r="I69" s="67"/>
      <c r="J69" s="67"/>
      <c r="K69" s="67"/>
    </row>
    <row r="70" spans="1:11" s="1292" customFormat="1" ht="15" hidden="1" customHeight="1" outlineLevel="1">
      <c r="A70" s="60"/>
      <c r="B70" s="70" t="s">
        <v>26</v>
      </c>
      <c r="C70" s="67"/>
      <c r="D70" s="67"/>
      <c r="E70" s="67"/>
      <c r="F70" s="67"/>
      <c r="G70" s="67"/>
      <c r="H70" s="67"/>
      <c r="I70" s="67"/>
      <c r="J70" s="67"/>
      <c r="K70" s="67"/>
    </row>
    <row r="71" spans="1:11" s="1292" customFormat="1" ht="15" hidden="1" customHeight="1" outlineLevel="1">
      <c r="A71" s="60" t="s">
        <v>434</v>
      </c>
      <c r="B71" s="70" t="s">
        <v>602</v>
      </c>
      <c r="C71" s="67"/>
      <c r="D71" s="67"/>
      <c r="E71" s="67"/>
      <c r="F71" s="67"/>
      <c r="G71" s="67"/>
      <c r="H71" s="67"/>
      <c r="I71" s="67"/>
      <c r="J71" s="67"/>
      <c r="K71" s="67"/>
    </row>
    <row r="72" spans="1:11" s="1292" customFormat="1" ht="15" hidden="1" customHeight="1" outlineLevel="1">
      <c r="A72" s="60"/>
      <c r="B72" s="70" t="s">
        <v>26</v>
      </c>
      <c r="C72" s="67"/>
      <c r="D72" s="67"/>
      <c r="E72" s="67"/>
      <c r="F72" s="67"/>
      <c r="G72" s="67"/>
      <c r="H72" s="67"/>
      <c r="I72" s="67"/>
      <c r="J72" s="67"/>
      <c r="K72" s="67"/>
    </row>
    <row r="73" spans="1:11" s="1292" customFormat="1" ht="60" collapsed="1">
      <c r="A73" s="256" t="s">
        <v>603</v>
      </c>
      <c r="B73" s="257" t="s">
        <v>604</v>
      </c>
      <c r="C73" s="258">
        <f>'4.6_генерация_котельн.'!G93</f>
        <v>2328780.4765705299</v>
      </c>
      <c r="D73" s="269">
        <f>'4.1_котельные'!AU20</f>
        <v>559.73599999999999</v>
      </c>
      <c r="E73" s="258"/>
      <c r="F73" s="269">
        <f>'4.3_котельные'!S8</f>
        <v>145</v>
      </c>
      <c r="G73" s="258"/>
      <c r="H73" s="258">
        <f>'4.6_генерация_котельн.'!G10</f>
        <v>1408348.4765705301</v>
      </c>
      <c r="I73" s="259">
        <f>C73/D73</f>
        <v>4160.4979429061732</v>
      </c>
      <c r="J73" s="259">
        <f>H73/D73</f>
        <v>2516.094152547862</v>
      </c>
      <c r="K73" s="259">
        <f>(C73-H73)/(F73*12)</f>
        <v>528.98390804597693</v>
      </c>
    </row>
    <row r="74" spans="1:11" s="1292" customFormat="1" ht="15" customHeight="1">
      <c r="A74" s="824"/>
      <c r="B74" s="807" t="s">
        <v>596</v>
      </c>
      <c r="C74" s="806">
        <v>2296376.2908445471</v>
      </c>
      <c r="D74" s="871">
        <v>557.95500000000004</v>
      </c>
      <c r="E74" s="853"/>
      <c r="F74" s="871">
        <v>144.80000000000001</v>
      </c>
      <c r="G74" s="853"/>
      <c r="H74" s="806">
        <v>1406405.8505226793</v>
      </c>
      <c r="I74" s="855">
        <v>4115.7016082740492</v>
      </c>
      <c r="J74" s="855">
        <v>2520.6438700660074</v>
      </c>
      <c r="K74" s="855">
        <v>512.18372486295334</v>
      </c>
    </row>
    <row r="75" spans="1:11" s="1292" customFormat="1" ht="15" customHeight="1">
      <c r="A75" s="60"/>
      <c r="B75" s="70" t="s">
        <v>597</v>
      </c>
      <c r="C75" s="67"/>
      <c r="D75" s="872"/>
      <c r="E75" s="67"/>
      <c r="F75" s="872"/>
      <c r="G75" s="67"/>
      <c r="H75" s="67"/>
      <c r="I75" s="67"/>
      <c r="J75" s="67"/>
      <c r="K75" s="67"/>
    </row>
    <row r="76" spans="1:11" s="1292" customFormat="1" ht="15" customHeight="1">
      <c r="A76" s="824"/>
      <c r="B76" s="807" t="s">
        <v>598</v>
      </c>
      <c r="C76" s="806">
        <v>3171.7904569674283</v>
      </c>
      <c r="D76" s="871">
        <v>1.7810000000000001</v>
      </c>
      <c r="E76" s="853"/>
      <c r="F76" s="871">
        <v>0.2</v>
      </c>
      <c r="G76" s="853"/>
      <c r="H76" s="806">
        <v>1942.5495172965184</v>
      </c>
      <c r="I76" s="855">
        <v>1780.9042431035532</v>
      </c>
      <c r="J76" s="855">
        <v>1090.7071966852993</v>
      </c>
      <c r="K76" s="855">
        <v>512.1837248628791</v>
      </c>
    </row>
    <row r="77" spans="1:11" s="1292" customFormat="1" ht="15" customHeight="1">
      <c r="A77" s="60"/>
      <c r="B77" s="70" t="s">
        <v>599</v>
      </c>
      <c r="C77" s="67"/>
      <c r="D77" s="67"/>
      <c r="E77" s="67"/>
      <c r="F77" s="67"/>
      <c r="G77" s="67"/>
      <c r="H77" s="67"/>
      <c r="I77" s="67"/>
      <c r="J77" s="67"/>
      <c r="K77" s="67"/>
    </row>
    <row r="78" spans="1:11" s="1292" customFormat="1" ht="15" customHeight="1">
      <c r="A78" s="60"/>
      <c r="B78" s="70" t="s">
        <v>600</v>
      </c>
      <c r="C78" s="67"/>
      <c r="D78" s="67"/>
      <c r="E78" s="67"/>
      <c r="F78" s="67"/>
      <c r="G78" s="67"/>
      <c r="H78" s="67"/>
      <c r="I78" s="67"/>
      <c r="J78" s="67"/>
      <c r="K78" s="67"/>
    </row>
    <row r="79" spans="1:11" s="1292" customFormat="1" ht="15" customHeight="1">
      <c r="A79" s="60"/>
      <c r="B79" s="70" t="s">
        <v>601</v>
      </c>
      <c r="C79" s="67"/>
      <c r="D79" s="67"/>
      <c r="E79" s="67"/>
      <c r="F79" s="67"/>
      <c r="G79" s="67"/>
      <c r="H79" s="67"/>
      <c r="I79" s="67"/>
      <c r="J79" s="67"/>
      <c r="K79" s="67"/>
    </row>
    <row r="80" spans="1:11" s="1292" customFormat="1" ht="15" customHeight="1">
      <c r="A80" s="99"/>
      <c r="B80" s="100"/>
      <c r="C80" s="45"/>
      <c r="D80" s="45"/>
      <c r="E80" s="45"/>
      <c r="F80" s="45"/>
      <c r="G80" s="45"/>
      <c r="H80" s="45"/>
      <c r="I80" s="45"/>
      <c r="J80" s="45"/>
      <c r="K80" s="45"/>
    </row>
    <row r="81" spans="1:11" s="1292" customFormat="1" ht="15" customHeight="1">
      <c r="A81" s="1992" t="s">
        <v>1828</v>
      </c>
      <c r="B81" s="1992"/>
      <c r="C81" s="1992"/>
      <c r="D81" s="1992"/>
      <c r="E81" s="1992"/>
      <c r="F81" s="1992"/>
      <c r="G81" s="1992"/>
      <c r="H81" s="1992"/>
      <c r="I81" s="1992"/>
      <c r="J81" s="1992"/>
      <c r="K81" s="1992"/>
    </row>
    <row r="82" spans="1:11" s="1292" customFormat="1" ht="15" hidden="1" customHeight="1" outlineLevel="1">
      <c r="A82" s="60" t="s">
        <v>4</v>
      </c>
      <c r="B82" s="61" t="s">
        <v>48</v>
      </c>
      <c r="C82" s="67"/>
      <c r="D82" s="67"/>
      <c r="E82" s="67"/>
      <c r="F82" s="67"/>
      <c r="G82" s="67"/>
      <c r="H82" s="67"/>
      <c r="I82" s="67"/>
      <c r="J82" s="67"/>
      <c r="K82" s="67"/>
    </row>
    <row r="83" spans="1:11" s="1292" customFormat="1" ht="15" hidden="1" customHeight="1" outlineLevel="1">
      <c r="A83" s="60"/>
      <c r="B83" s="70" t="s">
        <v>596</v>
      </c>
      <c r="C83" s="250"/>
      <c r="D83" s="67"/>
      <c r="E83" s="67"/>
      <c r="F83" s="67"/>
      <c r="G83" s="67"/>
      <c r="H83" s="250"/>
      <c r="I83" s="251"/>
      <c r="J83" s="251"/>
      <c r="K83" s="251"/>
    </row>
    <row r="84" spans="1:11" s="1292" customFormat="1" ht="15" hidden="1" customHeight="1" outlineLevel="1">
      <c r="A84" s="60"/>
      <c r="B84" s="70" t="s">
        <v>597</v>
      </c>
      <c r="C84" s="67"/>
      <c r="D84" s="67"/>
      <c r="E84" s="67"/>
      <c r="F84" s="67"/>
      <c r="G84" s="67"/>
      <c r="H84" s="67"/>
      <c r="I84" s="67"/>
      <c r="J84" s="67"/>
      <c r="K84" s="67"/>
    </row>
    <row r="85" spans="1:11" s="1292" customFormat="1" ht="15" hidden="1" customHeight="1" outlineLevel="1">
      <c r="A85" s="60"/>
      <c r="B85" s="70" t="s">
        <v>598</v>
      </c>
      <c r="C85" s="67"/>
      <c r="D85" s="67"/>
      <c r="E85" s="67"/>
      <c r="F85" s="67"/>
      <c r="G85" s="67"/>
      <c r="H85" s="67"/>
      <c r="I85" s="67"/>
      <c r="J85" s="67"/>
      <c r="K85" s="67"/>
    </row>
    <row r="86" spans="1:11" s="1292" customFormat="1" ht="15" hidden="1" customHeight="1" outlineLevel="1">
      <c r="A86" s="60"/>
      <c r="B86" s="70" t="s">
        <v>599</v>
      </c>
      <c r="C86" s="67"/>
      <c r="D86" s="67"/>
      <c r="E86" s="67"/>
      <c r="F86" s="67"/>
      <c r="G86" s="67"/>
      <c r="H86" s="67"/>
      <c r="I86" s="67"/>
      <c r="J86" s="67"/>
      <c r="K86" s="67"/>
    </row>
    <row r="87" spans="1:11" s="1292" customFormat="1" ht="15" hidden="1" customHeight="1" outlineLevel="1">
      <c r="A87" s="60"/>
      <c r="B87" s="70" t="s">
        <v>600</v>
      </c>
      <c r="C87" s="67"/>
      <c r="D87" s="67"/>
      <c r="E87" s="67"/>
      <c r="F87" s="67"/>
      <c r="G87" s="67"/>
      <c r="H87" s="67"/>
      <c r="I87" s="67"/>
      <c r="J87" s="67"/>
      <c r="K87" s="67"/>
    </row>
    <row r="88" spans="1:11" s="1292" customFormat="1" ht="15" hidden="1" customHeight="1" outlineLevel="1">
      <c r="A88" s="60"/>
      <c r="B88" s="70" t="s">
        <v>601</v>
      </c>
      <c r="C88" s="67"/>
      <c r="D88" s="67"/>
      <c r="E88" s="67"/>
      <c r="F88" s="67"/>
      <c r="G88" s="67"/>
      <c r="H88" s="67"/>
      <c r="I88" s="67"/>
      <c r="J88" s="67"/>
      <c r="K88" s="67"/>
    </row>
    <row r="89" spans="1:11" s="1292" customFormat="1" ht="15" hidden="1" customHeight="1" outlineLevel="1">
      <c r="A89" s="60"/>
      <c r="B89" s="70" t="s">
        <v>26</v>
      </c>
      <c r="C89" s="67"/>
      <c r="D89" s="67"/>
      <c r="E89" s="67"/>
      <c r="F89" s="67"/>
      <c r="G89" s="67"/>
      <c r="H89" s="67"/>
      <c r="I89" s="67"/>
      <c r="J89" s="67"/>
      <c r="K89" s="67"/>
    </row>
    <row r="90" spans="1:11" s="1292" customFormat="1" ht="15" hidden="1" customHeight="1" outlineLevel="1">
      <c r="A90" s="60" t="s">
        <v>434</v>
      </c>
      <c r="B90" s="70" t="s">
        <v>602</v>
      </c>
      <c r="C90" s="67"/>
      <c r="D90" s="67"/>
      <c r="E90" s="67"/>
      <c r="F90" s="67"/>
      <c r="G90" s="67"/>
      <c r="H90" s="67"/>
      <c r="I90" s="67"/>
      <c r="J90" s="67"/>
      <c r="K90" s="67"/>
    </row>
    <row r="91" spans="1:11" s="1292" customFormat="1" ht="15" hidden="1" customHeight="1" outlineLevel="1">
      <c r="A91" s="60"/>
      <c r="B91" s="70" t="s">
        <v>26</v>
      </c>
      <c r="C91" s="67"/>
      <c r="D91" s="67"/>
      <c r="E91" s="67"/>
      <c r="F91" s="67"/>
      <c r="G91" s="67"/>
      <c r="H91" s="67"/>
      <c r="I91" s="67"/>
      <c r="J91" s="67"/>
      <c r="K91" s="67"/>
    </row>
    <row r="92" spans="1:11" s="1292" customFormat="1" ht="60" collapsed="1">
      <c r="A92" s="256" t="s">
        <v>603</v>
      </c>
      <c r="B92" s="257" t="s">
        <v>604</v>
      </c>
      <c r="C92" s="258">
        <f>'4.6_генерация_котельн.'!H93</f>
        <v>2119050.8673433969</v>
      </c>
      <c r="D92" s="269">
        <f>'4.1_котельные'!BF20</f>
        <v>457.62200000000001</v>
      </c>
      <c r="E92" s="258"/>
      <c r="F92" s="269">
        <f>'4.3_котельные'!W8</f>
        <v>143.79300000000001</v>
      </c>
      <c r="G92" s="258"/>
      <c r="H92" s="258">
        <f>'4.6_генерация_котельн.'!H10</f>
        <v>995305.16267999995</v>
      </c>
      <c r="I92" s="259">
        <f>C92/D92</f>
        <v>4630.5703557595498</v>
      </c>
      <c r="J92" s="259">
        <f>H92/D92</f>
        <v>2174.9504234499213</v>
      </c>
      <c r="K92" s="259">
        <f>(C92-H92)/(F92*12)</f>
        <v>651.25197602537253</v>
      </c>
    </row>
    <row r="93" spans="1:11" s="1292" customFormat="1" ht="15" customHeight="1">
      <c r="A93" s="824"/>
      <c r="B93" s="807" t="s">
        <v>596</v>
      </c>
      <c r="C93" s="806">
        <f>F93/F92*C92</f>
        <v>2110886.6717253332</v>
      </c>
      <c r="D93" s="871">
        <f>'4.1_котельные'!BG20</f>
        <v>457.12200000000001</v>
      </c>
      <c r="E93" s="853"/>
      <c r="F93" s="871">
        <f>'4.3_котельные'!W9</f>
        <v>143.239</v>
      </c>
      <c r="G93" s="853"/>
      <c r="H93" s="806">
        <f>H92-H95</f>
        <v>991470.49019855284</v>
      </c>
      <c r="I93" s="855">
        <f>C93/D93</f>
        <v>4617.775280396334</v>
      </c>
      <c r="J93" s="855">
        <f>H93/D93</f>
        <v>2168.9406552267292</v>
      </c>
      <c r="K93" s="855">
        <f>(C93-H93)/(F93*12)</f>
        <v>651.25197602537276</v>
      </c>
    </row>
    <row r="94" spans="1:11" s="1292" customFormat="1" ht="15" customHeight="1">
      <c r="A94" s="60"/>
      <c r="B94" s="70" t="s">
        <v>597</v>
      </c>
      <c r="C94" s="67"/>
      <c r="D94" s="872"/>
      <c r="E94" s="67"/>
      <c r="F94" s="872"/>
      <c r="G94" s="67"/>
      <c r="H94" s="67"/>
      <c r="I94" s="67"/>
      <c r="J94" s="67"/>
      <c r="K94" s="67"/>
    </row>
    <row r="95" spans="1:11" s="1292" customFormat="1" ht="15" customHeight="1">
      <c r="A95" s="824"/>
      <c r="B95" s="807" t="s">
        <v>598</v>
      </c>
      <c r="C95" s="806">
        <f>C92-C93</f>
        <v>8164.1956180636771</v>
      </c>
      <c r="D95" s="871">
        <f>'4.1_котельные'!BM20</f>
        <v>0.5</v>
      </c>
      <c r="E95" s="853"/>
      <c r="F95" s="871">
        <f>'4.3_котельные'!W15</f>
        <v>0.55400000000000005</v>
      </c>
      <c r="G95" s="853"/>
      <c r="H95" s="806">
        <f>F95/F92*H92</f>
        <v>3834.6724814470804</v>
      </c>
      <c r="I95" s="855">
        <f>C95/D95</f>
        <v>16328.391236127354</v>
      </c>
      <c r="J95" s="855">
        <f>H95/D95</f>
        <v>7669.3449628941607</v>
      </c>
      <c r="K95" s="855">
        <f>(C95-H95)/(F95*12)</f>
        <v>651.25197602536048</v>
      </c>
    </row>
    <row r="96" spans="1:11" s="1292" customFormat="1" ht="15" customHeight="1">
      <c r="A96" s="60"/>
      <c r="B96" s="70" t="s">
        <v>599</v>
      </c>
      <c r="C96" s="67"/>
      <c r="D96" s="67"/>
      <c r="E96" s="67"/>
      <c r="F96" s="67"/>
      <c r="G96" s="67"/>
      <c r="H96" s="67"/>
      <c r="I96" s="67"/>
      <c r="J96" s="67"/>
      <c r="K96" s="67"/>
    </row>
    <row r="97" spans="1:11" s="1292" customFormat="1" ht="15" customHeight="1">
      <c r="A97" s="60"/>
      <c r="B97" s="70" t="s">
        <v>600</v>
      </c>
      <c r="C97" s="67"/>
      <c r="D97" s="67"/>
      <c r="E97" s="67"/>
      <c r="F97" s="67"/>
      <c r="G97" s="67"/>
      <c r="H97" s="67"/>
      <c r="I97" s="67"/>
      <c r="J97" s="67"/>
      <c r="K97" s="67"/>
    </row>
    <row r="98" spans="1:11" s="1292" customFormat="1" ht="15" customHeight="1">
      <c r="A98" s="60"/>
      <c r="B98" s="70" t="s">
        <v>601</v>
      </c>
      <c r="C98" s="67"/>
      <c r="D98" s="67"/>
      <c r="E98" s="67"/>
      <c r="F98" s="67"/>
      <c r="G98" s="67"/>
      <c r="H98" s="67"/>
      <c r="I98" s="67"/>
      <c r="J98" s="67"/>
      <c r="K98" s="67"/>
    </row>
    <row r="99" spans="1:11" s="1292" customFormat="1" ht="15" customHeight="1">
      <c r="A99" s="99"/>
      <c r="B99" s="100"/>
      <c r="C99" s="45"/>
      <c r="D99" s="45"/>
      <c r="E99" s="45"/>
      <c r="F99" s="45"/>
      <c r="G99" s="45"/>
      <c r="H99" s="45"/>
      <c r="I99" s="45"/>
      <c r="J99" s="45"/>
      <c r="K99" s="45"/>
    </row>
    <row r="100" spans="1:11" s="1588" customFormat="1" ht="15" customHeight="1">
      <c r="A100" s="1992" t="s">
        <v>1833</v>
      </c>
      <c r="B100" s="1992"/>
      <c r="C100" s="1992"/>
      <c r="D100" s="1992"/>
      <c r="E100" s="1992"/>
      <c r="F100" s="1992"/>
      <c r="G100" s="1992"/>
      <c r="H100" s="1992"/>
      <c r="I100" s="1992"/>
      <c r="J100" s="1992"/>
      <c r="K100" s="1992"/>
    </row>
    <row r="101" spans="1:11" s="1588" customFormat="1" ht="15" hidden="1" customHeight="1" outlineLevel="1">
      <c r="A101" s="60" t="s">
        <v>4</v>
      </c>
      <c r="B101" s="61" t="s">
        <v>48</v>
      </c>
      <c r="C101" s="67"/>
      <c r="D101" s="67"/>
      <c r="E101" s="67"/>
      <c r="F101" s="67"/>
      <c r="G101" s="67"/>
      <c r="H101" s="67"/>
      <c r="I101" s="67"/>
      <c r="J101" s="67"/>
      <c r="K101" s="67"/>
    </row>
    <row r="102" spans="1:11" s="1588" customFormat="1" ht="15" hidden="1" customHeight="1" outlineLevel="1">
      <c r="A102" s="60"/>
      <c r="B102" s="70" t="s">
        <v>596</v>
      </c>
      <c r="C102" s="250"/>
      <c r="D102" s="67"/>
      <c r="E102" s="67"/>
      <c r="F102" s="67"/>
      <c r="G102" s="67"/>
      <c r="H102" s="250"/>
      <c r="I102" s="251"/>
      <c r="J102" s="251"/>
      <c r="K102" s="251"/>
    </row>
    <row r="103" spans="1:11" s="1588" customFormat="1" ht="15" hidden="1" customHeight="1" outlineLevel="1">
      <c r="A103" s="60"/>
      <c r="B103" s="70" t="s">
        <v>597</v>
      </c>
      <c r="C103" s="67"/>
      <c r="D103" s="67"/>
      <c r="E103" s="67"/>
      <c r="F103" s="67"/>
      <c r="G103" s="67"/>
      <c r="H103" s="67"/>
      <c r="I103" s="67"/>
      <c r="J103" s="67"/>
      <c r="K103" s="67"/>
    </row>
    <row r="104" spans="1:11" s="1588" customFormat="1" ht="15" hidden="1" customHeight="1" outlineLevel="1">
      <c r="A104" s="60"/>
      <c r="B104" s="70" t="s">
        <v>598</v>
      </c>
      <c r="C104" s="67"/>
      <c r="D104" s="67"/>
      <c r="E104" s="67"/>
      <c r="F104" s="67"/>
      <c r="G104" s="67"/>
      <c r="H104" s="67"/>
      <c r="I104" s="67"/>
      <c r="J104" s="67"/>
      <c r="K104" s="67"/>
    </row>
    <row r="105" spans="1:11" s="1588" customFormat="1" ht="15" hidden="1" customHeight="1" outlineLevel="1">
      <c r="A105" s="60"/>
      <c r="B105" s="70" t="s">
        <v>599</v>
      </c>
      <c r="C105" s="67"/>
      <c r="D105" s="67"/>
      <c r="E105" s="67"/>
      <c r="F105" s="67"/>
      <c r="G105" s="67"/>
      <c r="H105" s="67"/>
      <c r="I105" s="67"/>
      <c r="J105" s="67"/>
      <c r="K105" s="67"/>
    </row>
    <row r="106" spans="1:11" s="1588" customFormat="1" ht="15" hidden="1" customHeight="1" outlineLevel="1">
      <c r="A106" s="60"/>
      <c r="B106" s="70" t="s">
        <v>600</v>
      </c>
      <c r="C106" s="67"/>
      <c r="D106" s="67"/>
      <c r="E106" s="67"/>
      <c r="F106" s="67"/>
      <c r="G106" s="67"/>
      <c r="H106" s="67"/>
      <c r="I106" s="67"/>
      <c r="J106" s="67"/>
      <c r="K106" s="67"/>
    </row>
    <row r="107" spans="1:11" s="1588" customFormat="1" ht="15" hidden="1" customHeight="1" outlineLevel="1">
      <c r="A107" s="60"/>
      <c r="B107" s="70" t="s">
        <v>601</v>
      </c>
      <c r="C107" s="67"/>
      <c r="D107" s="67"/>
      <c r="E107" s="67"/>
      <c r="F107" s="67"/>
      <c r="G107" s="67"/>
      <c r="H107" s="67"/>
      <c r="I107" s="67"/>
      <c r="J107" s="67"/>
      <c r="K107" s="67"/>
    </row>
    <row r="108" spans="1:11" s="1588" customFormat="1" ht="15" hidden="1" customHeight="1" outlineLevel="1">
      <c r="A108" s="60"/>
      <c r="B108" s="70" t="s">
        <v>26</v>
      </c>
      <c r="C108" s="67"/>
      <c r="D108" s="67"/>
      <c r="E108" s="67"/>
      <c r="F108" s="67"/>
      <c r="G108" s="67"/>
      <c r="H108" s="67"/>
      <c r="I108" s="67"/>
      <c r="J108" s="67"/>
      <c r="K108" s="67"/>
    </row>
    <row r="109" spans="1:11" s="1588" customFormat="1" ht="15" hidden="1" customHeight="1" outlineLevel="1">
      <c r="A109" s="60" t="s">
        <v>434</v>
      </c>
      <c r="B109" s="70" t="s">
        <v>602</v>
      </c>
      <c r="C109" s="67"/>
      <c r="D109" s="67"/>
      <c r="E109" s="67"/>
      <c r="F109" s="67"/>
      <c r="G109" s="67"/>
      <c r="H109" s="67"/>
      <c r="I109" s="67"/>
      <c r="J109" s="67"/>
      <c r="K109" s="67"/>
    </row>
    <row r="110" spans="1:11" s="1588" customFormat="1" ht="15" hidden="1" customHeight="1" outlineLevel="1">
      <c r="A110" s="60"/>
      <c r="B110" s="70" t="s">
        <v>26</v>
      </c>
      <c r="C110" s="67"/>
      <c r="D110" s="67"/>
      <c r="E110" s="67"/>
      <c r="F110" s="67"/>
      <c r="G110" s="67"/>
      <c r="H110" s="67"/>
      <c r="I110" s="67"/>
      <c r="J110" s="67"/>
      <c r="K110" s="67"/>
    </row>
    <row r="111" spans="1:11" s="1588" customFormat="1" ht="60" collapsed="1">
      <c r="A111" s="256" t="s">
        <v>603</v>
      </c>
      <c r="B111" s="257" t="s">
        <v>604</v>
      </c>
      <c r="C111" s="258">
        <f>'4.6_генерация_котельн.'!I93</f>
        <v>2407335.25</v>
      </c>
      <c r="D111" s="269">
        <f>'4.1_котельные'!BQ20</f>
        <v>496.64600000000013</v>
      </c>
      <c r="E111" s="258"/>
      <c r="F111" s="269">
        <f>'4.3_котельные'!AA8</f>
        <v>143.79300000000001</v>
      </c>
      <c r="G111" s="258"/>
      <c r="H111" s="258">
        <f>'4.6_генерация_котельн.'!I10</f>
        <v>1192625</v>
      </c>
      <c r="I111" s="259">
        <f>C111/D111</f>
        <v>4847.1854197959901</v>
      </c>
      <c r="J111" s="259">
        <f>H111/D111</f>
        <v>2401.3583115539031</v>
      </c>
      <c r="K111" s="259">
        <f>(C111-H111)/(F111*12)</f>
        <v>703.96927643672961</v>
      </c>
    </row>
    <row r="112" spans="1:11" s="1588" customFormat="1" ht="15" customHeight="1">
      <c r="A112" s="824"/>
      <c r="B112" s="807" t="s">
        <v>596</v>
      </c>
      <c r="C112" s="806">
        <f>F112/F111*C111</f>
        <v>2398060.3636807771</v>
      </c>
      <c r="D112" s="871">
        <f>'4.1_котельные'!BR20</f>
        <v>495.27800000000008</v>
      </c>
      <c r="E112" s="853"/>
      <c r="F112" s="871">
        <f>'4.3_котельные'!AA9</f>
        <v>143.239</v>
      </c>
      <c r="G112" s="853"/>
      <c r="H112" s="806">
        <f>H111-H114</f>
        <v>1188030.1014305286</v>
      </c>
      <c r="I112" s="855">
        <f>C112/D112</f>
        <v>4841.8471316730738</v>
      </c>
      <c r="J112" s="855">
        <f>H112/D112</f>
        <v>2398.7136546152433</v>
      </c>
      <c r="K112" s="855">
        <f>(C112-H112)/(F112*12)</f>
        <v>703.96927643672961</v>
      </c>
    </row>
    <row r="113" spans="1:11" s="1588" customFormat="1" ht="15" customHeight="1">
      <c r="A113" s="60"/>
      <c r="B113" s="70" t="s">
        <v>597</v>
      </c>
      <c r="C113" s="67"/>
      <c r="D113" s="872"/>
      <c r="E113" s="67"/>
      <c r="F113" s="872"/>
      <c r="G113" s="67"/>
      <c r="H113" s="67"/>
      <c r="I113" s="67"/>
      <c r="J113" s="67"/>
      <c r="K113" s="67"/>
    </row>
    <row r="114" spans="1:11" s="1588" customFormat="1" ht="15" customHeight="1">
      <c r="A114" s="824"/>
      <c r="B114" s="807" t="s">
        <v>598</v>
      </c>
      <c r="C114" s="806">
        <f>C111-C112</f>
        <v>9274.88631922286</v>
      </c>
      <c r="D114" s="871">
        <f>'4.1_котельные'!BV20</f>
        <v>1.3680000000000001</v>
      </c>
      <c r="E114" s="853"/>
      <c r="F114" s="871">
        <f>'4.3_котельные'!AA13</f>
        <v>0.55400000000000005</v>
      </c>
      <c r="G114" s="853"/>
      <c r="H114" s="806">
        <f>F114/F111*H111</f>
        <v>4594.8985694713929</v>
      </c>
      <c r="I114" s="855">
        <f>C114/D114</f>
        <v>6779.887660250628</v>
      </c>
      <c r="J114" s="855">
        <f>H114/D114</f>
        <v>3358.8439835317195</v>
      </c>
      <c r="K114" s="855">
        <f>(C114-H114)/(F114*12)</f>
        <v>703.96927643674292</v>
      </c>
    </row>
    <row r="115" spans="1:11" s="1588" customFormat="1" ht="15" customHeight="1">
      <c r="A115" s="60"/>
      <c r="B115" s="70" t="s">
        <v>599</v>
      </c>
      <c r="C115" s="67"/>
      <c r="D115" s="67"/>
      <c r="E115" s="67"/>
      <c r="F115" s="67"/>
      <c r="G115" s="67"/>
      <c r="H115" s="67"/>
      <c r="I115" s="67"/>
      <c r="J115" s="67"/>
      <c r="K115" s="67"/>
    </row>
    <row r="116" spans="1:11" s="1588" customFormat="1" ht="15" customHeight="1">
      <c r="A116" s="60"/>
      <c r="B116" s="70" t="s">
        <v>600</v>
      </c>
      <c r="C116" s="67"/>
      <c r="D116" s="67"/>
      <c r="E116" s="67"/>
      <c r="F116" s="67"/>
      <c r="G116" s="67"/>
      <c r="H116" s="67"/>
      <c r="I116" s="67"/>
      <c r="J116" s="67"/>
      <c r="K116" s="67"/>
    </row>
    <row r="117" spans="1:11" s="1588" customFormat="1" ht="15" customHeight="1">
      <c r="A117" s="60"/>
      <c r="B117" s="70" t="s">
        <v>601</v>
      </c>
      <c r="C117" s="67"/>
      <c r="D117" s="67"/>
      <c r="E117" s="67"/>
      <c r="F117" s="67"/>
      <c r="G117" s="67"/>
      <c r="H117" s="67"/>
      <c r="I117" s="67"/>
      <c r="J117" s="67"/>
      <c r="K117" s="67"/>
    </row>
    <row r="118" spans="1:11" s="1588" customFormat="1" ht="15" customHeight="1">
      <c r="A118" s="99"/>
      <c r="B118" s="100"/>
      <c r="C118" s="45"/>
      <c r="D118" s="45"/>
      <c r="E118" s="45"/>
      <c r="F118" s="45"/>
      <c r="G118" s="45"/>
      <c r="H118" s="45"/>
      <c r="I118" s="45"/>
      <c r="J118" s="45"/>
      <c r="K118" s="45"/>
    </row>
    <row r="119" spans="1:11" s="1588" customFormat="1" ht="15" customHeight="1">
      <c r="A119" s="1992" t="s">
        <v>1834</v>
      </c>
      <c r="B119" s="1992"/>
      <c r="C119" s="1992"/>
      <c r="D119" s="1992"/>
      <c r="E119" s="1992"/>
      <c r="F119" s="1992"/>
      <c r="G119" s="1992"/>
      <c r="H119" s="1992"/>
      <c r="I119" s="1992"/>
      <c r="J119" s="1992"/>
      <c r="K119" s="1992"/>
    </row>
    <row r="120" spans="1:11" s="1588" customFormat="1" ht="15" hidden="1" customHeight="1" outlineLevel="1">
      <c r="A120" s="60" t="s">
        <v>4</v>
      </c>
      <c r="B120" s="61" t="s">
        <v>48</v>
      </c>
      <c r="C120" s="67"/>
      <c r="D120" s="67"/>
      <c r="E120" s="67"/>
      <c r="F120" s="67"/>
      <c r="G120" s="67"/>
      <c r="H120" s="67"/>
      <c r="I120" s="67"/>
      <c r="J120" s="67"/>
      <c r="K120" s="67"/>
    </row>
    <row r="121" spans="1:11" s="1588" customFormat="1" ht="15" hidden="1" customHeight="1" outlineLevel="1">
      <c r="A121" s="60"/>
      <c r="B121" s="70" t="s">
        <v>596</v>
      </c>
      <c r="C121" s="250"/>
      <c r="D121" s="67"/>
      <c r="E121" s="67"/>
      <c r="F121" s="67"/>
      <c r="G121" s="67"/>
      <c r="H121" s="250"/>
      <c r="I121" s="251"/>
      <c r="J121" s="251"/>
      <c r="K121" s="251"/>
    </row>
    <row r="122" spans="1:11" s="1588" customFormat="1" ht="15" hidden="1" customHeight="1" outlineLevel="1">
      <c r="A122" s="60"/>
      <c r="B122" s="70" t="s">
        <v>597</v>
      </c>
      <c r="C122" s="67"/>
      <c r="D122" s="67"/>
      <c r="E122" s="67"/>
      <c r="F122" s="67"/>
      <c r="G122" s="67"/>
      <c r="H122" s="67"/>
      <c r="I122" s="67"/>
      <c r="J122" s="67"/>
      <c r="K122" s="67"/>
    </row>
    <row r="123" spans="1:11" s="1588" customFormat="1" ht="15" hidden="1" customHeight="1" outlineLevel="1">
      <c r="A123" s="60"/>
      <c r="B123" s="70" t="s">
        <v>598</v>
      </c>
      <c r="C123" s="67"/>
      <c r="D123" s="67"/>
      <c r="E123" s="67"/>
      <c r="F123" s="67"/>
      <c r="G123" s="67"/>
      <c r="H123" s="67"/>
      <c r="I123" s="67"/>
      <c r="J123" s="67"/>
      <c r="K123" s="67"/>
    </row>
    <row r="124" spans="1:11" s="1588" customFormat="1" ht="15" hidden="1" customHeight="1" outlineLevel="1">
      <c r="A124" s="60"/>
      <c r="B124" s="70" t="s">
        <v>599</v>
      </c>
      <c r="C124" s="67"/>
      <c r="D124" s="67"/>
      <c r="E124" s="67"/>
      <c r="F124" s="67"/>
      <c r="G124" s="67"/>
      <c r="H124" s="67"/>
      <c r="I124" s="67"/>
      <c r="J124" s="67"/>
      <c r="K124" s="67"/>
    </row>
    <row r="125" spans="1:11" s="1588" customFormat="1" ht="15" hidden="1" customHeight="1" outlineLevel="1">
      <c r="A125" s="60"/>
      <c r="B125" s="70" t="s">
        <v>600</v>
      </c>
      <c r="C125" s="67"/>
      <c r="D125" s="67"/>
      <c r="E125" s="67"/>
      <c r="F125" s="67"/>
      <c r="G125" s="67"/>
      <c r="H125" s="67"/>
      <c r="I125" s="67"/>
      <c r="J125" s="67"/>
      <c r="K125" s="67"/>
    </row>
    <row r="126" spans="1:11" s="1588" customFormat="1" ht="15" hidden="1" customHeight="1" outlineLevel="1">
      <c r="A126" s="60"/>
      <c r="B126" s="70" t="s">
        <v>601</v>
      </c>
      <c r="C126" s="67"/>
      <c r="D126" s="67"/>
      <c r="E126" s="67"/>
      <c r="F126" s="67"/>
      <c r="G126" s="67"/>
      <c r="H126" s="67"/>
      <c r="I126" s="67"/>
      <c r="J126" s="67"/>
      <c r="K126" s="67"/>
    </row>
    <row r="127" spans="1:11" s="1588" customFormat="1" ht="15" hidden="1" customHeight="1" outlineLevel="1">
      <c r="A127" s="60"/>
      <c r="B127" s="70" t="s">
        <v>26</v>
      </c>
      <c r="C127" s="67"/>
      <c r="D127" s="67"/>
      <c r="E127" s="67"/>
      <c r="F127" s="67"/>
      <c r="G127" s="67"/>
      <c r="H127" s="67"/>
      <c r="I127" s="67"/>
      <c r="J127" s="67"/>
      <c r="K127" s="67"/>
    </row>
    <row r="128" spans="1:11" s="1588" customFormat="1" ht="15" hidden="1" customHeight="1" outlineLevel="1">
      <c r="A128" s="60" t="s">
        <v>434</v>
      </c>
      <c r="B128" s="70" t="s">
        <v>602</v>
      </c>
      <c r="C128" s="67"/>
      <c r="D128" s="67"/>
      <c r="E128" s="67"/>
      <c r="F128" s="67"/>
      <c r="G128" s="67"/>
      <c r="H128" s="67"/>
      <c r="I128" s="67"/>
      <c r="J128" s="67"/>
      <c r="K128" s="67"/>
    </row>
    <row r="129" spans="1:11" s="1588" customFormat="1" ht="15" hidden="1" customHeight="1" outlineLevel="1">
      <c r="A129" s="60"/>
      <c r="B129" s="70" t="s">
        <v>26</v>
      </c>
      <c r="C129" s="67"/>
      <c r="D129" s="67"/>
      <c r="E129" s="67"/>
      <c r="F129" s="67"/>
      <c r="G129" s="67"/>
      <c r="H129" s="67"/>
      <c r="I129" s="67"/>
      <c r="J129" s="67"/>
      <c r="K129" s="67"/>
    </row>
    <row r="130" spans="1:11" s="1588" customFormat="1" ht="60" collapsed="1">
      <c r="A130" s="256" t="s">
        <v>603</v>
      </c>
      <c r="B130" s="257" t="s">
        <v>604</v>
      </c>
      <c r="C130" s="258">
        <f>'4.6_генерация_котельн.'!J93</f>
        <v>2195008.3343403954</v>
      </c>
      <c r="D130" s="269">
        <f>'4.1_котельные'!CB20</f>
        <v>482.19400000000002</v>
      </c>
      <c r="E130" s="258"/>
      <c r="F130" s="269">
        <f>'4.3_котельные'!AE8</f>
        <v>143.79300000000001</v>
      </c>
      <c r="G130" s="258"/>
      <c r="H130" s="258">
        <f>'4.6_генерация_котельн.'!J10</f>
        <v>1095460.1892599999</v>
      </c>
      <c r="I130" s="259">
        <f>C130/D130</f>
        <v>4552.1270159736441</v>
      </c>
      <c r="J130" s="259">
        <f>H130/D130</f>
        <v>2271.8245960339609</v>
      </c>
      <c r="K130" s="259">
        <f>(C130-H130)/(F130*12)</f>
        <v>637.22860007116446</v>
      </c>
    </row>
    <row r="131" spans="1:11" s="1588" customFormat="1" ht="15" customHeight="1">
      <c r="A131" s="824"/>
      <c r="B131" s="807" t="s">
        <v>596</v>
      </c>
      <c r="C131" s="806">
        <f>F131/F130*C130</f>
        <v>2186551.4927888275</v>
      </c>
      <c r="D131" s="871">
        <f>'4.1_котельные'!CC20</f>
        <v>480.99799999999999</v>
      </c>
      <c r="E131" s="853"/>
      <c r="F131" s="871">
        <f>'4.3_котельные'!AE9</f>
        <v>143.239</v>
      </c>
      <c r="G131" s="853"/>
      <c r="H131" s="806">
        <f>H130-H133</f>
        <v>1091239.6434417053</v>
      </c>
      <c r="I131" s="855">
        <f>C131/D131</f>
        <v>4545.8640010744903</v>
      </c>
      <c r="J131" s="855">
        <f>H131/D131</f>
        <v>2268.6989206643379</v>
      </c>
      <c r="K131" s="855">
        <f>(C131-H131)/(F131*12)</f>
        <v>637.22860007116446</v>
      </c>
    </row>
    <row r="132" spans="1:11" s="1588" customFormat="1" ht="15" customHeight="1">
      <c r="A132" s="60"/>
      <c r="B132" s="70" t="s">
        <v>597</v>
      </c>
      <c r="C132" s="67"/>
      <c r="D132" s="872"/>
      <c r="E132" s="67"/>
      <c r="F132" s="872"/>
      <c r="G132" s="67"/>
      <c r="H132" s="67"/>
      <c r="I132" s="67"/>
      <c r="J132" s="67"/>
      <c r="K132" s="67"/>
    </row>
    <row r="133" spans="1:11" s="1588" customFormat="1" ht="15" customHeight="1">
      <c r="A133" s="824"/>
      <c r="B133" s="807" t="s">
        <v>598</v>
      </c>
      <c r="C133" s="806">
        <f>C130-C131</f>
        <v>8456.8415515678935</v>
      </c>
      <c r="D133" s="871">
        <f>'4.1_котельные'!CG20</f>
        <v>1.196</v>
      </c>
      <c r="E133" s="853"/>
      <c r="F133" s="871">
        <f>'4.3_котельные'!AE13</f>
        <v>0.55400000000000005</v>
      </c>
      <c r="G133" s="853"/>
      <c r="H133" s="806">
        <f>F133/F130*H130</f>
        <v>4220.5458182946313</v>
      </c>
      <c r="I133" s="855">
        <f>C133/D133</f>
        <v>7070.9377521470687</v>
      </c>
      <c r="J133" s="855">
        <f>H133/D133</f>
        <v>3528.8844634570496</v>
      </c>
      <c r="K133" s="855">
        <f>(C133-H133)/(F133*12)</f>
        <v>637.22860007118857</v>
      </c>
    </row>
    <row r="134" spans="1:11" s="1588" customFormat="1" ht="15" customHeight="1">
      <c r="A134" s="60"/>
      <c r="B134" s="70" t="s">
        <v>599</v>
      </c>
      <c r="C134" s="67"/>
      <c r="D134" s="67"/>
      <c r="E134" s="67"/>
      <c r="F134" s="67"/>
      <c r="G134" s="67"/>
      <c r="H134" s="67"/>
      <c r="I134" s="67"/>
      <c r="J134" s="67"/>
      <c r="K134" s="67"/>
    </row>
    <row r="135" spans="1:11" s="1588" customFormat="1" ht="15" customHeight="1">
      <c r="A135" s="60"/>
      <c r="B135" s="70" t="s">
        <v>600</v>
      </c>
      <c r="C135" s="67"/>
      <c r="D135" s="67"/>
      <c r="E135" s="67"/>
      <c r="F135" s="67"/>
      <c r="G135" s="67"/>
      <c r="H135" s="67"/>
      <c r="I135" s="67"/>
      <c r="J135" s="67"/>
      <c r="K135" s="67"/>
    </row>
    <row r="136" spans="1:11" s="1588" customFormat="1" ht="15" customHeight="1">
      <c r="A136" s="60"/>
      <c r="B136" s="70" t="s">
        <v>601</v>
      </c>
      <c r="C136" s="67"/>
      <c r="D136" s="67"/>
      <c r="E136" s="67"/>
      <c r="F136" s="67"/>
      <c r="G136" s="67"/>
      <c r="H136" s="67"/>
      <c r="I136" s="67"/>
      <c r="J136" s="67"/>
      <c r="K136" s="67"/>
    </row>
    <row r="137" spans="1:11" s="1588" customFormat="1" ht="15" customHeight="1">
      <c r="A137" s="99"/>
      <c r="B137" s="100"/>
      <c r="C137" s="45"/>
      <c r="D137" s="45"/>
      <c r="E137" s="45"/>
      <c r="F137" s="45"/>
      <c r="G137" s="45"/>
      <c r="H137" s="45"/>
      <c r="I137" s="45"/>
      <c r="J137" s="45"/>
      <c r="K137" s="45"/>
    </row>
    <row r="138" spans="1:11" s="773" customFormat="1" ht="15">
      <c r="A138" s="1994" t="s">
        <v>1688</v>
      </c>
      <c r="B138" s="1995"/>
      <c r="C138" s="1995"/>
      <c r="D138" s="1995"/>
      <c r="E138" s="1995"/>
      <c r="F138" s="1995"/>
      <c r="G138" s="1995"/>
      <c r="H138" s="1995"/>
      <c r="I138" s="1995"/>
      <c r="J138" s="1995"/>
      <c r="K138" s="1996"/>
    </row>
    <row r="139" spans="1:11" s="773" customFormat="1" ht="15" hidden="1" customHeight="1" outlineLevel="1">
      <c r="A139" s="60" t="s">
        <v>4</v>
      </c>
      <c r="B139" s="61" t="s">
        <v>48</v>
      </c>
      <c r="C139" s="67"/>
      <c r="D139" s="67"/>
      <c r="E139" s="67"/>
      <c r="F139" s="67"/>
      <c r="G139" s="67"/>
      <c r="H139" s="67"/>
      <c r="I139" s="67"/>
      <c r="J139" s="67"/>
      <c r="K139" s="67"/>
    </row>
    <row r="140" spans="1:11" s="773" customFormat="1" ht="15" hidden="1" customHeight="1" outlineLevel="1">
      <c r="A140" s="60"/>
      <c r="B140" s="70" t="s">
        <v>596</v>
      </c>
      <c r="C140" s="250"/>
      <c r="D140" s="67"/>
      <c r="E140" s="67"/>
      <c r="F140" s="67"/>
      <c r="G140" s="67"/>
      <c r="H140" s="250"/>
      <c r="I140" s="251"/>
      <c r="J140" s="251"/>
      <c r="K140" s="251"/>
    </row>
    <row r="141" spans="1:11" s="773" customFormat="1" ht="18" hidden="1" customHeight="1" outlineLevel="1">
      <c r="A141" s="60"/>
      <c r="B141" s="70" t="s">
        <v>597</v>
      </c>
      <c r="C141" s="67"/>
      <c r="D141" s="67"/>
      <c r="E141" s="67"/>
      <c r="F141" s="67"/>
      <c r="G141" s="67"/>
      <c r="H141" s="67"/>
      <c r="I141" s="67"/>
      <c r="J141" s="67"/>
      <c r="K141" s="67"/>
    </row>
    <row r="142" spans="1:11" s="773" customFormat="1" ht="18" hidden="1" customHeight="1" outlineLevel="1">
      <c r="A142" s="60"/>
      <c r="B142" s="70" t="s">
        <v>598</v>
      </c>
      <c r="C142" s="67"/>
      <c r="D142" s="67"/>
      <c r="E142" s="67"/>
      <c r="F142" s="67"/>
      <c r="G142" s="67"/>
      <c r="H142" s="67"/>
      <c r="I142" s="67"/>
      <c r="J142" s="67"/>
      <c r="K142" s="67"/>
    </row>
    <row r="143" spans="1:11" s="773" customFormat="1" ht="18" hidden="1" customHeight="1" outlineLevel="1">
      <c r="A143" s="60"/>
      <c r="B143" s="70" t="s">
        <v>599</v>
      </c>
      <c r="C143" s="67"/>
      <c r="D143" s="67"/>
      <c r="E143" s="67"/>
      <c r="F143" s="67"/>
      <c r="G143" s="67"/>
      <c r="H143" s="67"/>
      <c r="I143" s="67"/>
      <c r="J143" s="67"/>
      <c r="K143" s="67"/>
    </row>
    <row r="144" spans="1:11" s="773" customFormat="1" ht="18" hidden="1" customHeight="1" outlineLevel="1">
      <c r="A144" s="60"/>
      <c r="B144" s="70" t="s">
        <v>600</v>
      </c>
      <c r="C144" s="67"/>
      <c r="D144" s="67"/>
      <c r="E144" s="67"/>
      <c r="F144" s="67"/>
      <c r="G144" s="67"/>
      <c r="H144" s="67"/>
      <c r="I144" s="67"/>
      <c r="J144" s="67"/>
      <c r="K144" s="67"/>
    </row>
    <row r="145" spans="1:12" s="773" customFormat="1" ht="15" hidden="1" customHeight="1" outlineLevel="1">
      <c r="A145" s="60"/>
      <c r="B145" s="70" t="s">
        <v>601</v>
      </c>
      <c r="C145" s="67"/>
      <c r="D145" s="67"/>
      <c r="E145" s="67"/>
      <c r="F145" s="67"/>
      <c r="G145" s="67"/>
      <c r="H145" s="67"/>
      <c r="I145" s="67"/>
      <c r="J145" s="67"/>
      <c r="K145" s="67"/>
    </row>
    <row r="146" spans="1:12" s="773" customFormat="1" ht="15" hidden="1" outlineLevel="1">
      <c r="A146" s="60"/>
      <c r="B146" s="70" t="s">
        <v>26</v>
      </c>
      <c r="C146" s="67"/>
      <c r="D146" s="67"/>
      <c r="E146" s="67"/>
      <c r="F146" s="67"/>
      <c r="G146" s="67"/>
      <c r="H146" s="67"/>
      <c r="I146" s="67"/>
      <c r="J146" s="67"/>
      <c r="K146" s="67"/>
    </row>
    <row r="147" spans="1:12" s="773" customFormat="1" ht="15" hidden="1" customHeight="1" outlineLevel="1">
      <c r="A147" s="60" t="s">
        <v>434</v>
      </c>
      <c r="B147" s="70" t="s">
        <v>602</v>
      </c>
      <c r="C147" s="67"/>
      <c r="D147" s="67"/>
      <c r="E147" s="67"/>
      <c r="F147" s="67"/>
      <c r="G147" s="67"/>
      <c r="H147" s="67"/>
      <c r="I147" s="67"/>
      <c r="J147" s="67"/>
      <c r="K147" s="67"/>
    </row>
    <row r="148" spans="1:12" s="773" customFormat="1" ht="15" hidden="1" outlineLevel="1">
      <c r="A148" s="60"/>
      <c r="B148" s="70" t="s">
        <v>26</v>
      </c>
      <c r="C148" s="67"/>
      <c r="D148" s="67"/>
      <c r="E148" s="67"/>
      <c r="F148" s="67"/>
      <c r="G148" s="67"/>
      <c r="H148" s="67"/>
      <c r="I148" s="67"/>
      <c r="J148" s="67"/>
      <c r="K148" s="67"/>
    </row>
    <row r="149" spans="1:12" s="108" customFormat="1" ht="60.75" customHeight="1" collapsed="1">
      <c r="A149" s="256" t="s">
        <v>603</v>
      </c>
      <c r="B149" s="257" t="s">
        <v>604</v>
      </c>
      <c r="C149" s="258">
        <f>'4.6_генерация_котельн.'!K93</f>
        <v>2604929.4678948438</v>
      </c>
      <c r="D149" s="269">
        <f>'4.1_котельные'!CM20</f>
        <v>482.64800000000002</v>
      </c>
      <c r="E149" s="258"/>
      <c r="F149" s="269">
        <f>'4.3_котельные'!AI8</f>
        <v>143.79300000000001</v>
      </c>
      <c r="G149" s="258"/>
      <c r="H149" s="258">
        <f>'4.6_генерация_котельн.'!K10</f>
        <v>1215556.9890000001</v>
      </c>
      <c r="I149" s="259">
        <f>C149/D149</f>
        <v>5397.1620474856281</v>
      </c>
      <c r="J149" s="259">
        <f>H149/D149</f>
        <v>2518.5165772985697</v>
      </c>
      <c r="K149" s="259">
        <f>(C149-H149)/(F149*12)</f>
        <v>805.19246352676168</v>
      </c>
    </row>
    <row r="150" spans="1:12" s="854" customFormat="1" ht="15" customHeight="1">
      <c r="A150" s="824"/>
      <c r="B150" s="807" t="s">
        <v>596</v>
      </c>
      <c r="C150" s="806">
        <f>F150/F149*C149</f>
        <v>2594893.2983649378</v>
      </c>
      <c r="D150" s="871">
        <f>'4.1_котельные'!CN20</f>
        <v>481.452</v>
      </c>
      <c r="E150" s="853"/>
      <c r="F150" s="871">
        <f>'4.3_котельные'!AI9</f>
        <v>143.239</v>
      </c>
      <c r="G150" s="853"/>
      <c r="H150" s="806">
        <f>H149-H152</f>
        <v>1210873.7389676201</v>
      </c>
      <c r="I150" s="855">
        <f>C150/D150</f>
        <v>5389.7237904608101</v>
      </c>
      <c r="J150" s="855">
        <f>H150/D150</f>
        <v>2515.0456098793234</v>
      </c>
      <c r="K150" s="855">
        <f>(C150-H150)/(F150*12)</f>
        <v>805.19246352676168</v>
      </c>
      <c r="L150" s="856">
        <f>C150-H150</f>
        <v>1384019.5593973177</v>
      </c>
    </row>
    <row r="151" spans="1:12" s="773" customFormat="1" ht="20.25" customHeight="1">
      <c r="A151" s="60"/>
      <c r="B151" s="70" t="s">
        <v>597</v>
      </c>
      <c r="C151" s="67"/>
      <c r="D151" s="872"/>
      <c r="E151" s="67"/>
      <c r="F151" s="872"/>
      <c r="G151" s="67"/>
      <c r="H151" s="67"/>
      <c r="I151" s="67"/>
      <c r="J151" s="67"/>
      <c r="K151" s="67"/>
    </row>
    <row r="152" spans="1:12" s="854" customFormat="1" ht="18" customHeight="1">
      <c r="A152" s="824"/>
      <c r="B152" s="807" t="s">
        <v>598</v>
      </c>
      <c r="C152" s="806">
        <f>C149-C150</f>
        <v>10036.169529906008</v>
      </c>
      <c r="D152" s="871">
        <f>'4.1_котельные'!CT20</f>
        <v>1.196</v>
      </c>
      <c r="E152" s="853"/>
      <c r="F152" s="871">
        <f>'4.3_котельные'!AI15</f>
        <v>0.55400000000000005</v>
      </c>
      <c r="G152" s="853"/>
      <c r="H152" s="806">
        <f>F152/F149*H149</f>
        <v>4683.2500323798795</v>
      </c>
      <c r="I152" s="855">
        <f>C152/D152</f>
        <v>8391.4460952391382</v>
      </c>
      <c r="J152" s="855">
        <f>H152/D152</f>
        <v>3915.7608966386952</v>
      </c>
      <c r="K152" s="855">
        <f>(C152-H152)/(F152*12)</f>
        <v>805.19246352679431</v>
      </c>
    </row>
    <row r="153" spans="1:12" s="773" customFormat="1" ht="17.25" customHeight="1">
      <c r="A153" s="60"/>
      <c r="B153" s="70" t="s">
        <v>599</v>
      </c>
      <c r="C153" s="67"/>
      <c r="D153" s="67"/>
      <c r="E153" s="67"/>
      <c r="F153" s="67"/>
      <c r="G153" s="67"/>
      <c r="H153" s="67"/>
      <c r="I153" s="67"/>
      <c r="J153" s="67"/>
      <c r="K153" s="67"/>
    </row>
    <row r="154" spans="1:12" s="773" customFormat="1" ht="18" customHeight="1">
      <c r="A154" s="60"/>
      <c r="B154" s="70" t="s">
        <v>600</v>
      </c>
      <c r="C154" s="67"/>
      <c r="D154" s="67"/>
      <c r="E154" s="67"/>
      <c r="F154" s="67"/>
      <c r="G154" s="67"/>
      <c r="H154" s="67"/>
      <c r="I154" s="67"/>
      <c r="J154" s="67"/>
      <c r="K154" s="67"/>
    </row>
    <row r="155" spans="1:12" s="773" customFormat="1" ht="15" customHeight="1">
      <c r="A155" s="60"/>
      <c r="B155" s="70" t="s">
        <v>601</v>
      </c>
      <c r="C155" s="67"/>
      <c r="D155" s="67"/>
      <c r="E155" s="67"/>
      <c r="F155" s="67"/>
      <c r="G155" s="67"/>
      <c r="H155" s="67"/>
      <c r="I155" s="67"/>
      <c r="J155" s="67"/>
      <c r="K155" s="67"/>
    </row>
    <row r="156" spans="1:12" s="773" customFormat="1" ht="15" customHeight="1">
      <c r="A156" s="99"/>
      <c r="B156" s="100"/>
      <c r="C156" s="45"/>
      <c r="D156" s="45"/>
      <c r="E156" s="45"/>
      <c r="F156" s="45"/>
      <c r="G156" s="45"/>
      <c r="H156" s="45"/>
      <c r="I156" s="45"/>
      <c r="J156" s="45"/>
      <c r="K156" s="45"/>
    </row>
    <row r="157" spans="1:12" s="773" customFormat="1" ht="15" hidden="1" customHeight="1" outlineLevel="1">
      <c r="A157" s="99"/>
      <c r="B157" s="100"/>
      <c r="C157" s="45"/>
      <c r="D157" s="45"/>
      <c r="E157" s="45"/>
      <c r="F157" s="45"/>
      <c r="G157" s="45"/>
      <c r="H157" s="45"/>
      <c r="I157" s="45"/>
      <c r="J157" s="45"/>
      <c r="K157" s="45"/>
    </row>
    <row r="158" spans="1:12" s="773" customFormat="1" ht="15" hidden="1" customHeight="1" outlineLevel="1">
      <c r="A158" s="99"/>
      <c r="B158" s="100"/>
      <c r="C158" s="45"/>
      <c r="D158" s="45"/>
      <c r="E158" s="45"/>
      <c r="F158" s="45"/>
      <c r="G158" s="45"/>
      <c r="H158" s="45"/>
      <c r="I158" s="45"/>
      <c r="J158" s="45"/>
      <c r="K158" s="45"/>
    </row>
    <row r="159" spans="1:12" s="773" customFormat="1" ht="15" collapsed="1">
      <c r="A159" s="1992" t="s">
        <v>1848</v>
      </c>
      <c r="B159" s="1992"/>
      <c r="C159" s="1992"/>
      <c r="D159" s="1992"/>
      <c r="E159" s="1992"/>
      <c r="F159" s="1992"/>
      <c r="G159" s="1992"/>
      <c r="H159" s="1992"/>
      <c r="I159" s="1992"/>
      <c r="J159" s="1992"/>
      <c r="K159" s="1992"/>
    </row>
    <row r="160" spans="1:12" s="773" customFormat="1" ht="15" hidden="1" customHeight="1" outlineLevel="1">
      <c r="A160" s="60" t="s">
        <v>4</v>
      </c>
      <c r="B160" s="61" t="s">
        <v>48</v>
      </c>
      <c r="C160" s="67"/>
      <c r="D160" s="67"/>
      <c r="E160" s="67"/>
      <c r="F160" s="67"/>
      <c r="G160" s="67"/>
      <c r="H160" s="67"/>
      <c r="I160" s="67"/>
      <c r="J160" s="67"/>
      <c r="K160" s="67"/>
    </row>
    <row r="161" spans="1:11" s="773" customFormat="1" ht="15" hidden="1" customHeight="1" outlineLevel="1">
      <c r="A161" s="60"/>
      <c r="B161" s="70" t="s">
        <v>596</v>
      </c>
      <c r="C161" s="250"/>
      <c r="D161" s="67"/>
      <c r="E161" s="67"/>
      <c r="F161" s="67"/>
      <c r="G161" s="67"/>
      <c r="H161" s="250"/>
      <c r="I161" s="251"/>
      <c r="J161" s="251"/>
      <c r="K161" s="251"/>
    </row>
    <row r="162" spans="1:11" s="773" customFormat="1" ht="18" hidden="1" customHeight="1" outlineLevel="1">
      <c r="A162" s="60"/>
      <c r="B162" s="70" t="s">
        <v>597</v>
      </c>
      <c r="C162" s="67"/>
      <c r="D162" s="67"/>
      <c r="E162" s="67"/>
      <c r="F162" s="67"/>
      <c r="G162" s="67"/>
      <c r="H162" s="67"/>
      <c r="I162" s="67"/>
      <c r="J162" s="67"/>
      <c r="K162" s="67"/>
    </row>
    <row r="163" spans="1:11" s="773" customFormat="1" ht="18" hidden="1" customHeight="1" outlineLevel="1">
      <c r="A163" s="60"/>
      <c r="B163" s="70" t="s">
        <v>598</v>
      </c>
      <c r="C163" s="67"/>
      <c r="D163" s="67"/>
      <c r="E163" s="67"/>
      <c r="F163" s="67"/>
      <c r="G163" s="67"/>
      <c r="H163" s="67"/>
      <c r="I163" s="67"/>
      <c r="J163" s="67"/>
      <c r="K163" s="67"/>
    </row>
    <row r="164" spans="1:11" s="773" customFormat="1" ht="18" hidden="1" customHeight="1" outlineLevel="1">
      <c r="A164" s="60"/>
      <c r="B164" s="70" t="s">
        <v>599</v>
      </c>
      <c r="C164" s="67"/>
      <c r="D164" s="67"/>
      <c r="E164" s="67"/>
      <c r="F164" s="67"/>
      <c r="G164" s="67"/>
      <c r="H164" s="67"/>
      <c r="I164" s="67"/>
      <c r="J164" s="67"/>
      <c r="K164" s="67"/>
    </row>
    <row r="165" spans="1:11" s="773" customFormat="1" ht="18" hidden="1" customHeight="1" outlineLevel="1">
      <c r="A165" s="60"/>
      <c r="B165" s="70" t="s">
        <v>600</v>
      </c>
      <c r="C165" s="67"/>
      <c r="D165" s="67"/>
      <c r="E165" s="67"/>
      <c r="F165" s="67"/>
      <c r="G165" s="67"/>
      <c r="H165" s="67"/>
      <c r="I165" s="67"/>
      <c r="J165" s="67"/>
      <c r="K165" s="67"/>
    </row>
    <row r="166" spans="1:11" s="773" customFormat="1" ht="15" hidden="1" customHeight="1" outlineLevel="1">
      <c r="A166" s="60"/>
      <c r="B166" s="70" t="s">
        <v>601</v>
      </c>
      <c r="C166" s="67"/>
      <c r="D166" s="67"/>
      <c r="E166" s="67"/>
      <c r="F166" s="67"/>
      <c r="G166" s="67"/>
      <c r="H166" s="67"/>
      <c r="I166" s="67"/>
      <c r="J166" s="67"/>
      <c r="K166" s="67"/>
    </row>
    <row r="167" spans="1:11" s="773" customFormat="1" ht="15" hidden="1" outlineLevel="1">
      <c r="A167" s="60"/>
      <c r="B167" s="70" t="s">
        <v>26</v>
      </c>
      <c r="C167" s="67"/>
      <c r="D167" s="67"/>
      <c r="E167" s="67"/>
      <c r="F167" s="67"/>
      <c r="G167" s="67"/>
      <c r="H167" s="67"/>
      <c r="I167" s="67"/>
      <c r="J167" s="67"/>
      <c r="K167" s="67"/>
    </row>
    <row r="168" spans="1:11" s="773" customFormat="1" ht="15" hidden="1" customHeight="1" outlineLevel="1">
      <c r="A168" s="60" t="s">
        <v>434</v>
      </c>
      <c r="B168" s="70" t="s">
        <v>602</v>
      </c>
      <c r="C168" s="67"/>
      <c r="D168" s="67"/>
      <c r="E168" s="67"/>
      <c r="F168" s="67"/>
      <c r="G168" s="67"/>
      <c r="H168" s="67"/>
      <c r="I168" s="67"/>
      <c r="J168" s="67"/>
      <c r="K168" s="67"/>
    </row>
    <row r="169" spans="1:11" s="773" customFormat="1" ht="15" hidden="1" outlineLevel="1">
      <c r="A169" s="60"/>
      <c r="B169" s="70" t="s">
        <v>26</v>
      </c>
      <c r="C169" s="67"/>
      <c r="D169" s="67"/>
      <c r="E169" s="67"/>
      <c r="F169" s="67"/>
      <c r="G169" s="67"/>
      <c r="H169" s="67"/>
      <c r="I169" s="67"/>
      <c r="J169" s="67"/>
      <c r="K169" s="67"/>
    </row>
    <row r="170" spans="1:11" s="108" customFormat="1" ht="60.75" customHeight="1" collapsed="1">
      <c r="A170" s="256" t="s">
        <v>603</v>
      </c>
      <c r="B170" s="257" t="s">
        <v>604</v>
      </c>
      <c r="C170" s="258">
        <f>'4.6_генерация_котельн.'!L93</f>
        <v>1392562.5765574395</v>
      </c>
      <c r="D170" s="269">
        <f>'4.1_котельные'!CX20</f>
        <v>288.423</v>
      </c>
      <c r="E170" s="258"/>
      <c r="F170" s="269">
        <f>'4.3_котельные'!AM8</f>
        <v>143.79300000000001</v>
      </c>
      <c r="G170" s="258"/>
      <c r="H170" s="258">
        <f>'4.6_генерация_котельн.'!L10</f>
        <v>720362.24774999998</v>
      </c>
      <c r="I170" s="259">
        <f>C170/D170</f>
        <v>4828.1953122928462</v>
      </c>
      <c r="J170" s="259">
        <f>H170/D170</f>
        <v>2497.5894701532125</v>
      </c>
      <c r="K170" s="259">
        <f>(C170-H170)/(F170*6)</f>
        <v>779.12963867902647</v>
      </c>
    </row>
    <row r="171" spans="1:11" s="854" customFormat="1" ht="15" customHeight="1">
      <c r="A171" s="824"/>
      <c r="B171" s="807" t="s">
        <v>596</v>
      </c>
      <c r="C171" s="806">
        <f>F171/F170*C170</f>
        <v>1387197.3663774389</v>
      </c>
      <c r="D171" s="871">
        <f>'4.1_котельные'!CY20</f>
        <v>287.928</v>
      </c>
      <c r="E171" s="853"/>
      <c r="F171" s="871">
        <f>'4.3_котельные'!AM9</f>
        <v>143.239</v>
      </c>
      <c r="G171" s="853"/>
      <c r="H171" s="806">
        <f>H170-H173</f>
        <v>717586.86448896851</v>
      </c>
      <c r="I171" s="855">
        <f>C171/D171</f>
        <v>4817.8619876407956</v>
      </c>
      <c r="J171" s="855">
        <f>H171/D171</f>
        <v>2492.2441182829334</v>
      </c>
      <c r="K171" s="855">
        <f>(C171-H171)/(F171*12)</f>
        <v>389.56481933951324</v>
      </c>
    </row>
    <row r="172" spans="1:11" s="773" customFormat="1" ht="20.25" customHeight="1">
      <c r="A172" s="60"/>
      <c r="B172" s="70" t="s">
        <v>597</v>
      </c>
      <c r="C172" s="67"/>
      <c r="D172" s="872"/>
      <c r="E172" s="67"/>
      <c r="F172" s="872"/>
      <c r="G172" s="67"/>
      <c r="H172" s="67"/>
      <c r="I172" s="67"/>
      <c r="J172" s="67"/>
      <c r="K172" s="67"/>
    </row>
    <row r="173" spans="1:11" s="854" customFormat="1" ht="18" customHeight="1">
      <c r="A173" s="824"/>
      <c r="B173" s="807" t="s">
        <v>598</v>
      </c>
      <c r="C173" s="806">
        <f>C170-C171</f>
        <v>5365.2101800006349</v>
      </c>
      <c r="D173" s="871">
        <f>'4.1_котельные'!DE20</f>
        <v>0.495</v>
      </c>
      <c r="E173" s="853"/>
      <c r="F173" s="871">
        <f>'4.3_котельные'!AM15</f>
        <v>0.55400000000000005</v>
      </c>
      <c r="G173" s="853"/>
      <c r="H173" s="806">
        <f>F173/F170*H170</f>
        <v>2775.383261031483</v>
      </c>
      <c r="I173" s="855">
        <f>C173/D173</f>
        <v>10838.808444445727</v>
      </c>
      <c r="J173" s="855">
        <f>H173/D173</f>
        <v>5606.8348707706728</v>
      </c>
      <c r="K173" s="855">
        <f>(C173-H173)/(F173*12)</f>
        <v>389.56481933952341</v>
      </c>
    </row>
    <row r="174" spans="1:11" s="773" customFormat="1" ht="17.25" customHeight="1">
      <c r="A174" s="60"/>
      <c r="B174" s="70" t="s">
        <v>599</v>
      </c>
      <c r="C174" s="67"/>
      <c r="D174" s="67"/>
      <c r="E174" s="67"/>
      <c r="F174" s="67"/>
      <c r="G174" s="67"/>
      <c r="H174" s="67"/>
      <c r="I174" s="67"/>
      <c r="J174" s="67"/>
      <c r="K174" s="67"/>
    </row>
    <row r="175" spans="1:11" s="773" customFormat="1" ht="18" customHeight="1">
      <c r="A175" s="60"/>
      <c r="B175" s="70" t="s">
        <v>600</v>
      </c>
      <c r="C175" s="67"/>
      <c r="D175" s="67"/>
      <c r="E175" s="67"/>
      <c r="F175" s="67"/>
      <c r="G175" s="67"/>
      <c r="H175" s="67"/>
      <c r="I175" s="67"/>
      <c r="J175" s="67"/>
      <c r="K175" s="67"/>
    </row>
    <row r="176" spans="1:11" s="773" customFormat="1" ht="15" customHeight="1">
      <c r="A176" s="60"/>
      <c r="B176" s="70" t="s">
        <v>601</v>
      </c>
      <c r="C176" s="67"/>
      <c r="D176" s="67"/>
      <c r="E176" s="67"/>
      <c r="F176" s="67"/>
      <c r="G176" s="67"/>
      <c r="H176" s="67"/>
      <c r="I176" s="67"/>
      <c r="J176" s="67"/>
      <c r="K176" s="67"/>
    </row>
    <row r="177" spans="1:11" s="773" customFormat="1" ht="15" hidden="1" customHeight="1" outlineLevel="1">
      <c r="A177" s="99"/>
      <c r="B177" s="100"/>
      <c r="C177" s="45"/>
      <c r="D177" s="45"/>
      <c r="E177" s="45"/>
      <c r="F177" s="45"/>
      <c r="G177" s="45"/>
      <c r="H177" s="45"/>
      <c r="I177" s="45"/>
      <c r="J177" s="45"/>
      <c r="K177" s="45"/>
    </row>
    <row r="178" spans="1:11" s="773" customFormat="1" ht="15" hidden="1" customHeight="1" outlineLevel="1">
      <c r="A178" s="99"/>
      <c r="B178" s="100"/>
      <c r="C178" s="45"/>
      <c r="D178" s="45"/>
      <c r="E178" s="45"/>
      <c r="F178" s="45"/>
      <c r="G178" s="45"/>
      <c r="H178" s="45"/>
      <c r="I178" s="45"/>
      <c r="J178" s="45"/>
      <c r="K178" s="45"/>
    </row>
    <row r="179" spans="1:11" s="773" customFormat="1" ht="15" hidden="1" customHeight="1" outlineLevel="1">
      <c r="A179" s="99"/>
      <c r="B179" s="100"/>
      <c r="C179" s="45"/>
      <c r="D179" s="45"/>
      <c r="E179" s="45"/>
      <c r="F179" s="45"/>
      <c r="G179" s="45"/>
      <c r="H179" s="45"/>
      <c r="I179" s="45"/>
      <c r="J179" s="45"/>
      <c r="K179" s="45"/>
    </row>
    <row r="180" spans="1:11" s="773" customFormat="1" ht="15" collapsed="1">
      <c r="A180" s="1992" t="s">
        <v>1849</v>
      </c>
      <c r="B180" s="1992"/>
      <c r="C180" s="1992"/>
      <c r="D180" s="1992"/>
      <c r="E180" s="1992"/>
      <c r="F180" s="1992"/>
      <c r="G180" s="1992"/>
      <c r="H180" s="1992"/>
      <c r="I180" s="1992"/>
      <c r="J180" s="1992"/>
      <c r="K180" s="1992"/>
    </row>
    <row r="181" spans="1:11" s="773" customFormat="1" ht="15" hidden="1" customHeight="1" outlineLevel="1">
      <c r="A181" s="60" t="s">
        <v>4</v>
      </c>
      <c r="B181" s="61" t="s">
        <v>48</v>
      </c>
      <c r="C181" s="67"/>
      <c r="D181" s="67"/>
      <c r="E181" s="67"/>
      <c r="F181" s="67"/>
      <c r="G181" s="67"/>
      <c r="H181" s="67"/>
      <c r="I181" s="67"/>
      <c r="J181" s="67"/>
      <c r="K181" s="67"/>
    </row>
    <row r="182" spans="1:11" s="773" customFormat="1" ht="15" hidden="1" customHeight="1" outlineLevel="1">
      <c r="A182" s="60"/>
      <c r="B182" s="70" t="s">
        <v>596</v>
      </c>
      <c r="C182" s="250"/>
      <c r="D182" s="67"/>
      <c r="E182" s="67"/>
      <c r="F182" s="67"/>
      <c r="G182" s="67"/>
      <c r="H182" s="250"/>
      <c r="I182" s="251"/>
      <c r="J182" s="251"/>
      <c r="K182" s="251"/>
    </row>
    <row r="183" spans="1:11" s="773" customFormat="1" ht="18" hidden="1" customHeight="1" outlineLevel="1">
      <c r="A183" s="60"/>
      <c r="B183" s="70" t="s">
        <v>597</v>
      </c>
      <c r="C183" s="67"/>
      <c r="D183" s="67"/>
      <c r="E183" s="67"/>
      <c r="F183" s="67"/>
      <c r="G183" s="67"/>
      <c r="H183" s="67"/>
      <c r="I183" s="67"/>
      <c r="J183" s="67"/>
      <c r="K183" s="67"/>
    </row>
    <row r="184" spans="1:11" s="773" customFormat="1" ht="18" hidden="1" customHeight="1" outlineLevel="1">
      <c r="A184" s="60"/>
      <c r="B184" s="70" t="s">
        <v>598</v>
      </c>
      <c r="C184" s="67"/>
      <c r="D184" s="67"/>
      <c r="E184" s="67"/>
      <c r="F184" s="67"/>
      <c r="G184" s="67"/>
      <c r="H184" s="67"/>
      <c r="I184" s="67"/>
      <c r="J184" s="67"/>
      <c r="K184" s="67"/>
    </row>
    <row r="185" spans="1:11" s="773" customFormat="1" ht="18" hidden="1" customHeight="1" outlineLevel="1">
      <c r="A185" s="60"/>
      <c r="B185" s="70" t="s">
        <v>599</v>
      </c>
      <c r="C185" s="67"/>
      <c r="D185" s="67"/>
      <c r="E185" s="67"/>
      <c r="F185" s="67"/>
      <c r="G185" s="67"/>
      <c r="H185" s="67"/>
      <c r="I185" s="67"/>
      <c r="J185" s="67"/>
      <c r="K185" s="67"/>
    </row>
    <row r="186" spans="1:11" s="773" customFormat="1" ht="18" hidden="1" customHeight="1" outlineLevel="1">
      <c r="A186" s="60"/>
      <c r="B186" s="70" t="s">
        <v>600</v>
      </c>
      <c r="C186" s="67"/>
      <c r="D186" s="67"/>
      <c r="E186" s="67"/>
      <c r="F186" s="67"/>
      <c r="G186" s="67"/>
      <c r="H186" s="67"/>
      <c r="I186" s="67"/>
      <c r="J186" s="67"/>
      <c r="K186" s="67"/>
    </row>
    <row r="187" spans="1:11" s="773" customFormat="1" ht="15" hidden="1" customHeight="1" outlineLevel="1">
      <c r="A187" s="60"/>
      <c r="B187" s="70" t="s">
        <v>601</v>
      </c>
      <c r="C187" s="67"/>
      <c r="D187" s="67"/>
      <c r="E187" s="67"/>
      <c r="F187" s="67"/>
      <c r="G187" s="67"/>
      <c r="H187" s="67"/>
      <c r="I187" s="67"/>
      <c r="J187" s="67"/>
      <c r="K187" s="67"/>
    </row>
    <row r="188" spans="1:11" s="773" customFormat="1" ht="15" hidden="1" outlineLevel="1">
      <c r="A188" s="60"/>
      <c r="B188" s="70" t="s">
        <v>26</v>
      </c>
      <c r="C188" s="67"/>
      <c r="D188" s="67"/>
      <c r="E188" s="67"/>
      <c r="F188" s="67"/>
      <c r="G188" s="67"/>
      <c r="H188" s="67"/>
      <c r="I188" s="67"/>
      <c r="J188" s="67"/>
      <c r="K188" s="67"/>
    </row>
    <row r="189" spans="1:11" s="773" customFormat="1" ht="15" hidden="1" customHeight="1" outlineLevel="1">
      <c r="A189" s="60" t="s">
        <v>434</v>
      </c>
      <c r="B189" s="70" t="s">
        <v>602</v>
      </c>
      <c r="C189" s="67"/>
      <c r="D189" s="67"/>
      <c r="E189" s="67"/>
      <c r="F189" s="67"/>
      <c r="G189" s="67"/>
      <c r="H189" s="67"/>
      <c r="I189" s="67"/>
      <c r="J189" s="67"/>
      <c r="K189" s="67"/>
    </row>
    <row r="190" spans="1:11" s="773" customFormat="1" ht="15" hidden="1" outlineLevel="1">
      <c r="A190" s="60"/>
      <c r="B190" s="70" t="s">
        <v>26</v>
      </c>
      <c r="C190" s="67"/>
      <c r="D190" s="67"/>
      <c r="E190" s="67"/>
      <c r="F190" s="67"/>
      <c r="G190" s="67"/>
      <c r="H190" s="67"/>
      <c r="I190" s="67"/>
      <c r="J190" s="67"/>
      <c r="K190" s="67"/>
    </row>
    <row r="191" spans="1:11" s="108" customFormat="1" ht="60.75" customHeight="1" collapsed="1">
      <c r="A191" s="256" t="s">
        <v>603</v>
      </c>
      <c r="B191" s="257" t="s">
        <v>604</v>
      </c>
      <c r="C191" s="258">
        <f>'4.6_генерация_котельн.'!M93</f>
        <v>1212367.8913374043</v>
      </c>
      <c r="D191" s="269">
        <f>'4.1_котельные'!DI20</f>
        <v>194.22499999999999</v>
      </c>
      <c r="E191" s="258"/>
      <c r="F191" s="269">
        <f>'4.3_котельные'!AQ8</f>
        <v>143.79300000000001</v>
      </c>
      <c r="G191" s="258"/>
      <c r="H191" s="258">
        <f>'4.6_генерация_котельн.'!M10</f>
        <v>495194.74125000002</v>
      </c>
      <c r="I191" s="259">
        <f>C191/D191</f>
        <v>6242.0795023164073</v>
      </c>
      <c r="J191" s="259">
        <f>H191/D191</f>
        <v>2549.5932101943622</v>
      </c>
      <c r="K191" s="259">
        <f>(C191-H191)/(F191*6)</f>
        <v>831.25644744807266</v>
      </c>
    </row>
    <row r="192" spans="1:11" s="854" customFormat="1" ht="15" customHeight="1">
      <c r="A192" s="824"/>
      <c r="B192" s="807" t="s">
        <v>596</v>
      </c>
      <c r="C192" s="806">
        <f>F192/F191*C191</f>
        <v>1207696.9281347385</v>
      </c>
      <c r="D192" s="871">
        <f>'4.1_котельные'!DJ20</f>
        <v>193.524</v>
      </c>
      <c r="E192" s="853"/>
      <c r="F192" s="871">
        <f>'4.3_котельные'!AQ9</f>
        <v>143.239</v>
      </c>
      <c r="G192" s="853"/>
      <c r="H192" s="806">
        <f>H191-H194</f>
        <v>493286.87447865162</v>
      </c>
      <c r="I192" s="855">
        <f>C192/D192</f>
        <v>6240.5537718047299</v>
      </c>
      <c r="J192" s="855">
        <f>H192/D192</f>
        <v>2548.9700216957672</v>
      </c>
      <c r="K192" s="855">
        <f>(C192-H192)/(F192*12)</f>
        <v>415.62822372403627</v>
      </c>
    </row>
    <row r="193" spans="1:11" s="773" customFormat="1" ht="20.25" customHeight="1">
      <c r="A193" s="60"/>
      <c r="B193" s="70" t="s">
        <v>597</v>
      </c>
      <c r="C193" s="67"/>
      <c r="D193" s="872"/>
      <c r="E193" s="67"/>
      <c r="F193" s="872"/>
      <c r="G193" s="67"/>
      <c r="H193" s="67"/>
      <c r="I193" s="67"/>
      <c r="J193" s="67"/>
      <c r="K193" s="67"/>
    </row>
    <row r="194" spans="1:11" s="854" customFormat="1" ht="18" customHeight="1">
      <c r="A194" s="824"/>
      <c r="B194" s="807" t="s">
        <v>598</v>
      </c>
      <c r="C194" s="806">
        <f>C191-C192</f>
        <v>4670.9632026657928</v>
      </c>
      <c r="D194" s="871">
        <f>'4.1_котельные'!DP20</f>
        <v>0.70099999999999996</v>
      </c>
      <c r="E194" s="853"/>
      <c r="F194" s="871">
        <f>'4.3_котельные'!AQ15</f>
        <v>0.55400000000000005</v>
      </c>
      <c r="G194" s="853"/>
      <c r="H194" s="806">
        <f>F194/F191*H191</f>
        <v>1907.8667713483969</v>
      </c>
      <c r="I194" s="855">
        <f>C194/D194</f>
        <v>6663.2855958142554</v>
      </c>
      <c r="J194" s="855">
        <f>H194/D194</f>
        <v>2721.6359077723209</v>
      </c>
      <c r="K194" s="855">
        <f>(C194-H194)/(F194*12)</f>
        <v>415.62822372403667</v>
      </c>
    </row>
    <row r="195" spans="1:11" s="773" customFormat="1" ht="17.25" customHeight="1">
      <c r="A195" s="60"/>
      <c r="B195" s="70" t="s">
        <v>599</v>
      </c>
      <c r="C195" s="67"/>
      <c r="D195" s="67"/>
      <c r="E195" s="67"/>
      <c r="F195" s="67"/>
      <c r="G195" s="67"/>
      <c r="H195" s="67"/>
      <c r="I195" s="67"/>
      <c r="J195" s="67"/>
      <c r="K195" s="67"/>
    </row>
    <row r="196" spans="1:11" s="773" customFormat="1" ht="18" customHeight="1">
      <c r="A196" s="60"/>
      <c r="B196" s="70" t="s">
        <v>600</v>
      </c>
      <c r="C196" s="67"/>
      <c r="D196" s="67"/>
      <c r="E196" s="67"/>
      <c r="F196" s="67"/>
      <c r="G196" s="67"/>
      <c r="H196" s="67"/>
      <c r="I196" s="67"/>
      <c r="J196" s="67"/>
      <c r="K196" s="67"/>
    </row>
    <row r="197" spans="1:11" s="773" customFormat="1" ht="15" customHeight="1">
      <c r="A197" s="60"/>
      <c r="B197" s="70" t="s">
        <v>601</v>
      </c>
      <c r="C197" s="67"/>
      <c r="D197" s="67"/>
      <c r="E197" s="67"/>
      <c r="F197" s="67"/>
      <c r="G197" s="67"/>
      <c r="H197" s="67"/>
      <c r="I197" s="67"/>
      <c r="J197" s="67"/>
      <c r="K197" s="67"/>
    </row>
    <row r="198" spans="1:11" s="773" customFormat="1" ht="15" hidden="1" customHeight="1" outlineLevel="1">
      <c r="A198" s="99"/>
      <c r="B198" s="100"/>
      <c r="C198" s="45"/>
      <c r="D198" s="45"/>
      <c r="E198" s="45"/>
      <c r="F198" s="45"/>
      <c r="G198" s="45"/>
      <c r="H198" s="45"/>
      <c r="I198" s="45"/>
      <c r="J198" s="45"/>
      <c r="K198" s="45"/>
    </row>
    <row r="199" spans="1:11" s="773" customFormat="1" ht="15" hidden="1" customHeight="1" outlineLevel="1">
      <c r="A199" s="99"/>
      <c r="B199" s="100"/>
      <c r="C199" s="45"/>
      <c r="D199" s="45"/>
      <c r="E199" s="45"/>
      <c r="F199" s="45"/>
      <c r="G199" s="45"/>
      <c r="H199" s="45"/>
      <c r="I199" s="45"/>
      <c r="J199" s="45"/>
      <c r="K199" s="45"/>
    </row>
    <row r="200" spans="1:11" s="773" customFormat="1" ht="15" hidden="1" customHeight="1" outlineLevel="1">
      <c r="A200" s="99"/>
      <c r="B200" s="100"/>
      <c r="C200" s="45"/>
      <c r="D200" s="45"/>
      <c r="E200" s="45"/>
      <c r="F200" s="45"/>
      <c r="G200" s="45"/>
      <c r="H200" s="45"/>
      <c r="I200" s="45"/>
      <c r="J200" s="45"/>
      <c r="K200" s="45"/>
    </row>
    <row r="201" spans="1:11" s="773" customFormat="1" ht="15" hidden="1" customHeight="1" outlineLevel="1">
      <c r="A201" s="99"/>
      <c r="B201" s="100"/>
      <c r="C201" s="45"/>
      <c r="D201" s="45"/>
      <c r="E201" s="45"/>
      <c r="F201" s="45"/>
      <c r="G201" s="45"/>
      <c r="H201" s="45"/>
      <c r="I201" s="45"/>
      <c r="J201" s="45"/>
      <c r="K201" s="45"/>
    </row>
    <row r="202" spans="1:11" s="773" customFormat="1" ht="15" hidden="1" customHeight="1" outlineLevel="1">
      <c r="A202" s="99"/>
      <c r="B202" s="100"/>
      <c r="C202" s="45"/>
      <c r="D202" s="45"/>
      <c r="E202" s="45"/>
      <c r="F202" s="45"/>
      <c r="G202" s="45"/>
      <c r="H202" s="45"/>
      <c r="I202" s="45"/>
      <c r="J202" s="45"/>
      <c r="K202" s="45"/>
    </row>
    <row r="203" spans="1:11" s="773" customFormat="1" ht="15" hidden="1" customHeight="1" outlineLevel="1">
      <c r="A203" s="99"/>
      <c r="B203" s="100"/>
      <c r="C203" s="45"/>
      <c r="D203" s="45"/>
      <c r="E203" s="45"/>
      <c r="F203" s="45"/>
      <c r="G203" s="45"/>
      <c r="H203" s="45"/>
      <c r="I203" s="45"/>
      <c r="J203" s="45"/>
      <c r="K203" s="45"/>
    </row>
    <row r="204" spans="1:11" s="773" customFormat="1" ht="15" hidden="1" outlineLevel="1">
      <c r="A204" s="99"/>
      <c r="B204" s="100"/>
      <c r="C204" s="45"/>
      <c r="D204" s="45"/>
      <c r="E204" s="45"/>
      <c r="F204" s="45"/>
      <c r="G204" s="45"/>
      <c r="H204" s="45"/>
      <c r="I204" s="45"/>
      <c r="J204" s="45"/>
      <c r="K204" s="45"/>
    </row>
    <row r="205" spans="1:11" s="773" customFormat="1" ht="15" hidden="1" outlineLevel="1">
      <c r="A205" s="99"/>
      <c r="B205" s="100"/>
      <c r="C205" s="45"/>
      <c r="D205" s="45"/>
      <c r="E205" s="45"/>
      <c r="F205" s="45"/>
      <c r="G205" s="45"/>
      <c r="H205" s="45"/>
      <c r="I205" s="45"/>
      <c r="J205" s="45"/>
      <c r="K205" s="45"/>
    </row>
    <row r="206" spans="1:11" s="773" customFormat="1" ht="15" hidden="1" outlineLevel="1">
      <c r="A206" s="99"/>
      <c r="B206" s="100"/>
      <c r="C206" s="45"/>
      <c r="D206" s="45"/>
      <c r="E206" s="45"/>
      <c r="F206" s="45"/>
      <c r="G206" s="45"/>
      <c r="H206" s="45"/>
      <c r="I206" s="45"/>
      <c r="J206" s="45"/>
      <c r="K206" s="45"/>
    </row>
    <row r="207" spans="1:11" s="773" customFormat="1" ht="15" hidden="1" outlineLevel="1">
      <c r="A207" s="99"/>
      <c r="B207" s="100"/>
      <c r="C207" s="45"/>
      <c r="D207" s="45"/>
      <c r="E207" s="45"/>
      <c r="F207" s="45"/>
      <c r="G207" s="45"/>
      <c r="H207" s="45"/>
      <c r="I207" s="45"/>
      <c r="J207" s="45"/>
      <c r="K207" s="45"/>
    </row>
    <row r="208" spans="1:11" s="773" customFormat="1" ht="15" hidden="1" outlineLevel="1">
      <c r="A208" s="99"/>
      <c r="B208" s="100"/>
      <c r="C208" s="45"/>
      <c r="D208" s="45"/>
      <c r="E208" s="45"/>
      <c r="F208" s="45"/>
      <c r="G208" s="45"/>
      <c r="H208" s="45"/>
      <c r="I208" s="45"/>
      <c r="J208" s="45"/>
      <c r="K208" s="45"/>
    </row>
    <row r="209" spans="1:11" s="773" customFormat="1" ht="15" hidden="1" outlineLevel="1">
      <c r="A209" s="99"/>
      <c r="B209" s="100"/>
      <c r="C209" s="45"/>
      <c r="D209" s="45"/>
      <c r="E209" s="45"/>
      <c r="F209" s="45"/>
      <c r="G209" s="45"/>
      <c r="H209" s="45"/>
      <c r="I209" s="45"/>
      <c r="J209" s="45"/>
      <c r="K209" s="45"/>
    </row>
    <row r="210" spans="1:11" s="773" customFormat="1" ht="15" hidden="1" outlineLevel="1">
      <c r="A210" s="99"/>
      <c r="B210" s="100"/>
      <c r="C210" s="45"/>
      <c r="D210" s="45"/>
      <c r="E210" s="45"/>
      <c r="F210" s="45"/>
      <c r="G210" s="45"/>
      <c r="H210" s="45"/>
      <c r="I210" s="45"/>
      <c r="J210" s="45"/>
      <c r="K210" s="45"/>
    </row>
    <row r="211" spans="1:11" s="773" customFormat="1" ht="15" hidden="1" outlineLevel="1">
      <c r="A211" s="99"/>
      <c r="B211" s="100"/>
      <c r="C211" s="45"/>
      <c r="D211" s="45"/>
      <c r="E211" s="45"/>
      <c r="F211" s="45"/>
      <c r="G211" s="45"/>
      <c r="H211" s="45"/>
      <c r="I211" s="45"/>
      <c r="J211" s="45"/>
      <c r="K211" s="45"/>
    </row>
    <row r="212" spans="1:11" ht="15" hidden="1" outlineLevel="1"/>
    <row r="213" spans="1:11" s="43" customFormat="1" ht="12.75" collapsed="1">
      <c r="A213" s="43" t="s">
        <v>88</v>
      </c>
    </row>
    <row r="214" spans="1:11" s="44" customFormat="1" ht="15" customHeight="1">
      <c r="A214" s="96" t="s">
        <v>89</v>
      </c>
      <c r="B214" s="44" t="s">
        <v>605</v>
      </c>
    </row>
    <row r="215" spans="1:11" s="44" customFormat="1" ht="15" customHeight="1">
      <c r="A215" s="96" t="s">
        <v>91</v>
      </c>
      <c r="B215" s="44" t="s">
        <v>606</v>
      </c>
    </row>
    <row r="216" spans="1:11" s="44" customFormat="1" ht="15" customHeight="1">
      <c r="B216" s="44" t="s">
        <v>607</v>
      </c>
    </row>
    <row r="217" spans="1:11" s="44" customFormat="1" ht="15" customHeight="1">
      <c r="B217" s="44" t="s">
        <v>608</v>
      </c>
    </row>
    <row r="218" spans="1:11" s="44" customFormat="1" ht="15" customHeight="1">
      <c r="A218" s="96" t="s">
        <v>93</v>
      </c>
      <c r="B218" s="44" t="s">
        <v>609</v>
      </c>
    </row>
    <row r="219" spans="1:11" s="44" customFormat="1" ht="15" customHeight="1">
      <c r="B219" s="44" t="s">
        <v>610</v>
      </c>
    </row>
    <row r="220" spans="1:11" s="44" customFormat="1" ht="15" customHeight="1">
      <c r="B220" s="44" t="s">
        <v>611</v>
      </c>
    </row>
    <row r="221" spans="1:11" s="44" customFormat="1" ht="15" customHeight="1">
      <c r="A221" s="96" t="s">
        <v>95</v>
      </c>
      <c r="B221" s="44" t="s">
        <v>612</v>
      </c>
    </row>
    <row r="222" spans="1:11" s="44" customFormat="1" ht="15" customHeight="1">
      <c r="A222" s="96" t="s">
        <v>97</v>
      </c>
      <c r="B222" s="44" t="s">
        <v>613</v>
      </c>
    </row>
    <row r="223" spans="1:11" s="44" customFormat="1" ht="39.75" customHeight="1">
      <c r="A223" s="96" t="s">
        <v>582</v>
      </c>
      <c r="B223" s="1993" t="s">
        <v>614</v>
      </c>
      <c r="C223" s="1993"/>
      <c r="D223" s="1993"/>
      <c r="E223" s="1993"/>
      <c r="F223" s="1993"/>
      <c r="G223" s="1993"/>
      <c r="H223" s="1993"/>
      <c r="I223" s="1993"/>
      <c r="J223" s="1993"/>
      <c r="K223" s="1993"/>
    </row>
    <row r="224" spans="1:11" s="44" customFormat="1" ht="14.25" customHeight="1">
      <c r="A224" s="96" t="s">
        <v>615</v>
      </c>
      <c r="B224" s="1993" t="s">
        <v>616</v>
      </c>
      <c r="C224" s="1993"/>
      <c r="D224" s="1993"/>
      <c r="E224" s="1993"/>
      <c r="F224" s="1993"/>
      <c r="G224" s="1993"/>
      <c r="H224" s="1993"/>
      <c r="I224" s="1993"/>
      <c r="J224" s="1993"/>
      <c r="K224" s="1993"/>
    </row>
    <row r="225" spans="2:11" s="44" customFormat="1" ht="27.75" customHeight="1">
      <c r="B225" s="97" t="s">
        <v>617</v>
      </c>
      <c r="C225" s="97"/>
      <c r="D225" s="97"/>
      <c r="E225" s="97"/>
      <c r="F225" s="97"/>
      <c r="G225" s="97"/>
      <c r="H225" s="97"/>
      <c r="I225" s="97"/>
      <c r="J225" s="97"/>
      <c r="K225" s="97"/>
    </row>
    <row r="226" spans="2:11" s="44" customFormat="1" ht="27.75" customHeight="1">
      <c r="B226" s="97" t="s">
        <v>618</v>
      </c>
      <c r="C226" s="97"/>
      <c r="D226" s="97"/>
      <c r="E226" s="97"/>
      <c r="F226" s="97"/>
      <c r="G226" s="97"/>
      <c r="H226" s="97"/>
      <c r="I226" s="97"/>
      <c r="J226" s="97"/>
      <c r="K226" s="97"/>
    </row>
    <row r="227" spans="2:11" s="773" customFormat="1" ht="24" customHeight="1"/>
  </sheetData>
  <mergeCells count="13">
    <mergeCell ref="A180:K180"/>
    <mergeCell ref="B223:K223"/>
    <mergeCell ref="B224:K224"/>
    <mergeCell ref="A4:K4"/>
    <mergeCell ref="A8:K8"/>
    <mergeCell ref="A26:K26"/>
    <mergeCell ref="A44:K44"/>
    <mergeCell ref="A138:K138"/>
    <mergeCell ref="A159:K159"/>
    <mergeCell ref="A62:K62"/>
    <mergeCell ref="A81:K81"/>
    <mergeCell ref="A100:K100"/>
    <mergeCell ref="A119:K119"/>
  </mergeCells>
  <pageMargins left="0.74" right="0.31496062992125984" top="0.31496062992125984" bottom="0.19685039370078741" header="0.19685039370078741" footer="0.19685039370078741"/>
  <pageSetup paperSize="9" scale="42" orientation="landscape" r:id="rId1"/>
  <headerFooter alignWithMargins="0"/>
  <rowBreaks count="1" manualBreakCount="1">
    <brk id="137" max="10" man="1"/>
  </rowBreaks>
  <legacy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R40"/>
  <sheetViews>
    <sheetView view="pageBreakPreview" zoomScaleNormal="100" workbookViewId="0">
      <pane xSplit="2" ySplit="6" topLeftCell="C10" activePane="bottomRight" state="frozen"/>
      <selection activeCell="F148" sqref="F148"/>
      <selection pane="topRight" activeCell="F148" sqref="F148"/>
      <selection pane="bottomLeft" activeCell="F148" sqref="F148"/>
      <selection pane="bottomRight" activeCell="F148" sqref="F148"/>
    </sheetView>
  </sheetViews>
  <sheetFormatPr defaultColWidth="0.85546875" defaultRowHeight="15"/>
  <cols>
    <col min="1" max="1" width="5.5703125" style="1" customWidth="1"/>
    <col min="2" max="2" width="34.140625" style="1" customWidth="1"/>
    <col min="3" max="3" width="15.28515625" style="19" customWidth="1"/>
    <col min="4" max="17" width="11.140625" style="1" customWidth="1"/>
    <col min="18" max="264" width="3.85546875" style="1" customWidth="1"/>
    <col min="265" max="16384" width="0.85546875" style="1"/>
  </cols>
  <sheetData>
    <row r="1" spans="1:18" s="5" customFormat="1" ht="16.5" customHeight="1">
      <c r="A1" s="74" t="s">
        <v>765</v>
      </c>
      <c r="C1" s="101"/>
      <c r="Q1" s="6" t="s">
        <v>619</v>
      </c>
    </row>
    <row r="2" spans="1:18" s="5" customFormat="1" ht="18" customHeight="1">
      <c r="A2" s="759" t="str">
        <f>'4.1 (свод)'!A2</f>
        <v>КТЭЦ + котельные СВОД</v>
      </c>
      <c r="C2" s="101"/>
    </row>
    <row r="3" spans="1:18" ht="16.5" customHeight="1">
      <c r="A3" s="1877" t="s">
        <v>620</v>
      </c>
      <c r="B3" s="1877"/>
      <c r="C3" s="1877"/>
      <c r="D3" s="1877"/>
      <c r="E3" s="1877"/>
      <c r="F3" s="1877"/>
      <c r="G3" s="1877"/>
      <c r="H3" s="1877"/>
      <c r="I3" s="1877"/>
      <c r="J3" s="1877"/>
      <c r="K3" s="1877"/>
      <c r="L3" s="1877"/>
      <c r="M3" s="1877"/>
      <c r="N3" s="1877"/>
      <c r="O3" s="1877"/>
    </row>
    <row r="4" spans="1:18" ht="12.75" customHeight="1"/>
    <row r="5" spans="1:18" s="3" customFormat="1" ht="53.25" customHeight="1">
      <c r="A5" s="1873" t="s">
        <v>0</v>
      </c>
      <c r="B5" s="1873" t="s">
        <v>1</v>
      </c>
      <c r="C5" s="1873" t="s">
        <v>621</v>
      </c>
      <c r="D5" s="1873" t="s">
        <v>622</v>
      </c>
      <c r="E5" s="1873"/>
      <c r="F5" s="1873"/>
      <c r="G5" s="1873"/>
      <c r="H5" s="1873"/>
      <c r="I5" s="1978" t="s">
        <v>936</v>
      </c>
      <c r="J5" s="1977"/>
      <c r="K5" s="1873" t="s">
        <v>623</v>
      </c>
      <c r="L5" s="1873"/>
      <c r="M5" s="1873"/>
      <c r="N5" s="1873"/>
      <c r="O5" s="1873"/>
      <c r="P5" s="1978" t="s">
        <v>936</v>
      </c>
      <c r="Q5" s="1977"/>
    </row>
    <row r="6" spans="1:18" s="3" customFormat="1" ht="54" customHeight="1">
      <c r="A6" s="1873"/>
      <c r="B6" s="1873"/>
      <c r="C6" s="1873"/>
      <c r="D6" s="772" t="s">
        <v>1489</v>
      </c>
      <c r="E6" s="1290" t="s">
        <v>1704</v>
      </c>
      <c r="F6" s="1586" t="s">
        <v>1851</v>
      </c>
      <c r="G6" s="1586" t="s">
        <v>1850</v>
      </c>
      <c r="H6" s="1586" t="s">
        <v>1852</v>
      </c>
      <c r="I6" s="1586" t="s">
        <v>1853</v>
      </c>
      <c r="J6" s="1586" t="s">
        <v>1854</v>
      </c>
      <c r="K6" s="1586" t="s">
        <v>1489</v>
      </c>
      <c r="L6" s="1586" t="s">
        <v>1704</v>
      </c>
      <c r="M6" s="1586" t="s">
        <v>1851</v>
      </c>
      <c r="N6" s="1586" t="s">
        <v>1850</v>
      </c>
      <c r="O6" s="1586" t="s">
        <v>1852</v>
      </c>
      <c r="P6" s="1586" t="s">
        <v>1853</v>
      </c>
      <c r="Q6" s="1586" t="s">
        <v>1854</v>
      </c>
    </row>
    <row r="7" spans="1:18" s="2" customFormat="1" ht="13.5" customHeight="1">
      <c r="A7" s="8">
        <v>1</v>
      </c>
      <c r="B7" s="13">
        <v>2</v>
      </c>
      <c r="C7" s="8">
        <v>3</v>
      </c>
      <c r="D7" s="13">
        <v>4</v>
      </c>
      <c r="E7" s="13">
        <v>5</v>
      </c>
      <c r="F7" s="13">
        <v>6</v>
      </c>
      <c r="G7" s="13"/>
      <c r="H7" s="13">
        <v>7</v>
      </c>
      <c r="I7" s="13">
        <v>8</v>
      </c>
      <c r="J7" s="13">
        <v>9</v>
      </c>
      <c r="K7" s="13">
        <v>10</v>
      </c>
      <c r="L7" s="13">
        <v>11</v>
      </c>
      <c r="M7" s="13">
        <v>12</v>
      </c>
      <c r="N7" s="13"/>
      <c r="O7" s="13">
        <v>13</v>
      </c>
      <c r="P7" s="13">
        <v>14</v>
      </c>
      <c r="Q7" s="13">
        <v>15</v>
      </c>
    </row>
    <row r="8" spans="1:18" s="36" customFormat="1" ht="45" customHeight="1">
      <c r="A8" s="9" t="s">
        <v>4</v>
      </c>
      <c r="B8" s="61" t="s">
        <v>624</v>
      </c>
      <c r="C8" s="8" t="s">
        <v>240</v>
      </c>
      <c r="D8" s="308">
        <f>'4.6_транзит+сбыт (свод)'!D93</f>
        <v>2901592.1711189998</v>
      </c>
      <c r="E8" s="308">
        <f>'4.6_транзит+сбыт (свод)'!F93</f>
        <v>2837044.5020034332</v>
      </c>
      <c r="F8" s="308">
        <f>'4.6_транзит+сбыт (свод)'!H93</f>
        <v>3137585.9075410254</v>
      </c>
      <c r="G8" s="308">
        <f>'4.6_транзит+сбыт (свод)'!I93</f>
        <v>1690953.6215254785</v>
      </c>
      <c r="H8" s="308">
        <f>'4.6_транзит+сбыт (свод)'!K93</f>
        <v>3771857.7172382139</v>
      </c>
      <c r="I8" s="308">
        <f>'4.6_транзит+сбыт (свод)'!L93</f>
        <v>1030206.27425528</v>
      </c>
      <c r="J8" s="308">
        <f>'4.6_транзит+сбыт (свод)'!M93</f>
        <v>2741652.4429829339</v>
      </c>
      <c r="K8" s="873"/>
      <c r="L8" s="873"/>
      <c r="M8" s="873"/>
      <c r="N8" s="873"/>
      <c r="O8" s="873"/>
      <c r="P8" s="308"/>
      <c r="Q8" s="308"/>
      <c r="R8" s="36" t="s">
        <v>1490</v>
      </c>
    </row>
    <row r="9" spans="1:18" s="266" customFormat="1" ht="72">
      <c r="A9" s="262" t="s">
        <v>5</v>
      </c>
      <c r="B9" s="261" t="s">
        <v>625</v>
      </c>
      <c r="C9" s="263" t="s">
        <v>240</v>
      </c>
      <c r="D9" s="264"/>
      <c r="E9" s="264"/>
      <c r="F9" s="264"/>
      <c r="G9" s="264"/>
      <c r="H9" s="264"/>
      <c r="I9" s="264"/>
      <c r="J9" s="264"/>
      <c r="K9" s="265"/>
      <c r="L9" s="265"/>
      <c r="M9" s="265"/>
      <c r="N9" s="265"/>
      <c r="O9" s="265"/>
      <c r="P9" s="264"/>
      <c r="Q9" s="264"/>
    </row>
    <row r="10" spans="1:18" s="36" customFormat="1" ht="46.5" customHeight="1">
      <c r="A10" s="9" t="s">
        <v>23</v>
      </c>
      <c r="B10" s="61" t="s">
        <v>626</v>
      </c>
      <c r="C10" s="8" t="s">
        <v>150</v>
      </c>
      <c r="D10" s="260">
        <f>'4.3_свод'!I8</f>
        <v>1317.6889999999999</v>
      </c>
      <c r="E10" s="260">
        <f>'4.3_свод'!Q8</f>
        <v>1257.6792</v>
      </c>
      <c r="F10" s="260">
        <f>'4.3_свод'!Y8</f>
        <v>1213.5347615570001</v>
      </c>
      <c r="G10" s="260">
        <f>'4.3_свод'!AG8</f>
        <v>1261.1354999999999</v>
      </c>
      <c r="H10" s="260">
        <f>'4.3_свод'!AK8</f>
        <v>1249.7249999999999</v>
      </c>
      <c r="I10" s="260">
        <f>'4.3_свод'!AO8</f>
        <v>760.1579999999999</v>
      </c>
      <c r="J10" s="260">
        <f>'4.3_свод'!AS8</f>
        <v>489.56699999999995</v>
      </c>
      <c r="K10" s="260"/>
      <c r="L10" s="260"/>
      <c r="M10" s="260"/>
      <c r="N10" s="260"/>
      <c r="O10" s="260"/>
      <c r="P10" s="260"/>
      <c r="Q10" s="260"/>
    </row>
    <row r="11" spans="1:18" s="266" customFormat="1" ht="84">
      <c r="A11" s="262" t="s">
        <v>24</v>
      </c>
      <c r="B11" s="261" t="s">
        <v>627</v>
      </c>
      <c r="C11" s="263" t="s">
        <v>150</v>
      </c>
      <c r="D11" s="264"/>
      <c r="E11" s="264"/>
      <c r="F11" s="264"/>
      <c r="G11" s="264"/>
      <c r="H11" s="264"/>
      <c r="I11" s="264"/>
      <c r="J11" s="264"/>
      <c r="K11" s="265"/>
      <c r="L11" s="265"/>
      <c r="M11" s="265"/>
      <c r="N11" s="265"/>
      <c r="O11" s="265"/>
      <c r="P11" s="264"/>
      <c r="Q11" s="264"/>
    </row>
    <row r="12" spans="1:18" s="36" customFormat="1" ht="29.25" customHeight="1">
      <c r="A12" s="9" t="s">
        <v>27</v>
      </c>
      <c r="B12" s="61" t="s">
        <v>628</v>
      </c>
      <c r="C12" s="8" t="s">
        <v>53</v>
      </c>
      <c r="D12" s="260">
        <f>'4.3_свод'!G8</f>
        <v>465.62599999999992</v>
      </c>
      <c r="E12" s="260">
        <f>'4.3_свод'!O8</f>
        <v>451.67099999999999</v>
      </c>
      <c r="F12" s="260">
        <f>'4.3_свод'!W8</f>
        <v>451.67099999999999</v>
      </c>
      <c r="G12" s="260">
        <f>'4.3_свод'!AE8</f>
        <v>451.67099999999999</v>
      </c>
      <c r="H12" s="260">
        <f>'4.3_свод'!AI8</f>
        <v>451.67099999999999</v>
      </c>
      <c r="I12" s="260">
        <f>'4.3_свод'!AM8</f>
        <v>451.67099999999999</v>
      </c>
      <c r="J12" s="260">
        <f>'4.3_свод'!AQ8</f>
        <v>451.67099999999999</v>
      </c>
      <c r="K12" s="260"/>
      <c r="L12" s="260"/>
      <c r="M12" s="260"/>
      <c r="N12" s="260"/>
      <c r="O12" s="260"/>
      <c r="P12" s="260"/>
      <c r="Q12" s="260"/>
    </row>
    <row r="13" spans="1:18" s="266" customFormat="1" ht="72">
      <c r="A13" s="262" t="s">
        <v>28</v>
      </c>
      <c r="B13" s="261" t="s">
        <v>629</v>
      </c>
      <c r="C13" s="263" t="s">
        <v>53</v>
      </c>
      <c r="D13" s="264"/>
      <c r="E13" s="264"/>
      <c r="F13" s="264"/>
      <c r="G13" s="264"/>
      <c r="H13" s="264"/>
      <c r="I13" s="264"/>
      <c r="J13" s="264"/>
      <c r="K13" s="265"/>
      <c r="L13" s="265"/>
      <c r="M13" s="265"/>
      <c r="N13" s="265"/>
      <c r="O13" s="265"/>
      <c r="P13" s="264"/>
      <c r="Q13" s="264"/>
    </row>
    <row r="14" spans="1:18" s="36" customFormat="1" ht="76.5" customHeight="1">
      <c r="A14" s="9" t="s">
        <v>30</v>
      </c>
      <c r="B14" s="61" t="s">
        <v>630</v>
      </c>
      <c r="C14" s="8"/>
      <c r="D14" s="241"/>
      <c r="E14" s="241"/>
      <c r="F14" s="241"/>
      <c r="G14" s="241"/>
      <c r="H14" s="241"/>
      <c r="I14" s="241"/>
      <c r="J14" s="241"/>
      <c r="K14" s="241"/>
      <c r="L14" s="241"/>
      <c r="M14" s="241"/>
      <c r="N14" s="241"/>
      <c r="O14" s="241"/>
      <c r="P14" s="241"/>
      <c r="Q14" s="241"/>
    </row>
    <row r="15" spans="1:18" s="36" customFormat="1" ht="30" customHeight="1">
      <c r="A15" s="9" t="s">
        <v>31</v>
      </c>
      <c r="B15" s="61" t="s">
        <v>631</v>
      </c>
      <c r="C15" s="8" t="s">
        <v>326</v>
      </c>
      <c r="D15" s="260">
        <f t="shared" ref="D15:J15" si="0">D8/D10</f>
        <v>2202.0311098590032</v>
      </c>
      <c r="E15" s="260">
        <f t="shared" si="0"/>
        <v>2255.7775480451878</v>
      </c>
      <c r="F15" s="260">
        <f t="shared" si="0"/>
        <v>2585.4932276644568</v>
      </c>
      <c r="G15" s="260">
        <f t="shared" ref="G15" si="1">G8/G10</f>
        <v>1340.8183510221374</v>
      </c>
      <c r="H15" s="260">
        <f t="shared" si="0"/>
        <v>3018.1501668272731</v>
      </c>
      <c r="I15" s="260">
        <f t="shared" si="0"/>
        <v>1355.2528214598547</v>
      </c>
      <c r="J15" s="260">
        <f t="shared" si="0"/>
        <v>5600.1577781650603</v>
      </c>
      <c r="K15" s="260"/>
      <c r="L15" s="260"/>
      <c r="M15" s="260"/>
      <c r="N15" s="260"/>
      <c r="O15" s="260"/>
      <c r="P15" s="260"/>
      <c r="Q15" s="260"/>
    </row>
    <row r="16" spans="1:18" s="36" customFormat="1" ht="30" customHeight="1">
      <c r="A16" s="9" t="s">
        <v>32</v>
      </c>
      <c r="B16" s="61" t="s">
        <v>632</v>
      </c>
      <c r="C16" s="8"/>
      <c r="D16" s="241"/>
      <c r="E16" s="241"/>
      <c r="F16" s="241"/>
      <c r="G16" s="241"/>
      <c r="H16" s="241"/>
      <c r="I16" s="241"/>
      <c r="J16" s="241"/>
      <c r="K16" s="241"/>
      <c r="L16" s="241"/>
      <c r="M16" s="241"/>
      <c r="N16" s="241"/>
      <c r="O16" s="241"/>
      <c r="P16" s="241"/>
      <c r="Q16" s="241"/>
    </row>
    <row r="17" spans="1:17" s="36" customFormat="1" ht="15" customHeight="1">
      <c r="A17" s="9"/>
      <c r="B17" s="70" t="s">
        <v>633</v>
      </c>
      <c r="C17" s="8" t="s">
        <v>326</v>
      </c>
      <c r="D17" s="260">
        <f t="shared" ref="D17:J17" si="2">D15</f>
        <v>2202.0311098590032</v>
      </c>
      <c r="E17" s="260">
        <f t="shared" si="2"/>
        <v>2255.7775480451878</v>
      </c>
      <c r="F17" s="260">
        <f t="shared" si="2"/>
        <v>2585.4932276644568</v>
      </c>
      <c r="G17" s="260">
        <f t="shared" ref="G17" si="3">G15</f>
        <v>1340.8183510221374</v>
      </c>
      <c r="H17" s="260">
        <f t="shared" si="2"/>
        <v>3018.1501668272731</v>
      </c>
      <c r="I17" s="260">
        <f t="shared" si="2"/>
        <v>1355.2528214598547</v>
      </c>
      <c r="J17" s="260">
        <f t="shared" si="2"/>
        <v>5600.1577781650603</v>
      </c>
      <c r="K17" s="260"/>
      <c r="L17" s="260"/>
      <c r="M17" s="260"/>
      <c r="N17" s="260"/>
      <c r="O17" s="260"/>
      <c r="P17" s="260"/>
      <c r="Q17" s="260"/>
    </row>
    <row r="18" spans="1:17" s="36" customFormat="1" ht="29.25" customHeight="1">
      <c r="A18" s="9"/>
      <c r="B18" s="70" t="s">
        <v>634</v>
      </c>
      <c r="C18" s="267" t="s">
        <v>937</v>
      </c>
      <c r="D18" s="260">
        <f>D8/D12/12</f>
        <v>519.29949700671784</v>
      </c>
      <c r="E18" s="260">
        <f>E8/E12/12</f>
        <v>523.43492313421223</v>
      </c>
      <c r="F18" s="260">
        <f>F8/F12/12</f>
        <v>578.88483496856213</v>
      </c>
      <c r="G18" s="260">
        <f>G8/G12/12</f>
        <v>311.98106983576514</v>
      </c>
      <c r="H18" s="260">
        <f>H8/H12/12</f>
        <v>695.9080313691112</v>
      </c>
      <c r="I18" s="260">
        <f>I8/I12/6</f>
        <v>380.14626953958378</v>
      </c>
      <c r="J18" s="260">
        <f>J8/J12/6</f>
        <v>1011.6701621987885</v>
      </c>
      <c r="K18" s="260"/>
      <c r="L18" s="260"/>
      <c r="M18" s="260"/>
      <c r="N18" s="260"/>
      <c r="O18" s="260"/>
      <c r="P18" s="260"/>
      <c r="Q18" s="260"/>
    </row>
    <row r="19" spans="1:17" s="36" customFormat="1" ht="76.5" customHeight="1">
      <c r="A19" s="9" t="s">
        <v>78</v>
      </c>
      <c r="B19" s="61" t="s">
        <v>635</v>
      </c>
      <c r="C19" s="8"/>
      <c r="D19" s="241"/>
      <c r="E19" s="241"/>
      <c r="F19" s="241"/>
      <c r="G19" s="241"/>
      <c r="H19" s="241"/>
      <c r="I19" s="241"/>
      <c r="J19" s="241"/>
      <c r="K19" s="241"/>
      <c r="L19" s="241"/>
      <c r="M19" s="241"/>
      <c r="N19" s="241"/>
      <c r="O19" s="241"/>
      <c r="P19" s="241"/>
      <c r="Q19" s="241"/>
    </row>
    <row r="20" spans="1:17" s="36" customFormat="1" ht="78" customHeight="1">
      <c r="A20" s="9" t="s">
        <v>80</v>
      </c>
      <c r="B20" s="61" t="s">
        <v>636</v>
      </c>
      <c r="C20" s="8"/>
      <c r="D20" s="241"/>
      <c r="E20" s="241"/>
      <c r="F20" s="241"/>
      <c r="G20" s="241"/>
      <c r="H20" s="241"/>
      <c r="I20" s="241"/>
      <c r="J20" s="241"/>
      <c r="K20" s="241"/>
      <c r="L20" s="241"/>
      <c r="M20" s="241"/>
      <c r="N20" s="241"/>
      <c r="O20" s="241"/>
      <c r="P20" s="241"/>
      <c r="Q20" s="241"/>
    </row>
    <row r="21" spans="1:17" s="36" customFormat="1" ht="30" customHeight="1">
      <c r="A21" s="9" t="s">
        <v>637</v>
      </c>
      <c r="B21" s="61" t="s">
        <v>631</v>
      </c>
      <c r="C21" s="8" t="s">
        <v>326</v>
      </c>
      <c r="D21" s="241"/>
      <c r="E21" s="241"/>
      <c r="F21" s="241"/>
      <c r="G21" s="241"/>
      <c r="H21" s="241"/>
      <c r="I21" s="241"/>
      <c r="J21" s="241"/>
      <c r="K21" s="241"/>
      <c r="L21" s="241"/>
      <c r="M21" s="241"/>
      <c r="N21" s="241"/>
      <c r="O21" s="241"/>
      <c r="P21" s="241"/>
      <c r="Q21" s="241"/>
    </row>
    <row r="22" spans="1:17" s="36" customFormat="1" ht="30" customHeight="1">
      <c r="A22" s="9" t="s">
        <v>638</v>
      </c>
      <c r="B22" s="61" t="s">
        <v>632</v>
      </c>
      <c r="C22" s="8"/>
      <c r="D22" s="241"/>
      <c r="E22" s="241"/>
      <c r="F22" s="241"/>
      <c r="G22" s="241"/>
      <c r="H22" s="241"/>
      <c r="I22" s="241"/>
      <c r="J22" s="241"/>
      <c r="K22" s="241"/>
      <c r="L22" s="241"/>
      <c r="M22" s="241"/>
      <c r="N22" s="241"/>
      <c r="O22" s="241"/>
      <c r="P22" s="241"/>
      <c r="Q22" s="241"/>
    </row>
    <row r="23" spans="1:17" s="36" customFormat="1" ht="15" customHeight="1">
      <c r="A23" s="9"/>
      <c r="B23" s="70" t="s">
        <v>633</v>
      </c>
      <c r="C23" s="8" t="s">
        <v>326</v>
      </c>
      <c r="D23" s="258"/>
      <c r="E23" s="258"/>
      <c r="F23" s="258"/>
      <c r="G23" s="258"/>
      <c r="H23" s="258"/>
      <c r="I23" s="258"/>
      <c r="J23" s="258"/>
      <c r="K23" s="258"/>
      <c r="L23" s="258"/>
      <c r="M23" s="258"/>
      <c r="N23" s="258"/>
      <c r="O23" s="258"/>
      <c r="P23" s="258"/>
      <c r="Q23" s="258"/>
    </row>
    <row r="24" spans="1:17" s="36" customFormat="1" ht="30.75" customHeight="1">
      <c r="A24" s="9"/>
      <c r="B24" s="70" t="s">
        <v>634</v>
      </c>
      <c r="C24" s="267" t="s">
        <v>937</v>
      </c>
      <c r="D24" s="241"/>
      <c r="E24" s="241"/>
      <c r="F24" s="241"/>
      <c r="G24" s="241"/>
      <c r="H24" s="241"/>
      <c r="I24" s="241"/>
      <c r="J24" s="241"/>
      <c r="K24" s="241"/>
      <c r="L24" s="241"/>
      <c r="M24" s="241"/>
      <c r="N24" s="241"/>
      <c r="O24" s="241"/>
      <c r="P24" s="241"/>
      <c r="Q24" s="241"/>
    </row>
    <row r="25" spans="1:17" s="36" customFormat="1" ht="60.75" customHeight="1">
      <c r="A25" s="9" t="s">
        <v>82</v>
      </c>
      <c r="B25" s="61" t="s">
        <v>639</v>
      </c>
      <c r="C25" s="8"/>
      <c r="D25" s="241"/>
      <c r="E25" s="241"/>
      <c r="F25" s="241"/>
      <c r="G25" s="241"/>
      <c r="H25" s="241"/>
      <c r="I25" s="241"/>
      <c r="J25" s="241"/>
      <c r="K25" s="241"/>
      <c r="L25" s="241"/>
      <c r="M25" s="241"/>
      <c r="N25" s="241"/>
      <c r="O25" s="241"/>
      <c r="P25" s="241"/>
      <c r="Q25" s="241"/>
    </row>
    <row r="26" spans="1:17" s="36" customFormat="1" ht="30" customHeight="1">
      <c r="A26" s="9" t="s">
        <v>640</v>
      </c>
      <c r="B26" s="61" t="s">
        <v>631</v>
      </c>
      <c r="C26" s="8" t="s">
        <v>326</v>
      </c>
      <c r="D26" s="241"/>
      <c r="E26" s="241"/>
      <c r="F26" s="241"/>
      <c r="G26" s="241"/>
      <c r="H26" s="241"/>
      <c r="I26" s="241"/>
      <c r="J26" s="241"/>
      <c r="K26" s="241"/>
      <c r="L26" s="241"/>
      <c r="M26" s="241"/>
      <c r="N26" s="241"/>
      <c r="O26" s="241"/>
      <c r="P26" s="241"/>
      <c r="Q26" s="241"/>
    </row>
    <row r="27" spans="1:17" s="36" customFormat="1" ht="30" customHeight="1">
      <c r="A27" s="9" t="s">
        <v>641</v>
      </c>
      <c r="B27" s="61" t="s">
        <v>632</v>
      </c>
      <c r="C27" s="8"/>
      <c r="D27" s="241"/>
      <c r="E27" s="241"/>
      <c r="F27" s="241"/>
      <c r="G27" s="241"/>
      <c r="H27" s="241"/>
      <c r="I27" s="241"/>
      <c r="J27" s="241"/>
      <c r="K27" s="241"/>
      <c r="L27" s="241"/>
      <c r="M27" s="241"/>
      <c r="N27" s="241"/>
      <c r="O27" s="241"/>
      <c r="P27" s="241"/>
      <c r="Q27" s="241"/>
    </row>
    <row r="28" spans="1:17" s="36" customFormat="1" ht="15" customHeight="1">
      <c r="A28" s="9"/>
      <c r="B28" s="70" t="s">
        <v>633</v>
      </c>
      <c r="C28" s="8" t="s">
        <v>326</v>
      </c>
      <c r="D28" s="258"/>
      <c r="E28" s="258"/>
      <c r="F28" s="258"/>
      <c r="G28" s="258"/>
      <c r="H28" s="258"/>
      <c r="I28" s="258"/>
      <c r="J28" s="258"/>
      <c r="K28" s="258"/>
      <c r="L28" s="258"/>
      <c r="M28" s="258"/>
      <c r="N28" s="258"/>
      <c r="O28" s="258"/>
      <c r="P28" s="258"/>
      <c r="Q28" s="258"/>
    </row>
    <row r="29" spans="1:17" s="36" customFormat="1" ht="31.5" customHeight="1">
      <c r="A29" s="9"/>
      <c r="B29" s="70" t="s">
        <v>634</v>
      </c>
      <c r="C29" s="267" t="s">
        <v>937</v>
      </c>
      <c r="D29" s="241"/>
      <c r="E29" s="241"/>
      <c r="F29" s="241"/>
      <c r="G29" s="241"/>
      <c r="H29" s="241"/>
      <c r="I29" s="241"/>
      <c r="J29" s="241"/>
      <c r="K29" s="241"/>
      <c r="L29" s="241"/>
      <c r="M29" s="241"/>
      <c r="N29" s="241"/>
      <c r="O29" s="241"/>
      <c r="P29" s="241"/>
      <c r="Q29" s="241"/>
    </row>
    <row r="30" spans="1:17" ht="9" customHeight="1"/>
    <row r="31" spans="1:17" s="26" customFormat="1" ht="13.5" customHeight="1">
      <c r="A31" s="26" t="s">
        <v>88</v>
      </c>
      <c r="C31" s="53"/>
    </row>
    <row r="32" spans="1:17" s="773" customFormat="1" ht="43.5" customHeight="1">
      <c r="A32" s="773" t="s">
        <v>89</v>
      </c>
      <c r="B32" s="1842" t="s">
        <v>642</v>
      </c>
      <c r="C32" s="1842"/>
      <c r="D32" s="1842"/>
      <c r="E32" s="1842"/>
      <c r="F32" s="1842"/>
      <c r="G32" s="1842"/>
      <c r="H32" s="1842"/>
      <c r="I32" s="1842"/>
      <c r="J32" s="1842"/>
      <c r="K32" s="1842"/>
      <c r="L32" s="1842"/>
      <c r="M32" s="1842"/>
      <c r="N32" s="1842"/>
      <c r="O32" s="1842"/>
    </row>
    <row r="33" spans="1:15" s="773" customFormat="1" ht="43.5" customHeight="1">
      <c r="A33" s="773" t="s">
        <v>91</v>
      </c>
      <c r="B33" s="1842" t="s">
        <v>643</v>
      </c>
      <c r="C33" s="1842"/>
      <c r="D33" s="1842"/>
      <c r="E33" s="1842"/>
      <c r="F33" s="1842"/>
      <c r="G33" s="1842"/>
      <c r="H33" s="1842"/>
      <c r="I33" s="1842"/>
      <c r="J33" s="1842"/>
      <c r="K33" s="1842"/>
      <c r="L33" s="1842"/>
      <c r="M33" s="1842"/>
      <c r="N33" s="1842"/>
      <c r="O33" s="1842"/>
    </row>
    <row r="34" spans="1:15" s="26" customFormat="1" ht="13.5" customHeight="1">
      <c r="A34" s="26" t="s">
        <v>93</v>
      </c>
      <c r="B34" s="26" t="s">
        <v>644</v>
      </c>
      <c r="C34" s="53"/>
    </row>
    <row r="35" spans="1:15" s="26" customFormat="1" ht="13.5" customHeight="1">
      <c r="A35" s="26" t="s">
        <v>95</v>
      </c>
      <c r="B35" s="26" t="s">
        <v>645</v>
      </c>
      <c r="C35" s="53"/>
    </row>
    <row r="36" spans="1:15" s="26" customFormat="1" ht="13.5" customHeight="1">
      <c r="A36" s="26" t="s">
        <v>97</v>
      </c>
      <c r="B36" s="26" t="s">
        <v>646</v>
      </c>
      <c r="C36" s="53"/>
    </row>
    <row r="37" spans="1:15" s="26" customFormat="1" ht="13.5" customHeight="1">
      <c r="A37" s="26" t="s">
        <v>582</v>
      </c>
      <c r="B37" s="26" t="s">
        <v>647</v>
      </c>
      <c r="C37" s="53"/>
    </row>
    <row r="38" spans="1:15" s="26" customFormat="1" ht="13.5" customHeight="1">
      <c r="A38" s="26" t="s">
        <v>615</v>
      </c>
      <c r="B38" s="26" t="s">
        <v>648</v>
      </c>
      <c r="C38" s="53"/>
    </row>
    <row r="39" spans="1:15" s="773" customFormat="1" ht="30" customHeight="1">
      <c r="A39" s="773" t="s">
        <v>649</v>
      </c>
      <c r="B39" s="1842" t="s">
        <v>650</v>
      </c>
      <c r="C39" s="1842"/>
      <c r="D39" s="1842"/>
      <c r="E39" s="1842"/>
      <c r="F39" s="1842"/>
      <c r="G39" s="1842"/>
      <c r="H39" s="1842"/>
      <c r="I39" s="1842"/>
      <c r="J39" s="1842"/>
      <c r="K39" s="1842"/>
      <c r="L39" s="1842"/>
      <c r="M39" s="1842"/>
      <c r="N39" s="1842"/>
      <c r="O39" s="1842"/>
    </row>
    <row r="40" spans="1:15" ht="15" customHeight="1"/>
  </sheetData>
  <mergeCells count="11">
    <mergeCell ref="P5:Q5"/>
    <mergeCell ref="B32:O32"/>
    <mergeCell ref="B33:O33"/>
    <mergeCell ref="B39:O39"/>
    <mergeCell ref="A3:O3"/>
    <mergeCell ref="A5:A6"/>
    <mergeCell ref="B5:B6"/>
    <mergeCell ref="C5:C6"/>
    <mergeCell ref="D5:H5"/>
    <mergeCell ref="I5:J5"/>
    <mergeCell ref="K5:O5"/>
  </mergeCells>
  <pageMargins left="0.6" right="0.28000000000000003" top="0.59055118110236227" bottom="0.31496062992125984" header="0.19685039370078741" footer="0.19685039370078741"/>
  <pageSetup paperSize="9" scale="45" orientation="portrait" r:id="rId1"/>
  <headerFooter alignWithMargins="0"/>
  <rowBreaks count="1" manualBreakCount="1">
    <brk id="29" max="10" man="1"/>
  </rowBreaks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Q40"/>
  <sheetViews>
    <sheetView view="pageBreakPreview" zoomScaleNormal="100" workbookViewId="0">
      <pane xSplit="2" ySplit="6" topLeftCell="C7" activePane="bottomRight" state="frozen"/>
      <selection activeCell="F148" sqref="F148"/>
      <selection pane="topRight" activeCell="F148" sqref="F148"/>
      <selection pane="bottomLeft" activeCell="F148" sqref="F148"/>
      <selection pane="bottomRight" activeCell="F148" sqref="F148"/>
    </sheetView>
  </sheetViews>
  <sheetFormatPr defaultColWidth="0.85546875" defaultRowHeight="15"/>
  <cols>
    <col min="1" max="1" width="5.5703125" style="1" customWidth="1"/>
    <col min="2" max="2" width="34.140625" style="1" customWidth="1"/>
    <col min="3" max="3" width="15.28515625" style="19" customWidth="1"/>
    <col min="4" max="17" width="11.140625" style="1" customWidth="1"/>
    <col min="18" max="264" width="3.85546875" style="1" customWidth="1"/>
    <col min="265" max="16384" width="0.85546875" style="1"/>
  </cols>
  <sheetData>
    <row r="1" spans="1:17" s="5" customFormat="1" ht="16.5" customHeight="1">
      <c r="A1" s="74" t="s">
        <v>765</v>
      </c>
      <c r="C1" s="101"/>
      <c r="Q1" s="6" t="s">
        <v>619</v>
      </c>
    </row>
    <row r="2" spans="1:17" s="5" customFormat="1" ht="12.75" customHeight="1">
      <c r="A2" s="759" t="str">
        <f>'4.1_КТЭЦ'!A2</f>
        <v>ПКГО - Комбинированная выработка КТЭЦ</v>
      </c>
      <c r="C2" s="101"/>
    </row>
    <row r="3" spans="1:17" ht="16.5" customHeight="1">
      <c r="A3" s="1877" t="s">
        <v>620</v>
      </c>
      <c r="B3" s="1877"/>
      <c r="C3" s="1877"/>
      <c r="D3" s="1877"/>
      <c r="E3" s="1877"/>
      <c r="F3" s="1877"/>
      <c r="G3" s="1877"/>
      <c r="H3" s="1877"/>
      <c r="I3" s="1877"/>
      <c r="J3" s="1877"/>
      <c r="K3" s="1877"/>
      <c r="L3" s="1877"/>
      <c r="M3" s="1877"/>
      <c r="N3" s="1877"/>
      <c r="O3" s="1877"/>
    </row>
    <row r="4" spans="1:17" ht="12.75" customHeight="1"/>
    <row r="5" spans="1:17" s="3" customFormat="1" ht="53.25" customHeight="1">
      <c r="A5" s="1873" t="s">
        <v>0</v>
      </c>
      <c r="B5" s="1873" t="s">
        <v>1</v>
      </c>
      <c r="C5" s="1873" t="s">
        <v>621</v>
      </c>
      <c r="D5" s="1873" t="s">
        <v>622</v>
      </c>
      <c r="E5" s="1873"/>
      <c r="F5" s="1873"/>
      <c r="G5" s="1873"/>
      <c r="H5" s="1873"/>
      <c r="I5" s="1978" t="s">
        <v>936</v>
      </c>
      <c r="J5" s="1977"/>
      <c r="K5" s="1873" t="s">
        <v>623</v>
      </c>
      <c r="L5" s="1873"/>
      <c r="M5" s="1873"/>
      <c r="N5" s="1873"/>
      <c r="O5" s="1873"/>
      <c r="P5" s="1978" t="s">
        <v>936</v>
      </c>
      <c r="Q5" s="1977"/>
    </row>
    <row r="6" spans="1:17" s="3" customFormat="1" ht="54" customHeight="1">
      <c r="A6" s="1873"/>
      <c r="B6" s="1873"/>
      <c r="C6" s="1873"/>
      <c r="D6" s="772" t="s">
        <v>1489</v>
      </c>
      <c r="E6" s="1290" t="s">
        <v>1704</v>
      </c>
      <c r="F6" s="1586" t="s">
        <v>1851</v>
      </c>
      <c r="G6" s="1586" t="s">
        <v>1850</v>
      </c>
      <c r="H6" s="772" t="s">
        <v>1852</v>
      </c>
      <c r="I6" s="772" t="s">
        <v>1853</v>
      </c>
      <c r="J6" s="772" t="s">
        <v>1854</v>
      </c>
      <c r="K6" s="772" t="s">
        <v>1489</v>
      </c>
      <c r="L6" s="1290" t="s">
        <v>1704</v>
      </c>
      <c r="M6" s="1586" t="s">
        <v>1851</v>
      </c>
      <c r="N6" s="1586" t="s">
        <v>1850</v>
      </c>
      <c r="O6" s="1586" t="s">
        <v>1852</v>
      </c>
      <c r="P6" s="1586" t="s">
        <v>1853</v>
      </c>
      <c r="Q6" s="1586" t="s">
        <v>1854</v>
      </c>
    </row>
    <row r="7" spans="1:17" s="2" customFormat="1" ht="13.5" customHeight="1">
      <c r="A7" s="8">
        <v>1</v>
      </c>
      <c r="B7" s="13">
        <v>2</v>
      </c>
      <c r="C7" s="8">
        <v>3</v>
      </c>
      <c r="D7" s="13">
        <v>4</v>
      </c>
      <c r="E7" s="13">
        <v>5</v>
      </c>
      <c r="F7" s="13">
        <v>6</v>
      </c>
      <c r="G7" s="13"/>
      <c r="H7" s="13">
        <v>7</v>
      </c>
      <c r="I7" s="13">
        <v>8</v>
      </c>
      <c r="J7" s="13">
        <v>9</v>
      </c>
      <c r="K7" s="13">
        <v>10</v>
      </c>
      <c r="L7" s="13">
        <v>11</v>
      </c>
      <c r="M7" s="13">
        <v>12</v>
      </c>
      <c r="N7" s="13"/>
      <c r="O7" s="13">
        <v>13</v>
      </c>
      <c r="P7" s="13">
        <v>14</v>
      </c>
      <c r="Q7" s="13">
        <v>15</v>
      </c>
    </row>
    <row r="8" spans="1:17" s="36" customFormat="1" ht="45" customHeight="1">
      <c r="A8" s="9" t="s">
        <v>4</v>
      </c>
      <c r="B8" s="61" t="s">
        <v>624</v>
      </c>
      <c r="C8" s="8" t="s">
        <v>240</v>
      </c>
      <c r="D8" s="308">
        <f>'4.6_транзит+сбыт_КТЭЦ с косв.'!D93</f>
        <v>2017848.151719</v>
      </c>
      <c r="E8" s="308">
        <f>'4.6_транзит+сбыт_КТЭЦ с косв.'!F93</f>
        <v>2489302.7882359996</v>
      </c>
      <c r="F8" s="308">
        <f>'4.6_транзит+сбыт_КТЭЦ с косв.'!H93</f>
        <v>2738941.6520135896</v>
      </c>
      <c r="G8" s="308">
        <f>'4.6_транзит+сбыт_КТЭЦ с косв.'!I93</f>
        <v>225508.24618085497</v>
      </c>
      <c r="H8" s="308">
        <f>'4.6_транзит+сбыт_КТЭЦ с косв.'!K93</f>
        <v>2869170.7094411962</v>
      </c>
      <c r="I8" s="308">
        <f>'4.6_транзит+сбыт_КТЭЦ с косв.'!L93</f>
        <v>806824.87317628006</v>
      </c>
      <c r="J8" s="308">
        <f>'4.6_транзит+сбыт_КТЭЦ с косв.'!M93</f>
        <v>2062346.836264916</v>
      </c>
      <c r="K8" s="873"/>
      <c r="L8" s="873"/>
      <c r="M8" s="873"/>
      <c r="N8" s="873"/>
      <c r="O8" s="873"/>
      <c r="P8" s="308"/>
      <c r="Q8" s="308"/>
    </row>
    <row r="9" spans="1:17" s="266" customFormat="1" ht="72">
      <c r="A9" s="262" t="s">
        <v>5</v>
      </c>
      <c r="B9" s="261" t="s">
        <v>625</v>
      </c>
      <c r="C9" s="263" t="s">
        <v>240</v>
      </c>
      <c r="D9" s="264"/>
      <c r="E9" s="264"/>
      <c r="F9" s="264"/>
      <c r="G9" s="264"/>
      <c r="H9" s="264"/>
      <c r="I9" s="264"/>
      <c r="J9" s="264"/>
      <c r="K9" s="265"/>
      <c r="L9" s="265"/>
      <c r="M9" s="265"/>
      <c r="N9" s="265"/>
      <c r="O9" s="265"/>
      <c r="P9" s="264"/>
      <c r="Q9" s="264"/>
    </row>
    <row r="10" spans="1:17" s="36" customFormat="1" ht="46.5" customHeight="1">
      <c r="A10" s="9" t="s">
        <v>23</v>
      </c>
      <c r="B10" s="61" t="s">
        <v>626</v>
      </c>
      <c r="C10" s="8" t="s">
        <v>150</v>
      </c>
      <c r="D10" s="260">
        <f>'4.3_КТЭЦ'!I8</f>
        <v>907.11299999999994</v>
      </c>
      <c r="E10" s="260">
        <f>'4.3_КТЭЦ'!Q8</f>
        <v>858.0397999999999</v>
      </c>
      <c r="F10" s="260">
        <f>'4.3_КТЭЦ'!Y8</f>
        <v>836.25261320499999</v>
      </c>
      <c r="G10" s="260">
        <f>'4.3_КТЭЦ'!AG8</f>
        <v>860.72499999999991</v>
      </c>
      <c r="H10" s="260">
        <f>'4.3_КТЭЦ'!AK8</f>
        <v>860.72499999999991</v>
      </c>
      <c r="I10" s="260">
        <f>'4.3_КТЭЦ'!AO8</f>
        <v>523.05800000000011</v>
      </c>
      <c r="J10" s="260">
        <f>'4.3_КТЭЦ'!AS8</f>
        <v>337.66699999999992</v>
      </c>
      <c r="K10" s="260"/>
      <c r="L10" s="260"/>
      <c r="M10" s="260"/>
      <c r="N10" s="260"/>
      <c r="O10" s="260"/>
      <c r="P10" s="260"/>
      <c r="Q10" s="260"/>
    </row>
    <row r="11" spans="1:17" s="266" customFormat="1" ht="84">
      <c r="A11" s="262" t="s">
        <v>24</v>
      </c>
      <c r="B11" s="261" t="s">
        <v>627</v>
      </c>
      <c r="C11" s="263" t="s">
        <v>150</v>
      </c>
      <c r="D11" s="264"/>
      <c r="E11" s="264"/>
      <c r="F11" s="264"/>
      <c r="G11" s="264"/>
      <c r="H11" s="264"/>
      <c r="I11" s="264"/>
      <c r="J11" s="264"/>
      <c r="K11" s="265"/>
      <c r="L11" s="265"/>
      <c r="M11" s="265"/>
      <c r="N11" s="265"/>
      <c r="O11" s="265"/>
      <c r="P11" s="264"/>
      <c r="Q11" s="264"/>
    </row>
    <row r="12" spans="1:17" s="36" customFormat="1" ht="29.25" customHeight="1">
      <c r="A12" s="9" t="s">
        <v>27</v>
      </c>
      <c r="B12" s="61" t="s">
        <v>628</v>
      </c>
      <c r="C12" s="8" t="s">
        <v>53</v>
      </c>
      <c r="D12" s="260">
        <f>'4.3_КТЭЦ'!G8</f>
        <v>320.62599999999998</v>
      </c>
      <c r="E12" s="260">
        <f>'4.3_КТЭЦ'!O8</f>
        <v>307.87799999999999</v>
      </c>
      <c r="F12" s="260">
        <f>'4.3_КТЭЦ'!W8</f>
        <v>307.87799999999999</v>
      </c>
      <c r="G12" s="260">
        <f>'4.3_КТЭЦ'!AE8</f>
        <v>307.87799999999999</v>
      </c>
      <c r="H12" s="260">
        <f>'4.3_КТЭЦ'!AI8</f>
        <v>307.87799999999999</v>
      </c>
      <c r="I12" s="260">
        <f>'4.3_КТЭЦ'!AM8</f>
        <v>307.87799999999999</v>
      </c>
      <c r="J12" s="260">
        <f>'4.3_КТЭЦ'!AQ8</f>
        <v>307.87799999999999</v>
      </c>
      <c r="K12" s="260"/>
      <c r="L12" s="260"/>
      <c r="M12" s="260"/>
      <c r="N12" s="260"/>
      <c r="O12" s="260"/>
      <c r="P12" s="260"/>
      <c r="Q12" s="260"/>
    </row>
    <row r="13" spans="1:17" s="266" customFormat="1" ht="72">
      <c r="A13" s="262" t="s">
        <v>28</v>
      </c>
      <c r="B13" s="261" t="s">
        <v>629</v>
      </c>
      <c r="C13" s="263" t="s">
        <v>53</v>
      </c>
      <c r="D13" s="264"/>
      <c r="E13" s="264"/>
      <c r="F13" s="264"/>
      <c r="G13" s="264"/>
      <c r="H13" s="264"/>
      <c r="I13" s="264"/>
      <c r="J13" s="264"/>
      <c r="K13" s="265"/>
      <c r="L13" s="265"/>
      <c r="M13" s="265"/>
      <c r="N13" s="265"/>
      <c r="O13" s="265"/>
      <c r="P13" s="264"/>
      <c r="Q13" s="264"/>
    </row>
    <row r="14" spans="1:17" s="36" customFormat="1" ht="76.5" customHeight="1">
      <c r="A14" s="9" t="s">
        <v>30</v>
      </c>
      <c r="B14" s="61" t="s">
        <v>630</v>
      </c>
      <c r="C14" s="8"/>
      <c r="D14" s="241"/>
      <c r="E14" s="241"/>
      <c r="F14" s="241"/>
      <c r="G14" s="241"/>
      <c r="H14" s="241"/>
      <c r="I14" s="241"/>
      <c r="J14" s="241"/>
      <c r="K14" s="241"/>
      <c r="L14" s="241"/>
      <c r="M14" s="241"/>
      <c r="N14" s="241"/>
      <c r="O14" s="241"/>
      <c r="P14" s="241"/>
      <c r="Q14" s="241"/>
    </row>
    <row r="15" spans="1:17" s="36" customFormat="1" ht="30" customHeight="1">
      <c r="A15" s="9" t="s">
        <v>31</v>
      </c>
      <c r="B15" s="61" t="s">
        <v>631</v>
      </c>
      <c r="C15" s="8" t="s">
        <v>326</v>
      </c>
      <c r="D15" s="260">
        <f t="shared" ref="D15:J15" si="0">D8/D10</f>
        <v>2224.4727522579878</v>
      </c>
      <c r="E15" s="260">
        <f t="shared" si="0"/>
        <v>2901.1507254511971</v>
      </c>
      <c r="F15" s="260">
        <f t="shared" si="0"/>
        <v>3275.2563146157395</v>
      </c>
      <c r="G15" s="260">
        <f t="shared" ref="G15" si="1">G8/G10</f>
        <v>261.9980204837259</v>
      </c>
      <c r="H15" s="260">
        <f t="shared" si="0"/>
        <v>3333.4348478796323</v>
      </c>
      <c r="I15" s="260">
        <f t="shared" si="0"/>
        <v>1542.5151191192563</v>
      </c>
      <c r="J15" s="260">
        <f t="shared" si="0"/>
        <v>6107.6351442839141</v>
      </c>
      <c r="K15" s="260"/>
      <c r="L15" s="260"/>
      <c r="M15" s="260"/>
      <c r="N15" s="260"/>
      <c r="O15" s="260"/>
      <c r="P15" s="260"/>
      <c r="Q15" s="260"/>
    </row>
    <row r="16" spans="1:17" s="36" customFormat="1" ht="30" customHeight="1">
      <c r="A16" s="9" t="s">
        <v>32</v>
      </c>
      <c r="B16" s="61" t="s">
        <v>632</v>
      </c>
      <c r="C16" s="8"/>
      <c r="D16" s="241"/>
      <c r="E16" s="241"/>
      <c r="F16" s="241"/>
      <c r="G16" s="241"/>
      <c r="H16" s="241"/>
      <c r="I16" s="241"/>
      <c r="J16" s="241"/>
      <c r="K16" s="241"/>
      <c r="L16" s="241"/>
      <c r="M16" s="241"/>
      <c r="N16" s="241"/>
      <c r="O16" s="241"/>
      <c r="P16" s="241"/>
      <c r="Q16" s="241"/>
    </row>
    <row r="17" spans="1:17" s="36" customFormat="1" ht="15" customHeight="1">
      <c r="A17" s="9"/>
      <c r="B17" s="70" t="s">
        <v>633</v>
      </c>
      <c r="C17" s="8" t="s">
        <v>326</v>
      </c>
      <c r="D17" s="260">
        <f t="shared" ref="D17:J17" si="2">D15</f>
        <v>2224.4727522579878</v>
      </c>
      <c r="E17" s="260">
        <f t="shared" si="2"/>
        <v>2901.1507254511971</v>
      </c>
      <c r="F17" s="260">
        <f t="shared" si="2"/>
        <v>3275.2563146157395</v>
      </c>
      <c r="G17" s="260">
        <f t="shared" ref="G17" si="3">G15</f>
        <v>261.9980204837259</v>
      </c>
      <c r="H17" s="260">
        <f t="shared" si="2"/>
        <v>3333.4348478796323</v>
      </c>
      <c r="I17" s="260">
        <f t="shared" si="2"/>
        <v>1542.5151191192563</v>
      </c>
      <c r="J17" s="260">
        <f t="shared" si="2"/>
        <v>6107.6351442839141</v>
      </c>
      <c r="K17" s="260"/>
      <c r="L17" s="260"/>
      <c r="M17" s="260"/>
      <c r="N17" s="260"/>
      <c r="O17" s="260"/>
      <c r="P17" s="260"/>
      <c r="Q17" s="260"/>
    </row>
    <row r="18" spans="1:17" s="36" customFormat="1" ht="29.25" customHeight="1">
      <c r="A18" s="9"/>
      <c r="B18" s="70" t="s">
        <v>634</v>
      </c>
      <c r="C18" s="267" t="s">
        <v>937</v>
      </c>
      <c r="D18" s="260">
        <f>D8/D12/12</f>
        <v>524.45532378300584</v>
      </c>
      <c r="E18" s="260">
        <f>E8/E12/12</f>
        <v>673.77954585799137</v>
      </c>
      <c r="F18" s="260">
        <f>F8/F12/12</f>
        <v>741.34929312194811</v>
      </c>
      <c r="G18" s="260">
        <f>G8/G12/12</f>
        <v>61.038313385186932</v>
      </c>
      <c r="H18" s="260">
        <f>H8/H12/12</f>
        <v>776.59839001195178</v>
      </c>
      <c r="I18" s="260">
        <f>I8/I12/6</f>
        <v>436.766551023609</v>
      </c>
      <c r="J18" s="260">
        <f>J8/J12/6</f>
        <v>1116.4307703402626</v>
      </c>
      <c r="K18" s="260"/>
      <c r="L18" s="260"/>
      <c r="M18" s="260"/>
      <c r="N18" s="260"/>
      <c r="O18" s="260"/>
      <c r="P18" s="260"/>
      <c r="Q18" s="260"/>
    </row>
    <row r="19" spans="1:17" s="36" customFormat="1" ht="76.5" customHeight="1">
      <c r="A19" s="9" t="s">
        <v>78</v>
      </c>
      <c r="B19" s="61" t="s">
        <v>635</v>
      </c>
      <c r="C19" s="8"/>
      <c r="D19" s="241"/>
      <c r="E19" s="241"/>
      <c r="F19" s="241"/>
      <c r="G19" s="241"/>
      <c r="H19" s="241"/>
      <c r="I19" s="241"/>
      <c r="J19" s="241"/>
      <c r="K19" s="241"/>
      <c r="L19" s="241"/>
      <c r="M19" s="241"/>
      <c r="N19" s="241"/>
      <c r="O19" s="241"/>
      <c r="P19" s="241"/>
      <c r="Q19" s="241"/>
    </row>
    <row r="20" spans="1:17" s="36" customFormat="1" ht="78" customHeight="1">
      <c r="A20" s="9" t="s">
        <v>80</v>
      </c>
      <c r="B20" s="61" t="s">
        <v>636</v>
      </c>
      <c r="C20" s="8"/>
      <c r="D20" s="241"/>
      <c r="E20" s="241"/>
      <c r="F20" s="241"/>
      <c r="G20" s="241"/>
      <c r="H20" s="241"/>
      <c r="I20" s="241"/>
      <c r="J20" s="241"/>
      <c r="K20" s="241"/>
      <c r="L20" s="241"/>
      <c r="M20" s="241"/>
      <c r="N20" s="241"/>
      <c r="O20" s="241"/>
      <c r="P20" s="241"/>
      <c r="Q20" s="241"/>
    </row>
    <row r="21" spans="1:17" s="36" customFormat="1" ht="30" customHeight="1">
      <c r="A21" s="9" t="s">
        <v>637</v>
      </c>
      <c r="B21" s="61" t="s">
        <v>631</v>
      </c>
      <c r="C21" s="8" t="s">
        <v>326</v>
      </c>
      <c r="D21" s="241"/>
      <c r="E21" s="241"/>
      <c r="F21" s="241"/>
      <c r="G21" s="241"/>
      <c r="H21" s="241"/>
      <c r="I21" s="241"/>
      <c r="J21" s="241"/>
      <c r="K21" s="241"/>
      <c r="L21" s="241"/>
      <c r="M21" s="241"/>
      <c r="N21" s="241"/>
      <c r="O21" s="241"/>
      <c r="P21" s="241"/>
      <c r="Q21" s="241"/>
    </row>
    <row r="22" spans="1:17" s="36" customFormat="1" ht="30" customHeight="1">
      <c r="A22" s="9" t="s">
        <v>638</v>
      </c>
      <c r="B22" s="61" t="s">
        <v>632</v>
      </c>
      <c r="C22" s="8"/>
      <c r="D22" s="241"/>
      <c r="E22" s="241"/>
      <c r="F22" s="241"/>
      <c r="G22" s="241"/>
      <c r="H22" s="241"/>
      <c r="I22" s="241"/>
      <c r="J22" s="241"/>
      <c r="K22" s="241"/>
      <c r="L22" s="241"/>
      <c r="M22" s="241"/>
      <c r="N22" s="241"/>
      <c r="O22" s="241"/>
      <c r="P22" s="241"/>
      <c r="Q22" s="241"/>
    </row>
    <row r="23" spans="1:17" s="36" customFormat="1" ht="15" customHeight="1">
      <c r="A23" s="9"/>
      <c r="B23" s="70" t="s">
        <v>633</v>
      </c>
      <c r="C23" s="8" t="s">
        <v>326</v>
      </c>
      <c r="D23" s="258"/>
      <c r="E23" s="258"/>
      <c r="F23" s="258"/>
      <c r="G23" s="258"/>
      <c r="H23" s="258"/>
      <c r="I23" s="258"/>
      <c r="J23" s="258"/>
      <c r="K23" s="258"/>
      <c r="L23" s="258"/>
      <c r="M23" s="258"/>
      <c r="N23" s="258"/>
      <c r="O23" s="258"/>
      <c r="P23" s="258"/>
      <c r="Q23" s="258"/>
    </row>
    <row r="24" spans="1:17" s="36" customFormat="1" ht="30.75" customHeight="1">
      <c r="A24" s="9"/>
      <c r="B24" s="70" t="s">
        <v>634</v>
      </c>
      <c r="C24" s="267" t="s">
        <v>937</v>
      </c>
      <c r="D24" s="241"/>
      <c r="E24" s="241"/>
      <c r="F24" s="241"/>
      <c r="G24" s="241"/>
      <c r="H24" s="241"/>
      <c r="I24" s="241"/>
      <c r="J24" s="241"/>
      <c r="K24" s="241"/>
      <c r="L24" s="241"/>
      <c r="M24" s="241"/>
      <c r="N24" s="241"/>
      <c r="O24" s="241"/>
      <c r="P24" s="241"/>
      <c r="Q24" s="241"/>
    </row>
    <row r="25" spans="1:17" s="36" customFormat="1" ht="60.75" customHeight="1">
      <c r="A25" s="9" t="s">
        <v>82</v>
      </c>
      <c r="B25" s="61" t="s">
        <v>639</v>
      </c>
      <c r="C25" s="8"/>
      <c r="D25" s="241"/>
      <c r="E25" s="241"/>
      <c r="F25" s="241"/>
      <c r="G25" s="241"/>
      <c r="H25" s="241"/>
      <c r="I25" s="241"/>
      <c r="J25" s="241"/>
      <c r="K25" s="241"/>
      <c r="L25" s="241"/>
      <c r="M25" s="241"/>
      <c r="N25" s="241"/>
      <c r="O25" s="241"/>
      <c r="P25" s="241"/>
      <c r="Q25" s="241"/>
    </row>
    <row r="26" spans="1:17" s="36" customFormat="1" ht="30" customHeight="1">
      <c r="A26" s="9" t="s">
        <v>640</v>
      </c>
      <c r="B26" s="61" t="s">
        <v>631</v>
      </c>
      <c r="C26" s="8" t="s">
        <v>326</v>
      </c>
      <c r="D26" s="241"/>
      <c r="E26" s="241"/>
      <c r="F26" s="241"/>
      <c r="G26" s="241"/>
      <c r="H26" s="241"/>
      <c r="I26" s="241"/>
      <c r="J26" s="241"/>
      <c r="K26" s="241"/>
      <c r="L26" s="241"/>
      <c r="M26" s="241"/>
      <c r="N26" s="241"/>
      <c r="O26" s="241"/>
      <c r="P26" s="241"/>
      <c r="Q26" s="241"/>
    </row>
    <row r="27" spans="1:17" s="36" customFormat="1" ht="30" customHeight="1">
      <c r="A27" s="9" t="s">
        <v>641</v>
      </c>
      <c r="B27" s="61" t="s">
        <v>632</v>
      </c>
      <c r="C27" s="8"/>
      <c r="D27" s="241"/>
      <c r="E27" s="241"/>
      <c r="F27" s="241"/>
      <c r="G27" s="241"/>
      <c r="H27" s="241"/>
      <c r="I27" s="241"/>
      <c r="J27" s="241"/>
      <c r="K27" s="241"/>
      <c r="L27" s="241"/>
      <c r="M27" s="241"/>
      <c r="N27" s="241"/>
      <c r="O27" s="241"/>
      <c r="P27" s="241"/>
      <c r="Q27" s="241"/>
    </row>
    <row r="28" spans="1:17" s="36" customFormat="1" ht="15" customHeight="1">
      <c r="A28" s="9"/>
      <c r="B28" s="70" t="s">
        <v>633</v>
      </c>
      <c r="C28" s="8" t="s">
        <v>326</v>
      </c>
      <c r="D28" s="258"/>
      <c r="E28" s="258"/>
      <c r="F28" s="258"/>
      <c r="G28" s="258"/>
      <c r="H28" s="258"/>
      <c r="I28" s="258"/>
      <c r="J28" s="258"/>
      <c r="K28" s="258"/>
      <c r="L28" s="258"/>
      <c r="M28" s="258"/>
      <c r="N28" s="258"/>
      <c r="O28" s="258"/>
      <c r="P28" s="258"/>
      <c r="Q28" s="258"/>
    </row>
    <row r="29" spans="1:17" s="36" customFormat="1" ht="31.5" customHeight="1">
      <c r="A29" s="9"/>
      <c r="B29" s="70" t="s">
        <v>634</v>
      </c>
      <c r="C29" s="267" t="s">
        <v>937</v>
      </c>
      <c r="D29" s="241"/>
      <c r="E29" s="241"/>
      <c r="F29" s="241"/>
      <c r="G29" s="241"/>
      <c r="H29" s="241"/>
      <c r="I29" s="241"/>
      <c r="J29" s="241"/>
      <c r="K29" s="241"/>
      <c r="L29" s="241"/>
      <c r="M29" s="241"/>
      <c r="N29" s="241"/>
      <c r="O29" s="241"/>
      <c r="P29" s="241"/>
      <c r="Q29" s="241"/>
    </row>
    <row r="30" spans="1:17" ht="9" customHeight="1"/>
    <row r="31" spans="1:17" s="26" customFormat="1" ht="13.5" customHeight="1">
      <c r="A31" s="26" t="s">
        <v>88</v>
      </c>
      <c r="C31" s="53"/>
    </row>
    <row r="32" spans="1:17" s="773" customFormat="1" ht="43.5" customHeight="1">
      <c r="A32" s="773" t="s">
        <v>89</v>
      </c>
      <c r="B32" s="1842" t="s">
        <v>642</v>
      </c>
      <c r="C32" s="1842"/>
      <c r="D32" s="1842"/>
      <c r="E32" s="1842"/>
      <c r="F32" s="1842"/>
      <c r="G32" s="1842"/>
      <c r="H32" s="1842"/>
      <c r="I32" s="1842"/>
      <c r="J32" s="1842"/>
      <c r="K32" s="1842"/>
      <c r="L32" s="1842"/>
      <c r="M32" s="1842"/>
      <c r="N32" s="1842"/>
      <c r="O32" s="1842"/>
    </row>
    <row r="33" spans="1:15" s="773" customFormat="1" ht="43.5" customHeight="1">
      <c r="A33" s="773" t="s">
        <v>91</v>
      </c>
      <c r="B33" s="1842" t="s">
        <v>643</v>
      </c>
      <c r="C33" s="1842"/>
      <c r="D33" s="1842"/>
      <c r="E33" s="1842"/>
      <c r="F33" s="1842"/>
      <c r="G33" s="1842"/>
      <c r="H33" s="1842"/>
      <c r="I33" s="1842"/>
      <c r="J33" s="1842"/>
      <c r="K33" s="1842"/>
      <c r="L33" s="1842"/>
      <c r="M33" s="1842"/>
      <c r="N33" s="1842"/>
      <c r="O33" s="1842"/>
    </row>
    <row r="34" spans="1:15" s="26" customFormat="1" ht="13.5" customHeight="1">
      <c r="A34" s="26" t="s">
        <v>93</v>
      </c>
      <c r="B34" s="26" t="s">
        <v>644</v>
      </c>
      <c r="C34" s="53"/>
    </row>
    <row r="35" spans="1:15" s="26" customFormat="1" ht="13.5" customHeight="1">
      <c r="A35" s="26" t="s">
        <v>95</v>
      </c>
      <c r="B35" s="26" t="s">
        <v>645</v>
      </c>
      <c r="C35" s="53"/>
    </row>
    <row r="36" spans="1:15" s="26" customFormat="1" ht="13.5" customHeight="1">
      <c r="A36" s="26" t="s">
        <v>97</v>
      </c>
      <c r="B36" s="26" t="s">
        <v>646</v>
      </c>
      <c r="C36" s="53"/>
    </row>
    <row r="37" spans="1:15" s="26" customFormat="1" ht="13.5" customHeight="1">
      <c r="A37" s="26" t="s">
        <v>582</v>
      </c>
      <c r="B37" s="26" t="s">
        <v>647</v>
      </c>
      <c r="C37" s="53"/>
    </row>
    <row r="38" spans="1:15" s="26" customFormat="1" ht="13.5" customHeight="1">
      <c r="A38" s="26" t="s">
        <v>615</v>
      </c>
      <c r="B38" s="26" t="s">
        <v>648</v>
      </c>
      <c r="C38" s="53"/>
    </row>
    <row r="39" spans="1:15" s="773" customFormat="1" ht="30" customHeight="1">
      <c r="A39" s="773" t="s">
        <v>649</v>
      </c>
      <c r="B39" s="1842" t="s">
        <v>650</v>
      </c>
      <c r="C39" s="1842"/>
      <c r="D39" s="1842"/>
      <c r="E39" s="1842"/>
      <c r="F39" s="1842"/>
      <c r="G39" s="1842"/>
      <c r="H39" s="1842"/>
      <c r="I39" s="1842"/>
      <c r="J39" s="1842"/>
      <c r="K39" s="1842"/>
      <c r="L39" s="1842"/>
      <c r="M39" s="1842"/>
      <c r="N39" s="1842"/>
      <c r="O39" s="1842"/>
    </row>
    <row r="40" spans="1:15" ht="15" customHeight="1"/>
  </sheetData>
  <mergeCells count="11">
    <mergeCell ref="A3:O3"/>
    <mergeCell ref="C5:C6"/>
    <mergeCell ref="B5:B6"/>
    <mergeCell ref="A5:A6"/>
    <mergeCell ref="B32:O32"/>
    <mergeCell ref="I5:J5"/>
    <mergeCell ref="P5:Q5"/>
    <mergeCell ref="B33:O33"/>
    <mergeCell ref="B39:O39"/>
    <mergeCell ref="D5:H5"/>
    <mergeCell ref="K5:O5"/>
  </mergeCells>
  <pageMargins left="0.6" right="0.28000000000000003" top="0.59055118110236227" bottom="0.31496062992125984" header="0.19685039370078741" footer="0.19685039370078741"/>
  <pageSetup paperSize="9" scale="45" orientation="portrait" r:id="rId1"/>
  <headerFooter alignWithMargins="0"/>
  <rowBreaks count="1" manualBreakCount="1">
    <brk id="29" max="10" man="1"/>
  </rowBreaks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Q40"/>
  <sheetViews>
    <sheetView view="pageBreakPreview" zoomScaleNormal="100" workbookViewId="0">
      <pane xSplit="2" ySplit="6" topLeftCell="C13" activePane="bottomRight" state="frozen"/>
      <selection activeCell="F148" sqref="F148"/>
      <selection pane="topRight" activeCell="F148" sqref="F148"/>
      <selection pane="bottomLeft" activeCell="F148" sqref="F148"/>
      <selection pane="bottomRight" activeCell="F148" sqref="F148"/>
    </sheetView>
  </sheetViews>
  <sheetFormatPr defaultColWidth="0.85546875" defaultRowHeight="15"/>
  <cols>
    <col min="1" max="1" width="5.5703125" style="1" customWidth="1"/>
    <col min="2" max="2" width="34.140625" style="1" customWidth="1"/>
    <col min="3" max="3" width="15.28515625" style="19" customWidth="1"/>
    <col min="4" max="17" width="11.140625" style="1" customWidth="1"/>
    <col min="18" max="264" width="3.85546875" style="1" customWidth="1"/>
    <col min="265" max="16384" width="0.85546875" style="1"/>
  </cols>
  <sheetData>
    <row r="1" spans="1:17" s="5" customFormat="1" ht="16.5" customHeight="1">
      <c r="A1" s="74" t="s">
        <v>765</v>
      </c>
      <c r="C1" s="101"/>
      <c r="Q1" s="6" t="s">
        <v>619</v>
      </c>
    </row>
    <row r="2" spans="1:17" s="5" customFormat="1" ht="12.75" customHeight="1">
      <c r="A2" s="759" t="str">
        <f>'4.1_котельные'!A2</f>
        <v>ПКГО - выработка котельными</v>
      </c>
      <c r="C2" s="101"/>
    </row>
    <row r="3" spans="1:17" ht="16.5" customHeight="1">
      <c r="A3" s="1877" t="s">
        <v>620</v>
      </c>
      <c r="B3" s="1877"/>
      <c r="C3" s="1877"/>
      <c r="D3" s="1877"/>
      <c r="E3" s="1877"/>
      <c r="F3" s="1877"/>
      <c r="G3" s="1877"/>
      <c r="H3" s="1877"/>
      <c r="I3" s="1877"/>
      <c r="J3" s="1877"/>
      <c r="K3" s="1877"/>
      <c r="L3" s="1877"/>
      <c r="M3" s="1877"/>
      <c r="N3" s="1877"/>
      <c r="O3" s="1877"/>
    </row>
    <row r="4" spans="1:17" ht="12.75" customHeight="1"/>
    <row r="5" spans="1:17" s="3" customFormat="1" ht="53.25" customHeight="1">
      <c r="A5" s="1873" t="s">
        <v>0</v>
      </c>
      <c r="B5" s="1873" t="s">
        <v>1</v>
      </c>
      <c r="C5" s="1873" t="s">
        <v>621</v>
      </c>
      <c r="D5" s="1873" t="s">
        <v>622</v>
      </c>
      <c r="E5" s="1873"/>
      <c r="F5" s="1873"/>
      <c r="G5" s="1873"/>
      <c r="H5" s="1873"/>
      <c r="I5" s="1978" t="s">
        <v>936</v>
      </c>
      <c r="J5" s="1977"/>
      <c r="K5" s="1873" t="s">
        <v>623</v>
      </c>
      <c r="L5" s="1873"/>
      <c r="M5" s="1873"/>
      <c r="N5" s="1873"/>
      <c r="O5" s="1873"/>
      <c r="P5" s="1978" t="s">
        <v>936</v>
      </c>
      <c r="Q5" s="1977"/>
    </row>
    <row r="6" spans="1:17" s="3" customFormat="1" ht="54" customHeight="1">
      <c r="A6" s="1873"/>
      <c r="B6" s="1873"/>
      <c r="C6" s="1873"/>
      <c r="D6" s="772" t="s">
        <v>1489</v>
      </c>
      <c r="E6" s="1290" t="s">
        <v>1704</v>
      </c>
      <c r="F6" s="1586" t="s">
        <v>1851</v>
      </c>
      <c r="G6" s="1586" t="s">
        <v>1850</v>
      </c>
      <c r="H6" s="1586" t="s">
        <v>1852</v>
      </c>
      <c r="I6" s="1586" t="s">
        <v>1853</v>
      </c>
      <c r="J6" s="1586" t="s">
        <v>1854</v>
      </c>
      <c r="K6" s="772" t="s">
        <v>1489</v>
      </c>
      <c r="L6" s="1290" t="s">
        <v>1704</v>
      </c>
      <c r="M6" s="1586" t="s">
        <v>1851</v>
      </c>
      <c r="N6" s="1586" t="s">
        <v>1850</v>
      </c>
      <c r="O6" s="1586" t="s">
        <v>1852</v>
      </c>
      <c r="P6" s="1586" t="s">
        <v>1853</v>
      </c>
      <c r="Q6" s="1586" t="s">
        <v>1854</v>
      </c>
    </row>
    <row r="7" spans="1:17" s="2" customFormat="1" ht="13.5" customHeight="1">
      <c r="A7" s="8">
        <v>1</v>
      </c>
      <c r="B7" s="13">
        <v>2</v>
      </c>
      <c r="C7" s="8">
        <v>3</v>
      </c>
      <c r="D7" s="13">
        <v>4</v>
      </c>
      <c r="E7" s="13">
        <v>5</v>
      </c>
      <c r="F7" s="13">
        <v>6</v>
      </c>
      <c r="G7" s="13"/>
      <c r="H7" s="13">
        <v>7</v>
      </c>
      <c r="I7" s="13">
        <v>8</v>
      </c>
      <c r="J7" s="13">
        <v>9</v>
      </c>
      <c r="K7" s="13">
        <v>10</v>
      </c>
      <c r="L7" s="13">
        <v>11</v>
      </c>
      <c r="M7" s="13">
        <v>12</v>
      </c>
      <c r="N7" s="13"/>
      <c r="O7" s="13">
        <v>13</v>
      </c>
      <c r="P7" s="13">
        <v>14</v>
      </c>
      <c r="Q7" s="13">
        <v>15</v>
      </c>
    </row>
    <row r="8" spans="1:17" s="36" customFormat="1" ht="45" customHeight="1">
      <c r="A8" s="9" t="s">
        <v>4</v>
      </c>
      <c r="B8" s="61" t="s">
        <v>624</v>
      </c>
      <c r="C8" s="8" t="s">
        <v>240</v>
      </c>
      <c r="D8" s="308">
        <f>'4.6_транзит+сбыт_котельн.'!D93</f>
        <v>883744.01939999999</v>
      </c>
      <c r="E8" s="308">
        <f>'4.6_транзит+сбыт_котельн.'!F93</f>
        <v>347741.71376743377</v>
      </c>
      <c r="F8" s="308">
        <f>'4.6_транзит+сбыт_котельн.'!H93</f>
        <v>398644.25552743603</v>
      </c>
      <c r="G8" s="308">
        <f>'4.6_транзит+сбыт_котельн.'!I93</f>
        <v>8545.2747765000313</v>
      </c>
      <c r="H8" s="308">
        <f>'4.6_транзит+сбыт_котельн.'!K93</f>
        <v>902687.00779701793</v>
      </c>
      <c r="I8" s="308">
        <f>'4.6_транзит+сбыт_котельн.'!L93</f>
        <v>223381.40107899997</v>
      </c>
      <c r="J8" s="308">
        <f>'4.6_транзит+сбыт_котельн.'!M93</f>
        <v>679305.60671801795</v>
      </c>
      <c r="K8" s="873"/>
      <c r="L8" s="873"/>
      <c r="M8" s="873"/>
      <c r="N8" s="873"/>
      <c r="O8" s="873"/>
      <c r="P8" s="308"/>
      <c r="Q8" s="308"/>
    </row>
    <row r="9" spans="1:17" s="266" customFormat="1" ht="72">
      <c r="A9" s="262" t="s">
        <v>5</v>
      </c>
      <c r="B9" s="261" t="s">
        <v>625</v>
      </c>
      <c r="C9" s="263" t="s">
        <v>240</v>
      </c>
      <c r="D9" s="264"/>
      <c r="E9" s="264"/>
      <c r="F9" s="264"/>
      <c r="G9" s="264"/>
      <c r="H9" s="264"/>
      <c r="I9" s="264"/>
      <c r="J9" s="264"/>
      <c r="K9" s="265"/>
      <c r="L9" s="265"/>
      <c r="M9" s="265"/>
      <c r="N9" s="265"/>
      <c r="O9" s="265"/>
      <c r="P9" s="264"/>
      <c r="Q9" s="264"/>
    </row>
    <row r="10" spans="1:17" s="36" customFormat="1" ht="46.5" customHeight="1">
      <c r="A10" s="9" t="s">
        <v>23</v>
      </c>
      <c r="B10" s="61" t="s">
        <v>626</v>
      </c>
      <c r="C10" s="8" t="s">
        <v>150</v>
      </c>
      <c r="D10" s="260">
        <f>'4.3_котельные'!I8</f>
        <v>410.57600000000002</v>
      </c>
      <c r="E10" s="260">
        <f>'4.3_котельные'!Q8</f>
        <v>399.63940000000008</v>
      </c>
      <c r="F10" s="260">
        <f>'4.3_котельные'!Y8</f>
        <v>377.28214835200004</v>
      </c>
      <c r="G10" s="260">
        <f>'4.3_котельные'!AG8</f>
        <v>400.41050000000007</v>
      </c>
      <c r="H10" s="260">
        <f>'4.3_котельные'!AK8</f>
        <v>389</v>
      </c>
      <c r="I10" s="260">
        <f>'4.3_котельные'!AO8</f>
        <v>237.10000000000002</v>
      </c>
      <c r="J10" s="260">
        <f>'4.3_котельные'!AS8</f>
        <v>151.9</v>
      </c>
      <c r="K10" s="260"/>
      <c r="L10" s="260"/>
      <c r="M10" s="260"/>
      <c r="N10" s="260"/>
      <c r="O10" s="260"/>
      <c r="P10" s="260"/>
      <c r="Q10" s="260"/>
    </row>
    <row r="11" spans="1:17" s="266" customFormat="1" ht="84">
      <c r="A11" s="262" t="s">
        <v>24</v>
      </c>
      <c r="B11" s="261" t="s">
        <v>627</v>
      </c>
      <c r="C11" s="263" t="s">
        <v>150</v>
      </c>
      <c r="D11" s="264"/>
      <c r="E11" s="264"/>
      <c r="F11" s="264"/>
      <c r="G11" s="264"/>
      <c r="H11" s="264"/>
      <c r="I11" s="264"/>
      <c r="J11" s="264"/>
      <c r="K11" s="265"/>
      <c r="L11" s="265"/>
      <c r="M11" s="265"/>
      <c r="N11" s="265"/>
      <c r="O11" s="265"/>
      <c r="P11" s="264"/>
      <c r="Q11" s="264"/>
    </row>
    <row r="12" spans="1:17" s="36" customFormat="1" ht="29.25" customHeight="1">
      <c r="A12" s="9" t="s">
        <v>27</v>
      </c>
      <c r="B12" s="61" t="s">
        <v>628</v>
      </c>
      <c r="C12" s="8" t="s">
        <v>53</v>
      </c>
      <c r="D12" s="260">
        <f>'4.3_котельные'!G8</f>
        <v>145</v>
      </c>
      <c r="E12" s="260">
        <f>'4.3_котельные'!O8</f>
        <v>143.79300000000001</v>
      </c>
      <c r="F12" s="260">
        <f>'4.3_котельные'!W8</f>
        <v>143.79300000000001</v>
      </c>
      <c r="G12" s="260">
        <f>'4.3_котельные'!AE8</f>
        <v>143.79300000000001</v>
      </c>
      <c r="H12" s="260">
        <f>'4.3_котельные'!AI8</f>
        <v>143.79300000000001</v>
      </c>
      <c r="I12" s="260">
        <f>'4.3_котельные'!AM8</f>
        <v>143.79300000000001</v>
      </c>
      <c r="J12" s="260">
        <f>'4.3_котельные'!AQ8</f>
        <v>143.79300000000001</v>
      </c>
      <c r="K12" s="260"/>
      <c r="L12" s="260"/>
      <c r="M12" s="260"/>
      <c r="N12" s="260"/>
      <c r="O12" s="260"/>
      <c r="P12" s="260"/>
      <c r="Q12" s="260"/>
    </row>
    <row r="13" spans="1:17" s="266" customFormat="1" ht="72">
      <c r="A13" s="262" t="s">
        <v>28</v>
      </c>
      <c r="B13" s="261" t="s">
        <v>629</v>
      </c>
      <c r="C13" s="263" t="s">
        <v>53</v>
      </c>
      <c r="D13" s="264"/>
      <c r="E13" s="264"/>
      <c r="F13" s="264"/>
      <c r="G13" s="264"/>
      <c r="H13" s="264"/>
      <c r="I13" s="264"/>
      <c r="J13" s="264"/>
      <c r="K13" s="265"/>
      <c r="L13" s="265"/>
      <c r="M13" s="265"/>
      <c r="N13" s="265"/>
      <c r="O13" s="265"/>
      <c r="P13" s="264"/>
      <c r="Q13" s="264"/>
    </row>
    <row r="14" spans="1:17" s="36" customFormat="1" ht="76.5" customHeight="1">
      <c r="A14" s="9" t="s">
        <v>30</v>
      </c>
      <c r="B14" s="61" t="s">
        <v>630</v>
      </c>
      <c r="C14" s="8"/>
      <c r="D14" s="241"/>
      <c r="E14" s="241"/>
      <c r="F14" s="241"/>
      <c r="G14" s="241"/>
      <c r="H14" s="241"/>
      <c r="I14" s="241"/>
      <c r="J14" s="241"/>
      <c r="K14" s="241"/>
      <c r="L14" s="241"/>
      <c r="M14" s="241"/>
      <c r="N14" s="241"/>
      <c r="O14" s="241"/>
      <c r="P14" s="241"/>
      <c r="Q14" s="241"/>
    </row>
    <row r="15" spans="1:17" s="36" customFormat="1" ht="30" customHeight="1">
      <c r="A15" s="9" t="s">
        <v>31</v>
      </c>
      <c r="B15" s="61" t="s">
        <v>631</v>
      </c>
      <c r="C15" s="8" t="s">
        <v>326</v>
      </c>
      <c r="D15" s="260">
        <f t="shared" ref="D15:J15" si="0">D8/D10</f>
        <v>2152.4492892911421</v>
      </c>
      <c r="E15" s="260">
        <f t="shared" si="0"/>
        <v>870.13871446967869</v>
      </c>
      <c r="F15" s="260">
        <f t="shared" si="0"/>
        <v>1056.6210388398906</v>
      </c>
      <c r="G15" s="260">
        <f t="shared" ref="G15" si="1">G8/G10</f>
        <v>21.341285447060031</v>
      </c>
      <c r="H15" s="260">
        <f t="shared" si="0"/>
        <v>2320.5321537198406</v>
      </c>
      <c r="I15" s="260">
        <f t="shared" si="0"/>
        <v>942.14002985660034</v>
      </c>
      <c r="J15" s="260">
        <f t="shared" si="0"/>
        <v>4472.0579770771428</v>
      </c>
      <c r="K15" s="260"/>
      <c r="L15" s="260"/>
      <c r="M15" s="260"/>
      <c r="N15" s="260"/>
      <c r="O15" s="260"/>
      <c r="P15" s="260"/>
      <c r="Q15" s="260"/>
    </row>
    <row r="16" spans="1:17" s="36" customFormat="1" ht="30" customHeight="1">
      <c r="A16" s="9" t="s">
        <v>32</v>
      </c>
      <c r="B16" s="61" t="s">
        <v>632</v>
      </c>
      <c r="C16" s="8"/>
      <c r="D16" s="241"/>
      <c r="E16" s="241"/>
      <c r="F16" s="241"/>
      <c r="G16" s="241"/>
      <c r="H16" s="241"/>
      <c r="I16" s="241"/>
      <c r="J16" s="241"/>
      <c r="K16" s="241"/>
      <c r="L16" s="241"/>
      <c r="M16" s="241"/>
      <c r="N16" s="241"/>
      <c r="O16" s="241"/>
      <c r="P16" s="241"/>
      <c r="Q16" s="241"/>
    </row>
    <row r="17" spans="1:17" s="36" customFormat="1" ht="15" customHeight="1">
      <c r="A17" s="9"/>
      <c r="B17" s="70" t="s">
        <v>633</v>
      </c>
      <c r="C17" s="8" t="s">
        <v>326</v>
      </c>
      <c r="D17" s="260">
        <f t="shared" ref="D17:J17" si="2">D15</f>
        <v>2152.4492892911421</v>
      </c>
      <c r="E17" s="260">
        <f t="shared" si="2"/>
        <v>870.13871446967869</v>
      </c>
      <c r="F17" s="260">
        <f t="shared" si="2"/>
        <v>1056.6210388398906</v>
      </c>
      <c r="G17" s="260">
        <f t="shared" ref="G17" si="3">G15</f>
        <v>21.341285447060031</v>
      </c>
      <c r="H17" s="260">
        <f t="shared" si="2"/>
        <v>2320.5321537198406</v>
      </c>
      <c r="I17" s="260">
        <f t="shared" si="2"/>
        <v>942.14002985660034</v>
      </c>
      <c r="J17" s="260">
        <f t="shared" si="2"/>
        <v>4472.0579770771428</v>
      </c>
      <c r="K17" s="260"/>
      <c r="L17" s="260"/>
      <c r="M17" s="260"/>
      <c r="N17" s="260"/>
      <c r="O17" s="260"/>
      <c r="P17" s="260"/>
      <c r="Q17" s="260"/>
    </row>
    <row r="18" spans="1:17" s="36" customFormat="1" ht="29.25" customHeight="1">
      <c r="A18" s="9"/>
      <c r="B18" s="70" t="s">
        <v>634</v>
      </c>
      <c r="C18" s="267" t="s">
        <v>937</v>
      </c>
      <c r="D18" s="260">
        <f>D8/D12/12</f>
        <v>507.89886172413793</v>
      </c>
      <c r="E18" s="260">
        <f>E8/E12/12</f>
        <v>201.52911579344018</v>
      </c>
      <c r="F18" s="260">
        <f>F8/F12/12</f>
        <v>231.02901133773085</v>
      </c>
      <c r="G18" s="260">
        <f>G8/G12/12</f>
        <v>4.9523010951506858</v>
      </c>
      <c r="H18" s="260">
        <f>H8/H12/12</f>
        <v>523.1403289201711</v>
      </c>
      <c r="I18" s="260">
        <f>I8/I12/6</f>
        <v>258.91547928735514</v>
      </c>
      <c r="J18" s="260">
        <f>J8/J12/6</f>
        <v>787.36517855298689</v>
      </c>
      <c r="K18" s="260"/>
      <c r="L18" s="260"/>
      <c r="M18" s="260"/>
      <c r="N18" s="260"/>
      <c r="O18" s="260"/>
      <c r="P18" s="260"/>
      <c r="Q18" s="260"/>
    </row>
    <row r="19" spans="1:17" s="36" customFormat="1" ht="76.5" customHeight="1">
      <c r="A19" s="9" t="s">
        <v>78</v>
      </c>
      <c r="B19" s="61" t="s">
        <v>635</v>
      </c>
      <c r="C19" s="8"/>
      <c r="D19" s="241"/>
      <c r="E19" s="241"/>
      <c r="F19" s="241"/>
      <c r="G19" s="241"/>
      <c r="H19" s="241"/>
      <c r="I19" s="241"/>
      <c r="J19" s="241"/>
      <c r="K19" s="241"/>
      <c r="L19" s="241"/>
      <c r="M19" s="241"/>
      <c r="N19" s="241"/>
      <c r="O19" s="241"/>
      <c r="P19" s="241"/>
      <c r="Q19" s="241"/>
    </row>
    <row r="20" spans="1:17" s="36" customFormat="1" ht="78" customHeight="1">
      <c r="A20" s="9" t="s">
        <v>80</v>
      </c>
      <c r="B20" s="61" t="s">
        <v>636</v>
      </c>
      <c r="C20" s="8"/>
      <c r="D20" s="241"/>
      <c r="E20" s="241"/>
      <c r="F20" s="241"/>
      <c r="G20" s="241"/>
      <c r="H20" s="241"/>
      <c r="I20" s="241"/>
      <c r="J20" s="241"/>
      <c r="K20" s="241"/>
      <c r="L20" s="241"/>
      <c r="M20" s="241"/>
      <c r="N20" s="241"/>
      <c r="O20" s="241"/>
      <c r="P20" s="241"/>
      <c r="Q20" s="241"/>
    </row>
    <row r="21" spans="1:17" s="36" customFormat="1" ht="30" customHeight="1">
      <c r="A21" s="9" t="s">
        <v>637</v>
      </c>
      <c r="B21" s="61" t="s">
        <v>631</v>
      </c>
      <c r="C21" s="8" t="s">
        <v>326</v>
      </c>
      <c r="D21" s="241"/>
      <c r="E21" s="241"/>
      <c r="F21" s="241"/>
      <c r="G21" s="241"/>
      <c r="H21" s="241"/>
      <c r="I21" s="241"/>
      <c r="J21" s="241"/>
      <c r="K21" s="241"/>
      <c r="L21" s="241"/>
      <c r="M21" s="241"/>
      <c r="N21" s="241"/>
      <c r="O21" s="241"/>
      <c r="P21" s="241"/>
      <c r="Q21" s="241"/>
    </row>
    <row r="22" spans="1:17" s="36" customFormat="1" ht="30" customHeight="1">
      <c r="A22" s="9" t="s">
        <v>638</v>
      </c>
      <c r="B22" s="61" t="s">
        <v>632</v>
      </c>
      <c r="C22" s="8"/>
      <c r="D22" s="241"/>
      <c r="E22" s="241"/>
      <c r="F22" s="241"/>
      <c r="G22" s="241"/>
      <c r="H22" s="241"/>
      <c r="I22" s="241"/>
      <c r="J22" s="241"/>
      <c r="K22" s="241"/>
      <c r="L22" s="241"/>
      <c r="M22" s="241"/>
      <c r="N22" s="241"/>
      <c r="O22" s="241"/>
      <c r="P22" s="241"/>
      <c r="Q22" s="241"/>
    </row>
    <row r="23" spans="1:17" s="36" customFormat="1" ht="15" customHeight="1">
      <c r="A23" s="9"/>
      <c r="B23" s="70" t="s">
        <v>633</v>
      </c>
      <c r="C23" s="8" t="s">
        <v>326</v>
      </c>
      <c r="D23" s="258"/>
      <c r="E23" s="258"/>
      <c r="F23" s="258"/>
      <c r="G23" s="258"/>
      <c r="H23" s="258"/>
      <c r="I23" s="258"/>
      <c r="J23" s="258"/>
      <c r="K23" s="258"/>
      <c r="L23" s="258"/>
      <c r="M23" s="258"/>
      <c r="N23" s="258"/>
      <c r="O23" s="258"/>
      <c r="P23" s="258"/>
      <c r="Q23" s="258"/>
    </row>
    <row r="24" spans="1:17" s="36" customFormat="1" ht="30.75" customHeight="1">
      <c r="A24" s="9"/>
      <c r="B24" s="70" t="s">
        <v>634</v>
      </c>
      <c r="C24" s="267" t="s">
        <v>937</v>
      </c>
      <c r="D24" s="241"/>
      <c r="E24" s="241"/>
      <c r="F24" s="241"/>
      <c r="G24" s="241"/>
      <c r="H24" s="241"/>
      <c r="I24" s="241"/>
      <c r="J24" s="241"/>
      <c r="K24" s="241"/>
      <c r="L24" s="241"/>
      <c r="M24" s="241"/>
      <c r="N24" s="241"/>
      <c r="O24" s="241"/>
      <c r="P24" s="241"/>
      <c r="Q24" s="241"/>
    </row>
    <row r="25" spans="1:17" s="36" customFormat="1" ht="60.75" customHeight="1">
      <c r="A25" s="9" t="s">
        <v>82</v>
      </c>
      <c r="B25" s="61" t="s">
        <v>639</v>
      </c>
      <c r="C25" s="8"/>
      <c r="D25" s="241"/>
      <c r="E25" s="241"/>
      <c r="F25" s="241"/>
      <c r="G25" s="241"/>
      <c r="H25" s="241"/>
      <c r="I25" s="241"/>
      <c r="J25" s="241"/>
      <c r="K25" s="241"/>
      <c r="L25" s="241"/>
      <c r="M25" s="241"/>
      <c r="N25" s="241"/>
      <c r="O25" s="241"/>
      <c r="P25" s="241"/>
      <c r="Q25" s="241"/>
    </row>
    <row r="26" spans="1:17" s="36" customFormat="1" ht="30" customHeight="1">
      <c r="A26" s="9" t="s">
        <v>640</v>
      </c>
      <c r="B26" s="61" t="s">
        <v>631</v>
      </c>
      <c r="C26" s="8" t="s">
        <v>326</v>
      </c>
      <c r="D26" s="241"/>
      <c r="E26" s="241"/>
      <c r="F26" s="241"/>
      <c r="G26" s="241"/>
      <c r="H26" s="241"/>
      <c r="I26" s="241"/>
      <c r="J26" s="241"/>
      <c r="K26" s="241"/>
      <c r="L26" s="241"/>
      <c r="M26" s="241"/>
      <c r="N26" s="241"/>
      <c r="O26" s="241"/>
      <c r="P26" s="241"/>
      <c r="Q26" s="241"/>
    </row>
    <row r="27" spans="1:17" s="36" customFormat="1" ht="30" customHeight="1">
      <c r="A27" s="9" t="s">
        <v>641</v>
      </c>
      <c r="B27" s="61" t="s">
        <v>632</v>
      </c>
      <c r="C27" s="8"/>
      <c r="D27" s="241"/>
      <c r="E27" s="241"/>
      <c r="F27" s="241"/>
      <c r="G27" s="241"/>
      <c r="H27" s="241"/>
      <c r="I27" s="241"/>
      <c r="J27" s="241"/>
      <c r="K27" s="241"/>
      <c r="L27" s="241"/>
      <c r="M27" s="241"/>
      <c r="N27" s="241"/>
      <c r="O27" s="241"/>
      <c r="P27" s="241"/>
      <c r="Q27" s="241"/>
    </row>
    <row r="28" spans="1:17" s="36" customFormat="1" ht="15" customHeight="1">
      <c r="A28" s="9"/>
      <c r="B28" s="70" t="s">
        <v>633</v>
      </c>
      <c r="C28" s="8" t="s">
        <v>326</v>
      </c>
      <c r="D28" s="258"/>
      <c r="E28" s="258"/>
      <c r="F28" s="258"/>
      <c r="G28" s="258"/>
      <c r="H28" s="258"/>
      <c r="I28" s="258"/>
      <c r="J28" s="258"/>
      <c r="K28" s="258"/>
      <c r="L28" s="258"/>
      <c r="M28" s="258"/>
      <c r="N28" s="258"/>
      <c r="O28" s="258"/>
      <c r="P28" s="258"/>
      <c r="Q28" s="258"/>
    </row>
    <row r="29" spans="1:17" s="36" customFormat="1" ht="31.5" customHeight="1">
      <c r="A29" s="9"/>
      <c r="B29" s="70" t="s">
        <v>634</v>
      </c>
      <c r="C29" s="267" t="s">
        <v>937</v>
      </c>
      <c r="D29" s="241"/>
      <c r="E29" s="241"/>
      <c r="F29" s="241"/>
      <c r="G29" s="241"/>
      <c r="H29" s="241"/>
      <c r="I29" s="241"/>
      <c r="J29" s="241"/>
      <c r="K29" s="241"/>
      <c r="L29" s="241"/>
      <c r="M29" s="241"/>
      <c r="N29" s="241"/>
      <c r="O29" s="241"/>
      <c r="P29" s="241"/>
      <c r="Q29" s="241"/>
    </row>
    <row r="30" spans="1:17" ht="9" customHeight="1"/>
    <row r="31" spans="1:17" s="26" customFormat="1" ht="13.5" customHeight="1">
      <c r="A31" s="26" t="s">
        <v>88</v>
      </c>
      <c r="C31" s="53"/>
    </row>
    <row r="32" spans="1:17" s="773" customFormat="1" ht="43.5" customHeight="1">
      <c r="A32" s="773" t="s">
        <v>89</v>
      </c>
      <c r="B32" s="1842" t="s">
        <v>642</v>
      </c>
      <c r="C32" s="1842"/>
      <c r="D32" s="1842"/>
      <c r="E32" s="1842"/>
      <c r="F32" s="1842"/>
      <c r="G32" s="1842"/>
      <c r="H32" s="1842"/>
      <c r="I32" s="1842"/>
      <c r="J32" s="1842"/>
      <c r="K32" s="1842"/>
      <c r="L32" s="1842"/>
      <c r="M32" s="1842"/>
      <c r="N32" s="1842"/>
      <c r="O32" s="1842"/>
    </row>
    <row r="33" spans="1:15" s="773" customFormat="1" ht="43.5" customHeight="1">
      <c r="A33" s="773" t="s">
        <v>91</v>
      </c>
      <c r="B33" s="1842" t="s">
        <v>643</v>
      </c>
      <c r="C33" s="1842"/>
      <c r="D33" s="1842"/>
      <c r="E33" s="1842"/>
      <c r="F33" s="1842"/>
      <c r="G33" s="1842"/>
      <c r="H33" s="1842"/>
      <c r="I33" s="1842"/>
      <c r="J33" s="1842"/>
      <c r="K33" s="1842"/>
      <c r="L33" s="1842"/>
      <c r="M33" s="1842"/>
      <c r="N33" s="1842"/>
      <c r="O33" s="1842"/>
    </row>
    <row r="34" spans="1:15" s="26" customFormat="1" ht="13.5" customHeight="1">
      <c r="A34" s="26" t="s">
        <v>93</v>
      </c>
      <c r="B34" s="26" t="s">
        <v>644</v>
      </c>
      <c r="C34" s="53"/>
    </row>
    <row r="35" spans="1:15" s="26" customFormat="1" ht="13.5" customHeight="1">
      <c r="A35" s="26" t="s">
        <v>95</v>
      </c>
      <c r="B35" s="26" t="s">
        <v>645</v>
      </c>
      <c r="C35" s="53"/>
    </row>
    <row r="36" spans="1:15" s="26" customFormat="1" ht="13.5" customHeight="1">
      <c r="A36" s="26" t="s">
        <v>97</v>
      </c>
      <c r="B36" s="26" t="s">
        <v>646</v>
      </c>
      <c r="C36" s="53"/>
    </row>
    <row r="37" spans="1:15" s="26" customFormat="1" ht="13.5" customHeight="1">
      <c r="A37" s="26" t="s">
        <v>582</v>
      </c>
      <c r="B37" s="26" t="s">
        <v>647</v>
      </c>
      <c r="C37" s="53"/>
    </row>
    <row r="38" spans="1:15" s="26" customFormat="1" ht="13.5" customHeight="1">
      <c r="A38" s="26" t="s">
        <v>615</v>
      </c>
      <c r="B38" s="26" t="s">
        <v>648</v>
      </c>
      <c r="C38" s="53"/>
    </row>
    <row r="39" spans="1:15" s="773" customFormat="1" ht="30" customHeight="1">
      <c r="A39" s="773" t="s">
        <v>649</v>
      </c>
      <c r="B39" s="1842" t="s">
        <v>650</v>
      </c>
      <c r="C39" s="1842"/>
      <c r="D39" s="1842"/>
      <c r="E39" s="1842"/>
      <c r="F39" s="1842"/>
      <c r="G39" s="1842"/>
      <c r="H39" s="1842"/>
      <c r="I39" s="1842"/>
      <c r="J39" s="1842"/>
      <c r="K39" s="1842"/>
      <c r="L39" s="1842"/>
      <c r="M39" s="1842"/>
      <c r="N39" s="1842"/>
      <c r="O39" s="1842"/>
    </row>
    <row r="40" spans="1:15" ht="15" customHeight="1"/>
  </sheetData>
  <mergeCells count="11">
    <mergeCell ref="P5:Q5"/>
    <mergeCell ref="B32:O32"/>
    <mergeCell ref="B33:O33"/>
    <mergeCell ref="B39:O39"/>
    <mergeCell ref="A3:O3"/>
    <mergeCell ref="A5:A6"/>
    <mergeCell ref="B5:B6"/>
    <mergeCell ref="C5:C6"/>
    <mergeCell ref="D5:H5"/>
    <mergeCell ref="I5:J5"/>
    <mergeCell ref="K5:O5"/>
  </mergeCells>
  <pageMargins left="0.6" right="0.28000000000000003" top="0.59055118110236227" bottom="0.31496062992125984" header="0.19685039370078741" footer="0.19685039370078741"/>
  <pageSetup paperSize="9" scale="45" orientation="portrait" r:id="rId1"/>
  <headerFooter alignWithMargins="0"/>
  <rowBreaks count="1" manualBreakCount="1">
    <brk id="29" max="10" man="1"/>
  </rowBreaks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</sheetPr>
  <dimension ref="A1:AK44"/>
  <sheetViews>
    <sheetView view="pageBreakPreview" zoomScale="90" zoomScaleNormal="100" zoomScaleSheetLayoutView="90" workbookViewId="0">
      <pane xSplit="2" ySplit="6" topLeftCell="F7" activePane="bottomRight" state="frozen"/>
      <selection activeCell="F148" sqref="F148"/>
      <selection pane="topRight" activeCell="F148" sqref="F148"/>
      <selection pane="bottomLeft" activeCell="F148" sqref="F148"/>
      <selection pane="bottomRight" activeCell="F148" sqref="F148"/>
    </sheetView>
  </sheetViews>
  <sheetFormatPr defaultColWidth="0.85546875" defaultRowHeight="12" customHeight="1"/>
  <cols>
    <col min="1" max="1" width="4.42578125" style="26" customWidth="1"/>
    <col min="2" max="2" width="39" style="26" customWidth="1"/>
    <col min="3" max="3" width="11" style="26" customWidth="1"/>
    <col min="4" max="4" width="11.85546875" style="26" customWidth="1"/>
    <col min="5" max="8" width="11" style="26" customWidth="1"/>
    <col min="9" max="9" width="11.85546875" style="26" customWidth="1"/>
    <col min="10" max="11" width="11" style="26" customWidth="1"/>
    <col min="12" max="12" width="11.5703125" style="26" customWidth="1"/>
    <col min="13" max="13" width="11" style="26" customWidth="1"/>
    <col min="14" max="14" width="12" style="26" customWidth="1"/>
    <col min="15" max="16" width="11" style="26" customWidth="1"/>
    <col min="17" max="22" width="12.140625" style="26" customWidth="1"/>
    <col min="23" max="23" width="11" style="26" customWidth="1"/>
    <col min="24" max="24" width="11.42578125" style="26" customWidth="1"/>
    <col min="25" max="26" width="11" style="26" customWidth="1"/>
    <col min="27" max="27" width="12" style="26" customWidth="1"/>
    <col min="28" max="28" width="11" style="26" customWidth="1"/>
    <col min="29" max="29" width="11.85546875" style="26" customWidth="1"/>
    <col min="30" max="33" width="11" style="26" customWidth="1"/>
    <col min="34" max="34" width="12.28515625" style="26" customWidth="1"/>
    <col min="35" max="37" width="11" style="26" customWidth="1"/>
    <col min="38" max="271" width="2.7109375" style="26" customWidth="1"/>
    <col min="272" max="16384" width="0.85546875" style="26"/>
  </cols>
  <sheetData>
    <row r="1" spans="1:37" s="24" customFormat="1" ht="21" customHeight="1">
      <c r="A1" s="74" t="s">
        <v>765</v>
      </c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F1" s="25"/>
      <c r="AK1" s="25" t="s">
        <v>651</v>
      </c>
    </row>
    <row r="2" spans="1:37" ht="18.75" customHeight="1">
      <c r="A2" s="759" t="str">
        <f>'4.1_КТЭЦ'!A2</f>
        <v>ПКГО - Комбинированная выработка КТЭЦ</v>
      </c>
      <c r="C2" s="1998"/>
      <c r="D2" s="1999"/>
      <c r="E2" s="1999"/>
      <c r="F2" s="1999"/>
      <c r="G2" s="1999"/>
      <c r="H2" s="1999"/>
      <c r="I2" s="1999"/>
      <c r="L2" s="858"/>
      <c r="M2" s="858"/>
      <c r="N2" s="858"/>
      <c r="O2" s="858"/>
      <c r="P2" s="858"/>
      <c r="Q2" s="858"/>
      <c r="R2" s="858"/>
      <c r="S2" s="858"/>
      <c r="T2" s="858"/>
      <c r="U2" s="858"/>
      <c r="V2" s="858"/>
    </row>
    <row r="3" spans="1:37" ht="54" customHeight="1">
      <c r="A3" s="1968" t="s">
        <v>652</v>
      </c>
      <c r="B3" s="1968"/>
      <c r="C3" s="1968"/>
      <c r="D3" s="1968"/>
      <c r="E3" s="1968"/>
      <c r="F3" s="1968"/>
      <c r="G3" s="1968"/>
      <c r="H3" s="1968"/>
      <c r="I3" s="1968"/>
      <c r="J3" s="1968"/>
      <c r="K3" s="1968"/>
      <c r="L3" s="1968"/>
      <c r="M3" s="1968"/>
      <c r="N3" s="1968"/>
      <c r="O3" s="1968"/>
      <c r="P3" s="1968"/>
      <c r="Q3" s="1968"/>
      <c r="R3" s="1968"/>
      <c r="S3" s="1968"/>
      <c r="T3" s="1968"/>
      <c r="U3" s="1968"/>
      <c r="V3" s="1968"/>
      <c r="W3" s="1968"/>
      <c r="X3" s="1968"/>
      <c r="Y3" s="1968"/>
      <c r="Z3" s="1968"/>
      <c r="AA3" s="1968"/>
      <c r="AB3" s="1968"/>
      <c r="AC3" s="1968"/>
      <c r="AD3" s="1968"/>
      <c r="AE3" s="1968"/>
      <c r="AF3" s="1968"/>
      <c r="AG3" s="1968"/>
      <c r="AH3" s="1968"/>
      <c r="AI3" s="1968"/>
      <c r="AJ3" s="1968"/>
      <c r="AK3" s="1968"/>
    </row>
    <row r="4" spans="1:37" ht="12" customHeight="1">
      <c r="A4" s="27"/>
      <c r="B4" s="27"/>
      <c r="C4" s="27"/>
      <c r="D4" s="27"/>
      <c r="E4" s="27"/>
      <c r="F4" s="27"/>
      <c r="G4" s="27"/>
      <c r="H4" s="27"/>
      <c r="I4" s="27"/>
      <c r="AB4" s="27"/>
      <c r="AC4" s="27"/>
      <c r="AG4" s="27"/>
      <c r="AH4" s="27"/>
    </row>
    <row r="5" spans="1:37" s="31" customFormat="1" ht="15" customHeight="1">
      <c r="A5" s="1873" t="s">
        <v>0</v>
      </c>
      <c r="B5" s="1873" t="s">
        <v>1</v>
      </c>
      <c r="C5" s="1834" t="s">
        <v>771</v>
      </c>
      <c r="D5" s="1835"/>
      <c r="E5" s="1835"/>
      <c r="F5" s="1835"/>
      <c r="G5" s="1836"/>
      <c r="H5" s="1834" t="s">
        <v>1705</v>
      </c>
      <c r="I5" s="1835"/>
      <c r="J5" s="1835"/>
      <c r="K5" s="1835"/>
      <c r="L5" s="1836"/>
      <c r="M5" s="1834" t="s">
        <v>1856</v>
      </c>
      <c r="N5" s="1835"/>
      <c r="O5" s="1835"/>
      <c r="P5" s="1835"/>
      <c r="Q5" s="1836"/>
      <c r="R5" s="1834" t="s">
        <v>1834</v>
      </c>
      <c r="S5" s="1835"/>
      <c r="T5" s="1835"/>
      <c r="U5" s="1835"/>
      <c r="V5" s="1836"/>
      <c r="W5" s="1834" t="s">
        <v>1688</v>
      </c>
      <c r="X5" s="1835"/>
      <c r="Y5" s="1835"/>
      <c r="Z5" s="1835"/>
      <c r="AA5" s="1836"/>
      <c r="AB5" s="1834" t="s">
        <v>1830</v>
      </c>
      <c r="AC5" s="1835"/>
      <c r="AD5" s="1835"/>
      <c r="AE5" s="1835"/>
      <c r="AF5" s="1836"/>
      <c r="AG5" s="1834" t="s">
        <v>1831</v>
      </c>
      <c r="AH5" s="1835"/>
      <c r="AI5" s="1835"/>
      <c r="AJ5" s="1835"/>
      <c r="AK5" s="1836"/>
    </row>
    <row r="6" spans="1:37" s="31" customFormat="1" ht="153" customHeight="1">
      <c r="A6" s="1873"/>
      <c r="B6" s="1873"/>
      <c r="C6" s="865" t="s">
        <v>588</v>
      </c>
      <c r="D6" s="865" t="s">
        <v>653</v>
      </c>
      <c r="E6" s="865" t="s">
        <v>593</v>
      </c>
      <c r="F6" s="865" t="s">
        <v>594</v>
      </c>
      <c r="G6" s="865" t="s">
        <v>595</v>
      </c>
      <c r="H6" s="865" t="s">
        <v>588</v>
      </c>
      <c r="I6" s="865" t="s">
        <v>653</v>
      </c>
      <c r="J6" s="865" t="s">
        <v>593</v>
      </c>
      <c r="K6" s="865" t="s">
        <v>594</v>
      </c>
      <c r="L6" s="865" t="s">
        <v>595</v>
      </c>
      <c r="M6" s="1288" t="s">
        <v>588</v>
      </c>
      <c r="N6" s="1288" t="s">
        <v>653</v>
      </c>
      <c r="O6" s="1288" t="s">
        <v>593</v>
      </c>
      <c r="P6" s="1288" t="s">
        <v>594</v>
      </c>
      <c r="Q6" s="1288" t="s">
        <v>595</v>
      </c>
      <c r="R6" s="1584" t="s">
        <v>588</v>
      </c>
      <c r="S6" s="1584" t="s">
        <v>653</v>
      </c>
      <c r="T6" s="1584" t="s">
        <v>593</v>
      </c>
      <c r="U6" s="1584" t="s">
        <v>594</v>
      </c>
      <c r="V6" s="1584" t="s">
        <v>595</v>
      </c>
      <c r="W6" s="865" t="s">
        <v>588</v>
      </c>
      <c r="X6" s="865" t="s">
        <v>653</v>
      </c>
      <c r="Y6" s="865" t="s">
        <v>593</v>
      </c>
      <c r="Z6" s="865" t="s">
        <v>594</v>
      </c>
      <c r="AA6" s="865" t="s">
        <v>595</v>
      </c>
      <c r="AB6" s="865" t="s">
        <v>588</v>
      </c>
      <c r="AC6" s="865" t="s">
        <v>653</v>
      </c>
      <c r="AD6" s="865" t="s">
        <v>593</v>
      </c>
      <c r="AE6" s="865" t="s">
        <v>594</v>
      </c>
      <c r="AF6" s="865" t="s">
        <v>595</v>
      </c>
      <c r="AG6" s="865" t="s">
        <v>588</v>
      </c>
      <c r="AH6" s="865" t="s">
        <v>653</v>
      </c>
      <c r="AI6" s="865" t="s">
        <v>593</v>
      </c>
      <c r="AJ6" s="865" t="s">
        <v>594</v>
      </c>
      <c r="AK6" s="865" t="s">
        <v>595</v>
      </c>
    </row>
    <row r="7" spans="1:37" s="48" customFormat="1" ht="14.25" customHeight="1">
      <c r="A7" s="13">
        <v>1</v>
      </c>
      <c r="B7" s="13">
        <v>2</v>
      </c>
      <c r="C7" s="33">
        <v>3</v>
      </c>
      <c r="D7" s="33">
        <v>4</v>
      </c>
      <c r="E7" s="33">
        <v>5</v>
      </c>
      <c r="F7" s="33">
        <v>6</v>
      </c>
      <c r="G7" s="33">
        <v>7</v>
      </c>
      <c r="H7" s="33">
        <v>8</v>
      </c>
      <c r="I7" s="33">
        <v>9</v>
      </c>
      <c r="J7" s="33">
        <v>10</v>
      </c>
      <c r="K7" s="33">
        <v>11</v>
      </c>
      <c r="L7" s="33">
        <v>12</v>
      </c>
      <c r="M7" s="33">
        <v>13</v>
      </c>
      <c r="N7" s="33">
        <v>14</v>
      </c>
      <c r="O7" s="33">
        <v>15</v>
      </c>
      <c r="P7" s="33">
        <v>16</v>
      </c>
      <c r="Q7" s="33">
        <v>17</v>
      </c>
      <c r="R7" s="33"/>
      <c r="S7" s="33"/>
      <c r="T7" s="33"/>
      <c r="U7" s="33"/>
      <c r="V7" s="33"/>
      <c r="W7" s="33">
        <v>18</v>
      </c>
      <c r="X7" s="33">
        <v>19</v>
      </c>
      <c r="Y7" s="33">
        <v>20</v>
      </c>
      <c r="Z7" s="33">
        <v>21</v>
      </c>
      <c r="AA7" s="33">
        <v>22</v>
      </c>
      <c r="AB7" s="33">
        <v>23</v>
      </c>
      <c r="AC7" s="33">
        <v>24</v>
      </c>
      <c r="AD7" s="33">
        <v>25</v>
      </c>
      <c r="AE7" s="33">
        <v>26</v>
      </c>
      <c r="AF7" s="33">
        <v>27</v>
      </c>
      <c r="AG7" s="33">
        <v>28</v>
      </c>
      <c r="AH7" s="33">
        <v>29</v>
      </c>
      <c r="AI7" s="33">
        <v>30</v>
      </c>
      <c r="AJ7" s="33">
        <v>31</v>
      </c>
      <c r="AK7" s="33">
        <v>32</v>
      </c>
    </row>
    <row r="8" spans="1:37" s="866" customFormat="1" ht="14.25" customHeight="1">
      <c r="A8" s="60" t="s">
        <v>4</v>
      </c>
      <c r="B8" s="61" t="s">
        <v>48</v>
      </c>
      <c r="C8" s="260">
        <f t="shared" ref="C8:D8" si="0">C9</f>
        <v>1317.6889999999999</v>
      </c>
      <c r="D8" s="260">
        <f t="shared" si="0"/>
        <v>465.62599999999992</v>
      </c>
      <c r="E8" s="260"/>
      <c r="F8" s="260"/>
      <c r="G8" s="260"/>
      <c r="H8" s="260">
        <f t="shared" ref="H8:X8" si="1">H9</f>
        <v>1257.6792</v>
      </c>
      <c r="I8" s="260">
        <f t="shared" si="1"/>
        <v>451.67099999999999</v>
      </c>
      <c r="J8" s="260"/>
      <c r="K8" s="260"/>
      <c r="L8" s="260"/>
      <c r="M8" s="260">
        <f t="shared" si="1"/>
        <v>1213.5347615570001</v>
      </c>
      <c r="N8" s="260">
        <f t="shared" si="1"/>
        <v>451.67099999999999</v>
      </c>
      <c r="O8" s="260"/>
      <c r="P8" s="260"/>
      <c r="Q8" s="260"/>
      <c r="R8" s="260">
        <f t="shared" si="1"/>
        <v>1261.1354999999999</v>
      </c>
      <c r="S8" s="260">
        <f t="shared" si="1"/>
        <v>451.67099999999999</v>
      </c>
      <c r="T8" s="260"/>
      <c r="U8" s="260"/>
      <c r="V8" s="260"/>
      <c r="W8" s="260">
        <f t="shared" si="1"/>
        <v>1249.7249999999999</v>
      </c>
      <c r="X8" s="260">
        <f t="shared" si="1"/>
        <v>451.67099999999999</v>
      </c>
      <c r="Y8" s="260"/>
      <c r="Z8" s="260"/>
      <c r="AA8" s="260"/>
      <c r="AB8" s="260">
        <f t="shared" ref="AB8:AC8" si="2">AB9</f>
        <v>760.1579999999999</v>
      </c>
      <c r="AC8" s="260">
        <f t="shared" si="2"/>
        <v>451.67099999999999</v>
      </c>
      <c r="AD8" s="260"/>
      <c r="AE8" s="260"/>
      <c r="AF8" s="260"/>
      <c r="AG8" s="260">
        <f t="shared" ref="AG8:AH8" si="3">AG9</f>
        <v>489.56699999999995</v>
      </c>
      <c r="AH8" s="260">
        <f t="shared" si="3"/>
        <v>451.67099999999999</v>
      </c>
      <c r="AI8" s="260"/>
      <c r="AJ8" s="260"/>
      <c r="AK8" s="260"/>
    </row>
    <row r="9" spans="1:37" s="866" customFormat="1" ht="14.25" customHeight="1">
      <c r="A9" s="60" t="s">
        <v>5</v>
      </c>
      <c r="B9" s="70" t="s">
        <v>596</v>
      </c>
      <c r="C9" s="260">
        <f>'6.2_передача (свод)'!D10</f>
        <v>1317.6889999999999</v>
      </c>
      <c r="D9" s="260">
        <f>'6.2_передача (свод)'!D12</f>
        <v>465.62599999999992</v>
      </c>
      <c r="E9" s="67"/>
      <c r="F9" s="67"/>
      <c r="G9" s="67"/>
      <c r="H9" s="260">
        <f>'6.2_передача (свод)'!E10</f>
        <v>1257.6792</v>
      </c>
      <c r="I9" s="260">
        <f>'6.2_передача (свод)'!E12</f>
        <v>451.67099999999999</v>
      </c>
      <c r="J9" s="67"/>
      <c r="K9" s="67"/>
      <c r="L9" s="260"/>
      <c r="M9" s="260">
        <f>'6.2_передача (свод)'!F10</f>
        <v>1213.5347615570001</v>
      </c>
      <c r="N9" s="260">
        <f>'6.2_передача (свод)'!F12</f>
        <v>451.67099999999999</v>
      </c>
      <c r="O9" s="67"/>
      <c r="P9" s="67"/>
      <c r="Q9" s="260"/>
      <c r="R9" s="260">
        <f>'6.2_передача (свод)'!G10</f>
        <v>1261.1354999999999</v>
      </c>
      <c r="S9" s="260">
        <f>'6.2_передача (свод)'!G12</f>
        <v>451.67099999999999</v>
      </c>
      <c r="T9" s="67"/>
      <c r="U9" s="67"/>
      <c r="V9" s="260"/>
      <c r="W9" s="260">
        <f>'6.2_передача (свод)'!H10</f>
        <v>1249.7249999999999</v>
      </c>
      <c r="X9" s="260">
        <f>'6.2_передача (свод)'!H12</f>
        <v>451.67099999999999</v>
      </c>
      <c r="Y9" s="67"/>
      <c r="Z9" s="67"/>
      <c r="AA9" s="67"/>
      <c r="AB9" s="260">
        <f>'6.2_передача (свод)'!I10</f>
        <v>760.1579999999999</v>
      </c>
      <c r="AC9" s="260">
        <f>'6.2_передача (свод)'!I12</f>
        <v>451.67099999999999</v>
      </c>
      <c r="AD9" s="67"/>
      <c r="AE9" s="67"/>
      <c r="AF9" s="67"/>
      <c r="AG9" s="260">
        <f>'6.2_передача (свод)'!J10</f>
        <v>489.56699999999995</v>
      </c>
      <c r="AH9" s="260">
        <f>'6.2_передача (свод)'!J12</f>
        <v>451.67099999999999</v>
      </c>
      <c r="AI9" s="67"/>
      <c r="AJ9" s="67"/>
      <c r="AK9" s="67"/>
    </row>
    <row r="10" spans="1:37" s="866" customFormat="1" ht="18">
      <c r="A10" s="60" t="s">
        <v>11</v>
      </c>
      <c r="B10" s="70" t="s">
        <v>597</v>
      </c>
      <c r="C10" s="260"/>
      <c r="D10" s="260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  <c r="AD10" s="67"/>
      <c r="AE10" s="67"/>
      <c r="AF10" s="67"/>
      <c r="AG10" s="67"/>
      <c r="AH10" s="67"/>
      <c r="AI10" s="67"/>
      <c r="AJ10" s="67"/>
      <c r="AK10" s="67"/>
    </row>
    <row r="11" spans="1:37" s="866" customFormat="1" ht="18">
      <c r="A11" s="60" t="s">
        <v>445</v>
      </c>
      <c r="B11" s="70" t="s">
        <v>598</v>
      </c>
      <c r="C11" s="260"/>
      <c r="D11" s="260"/>
      <c r="E11" s="67"/>
      <c r="F11" s="67"/>
      <c r="G11" s="67"/>
      <c r="H11" s="260"/>
      <c r="I11" s="260"/>
      <c r="J11" s="67"/>
      <c r="K11" s="67"/>
      <c r="L11" s="67"/>
      <c r="M11" s="260"/>
      <c r="N11" s="260"/>
      <c r="O11" s="67"/>
      <c r="P11" s="67"/>
      <c r="Q11" s="67"/>
      <c r="R11" s="260"/>
      <c r="S11" s="260"/>
      <c r="T11" s="67"/>
      <c r="U11" s="67"/>
      <c r="V11" s="67"/>
      <c r="W11" s="260"/>
      <c r="X11" s="260"/>
      <c r="Y11" s="67"/>
      <c r="Z11" s="67"/>
      <c r="AA11" s="67"/>
      <c r="AB11" s="260"/>
      <c r="AC11" s="260"/>
      <c r="AD11" s="67"/>
      <c r="AE11" s="67"/>
      <c r="AF11" s="67"/>
      <c r="AG11" s="260"/>
      <c r="AH11" s="260"/>
      <c r="AI11" s="67"/>
      <c r="AJ11" s="67"/>
      <c r="AK11" s="67"/>
    </row>
    <row r="12" spans="1:37" s="866" customFormat="1" ht="18">
      <c r="A12" s="60" t="s">
        <v>446</v>
      </c>
      <c r="B12" s="70" t="s">
        <v>599</v>
      </c>
      <c r="C12" s="67"/>
      <c r="D12" s="67"/>
      <c r="E12" s="67"/>
      <c r="F12" s="67"/>
      <c r="G12" s="67"/>
      <c r="H12" s="67"/>
      <c r="I12" s="67"/>
      <c r="J12" s="67"/>
      <c r="K12" s="67"/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  <c r="AD12" s="67"/>
      <c r="AE12" s="67"/>
      <c r="AF12" s="67"/>
      <c r="AG12" s="67"/>
      <c r="AH12" s="67"/>
      <c r="AI12" s="67"/>
      <c r="AJ12" s="67"/>
      <c r="AK12" s="67"/>
    </row>
    <row r="13" spans="1:37" s="866" customFormat="1" ht="18">
      <c r="A13" s="60" t="s">
        <v>461</v>
      </c>
      <c r="B13" s="70" t="s">
        <v>600</v>
      </c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</row>
    <row r="14" spans="1:37" s="866" customFormat="1" ht="14.25" customHeight="1">
      <c r="A14" s="60" t="s">
        <v>514</v>
      </c>
      <c r="B14" s="70" t="s">
        <v>601</v>
      </c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</row>
    <row r="15" spans="1:37" s="866" customFormat="1" ht="14.25" customHeight="1">
      <c r="A15" s="60"/>
      <c r="B15" s="70" t="s">
        <v>26</v>
      </c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</row>
    <row r="16" spans="1:37" s="866" customFormat="1" ht="14.25" customHeight="1">
      <c r="A16" s="60" t="s">
        <v>434</v>
      </c>
      <c r="B16" s="70" t="s">
        <v>602</v>
      </c>
      <c r="C16" s="67"/>
      <c r="D16" s="67"/>
      <c r="E16" s="67"/>
      <c r="F16" s="67"/>
      <c r="G16" s="67"/>
      <c r="H16" s="67"/>
      <c r="I16" s="67"/>
      <c r="J16" s="67"/>
      <c r="K16" s="67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  <c r="AD16" s="67"/>
      <c r="AE16" s="67"/>
      <c r="AF16" s="67"/>
      <c r="AG16" s="67"/>
      <c r="AH16" s="67"/>
      <c r="AI16" s="67"/>
      <c r="AJ16" s="67"/>
      <c r="AK16" s="67"/>
    </row>
    <row r="17" spans="1:37" s="866" customFormat="1" ht="14.25" customHeight="1">
      <c r="A17" s="60"/>
      <c r="B17" s="70" t="s">
        <v>26</v>
      </c>
      <c r="C17" s="67"/>
      <c r="D17" s="67"/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</row>
    <row r="18" spans="1:37" s="294" customFormat="1" ht="45">
      <c r="A18" s="829" t="s">
        <v>603</v>
      </c>
      <c r="B18" s="833" t="s">
        <v>654</v>
      </c>
      <c r="C18" s="874"/>
      <c r="D18" s="874"/>
      <c r="E18" s="306">
        <f t="shared" ref="E18:G18" si="4">E19</f>
        <v>2069.7647908007643</v>
      </c>
      <c r="F18" s="306">
        <f t="shared" si="4"/>
        <v>1116.051227013148</v>
      </c>
      <c r="G18" s="306">
        <f t="shared" si="4"/>
        <v>290.58964790375398</v>
      </c>
      <c r="H18" s="874"/>
      <c r="I18" s="874"/>
      <c r="J18" s="306">
        <f t="shared" ref="J18:L18" si="5">J19</f>
        <v>2347.1330962526285</v>
      </c>
      <c r="K18" s="306">
        <f t="shared" si="5"/>
        <v>1153.1553645625811</v>
      </c>
      <c r="L18" s="306">
        <f t="shared" si="5"/>
        <v>357.95265231570693</v>
      </c>
      <c r="M18" s="874"/>
      <c r="N18" s="874"/>
      <c r="O18" s="306">
        <f t="shared" ref="O18:Q18" si="6">O19</f>
        <v>2426.3444994306087</v>
      </c>
      <c r="P18" s="306">
        <f t="shared" si="6"/>
        <v>1153.394835959941</v>
      </c>
      <c r="Q18" s="306">
        <f t="shared" si="6"/>
        <v>363.88000151362326</v>
      </c>
      <c r="R18" s="874"/>
      <c r="S18" s="874"/>
      <c r="T18" s="306">
        <f t="shared" ref="T18:V18" si="7">T19</f>
        <v>2499.471983592281</v>
      </c>
      <c r="U18" s="306">
        <f t="shared" si="7"/>
        <v>1318.3303501682358</v>
      </c>
      <c r="V18" s="306">
        <f t="shared" si="7"/>
        <v>345.89402644326486</v>
      </c>
      <c r="W18" s="306"/>
      <c r="X18" s="306"/>
      <c r="Y18" s="306">
        <f t="shared" ref="Y18:AA18" si="8">Y19</f>
        <v>3456.6460965913579</v>
      </c>
      <c r="Z18" s="306">
        <f t="shared" si="8"/>
        <v>1370.6686844989706</v>
      </c>
      <c r="AA18" s="306">
        <f t="shared" si="8"/>
        <v>605.49987630217049</v>
      </c>
      <c r="AB18" s="874"/>
      <c r="AC18" s="874"/>
      <c r="AD18" s="306">
        <f t="shared" ref="AD18:AF18" si="9">AD19</f>
        <v>2549.1162488395926</v>
      </c>
      <c r="AE18" s="306">
        <f t="shared" si="9"/>
        <v>1343.79769163674</v>
      </c>
      <c r="AF18" s="306">
        <f t="shared" si="9"/>
        <v>424.90967539210607</v>
      </c>
      <c r="AG18" s="874"/>
      <c r="AH18" s="874"/>
      <c r="AI18" s="306">
        <f t="shared" ref="AI18:AK18" si="10">AI19</f>
        <v>4859.7726311699116</v>
      </c>
      <c r="AJ18" s="306">
        <f t="shared" si="10"/>
        <v>1412.213488377673</v>
      </c>
      <c r="AK18" s="306">
        <f t="shared" si="10"/>
        <v>786.0922287694525</v>
      </c>
    </row>
    <row r="19" spans="1:37" s="866" customFormat="1" ht="14.25" customHeight="1">
      <c r="A19" s="60"/>
      <c r="B19" s="70" t="s">
        <v>596</v>
      </c>
      <c r="C19" s="67"/>
      <c r="D19" s="67"/>
      <c r="E19" s="251">
        <f>'6.1_генерация (свод)'!I38</f>
        <v>2069.7647908007643</v>
      </c>
      <c r="F19" s="251">
        <f>'6.1_генерация (свод)'!J38</f>
        <v>1116.051227013148</v>
      </c>
      <c r="G19" s="251">
        <f>'6.1_генерация (свод)'!K38</f>
        <v>290.58964790375398</v>
      </c>
      <c r="H19" s="67"/>
      <c r="I19" s="67"/>
      <c r="J19" s="251">
        <f>'6.1_генерация (свод)'!I56</f>
        <v>2347.1330962526285</v>
      </c>
      <c r="K19" s="251">
        <f>'6.1_генерация (свод)'!J56</f>
        <v>1153.1553645625811</v>
      </c>
      <c r="L19" s="251">
        <f>'6.1_генерация (свод)'!K56</f>
        <v>357.95265231570693</v>
      </c>
      <c r="M19" s="67"/>
      <c r="N19" s="67"/>
      <c r="O19" s="251">
        <f>'6.1_генерация (свод)'!I93</f>
        <v>2426.3444994306087</v>
      </c>
      <c r="P19" s="251">
        <f>'6.1_генерация (свод)'!J93</f>
        <v>1153.394835959941</v>
      </c>
      <c r="Q19" s="251">
        <f>'6.1_генерация (свод)'!K93</f>
        <v>363.88000151362326</v>
      </c>
      <c r="R19" s="67"/>
      <c r="S19" s="67"/>
      <c r="T19" s="251">
        <f>'6.1_генерация (свод)'!I112</f>
        <v>2499.471983592281</v>
      </c>
      <c r="U19" s="251">
        <f>'6.1_генерация (свод)'!J112</f>
        <v>1318.3303501682358</v>
      </c>
      <c r="V19" s="251">
        <f>'6.1_генерация (свод)'!K112</f>
        <v>345.89402644326486</v>
      </c>
      <c r="W19" s="260"/>
      <c r="X19" s="260"/>
      <c r="Y19" s="251">
        <f>'6.1_генерация (свод)'!I149</f>
        <v>3456.6460965913579</v>
      </c>
      <c r="Z19" s="251">
        <f>'6.1_генерация (свод)'!J149</f>
        <v>1370.6686844989706</v>
      </c>
      <c r="AA19" s="251">
        <f>'6.1_генерация (свод)'!K149</f>
        <v>605.49987630217049</v>
      </c>
      <c r="AB19" s="67"/>
      <c r="AC19" s="67"/>
      <c r="AD19" s="251">
        <f>'6.1_генерация (свод)'!I170</f>
        <v>2549.1162488395926</v>
      </c>
      <c r="AE19" s="251">
        <f>'6.1_генерация (свод)'!J170</f>
        <v>1343.79769163674</v>
      </c>
      <c r="AF19" s="251">
        <f>'6.1_генерация (свод)'!K170</f>
        <v>424.90967539210607</v>
      </c>
      <c r="AG19" s="67"/>
      <c r="AH19" s="67"/>
      <c r="AI19" s="251">
        <f>'6.1_генерация (свод)'!I191</f>
        <v>4859.7726311699116</v>
      </c>
      <c r="AJ19" s="251">
        <f>'6.1_генерация (свод)'!J191</f>
        <v>1412.213488377673</v>
      </c>
      <c r="AK19" s="251">
        <f>'6.1_генерация (свод)'!K191</f>
        <v>786.0922287694525</v>
      </c>
    </row>
    <row r="20" spans="1:37" s="866" customFormat="1" ht="18">
      <c r="A20" s="60"/>
      <c r="B20" s="70" t="s">
        <v>597</v>
      </c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</row>
    <row r="21" spans="1:37" s="866" customFormat="1" ht="18">
      <c r="A21" s="60"/>
      <c r="B21" s="70" t="s">
        <v>598</v>
      </c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7"/>
      <c r="AJ21" s="67"/>
      <c r="AK21" s="67"/>
    </row>
    <row r="22" spans="1:37" s="866" customFormat="1" ht="18">
      <c r="A22" s="60"/>
      <c r="B22" s="70" t="s">
        <v>599</v>
      </c>
      <c r="C22" s="67"/>
      <c r="D22" s="67"/>
      <c r="E22" s="67"/>
      <c r="F22" s="67"/>
      <c r="G22" s="67"/>
      <c r="H22" s="67"/>
      <c r="I22" s="67"/>
      <c r="J22" s="67"/>
      <c r="K22" s="67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7"/>
      <c r="AJ22" s="67"/>
      <c r="AK22" s="67"/>
    </row>
    <row r="23" spans="1:37" s="866" customFormat="1" ht="18">
      <c r="A23" s="60"/>
      <c r="B23" s="70" t="s">
        <v>600</v>
      </c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</row>
    <row r="24" spans="1:37" s="866" customFormat="1" ht="14.25" customHeight="1">
      <c r="A24" s="60"/>
      <c r="B24" s="70" t="s">
        <v>601</v>
      </c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</row>
    <row r="25" spans="1:37" s="866" customFormat="1" ht="60">
      <c r="A25" s="60" t="s">
        <v>655</v>
      </c>
      <c r="B25" s="70" t="s">
        <v>656</v>
      </c>
      <c r="C25" s="67"/>
      <c r="D25" s="67"/>
      <c r="E25" s="260">
        <f>E18</f>
        <v>2069.7647908007643</v>
      </c>
      <c r="F25" s="260">
        <f t="shared" ref="F25:G26" si="11">F18</f>
        <v>1116.051227013148</v>
      </c>
      <c r="G25" s="260">
        <f t="shared" si="11"/>
        <v>290.58964790375398</v>
      </c>
      <c r="H25" s="260"/>
      <c r="I25" s="260"/>
      <c r="J25" s="260">
        <f t="shared" ref="J25:L26" si="12">J18</f>
        <v>2347.1330962526285</v>
      </c>
      <c r="K25" s="260">
        <f t="shared" si="12"/>
        <v>1153.1553645625811</v>
      </c>
      <c r="L25" s="260">
        <f t="shared" si="12"/>
        <v>357.95265231570693</v>
      </c>
      <c r="M25" s="260"/>
      <c r="N25" s="260"/>
      <c r="O25" s="260">
        <f t="shared" ref="O25:Q25" si="13">O18</f>
        <v>2426.3444994306087</v>
      </c>
      <c r="P25" s="260">
        <f t="shared" si="13"/>
        <v>1153.394835959941</v>
      </c>
      <c r="Q25" s="260">
        <f t="shared" si="13"/>
        <v>363.88000151362326</v>
      </c>
      <c r="R25" s="260"/>
      <c r="S25" s="260"/>
      <c r="T25" s="260">
        <f t="shared" ref="T25:V25" si="14">T18</f>
        <v>2499.471983592281</v>
      </c>
      <c r="U25" s="260">
        <f t="shared" si="14"/>
        <v>1318.3303501682358</v>
      </c>
      <c r="V25" s="260">
        <f t="shared" si="14"/>
        <v>345.89402644326486</v>
      </c>
      <c r="W25" s="260"/>
      <c r="X25" s="260"/>
      <c r="Y25" s="260">
        <f t="shared" ref="Y25:AA26" si="15">Y18</f>
        <v>3456.6460965913579</v>
      </c>
      <c r="Z25" s="260">
        <f t="shared" si="15"/>
        <v>1370.6686844989706</v>
      </c>
      <c r="AA25" s="260">
        <f t="shared" si="15"/>
        <v>605.49987630217049</v>
      </c>
      <c r="AB25" s="260"/>
      <c r="AC25" s="260"/>
      <c r="AD25" s="260">
        <f t="shared" ref="AD25:AF26" si="16">AD18</f>
        <v>2549.1162488395926</v>
      </c>
      <c r="AE25" s="260">
        <f t="shared" si="16"/>
        <v>1343.79769163674</v>
      </c>
      <c r="AF25" s="260">
        <f t="shared" si="16"/>
        <v>424.90967539210607</v>
      </c>
      <c r="AG25" s="260"/>
      <c r="AH25" s="260"/>
      <c r="AI25" s="260">
        <f t="shared" ref="AI25:AK26" si="17">AI18</f>
        <v>4859.7726311699116</v>
      </c>
      <c r="AJ25" s="260">
        <f t="shared" si="17"/>
        <v>1412.213488377673</v>
      </c>
      <c r="AK25" s="260">
        <f t="shared" si="17"/>
        <v>786.0922287694525</v>
      </c>
    </row>
    <row r="26" spans="1:37" s="866" customFormat="1" ht="14.25" customHeight="1">
      <c r="A26" s="60"/>
      <c r="B26" s="70" t="s">
        <v>596</v>
      </c>
      <c r="C26" s="67"/>
      <c r="D26" s="67"/>
      <c r="E26" s="260">
        <f>E19</f>
        <v>2069.7647908007643</v>
      </c>
      <c r="F26" s="260">
        <f t="shared" si="11"/>
        <v>1116.051227013148</v>
      </c>
      <c r="G26" s="260">
        <f t="shared" si="11"/>
        <v>290.58964790375398</v>
      </c>
      <c r="H26" s="260"/>
      <c r="I26" s="260"/>
      <c r="J26" s="260">
        <f t="shared" si="12"/>
        <v>2347.1330962526285</v>
      </c>
      <c r="K26" s="260">
        <f t="shared" si="12"/>
        <v>1153.1553645625811</v>
      </c>
      <c r="L26" s="260">
        <f t="shared" si="12"/>
        <v>357.95265231570693</v>
      </c>
      <c r="M26" s="260"/>
      <c r="N26" s="260"/>
      <c r="O26" s="260">
        <f t="shared" ref="O26:Q26" si="18">O19</f>
        <v>2426.3444994306087</v>
      </c>
      <c r="P26" s="260">
        <f t="shared" si="18"/>
        <v>1153.394835959941</v>
      </c>
      <c r="Q26" s="260">
        <f t="shared" si="18"/>
        <v>363.88000151362326</v>
      </c>
      <c r="R26" s="260"/>
      <c r="S26" s="260"/>
      <c r="T26" s="260">
        <f t="shared" ref="T26:V26" si="19">T19</f>
        <v>2499.471983592281</v>
      </c>
      <c r="U26" s="260">
        <f t="shared" si="19"/>
        <v>1318.3303501682358</v>
      </c>
      <c r="V26" s="260">
        <f t="shared" si="19"/>
        <v>345.89402644326486</v>
      </c>
      <c r="W26" s="260"/>
      <c r="X26" s="260"/>
      <c r="Y26" s="260">
        <f t="shared" si="15"/>
        <v>3456.6460965913579</v>
      </c>
      <c r="Z26" s="260">
        <f t="shared" si="15"/>
        <v>1370.6686844989706</v>
      </c>
      <c r="AA26" s="260">
        <f t="shared" si="15"/>
        <v>605.49987630217049</v>
      </c>
      <c r="AB26" s="260"/>
      <c r="AC26" s="260"/>
      <c r="AD26" s="260">
        <f t="shared" si="16"/>
        <v>2549.1162488395926</v>
      </c>
      <c r="AE26" s="260">
        <f t="shared" si="16"/>
        <v>1343.79769163674</v>
      </c>
      <c r="AF26" s="260">
        <f t="shared" si="16"/>
        <v>424.90967539210607</v>
      </c>
      <c r="AG26" s="260"/>
      <c r="AH26" s="260"/>
      <c r="AI26" s="260">
        <f t="shared" si="17"/>
        <v>4859.7726311699116</v>
      </c>
      <c r="AJ26" s="260">
        <f t="shared" si="17"/>
        <v>1412.213488377673</v>
      </c>
      <c r="AK26" s="260">
        <f t="shared" si="17"/>
        <v>786.0922287694525</v>
      </c>
    </row>
    <row r="27" spans="1:37" s="866" customFormat="1" ht="14.25" customHeight="1">
      <c r="A27" s="60"/>
      <c r="B27" s="70" t="s">
        <v>657</v>
      </c>
      <c r="C27" s="67"/>
      <c r="D27" s="67"/>
      <c r="E27" s="254"/>
      <c r="F27" s="254"/>
      <c r="G27" s="254"/>
      <c r="H27" s="67"/>
      <c r="I27" s="67"/>
      <c r="J27" s="254"/>
      <c r="K27" s="254"/>
      <c r="L27" s="254"/>
      <c r="M27" s="67"/>
      <c r="N27" s="67"/>
      <c r="O27" s="254"/>
      <c r="P27" s="254"/>
      <c r="Q27" s="254"/>
      <c r="R27" s="254"/>
      <c r="S27" s="254"/>
      <c r="T27" s="254"/>
      <c r="U27" s="254"/>
      <c r="V27" s="254"/>
      <c r="W27" s="67"/>
      <c r="X27" s="67"/>
      <c r="Y27" s="254"/>
      <c r="Z27" s="254"/>
      <c r="AA27" s="254"/>
      <c r="AB27" s="67"/>
      <c r="AC27" s="67"/>
      <c r="AD27" s="254"/>
      <c r="AE27" s="254"/>
      <c r="AF27" s="254"/>
      <c r="AG27" s="67"/>
      <c r="AH27" s="67"/>
      <c r="AI27" s="254"/>
      <c r="AJ27" s="254"/>
      <c r="AK27" s="254"/>
    </row>
    <row r="28" spans="1:37" s="866" customFormat="1" ht="14.25" customHeight="1">
      <c r="A28" s="60" t="s">
        <v>658</v>
      </c>
      <c r="B28" s="70" t="s">
        <v>26</v>
      </c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7"/>
      <c r="AJ28" s="67"/>
      <c r="AK28" s="67"/>
    </row>
    <row r="29" spans="1:37" ht="12.75" customHeight="1"/>
    <row r="30" spans="1:37" ht="15">
      <c r="A30" s="26" t="s">
        <v>88</v>
      </c>
    </row>
    <row r="31" spans="1:37" s="866" customFormat="1" ht="19.5" customHeight="1">
      <c r="A31" s="45" t="s">
        <v>89</v>
      </c>
      <c r="B31" s="1997" t="s">
        <v>605</v>
      </c>
      <c r="C31" s="1970"/>
      <c r="D31" s="1970"/>
      <c r="E31" s="1970"/>
      <c r="F31" s="1970"/>
      <c r="G31" s="1970"/>
      <c r="H31" s="1970"/>
      <c r="I31" s="1970"/>
      <c r="J31" s="1970"/>
      <c r="K31" s="1970"/>
      <c r="L31" s="1970"/>
      <c r="M31" s="1293"/>
      <c r="N31" s="1293"/>
      <c r="O31" s="1293"/>
      <c r="P31" s="1293"/>
      <c r="Q31" s="1293"/>
      <c r="R31" s="1589"/>
      <c r="S31" s="1589"/>
      <c r="T31" s="1589"/>
      <c r="U31" s="1589"/>
      <c r="V31" s="1589"/>
      <c r="W31" s="867"/>
      <c r="X31" s="867"/>
      <c r="Y31" s="867"/>
      <c r="Z31" s="867"/>
      <c r="AA31" s="867"/>
      <c r="AB31" s="867"/>
      <c r="AC31" s="867"/>
      <c r="AD31" s="867"/>
      <c r="AE31" s="867"/>
      <c r="AF31" s="867"/>
      <c r="AG31" s="867"/>
      <c r="AH31" s="867"/>
      <c r="AI31" s="867"/>
      <c r="AJ31" s="867"/>
      <c r="AK31" s="867"/>
    </row>
    <row r="32" spans="1:37" s="866" customFormat="1" ht="45.75" customHeight="1">
      <c r="A32" s="45" t="s">
        <v>91</v>
      </c>
      <c r="B32" s="1842" t="s">
        <v>659</v>
      </c>
      <c r="C32" s="1842"/>
      <c r="D32" s="1842"/>
      <c r="E32" s="1842"/>
      <c r="F32" s="1842"/>
      <c r="G32" s="1842"/>
      <c r="H32" s="1842"/>
      <c r="I32" s="1842"/>
      <c r="J32" s="1842"/>
      <c r="K32" s="1842"/>
      <c r="L32" s="1842"/>
      <c r="M32" s="1289"/>
      <c r="N32" s="1289"/>
      <c r="O32" s="1289"/>
      <c r="P32" s="1289"/>
      <c r="Q32" s="1289"/>
      <c r="R32" s="1585"/>
      <c r="S32" s="1585"/>
      <c r="T32" s="1585"/>
      <c r="U32" s="1585"/>
      <c r="V32" s="1585"/>
      <c r="W32" s="864"/>
      <c r="X32" s="864"/>
      <c r="Y32" s="864"/>
      <c r="Z32" s="864"/>
      <c r="AA32" s="864"/>
    </row>
    <row r="33" spans="1:27" s="866" customFormat="1" ht="15">
      <c r="A33" s="45" t="s">
        <v>93</v>
      </c>
      <c r="B33" s="1842" t="s">
        <v>660</v>
      </c>
      <c r="C33" s="1842"/>
      <c r="D33" s="1842"/>
      <c r="E33" s="1842"/>
      <c r="F33" s="1842"/>
      <c r="G33" s="1842"/>
      <c r="H33" s="1842"/>
      <c r="I33" s="1842"/>
      <c r="J33" s="1842"/>
      <c r="K33" s="1842"/>
      <c r="L33" s="1842"/>
      <c r="M33" s="1289"/>
      <c r="N33" s="1289"/>
      <c r="O33" s="1289"/>
      <c r="P33" s="1289"/>
      <c r="Q33" s="1289"/>
      <c r="R33" s="1585"/>
      <c r="S33" s="1585"/>
      <c r="T33" s="1585"/>
      <c r="U33" s="1585"/>
      <c r="V33" s="1585"/>
      <c r="W33" s="864"/>
      <c r="X33" s="864"/>
      <c r="Y33" s="864"/>
      <c r="Z33" s="864"/>
      <c r="AA33" s="864"/>
    </row>
    <row r="34" spans="1:27" s="866" customFormat="1" ht="27" customHeight="1">
      <c r="A34" s="45" t="s">
        <v>95</v>
      </c>
      <c r="B34" s="1842" t="s">
        <v>661</v>
      </c>
      <c r="C34" s="1842"/>
      <c r="D34" s="1842"/>
      <c r="E34" s="1842"/>
      <c r="F34" s="1842"/>
      <c r="G34" s="1842"/>
      <c r="H34" s="1842"/>
      <c r="I34" s="1842"/>
      <c r="J34" s="1842"/>
      <c r="K34" s="1842"/>
      <c r="L34" s="1842"/>
      <c r="M34" s="1289"/>
      <c r="N34" s="1289"/>
      <c r="O34" s="1289"/>
      <c r="P34" s="1289"/>
      <c r="Q34" s="1289"/>
      <c r="R34" s="1585"/>
      <c r="S34" s="1585"/>
      <c r="T34" s="1585"/>
      <c r="U34" s="1585"/>
      <c r="V34" s="1585"/>
      <c r="W34" s="864"/>
      <c r="X34" s="864"/>
      <c r="Y34" s="864"/>
      <c r="Z34" s="864"/>
      <c r="AA34" s="864"/>
    </row>
    <row r="35" spans="1:27" ht="15">
      <c r="A35" s="98" t="s">
        <v>97</v>
      </c>
      <c r="B35" s="26" t="s">
        <v>662</v>
      </c>
    </row>
    <row r="36" spans="1:27" ht="15">
      <c r="A36" s="98" t="s">
        <v>582</v>
      </c>
      <c r="B36" s="26" t="s">
        <v>663</v>
      </c>
    </row>
    <row r="37" spans="1:27" ht="15">
      <c r="B37" s="26" t="s">
        <v>664</v>
      </c>
    </row>
    <row r="38" spans="1:27" ht="15">
      <c r="B38" s="26" t="s">
        <v>665</v>
      </c>
    </row>
    <row r="39" spans="1:27" ht="15">
      <c r="B39" s="26" t="s">
        <v>666</v>
      </c>
    </row>
    <row r="40" spans="1:27" ht="15">
      <c r="B40" s="26" t="s">
        <v>667</v>
      </c>
    </row>
    <row r="41" spans="1:27" ht="15">
      <c r="B41" s="26" t="s">
        <v>668</v>
      </c>
    </row>
    <row r="42" spans="1:27" ht="15">
      <c r="B42" s="26" t="s">
        <v>669</v>
      </c>
    </row>
    <row r="43" spans="1:27" s="866" customFormat="1" ht="67.5" customHeight="1">
      <c r="A43" s="45" t="s">
        <v>615</v>
      </c>
      <c r="B43" s="1842" t="s">
        <v>670</v>
      </c>
      <c r="C43" s="1842"/>
      <c r="D43" s="1842"/>
      <c r="E43" s="1842"/>
      <c r="F43" s="1842"/>
      <c r="G43" s="1842"/>
      <c r="H43" s="1842"/>
      <c r="I43" s="1842"/>
      <c r="J43" s="1842"/>
      <c r="K43" s="1842"/>
      <c r="L43" s="1842"/>
      <c r="M43" s="1289"/>
      <c r="N43" s="1289"/>
      <c r="O43" s="1289"/>
      <c r="P43" s="1289"/>
      <c r="Q43" s="1289"/>
      <c r="R43" s="1585"/>
      <c r="S43" s="1585"/>
      <c r="T43" s="1585"/>
      <c r="U43" s="1585"/>
      <c r="V43" s="1585"/>
      <c r="W43" s="864"/>
      <c r="X43" s="864"/>
      <c r="Y43" s="864"/>
      <c r="Z43" s="864"/>
      <c r="AA43" s="864"/>
    </row>
    <row r="44" spans="1:27" s="866" customFormat="1" ht="12.75" customHeight="1">
      <c r="M44" s="1292"/>
      <c r="N44" s="1292"/>
      <c r="O44" s="1292"/>
      <c r="P44" s="1292"/>
      <c r="Q44" s="1292"/>
      <c r="R44" s="1588"/>
      <c r="S44" s="1588"/>
      <c r="T44" s="1588"/>
      <c r="U44" s="1588"/>
      <c r="V44" s="1588"/>
    </row>
  </sheetData>
  <mergeCells count="16">
    <mergeCell ref="C2:I2"/>
    <mergeCell ref="A3:AK3"/>
    <mergeCell ref="A5:A6"/>
    <mergeCell ref="B5:B6"/>
    <mergeCell ref="C5:G5"/>
    <mergeCell ref="H5:L5"/>
    <mergeCell ref="W5:AA5"/>
    <mergeCell ref="AB5:AF5"/>
    <mergeCell ref="AG5:AK5"/>
    <mergeCell ref="M5:Q5"/>
    <mergeCell ref="R5:V5"/>
    <mergeCell ref="B31:L31"/>
    <mergeCell ref="B32:L32"/>
    <mergeCell ref="B33:L33"/>
    <mergeCell ref="B34:L34"/>
    <mergeCell ref="B43:L43"/>
  </mergeCells>
  <pageMargins left="0.39370078740157483" right="0.31496062992125984" top="0.78740157480314965" bottom="0.39370078740157483" header="0.19685039370078741" footer="0.19685039370078741"/>
  <pageSetup paperSize="9" scale="52" orientation="landscape" r:id="rId1"/>
  <headerFooter alignWithMargins="0"/>
  <colBreaks count="2" manualBreakCount="2">
    <brk id="22" max="27" man="1"/>
    <brk id="32" max="27" man="1"/>
  </colBreaks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</sheetPr>
  <dimension ref="A1:AK44"/>
  <sheetViews>
    <sheetView view="pageBreakPreview" zoomScale="90" zoomScaleNormal="100" zoomScaleSheetLayoutView="90" workbookViewId="0">
      <pane xSplit="2" ySplit="6" topLeftCell="M19" activePane="bottomRight" state="frozen"/>
      <selection activeCell="F148" sqref="F148"/>
      <selection pane="topRight" activeCell="F148" sqref="F148"/>
      <selection pane="bottomLeft" activeCell="F148" sqref="F148"/>
      <selection pane="bottomRight" activeCell="F148" sqref="F148"/>
    </sheetView>
  </sheetViews>
  <sheetFormatPr defaultColWidth="0.85546875" defaultRowHeight="12" customHeight="1"/>
  <cols>
    <col min="1" max="1" width="4.42578125" style="26" customWidth="1"/>
    <col min="2" max="2" width="39" style="26" customWidth="1"/>
    <col min="3" max="3" width="11" style="26" customWidth="1"/>
    <col min="4" max="4" width="11.85546875" style="26" customWidth="1"/>
    <col min="5" max="8" width="11" style="26" customWidth="1"/>
    <col min="9" max="9" width="11.85546875" style="26" customWidth="1"/>
    <col min="10" max="11" width="11" style="26" customWidth="1"/>
    <col min="12" max="12" width="11.5703125" style="26" customWidth="1"/>
    <col min="13" max="13" width="11" style="26" customWidth="1"/>
    <col min="14" max="14" width="12" style="26" customWidth="1"/>
    <col min="15" max="16" width="11" style="26" customWidth="1"/>
    <col min="17" max="22" width="12.140625" style="26" customWidth="1"/>
    <col min="23" max="23" width="11" style="26" customWidth="1"/>
    <col min="24" max="24" width="11.42578125" style="26" customWidth="1"/>
    <col min="25" max="26" width="11" style="26" customWidth="1"/>
    <col min="27" max="27" width="12" style="26" customWidth="1"/>
    <col min="28" max="28" width="11" style="26" customWidth="1"/>
    <col min="29" max="29" width="11.85546875" style="26" customWidth="1"/>
    <col min="30" max="33" width="11" style="26" customWidth="1"/>
    <col min="34" max="34" width="12.28515625" style="26" customWidth="1"/>
    <col min="35" max="37" width="11" style="26" customWidth="1"/>
    <col min="38" max="271" width="2.7109375" style="26" customWidth="1"/>
    <col min="272" max="16384" width="0.85546875" style="26"/>
  </cols>
  <sheetData>
    <row r="1" spans="1:37" s="24" customFormat="1" ht="21" customHeight="1">
      <c r="A1" s="74" t="s">
        <v>765</v>
      </c>
      <c r="L1" s="25" t="s">
        <v>651</v>
      </c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F1" s="25"/>
      <c r="AK1" s="25" t="s">
        <v>651</v>
      </c>
    </row>
    <row r="2" spans="1:37" ht="18.75" customHeight="1">
      <c r="A2" s="759" t="str">
        <f>'4.1_КТЭЦ'!A2</f>
        <v>ПКГО - Комбинированная выработка КТЭЦ</v>
      </c>
      <c r="C2" s="1998"/>
      <c r="D2" s="1999"/>
      <c r="E2" s="1999"/>
      <c r="F2" s="1999"/>
      <c r="G2" s="1999"/>
      <c r="H2" s="1999"/>
      <c r="I2" s="1999"/>
      <c r="L2" s="858"/>
      <c r="M2" s="858"/>
      <c r="N2" s="858"/>
      <c r="O2" s="858"/>
      <c r="P2" s="858"/>
      <c r="Q2" s="858"/>
      <c r="R2" s="858"/>
      <c r="S2" s="858"/>
      <c r="T2" s="858"/>
      <c r="U2" s="858"/>
      <c r="V2" s="858"/>
    </row>
    <row r="3" spans="1:37" ht="54" customHeight="1">
      <c r="A3" s="1968" t="s">
        <v>652</v>
      </c>
      <c r="B3" s="1916"/>
      <c r="C3" s="1916"/>
      <c r="D3" s="1916"/>
      <c r="E3" s="1916"/>
      <c r="F3" s="1916"/>
      <c r="G3" s="1916"/>
      <c r="H3" s="1916"/>
      <c r="I3" s="1916"/>
      <c r="J3" s="1916"/>
      <c r="K3" s="1916"/>
      <c r="L3" s="1916"/>
      <c r="M3" s="1291"/>
      <c r="N3" s="1291"/>
      <c r="O3" s="1291"/>
      <c r="P3" s="1291"/>
      <c r="Q3" s="1291"/>
      <c r="R3" s="1587"/>
      <c r="S3" s="1587"/>
      <c r="T3" s="1587"/>
      <c r="U3" s="1587"/>
      <c r="V3" s="1587"/>
      <c r="W3" s="1968" t="s">
        <v>652</v>
      </c>
      <c r="X3" s="1916"/>
      <c r="Y3" s="1916"/>
      <c r="Z3" s="1916"/>
      <c r="AA3" s="1916"/>
      <c r="AB3" s="1916"/>
      <c r="AC3" s="1916"/>
      <c r="AD3" s="1916"/>
      <c r="AE3" s="1916"/>
      <c r="AF3" s="1916"/>
      <c r="AG3" s="1916"/>
      <c r="AH3" s="1916"/>
      <c r="AI3" s="1133"/>
      <c r="AJ3" s="1133"/>
      <c r="AK3" s="1133"/>
    </row>
    <row r="4" spans="1:37" ht="12" customHeight="1">
      <c r="A4" s="27"/>
      <c r="B4" s="27"/>
      <c r="C4" s="27"/>
      <c r="D4" s="27"/>
      <c r="E4" s="27"/>
      <c r="F4" s="27"/>
      <c r="G4" s="27"/>
      <c r="H4" s="27"/>
      <c r="I4" s="27"/>
      <c r="AB4" s="27"/>
      <c r="AC4" s="27"/>
      <c r="AG4" s="27"/>
      <c r="AH4" s="27"/>
    </row>
    <row r="5" spans="1:37" s="31" customFormat="1" ht="15" customHeight="1">
      <c r="A5" s="1873" t="s">
        <v>0</v>
      </c>
      <c r="B5" s="1873" t="s">
        <v>1</v>
      </c>
      <c r="C5" s="1834" t="s">
        <v>771</v>
      </c>
      <c r="D5" s="1835"/>
      <c r="E5" s="1835"/>
      <c r="F5" s="1835"/>
      <c r="G5" s="1836"/>
      <c r="H5" s="1834" t="s">
        <v>1705</v>
      </c>
      <c r="I5" s="1835"/>
      <c r="J5" s="1835"/>
      <c r="K5" s="1835"/>
      <c r="L5" s="1836"/>
      <c r="M5" s="1834" t="s">
        <v>1856</v>
      </c>
      <c r="N5" s="1835"/>
      <c r="O5" s="1835"/>
      <c r="P5" s="1835"/>
      <c r="Q5" s="1836"/>
      <c r="R5" s="1834" t="s">
        <v>1834</v>
      </c>
      <c r="S5" s="1835"/>
      <c r="T5" s="1835"/>
      <c r="U5" s="1835"/>
      <c r="V5" s="1836"/>
      <c r="W5" s="1834" t="s">
        <v>1688</v>
      </c>
      <c r="X5" s="1835"/>
      <c r="Y5" s="1835"/>
      <c r="Z5" s="1835"/>
      <c r="AA5" s="1836"/>
      <c r="AB5" s="1834" t="s">
        <v>1830</v>
      </c>
      <c r="AC5" s="1835"/>
      <c r="AD5" s="1835"/>
      <c r="AE5" s="1835"/>
      <c r="AF5" s="1836"/>
      <c r="AG5" s="1834" t="s">
        <v>1831</v>
      </c>
      <c r="AH5" s="1835"/>
      <c r="AI5" s="1835"/>
      <c r="AJ5" s="1835"/>
      <c r="AK5" s="1836"/>
    </row>
    <row r="6" spans="1:37" s="31" customFormat="1" ht="153" customHeight="1">
      <c r="A6" s="1873"/>
      <c r="B6" s="1873"/>
      <c r="C6" s="771" t="s">
        <v>588</v>
      </c>
      <c r="D6" s="771" t="s">
        <v>653</v>
      </c>
      <c r="E6" s="771" t="s">
        <v>593</v>
      </c>
      <c r="F6" s="771" t="s">
        <v>594</v>
      </c>
      <c r="G6" s="771" t="s">
        <v>595</v>
      </c>
      <c r="H6" s="771" t="s">
        <v>588</v>
      </c>
      <c r="I6" s="771" t="s">
        <v>653</v>
      </c>
      <c r="J6" s="771" t="s">
        <v>593</v>
      </c>
      <c r="K6" s="771" t="s">
        <v>594</v>
      </c>
      <c r="L6" s="771" t="s">
        <v>595</v>
      </c>
      <c r="M6" s="1288" t="s">
        <v>588</v>
      </c>
      <c r="N6" s="1288" t="s">
        <v>653</v>
      </c>
      <c r="O6" s="1288" t="s">
        <v>593</v>
      </c>
      <c r="P6" s="1288" t="s">
        <v>594</v>
      </c>
      <c r="Q6" s="1288" t="s">
        <v>595</v>
      </c>
      <c r="R6" s="1584" t="s">
        <v>588</v>
      </c>
      <c r="S6" s="1584" t="s">
        <v>653</v>
      </c>
      <c r="T6" s="1584" t="s">
        <v>593</v>
      </c>
      <c r="U6" s="1584" t="s">
        <v>594</v>
      </c>
      <c r="V6" s="1584" t="s">
        <v>595</v>
      </c>
      <c r="W6" s="771" t="s">
        <v>588</v>
      </c>
      <c r="X6" s="771" t="s">
        <v>653</v>
      </c>
      <c r="Y6" s="771" t="s">
        <v>593</v>
      </c>
      <c r="Z6" s="771" t="s">
        <v>594</v>
      </c>
      <c r="AA6" s="771" t="s">
        <v>595</v>
      </c>
      <c r="AB6" s="771" t="s">
        <v>588</v>
      </c>
      <c r="AC6" s="771" t="s">
        <v>653</v>
      </c>
      <c r="AD6" s="771" t="s">
        <v>593</v>
      </c>
      <c r="AE6" s="771" t="s">
        <v>594</v>
      </c>
      <c r="AF6" s="771" t="s">
        <v>595</v>
      </c>
      <c r="AG6" s="771" t="s">
        <v>588</v>
      </c>
      <c r="AH6" s="771" t="s">
        <v>653</v>
      </c>
      <c r="AI6" s="771" t="s">
        <v>593</v>
      </c>
      <c r="AJ6" s="771" t="s">
        <v>594</v>
      </c>
      <c r="AK6" s="771" t="s">
        <v>595</v>
      </c>
    </row>
    <row r="7" spans="1:37" s="48" customFormat="1" ht="14.25" customHeight="1">
      <c r="A7" s="13">
        <v>1</v>
      </c>
      <c r="B7" s="13">
        <v>2</v>
      </c>
      <c r="C7" s="33">
        <v>3</v>
      </c>
      <c r="D7" s="33">
        <v>4</v>
      </c>
      <c r="E7" s="33">
        <v>5</v>
      </c>
      <c r="F7" s="33">
        <v>6</v>
      </c>
      <c r="G7" s="33">
        <v>7</v>
      </c>
      <c r="H7" s="33">
        <v>8</v>
      </c>
      <c r="I7" s="33">
        <v>9</v>
      </c>
      <c r="J7" s="33">
        <v>10</v>
      </c>
      <c r="K7" s="33">
        <v>11</v>
      </c>
      <c r="L7" s="33">
        <v>12</v>
      </c>
      <c r="M7" s="33">
        <v>13</v>
      </c>
      <c r="N7" s="33">
        <v>14</v>
      </c>
      <c r="O7" s="33">
        <v>15</v>
      </c>
      <c r="P7" s="33">
        <v>16</v>
      </c>
      <c r="Q7" s="33">
        <v>17</v>
      </c>
      <c r="R7" s="33"/>
      <c r="S7" s="33"/>
      <c r="T7" s="33"/>
      <c r="U7" s="33"/>
      <c r="V7" s="33"/>
      <c r="W7" s="33">
        <v>18</v>
      </c>
      <c r="X7" s="33">
        <v>19</v>
      </c>
      <c r="Y7" s="33">
        <v>20</v>
      </c>
      <c r="Z7" s="33">
        <v>21</v>
      </c>
      <c r="AA7" s="33">
        <v>22</v>
      </c>
      <c r="AB7" s="33">
        <v>23</v>
      </c>
      <c r="AC7" s="33">
        <v>24</v>
      </c>
      <c r="AD7" s="33">
        <v>25</v>
      </c>
      <c r="AE7" s="33">
        <v>26</v>
      </c>
      <c r="AF7" s="33">
        <v>27</v>
      </c>
      <c r="AG7" s="33">
        <v>28</v>
      </c>
      <c r="AH7" s="33">
        <v>29</v>
      </c>
      <c r="AI7" s="33">
        <v>30</v>
      </c>
      <c r="AJ7" s="33">
        <v>31</v>
      </c>
      <c r="AK7" s="33">
        <v>32</v>
      </c>
    </row>
    <row r="8" spans="1:37" s="773" customFormat="1" ht="14.25" customHeight="1">
      <c r="A8" s="60" t="s">
        <v>4</v>
      </c>
      <c r="B8" s="61" t="s">
        <v>48</v>
      </c>
      <c r="C8" s="260">
        <f t="shared" ref="C8:D8" si="0">C9</f>
        <v>907.11299999999994</v>
      </c>
      <c r="D8" s="260">
        <f t="shared" si="0"/>
        <v>320.62599999999998</v>
      </c>
      <c r="E8" s="260"/>
      <c r="F8" s="260"/>
      <c r="G8" s="260"/>
      <c r="H8" s="260">
        <f t="shared" ref="H8:X8" si="1">H9</f>
        <v>858.0397999999999</v>
      </c>
      <c r="I8" s="260">
        <f t="shared" si="1"/>
        <v>307.87799999999999</v>
      </c>
      <c r="J8" s="260"/>
      <c r="K8" s="260"/>
      <c r="L8" s="260"/>
      <c r="M8" s="260">
        <f t="shared" si="1"/>
        <v>836.25261320499999</v>
      </c>
      <c r="N8" s="260">
        <f t="shared" si="1"/>
        <v>307.87799999999999</v>
      </c>
      <c r="O8" s="260"/>
      <c r="P8" s="260"/>
      <c r="Q8" s="260"/>
      <c r="R8" s="260">
        <f t="shared" si="1"/>
        <v>860.72499999999991</v>
      </c>
      <c r="S8" s="260">
        <f t="shared" si="1"/>
        <v>307.87799999999999</v>
      </c>
      <c r="T8" s="260"/>
      <c r="U8" s="260"/>
      <c r="V8" s="260"/>
      <c r="W8" s="260">
        <f t="shared" si="1"/>
        <v>860.72499999999991</v>
      </c>
      <c r="X8" s="260">
        <f t="shared" si="1"/>
        <v>307.87799999999999</v>
      </c>
      <c r="Y8" s="260"/>
      <c r="Z8" s="260"/>
      <c r="AA8" s="260"/>
      <c r="AB8" s="260">
        <f t="shared" ref="AB8:AC8" si="2">AB9</f>
        <v>523.05800000000011</v>
      </c>
      <c r="AC8" s="260">
        <f t="shared" si="2"/>
        <v>307.87799999999999</v>
      </c>
      <c r="AD8" s="260"/>
      <c r="AE8" s="260"/>
      <c r="AF8" s="260"/>
      <c r="AG8" s="260">
        <f t="shared" ref="AG8:AH8" si="3">AG9</f>
        <v>337.66699999999992</v>
      </c>
      <c r="AH8" s="260">
        <f t="shared" si="3"/>
        <v>307.87799999999999</v>
      </c>
      <c r="AI8" s="260"/>
      <c r="AJ8" s="260"/>
      <c r="AK8" s="260"/>
    </row>
    <row r="9" spans="1:37" s="773" customFormat="1" ht="14.25" customHeight="1">
      <c r="A9" s="60" t="s">
        <v>5</v>
      </c>
      <c r="B9" s="70" t="s">
        <v>596</v>
      </c>
      <c r="C9" s="260">
        <f>'6.2_передача (КТЭЦ)'!D10</f>
        <v>907.11299999999994</v>
      </c>
      <c r="D9" s="260">
        <f>'6.2_передача (КТЭЦ)'!D12</f>
        <v>320.62599999999998</v>
      </c>
      <c r="E9" s="67"/>
      <c r="F9" s="67"/>
      <c r="G9" s="67"/>
      <c r="H9" s="260">
        <f>'6.2_передача (КТЭЦ)'!E10</f>
        <v>858.0397999999999</v>
      </c>
      <c r="I9" s="260">
        <f>'6.2_передача (КТЭЦ)'!E12</f>
        <v>307.87799999999999</v>
      </c>
      <c r="J9" s="67"/>
      <c r="K9" s="67"/>
      <c r="L9" s="260"/>
      <c r="M9" s="260">
        <f>'6.2_передача (КТЭЦ)'!F10</f>
        <v>836.25261320499999</v>
      </c>
      <c r="N9" s="260">
        <f>'6.2_передача (КТЭЦ)'!F12</f>
        <v>307.87799999999999</v>
      </c>
      <c r="O9" s="67"/>
      <c r="P9" s="67"/>
      <c r="Q9" s="260"/>
      <c r="R9" s="260">
        <f>'6.2_передача (КТЭЦ)'!G10</f>
        <v>860.72499999999991</v>
      </c>
      <c r="S9" s="260">
        <f>'6.2_передача (КТЭЦ)'!G12</f>
        <v>307.87799999999999</v>
      </c>
      <c r="T9" s="67"/>
      <c r="U9" s="67"/>
      <c r="V9" s="260"/>
      <c r="W9" s="260">
        <f>'6.2_передача (КТЭЦ)'!H10</f>
        <v>860.72499999999991</v>
      </c>
      <c r="X9" s="260">
        <f>'6.2_передача (КТЭЦ)'!H12</f>
        <v>307.87799999999999</v>
      </c>
      <c r="Y9" s="67"/>
      <c r="Z9" s="67"/>
      <c r="AA9" s="67"/>
      <c r="AB9" s="260">
        <f>'6.2_передача (КТЭЦ)'!I10</f>
        <v>523.05800000000011</v>
      </c>
      <c r="AC9" s="260">
        <f>'6.2_передача (КТЭЦ)'!I12</f>
        <v>307.87799999999999</v>
      </c>
      <c r="AD9" s="67"/>
      <c r="AE9" s="67"/>
      <c r="AF9" s="67"/>
      <c r="AG9" s="260">
        <f>'6.2_передача (КТЭЦ)'!J10</f>
        <v>337.66699999999992</v>
      </c>
      <c r="AH9" s="260">
        <f>'6.2_передача (КТЭЦ)'!J12</f>
        <v>307.87799999999999</v>
      </c>
      <c r="AI9" s="67"/>
      <c r="AJ9" s="67"/>
      <c r="AK9" s="67"/>
    </row>
    <row r="10" spans="1:37" s="773" customFormat="1" ht="18">
      <c r="A10" s="60" t="s">
        <v>11</v>
      </c>
      <c r="B10" s="70" t="s">
        <v>597</v>
      </c>
      <c r="C10" s="260"/>
      <c r="D10" s="260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  <c r="AD10" s="67"/>
      <c r="AE10" s="67"/>
      <c r="AF10" s="67"/>
      <c r="AG10" s="67"/>
      <c r="AH10" s="67"/>
      <c r="AI10" s="67"/>
      <c r="AJ10" s="67"/>
      <c r="AK10" s="67"/>
    </row>
    <row r="11" spans="1:37" s="773" customFormat="1" ht="18">
      <c r="A11" s="60" t="s">
        <v>445</v>
      </c>
      <c r="B11" s="70" t="s">
        <v>598</v>
      </c>
      <c r="C11" s="260"/>
      <c r="D11" s="260"/>
      <c r="E11" s="67"/>
      <c r="F11" s="67"/>
      <c r="G11" s="67"/>
      <c r="H11" s="260"/>
      <c r="I11" s="260"/>
      <c r="J11" s="67"/>
      <c r="K11" s="67"/>
      <c r="L11" s="67"/>
      <c r="M11" s="260"/>
      <c r="N11" s="260"/>
      <c r="O11" s="67"/>
      <c r="P11" s="67"/>
      <c r="Q11" s="67"/>
      <c r="R11" s="260"/>
      <c r="S11" s="260"/>
      <c r="T11" s="67"/>
      <c r="U11" s="67"/>
      <c r="V11" s="67"/>
      <c r="W11" s="260"/>
      <c r="X11" s="260"/>
      <c r="Y11" s="67"/>
      <c r="Z11" s="67"/>
      <c r="AA11" s="67"/>
      <c r="AB11" s="260"/>
      <c r="AC11" s="260"/>
      <c r="AD11" s="67"/>
      <c r="AE11" s="67"/>
      <c r="AF11" s="67"/>
      <c r="AG11" s="260"/>
      <c r="AH11" s="260"/>
      <c r="AI11" s="67"/>
      <c r="AJ11" s="67"/>
      <c r="AK11" s="67"/>
    </row>
    <row r="12" spans="1:37" s="773" customFormat="1" ht="18">
      <c r="A12" s="60" t="s">
        <v>446</v>
      </c>
      <c r="B12" s="70" t="s">
        <v>599</v>
      </c>
      <c r="C12" s="67"/>
      <c r="D12" s="67"/>
      <c r="E12" s="67"/>
      <c r="F12" s="67"/>
      <c r="G12" s="67"/>
      <c r="H12" s="67"/>
      <c r="I12" s="67"/>
      <c r="J12" s="67"/>
      <c r="K12" s="67"/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  <c r="AD12" s="67"/>
      <c r="AE12" s="67"/>
      <c r="AF12" s="67"/>
      <c r="AG12" s="67"/>
      <c r="AH12" s="67"/>
      <c r="AI12" s="67"/>
      <c r="AJ12" s="67"/>
      <c r="AK12" s="67"/>
    </row>
    <row r="13" spans="1:37" s="773" customFormat="1" ht="18">
      <c r="A13" s="60" t="s">
        <v>461</v>
      </c>
      <c r="B13" s="70" t="s">
        <v>600</v>
      </c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</row>
    <row r="14" spans="1:37" s="773" customFormat="1" ht="14.25" customHeight="1">
      <c r="A14" s="60" t="s">
        <v>514</v>
      </c>
      <c r="B14" s="70" t="s">
        <v>601</v>
      </c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</row>
    <row r="15" spans="1:37" s="773" customFormat="1" ht="14.25" customHeight="1">
      <c r="A15" s="60"/>
      <c r="B15" s="70" t="s">
        <v>26</v>
      </c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</row>
    <row r="16" spans="1:37" s="773" customFormat="1" ht="14.25" customHeight="1">
      <c r="A16" s="60" t="s">
        <v>434</v>
      </c>
      <c r="B16" s="70" t="s">
        <v>602</v>
      </c>
      <c r="C16" s="67"/>
      <c r="D16" s="67"/>
      <c r="E16" s="67"/>
      <c r="F16" s="67"/>
      <c r="G16" s="67"/>
      <c r="H16" s="67"/>
      <c r="I16" s="67"/>
      <c r="J16" s="67"/>
      <c r="K16" s="67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  <c r="AD16" s="67"/>
      <c r="AE16" s="67"/>
      <c r="AF16" s="67"/>
      <c r="AG16" s="67"/>
      <c r="AH16" s="67"/>
      <c r="AI16" s="67"/>
      <c r="AJ16" s="67"/>
      <c r="AK16" s="67"/>
    </row>
    <row r="17" spans="1:37" s="773" customFormat="1" ht="14.25" customHeight="1">
      <c r="A17" s="60"/>
      <c r="B17" s="70" t="s">
        <v>26</v>
      </c>
      <c r="C17" s="67"/>
      <c r="D17" s="67"/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</row>
    <row r="18" spans="1:37" s="294" customFormat="1" ht="45">
      <c r="A18" s="829" t="s">
        <v>603</v>
      </c>
      <c r="B18" s="833" t="s">
        <v>654</v>
      </c>
      <c r="C18" s="874"/>
      <c r="D18" s="874"/>
      <c r="E18" s="306">
        <f t="shared" ref="E18:G18" si="4">E19</f>
        <v>1198.4614529886219</v>
      </c>
      <c r="F18" s="306">
        <f t="shared" si="4"/>
        <v>654.630047096407</v>
      </c>
      <c r="G18" s="306">
        <f t="shared" si="4"/>
        <v>161.02083591942014</v>
      </c>
      <c r="H18" s="874"/>
      <c r="I18" s="874"/>
      <c r="J18" s="306">
        <f t="shared" ref="J18:L18" si="5">J19</f>
        <v>1541.5704232707769</v>
      </c>
      <c r="K18" s="306">
        <f t="shared" si="5"/>
        <v>736.18913264761875</v>
      </c>
      <c r="L18" s="306">
        <f t="shared" si="5"/>
        <v>242.96128684630494</v>
      </c>
      <c r="M18" s="874"/>
      <c r="N18" s="874"/>
      <c r="O18" s="306">
        <f t="shared" ref="O18:Q18" si="6">O19</f>
        <v>1504.2588656994785</v>
      </c>
      <c r="P18" s="306">
        <f t="shared" si="6"/>
        <v>726.08708482341513</v>
      </c>
      <c r="Q18" s="306">
        <f t="shared" si="6"/>
        <v>229.6642461463415</v>
      </c>
      <c r="R18" s="874"/>
      <c r="S18" s="874"/>
      <c r="T18" s="306">
        <f t="shared" ref="T18:V18" si="7">T19</f>
        <v>5190.8794523458091</v>
      </c>
      <c r="U18" s="306">
        <f t="shared" si="7"/>
        <v>825.56244762367464</v>
      </c>
      <c r="V18" s="306">
        <f t="shared" si="7"/>
        <v>1287.9406862830269</v>
      </c>
      <c r="W18" s="306"/>
      <c r="X18" s="306"/>
      <c r="Y18" s="306">
        <f t="shared" ref="Y18:AA18" si="8">Y19</f>
        <v>2599.5851415675902</v>
      </c>
      <c r="Z18" s="306">
        <f t="shared" si="8"/>
        <v>863.26447059371424</v>
      </c>
      <c r="AA18" s="306">
        <f t="shared" si="8"/>
        <v>512.23437439951556</v>
      </c>
      <c r="AB18" s="874"/>
      <c r="AC18" s="874"/>
      <c r="AD18" s="306">
        <f t="shared" ref="AD18:AF18" si="9">AD19</f>
        <v>1565.0490726809155</v>
      </c>
      <c r="AE18" s="306">
        <f t="shared" si="9"/>
        <v>845.66264199381772</v>
      </c>
      <c r="AF18" s="306">
        <f t="shared" si="9"/>
        <v>259.47287516306682</v>
      </c>
      <c r="AG18" s="874"/>
      <c r="AH18" s="874"/>
      <c r="AI18" s="306">
        <f t="shared" ref="AI18:AK18" si="10">AI19</f>
        <v>4226.6519287168539</v>
      </c>
      <c r="AJ18" s="306">
        <f t="shared" si="10"/>
        <v>890.94755565766593</v>
      </c>
      <c r="AK18" s="306">
        <f t="shared" si="10"/>
        <v>764.99848872808934</v>
      </c>
    </row>
    <row r="19" spans="1:37" s="773" customFormat="1" ht="14.25" customHeight="1">
      <c r="A19" s="60"/>
      <c r="B19" s="70" t="s">
        <v>596</v>
      </c>
      <c r="C19" s="67"/>
      <c r="D19" s="67"/>
      <c r="E19" s="872">
        <f>'6.1_генерация (КТЭЦ)'!I38</f>
        <v>1198.4614529886219</v>
      </c>
      <c r="F19" s="872">
        <f>'6.1_генерация (КТЭЦ)'!J38</f>
        <v>654.630047096407</v>
      </c>
      <c r="G19" s="872">
        <f>'6.1_генерация (КТЭЦ)'!K38</f>
        <v>161.02083591942014</v>
      </c>
      <c r="H19" s="872"/>
      <c r="I19" s="872"/>
      <c r="J19" s="872">
        <f>'6.1_генерация (КТЭЦ)'!I56</f>
        <v>1541.5704232707769</v>
      </c>
      <c r="K19" s="872">
        <f>'6.1_генерация (КТЭЦ)'!J56</f>
        <v>736.18913264761875</v>
      </c>
      <c r="L19" s="872">
        <f>'6.1_генерация (КТЭЦ)'!K56</f>
        <v>242.96128684630494</v>
      </c>
      <c r="M19" s="872"/>
      <c r="N19" s="872"/>
      <c r="O19" s="872">
        <f>'6.1_генерация (КТЭЦ)'!I93</f>
        <v>1504.2588656994785</v>
      </c>
      <c r="P19" s="872">
        <f>'6.1_генерация (КТЭЦ)'!J93</f>
        <v>726.08708482341513</v>
      </c>
      <c r="Q19" s="872">
        <f>'6.1_генерация (КТЭЦ)'!K93</f>
        <v>229.6642461463415</v>
      </c>
      <c r="R19" s="872"/>
      <c r="S19" s="872"/>
      <c r="T19" s="872">
        <f>'6.1_генерация (КТЭЦ)'!I112</f>
        <v>5190.8794523458091</v>
      </c>
      <c r="U19" s="872">
        <f>'6.1_генерация (КТЭЦ)'!J112</f>
        <v>825.56244762367464</v>
      </c>
      <c r="V19" s="872">
        <f>'6.1_генерация (КТЭЦ)'!K112</f>
        <v>1287.9406862830269</v>
      </c>
      <c r="W19" s="260"/>
      <c r="X19" s="260"/>
      <c r="Y19" s="872">
        <f>'6.1_генерация (КТЭЦ)'!I150</f>
        <v>2599.5851415675902</v>
      </c>
      <c r="Z19" s="872">
        <f>'6.1_генерация (КТЭЦ)'!J150</f>
        <v>863.26447059371424</v>
      </c>
      <c r="AA19" s="872">
        <f>'6.1_генерация (КТЭЦ)'!K150</f>
        <v>512.23437439951556</v>
      </c>
      <c r="AB19" s="872"/>
      <c r="AC19" s="872"/>
      <c r="AD19" s="872">
        <f>'6.1_генерация (КТЭЦ)'!I171</f>
        <v>1565.0490726809155</v>
      </c>
      <c r="AE19" s="872">
        <f>'6.1_генерация (КТЭЦ)'!J171</f>
        <v>845.66264199381772</v>
      </c>
      <c r="AF19" s="872">
        <f>'6.1_генерация (КТЭЦ)'!K171</f>
        <v>259.47287516306682</v>
      </c>
      <c r="AG19" s="872"/>
      <c r="AH19" s="872"/>
      <c r="AI19" s="872">
        <f>'6.1_генерация (КТЭЦ)'!I192</f>
        <v>4226.6519287168539</v>
      </c>
      <c r="AJ19" s="872">
        <f>'6.1_генерация (КТЭЦ)'!J192</f>
        <v>890.94755565766593</v>
      </c>
      <c r="AK19" s="872">
        <f>'6.1_генерация (КТЭЦ)'!K192</f>
        <v>764.99848872808934</v>
      </c>
    </row>
    <row r="20" spans="1:37" s="773" customFormat="1" ht="18">
      <c r="A20" s="60"/>
      <c r="B20" s="70" t="s">
        <v>597</v>
      </c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</row>
    <row r="21" spans="1:37" s="773" customFormat="1" ht="18">
      <c r="A21" s="60"/>
      <c r="B21" s="70" t="s">
        <v>598</v>
      </c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7"/>
      <c r="AJ21" s="67"/>
      <c r="AK21" s="67"/>
    </row>
    <row r="22" spans="1:37" s="773" customFormat="1" ht="18">
      <c r="A22" s="60"/>
      <c r="B22" s="70" t="s">
        <v>599</v>
      </c>
      <c r="C22" s="67"/>
      <c r="D22" s="67"/>
      <c r="E22" s="67"/>
      <c r="F22" s="67"/>
      <c r="G22" s="67"/>
      <c r="H22" s="67"/>
      <c r="I22" s="67"/>
      <c r="J22" s="67"/>
      <c r="K22" s="67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7"/>
      <c r="AJ22" s="67"/>
      <c r="AK22" s="67"/>
    </row>
    <row r="23" spans="1:37" s="773" customFormat="1" ht="18">
      <c r="A23" s="60"/>
      <c r="B23" s="70" t="s">
        <v>600</v>
      </c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</row>
    <row r="24" spans="1:37" s="773" customFormat="1" ht="14.25" customHeight="1">
      <c r="A24" s="60"/>
      <c r="B24" s="70" t="s">
        <v>601</v>
      </c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</row>
    <row r="25" spans="1:37" s="773" customFormat="1" ht="60">
      <c r="A25" s="60" t="s">
        <v>655</v>
      </c>
      <c r="B25" s="70" t="s">
        <v>656</v>
      </c>
      <c r="C25" s="67"/>
      <c r="D25" s="67"/>
      <c r="E25" s="260">
        <f>E18</f>
        <v>1198.4614529886219</v>
      </c>
      <c r="F25" s="260">
        <f t="shared" ref="F25:G25" si="11">F18</f>
        <v>654.630047096407</v>
      </c>
      <c r="G25" s="260">
        <f t="shared" si="11"/>
        <v>161.02083591942014</v>
      </c>
      <c r="H25" s="260"/>
      <c r="I25" s="260"/>
      <c r="J25" s="260">
        <f t="shared" ref="J25:L26" si="12">J18</f>
        <v>1541.5704232707769</v>
      </c>
      <c r="K25" s="260">
        <f t="shared" si="12"/>
        <v>736.18913264761875</v>
      </c>
      <c r="L25" s="260">
        <f t="shared" si="12"/>
        <v>242.96128684630494</v>
      </c>
      <c r="M25" s="260"/>
      <c r="N25" s="260"/>
      <c r="O25" s="260">
        <f t="shared" ref="O25:Q25" si="13">O18</f>
        <v>1504.2588656994785</v>
      </c>
      <c r="P25" s="260">
        <f t="shared" si="13"/>
        <v>726.08708482341513</v>
      </c>
      <c r="Q25" s="260">
        <f t="shared" si="13"/>
        <v>229.6642461463415</v>
      </c>
      <c r="R25" s="260"/>
      <c r="S25" s="260"/>
      <c r="T25" s="260">
        <f t="shared" ref="T25:V25" si="14">T18</f>
        <v>5190.8794523458091</v>
      </c>
      <c r="U25" s="260">
        <f t="shared" si="14"/>
        <v>825.56244762367464</v>
      </c>
      <c r="V25" s="260">
        <f t="shared" si="14"/>
        <v>1287.9406862830269</v>
      </c>
      <c r="W25" s="260"/>
      <c r="X25" s="260"/>
      <c r="Y25" s="260">
        <f t="shared" ref="Y25:AA26" si="15">Y18</f>
        <v>2599.5851415675902</v>
      </c>
      <c r="Z25" s="260">
        <f t="shared" si="15"/>
        <v>863.26447059371424</v>
      </c>
      <c r="AA25" s="260">
        <f t="shared" si="15"/>
        <v>512.23437439951556</v>
      </c>
      <c r="AB25" s="260"/>
      <c r="AC25" s="260"/>
      <c r="AD25" s="260">
        <f t="shared" ref="AD25:AF26" si="16">AD18</f>
        <v>1565.0490726809155</v>
      </c>
      <c r="AE25" s="260">
        <f t="shared" si="16"/>
        <v>845.66264199381772</v>
      </c>
      <c r="AF25" s="260">
        <f t="shared" si="16"/>
        <v>259.47287516306682</v>
      </c>
      <c r="AG25" s="260"/>
      <c r="AH25" s="260"/>
      <c r="AI25" s="260">
        <f t="shared" ref="AI25:AK26" si="17">AI18</f>
        <v>4226.6519287168539</v>
      </c>
      <c r="AJ25" s="260">
        <f t="shared" si="17"/>
        <v>890.94755565766593</v>
      </c>
      <c r="AK25" s="260">
        <f t="shared" si="17"/>
        <v>764.99848872808934</v>
      </c>
    </row>
    <row r="26" spans="1:37" s="773" customFormat="1" ht="14.25" customHeight="1">
      <c r="A26" s="60"/>
      <c r="B26" s="70" t="s">
        <v>596</v>
      </c>
      <c r="C26" s="67"/>
      <c r="D26" s="67"/>
      <c r="E26" s="260">
        <f>E19</f>
        <v>1198.4614529886219</v>
      </c>
      <c r="F26" s="260">
        <f t="shared" ref="F26:G26" si="18">F19</f>
        <v>654.630047096407</v>
      </c>
      <c r="G26" s="260">
        <f t="shared" si="18"/>
        <v>161.02083591942014</v>
      </c>
      <c r="H26" s="260"/>
      <c r="I26" s="260"/>
      <c r="J26" s="260">
        <f t="shared" si="12"/>
        <v>1541.5704232707769</v>
      </c>
      <c r="K26" s="260">
        <f t="shared" si="12"/>
        <v>736.18913264761875</v>
      </c>
      <c r="L26" s="260">
        <f t="shared" si="12"/>
        <v>242.96128684630494</v>
      </c>
      <c r="M26" s="260"/>
      <c r="N26" s="260"/>
      <c r="O26" s="260">
        <f t="shared" ref="O26:Q26" si="19">O19</f>
        <v>1504.2588656994785</v>
      </c>
      <c r="P26" s="260">
        <f t="shared" si="19"/>
        <v>726.08708482341513</v>
      </c>
      <c r="Q26" s="260">
        <f t="shared" si="19"/>
        <v>229.6642461463415</v>
      </c>
      <c r="R26" s="260"/>
      <c r="S26" s="260"/>
      <c r="T26" s="260">
        <f t="shared" ref="T26:V26" si="20">T19</f>
        <v>5190.8794523458091</v>
      </c>
      <c r="U26" s="260">
        <f t="shared" si="20"/>
        <v>825.56244762367464</v>
      </c>
      <c r="V26" s="260">
        <f t="shared" si="20"/>
        <v>1287.9406862830269</v>
      </c>
      <c r="W26" s="260"/>
      <c r="X26" s="260"/>
      <c r="Y26" s="260">
        <f t="shared" si="15"/>
        <v>2599.5851415675902</v>
      </c>
      <c r="Z26" s="260">
        <f t="shared" si="15"/>
        <v>863.26447059371424</v>
      </c>
      <c r="AA26" s="260">
        <f t="shared" si="15"/>
        <v>512.23437439951556</v>
      </c>
      <c r="AB26" s="260"/>
      <c r="AC26" s="260"/>
      <c r="AD26" s="260">
        <f t="shared" si="16"/>
        <v>1565.0490726809155</v>
      </c>
      <c r="AE26" s="260">
        <f t="shared" si="16"/>
        <v>845.66264199381772</v>
      </c>
      <c r="AF26" s="260">
        <f t="shared" si="16"/>
        <v>259.47287516306682</v>
      </c>
      <c r="AG26" s="260"/>
      <c r="AH26" s="260"/>
      <c r="AI26" s="260">
        <f t="shared" si="17"/>
        <v>4226.6519287168539</v>
      </c>
      <c r="AJ26" s="260">
        <f t="shared" si="17"/>
        <v>890.94755565766593</v>
      </c>
      <c r="AK26" s="260">
        <f t="shared" si="17"/>
        <v>764.99848872808934</v>
      </c>
    </row>
    <row r="27" spans="1:37" s="773" customFormat="1" ht="14.25" customHeight="1">
      <c r="A27" s="60"/>
      <c r="B27" s="70" t="s">
        <v>657</v>
      </c>
      <c r="C27" s="67"/>
      <c r="D27" s="67"/>
      <c r="E27" s="254"/>
      <c r="F27" s="254"/>
      <c r="G27" s="254"/>
      <c r="H27" s="67"/>
      <c r="I27" s="67"/>
      <c r="J27" s="254"/>
      <c r="K27" s="254"/>
      <c r="L27" s="254"/>
      <c r="M27" s="67"/>
      <c r="N27" s="67"/>
      <c r="O27" s="254"/>
      <c r="P27" s="254"/>
      <c r="Q27" s="254"/>
      <c r="R27" s="254"/>
      <c r="S27" s="254"/>
      <c r="T27" s="254"/>
      <c r="U27" s="254"/>
      <c r="V27" s="254"/>
      <c r="W27" s="67"/>
      <c r="X27" s="67"/>
      <c r="Y27" s="254"/>
      <c r="Z27" s="254"/>
      <c r="AA27" s="254"/>
      <c r="AB27" s="67"/>
      <c r="AC27" s="67"/>
      <c r="AD27" s="254"/>
      <c r="AE27" s="254"/>
      <c r="AF27" s="254"/>
      <c r="AG27" s="67"/>
      <c r="AH27" s="67"/>
      <c r="AI27" s="254"/>
      <c r="AJ27" s="254"/>
      <c r="AK27" s="254"/>
    </row>
    <row r="28" spans="1:37" s="773" customFormat="1" ht="14.25" customHeight="1">
      <c r="A28" s="60" t="s">
        <v>658</v>
      </c>
      <c r="B28" s="70" t="s">
        <v>26</v>
      </c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7"/>
      <c r="AJ28" s="67"/>
      <c r="AK28" s="67"/>
    </row>
    <row r="29" spans="1:37" ht="12.75" customHeight="1"/>
    <row r="30" spans="1:37" ht="15">
      <c r="A30" s="26" t="s">
        <v>88</v>
      </c>
    </row>
    <row r="31" spans="1:37" s="773" customFormat="1" ht="19.5" customHeight="1">
      <c r="A31" s="45" t="s">
        <v>89</v>
      </c>
      <c r="B31" s="1997" t="s">
        <v>605</v>
      </c>
      <c r="C31" s="1970"/>
      <c r="D31" s="1970"/>
      <c r="E31" s="1970"/>
      <c r="F31" s="1970"/>
      <c r="G31" s="1970"/>
      <c r="H31" s="1970"/>
      <c r="I31" s="1970"/>
      <c r="J31" s="1970"/>
      <c r="K31" s="1970"/>
      <c r="L31" s="1970"/>
      <c r="M31" s="1293"/>
      <c r="N31" s="1293"/>
      <c r="O31" s="1293"/>
      <c r="P31" s="1293"/>
      <c r="Q31" s="1293"/>
      <c r="R31" s="1589"/>
      <c r="S31" s="1589"/>
      <c r="T31" s="1589"/>
      <c r="U31" s="1589"/>
      <c r="V31" s="1589"/>
      <c r="W31" s="46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</row>
    <row r="32" spans="1:37" s="773" customFormat="1" ht="45.75" customHeight="1">
      <c r="A32" s="45" t="s">
        <v>91</v>
      </c>
      <c r="B32" s="1842" t="s">
        <v>659</v>
      </c>
      <c r="C32" s="1842"/>
      <c r="D32" s="1842"/>
      <c r="E32" s="1842"/>
      <c r="F32" s="1842"/>
      <c r="G32" s="1842"/>
      <c r="H32" s="1842"/>
      <c r="I32" s="1842"/>
      <c r="J32" s="1842"/>
      <c r="K32" s="1842"/>
      <c r="L32" s="1842"/>
      <c r="M32" s="1289"/>
      <c r="N32" s="1289"/>
      <c r="O32" s="1289"/>
      <c r="P32" s="1289"/>
      <c r="Q32" s="1289"/>
      <c r="R32" s="1585"/>
      <c r="S32" s="1585"/>
      <c r="T32" s="1585"/>
      <c r="U32" s="1585"/>
      <c r="V32" s="1585"/>
      <c r="W32" s="770"/>
      <c r="X32" s="770"/>
      <c r="Y32" s="770"/>
      <c r="Z32" s="770"/>
      <c r="AA32" s="770"/>
    </row>
    <row r="33" spans="1:27" s="773" customFormat="1" ht="15">
      <c r="A33" s="45" t="s">
        <v>93</v>
      </c>
      <c r="B33" s="1842" t="s">
        <v>660</v>
      </c>
      <c r="C33" s="1842"/>
      <c r="D33" s="1842"/>
      <c r="E33" s="1842"/>
      <c r="F33" s="1842"/>
      <c r="G33" s="1842"/>
      <c r="H33" s="1842"/>
      <c r="I33" s="1842"/>
      <c r="J33" s="1842"/>
      <c r="K33" s="1842"/>
      <c r="L33" s="1842"/>
      <c r="M33" s="1289"/>
      <c r="N33" s="1289"/>
      <c r="O33" s="1289"/>
      <c r="P33" s="1289"/>
      <c r="Q33" s="1289"/>
      <c r="R33" s="1585"/>
      <c r="S33" s="1585"/>
      <c r="T33" s="1585"/>
      <c r="U33" s="1585"/>
      <c r="V33" s="1585"/>
      <c r="W33" s="770"/>
      <c r="X33" s="770"/>
      <c r="Y33" s="770"/>
      <c r="Z33" s="770"/>
      <c r="AA33" s="770"/>
    </row>
    <row r="34" spans="1:27" s="773" customFormat="1" ht="27" customHeight="1">
      <c r="A34" s="45" t="s">
        <v>95</v>
      </c>
      <c r="B34" s="1842" t="s">
        <v>661</v>
      </c>
      <c r="C34" s="1842"/>
      <c r="D34" s="1842"/>
      <c r="E34" s="1842"/>
      <c r="F34" s="1842"/>
      <c r="G34" s="1842"/>
      <c r="H34" s="1842"/>
      <c r="I34" s="1842"/>
      <c r="J34" s="1842"/>
      <c r="K34" s="1842"/>
      <c r="L34" s="1842"/>
      <c r="M34" s="1289"/>
      <c r="N34" s="1289"/>
      <c r="O34" s="1289"/>
      <c r="P34" s="1289"/>
      <c r="Q34" s="1289"/>
      <c r="R34" s="1585"/>
      <c r="S34" s="1585"/>
      <c r="T34" s="1585"/>
      <c r="U34" s="1585"/>
      <c r="V34" s="1585"/>
      <c r="W34" s="770"/>
      <c r="X34" s="770"/>
      <c r="Y34" s="770"/>
      <c r="Z34" s="770"/>
      <c r="AA34" s="770"/>
    </row>
    <row r="35" spans="1:27" ht="15">
      <c r="A35" s="98" t="s">
        <v>97</v>
      </c>
      <c r="B35" s="26" t="s">
        <v>662</v>
      </c>
    </row>
    <row r="36" spans="1:27" ht="15">
      <c r="A36" s="98" t="s">
        <v>582</v>
      </c>
      <c r="B36" s="26" t="s">
        <v>663</v>
      </c>
    </row>
    <row r="37" spans="1:27" ht="15">
      <c r="B37" s="26" t="s">
        <v>664</v>
      </c>
    </row>
    <row r="38" spans="1:27" ht="15">
      <c r="B38" s="26" t="s">
        <v>665</v>
      </c>
    </row>
    <row r="39" spans="1:27" ht="15">
      <c r="B39" s="26" t="s">
        <v>666</v>
      </c>
    </row>
    <row r="40" spans="1:27" ht="15">
      <c r="B40" s="26" t="s">
        <v>667</v>
      </c>
    </row>
    <row r="41" spans="1:27" ht="15">
      <c r="B41" s="26" t="s">
        <v>668</v>
      </c>
    </row>
    <row r="42" spans="1:27" ht="15">
      <c r="B42" s="26" t="s">
        <v>669</v>
      </c>
    </row>
    <row r="43" spans="1:27" s="773" customFormat="1" ht="67.5" customHeight="1">
      <c r="A43" s="45" t="s">
        <v>615</v>
      </c>
      <c r="B43" s="1842" t="s">
        <v>670</v>
      </c>
      <c r="C43" s="1842"/>
      <c r="D43" s="1842"/>
      <c r="E43" s="1842"/>
      <c r="F43" s="1842"/>
      <c r="G43" s="1842"/>
      <c r="H43" s="1842"/>
      <c r="I43" s="1842"/>
      <c r="J43" s="1842"/>
      <c r="K43" s="1842"/>
      <c r="L43" s="1842"/>
      <c r="M43" s="1289"/>
      <c r="N43" s="1289"/>
      <c r="O43" s="1289"/>
      <c r="P43" s="1289"/>
      <c r="Q43" s="1289"/>
      <c r="R43" s="1585"/>
      <c r="S43" s="1585"/>
      <c r="T43" s="1585"/>
      <c r="U43" s="1585"/>
      <c r="V43" s="1585"/>
      <c r="W43" s="770"/>
      <c r="X43" s="770"/>
      <c r="Y43" s="770"/>
      <c r="Z43" s="770"/>
      <c r="AA43" s="770"/>
    </row>
    <row r="44" spans="1:27" s="773" customFormat="1" ht="12.75" customHeight="1">
      <c r="M44" s="1292"/>
      <c r="N44" s="1292"/>
      <c r="O44" s="1292"/>
      <c r="P44" s="1292"/>
      <c r="Q44" s="1292"/>
      <c r="R44" s="1588"/>
      <c r="S44" s="1588"/>
      <c r="T44" s="1588"/>
      <c r="U44" s="1588"/>
      <c r="V44" s="1588"/>
    </row>
  </sheetData>
  <mergeCells count="17">
    <mergeCell ref="W5:AA5"/>
    <mergeCell ref="AB5:AF5"/>
    <mergeCell ref="AG5:AK5"/>
    <mergeCell ref="A3:L3"/>
    <mergeCell ref="W3:AH3"/>
    <mergeCell ref="M5:Q5"/>
    <mergeCell ref="R5:V5"/>
    <mergeCell ref="C2:I2"/>
    <mergeCell ref="A5:A6"/>
    <mergeCell ref="B5:B6"/>
    <mergeCell ref="C5:G5"/>
    <mergeCell ref="H5:L5"/>
    <mergeCell ref="B32:L32"/>
    <mergeCell ref="B33:L33"/>
    <mergeCell ref="B34:L34"/>
    <mergeCell ref="B43:L43"/>
    <mergeCell ref="B31:L31"/>
  </mergeCells>
  <pageMargins left="0.56999999999999995" right="0.15748031496062992" top="0.78740157480314965" bottom="0.39370078740157483" header="0.19685039370078741" footer="0.19685039370078741"/>
  <pageSetup paperSize="9" scale="44" orientation="landscape" r:id="rId1"/>
  <headerFooter alignWithMargins="0"/>
  <colBreaks count="1" manualBreakCount="1">
    <brk id="22" max="27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N27"/>
  <sheetViews>
    <sheetView view="pageBreakPreview" zoomScale="80" zoomScaleNormal="100" zoomScaleSheetLayoutView="8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V15" sqref="V15"/>
    </sheetView>
  </sheetViews>
  <sheetFormatPr defaultColWidth="7.85546875" defaultRowHeight="12" customHeight="1"/>
  <cols>
    <col min="1" max="1" width="4.28515625" style="26" customWidth="1"/>
    <col min="2" max="2" width="30.140625" style="26" customWidth="1"/>
    <col min="3" max="3" width="13.7109375" style="26" customWidth="1"/>
    <col min="4" max="4" width="11" style="26" customWidth="1"/>
    <col min="5" max="5" width="13.7109375" style="26" customWidth="1"/>
    <col min="6" max="6" width="9.42578125" style="26" customWidth="1"/>
    <col min="7" max="7" width="13.7109375" style="26" customWidth="1"/>
    <col min="8" max="8" width="11" style="26" customWidth="1"/>
    <col min="9" max="9" width="13.7109375" style="26" customWidth="1"/>
    <col min="10" max="10" width="11.5703125" style="26" customWidth="1"/>
    <col min="11" max="11" width="13.7109375" style="26" customWidth="1"/>
    <col min="12" max="12" width="10.140625" style="26" customWidth="1"/>
    <col min="13" max="13" width="13.7109375" style="26" customWidth="1"/>
    <col min="14" max="14" width="9.7109375" style="26" customWidth="1"/>
    <col min="15" max="16384" width="7.85546875" style="26"/>
  </cols>
  <sheetData>
    <row r="1" spans="1:14" s="24" customFormat="1" ht="18" customHeight="1">
      <c r="A1" s="74" t="s">
        <v>765</v>
      </c>
      <c r="J1" s="25"/>
      <c r="N1" s="25" t="s">
        <v>768</v>
      </c>
    </row>
    <row r="2" spans="1:14" ht="24.75" customHeight="1">
      <c r="A2" s="105" t="str">
        <f>'3.1'!$A$2</f>
        <v>ПКГО - Комбинированная выработка КТЭЦ</v>
      </c>
    </row>
    <row r="3" spans="1:14" ht="25.5" customHeight="1">
      <c r="A3" s="1876" t="s">
        <v>114</v>
      </c>
      <c r="B3" s="1876"/>
      <c r="C3" s="1876"/>
      <c r="D3" s="1876"/>
      <c r="E3" s="1876"/>
      <c r="F3" s="1876"/>
      <c r="G3" s="1876"/>
      <c r="H3" s="1876"/>
      <c r="I3" s="1876"/>
      <c r="J3" s="1876"/>
      <c r="K3" s="1876"/>
      <c r="L3" s="1876"/>
      <c r="M3" s="1876"/>
      <c r="N3" s="1876"/>
    </row>
    <row r="4" spans="1:14" s="28" customFormat="1" ht="26.25" customHeight="1"/>
    <row r="5" spans="1:14" s="31" customFormat="1" ht="27" customHeight="1">
      <c r="A5" s="1873" t="s">
        <v>0</v>
      </c>
      <c r="B5" s="1858" t="s">
        <v>1</v>
      </c>
      <c r="C5" s="1846" t="s">
        <v>773</v>
      </c>
      <c r="D5" s="1846"/>
      <c r="E5" s="1846"/>
      <c r="F5" s="1846"/>
      <c r="G5" s="1846" t="s">
        <v>767</v>
      </c>
      <c r="H5" s="1846"/>
      <c r="I5" s="1846"/>
      <c r="J5" s="1846"/>
      <c r="K5" s="1846" t="s">
        <v>766</v>
      </c>
      <c r="L5" s="1846"/>
      <c r="M5" s="1846"/>
      <c r="N5" s="1846"/>
    </row>
    <row r="6" spans="1:14" s="31" customFormat="1" ht="141.75" customHeight="1">
      <c r="A6" s="1873"/>
      <c r="B6" s="1860"/>
      <c r="C6" s="275" t="s">
        <v>115</v>
      </c>
      <c r="D6" s="275" t="s">
        <v>116</v>
      </c>
      <c r="E6" s="275" t="s">
        <v>117</v>
      </c>
      <c r="F6" s="275" t="s">
        <v>118</v>
      </c>
      <c r="G6" s="30" t="s">
        <v>115</v>
      </c>
      <c r="H6" s="30" t="s">
        <v>116</v>
      </c>
      <c r="I6" s="30" t="s">
        <v>117</v>
      </c>
      <c r="J6" s="30" t="s">
        <v>118</v>
      </c>
      <c r="K6" s="30" t="s">
        <v>115</v>
      </c>
      <c r="L6" s="30" t="s">
        <v>116</v>
      </c>
      <c r="M6" s="30" t="s">
        <v>117</v>
      </c>
      <c r="N6" s="30" t="s">
        <v>118</v>
      </c>
    </row>
    <row r="7" spans="1:14" s="53" customFormat="1" ht="13.5" customHeight="1">
      <c r="A7" s="8">
        <v>1</v>
      </c>
      <c r="B7" s="8">
        <v>2</v>
      </c>
      <c r="C7" s="54">
        <v>7</v>
      </c>
      <c r="D7" s="54">
        <v>8</v>
      </c>
      <c r="E7" s="54">
        <v>9</v>
      </c>
      <c r="F7" s="54">
        <v>10</v>
      </c>
      <c r="G7" s="54">
        <v>7</v>
      </c>
      <c r="H7" s="54">
        <v>8</v>
      </c>
      <c r="I7" s="54">
        <v>9</v>
      </c>
      <c r="J7" s="54">
        <v>10</v>
      </c>
      <c r="K7" s="54">
        <v>7</v>
      </c>
      <c r="L7" s="54">
        <v>8</v>
      </c>
      <c r="M7" s="54">
        <v>9</v>
      </c>
      <c r="N7" s="54">
        <v>10</v>
      </c>
    </row>
    <row r="8" spans="1:14" s="77" customFormat="1" ht="30" customHeight="1">
      <c r="A8" s="123" t="s">
        <v>4</v>
      </c>
      <c r="B8" s="116" t="s">
        <v>119</v>
      </c>
      <c r="C8" s="118">
        <f t="shared" ref="C8:E8" si="0">C9+C10+C15</f>
        <v>321.22300000000001</v>
      </c>
      <c r="D8" s="118"/>
      <c r="E8" s="118">
        <f t="shared" si="0"/>
        <v>931.98900000000003</v>
      </c>
      <c r="F8" s="118"/>
      <c r="G8" s="118">
        <f t="shared" ref="G8:M8" si="1">G9+G10+G15</f>
        <v>321.22300000000001</v>
      </c>
      <c r="H8" s="118"/>
      <c r="I8" s="118">
        <f t="shared" si="1"/>
        <v>553.19400000000007</v>
      </c>
      <c r="J8" s="118"/>
      <c r="K8" s="118">
        <f t="shared" si="1"/>
        <v>321.22300000000001</v>
      </c>
      <c r="L8" s="118"/>
      <c r="M8" s="118">
        <f t="shared" si="1"/>
        <v>378.79499999999996</v>
      </c>
      <c r="N8" s="118"/>
    </row>
    <row r="9" spans="1:14" s="78" customFormat="1" ht="14.25">
      <c r="A9" s="86"/>
      <c r="B9" s="121" t="s">
        <v>120</v>
      </c>
      <c r="C9" s="122">
        <v>320.78500000000003</v>
      </c>
      <c r="D9" s="120"/>
      <c r="E9" s="120">
        <v>929.88900000000001</v>
      </c>
      <c r="F9" s="120"/>
      <c r="G9" s="122">
        <v>320.78500000000003</v>
      </c>
      <c r="H9" s="120"/>
      <c r="I9" s="120">
        <v>551.81100000000004</v>
      </c>
      <c r="J9" s="120"/>
      <c r="K9" s="122">
        <v>320.78500000000003</v>
      </c>
      <c r="L9" s="120"/>
      <c r="M9" s="120">
        <v>378.07799999999997</v>
      </c>
      <c r="N9" s="120"/>
    </row>
    <row r="10" spans="1:14" s="78" customFormat="1" ht="15" customHeight="1">
      <c r="A10" s="86"/>
      <c r="B10" s="121" t="s">
        <v>121</v>
      </c>
      <c r="C10" s="120">
        <v>0.438</v>
      </c>
      <c r="D10" s="120"/>
      <c r="E10" s="122">
        <v>2.1</v>
      </c>
      <c r="F10" s="120"/>
      <c r="G10" s="120">
        <v>0.438</v>
      </c>
      <c r="H10" s="120"/>
      <c r="I10" s="120">
        <v>1.383</v>
      </c>
      <c r="J10" s="120"/>
      <c r="K10" s="120">
        <f>K12</f>
        <v>0.438</v>
      </c>
      <c r="L10" s="120"/>
      <c r="M10" s="120">
        <f t="shared" ref="M10" si="2">M12</f>
        <v>0.71699999999999997</v>
      </c>
      <c r="N10" s="120"/>
    </row>
    <row r="11" spans="1:14" s="28" customFormat="1" ht="15" customHeight="1">
      <c r="A11" s="55"/>
      <c r="B11" s="57" t="s">
        <v>122</v>
      </c>
      <c r="C11" s="50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</row>
    <row r="12" spans="1:14" s="108" customFormat="1" ht="15" customHeight="1">
      <c r="A12" s="295"/>
      <c r="B12" s="296" t="s">
        <v>123</v>
      </c>
      <c r="C12" s="89">
        <v>0.438</v>
      </c>
      <c r="D12" s="89"/>
      <c r="E12" s="297">
        <v>2.1</v>
      </c>
      <c r="F12" s="89"/>
      <c r="G12" s="89">
        <v>0.438</v>
      </c>
      <c r="H12" s="89"/>
      <c r="I12" s="89">
        <v>1.383</v>
      </c>
      <c r="J12" s="89"/>
      <c r="K12" s="89">
        <v>0.438</v>
      </c>
      <c r="L12" s="89"/>
      <c r="M12" s="89">
        <v>0.71699999999999997</v>
      </c>
      <c r="N12" s="89"/>
    </row>
    <row r="13" spans="1:14" s="28" customFormat="1" ht="15" customHeight="1">
      <c r="A13" s="55"/>
      <c r="B13" s="57" t="s">
        <v>124</v>
      </c>
      <c r="C13" s="50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</row>
    <row r="14" spans="1:14" s="28" customFormat="1" ht="15" customHeight="1">
      <c r="A14" s="55"/>
      <c r="B14" s="57" t="s">
        <v>125</v>
      </c>
      <c r="C14" s="50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</row>
    <row r="15" spans="1:14" s="294" customFormat="1" ht="15">
      <c r="A15" s="292"/>
      <c r="B15" s="293" t="s">
        <v>126</v>
      </c>
      <c r="C15" s="52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</row>
    <row r="16" spans="1:14" s="77" customFormat="1" ht="29.25" customHeight="1">
      <c r="A16" s="115"/>
      <c r="B16" s="116" t="s">
        <v>127</v>
      </c>
      <c r="C16" s="117">
        <f t="shared" ref="C16:E16" si="3">C17</f>
        <v>241.74299999999999</v>
      </c>
      <c r="D16" s="117"/>
      <c r="E16" s="117">
        <f t="shared" si="3"/>
        <v>713.88900000000001</v>
      </c>
      <c r="F16" s="117"/>
      <c r="G16" s="117">
        <f t="shared" ref="G16:M16" si="4">G17</f>
        <v>241.74299999999999</v>
      </c>
      <c r="H16" s="117"/>
      <c r="I16" s="117">
        <f t="shared" si="4"/>
        <v>406.33100000000002</v>
      </c>
      <c r="J16" s="117"/>
      <c r="K16" s="117">
        <f t="shared" si="4"/>
        <v>241.74299999999999</v>
      </c>
      <c r="L16" s="117"/>
      <c r="M16" s="117">
        <f t="shared" si="4"/>
        <v>307.55799999999999</v>
      </c>
      <c r="N16" s="117"/>
    </row>
    <row r="17" spans="1:14" s="28" customFormat="1" ht="15">
      <c r="A17" s="55"/>
      <c r="B17" s="57" t="s">
        <v>120</v>
      </c>
      <c r="C17" s="50">
        <v>241.74299999999999</v>
      </c>
      <c r="D17" s="114"/>
      <c r="E17" s="50">
        <v>713.88900000000001</v>
      </c>
      <c r="F17" s="50"/>
      <c r="G17" s="50">
        <v>241.74299999999999</v>
      </c>
      <c r="H17" s="114"/>
      <c r="I17" s="50">
        <v>406.33100000000002</v>
      </c>
      <c r="J17" s="50"/>
      <c r="K17" s="50">
        <v>241.74299999999999</v>
      </c>
      <c r="L17" s="114"/>
      <c r="M17" s="50">
        <v>307.55799999999999</v>
      </c>
      <c r="N17" s="50"/>
    </row>
    <row r="18" spans="1:14" s="28" customFormat="1" ht="15" customHeight="1">
      <c r="A18" s="55"/>
      <c r="B18" s="57" t="s">
        <v>121</v>
      </c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</row>
    <row r="19" spans="1:14" s="28" customFormat="1" ht="15" customHeight="1">
      <c r="A19" s="55"/>
      <c r="B19" s="57" t="s">
        <v>122</v>
      </c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</row>
    <row r="20" spans="1:14" s="28" customFormat="1" ht="15" customHeight="1">
      <c r="A20" s="55"/>
      <c r="B20" s="57" t="s">
        <v>123</v>
      </c>
      <c r="C20" s="50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</row>
    <row r="21" spans="1:14" s="28" customFormat="1" ht="15" customHeight="1">
      <c r="A21" s="55"/>
      <c r="B21" s="57" t="s">
        <v>124</v>
      </c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</row>
    <row r="22" spans="1:14" s="28" customFormat="1" ht="15" customHeight="1">
      <c r="A22" s="55"/>
      <c r="B22" s="57" t="s">
        <v>125</v>
      </c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</row>
    <row r="23" spans="1:14" s="28" customFormat="1" ht="15" customHeight="1">
      <c r="A23" s="55"/>
      <c r="B23" s="56" t="s">
        <v>126</v>
      </c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</row>
    <row r="24" spans="1:14" ht="9" customHeight="1"/>
    <row r="25" spans="1:14" ht="13.5" customHeight="1">
      <c r="A25" s="26" t="s">
        <v>88</v>
      </c>
    </row>
    <row r="26" spans="1:14" s="28" customFormat="1" ht="29.25" customHeight="1">
      <c r="A26" s="45" t="s">
        <v>89</v>
      </c>
      <c r="B26" s="1842" t="s">
        <v>128</v>
      </c>
      <c r="C26" s="1842"/>
      <c r="D26" s="1842"/>
      <c r="E26" s="1842"/>
      <c r="F26" s="1842"/>
      <c r="G26" s="1842"/>
      <c r="H26" s="1842"/>
      <c r="I26" s="1842"/>
      <c r="J26" s="1842"/>
    </row>
    <row r="27" spans="1:14" s="28" customFormat="1" ht="15">
      <c r="A27" s="45" t="s">
        <v>91</v>
      </c>
      <c r="B27" s="28" t="s">
        <v>129</v>
      </c>
    </row>
  </sheetData>
  <mergeCells count="7">
    <mergeCell ref="B26:J26"/>
    <mergeCell ref="K5:N5"/>
    <mergeCell ref="A3:N3"/>
    <mergeCell ref="A5:A6"/>
    <mergeCell ref="B5:B6"/>
    <mergeCell ref="C5:F5"/>
    <mergeCell ref="G5:J5"/>
  </mergeCells>
  <pageMargins left="0.78740157480314965" right="0.22" top="0.78740157480314965" bottom="0.39370078740157483" header="0.19685039370078741" footer="0.19685039370078741"/>
  <pageSetup paperSize="9" scale="69" orientation="landscape" r:id="rId1"/>
  <headerFooter alignWithMargins="0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</sheetPr>
  <dimension ref="A1:AK44"/>
  <sheetViews>
    <sheetView view="pageBreakPreview" zoomScale="90" zoomScaleNormal="100" zoomScaleSheetLayoutView="90" workbookViewId="0">
      <pane xSplit="2" ySplit="6" topLeftCell="E7" activePane="bottomRight" state="frozen"/>
      <selection activeCell="F148" sqref="F148"/>
      <selection pane="topRight" activeCell="F148" sqref="F148"/>
      <selection pane="bottomLeft" activeCell="F148" sqref="F148"/>
      <selection pane="bottomRight" activeCell="F148" sqref="F148"/>
    </sheetView>
  </sheetViews>
  <sheetFormatPr defaultColWidth="0.85546875" defaultRowHeight="12" customHeight="1"/>
  <cols>
    <col min="1" max="1" width="4.42578125" style="26" customWidth="1"/>
    <col min="2" max="2" width="39" style="26" customWidth="1"/>
    <col min="3" max="3" width="11" style="26" customWidth="1"/>
    <col min="4" max="4" width="11.85546875" style="26" customWidth="1"/>
    <col min="5" max="8" width="11" style="26" customWidth="1"/>
    <col min="9" max="9" width="11.85546875" style="26" customWidth="1"/>
    <col min="10" max="11" width="11" style="26" customWidth="1"/>
    <col min="12" max="12" width="11.5703125" style="26" customWidth="1"/>
    <col min="13" max="13" width="11" style="26" customWidth="1"/>
    <col min="14" max="14" width="12" style="26" customWidth="1"/>
    <col min="15" max="16" width="11" style="26" customWidth="1"/>
    <col min="17" max="22" width="12.140625" style="26" customWidth="1"/>
    <col min="23" max="23" width="11" style="26" customWidth="1"/>
    <col min="24" max="24" width="11.42578125" style="26" customWidth="1"/>
    <col min="25" max="26" width="11" style="26" customWidth="1"/>
    <col min="27" max="27" width="12" style="26" customWidth="1"/>
    <col min="28" max="28" width="11" style="26" customWidth="1"/>
    <col min="29" max="29" width="11.85546875" style="26" customWidth="1"/>
    <col min="30" max="33" width="11" style="26" customWidth="1"/>
    <col min="34" max="34" width="12.28515625" style="26" customWidth="1"/>
    <col min="35" max="37" width="11" style="26" customWidth="1"/>
    <col min="38" max="271" width="2.7109375" style="26" customWidth="1"/>
    <col min="272" max="16384" width="0.85546875" style="26"/>
  </cols>
  <sheetData>
    <row r="1" spans="1:37" s="24" customFormat="1" ht="21" customHeight="1">
      <c r="A1" s="74" t="s">
        <v>765</v>
      </c>
      <c r="L1" s="25" t="s">
        <v>651</v>
      </c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F1" s="25"/>
      <c r="AK1" s="25" t="s">
        <v>651</v>
      </c>
    </row>
    <row r="2" spans="1:37" ht="18.75" customHeight="1">
      <c r="A2" s="759" t="str">
        <f>'4.1_котельные'!A2</f>
        <v>ПКГО - выработка котельными</v>
      </c>
      <c r="C2" s="1998"/>
      <c r="D2" s="1999"/>
      <c r="E2" s="1999"/>
      <c r="F2" s="1999"/>
      <c r="G2" s="1999"/>
      <c r="H2" s="1999"/>
      <c r="I2" s="1999"/>
      <c r="L2" s="858"/>
      <c r="M2" s="858"/>
      <c r="N2" s="858"/>
      <c r="O2" s="858"/>
      <c r="P2" s="858"/>
      <c r="Q2" s="858"/>
      <c r="R2" s="858"/>
      <c r="S2" s="858"/>
      <c r="T2" s="858"/>
      <c r="U2" s="858"/>
      <c r="V2" s="858"/>
    </row>
    <row r="3" spans="1:37" ht="54" customHeight="1">
      <c r="A3" s="1968" t="s">
        <v>652</v>
      </c>
      <c r="B3" s="1916"/>
      <c r="C3" s="1916"/>
      <c r="D3" s="1916"/>
      <c r="E3" s="1916"/>
      <c r="F3" s="1916"/>
      <c r="G3" s="1916"/>
      <c r="H3" s="1916"/>
      <c r="I3" s="1916"/>
      <c r="J3" s="1916"/>
      <c r="K3" s="1916"/>
      <c r="L3" s="1916"/>
      <c r="M3" s="1291"/>
      <c r="N3" s="1291"/>
      <c r="O3" s="1291"/>
      <c r="P3" s="1291"/>
      <c r="Q3" s="1291"/>
      <c r="R3" s="1587"/>
      <c r="S3" s="1587"/>
      <c r="T3" s="1587"/>
      <c r="U3" s="1587"/>
      <c r="V3" s="1587"/>
      <c r="W3" s="1968" t="s">
        <v>652</v>
      </c>
      <c r="X3" s="1916"/>
      <c r="Y3" s="1916"/>
      <c r="Z3" s="1916"/>
      <c r="AA3" s="1916"/>
      <c r="AB3" s="1916"/>
      <c r="AC3" s="1916"/>
      <c r="AD3" s="1916"/>
      <c r="AE3" s="1916"/>
      <c r="AF3" s="1916"/>
      <c r="AG3" s="1916"/>
      <c r="AH3" s="1916"/>
      <c r="AI3" s="1133"/>
      <c r="AJ3" s="1133"/>
      <c r="AK3" s="1133"/>
    </row>
    <row r="4" spans="1:37" ht="12" customHeight="1">
      <c r="A4" s="27"/>
      <c r="B4" s="27"/>
      <c r="C4" s="27"/>
      <c r="D4" s="27"/>
      <c r="E4" s="27"/>
      <c r="F4" s="27"/>
      <c r="G4" s="27"/>
      <c r="H4" s="27"/>
      <c r="I4" s="27"/>
      <c r="AB4" s="27"/>
      <c r="AC4" s="27"/>
      <c r="AG4" s="27"/>
      <c r="AH4" s="27"/>
    </row>
    <row r="5" spans="1:37" s="31" customFormat="1" ht="15" customHeight="1">
      <c r="A5" s="1873" t="s">
        <v>0</v>
      </c>
      <c r="B5" s="1873" t="s">
        <v>1</v>
      </c>
      <c r="C5" s="1834" t="s">
        <v>771</v>
      </c>
      <c r="D5" s="1835"/>
      <c r="E5" s="1835"/>
      <c r="F5" s="1835"/>
      <c r="G5" s="1836"/>
      <c r="H5" s="1834" t="s">
        <v>1705</v>
      </c>
      <c r="I5" s="1835"/>
      <c r="J5" s="1835"/>
      <c r="K5" s="1835"/>
      <c r="L5" s="1836"/>
      <c r="M5" s="1834" t="s">
        <v>1856</v>
      </c>
      <c r="N5" s="1835"/>
      <c r="O5" s="1835"/>
      <c r="P5" s="1835"/>
      <c r="Q5" s="1836"/>
      <c r="R5" s="1834" t="s">
        <v>1834</v>
      </c>
      <c r="S5" s="1835"/>
      <c r="T5" s="1835"/>
      <c r="U5" s="1835"/>
      <c r="V5" s="1836"/>
      <c r="W5" s="1834" t="s">
        <v>1688</v>
      </c>
      <c r="X5" s="1835"/>
      <c r="Y5" s="1835"/>
      <c r="Z5" s="1835"/>
      <c r="AA5" s="1836"/>
      <c r="AB5" s="1834" t="s">
        <v>1830</v>
      </c>
      <c r="AC5" s="1835"/>
      <c r="AD5" s="1835"/>
      <c r="AE5" s="1835"/>
      <c r="AF5" s="1836"/>
      <c r="AG5" s="1834" t="s">
        <v>1831</v>
      </c>
      <c r="AH5" s="1835"/>
      <c r="AI5" s="1835"/>
      <c r="AJ5" s="1835"/>
      <c r="AK5" s="1836"/>
    </row>
    <row r="6" spans="1:37" s="31" customFormat="1" ht="153" customHeight="1">
      <c r="A6" s="1873"/>
      <c r="B6" s="1873"/>
      <c r="C6" s="771" t="s">
        <v>588</v>
      </c>
      <c r="D6" s="771" t="s">
        <v>653</v>
      </c>
      <c r="E6" s="771" t="s">
        <v>593</v>
      </c>
      <c r="F6" s="771" t="s">
        <v>594</v>
      </c>
      <c r="G6" s="771" t="s">
        <v>595</v>
      </c>
      <c r="H6" s="771" t="s">
        <v>588</v>
      </c>
      <c r="I6" s="771" t="s">
        <v>653</v>
      </c>
      <c r="J6" s="771" t="s">
        <v>593</v>
      </c>
      <c r="K6" s="771" t="s">
        <v>594</v>
      </c>
      <c r="L6" s="771" t="s">
        <v>595</v>
      </c>
      <c r="M6" s="1288" t="s">
        <v>588</v>
      </c>
      <c r="N6" s="1288" t="s">
        <v>653</v>
      </c>
      <c r="O6" s="1288" t="s">
        <v>593</v>
      </c>
      <c r="P6" s="1288" t="s">
        <v>594</v>
      </c>
      <c r="Q6" s="1288" t="s">
        <v>595</v>
      </c>
      <c r="R6" s="1584" t="s">
        <v>588</v>
      </c>
      <c r="S6" s="1584" t="s">
        <v>653</v>
      </c>
      <c r="T6" s="1584" t="s">
        <v>593</v>
      </c>
      <c r="U6" s="1584" t="s">
        <v>594</v>
      </c>
      <c r="V6" s="1584" t="s">
        <v>595</v>
      </c>
      <c r="W6" s="771" t="s">
        <v>588</v>
      </c>
      <c r="X6" s="771" t="s">
        <v>653</v>
      </c>
      <c r="Y6" s="771" t="s">
        <v>593</v>
      </c>
      <c r="Z6" s="771" t="s">
        <v>594</v>
      </c>
      <c r="AA6" s="771" t="s">
        <v>595</v>
      </c>
      <c r="AB6" s="771" t="s">
        <v>588</v>
      </c>
      <c r="AC6" s="771" t="s">
        <v>653</v>
      </c>
      <c r="AD6" s="771" t="s">
        <v>593</v>
      </c>
      <c r="AE6" s="771" t="s">
        <v>594</v>
      </c>
      <c r="AF6" s="771" t="s">
        <v>595</v>
      </c>
      <c r="AG6" s="771" t="s">
        <v>588</v>
      </c>
      <c r="AH6" s="771" t="s">
        <v>653</v>
      </c>
      <c r="AI6" s="771" t="s">
        <v>593</v>
      </c>
      <c r="AJ6" s="771" t="s">
        <v>594</v>
      </c>
      <c r="AK6" s="771" t="s">
        <v>595</v>
      </c>
    </row>
    <row r="7" spans="1:37" s="48" customFormat="1" ht="14.25" customHeight="1">
      <c r="A7" s="13">
        <v>1</v>
      </c>
      <c r="B7" s="13">
        <v>2</v>
      </c>
      <c r="C7" s="33">
        <v>3</v>
      </c>
      <c r="D7" s="33">
        <v>4</v>
      </c>
      <c r="E7" s="33">
        <v>5</v>
      </c>
      <c r="F7" s="33">
        <v>6</v>
      </c>
      <c r="G7" s="33">
        <v>7</v>
      </c>
      <c r="H7" s="33">
        <v>8</v>
      </c>
      <c r="I7" s="33">
        <v>9</v>
      </c>
      <c r="J7" s="33">
        <v>10</v>
      </c>
      <c r="K7" s="33">
        <v>11</v>
      </c>
      <c r="L7" s="33">
        <v>12</v>
      </c>
      <c r="M7" s="33">
        <v>13</v>
      </c>
      <c r="N7" s="33">
        <v>14</v>
      </c>
      <c r="O7" s="33">
        <v>15</v>
      </c>
      <c r="P7" s="33">
        <v>16</v>
      </c>
      <c r="Q7" s="33">
        <v>17</v>
      </c>
      <c r="R7" s="33"/>
      <c r="S7" s="33"/>
      <c r="T7" s="33"/>
      <c r="U7" s="33"/>
      <c r="V7" s="33"/>
      <c r="W7" s="33">
        <v>18</v>
      </c>
      <c r="X7" s="33">
        <v>19</v>
      </c>
      <c r="Y7" s="33">
        <v>20</v>
      </c>
      <c r="Z7" s="33">
        <v>21</v>
      </c>
      <c r="AA7" s="33">
        <v>22</v>
      </c>
      <c r="AB7" s="33">
        <v>23</v>
      </c>
      <c r="AC7" s="33">
        <v>24</v>
      </c>
      <c r="AD7" s="33">
        <v>25</v>
      </c>
      <c r="AE7" s="33">
        <v>26</v>
      </c>
      <c r="AF7" s="33">
        <v>27</v>
      </c>
      <c r="AG7" s="33">
        <v>28</v>
      </c>
      <c r="AH7" s="33">
        <v>29</v>
      </c>
      <c r="AI7" s="33">
        <v>30</v>
      </c>
      <c r="AJ7" s="33">
        <v>31</v>
      </c>
      <c r="AK7" s="33">
        <v>32</v>
      </c>
    </row>
    <row r="8" spans="1:37" s="773" customFormat="1" ht="14.25" customHeight="1">
      <c r="A8" s="60" t="s">
        <v>4</v>
      </c>
      <c r="B8" s="61" t="s">
        <v>48</v>
      </c>
      <c r="C8" s="260">
        <f t="shared" ref="C8:D8" si="0">C9</f>
        <v>410.57600000000002</v>
      </c>
      <c r="D8" s="260">
        <f t="shared" si="0"/>
        <v>145</v>
      </c>
      <c r="E8" s="260"/>
      <c r="F8" s="260"/>
      <c r="G8" s="260"/>
      <c r="H8" s="260">
        <f t="shared" ref="H8:X8" si="1">H9</f>
        <v>399.63940000000008</v>
      </c>
      <c r="I8" s="260">
        <f t="shared" si="1"/>
        <v>143.79300000000001</v>
      </c>
      <c r="J8" s="260"/>
      <c r="K8" s="260"/>
      <c r="L8" s="260"/>
      <c r="M8" s="260">
        <f t="shared" si="1"/>
        <v>377.28214835200004</v>
      </c>
      <c r="N8" s="260">
        <f t="shared" si="1"/>
        <v>143.79300000000001</v>
      </c>
      <c r="O8" s="260"/>
      <c r="P8" s="260"/>
      <c r="Q8" s="260"/>
      <c r="R8" s="260">
        <f t="shared" si="1"/>
        <v>400.41050000000007</v>
      </c>
      <c r="S8" s="260">
        <f t="shared" si="1"/>
        <v>143.79300000000001</v>
      </c>
      <c r="T8" s="260"/>
      <c r="U8" s="260"/>
      <c r="V8" s="260"/>
      <c r="W8" s="260">
        <f t="shared" si="1"/>
        <v>389</v>
      </c>
      <c r="X8" s="260">
        <f t="shared" si="1"/>
        <v>143.79300000000001</v>
      </c>
      <c r="Y8" s="260"/>
      <c r="Z8" s="260"/>
      <c r="AA8" s="260"/>
      <c r="AB8" s="260">
        <f t="shared" ref="AB8:AC8" si="2">AB9</f>
        <v>237.10000000000002</v>
      </c>
      <c r="AC8" s="260">
        <f t="shared" si="2"/>
        <v>143.79300000000001</v>
      </c>
      <c r="AD8" s="260"/>
      <c r="AE8" s="260"/>
      <c r="AF8" s="260"/>
      <c r="AG8" s="260">
        <f t="shared" ref="AG8:AH8" si="3">AG9</f>
        <v>151.9</v>
      </c>
      <c r="AH8" s="260">
        <f t="shared" si="3"/>
        <v>143.79300000000001</v>
      </c>
      <c r="AI8" s="260"/>
      <c r="AJ8" s="260"/>
      <c r="AK8" s="260"/>
    </row>
    <row r="9" spans="1:37" s="773" customFormat="1" ht="14.25" customHeight="1">
      <c r="A9" s="60" t="s">
        <v>5</v>
      </c>
      <c r="B9" s="70" t="s">
        <v>596</v>
      </c>
      <c r="C9" s="260">
        <f>'6.2_передача (котельн)'!D10</f>
        <v>410.57600000000002</v>
      </c>
      <c r="D9" s="260">
        <f>'6.2_передача (котельн)'!D12</f>
        <v>145</v>
      </c>
      <c r="E9" s="67"/>
      <c r="F9" s="67"/>
      <c r="G9" s="67"/>
      <c r="H9" s="260">
        <f>'6.2_передача (котельн)'!E10</f>
        <v>399.63940000000008</v>
      </c>
      <c r="I9" s="260">
        <f>'6.2_передача (котельн)'!E12</f>
        <v>143.79300000000001</v>
      </c>
      <c r="J9" s="67"/>
      <c r="K9" s="67"/>
      <c r="L9" s="260"/>
      <c r="M9" s="260">
        <f>'6.2_передача (котельн)'!F10</f>
        <v>377.28214835200004</v>
      </c>
      <c r="N9" s="260">
        <f>'6.2_передача (котельн)'!F12</f>
        <v>143.79300000000001</v>
      </c>
      <c r="O9" s="67"/>
      <c r="P9" s="67"/>
      <c r="Q9" s="260"/>
      <c r="R9" s="260">
        <f>'6.2_передача (котельн)'!G10</f>
        <v>400.41050000000007</v>
      </c>
      <c r="S9" s="260">
        <f>'6.2_передача (котельн)'!G12</f>
        <v>143.79300000000001</v>
      </c>
      <c r="T9" s="67"/>
      <c r="U9" s="67"/>
      <c r="V9" s="260"/>
      <c r="W9" s="260">
        <f>'6.2_передача (котельн)'!H10</f>
        <v>389</v>
      </c>
      <c r="X9" s="260">
        <f>'6.2_передача (котельн)'!H12</f>
        <v>143.79300000000001</v>
      </c>
      <c r="Y9" s="67"/>
      <c r="Z9" s="67"/>
      <c r="AA9" s="67"/>
      <c r="AB9" s="260">
        <f>'6.2_передача (котельн)'!I10</f>
        <v>237.10000000000002</v>
      </c>
      <c r="AC9" s="260">
        <f>'6.2_передача (котельн)'!I12</f>
        <v>143.79300000000001</v>
      </c>
      <c r="AD9" s="67"/>
      <c r="AE9" s="67"/>
      <c r="AF9" s="67"/>
      <c r="AG9" s="260">
        <f>'6.2_передача (котельн)'!J10</f>
        <v>151.9</v>
      </c>
      <c r="AH9" s="260">
        <f>'6.2_передача (котельн)'!J12</f>
        <v>143.79300000000001</v>
      </c>
      <c r="AI9" s="67"/>
      <c r="AJ9" s="67"/>
      <c r="AK9" s="67"/>
    </row>
    <row r="10" spans="1:37" s="773" customFormat="1" ht="18">
      <c r="A10" s="60" t="s">
        <v>11</v>
      </c>
      <c r="B10" s="70" t="s">
        <v>597</v>
      </c>
      <c r="C10" s="260"/>
      <c r="D10" s="260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  <c r="AD10" s="67"/>
      <c r="AE10" s="67"/>
      <c r="AF10" s="67"/>
      <c r="AG10" s="67"/>
      <c r="AH10" s="67"/>
      <c r="AI10" s="67"/>
      <c r="AJ10" s="67"/>
      <c r="AK10" s="67"/>
    </row>
    <row r="11" spans="1:37" s="773" customFormat="1" ht="18">
      <c r="A11" s="60" t="s">
        <v>445</v>
      </c>
      <c r="B11" s="70" t="s">
        <v>598</v>
      </c>
      <c r="C11" s="260"/>
      <c r="D11" s="260"/>
      <c r="E11" s="67"/>
      <c r="F11" s="67"/>
      <c r="G11" s="67"/>
      <c r="H11" s="260"/>
      <c r="I11" s="260"/>
      <c r="J11" s="67"/>
      <c r="K11" s="67"/>
      <c r="L11" s="67"/>
      <c r="M11" s="260"/>
      <c r="N11" s="260"/>
      <c r="O11" s="67"/>
      <c r="P11" s="67"/>
      <c r="Q11" s="67"/>
      <c r="R11" s="260"/>
      <c r="S11" s="260"/>
      <c r="T11" s="67"/>
      <c r="U11" s="67"/>
      <c r="V11" s="67"/>
      <c r="W11" s="260"/>
      <c r="X11" s="260"/>
      <c r="Y11" s="67"/>
      <c r="Z11" s="67"/>
      <c r="AA11" s="67"/>
      <c r="AB11" s="260"/>
      <c r="AC11" s="260"/>
      <c r="AD11" s="67"/>
      <c r="AE11" s="67"/>
      <c r="AF11" s="67"/>
      <c r="AG11" s="260"/>
      <c r="AH11" s="260"/>
      <c r="AI11" s="67"/>
      <c r="AJ11" s="67"/>
      <c r="AK11" s="67"/>
    </row>
    <row r="12" spans="1:37" s="773" customFormat="1" ht="18">
      <c r="A12" s="60" t="s">
        <v>446</v>
      </c>
      <c r="B12" s="70" t="s">
        <v>599</v>
      </c>
      <c r="C12" s="67"/>
      <c r="D12" s="67"/>
      <c r="E12" s="67"/>
      <c r="F12" s="67"/>
      <c r="G12" s="67"/>
      <c r="H12" s="67"/>
      <c r="I12" s="67"/>
      <c r="J12" s="67"/>
      <c r="K12" s="67"/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  <c r="AD12" s="67"/>
      <c r="AE12" s="67"/>
      <c r="AF12" s="67"/>
      <c r="AG12" s="67"/>
      <c r="AH12" s="67"/>
      <c r="AI12" s="67"/>
      <c r="AJ12" s="67"/>
      <c r="AK12" s="67"/>
    </row>
    <row r="13" spans="1:37" s="773" customFormat="1" ht="18">
      <c r="A13" s="60" t="s">
        <v>461</v>
      </c>
      <c r="B13" s="70" t="s">
        <v>600</v>
      </c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</row>
    <row r="14" spans="1:37" s="773" customFormat="1" ht="14.25" customHeight="1">
      <c r="A14" s="60" t="s">
        <v>514</v>
      </c>
      <c r="B14" s="70" t="s">
        <v>601</v>
      </c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</row>
    <row r="15" spans="1:37" s="773" customFormat="1" ht="14.25" customHeight="1">
      <c r="A15" s="60"/>
      <c r="B15" s="70" t="s">
        <v>26</v>
      </c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</row>
    <row r="16" spans="1:37" s="773" customFormat="1" ht="14.25" customHeight="1">
      <c r="A16" s="60" t="s">
        <v>434</v>
      </c>
      <c r="B16" s="70" t="s">
        <v>602</v>
      </c>
      <c r="C16" s="67"/>
      <c r="D16" s="67"/>
      <c r="E16" s="67"/>
      <c r="F16" s="67"/>
      <c r="G16" s="67"/>
      <c r="H16" s="67"/>
      <c r="I16" s="67"/>
      <c r="J16" s="67"/>
      <c r="K16" s="67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  <c r="AD16" s="67"/>
      <c r="AE16" s="67"/>
      <c r="AF16" s="67"/>
      <c r="AG16" s="67"/>
      <c r="AH16" s="67"/>
      <c r="AI16" s="67"/>
      <c r="AJ16" s="67"/>
      <c r="AK16" s="67"/>
    </row>
    <row r="17" spans="1:37" s="773" customFormat="1" ht="14.25" customHeight="1">
      <c r="A17" s="60"/>
      <c r="B17" s="70" t="s">
        <v>26</v>
      </c>
      <c r="C17" s="67"/>
      <c r="D17" s="67"/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</row>
    <row r="18" spans="1:37" s="294" customFormat="1" ht="45">
      <c r="A18" s="829" t="s">
        <v>603</v>
      </c>
      <c r="B18" s="833" t="s">
        <v>654</v>
      </c>
      <c r="C18" s="874"/>
      <c r="D18" s="874"/>
      <c r="E18" s="306">
        <f t="shared" ref="E18:G18" si="4">E19</f>
        <v>3831.91034223919</v>
      </c>
      <c r="F18" s="306">
        <f t="shared" si="4"/>
        <v>2049.2408874906746</v>
      </c>
      <c r="G18" s="306">
        <f t="shared" si="4"/>
        <v>577.09399211954019</v>
      </c>
      <c r="H18" s="874"/>
      <c r="I18" s="874"/>
      <c r="J18" s="306">
        <f t="shared" ref="J18:L18" si="5">J19</f>
        <v>4106.3988335394333</v>
      </c>
      <c r="K18" s="306">
        <f t="shared" si="5"/>
        <v>2063.7645458041466</v>
      </c>
      <c r="L18" s="306">
        <f t="shared" si="5"/>
        <v>604.16291024195209</v>
      </c>
      <c r="M18" s="874"/>
      <c r="N18" s="874"/>
      <c r="O18" s="306">
        <f t="shared" ref="O18:Q18" si="6">O19</f>
        <v>4617.775280396334</v>
      </c>
      <c r="P18" s="306">
        <f t="shared" si="6"/>
        <v>2168.9406552267292</v>
      </c>
      <c r="Q18" s="306">
        <f t="shared" si="6"/>
        <v>651.25197602537276</v>
      </c>
      <c r="R18" s="874"/>
      <c r="S18" s="874"/>
      <c r="T18" s="306">
        <f t="shared" ref="T18:V18" si="7">T19</f>
        <v>4841.8471316730738</v>
      </c>
      <c r="U18" s="306">
        <f t="shared" si="7"/>
        <v>2398.7136546152433</v>
      </c>
      <c r="V18" s="306">
        <f t="shared" si="7"/>
        <v>703.96927643672961</v>
      </c>
      <c r="W18" s="306"/>
      <c r="X18" s="306"/>
      <c r="Y18" s="306">
        <f t="shared" ref="Y18:AA18" si="8">Y19</f>
        <v>5389.7237904608101</v>
      </c>
      <c r="Z18" s="306">
        <f t="shared" si="8"/>
        <v>2515.0456098793234</v>
      </c>
      <c r="AA18" s="306">
        <f t="shared" si="8"/>
        <v>805.19246352676168</v>
      </c>
      <c r="AB18" s="874"/>
      <c r="AC18" s="874"/>
      <c r="AD18" s="306">
        <f t="shared" ref="AD18:AF18" si="9">AD19</f>
        <v>4817.8619876407956</v>
      </c>
      <c r="AE18" s="306">
        <f t="shared" si="9"/>
        <v>2492.2441182829334</v>
      </c>
      <c r="AF18" s="306">
        <f t="shared" si="9"/>
        <v>389.56481933951324</v>
      </c>
      <c r="AG18" s="874"/>
      <c r="AH18" s="874"/>
      <c r="AI18" s="306">
        <f t="shared" ref="AI18:AK18" si="10">AI19</f>
        <v>6240.5537718047299</v>
      </c>
      <c r="AJ18" s="306">
        <f t="shared" si="10"/>
        <v>2548.9700216957672</v>
      </c>
      <c r="AK18" s="306">
        <f t="shared" si="10"/>
        <v>415.62822372403627</v>
      </c>
    </row>
    <row r="19" spans="1:37" s="773" customFormat="1" ht="14.25" customHeight="1">
      <c r="A19" s="60"/>
      <c r="B19" s="70" t="s">
        <v>596</v>
      </c>
      <c r="C19" s="67"/>
      <c r="D19" s="67"/>
      <c r="E19" s="251">
        <f>'6.1_генерация (котельн) '!I38</f>
        <v>3831.91034223919</v>
      </c>
      <c r="F19" s="251">
        <f>'6.1_генерация (котельн) '!J38</f>
        <v>2049.2408874906746</v>
      </c>
      <c r="G19" s="251">
        <f>'6.1_генерация (котельн) '!K38</f>
        <v>577.09399211954019</v>
      </c>
      <c r="H19" s="67"/>
      <c r="I19" s="67"/>
      <c r="J19" s="251">
        <f>'6.1_генерация (котельн) '!I56</f>
        <v>4106.3988335394333</v>
      </c>
      <c r="K19" s="251">
        <f>'6.1_генерация (котельн) '!J56</f>
        <v>2063.7645458041466</v>
      </c>
      <c r="L19" s="251">
        <f>'6.1_генерация (котельн) '!K56</f>
        <v>604.16291024195209</v>
      </c>
      <c r="M19" s="67"/>
      <c r="N19" s="67"/>
      <c r="O19" s="251">
        <f>'6.1_генерация (котельн) '!I93</f>
        <v>4617.775280396334</v>
      </c>
      <c r="P19" s="251">
        <f>'6.1_генерация (котельн) '!J93</f>
        <v>2168.9406552267292</v>
      </c>
      <c r="Q19" s="251">
        <f>'6.1_генерация (котельн) '!K93</f>
        <v>651.25197602537276</v>
      </c>
      <c r="R19" s="67"/>
      <c r="S19" s="67"/>
      <c r="T19" s="251">
        <f>'6.1_генерация (котельн) '!I112</f>
        <v>4841.8471316730738</v>
      </c>
      <c r="U19" s="251">
        <f>'6.1_генерация (котельн) '!J112</f>
        <v>2398.7136546152433</v>
      </c>
      <c r="V19" s="251">
        <f>'6.1_генерация (котельн) '!K112</f>
        <v>703.96927643672961</v>
      </c>
      <c r="W19" s="260"/>
      <c r="X19" s="260"/>
      <c r="Y19" s="251">
        <f>'6.1_генерация (котельн) '!I150</f>
        <v>5389.7237904608101</v>
      </c>
      <c r="Z19" s="251">
        <f>'6.1_генерация (котельн) '!J150</f>
        <v>2515.0456098793234</v>
      </c>
      <c r="AA19" s="251">
        <f>'6.1_генерация (котельн) '!K150</f>
        <v>805.19246352676168</v>
      </c>
      <c r="AB19" s="67"/>
      <c r="AC19" s="67"/>
      <c r="AD19" s="251">
        <f>'6.1_генерация (котельн) '!I171</f>
        <v>4817.8619876407956</v>
      </c>
      <c r="AE19" s="251">
        <f>'6.1_генерация (котельн) '!J171</f>
        <v>2492.2441182829334</v>
      </c>
      <c r="AF19" s="251">
        <f>'6.1_генерация (котельн) '!K171</f>
        <v>389.56481933951324</v>
      </c>
      <c r="AG19" s="67"/>
      <c r="AH19" s="67"/>
      <c r="AI19" s="251">
        <f>'6.1_генерация (котельн) '!I192</f>
        <v>6240.5537718047299</v>
      </c>
      <c r="AJ19" s="251">
        <f>'6.1_генерация (котельн) '!J192</f>
        <v>2548.9700216957672</v>
      </c>
      <c r="AK19" s="251">
        <f>'6.1_генерация (котельн) '!K192</f>
        <v>415.62822372403627</v>
      </c>
    </row>
    <row r="20" spans="1:37" s="773" customFormat="1" ht="18">
      <c r="A20" s="60"/>
      <c r="B20" s="70" t="s">
        <v>597</v>
      </c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</row>
    <row r="21" spans="1:37" s="773" customFormat="1" ht="18">
      <c r="A21" s="60"/>
      <c r="B21" s="70" t="s">
        <v>598</v>
      </c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7"/>
      <c r="AJ21" s="67"/>
      <c r="AK21" s="67"/>
    </row>
    <row r="22" spans="1:37" s="773" customFormat="1" ht="18">
      <c r="A22" s="60"/>
      <c r="B22" s="70" t="s">
        <v>599</v>
      </c>
      <c r="C22" s="67"/>
      <c r="D22" s="67"/>
      <c r="E22" s="67"/>
      <c r="F22" s="67"/>
      <c r="G22" s="67"/>
      <c r="H22" s="67"/>
      <c r="I22" s="67"/>
      <c r="J22" s="67"/>
      <c r="K22" s="67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7"/>
      <c r="AJ22" s="67"/>
      <c r="AK22" s="67"/>
    </row>
    <row r="23" spans="1:37" s="773" customFormat="1" ht="18">
      <c r="A23" s="60"/>
      <c r="B23" s="70" t="s">
        <v>600</v>
      </c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</row>
    <row r="24" spans="1:37" s="773" customFormat="1" ht="14.25" customHeight="1">
      <c r="A24" s="60"/>
      <c r="B24" s="70" t="s">
        <v>601</v>
      </c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</row>
    <row r="25" spans="1:37" s="773" customFormat="1" ht="60">
      <c r="A25" s="60" t="s">
        <v>655</v>
      </c>
      <c r="B25" s="70" t="s">
        <v>656</v>
      </c>
      <c r="C25" s="67"/>
      <c r="D25" s="67"/>
      <c r="E25" s="260">
        <f>E18</f>
        <v>3831.91034223919</v>
      </c>
      <c r="F25" s="260">
        <f t="shared" ref="F25:G26" si="11">F18</f>
        <v>2049.2408874906746</v>
      </c>
      <c r="G25" s="260">
        <f t="shared" si="11"/>
        <v>577.09399211954019</v>
      </c>
      <c r="H25" s="260"/>
      <c r="I25" s="260"/>
      <c r="J25" s="260">
        <f t="shared" ref="J25:L26" si="12">J18</f>
        <v>4106.3988335394333</v>
      </c>
      <c r="K25" s="260">
        <f t="shared" si="12"/>
        <v>2063.7645458041466</v>
      </c>
      <c r="L25" s="260">
        <f t="shared" si="12"/>
        <v>604.16291024195209</v>
      </c>
      <c r="M25" s="260"/>
      <c r="N25" s="260"/>
      <c r="O25" s="260">
        <f t="shared" ref="O25:Q25" si="13">O18</f>
        <v>4617.775280396334</v>
      </c>
      <c r="P25" s="260">
        <f t="shared" si="13"/>
        <v>2168.9406552267292</v>
      </c>
      <c r="Q25" s="260">
        <f t="shared" si="13"/>
        <v>651.25197602537276</v>
      </c>
      <c r="R25" s="260"/>
      <c r="S25" s="260"/>
      <c r="T25" s="260">
        <f t="shared" ref="T25:V25" si="14">T18</f>
        <v>4841.8471316730738</v>
      </c>
      <c r="U25" s="260">
        <f t="shared" si="14"/>
        <v>2398.7136546152433</v>
      </c>
      <c r="V25" s="260">
        <f t="shared" si="14"/>
        <v>703.96927643672961</v>
      </c>
      <c r="W25" s="260"/>
      <c r="X25" s="260"/>
      <c r="Y25" s="260">
        <f t="shared" ref="Y25:AA26" si="15">Y18</f>
        <v>5389.7237904608101</v>
      </c>
      <c r="Z25" s="260">
        <f t="shared" si="15"/>
        <v>2515.0456098793234</v>
      </c>
      <c r="AA25" s="260">
        <f t="shared" si="15"/>
        <v>805.19246352676168</v>
      </c>
      <c r="AB25" s="260"/>
      <c r="AC25" s="260"/>
      <c r="AD25" s="260">
        <f t="shared" ref="AD25:AF26" si="16">AD18</f>
        <v>4817.8619876407956</v>
      </c>
      <c r="AE25" s="260">
        <f t="shared" si="16"/>
        <v>2492.2441182829334</v>
      </c>
      <c r="AF25" s="260">
        <f t="shared" si="16"/>
        <v>389.56481933951324</v>
      </c>
      <c r="AG25" s="260"/>
      <c r="AH25" s="260"/>
      <c r="AI25" s="260">
        <f t="shared" ref="AI25:AK26" si="17">AI18</f>
        <v>6240.5537718047299</v>
      </c>
      <c r="AJ25" s="260">
        <f t="shared" si="17"/>
        <v>2548.9700216957672</v>
      </c>
      <c r="AK25" s="260">
        <f t="shared" si="17"/>
        <v>415.62822372403627</v>
      </c>
    </row>
    <row r="26" spans="1:37" s="773" customFormat="1" ht="14.25" customHeight="1">
      <c r="A26" s="60"/>
      <c r="B26" s="70" t="s">
        <v>596</v>
      </c>
      <c r="C26" s="67"/>
      <c r="D26" s="67"/>
      <c r="E26" s="260">
        <f>E19</f>
        <v>3831.91034223919</v>
      </c>
      <c r="F26" s="260">
        <f t="shared" si="11"/>
        <v>2049.2408874906746</v>
      </c>
      <c r="G26" s="260">
        <f t="shared" si="11"/>
        <v>577.09399211954019</v>
      </c>
      <c r="H26" s="260"/>
      <c r="I26" s="260"/>
      <c r="J26" s="260">
        <f t="shared" si="12"/>
        <v>4106.3988335394333</v>
      </c>
      <c r="K26" s="260">
        <f t="shared" si="12"/>
        <v>2063.7645458041466</v>
      </c>
      <c r="L26" s="260">
        <f t="shared" si="12"/>
        <v>604.16291024195209</v>
      </c>
      <c r="M26" s="260"/>
      <c r="N26" s="260"/>
      <c r="O26" s="260">
        <f t="shared" ref="O26:Q26" si="18">O19</f>
        <v>4617.775280396334</v>
      </c>
      <c r="P26" s="260">
        <f t="shared" si="18"/>
        <v>2168.9406552267292</v>
      </c>
      <c r="Q26" s="260">
        <f t="shared" si="18"/>
        <v>651.25197602537276</v>
      </c>
      <c r="R26" s="260"/>
      <c r="S26" s="260"/>
      <c r="T26" s="260">
        <f t="shared" ref="T26:V26" si="19">T19</f>
        <v>4841.8471316730738</v>
      </c>
      <c r="U26" s="260">
        <f t="shared" si="19"/>
        <v>2398.7136546152433</v>
      </c>
      <c r="V26" s="260">
        <f t="shared" si="19"/>
        <v>703.96927643672961</v>
      </c>
      <c r="W26" s="260"/>
      <c r="X26" s="260"/>
      <c r="Y26" s="260">
        <f t="shared" si="15"/>
        <v>5389.7237904608101</v>
      </c>
      <c r="Z26" s="260">
        <f t="shared" si="15"/>
        <v>2515.0456098793234</v>
      </c>
      <c r="AA26" s="260">
        <f t="shared" si="15"/>
        <v>805.19246352676168</v>
      </c>
      <c r="AB26" s="260"/>
      <c r="AC26" s="260"/>
      <c r="AD26" s="260">
        <f t="shared" si="16"/>
        <v>4817.8619876407956</v>
      </c>
      <c r="AE26" s="260">
        <f t="shared" si="16"/>
        <v>2492.2441182829334</v>
      </c>
      <c r="AF26" s="260">
        <f t="shared" si="16"/>
        <v>389.56481933951324</v>
      </c>
      <c r="AG26" s="260"/>
      <c r="AH26" s="260"/>
      <c r="AI26" s="260">
        <f t="shared" si="17"/>
        <v>6240.5537718047299</v>
      </c>
      <c r="AJ26" s="260">
        <f t="shared" si="17"/>
        <v>2548.9700216957672</v>
      </c>
      <c r="AK26" s="260">
        <f t="shared" si="17"/>
        <v>415.62822372403627</v>
      </c>
    </row>
    <row r="27" spans="1:37" s="773" customFormat="1" ht="14.25" customHeight="1">
      <c r="A27" s="60"/>
      <c r="B27" s="70" t="s">
        <v>657</v>
      </c>
      <c r="C27" s="67"/>
      <c r="D27" s="67"/>
      <c r="E27" s="254"/>
      <c r="F27" s="254"/>
      <c r="G27" s="254"/>
      <c r="H27" s="67"/>
      <c r="I27" s="67"/>
      <c r="J27" s="254"/>
      <c r="K27" s="254"/>
      <c r="L27" s="254"/>
      <c r="M27" s="67"/>
      <c r="N27" s="67"/>
      <c r="O27" s="254"/>
      <c r="P27" s="254"/>
      <c r="Q27" s="254"/>
      <c r="R27" s="67"/>
      <c r="S27" s="67"/>
      <c r="T27" s="254"/>
      <c r="U27" s="254"/>
      <c r="V27" s="254"/>
      <c r="W27" s="67"/>
      <c r="X27" s="67"/>
      <c r="Y27" s="254"/>
      <c r="Z27" s="254"/>
      <c r="AA27" s="254"/>
      <c r="AB27" s="67"/>
      <c r="AC27" s="67"/>
      <c r="AD27" s="254"/>
      <c r="AE27" s="254"/>
      <c r="AF27" s="254"/>
      <c r="AG27" s="67"/>
      <c r="AH27" s="67"/>
      <c r="AI27" s="254"/>
      <c r="AJ27" s="254"/>
      <c r="AK27" s="254"/>
    </row>
    <row r="28" spans="1:37" s="773" customFormat="1" ht="14.25" customHeight="1">
      <c r="A28" s="60" t="s">
        <v>658</v>
      </c>
      <c r="B28" s="70" t="s">
        <v>26</v>
      </c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7"/>
      <c r="AJ28" s="67"/>
      <c r="AK28" s="67"/>
    </row>
    <row r="29" spans="1:37" ht="12.75" customHeight="1"/>
    <row r="30" spans="1:37" ht="15">
      <c r="A30" s="26" t="s">
        <v>88</v>
      </c>
    </row>
    <row r="31" spans="1:37" s="773" customFormat="1" ht="12" customHeight="1">
      <c r="A31" s="45" t="s">
        <v>89</v>
      </c>
      <c r="B31" s="46" t="s">
        <v>605</v>
      </c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1294"/>
      <c r="N31" s="1294"/>
      <c r="O31" s="1294"/>
      <c r="P31" s="1294"/>
      <c r="Q31" s="1294"/>
      <c r="R31" s="1590"/>
      <c r="S31" s="1590"/>
      <c r="T31" s="1590"/>
      <c r="U31" s="1590"/>
      <c r="V31" s="1590"/>
      <c r="W31" s="46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</row>
    <row r="32" spans="1:37" s="773" customFormat="1" ht="15">
      <c r="A32" s="45" t="s">
        <v>91</v>
      </c>
      <c r="B32" s="1842" t="s">
        <v>659</v>
      </c>
      <c r="C32" s="1842"/>
      <c r="D32" s="1842"/>
      <c r="E32" s="1842"/>
      <c r="F32" s="1842"/>
      <c r="G32" s="1842"/>
      <c r="H32" s="1842"/>
      <c r="I32" s="1842"/>
      <c r="J32" s="1842"/>
      <c r="K32" s="1842"/>
      <c r="L32" s="1842"/>
      <c r="M32" s="1289"/>
      <c r="N32" s="1289"/>
      <c r="O32" s="1289"/>
      <c r="P32" s="1289"/>
      <c r="Q32" s="1289"/>
      <c r="R32" s="1585"/>
      <c r="S32" s="1585"/>
      <c r="T32" s="1585"/>
      <c r="U32" s="1585"/>
      <c r="V32" s="1585"/>
      <c r="W32" s="770"/>
      <c r="X32" s="770"/>
      <c r="Y32" s="770"/>
      <c r="Z32" s="770"/>
      <c r="AA32" s="770"/>
    </row>
    <row r="33" spans="1:27" s="773" customFormat="1" ht="15">
      <c r="A33" s="45" t="s">
        <v>93</v>
      </c>
      <c r="B33" s="1842" t="s">
        <v>660</v>
      </c>
      <c r="C33" s="1842"/>
      <c r="D33" s="1842"/>
      <c r="E33" s="1842"/>
      <c r="F33" s="1842"/>
      <c r="G33" s="1842"/>
      <c r="H33" s="1842"/>
      <c r="I33" s="1842"/>
      <c r="J33" s="1842"/>
      <c r="K33" s="1842"/>
      <c r="L33" s="1842"/>
      <c r="M33" s="1289"/>
      <c r="N33" s="1289"/>
      <c r="O33" s="1289"/>
      <c r="P33" s="1289"/>
      <c r="Q33" s="1289"/>
      <c r="R33" s="1585"/>
      <c r="S33" s="1585"/>
      <c r="T33" s="1585"/>
      <c r="U33" s="1585"/>
      <c r="V33" s="1585"/>
      <c r="W33" s="770"/>
      <c r="X33" s="770"/>
      <c r="Y33" s="770"/>
      <c r="Z33" s="770"/>
      <c r="AA33" s="770"/>
    </row>
    <row r="34" spans="1:27" s="773" customFormat="1" ht="27" customHeight="1">
      <c r="A34" s="45" t="s">
        <v>95</v>
      </c>
      <c r="B34" s="1842" t="s">
        <v>661</v>
      </c>
      <c r="C34" s="1842"/>
      <c r="D34" s="1842"/>
      <c r="E34" s="1842"/>
      <c r="F34" s="1842"/>
      <c r="G34" s="1842"/>
      <c r="H34" s="1842"/>
      <c r="I34" s="1842"/>
      <c r="J34" s="1842"/>
      <c r="K34" s="1842"/>
      <c r="L34" s="1842"/>
      <c r="M34" s="1289"/>
      <c r="N34" s="1289"/>
      <c r="O34" s="1289"/>
      <c r="P34" s="1289"/>
      <c r="Q34" s="1289"/>
      <c r="R34" s="1585"/>
      <c r="S34" s="1585"/>
      <c r="T34" s="1585"/>
      <c r="U34" s="1585"/>
      <c r="V34" s="1585"/>
      <c r="W34" s="770"/>
      <c r="X34" s="770"/>
      <c r="Y34" s="770"/>
      <c r="Z34" s="770"/>
      <c r="AA34" s="770"/>
    </row>
    <row r="35" spans="1:27" ht="15">
      <c r="A35" s="98" t="s">
        <v>97</v>
      </c>
      <c r="B35" s="26" t="s">
        <v>662</v>
      </c>
    </row>
    <row r="36" spans="1:27" ht="15">
      <c r="A36" s="98" t="s">
        <v>582</v>
      </c>
      <c r="B36" s="26" t="s">
        <v>663</v>
      </c>
    </row>
    <row r="37" spans="1:27" ht="15">
      <c r="B37" s="26" t="s">
        <v>664</v>
      </c>
    </row>
    <row r="38" spans="1:27" ht="15">
      <c r="B38" s="26" t="s">
        <v>665</v>
      </c>
    </row>
    <row r="39" spans="1:27" ht="15">
      <c r="B39" s="26" t="s">
        <v>666</v>
      </c>
    </row>
    <row r="40" spans="1:27" ht="15">
      <c r="B40" s="26" t="s">
        <v>667</v>
      </c>
    </row>
    <row r="41" spans="1:27" ht="15">
      <c r="B41" s="26" t="s">
        <v>668</v>
      </c>
    </row>
    <row r="42" spans="1:27" ht="15">
      <c r="B42" s="26" t="s">
        <v>669</v>
      </c>
    </row>
    <row r="43" spans="1:27" s="773" customFormat="1" ht="67.5" customHeight="1">
      <c r="A43" s="45" t="s">
        <v>615</v>
      </c>
      <c r="B43" s="1842" t="s">
        <v>670</v>
      </c>
      <c r="C43" s="1842"/>
      <c r="D43" s="1842"/>
      <c r="E43" s="1842"/>
      <c r="F43" s="1842"/>
      <c r="G43" s="1842"/>
      <c r="H43" s="1842"/>
      <c r="I43" s="1842"/>
      <c r="J43" s="1842"/>
      <c r="K43" s="1842"/>
      <c r="L43" s="1842"/>
      <c r="M43" s="1289"/>
      <c r="N43" s="1289"/>
      <c r="O43" s="1289"/>
      <c r="P43" s="1289"/>
      <c r="Q43" s="1289"/>
      <c r="R43" s="1585"/>
      <c r="S43" s="1585"/>
      <c r="T43" s="1585"/>
      <c r="U43" s="1585"/>
      <c r="V43" s="1585"/>
      <c r="W43" s="770"/>
      <c r="X43" s="770"/>
      <c r="Y43" s="770"/>
      <c r="Z43" s="770"/>
      <c r="AA43" s="770"/>
    </row>
    <row r="44" spans="1:27" s="773" customFormat="1" ht="12.75" customHeight="1">
      <c r="M44" s="1292"/>
      <c r="N44" s="1292"/>
      <c r="O44" s="1292"/>
      <c r="P44" s="1292"/>
      <c r="Q44" s="1292"/>
      <c r="R44" s="1588"/>
      <c r="S44" s="1588"/>
      <c r="T44" s="1588"/>
      <c r="U44" s="1588"/>
      <c r="V44" s="1588"/>
    </row>
  </sheetData>
  <mergeCells count="16">
    <mergeCell ref="AB5:AF5"/>
    <mergeCell ref="AG5:AK5"/>
    <mergeCell ref="A3:L3"/>
    <mergeCell ref="W3:AH3"/>
    <mergeCell ref="A5:A6"/>
    <mergeCell ref="B5:B6"/>
    <mergeCell ref="C5:G5"/>
    <mergeCell ref="H5:L5"/>
    <mergeCell ref="W5:AA5"/>
    <mergeCell ref="M5:Q5"/>
    <mergeCell ref="R5:V5"/>
    <mergeCell ref="B32:L32"/>
    <mergeCell ref="B33:L33"/>
    <mergeCell ref="B34:L34"/>
    <mergeCell ref="B43:L43"/>
    <mergeCell ref="C2:I2"/>
  </mergeCells>
  <pageMargins left="0.59055118110236227" right="0.31496062992125984" top="0.78740157480314965" bottom="0.39370078740157483" header="0.19685039370078741" footer="0.19685039370078741"/>
  <pageSetup paperSize="9" scale="65" orientation="landscape" r:id="rId1"/>
  <headerFooter alignWithMargins="0"/>
  <colBreaks count="1" manualBreakCount="1">
    <brk id="22" max="27" man="1"/>
  </colBreaks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W63"/>
  <sheetViews>
    <sheetView view="pageBreakPreview" zoomScale="90" zoomScaleNormal="100" zoomScaleSheetLayoutView="90" workbookViewId="0">
      <pane xSplit="2" ySplit="6" topLeftCell="H28" activePane="bottomRight" state="frozen"/>
      <selection activeCell="F148" sqref="F148"/>
      <selection pane="topRight" activeCell="F148" sqref="F148"/>
      <selection pane="bottomLeft" activeCell="F148" sqref="F148"/>
      <selection pane="bottomRight" activeCell="F148" sqref="F148"/>
    </sheetView>
  </sheetViews>
  <sheetFormatPr defaultColWidth="0.85546875" defaultRowHeight="12" customHeight="1"/>
  <cols>
    <col min="1" max="1" width="6.140625" style="26" customWidth="1"/>
    <col min="2" max="2" width="37.5703125" style="26" customWidth="1"/>
    <col min="3" max="3" width="11.42578125" style="26" customWidth="1"/>
    <col min="4" max="4" width="13.42578125" style="26" customWidth="1"/>
    <col min="5" max="5" width="14.140625" style="26" customWidth="1"/>
    <col min="6" max="6" width="11.7109375" style="26" customWidth="1"/>
    <col min="7" max="7" width="14.140625" style="26" customWidth="1"/>
    <col min="8" max="8" width="16.42578125" style="26" customWidth="1"/>
    <col min="9" max="9" width="12.140625" style="26" customWidth="1"/>
    <col min="10" max="10" width="14" style="26" customWidth="1"/>
    <col min="11" max="11" width="16.42578125" style="26" customWidth="1"/>
    <col min="12" max="12" width="12.5703125" style="26" customWidth="1"/>
    <col min="13" max="13" width="13.42578125" style="26" customWidth="1"/>
    <col min="14" max="14" width="16.42578125" style="26" customWidth="1"/>
    <col min="15" max="15" width="11.85546875" style="26" customWidth="1"/>
    <col min="16" max="16" width="14.5703125" style="26" customWidth="1"/>
    <col min="17" max="17" width="15.85546875" style="26" customWidth="1"/>
    <col min="18" max="18" width="11.5703125" style="26" customWidth="1"/>
    <col min="19" max="19" width="14.140625" style="26" customWidth="1"/>
    <col min="20" max="20" width="16.42578125" style="26" customWidth="1"/>
    <col min="21" max="21" width="11.28515625" style="26" customWidth="1"/>
    <col min="22" max="22" width="14.140625" style="26" customWidth="1"/>
    <col min="23" max="23" width="16.42578125" style="26" customWidth="1"/>
    <col min="24" max="265" width="2.7109375" style="26" customWidth="1"/>
    <col min="266" max="16384" width="0.85546875" style="26"/>
  </cols>
  <sheetData>
    <row r="1" spans="1:23" s="24" customFormat="1" ht="20.25" customHeight="1">
      <c r="A1" s="74" t="s">
        <v>765</v>
      </c>
      <c r="H1" s="25"/>
      <c r="I1" s="25"/>
      <c r="J1" s="25"/>
      <c r="K1" s="25"/>
      <c r="L1" s="25"/>
      <c r="M1" s="25"/>
      <c r="N1" s="25"/>
      <c r="O1" s="25"/>
      <c r="P1" s="25"/>
      <c r="Q1" s="25"/>
      <c r="T1" s="25"/>
      <c r="W1" s="25" t="s">
        <v>671</v>
      </c>
    </row>
    <row r="2" spans="1:23" ht="17.25" customHeight="1">
      <c r="A2" s="759" t="str">
        <f>'4.1 (свод)'!A2</f>
        <v>КТЭЦ + котельные СВОД</v>
      </c>
    </row>
    <row r="3" spans="1:23" ht="15.75" customHeight="1">
      <c r="A3" s="1968" t="s">
        <v>672</v>
      </c>
      <c r="B3" s="1968"/>
      <c r="C3" s="1968"/>
      <c r="D3" s="1968"/>
      <c r="E3" s="1968"/>
      <c r="F3" s="1968"/>
      <c r="G3" s="1968"/>
      <c r="H3" s="1968"/>
      <c r="I3" s="1968"/>
      <c r="J3" s="1968"/>
      <c r="K3" s="1968"/>
      <c r="L3" s="1968"/>
      <c r="M3" s="1968"/>
      <c r="N3" s="1968"/>
      <c r="O3" s="1968"/>
      <c r="P3" s="1968"/>
      <c r="Q3" s="1968"/>
      <c r="R3" s="1968"/>
      <c r="S3" s="1968"/>
      <c r="T3" s="1968"/>
      <c r="U3" s="1968"/>
      <c r="V3" s="1968"/>
      <c r="W3" s="1968"/>
    </row>
    <row r="4" spans="1:23" ht="12" customHeight="1">
      <c r="A4" s="27"/>
      <c r="B4" s="27"/>
      <c r="C4" s="27"/>
      <c r="D4" s="27"/>
      <c r="E4" s="27"/>
      <c r="F4" s="27"/>
      <c r="R4" s="27"/>
      <c r="U4" s="27"/>
    </row>
    <row r="5" spans="1:23" s="31" customFormat="1" ht="15" customHeight="1">
      <c r="A5" s="1873" t="s">
        <v>0</v>
      </c>
      <c r="B5" s="1873" t="s">
        <v>1</v>
      </c>
      <c r="C5" s="1846" t="s">
        <v>771</v>
      </c>
      <c r="D5" s="1846"/>
      <c r="E5" s="1846"/>
      <c r="F5" s="1846" t="s">
        <v>1706</v>
      </c>
      <c r="G5" s="1846"/>
      <c r="H5" s="1846"/>
      <c r="I5" s="1846" t="s">
        <v>1855</v>
      </c>
      <c r="J5" s="1846"/>
      <c r="K5" s="1846"/>
      <c r="L5" s="1846" t="s">
        <v>1834</v>
      </c>
      <c r="M5" s="1846"/>
      <c r="N5" s="1846"/>
      <c r="O5" s="1846" t="s">
        <v>1688</v>
      </c>
      <c r="P5" s="1846"/>
      <c r="Q5" s="1846"/>
      <c r="R5" s="1846" t="s">
        <v>1830</v>
      </c>
      <c r="S5" s="1846"/>
      <c r="T5" s="1846"/>
      <c r="U5" s="1846" t="s">
        <v>1831</v>
      </c>
      <c r="V5" s="1846"/>
      <c r="W5" s="1846"/>
    </row>
    <row r="6" spans="1:23" s="31" customFormat="1" ht="148.5" customHeight="1">
      <c r="A6" s="1873"/>
      <c r="B6" s="1873"/>
      <c r="C6" s="102" t="s">
        <v>673</v>
      </c>
      <c r="D6" s="102" t="s">
        <v>674</v>
      </c>
      <c r="E6" s="102" t="s">
        <v>675</v>
      </c>
      <c r="F6" s="102" t="s">
        <v>673</v>
      </c>
      <c r="G6" s="102" t="s">
        <v>674</v>
      </c>
      <c r="H6" s="102" t="s">
        <v>675</v>
      </c>
      <c r="I6" s="102" t="s">
        <v>673</v>
      </c>
      <c r="J6" s="102" t="s">
        <v>674</v>
      </c>
      <c r="K6" s="102" t="s">
        <v>675</v>
      </c>
      <c r="L6" s="102" t="s">
        <v>673</v>
      </c>
      <c r="M6" s="102" t="s">
        <v>674</v>
      </c>
      <c r="N6" s="102" t="s">
        <v>675</v>
      </c>
      <c r="O6" s="102" t="s">
        <v>673</v>
      </c>
      <c r="P6" s="102" t="s">
        <v>674</v>
      </c>
      <c r="Q6" s="102" t="s">
        <v>675</v>
      </c>
      <c r="R6" s="102" t="s">
        <v>673</v>
      </c>
      <c r="S6" s="102" t="s">
        <v>674</v>
      </c>
      <c r="T6" s="102" t="s">
        <v>675</v>
      </c>
      <c r="U6" s="102" t="s">
        <v>673</v>
      </c>
      <c r="V6" s="102" t="s">
        <v>674</v>
      </c>
      <c r="W6" s="102" t="s">
        <v>675</v>
      </c>
    </row>
    <row r="7" spans="1:23" s="48" customFormat="1" ht="15">
      <c r="A7" s="13">
        <v>1</v>
      </c>
      <c r="B7" s="13">
        <v>2</v>
      </c>
      <c r="C7" s="33">
        <v>3</v>
      </c>
      <c r="D7" s="33">
        <v>4</v>
      </c>
      <c r="E7" s="33">
        <v>5</v>
      </c>
      <c r="F7" s="33">
        <v>6</v>
      </c>
      <c r="G7" s="33">
        <v>7</v>
      </c>
      <c r="H7" s="33">
        <v>8</v>
      </c>
      <c r="I7" s="33">
        <v>9</v>
      </c>
      <c r="J7" s="33">
        <v>10</v>
      </c>
      <c r="K7" s="33">
        <v>11</v>
      </c>
      <c r="L7" s="33"/>
      <c r="M7" s="33"/>
      <c r="N7" s="33"/>
      <c r="O7" s="33">
        <v>12</v>
      </c>
      <c r="P7" s="33">
        <v>13</v>
      </c>
      <c r="Q7" s="33">
        <v>14</v>
      </c>
      <c r="R7" s="33">
        <v>15</v>
      </c>
      <c r="S7" s="33">
        <v>16</v>
      </c>
      <c r="T7" s="33">
        <v>17</v>
      </c>
      <c r="U7" s="33">
        <v>18</v>
      </c>
      <c r="V7" s="33">
        <v>19</v>
      </c>
      <c r="W7" s="33">
        <v>20</v>
      </c>
    </row>
    <row r="8" spans="1:23" s="862" customFormat="1" ht="45" customHeight="1">
      <c r="A8" s="859" t="s">
        <v>4</v>
      </c>
      <c r="B8" s="863" t="s">
        <v>654</v>
      </c>
      <c r="C8" s="291">
        <f t="shared" ref="C8:V8" si="0">C11</f>
        <v>2069.7647908007643</v>
      </c>
      <c r="D8" s="291">
        <f t="shared" si="0"/>
        <v>1116.051227013148</v>
      </c>
      <c r="E8" s="291">
        <f t="shared" si="0"/>
        <v>290.58964790375398</v>
      </c>
      <c r="F8" s="291">
        <f t="shared" si="0"/>
        <v>2347.1330962526285</v>
      </c>
      <c r="G8" s="291">
        <f t="shared" si="0"/>
        <v>1153.1553645625811</v>
      </c>
      <c r="H8" s="291">
        <f t="shared" si="0"/>
        <v>357.95265231570693</v>
      </c>
      <c r="I8" s="291">
        <f t="shared" ref="I8:K8" si="1">I11</f>
        <v>2426.3444994306087</v>
      </c>
      <c r="J8" s="291">
        <f t="shared" si="1"/>
        <v>1153.394835959941</v>
      </c>
      <c r="K8" s="291">
        <f t="shared" si="1"/>
        <v>363.88000151362326</v>
      </c>
      <c r="L8" s="291">
        <f t="shared" ref="L8:N8" si="2">L11</f>
        <v>2499.471983592281</v>
      </c>
      <c r="M8" s="291">
        <f t="shared" si="2"/>
        <v>1318.3303501682358</v>
      </c>
      <c r="N8" s="291">
        <f t="shared" si="2"/>
        <v>345.89402644326486</v>
      </c>
      <c r="O8" s="291">
        <f t="shared" si="0"/>
        <v>3456.6460965913579</v>
      </c>
      <c r="P8" s="291">
        <f t="shared" si="0"/>
        <v>1370.6686844989706</v>
      </c>
      <c r="Q8" s="291">
        <f t="shared" si="0"/>
        <v>605.49987630217049</v>
      </c>
      <c r="R8" s="291">
        <f t="shared" si="0"/>
        <v>2549.1162488395926</v>
      </c>
      <c r="S8" s="291">
        <f t="shared" si="0"/>
        <v>1343.79769163674</v>
      </c>
      <c r="T8" s="291">
        <f t="shared" si="0"/>
        <v>424.90967539210607</v>
      </c>
      <c r="U8" s="291">
        <f t="shared" si="0"/>
        <v>4859.7726311699116</v>
      </c>
      <c r="V8" s="291">
        <f t="shared" si="0"/>
        <v>1412.213488377673</v>
      </c>
      <c r="W8" s="291">
        <f>W11</f>
        <v>786.0922287694525</v>
      </c>
    </row>
    <row r="9" spans="1:23" s="773" customFormat="1" ht="30" customHeight="1">
      <c r="A9" s="60" t="s">
        <v>5</v>
      </c>
      <c r="B9" s="61" t="s">
        <v>676</v>
      </c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</row>
    <row r="10" spans="1:23" s="773" customFormat="1" ht="30" customHeight="1">
      <c r="A10" s="60" t="s">
        <v>11</v>
      </c>
      <c r="B10" s="61" t="s">
        <v>677</v>
      </c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</row>
    <row r="11" spans="1:23" s="773" customFormat="1" ht="15" customHeight="1">
      <c r="A11" s="60"/>
      <c r="B11" s="70" t="s">
        <v>596</v>
      </c>
      <c r="C11" s="260">
        <f>'6.3_потери (свод)'!E26</f>
        <v>2069.7647908007643</v>
      </c>
      <c r="D11" s="260">
        <f>'6.3_потери (свод)'!F26</f>
        <v>1116.051227013148</v>
      </c>
      <c r="E11" s="260">
        <f>'6.3_потери (свод)'!G26</f>
        <v>290.58964790375398</v>
      </c>
      <c r="F11" s="260">
        <f>'6.3_потери (свод)'!J26</f>
        <v>2347.1330962526285</v>
      </c>
      <c r="G11" s="260">
        <f>'6.3_потери (свод)'!K26</f>
        <v>1153.1553645625811</v>
      </c>
      <c r="H11" s="260">
        <f>'6.3_потери (свод)'!L26</f>
        <v>357.95265231570693</v>
      </c>
      <c r="I11" s="260">
        <f>'6.3_потери (свод)'!O26</f>
        <v>2426.3444994306087</v>
      </c>
      <c r="J11" s="260">
        <f>'6.3_потери (свод)'!P26</f>
        <v>1153.394835959941</v>
      </c>
      <c r="K11" s="260">
        <f>'6.3_потери (свод)'!Q26</f>
        <v>363.88000151362326</v>
      </c>
      <c r="L11" s="260">
        <f>'6.3_потери (свод)'!T26</f>
        <v>2499.471983592281</v>
      </c>
      <c r="M11" s="260">
        <f>'6.3_потери (свод)'!U26</f>
        <v>1318.3303501682358</v>
      </c>
      <c r="N11" s="260">
        <f>'6.3_потери (свод)'!V26</f>
        <v>345.89402644326486</v>
      </c>
      <c r="O11" s="260">
        <f>'6.3_потери (свод)'!Y26</f>
        <v>3456.6460965913579</v>
      </c>
      <c r="P11" s="260">
        <f>'6.3_потери (свод)'!Z26</f>
        <v>1370.6686844989706</v>
      </c>
      <c r="Q11" s="260">
        <f>'6.3_потери (свод)'!AA26</f>
        <v>605.49987630217049</v>
      </c>
      <c r="R11" s="260">
        <f>'6.3_потери (свод)'!AD26</f>
        <v>2549.1162488395926</v>
      </c>
      <c r="S11" s="260">
        <f>'6.3_потери (свод)'!AE26</f>
        <v>1343.79769163674</v>
      </c>
      <c r="T11" s="260">
        <f>'6.3_потери (свод)'!AF26</f>
        <v>424.90967539210607</v>
      </c>
      <c r="U11" s="260">
        <f>'6.3_потери (свод)'!AI26</f>
        <v>4859.7726311699116</v>
      </c>
      <c r="V11" s="260">
        <f>'6.3_потери (свод)'!AJ26</f>
        <v>1412.213488377673</v>
      </c>
      <c r="W11" s="260">
        <f>'6.3_потери (свод)'!AK26</f>
        <v>786.0922287694525</v>
      </c>
    </row>
    <row r="12" spans="1:23" s="773" customFormat="1" ht="16.5" customHeight="1">
      <c r="A12" s="60"/>
      <c r="B12" s="70" t="s">
        <v>597</v>
      </c>
      <c r="C12" s="67"/>
      <c r="D12" s="67"/>
      <c r="E12" s="67"/>
      <c r="F12" s="67"/>
      <c r="G12" s="67"/>
      <c r="H12" s="67"/>
      <c r="I12" s="67"/>
      <c r="J12" s="67"/>
      <c r="K12" s="67"/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</row>
    <row r="13" spans="1:23" s="773" customFormat="1" ht="16.5" customHeight="1">
      <c r="A13" s="60"/>
      <c r="B13" s="70" t="s">
        <v>598</v>
      </c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</row>
    <row r="14" spans="1:23" s="773" customFormat="1" ht="16.5" customHeight="1">
      <c r="A14" s="60"/>
      <c r="B14" s="70" t="s">
        <v>599</v>
      </c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</row>
    <row r="15" spans="1:23" s="773" customFormat="1" ht="16.5" customHeight="1">
      <c r="A15" s="60"/>
      <c r="B15" s="70" t="s">
        <v>600</v>
      </c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</row>
    <row r="16" spans="1:23" s="773" customFormat="1" ht="15" customHeight="1">
      <c r="A16" s="60"/>
      <c r="B16" s="70" t="s">
        <v>601</v>
      </c>
      <c r="C16" s="67"/>
      <c r="D16" s="67"/>
      <c r="E16" s="67"/>
      <c r="F16" s="67"/>
      <c r="G16" s="67"/>
      <c r="H16" s="67"/>
      <c r="I16" s="67"/>
      <c r="J16" s="67"/>
      <c r="K16" s="67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</row>
    <row r="17" spans="1:23" s="862" customFormat="1" ht="60.75" customHeight="1">
      <c r="A17" s="859" t="s">
        <v>23</v>
      </c>
      <c r="B17" s="860" t="s">
        <v>678</v>
      </c>
      <c r="C17" s="291">
        <f t="shared" ref="C17:W17" si="3">C19</f>
        <v>2202.0311098590032</v>
      </c>
      <c r="D17" s="291">
        <f t="shared" si="3"/>
        <v>2202.0311098590032</v>
      </c>
      <c r="E17" s="291">
        <f t="shared" si="3"/>
        <v>519.29949700671784</v>
      </c>
      <c r="F17" s="291">
        <f t="shared" si="3"/>
        <v>2255.7775480451878</v>
      </c>
      <c r="G17" s="291">
        <f t="shared" si="3"/>
        <v>2255.7775480451878</v>
      </c>
      <c r="H17" s="291">
        <f t="shared" si="3"/>
        <v>523.43492313421223</v>
      </c>
      <c r="I17" s="291">
        <f t="shared" ref="I17:K17" si="4">I19</f>
        <v>2585.4932276644568</v>
      </c>
      <c r="J17" s="291">
        <f t="shared" si="4"/>
        <v>2585.4932276644568</v>
      </c>
      <c r="K17" s="291">
        <f t="shared" si="4"/>
        <v>578.88483496856213</v>
      </c>
      <c r="L17" s="291">
        <f t="shared" ref="L17:N17" si="5">L19</f>
        <v>1340.8183510221374</v>
      </c>
      <c r="M17" s="291">
        <f t="shared" si="5"/>
        <v>1340.8183510221374</v>
      </c>
      <c r="N17" s="291">
        <f t="shared" si="5"/>
        <v>311.98106983576514</v>
      </c>
      <c r="O17" s="291">
        <f t="shared" si="3"/>
        <v>3018.1501668272731</v>
      </c>
      <c r="P17" s="291">
        <f t="shared" si="3"/>
        <v>3018.1501668272731</v>
      </c>
      <c r="Q17" s="291">
        <f t="shared" si="3"/>
        <v>695.9080313691112</v>
      </c>
      <c r="R17" s="291">
        <f t="shared" si="3"/>
        <v>1355.2528214598547</v>
      </c>
      <c r="S17" s="291">
        <f t="shared" si="3"/>
        <v>1355.2528214598547</v>
      </c>
      <c r="T17" s="291">
        <f t="shared" si="3"/>
        <v>380.14626953958378</v>
      </c>
      <c r="U17" s="291">
        <f t="shared" si="3"/>
        <v>5600.1577781650603</v>
      </c>
      <c r="V17" s="291">
        <f t="shared" si="3"/>
        <v>5600.1577781650603</v>
      </c>
      <c r="W17" s="291">
        <f t="shared" si="3"/>
        <v>1011.6701621987885</v>
      </c>
    </row>
    <row r="18" spans="1:23" s="773" customFormat="1" ht="44.25" customHeight="1">
      <c r="A18" s="60" t="s">
        <v>24</v>
      </c>
      <c r="B18" s="70" t="s">
        <v>679</v>
      </c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</row>
    <row r="19" spans="1:23" s="773" customFormat="1" ht="15" customHeight="1">
      <c r="A19" s="60" t="s">
        <v>25</v>
      </c>
      <c r="B19" s="70" t="s">
        <v>596</v>
      </c>
      <c r="C19" s="260">
        <f>'6.2_передача (свод)'!D15</f>
        <v>2202.0311098590032</v>
      </c>
      <c r="D19" s="260">
        <f>'6.2_передача (свод)'!D17</f>
        <v>2202.0311098590032</v>
      </c>
      <c r="E19" s="260">
        <f>'6.2_передача (свод)'!D18</f>
        <v>519.29949700671784</v>
      </c>
      <c r="F19" s="260">
        <f>'6.2_передача (свод)'!E15</f>
        <v>2255.7775480451878</v>
      </c>
      <c r="G19" s="260">
        <f>'6.2_передача (свод)'!E17</f>
        <v>2255.7775480451878</v>
      </c>
      <c r="H19" s="260">
        <f>'6.2_передача (свод)'!E18</f>
        <v>523.43492313421223</v>
      </c>
      <c r="I19" s="260">
        <f>'6.2_передача (свод)'!F15</f>
        <v>2585.4932276644568</v>
      </c>
      <c r="J19" s="260">
        <f>'6.2_передача (свод)'!F17</f>
        <v>2585.4932276644568</v>
      </c>
      <c r="K19" s="260">
        <f>'6.2_передача (свод)'!F18</f>
        <v>578.88483496856213</v>
      </c>
      <c r="L19" s="260">
        <f>'6.2_передача (свод)'!G15</f>
        <v>1340.8183510221374</v>
      </c>
      <c r="M19" s="260">
        <f>'6.2_передача (свод)'!G17</f>
        <v>1340.8183510221374</v>
      </c>
      <c r="N19" s="260">
        <f>'6.2_передача (свод)'!G18</f>
        <v>311.98106983576514</v>
      </c>
      <c r="O19" s="260">
        <f>'6.2_передача (свод)'!H15</f>
        <v>3018.1501668272731</v>
      </c>
      <c r="P19" s="260">
        <f>'6.2_передача (свод)'!H17</f>
        <v>3018.1501668272731</v>
      </c>
      <c r="Q19" s="260">
        <f>'6.2_передача (свод)'!H18</f>
        <v>695.9080313691112</v>
      </c>
      <c r="R19" s="260">
        <f>'6.2_передача (свод)'!I15</f>
        <v>1355.2528214598547</v>
      </c>
      <c r="S19" s="260">
        <f>'6.2_передача (свод)'!I17</f>
        <v>1355.2528214598547</v>
      </c>
      <c r="T19" s="260">
        <f>'6.2_передача (свод)'!I18</f>
        <v>380.14626953958378</v>
      </c>
      <c r="U19" s="260">
        <f>'6.2_передача (свод)'!J15</f>
        <v>5600.1577781650603</v>
      </c>
      <c r="V19" s="260">
        <f>'6.2_передача (свод)'!J17</f>
        <v>5600.1577781650603</v>
      </c>
      <c r="W19" s="260">
        <f>'6.2_передача (свод)'!J18</f>
        <v>1011.6701621987885</v>
      </c>
    </row>
    <row r="20" spans="1:23" s="773" customFormat="1" ht="15" customHeight="1">
      <c r="A20" s="60" t="s">
        <v>680</v>
      </c>
      <c r="B20" s="70" t="s">
        <v>657</v>
      </c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</row>
    <row r="21" spans="1:23" s="773" customFormat="1" ht="44.25" customHeight="1">
      <c r="A21" s="60" t="s">
        <v>139</v>
      </c>
      <c r="B21" s="70" t="s">
        <v>681</v>
      </c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</row>
    <row r="22" spans="1:23" s="773" customFormat="1" ht="60" customHeight="1">
      <c r="A22" s="60" t="s">
        <v>141</v>
      </c>
      <c r="B22" s="70" t="s">
        <v>682</v>
      </c>
      <c r="C22" s="67"/>
      <c r="D22" s="67"/>
      <c r="E22" s="67"/>
      <c r="F22" s="67"/>
      <c r="G22" s="67"/>
      <c r="H22" s="67"/>
      <c r="I22" s="67"/>
      <c r="J22" s="67"/>
      <c r="K22" s="67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</row>
    <row r="23" spans="1:23" s="773" customFormat="1" ht="15" customHeight="1">
      <c r="A23" s="60"/>
      <c r="B23" s="70" t="s">
        <v>596</v>
      </c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</row>
    <row r="24" spans="1:23" s="773" customFormat="1" ht="15" customHeight="1">
      <c r="A24" s="60"/>
      <c r="B24" s="70" t="s">
        <v>657</v>
      </c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</row>
    <row r="25" spans="1:23" s="773" customFormat="1" ht="60" customHeight="1">
      <c r="A25" s="60" t="s">
        <v>683</v>
      </c>
      <c r="B25" s="70" t="s">
        <v>684</v>
      </c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</row>
    <row r="26" spans="1:23" s="773" customFormat="1" ht="15" customHeight="1">
      <c r="A26" s="60"/>
      <c r="B26" s="70" t="s">
        <v>596</v>
      </c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</row>
    <row r="27" spans="1:23" s="773" customFormat="1" ht="15" customHeight="1">
      <c r="A27" s="60"/>
      <c r="B27" s="70" t="s">
        <v>657</v>
      </c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</row>
    <row r="28" spans="1:23" s="862" customFormat="1" ht="44.25" customHeight="1">
      <c r="A28" s="859" t="s">
        <v>27</v>
      </c>
      <c r="B28" s="860" t="s">
        <v>685</v>
      </c>
      <c r="C28" s="861"/>
      <c r="D28" s="861"/>
      <c r="E28" s="861"/>
      <c r="F28" s="861"/>
      <c r="G28" s="861"/>
      <c r="H28" s="861"/>
      <c r="I28" s="861"/>
      <c r="J28" s="861"/>
      <c r="K28" s="861"/>
      <c r="L28" s="861"/>
      <c r="M28" s="861"/>
      <c r="N28" s="861"/>
      <c r="O28" s="861"/>
      <c r="P28" s="861"/>
      <c r="Q28" s="861"/>
      <c r="R28" s="861"/>
      <c r="S28" s="861"/>
      <c r="T28" s="861"/>
      <c r="U28" s="861"/>
      <c r="V28" s="861"/>
      <c r="W28" s="861"/>
    </row>
    <row r="29" spans="1:23" s="773" customFormat="1" ht="44.25" customHeight="1">
      <c r="A29" s="60" t="s">
        <v>28</v>
      </c>
      <c r="B29" s="70" t="s">
        <v>679</v>
      </c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</row>
    <row r="30" spans="1:23" s="773" customFormat="1" ht="30" customHeight="1">
      <c r="A30" s="60" t="s">
        <v>29</v>
      </c>
      <c r="B30" s="70" t="s">
        <v>676</v>
      </c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</row>
    <row r="31" spans="1:23" s="773" customFormat="1" ht="30" customHeight="1">
      <c r="A31" s="60" t="s">
        <v>686</v>
      </c>
      <c r="B31" s="61" t="s">
        <v>677</v>
      </c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</row>
    <row r="32" spans="1:23" s="108" customFormat="1" ht="15" customHeight="1">
      <c r="A32" s="256"/>
      <c r="B32" s="257" t="s">
        <v>596</v>
      </c>
      <c r="C32" s="270">
        <f>C11+C19</f>
        <v>4271.7959006597675</v>
      </c>
      <c r="D32" s="270">
        <f t="shared" ref="D32:F32" si="6">D11+D19</f>
        <v>3318.0823368721512</v>
      </c>
      <c r="E32" s="270">
        <f t="shared" si="6"/>
        <v>809.88914491047183</v>
      </c>
      <c r="F32" s="270">
        <f t="shared" si="6"/>
        <v>4602.9106442978164</v>
      </c>
      <c r="G32" s="270">
        <f>G11+G19</f>
        <v>3408.9329126077691</v>
      </c>
      <c r="H32" s="270">
        <f t="shared" ref="H32:W32" si="7">H11+H19</f>
        <v>881.38757544991915</v>
      </c>
      <c r="I32" s="270">
        <f t="shared" si="7"/>
        <v>5011.8377270950659</v>
      </c>
      <c r="J32" s="270">
        <f>J11+J19</f>
        <v>3738.8880636243975</v>
      </c>
      <c r="K32" s="270">
        <f t="shared" ref="K32:L32" si="8">K11+K19</f>
        <v>942.76483648218539</v>
      </c>
      <c r="L32" s="270">
        <f t="shared" si="8"/>
        <v>3840.2903346144185</v>
      </c>
      <c r="M32" s="270">
        <f>M11+M19</f>
        <v>2659.1487011903732</v>
      </c>
      <c r="N32" s="270">
        <f t="shared" ref="N32" si="9">N11+N19</f>
        <v>657.87509627903</v>
      </c>
      <c r="O32" s="270">
        <f t="shared" si="7"/>
        <v>6474.7962634186315</v>
      </c>
      <c r="P32" s="270">
        <f t="shared" si="7"/>
        <v>4388.8188513262439</v>
      </c>
      <c r="Q32" s="270">
        <f t="shared" si="7"/>
        <v>1301.4079076712817</v>
      </c>
      <c r="R32" s="270">
        <f t="shared" si="7"/>
        <v>3904.3690702994472</v>
      </c>
      <c r="S32" s="270">
        <f t="shared" si="7"/>
        <v>2699.0505130965948</v>
      </c>
      <c r="T32" s="270">
        <f t="shared" si="7"/>
        <v>805.05594493168985</v>
      </c>
      <c r="U32" s="270">
        <f t="shared" si="7"/>
        <v>10459.930409334971</v>
      </c>
      <c r="V32" s="270">
        <f t="shared" si="7"/>
        <v>7012.3712665427338</v>
      </c>
      <c r="W32" s="270">
        <f t="shared" si="7"/>
        <v>1797.7623909682411</v>
      </c>
    </row>
    <row r="33" spans="1:23" s="773" customFormat="1" ht="16.5" customHeight="1">
      <c r="A33" s="60"/>
      <c r="B33" s="70" t="s">
        <v>597</v>
      </c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</row>
    <row r="34" spans="1:23" s="773" customFormat="1" ht="16.5" customHeight="1">
      <c r="A34" s="60"/>
      <c r="B34" s="70" t="s">
        <v>598</v>
      </c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</row>
    <row r="35" spans="1:23" s="773" customFormat="1" ht="16.5" customHeight="1">
      <c r="A35" s="60"/>
      <c r="B35" s="70" t="s">
        <v>599</v>
      </c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</row>
    <row r="36" spans="1:23" s="773" customFormat="1" ht="16.5" customHeight="1">
      <c r="A36" s="60"/>
      <c r="B36" s="70" t="s">
        <v>600</v>
      </c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</row>
    <row r="37" spans="1:23" s="773" customFormat="1" ht="15" customHeight="1">
      <c r="A37" s="60"/>
      <c r="B37" s="70" t="s">
        <v>601</v>
      </c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</row>
    <row r="38" spans="1:23" s="773" customFormat="1" ht="44.25" customHeight="1">
      <c r="A38" s="60" t="s">
        <v>687</v>
      </c>
      <c r="B38" s="70" t="s">
        <v>681</v>
      </c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</row>
    <row r="39" spans="1:23" s="773" customFormat="1" ht="60" customHeight="1">
      <c r="A39" s="60" t="s">
        <v>688</v>
      </c>
      <c r="B39" s="70" t="s">
        <v>682</v>
      </c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</row>
    <row r="40" spans="1:23" s="773" customFormat="1" ht="30" customHeight="1">
      <c r="A40" s="60"/>
      <c r="B40" s="70" t="s">
        <v>676</v>
      </c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</row>
    <row r="41" spans="1:23" s="773" customFormat="1" ht="30" customHeight="1">
      <c r="A41" s="60"/>
      <c r="B41" s="61" t="s">
        <v>677</v>
      </c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</row>
    <row r="42" spans="1:23" s="773" customFormat="1" ht="15" customHeight="1">
      <c r="A42" s="60"/>
      <c r="B42" s="70" t="s">
        <v>596</v>
      </c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</row>
    <row r="43" spans="1:23" s="773" customFormat="1" ht="16.5" customHeight="1">
      <c r="A43" s="60"/>
      <c r="B43" s="70" t="s">
        <v>597</v>
      </c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</row>
    <row r="44" spans="1:23" s="773" customFormat="1" ht="16.5" customHeight="1">
      <c r="A44" s="60"/>
      <c r="B44" s="70" t="s">
        <v>598</v>
      </c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</row>
    <row r="45" spans="1:23" s="773" customFormat="1" ht="16.5" customHeight="1">
      <c r="A45" s="60"/>
      <c r="B45" s="70" t="s">
        <v>599</v>
      </c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</row>
    <row r="46" spans="1:23" s="773" customFormat="1" ht="16.5" customHeight="1">
      <c r="A46" s="60"/>
      <c r="B46" s="70" t="s">
        <v>600</v>
      </c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</row>
    <row r="47" spans="1:23" s="773" customFormat="1" ht="15" customHeight="1">
      <c r="A47" s="60"/>
      <c r="B47" s="70" t="s">
        <v>601</v>
      </c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</row>
    <row r="48" spans="1:23" s="773" customFormat="1" ht="60" customHeight="1">
      <c r="A48" s="60" t="s">
        <v>689</v>
      </c>
      <c r="B48" s="70" t="s">
        <v>684</v>
      </c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</row>
    <row r="49" spans="1:23" s="773" customFormat="1" ht="30" customHeight="1">
      <c r="A49" s="60"/>
      <c r="B49" s="70" t="s">
        <v>676</v>
      </c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</row>
    <row r="50" spans="1:23" s="773" customFormat="1" ht="30" customHeight="1">
      <c r="A50" s="60"/>
      <c r="B50" s="61" t="s">
        <v>677</v>
      </c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</row>
    <row r="51" spans="1:23" s="773" customFormat="1" ht="15" customHeight="1">
      <c r="A51" s="60"/>
      <c r="B51" s="70" t="s">
        <v>596</v>
      </c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</row>
    <row r="52" spans="1:23" s="773" customFormat="1" ht="16.5" customHeight="1">
      <c r="A52" s="60"/>
      <c r="B52" s="70" t="s">
        <v>597</v>
      </c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</row>
    <row r="53" spans="1:23" s="773" customFormat="1" ht="16.5" customHeight="1">
      <c r="A53" s="60"/>
      <c r="B53" s="70" t="s">
        <v>598</v>
      </c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</row>
    <row r="54" spans="1:23" s="773" customFormat="1" ht="16.5" customHeight="1">
      <c r="A54" s="60"/>
      <c r="B54" s="70" t="s">
        <v>599</v>
      </c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</row>
    <row r="55" spans="1:23" s="773" customFormat="1" ht="16.5" customHeight="1">
      <c r="A55" s="60"/>
      <c r="B55" s="70" t="s">
        <v>600</v>
      </c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</row>
    <row r="56" spans="1:23" s="773" customFormat="1" ht="15" customHeight="1">
      <c r="A56" s="60"/>
      <c r="B56" s="70" t="s">
        <v>601</v>
      </c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</row>
    <row r="57" spans="1:23" ht="15">
      <c r="H57" s="271">
        <f>G8*'[15]6.1_генерация'!D73+H32*'[15]6.2_передача'!F12*12</f>
        <v>0</v>
      </c>
      <c r="I57" s="271"/>
      <c r="J57" s="271"/>
      <c r="K57" s="271"/>
      <c r="L57" s="271"/>
      <c r="M57" s="271"/>
      <c r="N57" s="271"/>
      <c r="O57" s="271"/>
      <c r="P57" s="271"/>
      <c r="Q57" s="271"/>
    </row>
    <row r="58" spans="1:23" ht="15">
      <c r="A58" s="26" t="s">
        <v>88</v>
      </c>
    </row>
    <row r="59" spans="1:23" s="773" customFormat="1" ht="39.75" customHeight="1">
      <c r="A59" s="45" t="s">
        <v>89</v>
      </c>
      <c r="B59" s="1842" t="s">
        <v>690</v>
      </c>
      <c r="C59" s="1842"/>
      <c r="D59" s="1842"/>
      <c r="E59" s="1842"/>
      <c r="F59" s="1842"/>
      <c r="G59" s="1842"/>
      <c r="H59" s="1842"/>
      <c r="I59" s="1842"/>
      <c r="J59" s="1842"/>
      <c r="K59" s="1842"/>
      <c r="L59" s="1842"/>
      <c r="M59" s="1842"/>
      <c r="N59" s="1842"/>
      <c r="O59" s="1842"/>
      <c r="P59" s="1842"/>
      <c r="Q59" s="1842"/>
      <c r="R59" s="1842"/>
      <c r="S59" s="1842"/>
      <c r="T59" s="1842"/>
      <c r="U59" s="1842"/>
      <c r="V59" s="1842"/>
      <c r="W59" s="1842"/>
    </row>
    <row r="60" spans="1:23" s="773" customFormat="1" ht="24.75" customHeight="1">
      <c r="A60" s="45" t="s">
        <v>91</v>
      </c>
      <c r="B60" s="1842" t="s">
        <v>691</v>
      </c>
      <c r="C60" s="1842"/>
      <c r="D60" s="1842"/>
      <c r="E60" s="1842"/>
      <c r="F60" s="1842"/>
      <c r="G60" s="1842"/>
      <c r="H60" s="1842"/>
      <c r="I60" s="1842"/>
      <c r="J60" s="1842"/>
      <c r="K60" s="1842"/>
      <c r="L60" s="1842"/>
      <c r="M60" s="1842"/>
      <c r="N60" s="1842"/>
      <c r="O60" s="1842"/>
      <c r="P60" s="1842"/>
      <c r="Q60" s="1842"/>
      <c r="R60" s="1842"/>
      <c r="S60" s="1842"/>
      <c r="T60" s="1842"/>
      <c r="U60" s="1842"/>
      <c r="V60" s="1842"/>
      <c r="W60" s="1842"/>
    </row>
    <row r="61" spans="1:23" s="773" customFormat="1" ht="24.75" customHeight="1">
      <c r="A61" s="45" t="s">
        <v>93</v>
      </c>
      <c r="B61" s="1842" t="s">
        <v>692</v>
      </c>
      <c r="C61" s="1842"/>
      <c r="D61" s="1842"/>
      <c r="E61" s="1842"/>
      <c r="F61" s="1842"/>
      <c r="G61" s="1842"/>
      <c r="H61" s="1842"/>
      <c r="I61" s="1842"/>
      <c r="J61" s="1842"/>
      <c r="K61" s="1842"/>
      <c r="L61" s="1842"/>
      <c r="M61" s="1842"/>
      <c r="N61" s="1842"/>
      <c r="O61" s="1842"/>
      <c r="P61" s="1842"/>
      <c r="Q61" s="1842"/>
      <c r="R61" s="1842"/>
      <c r="S61" s="1842"/>
      <c r="T61" s="1842"/>
      <c r="U61" s="1842"/>
      <c r="V61" s="1842"/>
      <c r="W61" s="1842"/>
    </row>
    <row r="62" spans="1:23" s="773" customFormat="1" ht="46.5" customHeight="1">
      <c r="A62" s="45" t="s">
        <v>95</v>
      </c>
      <c r="B62" s="1842" t="s">
        <v>693</v>
      </c>
      <c r="C62" s="1842"/>
      <c r="D62" s="1842"/>
      <c r="E62" s="1842"/>
      <c r="F62" s="1842"/>
      <c r="G62" s="1842"/>
      <c r="H62" s="1842"/>
      <c r="I62" s="1842"/>
      <c r="J62" s="1842"/>
      <c r="K62" s="1842"/>
      <c r="L62" s="1842"/>
      <c r="M62" s="1842"/>
      <c r="N62" s="1842"/>
      <c r="O62" s="1842"/>
      <c r="P62" s="1842"/>
      <c r="Q62" s="1842"/>
      <c r="R62" s="1842"/>
      <c r="S62" s="1842"/>
      <c r="T62" s="1842"/>
      <c r="U62" s="1842"/>
      <c r="V62" s="1842"/>
      <c r="W62" s="1842"/>
    </row>
    <row r="63" spans="1:23" s="773" customFormat="1" ht="10.5" customHeight="1">
      <c r="I63" s="1292"/>
      <c r="J63" s="1292"/>
      <c r="K63" s="1292"/>
      <c r="L63" s="1588"/>
      <c r="M63" s="1588"/>
      <c r="N63" s="1588"/>
    </row>
  </sheetData>
  <mergeCells count="14">
    <mergeCell ref="B59:W59"/>
    <mergeCell ref="B60:W60"/>
    <mergeCell ref="B61:W61"/>
    <mergeCell ref="B62:W62"/>
    <mergeCell ref="A3:W3"/>
    <mergeCell ref="A5:A6"/>
    <mergeCell ref="B5:B6"/>
    <mergeCell ref="C5:E5"/>
    <mergeCell ref="F5:H5"/>
    <mergeCell ref="O5:Q5"/>
    <mergeCell ref="R5:T5"/>
    <mergeCell ref="U5:W5"/>
    <mergeCell ref="I5:K5"/>
    <mergeCell ref="L5:N5"/>
  </mergeCells>
  <pageMargins left="0.59055118110236227" right="0.51181102362204722" top="0.78740157480314965" bottom="0.39370078740157483" header="0.19685039370078741" footer="0.19685039370078741"/>
  <pageSetup paperSize="9" scale="46" orientation="landscape" r:id="rId1"/>
  <headerFooter alignWithMargins="0"/>
  <rowBreaks count="2" manualBreakCount="2">
    <brk id="27" max="13" man="1"/>
    <brk id="56" max="13" man="1"/>
  </rowBreaks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W63"/>
  <sheetViews>
    <sheetView view="pageBreakPreview" zoomScale="90" zoomScaleNormal="100" zoomScaleSheetLayoutView="90" workbookViewId="0">
      <pane xSplit="2" ySplit="6" topLeftCell="H10" activePane="bottomRight" state="frozen"/>
      <selection activeCell="F148" sqref="F148"/>
      <selection pane="topRight" activeCell="F148" sqref="F148"/>
      <selection pane="bottomLeft" activeCell="F148" sqref="F148"/>
      <selection pane="bottomRight" activeCell="F148" sqref="F148"/>
    </sheetView>
  </sheetViews>
  <sheetFormatPr defaultColWidth="0.85546875" defaultRowHeight="12" customHeight="1"/>
  <cols>
    <col min="1" max="1" width="6.140625" style="26" customWidth="1"/>
    <col min="2" max="2" width="37.5703125" style="26" customWidth="1"/>
    <col min="3" max="3" width="11.42578125" style="26" customWidth="1"/>
    <col min="4" max="4" width="13.42578125" style="26" customWidth="1"/>
    <col min="5" max="5" width="14.140625" style="26" customWidth="1"/>
    <col min="6" max="6" width="11.7109375" style="26" customWidth="1"/>
    <col min="7" max="7" width="14.140625" style="26" customWidth="1"/>
    <col min="8" max="8" width="16.42578125" style="26" customWidth="1"/>
    <col min="9" max="9" width="12.140625" style="26" customWidth="1"/>
    <col min="10" max="10" width="14" style="26" customWidth="1"/>
    <col min="11" max="11" width="16.42578125" style="26" customWidth="1"/>
    <col min="12" max="12" width="12.5703125" style="26" customWidth="1"/>
    <col min="13" max="13" width="13.42578125" style="26" customWidth="1"/>
    <col min="14" max="14" width="16.42578125" style="26" customWidth="1"/>
    <col min="15" max="15" width="11.85546875" style="26" customWidth="1"/>
    <col min="16" max="16" width="14.5703125" style="26" customWidth="1"/>
    <col min="17" max="17" width="15.85546875" style="26" customWidth="1"/>
    <col min="18" max="18" width="11.5703125" style="26" customWidth="1"/>
    <col min="19" max="19" width="14.140625" style="26" customWidth="1"/>
    <col min="20" max="20" width="16.42578125" style="26" customWidth="1"/>
    <col min="21" max="21" width="11.28515625" style="26" customWidth="1"/>
    <col min="22" max="22" width="14.140625" style="26" customWidth="1"/>
    <col min="23" max="23" width="16.42578125" style="26" customWidth="1"/>
    <col min="24" max="265" width="2.7109375" style="26" customWidth="1"/>
    <col min="266" max="16384" width="0.85546875" style="26"/>
  </cols>
  <sheetData>
    <row r="1" spans="1:23" s="24" customFormat="1" ht="20.25" customHeight="1">
      <c r="A1" s="74" t="s">
        <v>765</v>
      </c>
      <c r="H1" s="25"/>
      <c r="I1" s="25"/>
      <c r="J1" s="25"/>
      <c r="K1" s="25"/>
      <c r="L1" s="25"/>
      <c r="M1" s="25"/>
      <c r="N1" s="25"/>
      <c r="O1" s="25"/>
      <c r="P1" s="25"/>
      <c r="Q1" s="25"/>
      <c r="T1" s="25"/>
      <c r="W1" s="25" t="s">
        <v>671</v>
      </c>
    </row>
    <row r="2" spans="1:23" ht="17.25" customHeight="1">
      <c r="A2" s="759" t="str">
        <f>'4.1_КТЭЦ'!A2</f>
        <v>ПКГО - Комбинированная выработка КТЭЦ</v>
      </c>
    </row>
    <row r="3" spans="1:23" ht="15.75" customHeight="1">
      <c r="A3" s="1968" t="s">
        <v>672</v>
      </c>
      <c r="B3" s="1968"/>
      <c r="C3" s="1968"/>
      <c r="D3" s="1968"/>
      <c r="E3" s="1968"/>
      <c r="F3" s="1968"/>
      <c r="G3" s="1968"/>
      <c r="H3" s="1968"/>
      <c r="I3" s="1968"/>
      <c r="J3" s="1968"/>
      <c r="K3" s="1968"/>
      <c r="L3" s="1968"/>
      <c r="M3" s="1968"/>
      <c r="N3" s="1968"/>
      <c r="O3" s="1968"/>
      <c r="P3" s="1968"/>
      <c r="Q3" s="1968"/>
      <c r="R3" s="1968"/>
      <c r="S3" s="1968"/>
      <c r="T3" s="1968"/>
      <c r="U3" s="1968"/>
      <c r="V3" s="1968"/>
      <c r="W3" s="1968"/>
    </row>
    <row r="4" spans="1:23" ht="12" customHeight="1">
      <c r="A4" s="27"/>
      <c r="B4" s="27"/>
      <c r="C4" s="27"/>
      <c r="D4" s="27"/>
      <c r="E4" s="27"/>
      <c r="F4" s="27"/>
      <c r="R4" s="27"/>
      <c r="U4" s="27"/>
    </row>
    <row r="5" spans="1:23" s="31" customFormat="1" ht="15" customHeight="1">
      <c r="A5" s="1873" t="s">
        <v>0</v>
      </c>
      <c r="B5" s="1873" t="s">
        <v>1</v>
      </c>
      <c r="C5" s="1846" t="s">
        <v>771</v>
      </c>
      <c r="D5" s="1846"/>
      <c r="E5" s="1846"/>
      <c r="F5" s="1846" t="s">
        <v>1706</v>
      </c>
      <c r="G5" s="1846"/>
      <c r="H5" s="1846"/>
      <c r="I5" s="1846" t="s">
        <v>1855</v>
      </c>
      <c r="J5" s="1846"/>
      <c r="K5" s="1846"/>
      <c r="L5" s="1846" t="s">
        <v>1834</v>
      </c>
      <c r="M5" s="1846"/>
      <c r="N5" s="1846"/>
      <c r="O5" s="1846" t="s">
        <v>1688</v>
      </c>
      <c r="P5" s="1846"/>
      <c r="Q5" s="1846"/>
      <c r="R5" s="1846" t="s">
        <v>1830</v>
      </c>
      <c r="S5" s="1846"/>
      <c r="T5" s="1846"/>
      <c r="U5" s="1846" t="s">
        <v>1831</v>
      </c>
      <c r="V5" s="1846"/>
      <c r="W5" s="1846"/>
    </row>
    <row r="6" spans="1:23" s="31" customFormat="1" ht="148.5" customHeight="1">
      <c r="A6" s="1873"/>
      <c r="B6" s="1873"/>
      <c r="C6" s="102" t="s">
        <v>673</v>
      </c>
      <c r="D6" s="102" t="s">
        <v>674</v>
      </c>
      <c r="E6" s="102" t="s">
        <v>675</v>
      </c>
      <c r="F6" s="102" t="s">
        <v>673</v>
      </c>
      <c r="G6" s="102" t="s">
        <v>674</v>
      </c>
      <c r="H6" s="102" t="s">
        <v>675</v>
      </c>
      <c r="I6" s="102" t="s">
        <v>673</v>
      </c>
      <c r="J6" s="102" t="s">
        <v>674</v>
      </c>
      <c r="K6" s="102" t="s">
        <v>675</v>
      </c>
      <c r="L6" s="102" t="s">
        <v>673</v>
      </c>
      <c r="M6" s="102" t="s">
        <v>674</v>
      </c>
      <c r="N6" s="102" t="s">
        <v>675</v>
      </c>
      <c r="O6" s="102" t="s">
        <v>673</v>
      </c>
      <c r="P6" s="102" t="s">
        <v>674</v>
      </c>
      <c r="Q6" s="102" t="s">
        <v>675</v>
      </c>
      <c r="R6" s="102" t="s">
        <v>673</v>
      </c>
      <c r="S6" s="102" t="s">
        <v>674</v>
      </c>
      <c r="T6" s="102" t="s">
        <v>675</v>
      </c>
      <c r="U6" s="102" t="s">
        <v>673</v>
      </c>
      <c r="V6" s="102" t="s">
        <v>674</v>
      </c>
      <c r="W6" s="102" t="s">
        <v>675</v>
      </c>
    </row>
    <row r="7" spans="1:23" s="48" customFormat="1" ht="15">
      <c r="A7" s="13">
        <v>1</v>
      </c>
      <c r="B7" s="13">
        <v>2</v>
      </c>
      <c r="C7" s="33">
        <v>3</v>
      </c>
      <c r="D7" s="33">
        <v>4</v>
      </c>
      <c r="E7" s="33">
        <v>5</v>
      </c>
      <c r="F7" s="33">
        <v>6</v>
      </c>
      <c r="G7" s="33">
        <v>7</v>
      </c>
      <c r="H7" s="33">
        <v>8</v>
      </c>
      <c r="I7" s="33">
        <v>9</v>
      </c>
      <c r="J7" s="33">
        <v>10</v>
      </c>
      <c r="K7" s="33">
        <v>11</v>
      </c>
      <c r="L7" s="33"/>
      <c r="M7" s="33"/>
      <c r="N7" s="33"/>
      <c r="O7" s="33">
        <v>12</v>
      </c>
      <c r="P7" s="33">
        <v>13</v>
      </c>
      <c r="Q7" s="33">
        <v>14</v>
      </c>
      <c r="R7" s="33">
        <v>15</v>
      </c>
      <c r="S7" s="33">
        <v>16</v>
      </c>
      <c r="T7" s="33">
        <v>17</v>
      </c>
      <c r="U7" s="33">
        <v>18</v>
      </c>
      <c r="V7" s="33">
        <v>19</v>
      </c>
      <c r="W7" s="33">
        <v>20</v>
      </c>
    </row>
    <row r="8" spans="1:23" s="862" customFormat="1" ht="45" customHeight="1">
      <c r="A8" s="859" t="s">
        <v>4</v>
      </c>
      <c r="B8" s="863" t="s">
        <v>654</v>
      </c>
      <c r="C8" s="291">
        <f t="shared" ref="C8:V8" si="0">C11</f>
        <v>1198.4614529886219</v>
      </c>
      <c r="D8" s="291">
        <f t="shared" si="0"/>
        <v>654.630047096407</v>
      </c>
      <c r="E8" s="291">
        <f t="shared" si="0"/>
        <v>161.02083591942014</v>
      </c>
      <c r="F8" s="291">
        <f t="shared" si="0"/>
        <v>1541.5704232707769</v>
      </c>
      <c r="G8" s="291">
        <f t="shared" si="0"/>
        <v>736.18913264761875</v>
      </c>
      <c r="H8" s="291">
        <f t="shared" si="0"/>
        <v>242.96128684630494</v>
      </c>
      <c r="I8" s="291">
        <f t="shared" ref="I8:K8" si="1">I11</f>
        <v>1504.2588656994785</v>
      </c>
      <c r="J8" s="291">
        <f t="shared" si="1"/>
        <v>726.08708482341513</v>
      </c>
      <c r="K8" s="291">
        <f t="shared" si="1"/>
        <v>229.6642461463415</v>
      </c>
      <c r="L8" s="291">
        <f t="shared" ref="L8:N8" si="2">L11</f>
        <v>5190.8794523458091</v>
      </c>
      <c r="M8" s="291">
        <f t="shared" si="2"/>
        <v>825.56244762367464</v>
      </c>
      <c r="N8" s="291">
        <f t="shared" si="2"/>
        <v>1287.9406862830269</v>
      </c>
      <c r="O8" s="291">
        <f t="shared" si="0"/>
        <v>2599.5851415675902</v>
      </c>
      <c r="P8" s="291">
        <f t="shared" si="0"/>
        <v>863.26447059371424</v>
      </c>
      <c r="Q8" s="291">
        <f t="shared" si="0"/>
        <v>512.23437439951556</v>
      </c>
      <c r="R8" s="291">
        <f t="shared" si="0"/>
        <v>1565.0490726809155</v>
      </c>
      <c r="S8" s="291">
        <f t="shared" si="0"/>
        <v>845.66264199381772</v>
      </c>
      <c r="T8" s="291">
        <f t="shared" si="0"/>
        <v>259.47287516306682</v>
      </c>
      <c r="U8" s="291">
        <f t="shared" si="0"/>
        <v>4226.6519287168539</v>
      </c>
      <c r="V8" s="291">
        <f t="shared" si="0"/>
        <v>890.94755565766593</v>
      </c>
      <c r="W8" s="291">
        <f>W11</f>
        <v>764.99848872808934</v>
      </c>
    </row>
    <row r="9" spans="1:23" s="773" customFormat="1" ht="30" customHeight="1">
      <c r="A9" s="60" t="s">
        <v>5</v>
      </c>
      <c r="B9" s="61" t="s">
        <v>676</v>
      </c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</row>
    <row r="10" spans="1:23" s="773" customFormat="1" ht="30" customHeight="1">
      <c r="A10" s="60" t="s">
        <v>11</v>
      </c>
      <c r="B10" s="61" t="s">
        <v>677</v>
      </c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</row>
    <row r="11" spans="1:23" s="773" customFormat="1" ht="15" customHeight="1">
      <c r="A11" s="60"/>
      <c r="B11" s="70" t="s">
        <v>596</v>
      </c>
      <c r="C11" s="260">
        <f>'6.3_потери (КТЭЦ)'!E26</f>
        <v>1198.4614529886219</v>
      </c>
      <c r="D11" s="260">
        <f>'6.3_потери (КТЭЦ)'!F26</f>
        <v>654.630047096407</v>
      </c>
      <c r="E11" s="260">
        <f>'6.3_потери (КТЭЦ)'!G26</f>
        <v>161.02083591942014</v>
      </c>
      <c r="F11" s="260">
        <f>'6.3_потери (КТЭЦ)'!J26</f>
        <v>1541.5704232707769</v>
      </c>
      <c r="G11" s="260">
        <f>'6.3_потери (КТЭЦ)'!K26</f>
        <v>736.18913264761875</v>
      </c>
      <c r="H11" s="260">
        <f>'6.3_потери (КТЭЦ)'!L26</f>
        <v>242.96128684630494</v>
      </c>
      <c r="I11" s="260">
        <f>'6.3_потери (КТЭЦ)'!O26</f>
        <v>1504.2588656994785</v>
      </c>
      <c r="J11" s="260">
        <f>'6.3_потери (КТЭЦ)'!P26</f>
        <v>726.08708482341513</v>
      </c>
      <c r="K11" s="260">
        <f>'6.3_потери (КТЭЦ)'!Q26</f>
        <v>229.6642461463415</v>
      </c>
      <c r="L11" s="260">
        <f>'6.3_потери (КТЭЦ)'!T26</f>
        <v>5190.8794523458091</v>
      </c>
      <c r="M11" s="260">
        <f>'6.3_потери (КТЭЦ)'!U26</f>
        <v>825.56244762367464</v>
      </c>
      <c r="N11" s="260">
        <f>'6.3_потери (КТЭЦ)'!V26</f>
        <v>1287.9406862830269</v>
      </c>
      <c r="O11" s="260">
        <f>'6.3_потери (КТЭЦ)'!Y26</f>
        <v>2599.5851415675902</v>
      </c>
      <c r="P11" s="260">
        <f>'6.3_потери (КТЭЦ)'!Z26</f>
        <v>863.26447059371424</v>
      </c>
      <c r="Q11" s="260">
        <f>'6.3_потери (КТЭЦ)'!AA26</f>
        <v>512.23437439951556</v>
      </c>
      <c r="R11" s="260">
        <f>'6.3_потери (КТЭЦ)'!AD26</f>
        <v>1565.0490726809155</v>
      </c>
      <c r="S11" s="260">
        <f>'6.3_потери (КТЭЦ)'!AE26</f>
        <v>845.66264199381772</v>
      </c>
      <c r="T11" s="260">
        <f>'6.3_потери (КТЭЦ)'!AF26</f>
        <v>259.47287516306682</v>
      </c>
      <c r="U11" s="260">
        <f>'6.3_потери (КТЭЦ)'!AI26</f>
        <v>4226.6519287168539</v>
      </c>
      <c r="V11" s="260">
        <f>'6.3_потери (КТЭЦ)'!AJ26</f>
        <v>890.94755565766593</v>
      </c>
      <c r="W11" s="260">
        <f>'6.3_потери (КТЭЦ)'!AK26</f>
        <v>764.99848872808934</v>
      </c>
    </row>
    <row r="12" spans="1:23" s="773" customFormat="1" ht="16.5" customHeight="1">
      <c r="A12" s="60"/>
      <c r="B12" s="70" t="s">
        <v>597</v>
      </c>
      <c r="C12" s="67"/>
      <c r="D12" s="67"/>
      <c r="E12" s="67"/>
      <c r="F12" s="67"/>
      <c r="G12" s="67"/>
      <c r="H12" s="67"/>
      <c r="I12" s="67"/>
      <c r="J12" s="67"/>
      <c r="K12" s="67"/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</row>
    <row r="13" spans="1:23" s="773" customFormat="1" ht="16.5" customHeight="1">
      <c r="A13" s="60"/>
      <c r="B13" s="70" t="s">
        <v>598</v>
      </c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</row>
    <row r="14" spans="1:23" s="773" customFormat="1" ht="16.5" customHeight="1">
      <c r="A14" s="60"/>
      <c r="B14" s="70" t="s">
        <v>599</v>
      </c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</row>
    <row r="15" spans="1:23" s="773" customFormat="1" ht="16.5" customHeight="1">
      <c r="A15" s="60"/>
      <c r="B15" s="70" t="s">
        <v>600</v>
      </c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</row>
    <row r="16" spans="1:23" s="773" customFormat="1" ht="15" customHeight="1">
      <c r="A16" s="60"/>
      <c r="B16" s="70" t="s">
        <v>601</v>
      </c>
      <c r="C16" s="67"/>
      <c r="D16" s="67"/>
      <c r="E16" s="67"/>
      <c r="F16" s="67"/>
      <c r="G16" s="67"/>
      <c r="H16" s="67"/>
      <c r="I16" s="67"/>
      <c r="J16" s="67"/>
      <c r="K16" s="67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</row>
    <row r="17" spans="1:23" s="862" customFormat="1" ht="60.75" customHeight="1">
      <c r="A17" s="859" t="s">
        <v>23</v>
      </c>
      <c r="B17" s="860" t="s">
        <v>678</v>
      </c>
      <c r="C17" s="291">
        <f t="shared" ref="C17:W17" si="3">C19</f>
        <v>2224.4727522579878</v>
      </c>
      <c r="D17" s="291">
        <f t="shared" si="3"/>
        <v>2224.4727522579878</v>
      </c>
      <c r="E17" s="291">
        <f t="shared" si="3"/>
        <v>524.45532378300584</v>
      </c>
      <c r="F17" s="291">
        <f t="shared" si="3"/>
        <v>2901.1507254511971</v>
      </c>
      <c r="G17" s="291">
        <f t="shared" si="3"/>
        <v>2901.1507254511971</v>
      </c>
      <c r="H17" s="291">
        <f t="shared" si="3"/>
        <v>673.77954585799137</v>
      </c>
      <c r="I17" s="291">
        <f t="shared" ref="I17:K17" si="4">I19</f>
        <v>3275.2563146157395</v>
      </c>
      <c r="J17" s="291">
        <f t="shared" si="4"/>
        <v>3275.2563146157395</v>
      </c>
      <c r="K17" s="291">
        <f t="shared" si="4"/>
        <v>741.34929312194811</v>
      </c>
      <c r="L17" s="291">
        <f t="shared" ref="L17:N17" si="5">L19</f>
        <v>261.9980204837259</v>
      </c>
      <c r="M17" s="291">
        <f t="shared" si="5"/>
        <v>261.9980204837259</v>
      </c>
      <c r="N17" s="291">
        <f t="shared" si="5"/>
        <v>61.038313385186932</v>
      </c>
      <c r="O17" s="291">
        <f t="shared" si="3"/>
        <v>3333.4348478796323</v>
      </c>
      <c r="P17" s="291">
        <f t="shared" si="3"/>
        <v>3333.4348478796323</v>
      </c>
      <c r="Q17" s="291">
        <f t="shared" si="3"/>
        <v>776.59839001195178</v>
      </c>
      <c r="R17" s="291">
        <f t="shared" si="3"/>
        <v>1542.5151191192563</v>
      </c>
      <c r="S17" s="291">
        <f t="shared" si="3"/>
        <v>1542.5151191192563</v>
      </c>
      <c r="T17" s="291">
        <f t="shared" si="3"/>
        <v>436.766551023609</v>
      </c>
      <c r="U17" s="291">
        <f t="shared" si="3"/>
        <v>6107.6351442839141</v>
      </c>
      <c r="V17" s="291">
        <f t="shared" si="3"/>
        <v>6107.6351442839141</v>
      </c>
      <c r="W17" s="291">
        <f t="shared" si="3"/>
        <v>1116.4307703402626</v>
      </c>
    </row>
    <row r="18" spans="1:23" s="773" customFormat="1" ht="44.25" customHeight="1">
      <c r="A18" s="60" t="s">
        <v>24</v>
      </c>
      <c r="B18" s="70" t="s">
        <v>679</v>
      </c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</row>
    <row r="19" spans="1:23" s="773" customFormat="1" ht="15" customHeight="1">
      <c r="A19" s="60" t="s">
        <v>25</v>
      </c>
      <c r="B19" s="70" t="s">
        <v>596</v>
      </c>
      <c r="C19" s="260">
        <f>'6.2_передача (КТЭЦ)'!D15</f>
        <v>2224.4727522579878</v>
      </c>
      <c r="D19" s="260">
        <f>'6.2_передача (КТЭЦ)'!D17</f>
        <v>2224.4727522579878</v>
      </c>
      <c r="E19" s="260">
        <f>'6.2_передача (КТЭЦ)'!D18</f>
        <v>524.45532378300584</v>
      </c>
      <c r="F19" s="260">
        <f>'6.2_передача (КТЭЦ)'!E15</f>
        <v>2901.1507254511971</v>
      </c>
      <c r="G19" s="260">
        <f>'6.2_передача (КТЭЦ)'!E17</f>
        <v>2901.1507254511971</v>
      </c>
      <c r="H19" s="260">
        <f>'6.2_передача (КТЭЦ)'!E18</f>
        <v>673.77954585799137</v>
      </c>
      <c r="I19" s="260">
        <f>'6.2_передача (КТЭЦ)'!F15</f>
        <v>3275.2563146157395</v>
      </c>
      <c r="J19" s="260">
        <f>'6.2_передача (КТЭЦ)'!F17</f>
        <v>3275.2563146157395</v>
      </c>
      <c r="K19" s="260">
        <f>'6.2_передача (КТЭЦ)'!F18</f>
        <v>741.34929312194811</v>
      </c>
      <c r="L19" s="260">
        <f>'6.2_передача (КТЭЦ)'!G15</f>
        <v>261.9980204837259</v>
      </c>
      <c r="M19" s="260">
        <f>'6.2_передача (КТЭЦ)'!G17</f>
        <v>261.9980204837259</v>
      </c>
      <c r="N19" s="260">
        <f>'6.2_передача (КТЭЦ)'!G18</f>
        <v>61.038313385186932</v>
      </c>
      <c r="O19" s="260">
        <f>'6.2_передача (КТЭЦ)'!H15</f>
        <v>3333.4348478796323</v>
      </c>
      <c r="P19" s="260">
        <f>'6.2_передача (КТЭЦ)'!H17</f>
        <v>3333.4348478796323</v>
      </c>
      <c r="Q19" s="260">
        <f>'6.2_передача (КТЭЦ)'!H18</f>
        <v>776.59839001195178</v>
      </c>
      <c r="R19" s="260">
        <f>'6.2_передача (КТЭЦ)'!I15</f>
        <v>1542.5151191192563</v>
      </c>
      <c r="S19" s="260">
        <f>'6.2_передача (КТЭЦ)'!I17</f>
        <v>1542.5151191192563</v>
      </c>
      <c r="T19" s="260">
        <f>'6.2_передача (КТЭЦ)'!I18</f>
        <v>436.766551023609</v>
      </c>
      <c r="U19" s="260">
        <f>'6.2_передача (КТЭЦ)'!J15</f>
        <v>6107.6351442839141</v>
      </c>
      <c r="V19" s="260">
        <f>'6.2_передача (КТЭЦ)'!J17</f>
        <v>6107.6351442839141</v>
      </c>
      <c r="W19" s="260">
        <f>'6.2_передача (КТЭЦ)'!J18</f>
        <v>1116.4307703402626</v>
      </c>
    </row>
    <row r="20" spans="1:23" s="773" customFormat="1" ht="15" customHeight="1">
      <c r="A20" s="60" t="s">
        <v>680</v>
      </c>
      <c r="B20" s="70" t="s">
        <v>657</v>
      </c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</row>
    <row r="21" spans="1:23" s="773" customFormat="1" ht="44.25" customHeight="1">
      <c r="A21" s="60" t="s">
        <v>139</v>
      </c>
      <c r="B21" s="70" t="s">
        <v>681</v>
      </c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</row>
    <row r="22" spans="1:23" s="773" customFormat="1" ht="60" customHeight="1">
      <c r="A22" s="60" t="s">
        <v>141</v>
      </c>
      <c r="B22" s="70" t="s">
        <v>682</v>
      </c>
      <c r="C22" s="67"/>
      <c r="D22" s="67"/>
      <c r="E22" s="67"/>
      <c r="F22" s="67"/>
      <c r="G22" s="67"/>
      <c r="H22" s="67"/>
      <c r="I22" s="67"/>
      <c r="J22" s="67"/>
      <c r="K22" s="67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</row>
    <row r="23" spans="1:23" s="773" customFormat="1" ht="15" customHeight="1">
      <c r="A23" s="60"/>
      <c r="B23" s="70" t="s">
        <v>596</v>
      </c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</row>
    <row r="24" spans="1:23" s="773" customFormat="1" ht="15" customHeight="1">
      <c r="A24" s="60"/>
      <c r="B24" s="70" t="s">
        <v>657</v>
      </c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</row>
    <row r="25" spans="1:23" s="773" customFormat="1" ht="60" customHeight="1">
      <c r="A25" s="60" t="s">
        <v>683</v>
      </c>
      <c r="B25" s="70" t="s">
        <v>684</v>
      </c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</row>
    <row r="26" spans="1:23" s="773" customFormat="1" ht="15" customHeight="1">
      <c r="A26" s="60"/>
      <c r="B26" s="70" t="s">
        <v>596</v>
      </c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</row>
    <row r="27" spans="1:23" s="773" customFormat="1" ht="15" customHeight="1">
      <c r="A27" s="60"/>
      <c r="B27" s="70" t="s">
        <v>657</v>
      </c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</row>
    <row r="28" spans="1:23" s="862" customFormat="1" ht="44.25" customHeight="1">
      <c r="A28" s="859" t="s">
        <v>27</v>
      </c>
      <c r="B28" s="860" t="s">
        <v>685</v>
      </c>
      <c r="C28" s="861"/>
      <c r="D28" s="861"/>
      <c r="E28" s="861"/>
      <c r="F28" s="861"/>
      <c r="G28" s="861"/>
      <c r="H28" s="861"/>
      <c r="I28" s="861"/>
      <c r="J28" s="861"/>
      <c r="K28" s="861"/>
      <c r="L28" s="861"/>
      <c r="M28" s="861"/>
      <c r="N28" s="861"/>
      <c r="O28" s="861"/>
      <c r="P28" s="861"/>
      <c r="Q28" s="861"/>
      <c r="R28" s="861"/>
      <c r="S28" s="861"/>
      <c r="T28" s="861"/>
      <c r="U28" s="861"/>
      <c r="V28" s="861"/>
      <c r="W28" s="861"/>
    </row>
    <row r="29" spans="1:23" s="773" customFormat="1" ht="44.25" customHeight="1">
      <c r="A29" s="60" t="s">
        <v>28</v>
      </c>
      <c r="B29" s="70" t="s">
        <v>679</v>
      </c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</row>
    <row r="30" spans="1:23" s="773" customFormat="1" ht="30" customHeight="1">
      <c r="A30" s="60" t="s">
        <v>29</v>
      </c>
      <c r="B30" s="70" t="s">
        <v>676</v>
      </c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</row>
    <row r="31" spans="1:23" s="773" customFormat="1" ht="30" customHeight="1">
      <c r="A31" s="60" t="s">
        <v>686</v>
      </c>
      <c r="B31" s="61" t="s">
        <v>677</v>
      </c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</row>
    <row r="32" spans="1:23" s="108" customFormat="1" ht="15" customHeight="1">
      <c r="A32" s="256"/>
      <c r="B32" s="257" t="s">
        <v>596</v>
      </c>
      <c r="C32" s="270">
        <f>C11+C19</f>
        <v>3422.93420524661</v>
      </c>
      <c r="D32" s="270">
        <f t="shared" ref="D32:F32" si="6">D11+D19</f>
        <v>2879.1027993543948</v>
      </c>
      <c r="E32" s="270">
        <f t="shared" si="6"/>
        <v>685.476159702426</v>
      </c>
      <c r="F32" s="270">
        <f t="shared" si="6"/>
        <v>4442.7211487219738</v>
      </c>
      <c r="G32" s="270">
        <f>G11+G19</f>
        <v>3637.339858098816</v>
      </c>
      <c r="H32" s="270">
        <f t="shared" ref="H32:W32" si="7">H11+H19</f>
        <v>916.74083270429628</v>
      </c>
      <c r="I32" s="270">
        <f t="shared" si="7"/>
        <v>4779.5151803152185</v>
      </c>
      <c r="J32" s="270">
        <f>J11+J19</f>
        <v>4001.3433994391544</v>
      </c>
      <c r="K32" s="270">
        <f t="shared" ref="K32:L32" si="8">K11+K19</f>
        <v>971.01353926828961</v>
      </c>
      <c r="L32" s="270">
        <f t="shared" si="8"/>
        <v>5452.8774728295348</v>
      </c>
      <c r="M32" s="270">
        <f>M11+M19</f>
        <v>1087.5604681074005</v>
      </c>
      <c r="N32" s="270">
        <f t="shared" ref="N32" si="9">N11+N19</f>
        <v>1348.9789996682139</v>
      </c>
      <c r="O32" s="270">
        <f t="shared" si="7"/>
        <v>5933.0199894472225</v>
      </c>
      <c r="P32" s="270">
        <f t="shared" si="7"/>
        <v>4196.6993184733465</v>
      </c>
      <c r="Q32" s="270">
        <f t="shared" si="7"/>
        <v>1288.8327644114675</v>
      </c>
      <c r="R32" s="270">
        <f t="shared" si="7"/>
        <v>3107.564191800172</v>
      </c>
      <c r="S32" s="270">
        <f t="shared" si="7"/>
        <v>2388.1777611130738</v>
      </c>
      <c r="T32" s="270">
        <f t="shared" si="7"/>
        <v>696.23942618667581</v>
      </c>
      <c r="U32" s="270">
        <f t="shared" si="7"/>
        <v>10334.287073000767</v>
      </c>
      <c r="V32" s="270">
        <f t="shared" si="7"/>
        <v>6998.5826999415804</v>
      </c>
      <c r="W32" s="270">
        <f t="shared" si="7"/>
        <v>1881.4292590683519</v>
      </c>
    </row>
    <row r="33" spans="1:23" s="773" customFormat="1" ht="16.5" customHeight="1">
      <c r="A33" s="60"/>
      <c r="B33" s="70" t="s">
        <v>597</v>
      </c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</row>
    <row r="34" spans="1:23" s="773" customFormat="1" ht="16.5" customHeight="1">
      <c r="A34" s="60"/>
      <c r="B34" s="70" t="s">
        <v>598</v>
      </c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</row>
    <row r="35" spans="1:23" s="773" customFormat="1" ht="16.5" customHeight="1">
      <c r="A35" s="60"/>
      <c r="B35" s="70" t="s">
        <v>599</v>
      </c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</row>
    <row r="36" spans="1:23" s="773" customFormat="1" ht="16.5" customHeight="1">
      <c r="A36" s="60"/>
      <c r="B36" s="70" t="s">
        <v>600</v>
      </c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</row>
    <row r="37" spans="1:23" s="773" customFormat="1" ht="15" customHeight="1">
      <c r="A37" s="60"/>
      <c r="B37" s="70" t="s">
        <v>601</v>
      </c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</row>
    <row r="38" spans="1:23" s="773" customFormat="1" ht="44.25" customHeight="1">
      <c r="A38" s="60" t="s">
        <v>687</v>
      </c>
      <c r="B38" s="70" t="s">
        <v>681</v>
      </c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</row>
    <row r="39" spans="1:23" s="773" customFormat="1" ht="60" customHeight="1">
      <c r="A39" s="60" t="s">
        <v>688</v>
      </c>
      <c r="B39" s="70" t="s">
        <v>682</v>
      </c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</row>
    <row r="40" spans="1:23" s="773" customFormat="1" ht="30" customHeight="1">
      <c r="A40" s="60"/>
      <c r="B40" s="70" t="s">
        <v>676</v>
      </c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</row>
    <row r="41" spans="1:23" s="773" customFormat="1" ht="30" customHeight="1">
      <c r="A41" s="60"/>
      <c r="B41" s="61" t="s">
        <v>677</v>
      </c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</row>
    <row r="42" spans="1:23" s="773" customFormat="1" ht="15" customHeight="1">
      <c r="A42" s="60"/>
      <c r="B42" s="70" t="s">
        <v>596</v>
      </c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</row>
    <row r="43" spans="1:23" s="773" customFormat="1" ht="16.5" customHeight="1">
      <c r="A43" s="60"/>
      <c r="B43" s="70" t="s">
        <v>597</v>
      </c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</row>
    <row r="44" spans="1:23" s="773" customFormat="1" ht="16.5" customHeight="1">
      <c r="A44" s="60"/>
      <c r="B44" s="70" t="s">
        <v>598</v>
      </c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</row>
    <row r="45" spans="1:23" s="773" customFormat="1" ht="16.5" customHeight="1">
      <c r="A45" s="60"/>
      <c r="B45" s="70" t="s">
        <v>599</v>
      </c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</row>
    <row r="46" spans="1:23" s="773" customFormat="1" ht="16.5" customHeight="1">
      <c r="A46" s="60"/>
      <c r="B46" s="70" t="s">
        <v>600</v>
      </c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</row>
    <row r="47" spans="1:23" s="773" customFormat="1" ht="15" customHeight="1">
      <c r="A47" s="60"/>
      <c r="B47" s="70" t="s">
        <v>601</v>
      </c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</row>
    <row r="48" spans="1:23" s="773" customFormat="1" ht="60" customHeight="1">
      <c r="A48" s="60" t="s">
        <v>689</v>
      </c>
      <c r="B48" s="70" t="s">
        <v>684</v>
      </c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</row>
    <row r="49" spans="1:23" s="773" customFormat="1" ht="30" customHeight="1">
      <c r="A49" s="60"/>
      <c r="B49" s="70" t="s">
        <v>676</v>
      </c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</row>
    <row r="50" spans="1:23" s="773" customFormat="1" ht="30" customHeight="1">
      <c r="A50" s="60"/>
      <c r="B50" s="61" t="s">
        <v>677</v>
      </c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</row>
    <row r="51" spans="1:23" s="773" customFormat="1" ht="15" customHeight="1">
      <c r="A51" s="60"/>
      <c r="B51" s="70" t="s">
        <v>596</v>
      </c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</row>
    <row r="52" spans="1:23" s="773" customFormat="1" ht="16.5" customHeight="1">
      <c r="A52" s="60"/>
      <c r="B52" s="70" t="s">
        <v>597</v>
      </c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</row>
    <row r="53" spans="1:23" s="773" customFormat="1" ht="16.5" customHeight="1">
      <c r="A53" s="60"/>
      <c r="B53" s="70" t="s">
        <v>598</v>
      </c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</row>
    <row r="54" spans="1:23" s="773" customFormat="1" ht="16.5" customHeight="1">
      <c r="A54" s="60"/>
      <c r="B54" s="70" t="s">
        <v>599</v>
      </c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</row>
    <row r="55" spans="1:23" s="773" customFormat="1" ht="16.5" customHeight="1">
      <c r="A55" s="60"/>
      <c r="B55" s="70" t="s">
        <v>600</v>
      </c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</row>
    <row r="56" spans="1:23" s="773" customFormat="1" ht="15" customHeight="1">
      <c r="A56" s="60"/>
      <c r="B56" s="70" t="s">
        <v>601</v>
      </c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</row>
    <row r="57" spans="1:23" ht="15">
      <c r="H57" s="271">
        <f>G8*'[15]6.1_генерация'!D73+H32*'[15]6.2_передача'!F12*12</f>
        <v>0</v>
      </c>
      <c r="I57" s="271"/>
      <c r="J57" s="271"/>
      <c r="K57" s="271"/>
      <c r="L57" s="271"/>
      <c r="M57" s="271"/>
      <c r="N57" s="271"/>
      <c r="O57" s="271"/>
      <c r="P57" s="271"/>
      <c r="Q57" s="271"/>
    </row>
    <row r="58" spans="1:23" ht="15">
      <c r="A58" s="26" t="s">
        <v>88</v>
      </c>
    </row>
    <row r="59" spans="1:23" s="773" customFormat="1" ht="39.75" customHeight="1">
      <c r="A59" s="45" t="s">
        <v>89</v>
      </c>
      <c r="B59" s="1842" t="s">
        <v>690</v>
      </c>
      <c r="C59" s="1842"/>
      <c r="D59" s="1842"/>
      <c r="E59" s="1842"/>
      <c r="F59" s="1842"/>
      <c r="G59" s="1842"/>
      <c r="H59" s="1842"/>
      <c r="I59" s="1842"/>
      <c r="J59" s="1842"/>
      <c r="K59" s="1842"/>
      <c r="L59" s="1842"/>
      <c r="M59" s="1842"/>
      <c r="N59" s="1842"/>
      <c r="O59" s="1842"/>
      <c r="P59" s="1842"/>
      <c r="Q59" s="1842"/>
      <c r="R59" s="1842"/>
      <c r="S59" s="1842"/>
      <c r="T59" s="1842"/>
      <c r="U59" s="1842"/>
      <c r="V59" s="1842"/>
      <c r="W59" s="1842"/>
    </row>
    <row r="60" spans="1:23" s="773" customFormat="1" ht="24.75" customHeight="1">
      <c r="A60" s="45" t="s">
        <v>91</v>
      </c>
      <c r="B60" s="1842" t="s">
        <v>691</v>
      </c>
      <c r="C60" s="1842"/>
      <c r="D60" s="1842"/>
      <c r="E60" s="1842"/>
      <c r="F60" s="1842"/>
      <c r="G60" s="1842"/>
      <c r="H60" s="1842"/>
      <c r="I60" s="1842"/>
      <c r="J60" s="1842"/>
      <c r="K60" s="1842"/>
      <c r="L60" s="1842"/>
      <c r="M60" s="1842"/>
      <c r="N60" s="1842"/>
      <c r="O60" s="1842"/>
      <c r="P60" s="1842"/>
      <c r="Q60" s="1842"/>
      <c r="R60" s="1842"/>
      <c r="S60" s="1842"/>
      <c r="T60" s="1842"/>
      <c r="U60" s="1842"/>
      <c r="V60" s="1842"/>
      <c r="W60" s="1842"/>
    </row>
    <row r="61" spans="1:23" s="773" customFormat="1" ht="24.75" customHeight="1">
      <c r="A61" s="45" t="s">
        <v>93</v>
      </c>
      <c r="B61" s="1842" t="s">
        <v>692</v>
      </c>
      <c r="C61" s="1842"/>
      <c r="D61" s="1842"/>
      <c r="E61" s="1842"/>
      <c r="F61" s="1842"/>
      <c r="G61" s="1842"/>
      <c r="H61" s="1842"/>
      <c r="I61" s="1842"/>
      <c r="J61" s="1842"/>
      <c r="K61" s="1842"/>
      <c r="L61" s="1842"/>
      <c r="M61" s="1842"/>
      <c r="N61" s="1842"/>
      <c r="O61" s="1842"/>
      <c r="P61" s="1842"/>
      <c r="Q61" s="1842"/>
      <c r="R61" s="1842"/>
      <c r="S61" s="1842"/>
      <c r="T61" s="1842"/>
      <c r="U61" s="1842"/>
      <c r="V61" s="1842"/>
      <c r="W61" s="1842"/>
    </row>
    <row r="62" spans="1:23" s="773" customFormat="1" ht="46.5" customHeight="1">
      <c r="A62" s="45" t="s">
        <v>95</v>
      </c>
      <c r="B62" s="1842" t="s">
        <v>693</v>
      </c>
      <c r="C62" s="1842"/>
      <c r="D62" s="1842"/>
      <c r="E62" s="1842"/>
      <c r="F62" s="1842"/>
      <c r="G62" s="1842"/>
      <c r="H62" s="1842"/>
      <c r="I62" s="1842"/>
      <c r="J62" s="1842"/>
      <c r="K62" s="1842"/>
      <c r="L62" s="1842"/>
      <c r="M62" s="1842"/>
      <c r="N62" s="1842"/>
      <c r="O62" s="1842"/>
      <c r="P62" s="1842"/>
      <c r="Q62" s="1842"/>
      <c r="R62" s="1842"/>
      <c r="S62" s="1842"/>
      <c r="T62" s="1842"/>
      <c r="U62" s="1842"/>
      <c r="V62" s="1842"/>
      <c r="W62" s="1842"/>
    </row>
    <row r="63" spans="1:23" s="773" customFormat="1" ht="10.5" customHeight="1">
      <c r="I63" s="1292"/>
      <c r="J63" s="1292"/>
      <c r="K63" s="1292"/>
      <c r="L63" s="1588"/>
      <c r="M63" s="1588"/>
      <c r="N63" s="1588"/>
    </row>
  </sheetData>
  <mergeCells count="14">
    <mergeCell ref="B59:W59"/>
    <mergeCell ref="B60:W60"/>
    <mergeCell ref="B61:W61"/>
    <mergeCell ref="B62:W62"/>
    <mergeCell ref="A3:W3"/>
    <mergeCell ref="A5:A6"/>
    <mergeCell ref="B5:B6"/>
    <mergeCell ref="C5:E5"/>
    <mergeCell ref="F5:H5"/>
    <mergeCell ref="O5:Q5"/>
    <mergeCell ref="R5:T5"/>
    <mergeCell ref="U5:W5"/>
    <mergeCell ref="I5:K5"/>
    <mergeCell ref="L5:N5"/>
  </mergeCells>
  <pageMargins left="0.59055118110236227" right="0.51181102362204722" top="0.78740157480314965" bottom="0.39370078740157483" header="0.19685039370078741" footer="0.19685039370078741"/>
  <pageSetup paperSize="9" scale="46" orientation="landscape" r:id="rId1"/>
  <headerFooter alignWithMargins="0"/>
  <rowBreaks count="2" manualBreakCount="2">
    <brk id="27" max="13" man="1"/>
    <brk id="56" max="13" man="1"/>
  </rowBreaks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W63"/>
  <sheetViews>
    <sheetView view="pageBreakPreview" zoomScale="90" zoomScaleNormal="100" zoomScaleSheetLayoutView="90" workbookViewId="0">
      <pane xSplit="2" ySplit="6" topLeftCell="H7" activePane="bottomRight" state="frozen"/>
      <selection activeCell="F148" sqref="F148"/>
      <selection pane="topRight" activeCell="F148" sqref="F148"/>
      <selection pane="bottomLeft" activeCell="F148" sqref="F148"/>
      <selection pane="bottomRight" activeCell="F148" sqref="F148"/>
    </sheetView>
  </sheetViews>
  <sheetFormatPr defaultColWidth="0.85546875" defaultRowHeight="12" customHeight="1"/>
  <cols>
    <col min="1" max="1" width="6.140625" style="26" customWidth="1"/>
    <col min="2" max="2" width="37.5703125" style="26" customWidth="1"/>
    <col min="3" max="3" width="11.42578125" style="26" customWidth="1"/>
    <col min="4" max="4" width="13.42578125" style="26" customWidth="1"/>
    <col min="5" max="5" width="14.140625" style="26" customWidth="1"/>
    <col min="6" max="6" width="11.7109375" style="26" customWidth="1"/>
    <col min="7" max="7" width="14.140625" style="26" customWidth="1"/>
    <col min="8" max="8" width="16.42578125" style="26" customWidth="1"/>
    <col min="9" max="9" width="12.140625" style="26" customWidth="1"/>
    <col min="10" max="10" width="14" style="26" customWidth="1"/>
    <col min="11" max="11" width="16.42578125" style="26" customWidth="1"/>
    <col min="12" max="12" width="12.5703125" style="26" customWidth="1"/>
    <col min="13" max="13" width="13.42578125" style="26" customWidth="1"/>
    <col min="14" max="14" width="16.42578125" style="26" customWidth="1"/>
    <col min="15" max="15" width="11.85546875" style="26" customWidth="1"/>
    <col min="16" max="16" width="14.5703125" style="26" customWidth="1"/>
    <col min="17" max="17" width="15.85546875" style="26" customWidth="1"/>
    <col min="18" max="18" width="11.5703125" style="26" customWidth="1"/>
    <col min="19" max="19" width="14.140625" style="26" customWidth="1"/>
    <col min="20" max="20" width="16.42578125" style="26" customWidth="1"/>
    <col min="21" max="21" width="11.28515625" style="26" customWidth="1"/>
    <col min="22" max="22" width="14.140625" style="26" customWidth="1"/>
    <col min="23" max="23" width="16.42578125" style="26" customWidth="1"/>
    <col min="24" max="265" width="2.7109375" style="26" customWidth="1"/>
    <col min="266" max="16384" width="0.85546875" style="26"/>
  </cols>
  <sheetData>
    <row r="1" spans="1:23" s="24" customFormat="1" ht="20.25" customHeight="1">
      <c r="A1" s="74" t="s">
        <v>765</v>
      </c>
      <c r="H1" s="25"/>
      <c r="I1" s="25"/>
      <c r="J1" s="25"/>
      <c r="K1" s="25"/>
      <c r="L1" s="25"/>
      <c r="M1" s="25"/>
      <c r="N1" s="25"/>
      <c r="O1" s="25"/>
      <c r="P1" s="25"/>
      <c r="Q1" s="25"/>
      <c r="T1" s="25"/>
      <c r="W1" s="25" t="s">
        <v>671</v>
      </c>
    </row>
    <row r="2" spans="1:23" ht="17.25" customHeight="1">
      <c r="A2" s="759" t="str">
        <f>'4.1_котельные'!A2</f>
        <v>ПКГО - выработка котельными</v>
      </c>
    </row>
    <row r="3" spans="1:23" ht="15.75" customHeight="1">
      <c r="A3" s="1968" t="s">
        <v>672</v>
      </c>
      <c r="B3" s="1968"/>
      <c r="C3" s="1968"/>
      <c r="D3" s="1968"/>
      <c r="E3" s="1968"/>
      <c r="F3" s="1968"/>
      <c r="G3" s="1968"/>
      <c r="H3" s="1968"/>
      <c r="I3" s="1968"/>
      <c r="J3" s="1968"/>
      <c r="K3" s="1968"/>
      <c r="L3" s="1968"/>
      <c r="M3" s="1968"/>
      <c r="N3" s="1968"/>
      <c r="O3" s="1968"/>
      <c r="P3" s="1968"/>
      <c r="Q3" s="1968"/>
      <c r="R3" s="1968"/>
      <c r="S3" s="1968"/>
      <c r="T3" s="1968"/>
      <c r="U3" s="1968"/>
      <c r="V3" s="1968"/>
      <c r="W3" s="1968"/>
    </row>
    <row r="4" spans="1:23" ht="12" customHeight="1">
      <c r="A4" s="27"/>
      <c r="B4" s="27"/>
      <c r="C4" s="27"/>
      <c r="D4" s="27"/>
      <c r="E4" s="27"/>
      <c r="F4" s="27"/>
      <c r="R4" s="27"/>
      <c r="U4" s="27"/>
    </row>
    <row r="5" spans="1:23" s="31" customFormat="1" ht="15" customHeight="1">
      <c r="A5" s="1873" t="s">
        <v>0</v>
      </c>
      <c r="B5" s="1873" t="s">
        <v>1</v>
      </c>
      <c r="C5" s="1846" t="s">
        <v>771</v>
      </c>
      <c r="D5" s="1846"/>
      <c r="E5" s="1846"/>
      <c r="F5" s="1846" t="s">
        <v>1706</v>
      </c>
      <c r="G5" s="1846"/>
      <c r="H5" s="1846"/>
      <c r="I5" s="1846" t="s">
        <v>1855</v>
      </c>
      <c r="J5" s="1846"/>
      <c r="K5" s="1846"/>
      <c r="L5" s="1846" t="s">
        <v>1834</v>
      </c>
      <c r="M5" s="1846"/>
      <c r="N5" s="1846"/>
      <c r="O5" s="1846" t="s">
        <v>1688</v>
      </c>
      <c r="P5" s="1846"/>
      <c r="Q5" s="1846"/>
      <c r="R5" s="1846" t="s">
        <v>1830</v>
      </c>
      <c r="S5" s="1846"/>
      <c r="T5" s="1846"/>
      <c r="U5" s="1846" t="s">
        <v>1831</v>
      </c>
      <c r="V5" s="1846"/>
      <c r="W5" s="1846"/>
    </row>
    <row r="6" spans="1:23" s="31" customFormat="1" ht="148.5" customHeight="1">
      <c r="A6" s="1873"/>
      <c r="B6" s="1873"/>
      <c r="C6" s="102" t="s">
        <v>673</v>
      </c>
      <c r="D6" s="102" t="s">
        <v>674</v>
      </c>
      <c r="E6" s="102" t="s">
        <v>675</v>
      </c>
      <c r="F6" s="102" t="s">
        <v>673</v>
      </c>
      <c r="G6" s="102" t="s">
        <v>674</v>
      </c>
      <c r="H6" s="102" t="s">
        <v>675</v>
      </c>
      <c r="I6" s="102" t="s">
        <v>673</v>
      </c>
      <c r="J6" s="102" t="s">
        <v>674</v>
      </c>
      <c r="K6" s="102" t="s">
        <v>675</v>
      </c>
      <c r="L6" s="102" t="s">
        <v>673</v>
      </c>
      <c r="M6" s="102" t="s">
        <v>674</v>
      </c>
      <c r="N6" s="102" t="s">
        <v>675</v>
      </c>
      <c r="O6" s="102" t="s">
        <v>673</v>
      </c>
      <c r="P6" s="102" t="s">
        <v>674</v>
      </c>
      <c r="Q6" s="102" t="s">
        <v>675</v>
      </c>
      <c r="R6" s="102" t="s">
        <v>673</v>
      </c>
      <c r="S6" s="102" t="s">
        <v>674</v>
      </c>
      <c r="T6" s="102" t="s">
        <v>675</v>
      </c>
      <c r="U6" s="102" t="s">
        <v>673</v>
      </c>
      <c r="V6" s="102" t="s">
        <v>674</v>
      </c>
      <c r="W6" s="102" t="s">
        <v>675</v>
      </c>
    </row>
    <row r="7" spans="1:23" s="48" customFormat="1" ht="15">
      <c r="A7" s="13">
        <v>1</v>
      </c>
      <c r="B7" s="13">
        <v>2</v>
      </c>
      <c r="C7" s="33">
        <v>3</v>
      </c>
      <c r="D7" s="33">
        <v>4</v>
      </c>
      <c r="E7" s="33">
        <v>5</v>
      </c>
      <c r="F7" s="33">
        <v>6</v>
      </c>
      <c r="G7" s="33">
        <v>7</v>
      </c>
      <c r="H7" s="33">
        <v>8</v>
      </c>
      <c r="I7" s="33">
        <v>9</v>
      </c>
      <c r="J7" s="33">
        <v>10</v>
      </c>
      <c r="K7" s="33">
        <v>11</v>
      </c>
      <c r="L7" s="33"/>
      <c r="M7" s="33"/>
      <c r="N7" s="33"/>
      <c r="O7" s="33">
        <v>12</v>
      </c>
      <c r="P7" s="33">
        <v>13</v>
      </c>
      <c r="Q7" s="33">
        <v>14</v>
      </c>
      <c r="R7" s="33">
        <v>15</v>
      </c>
      <c r="S7" s="33">
        <v>16</v>
      </c>
      <c r="T7" s="33">
        <v>17</v>
      </c>
      <c r="U7" s="33">
        <v>18</v>
      </c>
      <c r="V7" s="33">
        <v>19</v>
      </c>
      <c r="W7" s="33">
        <v>20</v>
      </c>
    </row>
    <row r="8" spans="1:23" s="862" customFormat="1" ht="45" customHeight="1">
      <c r="A8" s="859" t="s">
        <v>4</v>
      </c>
      <c r="B8" s="863" t="s">
        <v>654</v>
      </c>
      <c r="C8" s="291">
        <f t="shared" ref="C8:V8" si="0">C11</f>
        <v>3831.91034223919</v>
      </c>
      <c r="D8" s="291">
        <f t="shared" si="0"/>
        <v>2049.2408874906746</v>
      </c>
      <c r="E8" s="291">
        <f t="shared" si="0"/>
        <v>577.09399211954019</v>
      </c>
      <c r="F8" s="291">
        <f t="shared" si="0"/>
        <v>4106.3988335394333</v>
      </c>
      <c r="G8" s="291">
        <f t="shared" si="0"/>
        <v>2063.7645458041466</v>
      </c>
      <c r="H8" s="291">
        <f t="shared" si="0"/>
        <v>604.16291024195209</v>
      </c>
      <c r="I8" s="291">
        <f t="shared" ref="I8:K8" si="1">I11</f>
        <v>4617.775280396334</v>
      </c>
      <c r="J8" s="291">
        <f t="shared" si="1"/>
        <v>2168.9406552267292</v>
      </c>
      <c r="K8" s="291">
        <f t="shared" si="1"/>
        <v>651.25197602537276</v>
      </c>
      <c r="L8" s="291">
        <f t="shared" ref="L8:N8" si="2">L11</f>
        <v>4841.8471316730738</v>
      </c>
      <c r="M8" s="291">
        <f t="shared" si="2"/>
        <v>2398.7136546152433</v>
      </c>
      <c r="N8" s="291">
        <f t="shared" si="2"/>
        <v>703.96927643672961</v>
      </c>
      <c r="O8" s="291">
        <f t="shared" si="0"/>
        <v>5389.7237904608101</v>
      </c>
      <c r="P8" s="291">
        <f t="shared" si="0"/>
        <v>2515.0456098793234</v>
      </c>
      <c r="Q8" s="291">
        <f t="shared" si="0"/>
        <v>805.19246352676168</v>
      </c>
      <c r="R8" s="291">
        <f t="shared" si="0"/>
        <v>4817.8619876407956</v>
      </c>
      <c r="S8" s="291">
        <f t="shared" si="0"/>
        <v>2492.2441182829334</v>
      </c>
      <c r="T8" s="291">
        <f t="shared" si="0"/>
        <v>389.56481933951324</v>
      </c>
      <c r="U8" s="291">
        <f t="shared" si="0"/>
        <v>6240.5537718047299</v>
      </c>
      <c r="V8" s="291">
        <f t="shared" si="0"/>
        <v>2548.9700216957672</v>
      </c>
      <c r="W8" s="291">
        <f>W11</f>
        <v>415.62822372403627</v>
      </c>
    </row>
    <row r="9" spans="1:23" s="773" customFormat="1" ht="30" customHeight="1">
      <c r="A9" s="60" t="s">
        <v>5</v>
      </c>
      <c r="B9" s="61" t="s">
        <v>676</v>
      </c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</row>
    <row r="10" spans="1:23" s="773" customFormat="1" ht="30" customHeight="1">
      <c r="A10" s="60" t="s">
        <v>11</v>
      </c>
      <c r="B10" s="61" t="s">
        <v>677</v>
      </c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</row>
    <row r="11" spans="1:23" s="773" customFormat="1" ht="15" customHeight="1">
      <c r="A11" s="60"/>
      <c r="B11" s="70" t="s">
        <v>596</v>
      </c>
      <c r="C11" s="260">
        <f>'6.3_потери (котельн)'!E26</f>
        <v>3831.91034223919</v>
      </c>
      <c r="D11" s="260">
        <f>'6.3_потери (котельн)'!F26</f>
        <v>2049.2408874906746</v>
      </c>
      <c r="E11" s="260">
        <f>'6.3_потери (котельн)'!G26</f>
        <v>577.09399211954019</v>
      </c>
      <c r="F11" s="260">
        <f>'6.3_потери (котельн)'!J26</f>
        <v>4106.3988335394333</v>
      </c>
      <c r="G11" s="260">
        <f>'6.3_потери (котельн)'!K26</f>
        <v>2063.7645458041466</v>
      </c>
      <c r="H11" s="260">
        <f>'6.3_потери (котельн)'!L26</f>
        <v>604.16291024195209</v>
      </c>
      <c r="I11" s="260">
        <f>'6.3_потери (котельн)'!O26</f>
        <v>4617.775280396334</v>
      </c>
      <c r="J11" s="260">
        <f>'6.3_потери (котельн)'!P26</f>
        <v>2168.9406552267292</v>
      </c>
      <c r="K11" s="260">
        <f>'6.3_потери (котельн)'!Q26</f>
        <v>651.25197602537276</v>
      </c>
      <c r="L11" s="260">
        <f>'6.3_потери (котельн)'!T26</f>
        <v>4841.8471316730738</v>
      </c>
      <c r="M11" s="260">
        <f>'6.3_потери (котельн)'!U26</f>
        <v>2398.7136546152433</v>
      </c>
      <c r="N11" s="260">
        <f>'6.3_потери (котельн)'!V26</f>
        <v>703.96927643672961</v>
      </c>
      <c r="O11" s="260">
        <f>'6.3_потери (котельн)'!Y26</f>
        <v>5389.7237904608101</v>
      </c>
      <c r="P11" s="260">
        <f>'6.3_потери (котельн)'!Z26</f>
        <v>2515.0456098793234</v>
      </c>
      <c r="Q11" s="260">
        <f>'6.3_потери (котельн)'!AA26</f>
        <v>805.19246352676168</v>
      </c>
      <c r="R11" s="260">
        <f>'6.3_потери (котельн)'!AD26</f>
        <v>4817.8619876407956</v>
      </c>
      <c r="S11" s="260">
        <f>'6.3_потери (котельн)'!AE26</f>
        <v>2492.2441182829334</v>
      </c>
      <c r="T11" s="260">
        <f>'6.3_потери (котельн)'!AF26</f>
        <v>389.56481933951324</v>
      </c>
      <c r="U11" s="260">
        <f>'6.3_потери (котельн)'!AI26</f>
        <v>6240.5537718047299</v>
      </c>
      <c r="V11" s="260">
        <f>'6.3_потери (котельн)'!AJ26</f>
        <v>2548.9700216957672</v>
      </c>
      <c r="W11" s="260">
        <f>'6.3_потери (котельн)'!AK26</f>
        <v>415.62822372403627</v>
      </c>
    </row>
    <row r="12" spans="1:23" s="773" customFormat="1" ht="16.5" customHeight="1">
      <c r="A12" s="60"/>
      <c r="B12" s="70" t="s">
        <v>597</v>
      </c>
      <c r="C12" s="67"/>
      <c r="D12" s="67"/>
      <c r="E12" s="67"/>
      <c r="F12" s="67"/>
      <c r="G12" s="67"/>
      <c r="H12" s="67"/>
      <c r="I12" s="67"/>
      <c r="J12" s="67"/>
      <c r="K12" s="67"/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</row>
    <row r="13" spans="1:23" s="773" customFormat="1" ht="16.5" customHeight="1">
      <c r="A13" s="60"/>
      <c r="B13" s="70" t="s">
        <v>598</v>
      </c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</row>
    <row r="14" spans="1:23" s="773" customFormat="1" ht="16.5" customHeight="1">
      <c r="A14" s="60"/>
      <c r="B14" s="70" t="s">
        <v>599</v>
      </c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</row>
    <row r="15" spans="1:23" s="773" customFormat="1" ht="16.5" customHeight="1">
      <c r="A15" s="60"/>
      <c r="B15" s="70" t="s">
        <v>600</v>
      </c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</row>
    <row r="16" spans="1:23" s="773" customFormat="1" ht="15" customHeight="1">
      <c r="A16" s="60"/>
      <c r="B16" s="70" t="s">
        <v>601</v>
      </c>
      <c r="C16" s="67"/>
      <c r="D16" s="67"/>
      <c r="E16" s="67"/>
      <c r="F16" s="67"/>
      <c r="G16" s="67"/>
      <c r="H16" s="67"/>
      <c r="I16" s="67"/>
      <c r="J16" s="67"/>
      <c r="K16" s="67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</row>
    <row r="17" spans="1:23" s="862" customFormat="1" ht="60.75" customHeight="1">
      <c r="A17" s="859" t="s">
        <v>23</v>
      </c>
      <c r="B17" s="860" t="s">
        <v>678</v>
      </c>
      <c r="C17" s="291">
        <f t="shared" ref="C17:W17" si="3">C19</f>
        <v>2152.4492892911421</v>
      </c>
      <c r="D17" s="291">
        <f t="shared" si="3"/>
        <v>2152.4492892911421</v>
      </c>
      <c r="E17" s="291">
        <f t="shared" si="3"/>
        <v>507.89886172413793</v>
      </c>
      <c r="F17" s="291">
        <f t="shared" si="3"/>
        <v>870.13871446967869</v>
      </c>
      <c r="G17" s="291">
        <f t="shared" si="3"/>
        <v>870.13871446967869</v>
      </c>
      <c r="H17" s="291">
        <f t="shared" si="3"/>
        <v>201.52911579344018</v>
      </c>
      <c r="I17" s="291">
        <f t="shared" ref="I17:K17" si="4">I19</f>
        <v>1056.6210388398906</v>
      </c>
      <c r="J17" s="291">
        <f t="shared" si="4"/>
        <v>1056.6210388398906</v>
      </c>
      <c r="K17" s="291">
        <f t="shared" si="4"/>
        <v>231.02901133773085</v>
      </c>
      <c r="L17" s="291">
        <f t="shared" ref="L17:N17" si="5">L19</f>
        <v>21.341285447060031</v>
      </c>
      <c r="M17" s="291">
        <f t="shared" si="5"/>
        <v>21.341285447060031</v>
      </c>
      <c r="N17" s="291">
        <f t="shared" si="5"/>
        <v>4.9523010951506858</v>
      </c>
      <c r="O17" s="291">
        <f t="shared" si="3"/>
        <v>2320.5321537198406</v>
      </c>
      <c r="P17" s="291">
        <f t="shared" si="3"/>
        <v>2320.5321537198406</v>
      </c>
      <c r="Q17" s="291">
        <f t="shared" si="3"/>
        <v>523.1403289201711</v>
      </c>
      <c r="R17" s="291">
        <f t="shared" si="3"/>
        <v>942.14002985660034</v>
      </c>
      <c r="S17" s="291">
        <f t="shared" si="3"/>
        <v>942.14002985660034</v>
      </c>
      <c r="T17" s="291">
        <f t="shared" si="3"/>
        <v>258.91547928735514</v>
      </c>
      <c r="U17" s="291">
        <f t="shared" si="3"/>
        <v>4472.0579770771428</v>
      </c>
      <c r="V17" s="291">
        <f t="shared" si="3"/>
        <v>4472.0579770771428</v>
      </c>
      <c r="W17" s="291">
        <f t="shared" si="3"/>
        <v>787.36517855298689</v>
      </c>
    </row>
    <row r="18" spans="1:23" s="773" customFormat="1" ht="44.25" customHeight="1">
      <c r="A18" s="60" t="s">
        <v>24</v>
      </c>
      <c r="B18" s="70" t="s">
        <v>679</v>
      </c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</row>
    <row r="19" spans="1:23" s="773" customFormat="1" ht="15" customHeight="1">
      <c r="A19" s="60" t="s">
        <v>25</v>
      </c>
      <c r="B19" s="70" t="s">
        <v>596</v>
      </c>
      <c r="C19" s="260">
        <f>'6.2_передача (котельн)'!D15</f>
        <v>2152.4492892911421</v>
      </c>
      <c r="D19" s="260">
        <f>'6.2_передача (котельн)'!D17</f>
        <v>2152.4492892911421</v>
      </c>
      <c r="E19" s="260">
        <f>'6.2_передача (котельн)'!D18</f>
        <v>507.89886172413793</v>
      </c>
      <c r="F19" s="260">
        <f>'6.2_передача (котельн)'!E15</f>
        <v>870.13871446967869</v>
      </c>
      <c r="G19" s="260">
        <f>'6.2_передача (котельн)'!E17</f>
        <v>870.13871446967869</v>
      </c>
      <c r="H19" s="260">
        <f>'6.2_передача (котельн)'!E18</f>
        <v>201.52911579344018</v>
      </c>
      <c r="I19" s="260">
        <f>'6.2_передача (котельн)'!F15</f>
        <v>1056.6210388398906</v>
      </c>
      <c r="J19" s="260">
        <f>'6.2_передача (котельн)'!F17</f>
        <v>1056.6210388398906</v>
      </c>
      <c r="K19" s="260">
        <f>'6.2_передача (котельн)'!F18</f>
        <v>231.02901133773085</v>
      </c>
      <c r="L19" s="260">
        <f>'6.2_передача (котельн)'!G15</f>
        <v>21.341285447060031</v>
      </c>
      <c r="M19" s="260">
        <f>'6.2_передача (котельн)'!G17</f>
        <v>21.341285447060031</v>
      </c>
      <c r="N19" s="260">
        <f>'6.2_передача (котельн)'!G18</f>
        <v>4.9523010951506858</v>
      </c>
      <c r="O19" s="260">
        <f>'6.2_передача (котельн)'!H15</f>
        <v>2320.5321537198406</v>
      </c>
      <c r="P19" s="260">
        <f>'6.2_передача (котельн)'!H17</f>
        <v>2320.5321537198406</v>
      </c>
      <c r="Q19" s="260">
        <f>'6.2_передача (котельн)'!H18</f>
        <v>523.1403289201711</v>
      </c>
      <c r="R19" s="260">
        <f>'6.2_передача (котельн)'!I15</f>
        <v>942.14002985660034</v>
      </c>
      <c r="S19" s="260">
        <f>'6.2_передача (котельн)'!I17</f>
        <v>942.14002985660034</v>
      </c>
      <c r="T19" s="260">
        <f>'6.2_передача (котельн)'!I18</f>
        <v>258.91547928735514</v>
      </c>
      <c r="U19" s="260">
        <f>'6.2_передача (котельн)'!J15</f>
        <v>4472.0579770771428</v>
      </c>
      <c r="V19" s="260">
        <f>'6.2_передача (котельн)'!J17</f>
        <v>4472.0579770771428</v>
      </c>
      <c r="W19" s="260">
        <f>'6.2_передача (котельн)'!J18</f>
        <v>787.36517855298689</v>
      </c>
    </row>
    <row r="20" spans="1:23" s="773" customFormat="1" ht="15" customHeight="1">
      <c r="A20" s="60" t="s">
        <v>680</v>
      </c>
      <c r="B20" s="70" t="s">
        <v>657</v>
      </c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</row>
    <row r="21" spans="1:23" s="773" customFormat="1" ht="44.25" customHeight="1">
      <c r="A21" s="60" t="s">
        <v>139</v>
      </c>
      <c r="B21" s="70" t="s">
        <v>681</v>
      </c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</row>
    <row r="22" spans="1:23" s="773" customFormat="1" ht="60" customHeight="1">
      <c r="A22" s="60" t="s">
        <v>141</v>
      </c>
      <c r="B22" s="70" t="s">
        <v>682</v>
      </c>
      <c r="C22" s="67"/>
      <c r="D22" s="67"/>
      <c r="E22" s="67"/>
      <c r="F22" s="67"/>
      <c r="G22" s="67"/>
      <c r="H22" s="67"/>
      <c r="I22" s="67"/>
      <c r="J22" s="67"/>
      <c r="K22" s="67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</row>
    <row r="23" spans="1:23" s="773" customFormat="1" ht="15" customHeight="1">
      <c r="A23" s="60"/>
      <c r="B23" s="70" t="s">
        <v>596</v>
      </c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</row>
    <row r="24" spans="1:23" s="773" customFormat="1" ht="15" customHeight="1">
      <c r="A24" s="60"/>
      <c r="B24" s="70" t="s">
        <v>657</v>
      </c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</row>
    <row r="25" spans="1:23" s="773" customFormat="1" ht="60" customHeight="1">
      <c r="A25" s="60" t="s">
        <v>683</v>
      </c>
      <c r="B25" s="70" t="s">
        <v>684</v>
      </c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</row>
    <row r="26" spans="1:23" s="773" customFormat="1" ht="15" customHeight="1">
      <c r="A26" s="60"/>
      <c r="B26" s="70" t="s">
        <v>596</v>
      </c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</row>
    <row r="27" spans="1:23" s="773" customFormat="1" ht="15" customHeight="1">
      <c r="A27" s="60"/>
      <c r="B27" s="70" t="s">
        <v>657</v>
      </c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</row>
    <row r="28" spans="1:23" s="862" customFormat="1" ht="44.25" customHeight="1">
      <c r="A28" s="859" t="s">
        <v>27</v>
      </c>
      <c r="B28" s="860" t="s">
        <v>685</v>
      </c>
      <c r="C28" s="861"/>
      <c r="D28" s="861"/>
      <c r="E28" s="861"/>
      <c r="F28" s="861"/>
      <c r="G28" s="861"/>
      <c r="H28" s="861"/>
      <c r="I28" s="861"/>
      <c r="J28" s="861"/>
      <c r="K28" s="861"/>
      <c r="L28" s="861"/>
      <c r="M28" s="861"/>
      <c r="N28" s="861"/>
      <c r="O28" s="861"/>
      <c r="P28" s="861"/>
      <c r="Q28" s="861"/>
      <c r="R28" s="861"/>
      <c r="S28" s="861"/>
      <c r="T28" s="861"/>
      <c r="U28" s="861"/>
      <c r="V28" s="861"/>
      <c r="W28" s="861"/>
    </row>
    <row r="29" spans="1:23" s="773" customFormat="1" ht="44.25" customHeight="1">
      <c r="A29" s="60" t="s">
        <v>28</v>
      </c>
      <c r="B29" s="70" t="s">
        <v>679</v>
      </c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</row>
    <row r="30" spans="1:23" s="773" customFormat="1" ht="30" customHeight="1">
      <c r="A30" s="60" t="s">
        <v>29</v>
      </c>
      <c r="B30" s="70" t="s">
        <v>676</v>
      </c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</row>
    <row r="31" spans="1:23" s="773" customFormat="1" ht="30" customHeight="1">
      <c r="A31" s="60" t="s">
        <v>686</v>
      </c>
      <c r="B31" s="61" t="s">
        <v>677</v>
      </c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</row>
    <row r="32" spans="1:23" s="108" customFormat="1" ht="15" customHeight="1">
      <c r="A32" s="256"/>
      <c r="B32" s="257" t="s">
        <v>596</v>
      </c>
      <c r="C32" s="270">
        <f>C11+C19</f>
        <v>5984.3596315303321</v>
      </c>
      <c r="D32" s="270">
        <f t="shared" ref="D32:F32" si="6">D11+D19</f>
        <v>4201.6901767818163</v>
      </c>
      <c r="E32" s="270">
        <f t="shared" si="6"/>
        <v>1084.9928538436782</v>
      </c>
      <c r="F32" s="270">
        <f t="shared" si="6"/>
        <v>4976.5375480091116</v>
      </c>
      <c r="G32" s="270">
        <f>G11+G19</f>
        <v>2933.9032602738253</v>
      </c>
      <c r="H32" s="270">
        <f t="shared" ref="H32:W32" si="7">H11+H19</f>
        <v>805.69202603539225</v>
      </c>
      <c r="I32" s="270">
        <f t="shared" si="7"/>
        <v>5674.3963192362244</v>
      </c>
      <c r="J32" s="270">
        <f>J11+J19</f>
        <v>3225.5616940666196</v>
      </c>
      <c r="K32" s="270">
        <f t="shared" ref="K32:L32" si="8">K11+K19</f>
        <v>882.28098736310358</v>
      </c>
      <c r="L32" s="270">
        <f t="shared" si="8"/>
        <v>4863.1884171201336</v>
      </c>
      <c r="M32" s="270">
        <f>M11+M19</f>
        <v>2420.0549400623031</v>
      </c>
      <c r="N32" s="270">
        <f t="shared" ref="N32" si="9">N11+N19</f>
        <v>708.9215775318803</v>
      </c>
      <c r="O32" s="270">
        <f t="shared" si="7"/>
        <v>7710.2559441806507</v>
      </c>
      <c r="P32" s="270">
        <f t="shared" si="7"/>
        <v>4835.5777635991635</v>
      </c>
      <c r="Q32" s="270">
        <f t="shared" si="7"/>
        <v>1328.3327924469327</v>
      </c>
      <c r="R32" s="270">
        <f t="shared" si="7"/>
        <v>5760.0020174973961</v>
      </c>
      <c r="S32" s="270">
        <f t="shared" si="7"/>
        <v>3434.3841481395339</v>
      </c>
      <c r="T32" s="270">
        <f t="shared" si="7"/>
        <v>648.48029862686838</v>
      </c>
      <c r="U32" s="270">
        <f t="shared" si="7"/>
        <v>10712.611748881873</v>
      </c>
      <c r="V32" s="270">
        <f t="shared" si="7"/>
        <v>7021.02799877291</v>
      </c>
      <c r="W32" s="270">
        <f t="shared" si="7"/>
        <v>1202.9934022770231</v>
      </c>
    </row>
    <row r="33" spans="1:23" s="773" customFormat="1" ht="16.5" customHeight="1">
      <c r="A33" s="60"/>
      <c r="B33" s="70" t="s">
        <v>597</v>
      </c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</row>
    <row r="34" spans="1:23" s="773" customFormat="1" ht="16.5" customHeight="1">
      <c r="A34" s="60"/>
      <c r="B34" s="70" t="s">
        <v>598</v>
      </c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</row>
    <row r="35" spans="1:23" s="773" customFormat="1" ht="16.5" customHeight="1">
      <c r="A35" s="60"/>
      <c r="B35" s="70" t="s">
        <v>599</v>
      </c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</row>
    <row r="36" spans="1:23" s="773" customFormat="1" ht="16.5" customHeight="1">
      <c r="A36" s="60"/>
      <c r="B36" s="70" t="s">
        <v>600</v>
      </c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</row>
    <row r="37" spans="1:23" s="773" customFormat="1" ht="15" customHeight="1">
      <c r="A37" s="60"/>
      <c r="B37" s="70" t="s">
        <v>601</v>
      </c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</row>
    <row r="38" spans="1:23" s="773" customFormat="1" ht="44.25" customHeight="1">
      <c r="A38" s="60" t="s">
        <v>687</v>
      </c>
      <c r="B38" s="70" t="s">
        <v>681</v>
      </c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</row>
    <row r="39" spans="1:23" s="773" customFormat="1" ht="60" customHeight="1">
      <c r="A39" s="60" t="s">
        <v>688</v>
      </c>
      <c r="B39" s="70" t="s">
        <v>682</v>
      </c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</row>
    <row r="40" spans="1:23" s="773" customFormat="1" ht="30" customHeight="1">
      <c r="A40" s="60"/>
      <c r="B40" s="70" t="s">
        <v>676</v>
      </c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</row>
    <row r="41" spans="1:23" s="773" customFormat="1" ht="30" customHeight="1">
      <c r="A41" s="60"/>
      <c r="B41" s="61" t="s">
        <v>677</v>
      </c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</row>
    <row r="42" spans="1:23" s="773" customFormat="1" ht="15" customHeight="1">
      <c r="A42" s="60"/>
      <c r="B42" s="70" t="s">
        <v>596</v>
      </c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</row>
    <row r="43" spans="1:23" s="773" customFormat="1" ht="16.5" customHeight="1">
      <c r="A43" s="60"/>
      <c r="B43" s="70" t="s">
        <v>597</v>
      </c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</row>
    <row r="44" spans="1:23" s="773" customFormat="1" ht="16.5" customHeight="1">
      <c r="A44" s="60"/>
      <c r="B44" s="70" t="s">
        <v>598</v>
      </c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</row>
    <row r="45" spans="1:23" s="773" customFormat="1" ht="16.5" customHeight="1">
      <c r="A45" s="60"/>
      <c r="B45" s="70" t="s">
        <v>599</v>
      </c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</row>
    <row r="46" spans="1:23" s="773" customFormat="1" ht="16.5" customHeight="1">
      <c r="A46" s="60"/>
      <c r="B46" s="70" t="s">
        <v>600</v>
      </c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</row>
    <row r="47" spans="1:23" s="773" customFormat="1" ht="15" customHeight="1">
      <c r="A47" s="60"/>
      <c r="B47" s="70" t="s">
        <v>601</v>
      </c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</row>
    <row r="48" spans="1:23" s="773" customFormat="1" ht="60" customHeight="1">
      <c r="A48" s="60" t="s">
        <v>689</v>
      </c>
      <c r="B48" s="70" t="s">
        <v>684</v>
      </c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</row>
    <row r="49" spans="1:23" s="773" customFormat="1" ht="30" customHeight="1">
      <c r="A49" s="60"/>
      <c r="B49" s="70" t="s">
        <v>676</v>
      </c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</row>
    <row r="50" spans="1:23" s="773" customFormat="1" ht="30" customHeight="1">
      <c r="A50" s="60"/>
      <c r="B50" s="61" t="s">
        <v>677</v>
      </c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</row>
    <row r="51" spans="1:23" s="773" customFormat="1" ht="15" customHeight="1">
      <c r="A51" s="60"/>
      <c r="B51" s="70" t="s">
        <v>596</v>
      </c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</row>
    <row r="52" spans="1:23" s="773" customFormat="1" ht="16.5" customHeight="1">
      <c r="A52" s="60"/>
      <c r="B52" s="70" t="s">
        <v>597</v>
      </c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</row>
    <row r="53" spans="1:23" s="773" customFormat="1" ht="16.5" customHeight="1">
      <c r="A53" s="60"/>
      <c r="B53" s="70" t="s">
        <v>598</v>
      </c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</row>
    <row r="54" spans="1:23" s="773" customFormat="1" ht="16.5" customHeight="1">
      <c r="A54" s="60"/>
      <c r="B54" s="70" t="s">
        <v>599</v>
      </c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</row>
    <row r="55" spans="1:23" s="773" customFormat="1" ht="16.5" customHeight="1">
      <c r="A55" s="60"/>
      <c r="B55" s="70" t="s">
        <v>600</v>
      </c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</row>
    <row r="56" spans="1:23" s="773" customFormat="1" ht="15" customHeight="1">
      <c r="A56" s="60"/>
      <c r="B56" s="70" t="s">
        <v>601</v>
      </c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</row>
    <row r="57" spans="1:23" ht="15">
      <c r="H57" s="271">
        <f>G8*'[15]6.1_генерация'!D73+H32*'[15]6.2_передача'!F12*12</f>
        <v>0</v>
      </c>
      <c r="I57" s="271"/>
      <c r="J57" s="271"/>
      <c r="K57" s="271"/>
      <c r="L57" s="271"/>
      <c r="M57" s="271"/>
      <c r="N57" s="271"/>
      <c r="O57" s="271"/>
      <c r="P57" s="271"/>
      <c r="Q57" s="271"/>
    </row>
    <row r="58" spans="1:23" ht="15">
      <c r="A58" s="26" t="s">
        <v>88</v>
      </c>
    </row>
    <row r="59" spans="1:23" s="773" customFormat="1" ht="39.75" customHeight="1">
      <c r="A59" s="45" t="s">
        <v>89</v>
      </c>
      <c r="B59" s="1842" t="s">
        <v>690</v>
      </c>
      <c r="C59" s="1842"/>
      <c r="D59" s="1842"/>
      <c r="E59" s="1842"/>
      <c r="F59" s="1842"/>
      <c r="G59" s="1842"/>
      <c r="H59" s="1842"/>
      <c r="I59" s="1842"/>
      <c r="J59" s="1842"/>
      <c r="K59" s="1842"/>
      <c r="L59" s="1842"/>
      <c r="M59" s="1842"/>
      <c r="N59" s="1842"/>
      <c r="O59" s="1842"/>
      <c r="P59" s="1842"/>
      <c r="Q59" s="1842"/>
      <c r="R59" s="1842"/>
      <c r="S59" s="1842"/>
      <c r="T59" s="1842"/>
      <c r="U59" s="1842"/>
      <c r="V59" s="1842"/>
      <c r="W59" s="1842"/>
    </row>
    <row r="60" spans="1:23" s="773" customFormat="1" ht="24.75" customHeight="1">
      <c r="A60" s="45" t="s">
        <v>91</v>
      </c>
      <c r="B60" s="1842" t="s">
        <v>691</v>
      </c>
      <c r="C60" s="1842"/>
      <c r="D60" s="1842"/>
      <c r="E60" s="1842"/>
      <c r="F60" s="1842"/>
      <c r="G60" s="1842"/>
      <c r="H60" s="1842"/>
      <c r="I60" s="1842"/>
      <c r="J60" s="1842"/>
      <c r="K60" s="1842"/>
      <c r="L60" s="1842"/>
      <c r="M60" s="1842"/>
      <c r="N60" s="1842"/>
      <c r="O60" s="1842"/>
      <c r="P60" s="1842"/>
      <c r="Q60" s="1842"/>
      <c r="R60" s="1842"/>
      <c r="S60" s="1842"/>
      <c r="T60" s="1842"/>
      <c r="U60" s="1842"/>
      <c r="V60" s="1842"/>
      <c r="W60" s="1842"/>
    </row>
    <row r="61" spans="1:23" s="773" customFormat="1" ht="24.75" customHeight="1">
      <c r="A61" s="45" t="s">
        <v>93</v>
      </c>
      <c r="B61" s="1842" t="s">
        <v>692</v>
      </c>
      <c r="C61" s="1842"/>
      <c r="D61" s="1842"/>
      <c r="E61" s="1842"/>
      <c r="F61" s="1842"/>
      <c r="G61" s="1842"/>
      <c r="H61" s="1842"/>
      <c r="I61" s="1842"/>
      <c r="J61" s="1842"/>
      <c r="K61" s="1842"/>
      <c r="L61" s="1842"/>
      <c r="M61" s="1842"/>
      <c r="N61" s="1842"/>
      <c r="O61" s="1842"/>
      <c r="P61" s="1842"/>
      <c r="Q61" s="1842"/>
      <c r="R61" s="1842"/>
      <c r="S61" s="1842"/>
      <c r="T61" s="1842"/>
      <c r="U61" s="1842"/>
      <c r="V61" s="1842"/>
      <c r="W61" s="1842"/>
    </row>
    <row r="62" spans="1:23" s="773" customFormat="1" ht="46.5" customHeight="1">
      <c r="A62" s="45" t="s">
        <v>95</v>
      </c>
      <c r="B62" s="1842" t="s">
        <v>693</v>
      </c>
      <c r="C62" s="1842"/>
      <c r="D62" s="1842"/>
      <c r="E62" s="1842"/>
      <c r="F62" s="1842"/>
      <c r="G62" s="1842"/>
      <c r="H62" s="1842"/>
      <c r="I62" s="1842"/>
      <c r="J62" s="1842"/>
      <c r="K62" s="1842"/>
      <c r="L62" s="1842"/>
      <c r="M62" s="1842"/>
      <c r="N62" s="1842"/>
      <c r="O62" s="1842"/>
      <c r="P62" s="1842"/>
      <c r="Q62" s="1842"/>
      <c r="R62" s="1842"/>
      <c r="S62" s="1842"/>
      <c r="T62" s="1842"/>
      <c r="U62" s="1842"/>
      <c r="V62" s="1842"/>
      <c r="W62" s="1842"/>
    </row>
    <row r="63" spans="1:23" s="773" customFormat="1" ht="10.5" customHeight="1">
      <c r="I63" s="1292"/>
      <c r="J63" s="1292"/>
      <c r="K63" s="1292"/>
      <c r="L63" s="1588"/>
      <c r="M63" s="1588"/>
      <c r="N63" s="1588"/>
    </row>
  </sheetData>
  <mergeCells count="14">
    <mergeCell ref="B59:W59"/>
    <mergeCell ref="B60:W60"/>
    <mergeCell ref="B61:W61"/>
    <mergeCell ref="B62:W62"/>
    <mergeCell ref="A3:W3"/>
    <mergeCell ref="A5:A6"/>
    <mergeCell ref="B5:B6"/>
    <mergeCell ref="C5:E5"/>
    <mergeCell ref="F5:H5"/>
    <mergeCell ref="O5:Q5"/>
    <mergeCell ref="R5:T5"/>
    <mergeCell ref="U5:W5"/>
    <mergeCell ref="I5:K5"/>
    <mergeCell ref="L5:N5"/>
  </mergeCells>
  <pageMargins left="0.59055118110236227" right="0.51181102362204722" top="0.78740157480314965" bottom="0.39370078740157483" header="0.19685039370078741" footer="0.19685039370078741"/>
  <pageSetup paperSize="9" scale="46" orientation="landscape" r:id="rId1"/>
  <headerFooter alignWithMargins="0"/>
  <rowBreaks count="2" manualBreakCount="2">
    <brk id="27" max="13" man="1"/>
    <brk id="56" max="13" man="1"/>
  </rowBreaks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AD43"/>
  <sheetViews>
    <sheetView view="pageBreakPreview" zoomScaleNormal="100" zoomScaleSheetLayoutView="100" workbookViewId="0">
      <pane xSplit="2" ySplit="6" topLeftCell="I22" activePane="bottomRight" state="frozen"/>
      <selection activeCell="F148" sqref="F148"/>
      <selection pane="topRight" activeCell="F148" sqref="F148"/>
      <selection pane="bottomLeft" activeCell="F148" sqref="F148"/>
      <selection pane="bottomRight" activeCell="F148" sqref="F148"/>
    </sheetView>
  </sheetViews>
  <sheetFormatPr defaultColWidth="0.85546875" defaultRowHeight="12" customHeight="1"/>
  <cols>
    <col min="1" max="1" width="8.28515625" style="26" customWidth="1"/>
    <col min="2" max="2" width="35.7109375" style="26" customWidth="1"/>
    <col min="3" max="3" width="9" style="26" customWidth="1"/>
    <col min="4" max="4" width="10" style="26" customWidth="1"/>
    <col min="5" max="5" width="10.140625" style="26" customWidth="1"/>
    <col min="6" max="8" width="11" style="26" customWidth="1"/>
    <col min="9" max="9" width="9.5703125" style="26" customWidth="1"/>
    <col min="10" max="10" width="11.7109375" style="26" customWidth="1"/>
    <col min="11" max="11" width="10.85546875" style="26" customWidth="1"/>
    <col min="12" max="12" width="11.7109375" style="26" customWidth="1"/>
    <col min="13" max="13" width="9.28515625" style="26" customWidth="1"/>
    <col min="14" max="14" width="11.7109375" style="26" customWidth="1"/>
    <col min="15" max="15" width="10.5703125" style="26" customWidth="1"/>
    <col min="16" max="16" width="11.7109375" style="26" customWidth="1"/>
    <col min="17" max="17" width="9.5703125" style="26" customWidth="1"/>
    <col min="18" max="18" width="11.7109375" style="26" customWidth="1"/>
    <col min="19" max="19" width="9" style="26" customWidth="1"/>
    <col min="20" max="20" width="10" style="26" customWidth="1"/>
    <col min="21" max="21" width="9.5703125" style="26" customWidth="1"/>
    <col min="22" max="22" width="11.140625" style="26" customWidth="1"/>
    <col min="23" max="23" width="9" style="26" customWidth="1"/>
    <col min="24" max="24" width="10" style="26" customWidth="1"/>
    <col min="25" max="25" width="9" style="26" customWidth="1"/>
    <col min="26" max="26" width="11.140625" style="26" customWidth="1"/>
    <col min="27" max="27" width="9" style="26" customWidth="1"/>
    <col min="28" max="28" width="10" style="26" customWidth="1"/>
    <col min="29" max="29" width="9.5703125" style="26" customWidth="1"/>
    <col min="30" max="30" width="11.140625" style="26" customWidth="1"/>
    <col min="31" max="268" width="3.140625" style="26" customWidth="1"/>
    <col min="269" max="16384" width="0.85546875" style="26"/>
  </cols>
  <sheetData>
    <row r="1" spans="1:30" s="24" customFormat="1" ht="14.25">
      <c r="A1" s="74" t="s">
        <v>765</v>
      </c>
      <c r="V1" s="25"/>
      <c r="Z1" s="25"/>
      <c r="AD1" s="25" t="s">
        <v>694</v>
      </c>
    </row>
    <row r="2" spans="1:30" ht="15" customHeight="1">
      <c r="A2" s="759" t="str">
        <f>'6.2_передача (свод)'!A2</f>
        <v>КТЭЦ + котельные СВОД</v>
      </c>
    </row>
    <row r="3" spans="1:30" ht="44.25" customHeight="1">
      <c r="A3" s="1968" t="s">
        <v>695</v>
      </c>
      <c r="B3" s="1968"/>
      <c r="C3" s="1968"/>
      <c r="D3" s="1968"/>
      <c r="E3" s="1968"/>
      <c r="F3" s="1968"/>
      <c r="G3" s="1968"/>
      <c r="H3" s="1968"/>
      <c r="I3" s="1968"/>
      <c r="J3" s="1968"/>
      <c r="K3" s="1968"/>
      <c r="L3" s="1968"/>
      <c r="M3" s="1968"/>
      <c r="N3" s="1968"/>
      <c r="O3" s="1968"/>
      <c r="P3" s="1968"/>
      <c r="Q3" s="1968"/>
      <c r="R3" s="1968"/>
      <c r="S3" s="1968"/>
      <c r="T3" s="1968"/>
      <c r="U3" s="1968"/>
      <c r="V3" s="1968"/>
      <c r="W3" s="1968"/>
      <c r="X3" s="1968"/>
      <c r="Y3" s="1968"/>
      <c r="Z3" s="1968"/>
      <c r="AA3" s="1968"/>
      <c r="AB3" s="1968"/>
      <c r="AC3" s="1968"/>
      <c r="AD3" s="1968"/>
    </row>
    <row r="4" spans="1:30" ht="12" customHeight="1">
      <c r="A4" s="27"/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W4" s="27"/>
      <c r="X4" s="27"/>
      <c r="AA4" s="27"/>
      <c r="AB4" s="27"/>
    </row>
    <row r="5" spans="1:30" s="31" customFormat="1" ht="15" customHeight="1">
      <c r="A5" s="1873" t="s">
        <v>0</v>
      </c>
      <c r="B5" s="1873" t="s">
        <v>1</v>
      </c>
      <c r="C5" s="1846" t="s">
        <v>771</v>
      </c>
      <c r="D5" s="1846"/>
      <c r="E5" s="1846"/>
      <c r="F5" s="1846"/>
      <c r="G5" s="1846" t="s">
        <v>1706</v>
      </c>
      <c r="H5" s="1846"/>
      <c r="I5" s="1846"/>
      <c r="J5" s="1846"/>
      <c r="K5" s="1846" t="s">
        <v>1855</v>
      </c>
      <c r="L5" s="1846"/>
      <c r="M5" s="1846"/>
      <c r="N5" s="1846"/>
      <c r="O5" s="1846" t="s">
        <v>1834</v>
      </c>
      <c r="P5" s="1846"/>
      <c r="Q5" s="1846"/>
      <c r="R5" s="1846"/>
      <c r="S5" s="1846" t="s">
        <v>1688</v>
      </c>
      <c r="T5" s="1846"/>
      <c r="U5" s="1846"/>
      <c r="V5" s="1846"/>
      <c r="W5" s="1846" t="s">
        <v>1830</v>
      </c>
      <c r="X5" s="1846"/>
      <c r="Y5" s="1846"/>
      <c r="Z5" s="1846"/>
      <c r="AA5" s="1846" t="s">
        <v>1831</v>
      </c>
      <c r="AB5" s="1846"/>
      <c r="AC5" s="1846"/>
      <c r="AD5" s="1846"/>
    </row>
    <row r="6" spans="1:30" s="268" customFormat="1" ht="96">
      <c r="A6" s="1873"/>
      <c r="B6" s="1873"/>
      <c r="C6" s="102" t="s">
        <v>696</v>
      </c>
      <c r="D6" s="102" t="s">
        <v>697</v>
      </c>
      <c r="E6" s="102" t="s">
        <v>593</v>
      </c>
      <c r="F6" s="102" t="s">
        <v>698</v>
      </c>
      <c r="G6" s="102" t="s">
        <v>696</v>
      </c>
      <c r="H6" s="102" t="s">
        <v>697</v>
      </c>
      <c r="I6" s="102" t="s">
        <v>593</v>
      </c>
      <c r="J6" s="102" t="s">
        <v>698</v>
      </c>
      <c r="K6" s="102" t="s">
        <v>696</v>
      </c>
      <c r="L6" s="102" t="s">
        <v>697</v>
      </c>
      <c r="M6" s="102" t="s">
        <v>593</v>
      </c>
      <c r="N6" s="102" t="s">
        <v>698</v>
      </c>
      <c r="O6" s="102" t="s">
        <v>696</v>
      </c>
      <c r="P6" s="102" t="s">
        <v>697</v>
      </c>
      <c r="Q6" s="102" t="s">
        <v>593</v>
      </c>
      <c r="R6" s="102" t="s">
        <v>698</v>
      </c>
      <c r="S6" s="102" t="s">
        <v>696</v>
      </c>
      <c r="T6" s="102" t="s">
        <v>697</v>
      </c>
      <c r="U6" s="102" t="s">
        <v>593</v>
      </c>
      <c r="V6" s="102" t="s">
        <v>698</v>
      </c>
      <c r="W6" s="102" t="s">
        <v>696</v>
      </c>
      <c r="X6" s="102" t="s">
        <v>697</v>
      </c>
      <c r="Y6" s="102" t="s">
        <v>593</v>
      </c>
      <c r="Z6" s="102" t="s">
        <v>698</v>
      </c>
      <c r="AA6" s="102" t="s">
        <v>696</v>
      </c>
      <c r="AB6" s="102" t="s">
        <v>697</v>
      </c>
      <c r="AC6" s="102" t="s">
        <v>593</v>
      </c>
      <c r="AD6" s="102" t="s">
        <v>698</v>
      </c>
    </row>
    <row r="7" spans="1:30" s="48" customFormat="1" ht="13.5" customHeight="1">
      <c r="A7" s="13">
        <v>1</v>
      </c>
      <c r="B7" s="13">
        <v>2</v>
      </c>
      <c r="C7" s="33">
        <v>3</v>
      </c>
      <c r="D7" s="33">
        <v>4</v>
      </c>
      <c r="E7" s="33">
        <v>5</v>
      </c>
      <c r="F7" s="33">
        <v>6</v>
      </c>
      <c r="G7" s="33">
        <v>7</v>
      </c>
      <c r="H7" s="33">
        <v>8</v>
      </c>
      <c r="I7" s="33">
        <v>9</v>
      </c>
      <c r="J7" s="33">
        <v>10</v>
      </c>
      <c r="K7" s="33">
        <v>11</v>
      </c>
      <c r="L7" s="33">
        <v>12</v>
      </c>
      <c r="M7" s="33">
        <v>13</v>
      </c>
      <c r="N7" s="33">
        <v>14</v>
      </c>
      <c r="O7" s="33"/>
      <c r="P7" s="33"/>
      <c r="Q7" s="33"/>
      <c r="R7" s="33"/>
      <c r="S7" s="33">
        <v>15</v>
      </c>
      <c r="T7" s="33">
        <v>16</v>
      </c>
      <c r="U7" s="33">
        <v>17</v>
      </c>
      <c r="V7" s="33">
        <v>18</v>
      </c>
      <c r="W7" s="33">
        <v>19</v>
      </c>
      <c r="X7" s="33">
        <v>20</v>
      </c>
      <c r="Y7" s="33">
        <v>21</v>
      </c>
      <c r="Z7" s="33">
        <v>22</v>
      </c>
      <c r="AA7" s="33">
        <v>23</v>
      </c>
      <c r="AB7" s="33">
        <v>24</v>
      </c>
      <c r="AC7" s="33">
        <v>25</v>
      </c>
      <c r="AD7" s="33">
        <v>26</v>
      </c>
    </row>
    <row r="8" spans="1:30" s="866" customFormat="1" ht="15" customHeight="1">
      <c r="A8" s="60" t="s">
        <v>4</v>
      </c>
      <c r="B8" s="70" t="s">
        <v>699</v>
      </c>
      <c r="C8" s="252">
        <f t="shared" ref="C8:AD8" si="0">C22</f>
        <v>1317.6889999999999</v>
      </c>
      <c r="D8" s="252">
        <f t="shared" si="0"/>
        <v>465.62599999999992</v>
      </c>
      <c r="E8" s="252">
        <f t="shared" si="0"/>
        <v>2202.0311098590032</v>
      </c>
      <c r="F8" s="252">
        <f t="shared" si="0"/>
        <v>519.29949700671784</v>
      </c>
      <c r="G8" s="252">
        <f t="shared" si="0"/>
        <v>1257.6792</v>
      </c>
      <c r="H8" s="252">
        <f t="shared" si="0"/>
        <v>451.67099999999999</v>
      </c>
      <c r="I8" s="252">
        <f t="shared" si="0"/>
        <v>2255.7775480451878</v>
      </c>
      <c r="J8" s="252">
        <f t="shared" si="0"/>
        <v>523.43492313421223</v>
      </c>
      <c r="K8" s="252">
        <f t="shared" ref="K8:N8" si="1">K22</f>
        <v>1213.5347615570001</v>
      </c>
      <c r="L8" s="252">
        <f t="shared" si="1"/>
        <v>451.67099999999999</v>
      </c>
      <c r="M8" s="252">
        <f t="shared" si="1"/>
        <v>2585.4932276644568</v>
      </c>
      <c r="N8" s="252">
        <f t="shared" si="1"/>
        <v>578.88483496856213</v>
      </c>
      <c r="O8" s="252">
        <f t="shared" ref="O8:R8" si="2">O22</f>
        <v>1261.1354999999999</v>
      </c>
      <c r="P8" s="252">
        <f t="shared" si="2"/>
        <v>451.67099999999999</v>
      </c>
      <c r="Q8" s="252">
        <f t="shared" si="2"/>
        <v>1340.8183510221374</v>
      </c>
      <c r="R8" s="252">
        <f t="shared" si="2"/>
        <v>311.98106983576514</v>
      </c>
      <c r="S8" s="252">
        <f t="shared" si="0"/>
        <v>1249.7249999999999</v>
      </c>
      <c r="T8" s="252">
        <f t="shared" si="0"/>
        <v>451.67099999999999</v>
      </c>
      <c r="U8" s="252">
        <f t="shared" si="0"/>
        <v>3018.1501668272731</v>
      </c>
      <c r="V8" s="252">
        <f t="shared" si="0"/>
        <v>695.9080313691112</v>
      </c>
      <c r="W8" s="252">
        <f t="shared" si="0"/>
        <v>760.1579999999999</v>
      </c>
      <c r="X8" s="252">
        <f t="shared" si="0"/>
        <v>451.67099999999999</v>
      </c>
      <c r="Y8" s="252">
        <f t="shared" si="0"/>
        <v>1355.2528214598547</v>
      </c>
      <c r="Z8" s="252">
        <f t="shared" si="0"/>
        <v>380.14626953958378</v>
      </c>
      <c r="AA8" s="252">
        <f t="shared" si="0"/>
        <v>489.56699999999995</v>
      </c>
      <c r="AB8" s="252">
        <f t="shared" si="0"/>
        <v>451.67099999999999</v>
      </c>
      <c r="AC8" s="252">
        <f t="shared" si="0"/>
        <v>5600.1577781650603</v>
      </c>
      <c r="AD8" s="252">
        <f t="shared" si="0"/>
        <v>1011.6701621987885</v>
      </c>
    </row>
    <row r="9" spans="1:30" s="866" customFormat="1" ht="43.5" customHeight="1">
      <c r="A9" s="60" t="s">
        <v>5</v>
      </c>
      <c r="B9" s="70" t="s">
        <v>679</v>
      </c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  <c r="AD9" s="67"/>
    </row>
    <row r="10" spans="1:30" s="866" customFormat="1" ht="15" customHeight="1">
      <c r="A10" s="60" t="s">
        <v>6</v>
      </c>
      <c r="B10" s="70" t="s">
        <v>596</v>
      </c>
      <c r="C10" s="252">
        <f t="shared" ref="C10:AD10" si="3">C24</f>
        <v>1317.6889999999999</v>
      </c>
      <c r="D10" s="252">
        <f t="shared" si="3"/>
        <v>465.62599999999992</v>
      </c>
      <c r="E10" s="252">
        <f t="shared" si="3"/>
        <v>2202.0311098590032</v>
      </c>
      <c r="F10" s="252">
        <f t="shared" si="3"/>
        <v>519.29949700671784</v>
      </c>
      <c r="G10" s="252">
        <f t="shared" si="3"/>
        <v>1257.6792</v>
      </c>
      <c r="H10" s="252">
        <f t="shared" si="3"/>
        <v>451.67099999999999</v>
      </c>
      <c r="I10" s="252">
        <f t="shared" si="3"/>
        <v>2255.7775480451878</v>
      </c>
      <c r="J10" s="252">
        <f t="shared" si="3"/>
        <v>523.43492313421223</v>
      </c>
      <c r="K10" s="252">
        <f t="shared" ref="K10:N10" si="4">K24</f>
        <v>1213.5347615570001</v>
      </c>
      <c r="L10" s="252">
        <f t="shared" si="4"/>
        <v>451.67099999999999</v>
      </c>
      <c r="M10" s="252">
        <f t="shared" si="4"/>
        <v>2585.4932276644568</v>
      </c>
      <c r="N10" s="252">
        <f t="shared" si="4"/>
        <v>578.88483496856213</v>
      </c>
      <c r="O10" s="252">
        <f t="shared" ref="O10:R10" si="5">O24</f>
        <v>1261.1354999999999</v>
      </c>
      <c r="P10" s="252">
        <f t="shared" si="5"/>
        <v>451.67099999999999</v>
      </c>
      <c r="Q10" s="252">
        <f t="shared" si="5"/>
        <v>1340.8183510221374</v>
      </c>
      <c r="R10" s="252">
        <f t="shared" si="5"/>
        <v>311.98106983576514</v>
      </c>
      <c r="S10" s="252">
        <f t="shared" si="3"/>
        <v>1249.7249999999999</v>
      </c>
      <c r="T10" s="252">
        <f t="shared" si="3"/>
        <v>451.67099999999999</v>
      </c>
      <c r="U10" s="252">
        <f t="shared" si="3"/>
        <v>3018.1501668272731</v>
      </c>
      <c r="V10" s="252">
        <f t="shared" si="3"/>
        <v>695.9080313691112</v>
      </c>
      <c r="W10" s="252">
        <f t="shared" si="3"/>
        <v>760.1579999999999</v>
      </c>
      <c r="X10" s="252">
        <f t="shared" si="3"/>
        <v>451.67099999999999</v>
      </c>
      <c r="Y10" s="252">
        <f t="shared" si="3"/>
        <v>1355.2528214598547</v>
      </c>
      <c r="Z10" s="252">
        <f t="shared" si="3"/>
        <v>380.14626953958378</v>
      </c>
      <c r="AA10" s="252">
        <f t="shared" si="3"/>
        <v>489.56699999999995</v>
      </c>
      <c r="AB10" s="252">
        <f t="shared" si="3"/>
        <v>451.67099999999999</v>
      </c>
      <c r="AC10" s="252">
        <f t="shared" si="3"/>
        <v>5600.1577781650603</v>
      </c>
      <c r="AD10" s="252">
        <f t="shared" si="3"/>
        <v>1011.6701621987885</v>
      </c>
    </row>
    <row r="11" spans="1:30" s="866" customFormat="1" ht="15" customHeight="1">
      <c r="A11" s="60" t="s">
        <v>7</v>
      </c>
      <c r="B11" s="70" t="s">
        <v>657</v>
      </c>
      <c r="C11" s="67"/>
      <c r="D11" s="67"/>
      <c r="E11" s="67"/>
      <c r="F11" s="67"/>
      <c r="G11" s="67"/>
      <c r="H11" s="67"/>
      <c r="I11" s="67"/>
      <c r="J11" s="67"/>
      <c r="K11" s="67"/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  <c r="AD11" s="67"/>
    </row>
    <row r="12" spans="1:30" s="866" customFormat="1" ht="43.5" customHeight="1">
      <c r="A12" s="60" t="s">
        <v>11</v>
      </c>
      <c r="B12" s="70" t="s">
        <v>681</v>
      </c>
      <c r="C12" s="67"/>
      <c r="D12" s="67"/>
      <c r="E12" s="67"/>
      <c r="F12" s="67"/>
      <c r="G12" s="67"/>
      <c r="H12" s="67"/>
      <c r="I12" s="67"/>
      <c r="J12" s="67"/>
      <c r="K12" s="67"/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  <c r="AD12" s="67"/>
    </row>
    <row r="13" spans="1:30" s="866" customFormat="1" ht="58.5" customHeight="1">
      <c r="A13" s="60" t="s">
        <v>12</v>
      </c>
      <c r="B13" s="70" t="s">
        <v>636</v>
      </c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</row>
    <row r="14" spans="1:30" s="866" customFormat="1" ht="15" customHeight="1">
      <c r="A14" s="60"/>
      <c r="B14" s="70" t="s">
        <v>596</v>
      </c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</row>
    <row r="15" spans="1:30" s="866" customFormat="1" ht="15" customHeight="1">
      <c r="A15" s="60"/>
      <c r="B15" s="70" t="s">
        <v>657</v>
      </c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</row>
    <row r="16" spans="1:30" s="866" customFormat="1" ht="58.5" customHeight="1">
      <c r="A16" s="60" t="s">
        <v>18</v>
      </c>
      <c r="B16" s="70" t="s">
        <v>700</v>
      </c>
      <c r="C16" s="67"/>
      <c r="D16" s="67"/>
      <c r="E16" s="67"/>
      <c r="F16" s="67"/>
      <c r="G16" s="67"/>
      <c r="H16" s="67"/>
      <c r="I16" s="67"/>
      <c r="J16" s="67"/>
      <c r="K16" s="67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  <c r="AD16" s="67"/>
    </row>
    <row r="17" spans="1:30" s="866" customFormat="1" ht="15" customHeight="1">
      <c r="A17" s="60"/>
      <c r="B17" s="70" t="s">
        <v>596</v>
      </c>
      <c r="C17" s="67"/>
      <c r="D17" s="67"/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</row>
    <row r="18" spans="1:30" s="866" customFormat="1" ht="15" customHeight="1">
      <c r="A18" s="60"/>
      <c r="B18" s="70" t="s">
        <v>657</v>
      </c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</row>
    <row r="19" spans="1:30" s="866" customFormat="1" ht="15">
      <c r="A19" s="60"/>
      <c r="B19" s="70" t="s">
        <v>26</v>
      </c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</row>
    <row r="20" spans="1:30" s="866" customFormat="1" ht="15" customHeight="1">
      <c r="A20" s="60" t="s">
        <v>434</v>
      </c>
      <c r="B20" s="70" t="s">
        <v>701</v>
      </c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</row>
    <row r="21" spans="1:30" s="866" customFormat="1" ht="15">
      <c r="A21" s="60"/>
      <c r="B21" s="70" t="s">
        <v>26</v>
      </c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</row>
    <row r="22" spans="1:30" s="866" customFormat="1" ht="58.5" customHeight="1">
      <c r="A22" s="60" t="s">
        <v>603</v>
      </c>
      <c r="B22" s="70" t="s">
        <v>702</v>
      </c>
      <c r="C22" s="260">
        <f t="shared" ref="C22:AD22" si="6">C24</f>
        <v>1317.6889999999999</v>
      </c>
      <c r="D22" s="260">
        <f t="shared" si="6"/>
        <v>465.62599999999992</v>
      </c>
      <c r="E22" s="260">
        <f t="shared" si="6"/>
        <v>2202.0311098590032</v>
      </c>
      <c r="F22" s="260">
        <f t="shared" si="6"/>
        <v>519.29949700671784</v>
      </c>
      <c r="G22" s="260">
        <f t="shared" si="6"/>
        <v>1257.6792</v>
      </c>
      <c r="H22" s="260">
        <f t="shared" si="6"/>
        <v>451.67099999999999</v>
      </c>
      <c r="I22" s="260">
        <f t="shared" si="6"/>
        <v>2255.7775480451878</v>
      </c>
      <c r="J22" s="260">
        <f t="shared" si="6"/>
        <v>523.43492313421223</v>
      </c>
      <c r="K22" s="260">
        <f t="shared" ref="K22:N22" si="7">K24</f>
        <v>1213.5347615570001</v>
      </c>
      <c r="L22" s="260">
        <f t="shared" si="7"/>
        <v>451.67099999999999</v>
      </c>
      <c r="M22" s="260">
        <f t="shared" si="7"/>
        <v>2585.4932276644568</v>
      </c>
      <c r="N22" s="260">
        <f t="shared" si="7"/>
        <v>578.88483496856213</v>
      </c>
      <c r="O22" s="260">
        <f t="shared" ref="O22:R22" si="8">O24</f>
        <v>1261.1354999999999</v>
      </c>
      <c r="P22" s="260">
        <f t="shared" si="8"/>
        <v>451.67099999999999</v>
      </c>
      <c r="Q22" s="260">
        <f t="shared" si="8"/>
        <v>1340.8183510221374</v>
      </c>
      <c r="R22" s="260">
        <f t="shared" si="8"/>
        <v>311.98106983576514</v>
      </c>
      <c r="S22" s="260">
        <f t="shared" si="6"/>
        <v>1249.7249999999999</v>
      </c>
      <c r="T22" s="260">
        <f t="shared" si="6"/>
        <v>451.67099999999999</v>
      </c>
      <c r="U22" s="260">
        <f t="shared" si="6"/>
        <v>3018.1501668272731</v>
      </c>
      <c r="V22" s="260">
        <f t="shared" si="6"/>
        <v>695.9080313691112</v>
      </c>
      <c r="W22" s="260">
        <f t="shared" si="6"/>
        <v>760.1579999999999</v>
      </c>
      <c r="X22" s="260">
        <f t="shared" si="6"/>
        <v>451.67099999999999</v>
      </c>
      <c r="Y22" s="260">
        <f t="shared" si="6"/>
        <v>1355.2528214598547</v>
      </c>
      <c r="Z22" s="260">
        <f t="shared" si="6"/>
        <v>380.14626953958378</v>
      </c>
      <c r="AA22" s="260">
        <f t="shared" si="6"/>
        <v>489.56699999999995</v>
      </c>
      <c r="AB22" s="260">
        <f t="shared" si="6"/>
        <v>451.67099999999999</v>
      </c>
      <c r="AC22" s="260">
        <f t="shared" si="6"/>
        <v>5600.1577781650603</v>
      </c>
      <c r="AD22" s="260">
        <f t="shared" si="6"/>
        <v>1011.6701621987885</v>
      </c>
    </row>
    <row r="23" spans="1:30" s="866" customFormat="1" ht="43.5" customHeight="1">
      <c r="A23" s="60" t="s">
        <v>703</v>
      </c>
      <c r="B23" s="70" t="s">
        <v>679</v>
      </c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</row>
    <row r="24" spans="1:30" s="108" customFormat="1" ht="15" customHeight="1">
      <c r="A24" s="256" t="s">
        <v>704</v>
      </c>
      <c r="B24" s="257" t="s">
        <v>596</v>
      </c>
      <c r="C24" s="269">
        <f>'6.2_передача (свод)'!D10</f>
        <v>1317.6889999999999</v>
      </c>
      <c r="D24" s="269">
        <f>'6.2_передача (свод)'!D12</f>
        <v>465.62599999999992</v>
      </c>
      <c r="E24" s="269">
        <f>'6.2_передача (свод)'!D15</f>
        <v>2202.0311098590032</v>
      </c>
      <c r="F24" s="269">
        <f>'6.2_передача (свод)'!D18</f>
        <v>519.29949700671784</v>
      </c>
      <c r="G24" s="269">
        <f>'6.2_передача (свод)'!E10</f>
        <v>1257.6792</v>
      </c>
      <c r="H24" s="269">
        <f>'6.2_передача (свод)'!E12</f>
        <v>451.67099999999999</v>
      </c>
      <c r="I24" s="269">
        <f>'6.2_передача (свод)'!E15</f>
        <v>2255.7775480451878</v>
      </c>
      <c r="J24" s="269">
        <f>'6.2_передача (свод)'!E18</f>
        <v>523.43492313421223</v>
      </c>
      <c r="K24" s="269">
        <f>'6.2_передача (свод)'!F10</f>
        <v>1213.5347615570001</v>
      </c>
      <c r="L24" s="269">
        <f>'6.2_передача (свод)'!F12</f>
        <v>451.67099999999999</v>
      </c>
      <c r="M24" s="269">
        <f>'6.2_передача (свод)'!F15</f>
        <v>2585.4932276644568</v>
      </c>
      <c r="N24" s="269">
        <f>'6.2_передача (свод)'!F18</f>
        <v>578.88483496856213</v>
      </c>
      <c r="O24" s="269">
        <f>'6.2_передача (свод)'!G10</f>
        <v>1261.1354999999999</v>
      </c>
      <c r="P24" s="269">
        <f>'6.2_передача (свод)'!G12</f>
        <v>451.67099999999999</v>
      </c>
      <c r="Q24" s="269">
        <f>'6.2_передача (свод)'!G15</f>
        <v>1340.8183510221374</v>
      </c>
      <c r="R24" s="269">
        <f>'6.2_передача (свод)'!G18</f>
        <v>311.98106983576514</v>
      </c>
      <c r="S24" s="269">
        <f>'6.2_передача (свод)'!H10</f>
        <v>1249.7249999999999</v>
      </c>
      <c r="T24" s="269">
        <f>'6.2_передача (свод)'!H12</f>
        <v>451.67099999999999</v>
      </c>
      <c r="U24" s="269">
        <f>'6.2_передача (свод)'!H15</f>
        <v>3018.1501668272731</v>
      </c>
      <c r="V24" s="269">
        <f>'6.2_передача (свод)'!H18</f>
        <v>695.9080313691112</v>
      </c>
      <c r="W24" s="269">
        <f>'6.2_передача (свод)'!I10</f>
        <v>760.1579999999999</v>
      </c>
      <c r="X24" s="269">
        <f>'6.2_передача (свод)'!I12</f>
        <v>451.67099999999999</v>
      </c>
      <c r="Y24" s="269">
        <f>'6.2_передача (свод)'!I15</f>
        <v>1355.2528214598547</v>
      </c>
      <c r="Z24" s="269">
        <f>'6.2_передача (свод)'!I18</f>
        <v>380.14626953958378</v>
      </c>
      <c r="AA24" s="269">
        <f>'6.2_передача (свод)'!J10</f>
        <v>489.56699999999995</v>
      </c>
      <c r="AB24" s="269">
        <f>'6.2_передача (свод)'!J12</f>
        <v>451.67099999999999</v>
      </c>
      <c r="AC24" s="269">
        <f>'6.2_передача (свод)'!J15</f>
        <v>5600.1577781650603</v>
      </c>
      <c r="AD24" s="269">
        <f>'6.2_передача (свод)'!J18</f>
        <v>1011.6701621987885</v>
      </c>
    </row>
    <row r="25" spans="1:30" s="866" customFormat="1" ht="16.5" customHeight="1">
      <c r="A25" s="60" t="s">
        <v>705</v>
      </c>
      <c r="B25" s="70" t="s">
        <v>657</v>
      </c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</row>
    <row r="26" spans="1:30" s="866" customFormat="1" ht="43.5" customHeight="1">
      <c r="A26" s="60" t="s">
        <v>706</v>
      </c>
      <c r="B26" s="70" t="s">
        <v>681</v>
      </c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</row>
    <row r="27" spans="1:30" s="866" customFormat="1" ht="58.5" customHeight="1">
      <c r="A27" s="60" t="s">
        <v>707</v>
      </c>
      <c r="B27" s="70" t="s">
        <v>682</v>
      </c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</row>
    <row r="28" spans="1:30" s="866" customFormat="1" ht="15" customHeight="1">
      <c r="A28" s="60"/>
      <c r="B28" s="70" t="s">
        <v>596</v>
      </c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</row>
    <row r="29" spans="1:30" s="866" customFormat="1" ht="15" customHeight="1">
      <c r="A29" s="60"/>
      <c r="B29" s="70" t="s">
        <v>657</v>
      </c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</row>
    <row r="30" spans="1:30" s="866" customFormat="1" ht="62.25" customHeight="1">
      <c r="A30" s="60" t="s">
        <v>708</v>
      </c>
      <c r="B30" s="70" t="s">
        <v>684</v>
      </c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</row>
    <row r="31" spans="1:30" s="866" customFormat="1" ht="15" customHeight="1">
      <c r="A31" s="60"/>
      <c r="B31" s="70" t="s">
        <v>596</v>
      </c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</row>
    <row r="32" spans="1:30" s="866" customFormat="1" ht="15" customHeight="1">
      <c r="A32" s="60"/>
      <c r="B32" s="70" t="s">
        <v>657</v>
      </c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</row>
    <row r="33" spans="1:30" ht="15"/>
    <row r="34" spans="1:30" ht="15">
      <c r="A34" s="26" t="s">
        <v>88</v>
      </c>
    </row>
    <row r="35" spans="1:30" s="866" customFormat="1" ht="33.75" customHeight="1">
      <c r="A35" s="45" t="s">
        <v>89</v>
      </c>
      <c r="B35" s="1842" t="s">
        <v>642</v>
      </c>
      <c r="C35" s="1842"/>
      <c r="D35" s="1842"/>
      <c r="E35" s="1842"/>
      <c r="F35" s="1842"/>
      <c r="G35" s="1842"/>
      <c r="H35" s="1842"/>
      <c r="I35" s="1842"/>
      <c r="J35" s="1842"/>
      <c r="K35" s="1842"/>
      <c r="L35" s="1842"/>
      <c r="M35" s="1842"/>
      <c r="N35" s="1842"/>
      <c r="O35" s="1842"/>
      <c r="P35" s="1842"/>
      <c r="Q35" s="1842"/>
      <c r="R35" s="1842"/>
      <c r="S35" s="1842"/>
      <c r="T35" s="1842"/>
      <c r="U35" s="1842"/>
      <c r="V35" s="1842"/>
      <c r="W35" s="1842"/>
      <c r="X35" s="1842"/>
      <c r="Y35" s="1842"/>
      <c r="Z35" s="1842"/>
      <c r="AA35" s="1842"/>
      <c r="AB35" s="1842"/>
      <c r="AC35" s="1842"/>
      <c r="AD35" s="1842"/>
    </row>
    <row r="36" spans="1:30" s="866" customFormat="1" ht="36" customHeight="1">
      <c r="A36" s="45" t="s">
        <v>91</v>
      </c>
      <c r="B36" s="1842" t="s">
        <v>709</v>
      </c>
      <c r="C36" s="1842"/>
      <c r="D36" s="1842"/>
      <c r="E36" s="1842"/>
      <c r="F36" s="1842"/>
      <c r="G36" s="1842"/>
      <c r="H36" s="1842"/>
      <c r="I36" s="1842"/>
      <c r="J36" s="1842"/>
      <c r="K36" s="1842"/>
      <c r="L36" s="1842"/>
      <c r="M36" s="1842"/>
      <c r="N36" s="1842"/>
      <c r="O36" s="1842"/>
      <c r="P36" s="1842"/>
      <c r="Q36" s="1842"/>
      <c r="R36" s="1842"/>
      <c r="S36" s="1842"/>
      <c r="T36" s="1842"/>
      <c r="U36" s="1842"/>
      <c r="V36" s="1842"/>
      <c r="W36" s="1842"/>
      <c r="X36" s="1842"/>
      <c r="Y36" s="1842"/>
      <c r="Z36" s="1842"/>
      <c r="AA36" s="1842"/>
      <c r="AB36" s="1842"/>
      <c r="AC36" s="1842"/>
      <c r="AD36" s="1842"/>
    </row>
    <row r="37" spans="1:30" s="866" customFormat="1" ht="29.25" customHeight="1">
      <c r="A37" s="45" t="s">
        <v>93</v>
      </c>
      <c r="B37" s="1842" t="s">
        <v>710</v>
      </c>
      <c r="C37" s="1842"/>
      <c r="D37" s="1842"/>
      <c r="E37" s="1842"/>
      <c r="F37" s="1842"/>
      <c r="G37" s="1842"/>
      <c r="H37" s="1842"/>
      <c r="I37" s="1842"/>
      <c r="J37" s="1842"/>
      <c r="K37" s="1842"/>
      <c r="L37" s="1842"/>
      <c r="M37" s="1842"/>
      <c r="N37" s="1842"/>
      <c r="O37" s="1842"/>
      <c r="P37" s="1842"/>
      <c r="Q37" s="1842"/>
      <c r="R37" s="1842"/>
      <c r="S37" s="1842"/>
      <c r="T37" s="1842"/>
      <c r="U37" s="1842"/>
      <c r="V37" s="1842"/>
      <c r="W37" s="1842"/>
      <c r="X37" s="1842"/>
      <c r="Y37" s="1842"/>
      <c r="Z37" s="1842"/>
      <c r="AA37" s="1842"/>
      <c r="AB37" s="1842"/>
      <c r="AC37" s="1842"/>
      <c r="AD37" s="1842"/>
    </row>
    <row r="38" spans="1:30" ht="15">
      <c r="A38" s="98" t="s">
        <v>95</v>
      </c>
      <c r="B38" s="26" t="s">
        <v>711</v>
      </c>
    </row>
    <row r="39" spans="1:30" ht="15">
      <c r="A39" s="98" t="s">
        <v>97</v>
      </c>
      <c r="B39" s="26" t="s">
        <v>678</v>
      </c>
    </row>
    <row r="40" spans="1:30" ht="15">
      <c r="B40" s="26" t="s">
        <v>712</v>
      </c>
    </row>
    <row r="41" spans="1:30" ht="15">
      <c r="B41" s="26" t="s">
        <v>713</v>
      </c>
    </row>
    <row r="42" spans="1:30" ht="15">
      <c r="B42" s="26" t="s">
        <v>714</v>
      </c>
    </row>
    <row r="43" spans="1:30" ht="15">
      <c r="B43" s="26" t="s">
        <v>715</v>
      </c>
    </row>
  </sheetData>
  <mergeCells count="13">
    <mergeCell ref="B35:AD35"/>
    <mergeCell ref="B36:AD36"/>
    <mergeCell ref="B37:AD37"/>
    <mergeCell ref="A3:AD3"/>
    <mergeCell ref="A5:A6"/>
    <mergeCell ref="B5:B6"/>
    <mergeCell ref="C5:F5"/>
    <mergeCell ref="G5:J5"/>
    <mergeCell ref="S5:V5"/>
    <mergeCell ref="W5:Z5"/>
    <mergeCell ref="AA5:AD5"/>
    <mergeCell ref="K5:N5"/>
    <mergeCell ref="O5:R5"/>
  </mergeCells>
  <pageMargins left="0.59055118110236227" right="0.22" top="0.78740157480314965" bottom="0.39370078740157483" header="0.19685039370078741" footer="0.19685039370078741"/>
  <pageSetup paperSize="9" scale="48" orientation="landscape" r:id="rId1"/>
  <headerFooter alignWithMargins="0"/>
  <rowBreaks count="1" manualBreakCount="1">
    <brk id="32" max="17" man="1"/>
  </rowBreaks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AD43"/>
  <sheetViews>
    <sheetView view="pageBreakPreview" zoomScaleNormal="100" zoomScaleSheetLayoutView="100" workbookViewId="0">
      <pane xSplit="2" ySplit="6" topLeftCell="J7" activePane="bottomRight" state="frozen"/>
      <selection activeCell="F148" sqref="F148"/>
      <selection pane="topRight" activeCell="F148" sqref="F148"/>
      <selection pane="bottomLeft" activeCell="F148" sqref="F148"/>
      <selection pane="bottomRight" activeCell="F148" sqref="F148"/>
    </sheetView>
  </sheetViews>
  <sheetFormatPr defaultColWidth="0.85546875" defaultRowHeight="12" customHeight="1"/>
  <cols>
    <col min="1" max="1" width="8.28515625" style="26" customWidth="1"/>
    <col min="2" max="2" width="35.7109375" style="26" customWidth="1"/>
    <col min="3" max="3" width="9" style="26" customWidth="1"/>
    <col min="4" max="4" width="10" style="26" customWidth="1"/>
    <col min="5" max="5" width="9.7109375" style="26" customWidth="1"/>
    <col min="6" max="8" width="11" style="26" customWidth="1"/>
    <col min="9" max="9" width="9.5703125" style="26" customWidth="1"/>
    <col min="10" max="10" width="11.7109375" style="26" customWidth="1"/>
    <col min="11" max="11" width="10.85546875" style="26" customWidth="1"/>
    <col min="12" max="12" width="11.7109375" style="26" customWidth="1"/>
    <col min="13" max="13" width="9.28515625" style="26" customWidth="1"/>
    <col min="14" max="14" width="11.7109375" style="26" customWidth="1"/>
    <col min="15" max="15" width="10.5703125" style="26" customWidth="1"/>
    <col min="16" max="16" width="11.7109375" style="26" customWidth="1"/>
    <col min="17" max="17" width="9.5703125" style="26" customWidth="1"/>
    <col min="18" max="18" width="11.7109375" style="26" customWidth="1"/>
    <col min="19" max="19" width="9" style="26" customWidth="1"/>
    <col min="20" max="20" width="10" style="26" customWidth="1"/>
    <col min="21" max="21" width="9.5703125" style="26" customWidth="1"/>
    <col min="22" max="22" width="11.140625" style="26" customWidth="1"/>
    <col min="23" max="23" width="9" style="26" customWidth="1"/>
    <col min="24" max="24" width="10" style="26" customWidth="1"/>
    <col min="25" max="25" width="9" style="26" customWidth="1"/>
    <col min="26" max="26" width="11.140625" style="26" customWidth="1"/>
    <col min="27" max="27" width="9" style="26" customWidth="1"/>
    <col min="28" max="28" width="10" style="26" customWidth="1"/>
    <col min="29" max="29" width="9.5703125" style="26" customWidth="1"/>
    <col min="30" max="30" width="11.140625" style="26" customWidth="1"/>
    <col min="31" max="268" width="3.140625" style="26" customWidth="1"/>
    <col min="269" max="16384" width="0.85546875" style="26"/>
  </cols>
  <sheetData>
    <row r="1" spans="1:30" s="24" customFormat="1" ht="14.25">
      <c r="A1" s="74" t="s">
        <v>765</v>
      </c>
      <c r="V1" s="25"/>
      <c r="Z1" s="25"/>
      <c r="AD1" s="25" t="s">
        <v>694</v>
      </c>
    </row>
    <row r="2" spans="1:30" ht="12" customHeight="1">
      <c r="A2" s="759" t="str">
        <f>'6.2_передача (КТЭЦ)'!A2</f>
        <v>ПКГО - Комбинированная выработка КТЭЦ</v>
      </c>
    </row>
    <row r="3" spans="1:30" ht="44.25" customHeight="1">
      <c r="A3" s="1968" t="s">
        <v>695</v>
      </c>
      <c r="B3" s="1968"/>
      <c r="C3" s="1968"/>
      <c r="D3" s="1968"/>
      <c r="E3" s="1968"/>
      <c r="F3" s="1968"/>
      <c r="G3" s="1968"/>
      <c r="H3" s="1968"/>
      <c r="I3" s="1968"/>
      <c r="J3" s="1968"/>
      <c r="K3" s="1968"/>
      <c r="L3" s="1968"/>
      <c r="M3" s="1968"/>
      <c r="N3" s="1968"/>
      <c r="O3" s="1968"/>
      <c r="P3" s="1968"/>
      <c r="Q3" s="1968"/>
      <c r="R3" s="1968"/>
      <c r="S3" s="1968"/>
      <c r="T3" s="1968"/>
      <c r="U3" s="1968"/>
      <c r="V3" s="1968"/>
      <c r="W3" s="1968"/>
      <c r="X3" s="1968"/>
      <c r="Y3" s="1968"/>
      <c r="Z3" s="1968"/>
      <c r="AA3" s="1968"/>
      <c r="AB3" s="1968"/>
      <c r="AC3" s="1968"/>
      <c r="AD3" s="1968"/>
    </row>
    <row r="4" spans="1:30" ht="12" customHeight="1">
      <c r="A4" s="27"/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W4" s="27"/>
      <c r="X4" s="27"/>
      <c r="AA4" s="27"/>
      <c r="AB4" s="27"/>
    </row>
    <row r="5" spans="1:30" s="31" customFormat="1" ht="15" customHeight="1">
      <c r="A5" s="1873" t="s">
        <v>0</v>
      </c>
      <c r="B5" s="1873" t="s">
        <v>1</v>
      </c>
      <c r="C5" s="1846" t="s">
        <v>771</v>
      </c>
      <c r="D5" s="1846"/>
      <c r="E5" s="1846"/>
      <c r="F5" s="1846"/>
      <c r="G5" s="1846" t="s">
        <v>1706</v>
      </c>
      <c r="H5" s="1846"/>
      <c r="I5" s="1846"/>
      <c r="J5" s="1846"/>
      <c r="K5" s="1846" t="s">
        <v>1855</v>
      </c>
      <c r="L5" s="1846"/>
      <c r="M5" s="1846"/>
      <c r="N5" s="1846"/>
      <c r="O5" s="1846" t="s">
        <v>1834</v>
      </c>
      <c r="P5" s="1846"/>
      <c r="Q5" s="1846"/>
      <c r="R5" s="1846"/>
      <c r="S5" s="1846" t="s">
        <v>1688</v>
      </c>
      <c r="T5" s="1846"/>
      <c r="U5" s="1846"/>
      <c r="V5" s="1846"/>
      <c r="W5" s="1846" t="s">
        <v>1830</v>
      </c>
      <c r="X5" s="1846"/>
      <c r="Y5" s="1846"/>
      <c r="Z5" s="1846"/>
      <c r="AA5" s="1846" t="s">
        <v>1831</v>
      </c>
      <c r="AB5" s="1846"/>
      <c r="AC5" s="1846"/>
      <c r="AD5" s="1846"/>
    </row>
    <row r="6" spans="1:30" s="268" customFormat="1" ht="96">
      <c r="A6" s="1873"/>
      <c r="B6" s="1873"/>
      <c r="C6" s="102" t="s">
        <v>696</v>
      </c>
      <c r="D6" s="102" t="s">
        <v>697</v>
      </c>
      <c r="E6" s="102" t="s">
        <v>593</v>
      </c>
      <c r="F6" s="102" t="s">
        <v>698</v>
      </c>
      <c r="G6" s="102" t="s">
        <v>696</v>
      </c>
      <c r="H6" s="102" t="s">
        <v>697</v>
      </c>
      <c r="I6" s="102" t="s">
        <v>593</v>
      </c>
      <c r="J6" s="102" t="s">
        <v>698</v>
      </c>
      <c r="K6" s="102" t="s">
        <v>696</v>
      </c>
      <c r="L6" s="102" t="s">
        <v>697</v>
      </c>
      <c r="M6" s="102" t="s">
        <v>593</v>
      </c>
      <c r="N6" s="102" t="s">
        <v>698</v>
      </c>
      <c r="O6" s="102" t="s">
        <v>696</v>
      </c>
      <c r="P6" s="102" t="s">
        <v>697</v>
      </c>
      <c r="Q6" s="102" t="s">
        <v>593</v>
      </c>
      <c r="R6" s="102" t="s">
        <v>698</v>
      </c>
      <c r="S6" s="102" t="s">
        <v>696</v>
      </c>
      <c r="T6" s="102" t="s">
        <v>697</v>
      </c>
      <c r="U6" s="102" t="s">
        <v>593</v>
      </c>
      <c r="V6" s="102" t="s">
        <v>698</v>
      </c>
      <c r="W6" s="102" t="s">
        <v>696</v>
      </c>
      <c r="X6" s="102" t="s">
        <v>697</v>
      </c>
      <c r="Y6" s="102" t="s">
        <v>593</v>
      </c>
      <c r="Z6" s="102" t="s">
        <v>698</v>
      </c>
      <c r="AA6" s="102" t="s">
        <v>696</v>
      </c>
      <c r="AB6" s="102" t="s">
        <v>697</v>
      </c>
      <c r="AC6" s="102" t="s">
        <v>593</v>
      </c>
      <c r="AD6" s="102" t="s">
        <v>698</v>
      </c>
    </row>
    <row r="7" spans="1:30" s="48" customFormat="1" ht="13.5" customHeight="1">
      <c r="A7" s="13">
        <v>1</v>
      </c>
      <c r="B7" s="13">
        <v>2</v>
      </c>
      <c r="C7" s="33">
        <v>3</v>
      </c>
      <c r="D7" s="33">
        <v>4</v>
      </c>
      <c r="E7" s="33">
        <v>5</v>
      </c>
      <c r="F7" s="33">
        <v>6</v>
      </c>
      <c r="G7" s="33">
        <v>7</v>
      </c>
      <c r="H7" s="33">
        <v>8</v>
      </c>
      <c r="I7" s="33">
        <v>9</v>
      </c>
      <c r="J7" s="33">
        <v>10</v>
      </c>
      <c r="K7" s="33">
        <v>11</v>
      </c>
      <c r="L7" s="33">
        <v>12</v>
      </c>
      <c r="M7" s="33">
        <v>13</v>
      </c>
      <c r="N7" s="33">
        <v>14</v>
      </c>
      <c r="O7" s="33"/>
      <c r="P7" s="33"/>
      <c r="Q7" s="33"/>
      <c r="R7" s="33"/>
      <c r="S7" s="33">
        <v>15</v>
      </c>
      <c r="T7" s="33">
        <v>16</v>
      </c>
      <c r="U7" s="33">
        <v>17</v>
      </c>
      <c r="V7" s="33">
        <v>18</v>
      </c>
      <c r="W7" s="33">
        <v>19</v>
      </c>
      <c r="X7" s="33">
        <v>20</v>
      </c>
      <c r="Y7" s="33">
        <v>21</v>
      </c>
      <c r="Z7" s="33">
        <v>22</v>
      </c>
      <c r="AA7" s="33">
        <v>23</v>
      </c>
      <c r="AB7" s="33">
        <v>24</v>
      </c>
      <c r="AC7" s="33">
        <v>25</v>
      </c>
      <c r="AD7" s="33">
        <v>26</v>
      </c>
    </row>
    <row r="8" spans="1:30" s="866" customFormat="1" ht="15" customHeight="1">
      <c r="A8" s="60" t="s">
        <v>4</v>
      </c>
      <c r="B8" s="70" t="s">
        <v>699</v>
      </c>
      <c r="C8" s="252">
        <f t="shared" ref="C8:AD8" si="0">C22</f>
        <v>907.11299999999994</v>
      </c>
      <c r="D8" s="252">
        <f t="shared" si="0"/>
        <v>320.62599999999998</v>
      </c>
      <c r="E8" s="252">
        <f t="shared" si="0"/>
        <v>2224.4727522579878</v>
      </c>
      <c r="F8" s="252">
        <f t="shared" si="0"/>
        <v>524.45532378300584</v>
      </c>
      <c r="G8" s="252">
        <f t="shared" si="0"/>
        <v>858.0397999999999</v>
      </c>
      <c r="H8" s="252">
        <f t="shared" si="0"/>
        <v>307.87799999999999</v>
      </c>
      <c r="I8" s="252">
        <f t="shared" si="0"/>
        <v>2901.1507254511971</v>
      </c>
      <c r="J8" s="252">
        <f t="shared" si="0"/>
        <v>673.77954585799137</v>
      </c>
      <c r="K8" s="252">
        <f t="shared" ref="K8:N8" si="1">K22</f>
        <v>836.25261320499999</v>
      </c>
      <c r="L8" s="252">
        <f t="shared" si="1"/>
        <v>307.87799999999999</v>
      </c>
      <c r="M8" s="252">
        <f t="shared" si="1"/>
        <v>3275.2563146157395</v>
      </c>
      <c r="N8" s="252">
        <f t="shared" si="1"/>
        <v>741.34929312194811</v>
      </c>
      <c r="O8" s="252">
        <f t="shared" ref="O8:R8" si="2">O22</f>
        <v>860.72499999999991</v>
      </c>
      <c r="P8" s="252">
        <f t="shared" si="2"/>
        <v>307.87799999999999</v>
      </c>
      <c r="Q8" s="252">
        <f t="shared" si="2"/>
        <v>261.9980204837259</v>
      </c>
      <c r="R8" s="252">
        <f t="shared" si="2"/>
        <v>61.038313385186932</v>
      </c>
      <c r="S8" s="252">
        <f t="shared" si="0"/>
        <v>860.72499999999991</v>
      </c>
      <c r="T8" s="252">
        <f t="shared" si="0"/>
        <v>307.87799999999999</v>
      </c>
      <c r="U8" s="252">
        <f t="shared" si="0"/>
        <v>3333.4348478796323</v>
      </c>
      <c r="V8" s="252">
        <f t="shared" si="0"/>
        <v>776.59839001195178</v>
      </c>
      <c r="W8" s="252">
        <f t="shared" si="0"/>
        <v>523.05800000000011</v>
      </c>
      <c r="X8" s="252">
        <f t="shared" si="0"/>
        <v>307.87799999999999</v>
      </c>
      <c r="Y8" s="252">
        <f t="shared" si="0"/>
        <v>1542.5151191192563</v>
      </c>
      <c r="Z8" s="252">
        <f t="shared" si="0"/>
        <v>436.766551023609</v>
      </c>
      <c r="AA8" s="252">
        <f t="shared" si="0"/>
        <v>337.66699999999992</v>
      </c>
      <c r="AB8" s="252">
        <f t="shared" si="0"/>
        <v>307.87799999999999</v>
      </c>
      <c r="AC8" s="252">
        <f t="shared" si="0"/>
        <v>6107.6351442839141</v>
      </c>
      <c r="AD8" s="252">
        <f t="shared" si="0"/>
        <v>1116.4307703402626</v>
      </c>
    </row>
    <row r="9" spans="1:30" s="866" customFormat="1" ht="43.5" customHeight="1">
      <c r="A9" s="60" t="s">
        <v>5</v>
      </c>
      <c r="B9" s="70" t="s">
        <v>679</v>
      </c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  <c r="AD9" s="67"/>
    </row>
    <row r="10" spans="1:30" s="866" customFormat="1" ht="15" customHeight="1">
      <c r="A10" s="60" t="s">
        <v>6</v>
      </c>
      <c r="B10" s="70" t="s">
        <v>596</v>
      </c>
      <c r="C10" s="252">
        <f t="shared" ref="C10:AD10" si="3">C24</f>
        <v>907.11299999999994</v>
      </c>
      <c r="D10" s="252">
        <f t="shared" si="3"/>
        <v>320.62599999999998</v>
      </c>
      <c r="E10" s="252">
        <f t="shared" si="3"/>
        <v>2224.4727522579878</v>
      </c>
      <c r="F10" s="252">
        <f t="shared" si="3"/>
        <v>524.45532378300584</v>
      </c>
      <c r="G10" s="252">
        <f t="shared" si="3"/>
        <v>858.0397999999999</v>
      </c>
      <c r="H10" s="252">
        <f t="shared" si="3"/>
        <v>307.87799999999999</v>
      </c>
      <c r="I10" s="252">
        <f t="shared" si="3"/>
        <v>2901.1507254511971</v>
      </c>
      <c r="J10" s="252">
        <f t="shared" si="3"/>
        <v>673.77954585799137</v>
      </c>
      <c r="K10" s="252">
        <f t="shared" ref="K10:N10" si="4">K24</f>
        <v>836.25261320499999</v>
      </c>
      <c r="L10" s="252">
        <f t="shared" si="4"/>
        <v>307.87799999999999</v>
      </c>
      <c r="M10" s="252">
        <f t="shared" si="4"/>
        <v>3275.2563146157395</v>
      </c>
      <c r="N10" s="252">
        <f t="shared" si="4"/>
        <v>741.34929312194811</v>
      </c>
      <c r="O10" s="252">
        <f t="shared" ref="O10:R10" si="5">O24</f>
        <v>860.72499999999991</v>
      </c>
      <c r="P10" s="252">
        <f t="shared" si="5"/>
        <v>307.87799999999999</v>
      </c>
      <c r="Q10" s="252">
        <f t="shared" si="5"/>
        <v>261.9980204837259</v>
      </c>
      <c r="R10" s="252">
        <f t="shared" si="5"/>
        <v>61.038313385186932</v>
      </c>
      <c r="S10" s="252">
        <f t="shared" si="3"/>
        <v>860.72499999999991</v>
      </c>
      <c r="T10" s="252">
        <f t="shared" si="3"/>
        <v>307.87799999999999</v>
      </c>
      <c r="U10" s="252">
        <f t="shared" si="3"/>
        <v>3333.4348478796323</v>
      </c>
      <c r="V10" s="252">
        <f t="shared" si="3"/>
        <v>776.59839001195178</v>
      </c>
      <c r="W10" s="252">
        <f t="shared" si="3"/>
        <v>523.05800000000011</v>
      </c>
      <c r="X10" s="252">
        <f t="shared" si="3"/>
        <v>307.87799999999999</v>
      </c>
      <c r="Y10" s="252">
        <f t="shared" si="3"/>
        <v>1542.5151191192563</v>
      </c>
      <c r="Z10" s="252">
        <f t="shared" si="3"/>
        <v>436.766551023609</v>
      </c>
      <c r="AA10" s="252">
        <f t="shared" si="3"/>
        <v>337.66699999999992</v>
      </c>
      <c r="AB10" s="252">
        <f t="shared" si="3"/>
        <v>307.87799999999999</v>
      </c>
      <c r="AC10" s="252">
        <f t="shared" si="3"/>
        <v>6107.6351442839141</v>
      </c>
      <c r="AD10" s="252">
        <f t="shared" si="3"/>
        <v>1116.4307703402626</v>
      </c>
    </row>
    <row r="11" spans="1:30" s="866" customFormat="1" ht="15" customHeight="1">
      <c r="A11" s="60" t="s">
        <v>7</v>
      </c>
      <c r="B11" s="70" t="s">
        <v>657</v>
      </c>
      <c r="C11" s="67"/>
      <c r="D11" s="67"/>
      <c r="E11" s="67"/>
      <c r="F11" s="67"/>
      <c r="G11" s="67"/>
      <c r="H11" s="67"/>
      <c r="I11" s="67"/>
      <c r="J11" s="67"/>
      <c r="K11" s="67"/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  <c r="AD11" s="67"/>
    </row>
    <row r="12" spans="1:30" s="866" customFormat="1" ht="43.5" customHeight="1">
      <c r="A12" s="60" t="s">
        <v>11</v>
      </c>
      <c r="B12" s="70" t="s">
        <v>681</v>
      </c>
      <c r="C12" s="67"/>
      <c r="D12" s="67"/>
      <c r="E12" s="67"/>
      <c r="F12" s="67"/>
      <c r="G12" s="67"/>
      <c r="H12" s="67"/>
      <c r="I12" s="67"/>
      <c r="J12" s="67"/>
      <c r="K12" s="67"/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  <c r="AD12" s="67"/>
    </row>
    <row r="13" spans="1:30" s="866" customFormat="1" ht="58.5" customHeight="1">
      <c r="A13" s="60" t="s">
        <v>12</v>
      </c>
      <c r="B13" s="70" t="s">
        <v>636</v>
      </c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</row>
    <row r="14" spans="1:30" s="866" customFormat="1" ht="15" customHeight="1">
      <c r="A14" s="60"/>
      <c r="B14" s="70" t="s">
        <v>596</v>
      </c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</row>
    <row r="15" spans="1:30" s="866" customFormat="1" ht="15" customHeight="1">
      <c r="A15" s="60"/>
      <c r="B15" s="70" t="s">
        <v>657</v>
      </c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</row>
    <row r="16" spans="1:30" s="866" customFormat="1" ht="58.5" customHeight="1">
      <c r="A16" s="60" t="s">
        <v>18</v>
      </c>
      <c r="B16" s="70" t="s">
        <v>700</v>
      </c>
      <c r="C16" s="67"/>
      <c r="D16" s="67"/>
      <c r="E16" s="67"/>
      <c r="F16" s="67"/>
      <c r="G16" s="67"/>
      <c r="H16" s="67"/>
      <c r="I16" s="67"/>
      <c r="J16" s="67"/>
      <c r="K16" s="67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  <c r="AD16" s="67"/>
    </row>
    <row r="17" spans="1:30" s="866" customFormat="1" ht="15" customHeight="1">
      <c r="A17" s="60"/>
      <c r="B17" s="70" t="s">
        <v>596</v>
      </c>
      <c r="C17" s="67"/>
      <c r="D17" s="67"/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</row>
    <row r="18" spans="1:30" s="866" customFormat="1" ht="15" customHeight="1">
      <c r="A18" s="60"/>
      <c r="B18" s="70" t="s">
        <v>657</v>
      </c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</row>
    <row r="19" spans="1:30" s="866" customFormat="1" ht="15">
      <c r="A19" s="60"/>
      <c r="B19" s="70" t="s">
        <v>26</v>
      </c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</row>
    <row r="20" spans="1:30" s="866" customFormat="1" ht="15" customHeight="1">
      <c r="A20" s="60" t="s">
        <v>434</v>
      </c>
      <c r="B20" s="70" t="s">
        <v>701</v>
      </c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</row>
    <row r="21" spans="1:30" s="866" customFormat="1" ht="15">
      <c r="A21" s="60"/>
      <c r="B21" s="70" t="s">
        <v>26</v>
      </c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</row>
    <row r="22" spans="1:30" s="866" customFormat="1" ht="58.5" customHeight="1">
      <c r="A22" s="60" t="s">
        <v>603</v>
      </c>
      <c r="B22" s="70" t="s">
        <v>702</v>
      </c>
      <c r="C22" s="260">
        <f t="shared" ref="C22:AD22" si="6">C24</f>
        <v>907.11299999999994</v>
      </c>
      <c r="D22" s="260">
        <f t="shared" si="6"/>
        <v>320.62599999999998</v>
      </c>
      <c r="E22" s="260">
        <f t="shared" si="6"/>
        <v>2224.4727522579878</v>
      </c>
      <c r="F22" s="260">
        <f t="shared" si="6"/>
        <v>524.45532378300584</v>
      </c>
      <c r="G22" s="260">
        <f t="shared" si="6"/>
        <v>858.0397999999999</v>
      </c>
      <c r="H22" s="260">
        <f t="shared" si="6"/>
        <v>307.87799999999999</v>
      </c>
      <c r="I22" s="260">
        <f t="shared" si="6"/>
        <v>2901.1507254511971</v>
      </c>
      <c r="J22" s="260">
        <f t="shared" si="6"/>
        <v>673.77954585799137</v>
      </c>
      <c r="K22" s="260">
        <f t="shared" ref="K22:N22" si="7">K24</f>
        <v>836.25261320499999</v>
      </c>
      <c r="L22" s="260">
        <f t="shared" si="7"/>
        <v>307.87799999999999</v>
      </c>
      <c r="M22" s="260">
        <f t="shared" si="7"/>
        <v>3275.2563146157395</v>
      </c>
      <c r="N22" s="260">
        <f t="shared" si="7"/>
        <v>741.34929312194811</v>
      </c>
      <c r="O22" s="260">
        <f t="shared" ref="O22:R22" si="8">O24</f>
        <v>860.72499999999991</v>
      </c>
      <c r="P22" s="260">
        <f t="shared" si="8"/>
        <v>307.87799999999999</v>
      </c>
      <c r="Q22" s="260">
        <f t="shared" si="8"/>
        <v>261.9980204837259</v>
      </c>
      <c r="R22" s="260">
        <f t="shared" si="8"/>
        <v>61.038313385186932</v>
      </c>
      <c r="S22" s="260">
        <f t="shared" si="6"/>
        <v>860.72499999999991</v>
      </c>
      <c r="T22" s="260">
        <f t="shared" si="6"/>
        <v>307.87799999999999</v>
      </c>
      <c r="U22" s="260">
        <f t="shared" si="6"/>
        <v>3333.4348478796323</v>
      </c>
      <c r="V22" s="260">
        <f t="shared" si="6"/>
        <v>776.59839001195178</v>
      </c>
      <c r="W22" s="260">
        <f t="shared" si="6"/>
        <v>523.05800000000011</v>
      </c>
      <c r="X22" s="260">
        <f t="shared" si="6"/>
        <v>307.87799999999999</v>
      </c>
      <c r="Y22" s="260">
        <f t="shared" si="6"/>
        <v>1542.5151191192563</v>
      </c>
      <c r="Z22" s="260">
        <f t="shared" si="6"/>
        <v>436.766551023609</v>
      </c>
      <c r="AA22" s="260">
        <f t="shared" si="6"/>
        <v>337.66699999999992</v>
      </c>
      <c r="AB22" s="260">
        <f t="shared" si="6"/>
        <v>307.87799999999999</v>
      </c>
      <c r="AC22" s="260">
        <f t="shared" si="6"/>
        <v>6107.6351442839141</v>
      </c>
      <c r="AD22" s="260">
        <f t="shared" si="6"/>
        <v>1116.4307703402626</v>
      </c>
    </row>
    <row r="23" spans="1:30" s="866" customFormat="1" ht="43.5" customHeight="1">
      <c r="A23" s="60" t="s">
        <v>703</v>
      </c>
      <c r="B23" s="70" t="s">
        <v>679</v>
      </c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</row>
    <row r="24" spans="1:30" s="108" customFormat="1" ht="15" customHeight="1">
      <c r="A24" s="256" t="s">
        <v>704</v>
      </c>
      <c r="B24" s="257" t="s">
        <v>596</v>
      </c>
      <c r="C24" s="269">
        <f>'6.2_передача (КТЭЦ)'!D10</f>
        <v>907.11299999999994</v>
      </c>
      <c r="D24" s="269">
        <f>'6.2_передача (КТЭЦ)'!D12</f>
        <v>320.62599999999998</v>
      </c>
      <c r="E24" s="269">
        <f>'6.2_передача (КТЭЦ)'!D15</f>
        <v>2224.4727522579878</v>
      </c>
      <c r="F24" s="269">
        <f>'6.2_передача (КТЭЦ)'!D18</f>
        <v>524.45532378300584</v>
      </c>
      <c r="G24" s="269">
        <f>'6.2_передача (КТЭЦ)'!E10</f>
        <v>858.0397999999999</v>
      </c>
      <c r="H24" s="269">
        <f>'6.2_передача (КТЭЦ)'!E12</f>
        <v>307.87799999999999</v>
      </c>
      <c r="I24" s="269">
        <f>'6.2_передача (КТЭЦ)'!E15</f>
        <v>2901.1507254511971</v>
      </c>
      <c r="J24" s="269">
        <f>'6.2_передача (КТЭЦ)'!E18</f>
        <v>673.77954585799137</v>
      </c>
      <c r="K24" s="269">
        <f>'6.2_передача (КТЭЦ)'!F10</f>
        <v>836.25261320499999</v>
      </c>
      <c r="L24" s="269">
        <f>'6.2_передача (КТЭЦ)'!F12</f>
        <v>307.87799999999999</v>
      </c>
      <c r="M24" s="269">
        <f>'6.2_передача (КТЭЦ)'!F15</f>
        <v>3275.2563146157395</v>
      </c>
      <c r="N24" s="269">
        <f>'6.2_передача (КТЭЦ)'!F18</f>
        <v>741.34929312194811</v>
      </c>
      <c r="O24" s="269">
        <f>'6.2_передача (КТЭЦ)'!G10</f>
        <v>860.72499999999991</v>
      </c>
      <c r="P24" s="269">
        <f>'6.2_передача (КТЭЦ)'!G12</f>
        <v>307.87799999999999</v>
      </c>
      <c r="Q24" s="269">
        <f>'6.2_передача (КТЭЦ)'!G15</f>
        <v>261.9980204837259</v>
      </c>
      <c r="R24" s="269">
        <f>'6.2_передача (КТЭЦ)'!G18</f>
        <v>61.038313385186932</v>
      </c>
      <c r="S24" s="269">
        <f>'6.2_передача (КТЭЦ)'!H10</f>
        <v>860.72499999999991</v>
      </c>
      <c r="T24" s="269">
        <f>'6.2_передача (КТЭЦ)'!H12</f>
        <v>307.87799999999999</v>
      </c>
      <c r="U24" s="269">
        <f>'6.2_передача (КТЭЦ)'!H15</f>
        <v>3333.4348478796323</v>
      </c>
      <c r="V24" s="269">
        <f>'6.2_передача (КТЭЦ)'!H18</f>
        <v>776.59839001195178</v>
      </c>
      <c r="W24" s="269">
        <f>'6.2_передача (КТЭЦ)'!I10</f>
        <v>523.05800000000011</v>
      </c>
      <c r="X24" s="269">
        <f>'6.2_передача (КТЭЦ)'!I12</f>
        <v>307.87799999999999</v>
      </c>
      <c r="Y24" s="269">
        <f>'6.2_передача (КТЭЦ)'!I15</f>
        <v>1542.5151191192563</v>
      </c>
      <c r="Z24" s="269">
        <f>'6.2_передача (КТЭЦ)'!I18</f>
        <v>436.766551023609</v>
      </c>
      <c r="AA24" s="269">
        <f>'6.2_передача (КТЭЦ)'!J10</f>
        <v>337.66699999999992</v>
      </c>
      <c r="AB24" s="269">
        <f>'6.2_передача (КТЭЦ)'!J12</f>
        <v>307.87799999999999</v>
      </c>
      <c r="AC24" s="269">
        <f>'6.2_передача (КТЭЦ)'!J15</f>
        <v>6107.6351442839141</v>
      </c>
      <c r="AD24" s="269">
        <f>'6.2_передача (КТЭЦ)'!J18</f>
        <v>1116.4307703402626</v>
      </c>
    </row>
    <row r="25" spans="1:30" s="866" customFormat="1" ht="16.5" customHeight="1">
      <c r="A25" s="60" t="s">
        <v>705</v>
      </c>
      <c r="B25" s="70" t="s">
        <v>657</v>
      </c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</row>
    <row r="26" spans="1:30" s="866" customFormat="1" ht="43.5" customHeight="1">
      <c r="A26" s="60" t="s">
        <v>706</v>
      </c>
      <c r="B26" s="70" t="s">
        <v>681</v>
      </c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</row>
    <row r="27" spans="1:30" s="866" customFormat="1" ht="58.5" customHeight="1">
      <c r="A27" s="60" t="s">
        <v>707</v>
      </c>
      <c r="B27" s="70" t="s">
        <v>682</v>
      </c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</row>
    <row r="28" spans="1:30" s="866" customFormat="1" ht="15" customHeight="1">
      <c r="A28" s="60"/>
      <c r="B28" s="70" t="s">
        <v>596</v>
      </c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</row>
    <row r="29" spans="1:30" s="866" customFormat="1" ht="15" customHeight="1">
      <c r="A29" s="60"/>
      <c r="B29" s="70" t="s">
        <v>657</v>
      </c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</row>
    <row r="30" spans="1:30" s="866" customFormat="1" ht="62.25" customHeight="1">
      <c r="A30" s="60" t="s">
        <v>708</v>
      </c>
      <c r="B30" s="70" t="s">
        <v>684</v>
      </c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</row>
    <row r="31" spans="1:30" s="866" customFormat="1" ht="15" customHeight="1">
      <c r="A31" s="60"/>
      <c r="B31" s="70" t="s">
        <v>596</v>
      </c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</row>
    <row r="32" spans="1:30" s="866" customFormat="1" ht="15" customHeight="1">
      <c r="A32" s="60"/>
      <c r="B32" s="70" t="s">
        <v>657</v>
      </c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</row>
    <row r="33" spans="1:30" ht="15"/>
    <row r="34" spans="1:30" ht="15">
      <c r="A34" s="26" t="s">
        <v>88</v>
      </c>
    </row>
    <row r="35" spans="1:30" s="866" customFormat="1" ht="33.75" customHeight="1">
      <c r="A35" s="45" t="s">
        <v>89</v>
      </c>
      <c r="B35" s="1842" t="s">
        <v>642</v>
      </c>
      <c r="C35" s="1842"/>
      <c r="D35" s="1842"/>
      <c r="E35" s="1842"/>
      <c r="F35" s="1842"/>
      <c r="G35" s="1842"/>
      <c r="H35" s="1842"/>
      <c r="I35" s="1842"/>
      <c r="J35" s="1842"/>
      <c r="K35" s="1842"/>
      <c r="L35" s="1842"/>
      <c r="M35" s="1842"/>
      <c r="N35" s="1842"/>
      <c r="O35" s="1842"/>
      <c r="P35" s="1842"/>
      <c r="Q35" s="1842"/>
      <c r="R35" s="1842"/>
      <c r="S35" s="1842"/>
      <c r="T35" s="1842"/>
      <c r="U35" s="1842"/>
      <c r="V35" s="1842"/>
      <c r="W35" s="1842"/>
      <c r="X35" s="1842"/>
      <c r="Y35" s="1842"/>
      <c r="Z35" s="1842"/>
      <c r="AA35" s="1842"/>
      <c r="AB35" s="1842"/>
      <c r="AC35" s="1842"/>
      <c r="AD35" s="1842"/>
    </row>
    <row r="36" spans="1:30" s="866" customFormat="1" ht="36" customHeight="1">
      <c r="A36" s="45" t="s">
        <v>91</v>
      </c>
      <c r="B36" s="1842" t="s">
        <v>709</v>
      </c>
      <c r="C36" s="1842"/>
      <c r="D36" s="1842"/>
      <c r="E36" s="1842"/>
      <c r="F36" s="1842"/>
      <c r="G36" s="1842"/>
      <c r="H36" s="1842"/>
      <c r="I36" s="1842"/>
      <c r="J36" s="1842"/>
      <c r="K36" s="1842"/>
      <c r="L36" s="1842"/>
      <c r="M36" s="1842"/>
      <c r="N36" s="1842"/>
      <c r="O36" s="1842"/>
      <c r="P36" s="1842"/>
      <c r="Q36" s="1842"/>
      <c r="R36" s="1842"/>
      <c r="S36" s="1842"/>
      <c r="T36" s="1842"/>
      <c r="U36" s="1842"/>
      <c r="V36" s="1842"/>
      <c r="W36" s="1842"/>
      <c r="X36" s="1842"/>
      <c r="Y36" s="1842"/>
      <c r="Z36" s="1842"/>
      <c r="AA36" s="1842"/>
      <c r="AB36" s="1842"/>
      <c r="AC36" s="1842"/>
      <c r="AD36" s="1842"/>
    </row>
    <row r="37" spans="1:30" s="866" customFormat="1" ht="29.25" customHeight="1">
      <c r="A37" s="45" t="s">
        <v>93</v>
      </c>
      <c r="B37" s="1842" t="s">
        <v>710</v>
      </c>
      <c r="C37" s="1842"/>
      <c r="D37" s="1842"/>
      <c r="E37" s="1842"/>
      <c r="F37" s="1842"/>
      <c r="G37" s="1842"/>
      <c r="H37" s="1842"/>
      <c r="I37" s="1842"/>
      <c r="J37" s="1842"/>
      <c r="K37" s="1842"/>
      <c r="L37" s="1842"/>
      <c r="M37" s="1842"/>
      <c r="N37" s="1842"/>
      <c r="O37" s="1842"/>
      <c r="P37" s="1842"/>
      <c r="Q37" s="1842"/>
      <c r="R37" s="1842"/>
      <c r="S37" s="1842"/>
      <c r="T37" s="1842"/>
      <c r="U37" s="1842"/>
      <c r="V37" s="1842"/>
      <c r="W37" s="1842"/>
      <c r="X37" s="1842"/>
      <c r="Y37" s="1842"/>
      <c r="Z37" s="1842"/>
      <c r="AA37" s="1842"/>
      <c r="AB37" s="1842"/>
      <c r="AC37" s="1842"/>
      <c r="AD37" s="1842"/>
    </row>
    <row r="38" spans="1:30" ht="15">
      <c r="A38" s="98" t="s">
        <v>95</v>
      </c>
      <c r="B38" s="26" t="s">
        <v>711</v>
      </c>
    </row>
    <row r="39" spans="1:30" ht="15">
      <c r="A39" s="98" t="s">
        <v>97</v>
      </c>
      <c r="B39" s="26" t="s">
        <v>678</v>
      </c>
    </row>
    <row r="40" spans="1:30" ht="15">
      <c r="B40" s="26" t="s">
        <v>712</v>
      </c>
    </row>
    <row r="41" spans="1:30" ht="15">
      <c r="B41" s="26" t="s">
        <v>713</v>
      </c>
    </row>
    <row r="42" spans="1:30" ht="15">
      <c r="B42" s="26" t="s">
        <v>714</v>
      </c>
    </row>
    <row r="43" spans="1:30" ht="15">
      <c r="B43" s="26" t="s">
        <v>715</v>
      </c>
    </row>
  </sheetData>
  <mergeCells count="13">
    <mergeCell ref="A3:AD3"/>
    <mergeCell ref="B36:AD36"/>
    <mergeCell ref="B37:AD37"/>
    <mergeCell ref="B35:AD35"/>
    <mergeCell ref="B5:B6"/>
    <mergeCell ref="A5:A6"/>
    <mergeCell ref="C5:F5"/>
    <mergeCell ref="S5:V5"/>
    <mergeCell ref="G5:J5"/>
    <mergeCell ref="W5:Z5"/>
    <mergeCell ref="AA5:AD5"/>
    <mergeCell ref="K5:N5"/>
    <mergeCell ref="O5:R5"/>
  </mergeCells>
  <pageMargins left="0.59055118110236227" right="0.22" top="0.78740157480314965" bottom="0.39370078740157483" header="0.19685039370078741" footer="0.19685039370078741"/>
  <pageSetup paperSize="9" scale="42" orientation="landscape" r:id="rId1"/>
  <headerFooter alignWithMargins="0"/>
  <rowBreaks count="1" manualBreakCount="1">
    <brk id="32" max="17" man="1"/>
  </rowBreaks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AD43"/>
  <sheetViews>
    <sheetView view="pageBreakPreview" zoomScaleNormal="100" zoomScaleSheetLayoutView="100" workbookViewId="0">
      <pane xSplit="2" ySplit="6" topLeftCell="K19" activePane="bottomRight" state="frozen"/>
      <selection activeCell="F148" sqref="F148"/>
      <selection pane="topRight" activeCell="F148" sqref="F148"/>
      <selection pane="bottomLeft" activeCell="F148" sqref="F148"/>
      <selection pane="bottomRight" activeCell="F148" sqref="F148"/>
    </sheetView>
  </sheetViews>
  <sheetFormatPr defaultColWidth="0.85546875" defaultRowHeight="12" customHeight="1"/>
  <cols>
    <col min="1" max="1" width="8.28515625" style="26" customWidth="1"/>
    <col min="2" max="2" width="35.7109375" style="26" customWidth="1"/>
    <col min="3" max="3" width="9" style="26" customWidth="1"/>
    <col min="4" max="4" width="10" style="26" customWidth="1"/>
    <col min="5" max="5" width="10.7109375" style="26" customWidth="1"/>
    <col min="6" max="8" width="11" style="26" customWidth="1"/>
    <col min="9" max="9" width="9.5703125" style="26" customWidth="1"/>
    <col min="10" max="10" width="11.7109375" style="26" customWidth="1"/>
    <col min="11" max="11" width="10.85546875" style="26" customWidth="1"/>
    <col min="12" max="12" width="11.7109375" style="26" customWidth="1"/>
    <col min="13" max="13" width="9.28515625" style="26" customWidth="1"/>
    <col min="14" max="14" width="11.7109375" style="26" customWidth="1"/>
    <col min="15" max="15" width="10.5703125" style="26" customWidth="1"/>
    <col min="16" max="16" width="11.7109375" style="26" customWidth="1"/>
    <col min="17" max="17" width="9.5703125" style="26" customWidth="1"/>
    <col min="18" max="18" width="11.7109375" style="26" customWidth="1"/>
    <col min="19" max="19" width="9" style="26" customWidth="1"/>
    <col min="20" max="20" width="10" style="26" customWidth="1"/>
    <col min="21" max="21" width="9.5703125" style="26" customWidth="1"/>
    <col min="22" max="22" width="11.140625" style="26" customWidth="1"/>
    <col min="23" max="23" width="9" style="26" customWidth="1"/>
    <col min="24" max="24" width="10" style="26" customWidth="1"/>
    <col min="25" max="25" width="9" style="26" customWidth="1"/>
    <col min="26" max="26" width="11.140625" style="26" customWidth="1"/>
    <col min="27" max="27" width="9" style="26" customWidth="1"/>
    <col min="28" max="28" width="10" style="26" customWidth="1"/>
    <col min="29" max="29" width="9.5703125" style="26" customWidth="1"/>
    <col min="30" max="30" width="11.140625" style="26" customWidth="1"/>
    <col min="31" max="268" width="3.140625" style="26" customWidth="1"/>
    <col min="269" max="16384" width="0.85546875" style="26"/>
  </cols>
  <sheetData>
    <row r="1" spans="1:30" s="24" customFormat="1" ht="14.25">
      <c r="A1" s="74" t="s">
        <v>765</v>
      </c>
      <c r="V1" s="25"/>
      <c r="Z1" s="25"/>
      <c r="AD1" s="25" t="s">
        <v>694</v>
      </c>
    </row>
    <row r="2" spans="1:30" ht="12" customHeight="1">
      <c r="A2" s="759" t="str">
        <f>'6.2_передача (котельн)'!A2</f>
        <v>ПКГО - выработка котельными</v>
      </c>
    </row>
    <row r="3" spans="1:30" ht="44.25" customHeight="1">
      <c r="A3" s="1968" t="s">
        <v>695</v>
      </c>
      <c r="B3" s="1968"/>
      <c r="C3" s="1968"/>
      <c r="D3" s="1968"/>
      <c r="E3" s="1968"/>
      <c r="F3" s="1968"/>
      <c r="G3" s="1968"/>
      <c r="H3" s="1968"/>
      <c r="I3" s="1968"/>
      <c r="J3" s="1968"/>
      <c r="K3" s="1968"/>
      <c r="L3" s="1968"/>
      <c r="M3" s="1968"/>
      <c r="N3" s="1968"/>
      <c r="O3" s="1968"/>
      <c r="P3" s="1968"/>
      <c r="Q3" s="1968"/>
      <c r="R3" s="1968"/>
      <c r="S3" s="1968"/>
      <c r="T3" s="1968"/>
      <c r="U3" s="1968"/>
      <c r="V3" s="1968"/>
      <c r="W3" s="1968"/>
      <c r="X3" s="1968"/>
      <c r="Y3" s="1968"/>
      <c r="Z3" s="1968"/>
      <c r="AA3" s="1968"/>
      <c r="AB3" s="1968"/>
      <c r="AC3" s="1968"/>
      <c r="AD3" s="1968"/>
    </row>
    <row r="4" spans="1:30" ht="12" customHeight="1">
      <c r="A4" s="27"/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W4" s="27"/>
      <c r="X4" s="27"/>
      <c r="AA4" s="27"/>
      <c r="AB4" s="27"/>
    </row>
    <row r="5" spans="1:30" s="31" customFormat="1" ht="15" customHeight="1">
      <c r="A5" s="1873" t="s">
        <v>0</v>
      </c>
      <c r="B5" s="1873" t="s">
        <v>1</v>
      </c>
      <c r="C5" s="1846" t="s">
        <v>771</v>
      </c>
      <c r="D5" s="1846"/>
      <c r="E5" s="1846"/>
      <c r="F5" s="1846"/>
      <c r="G5" s="1846" t="s">
        <v>1706</v>
      </c>
      <c r="H5" s="1846"/>
      <c r="I5" s="1846"/>
      <c r="J5" s="1846"/>
      <c r="K5" s="1846" t="s">
        <v>1855</v>
      </c>
      <c r="L5" s="1846"/>
      <c r="M5" s="1846"/>
      <c r="N5" s="1846"/>
      <c r="O5" s="1846" t="s">
        <v>1834</v>
      </c>
      <c r="P5" s="1846"/>
      <c r="Q5" s="1846"/>
      <c r="R5" s="1846"/>
      <c r="S5" s="1846" t="s">
        <v>1688</v>
      </c>
      <c r="T5" s="1846"/>
      <c r="U5" s="1846"/>
      <c r="V5" s="1846"/>
      <c r="W5" s="1846" t="s">
        <v>1830</v>
      </c>
      <c r="X5" s="1846"/>
      <c r="Y5" s="1846"/>
      <c r="Z5" s="1846"/>
      <c r="AA5" s="1846" t="s">
        <v>1831</v>
      </c>
      <c r="AB5" s="1846"/>
      <c r="AC5" s="1846"/>
      <c r="AD5" s="1846"/>
    </row>
    <row r="6" spans="1:30" s="268" customFormat="1" ht="96">
      <c r="A6" s="1873"/>
      <c r="B6" s="1873"/>
      <c r="C6" s="102" t="s">
        <v>696</v>
      </c>
      <c r="D6" s="102" t="s">
        <v>697</v>
      </c>
      <c r="E6" s="102" t="s">
        <v>593</v>
      </c>
      <c r="F6" s="102" t="s">
        <v>698</v>
      </c>
      <c r="G6" s="102" t="s">
        <v>696</v>
      </c>
      <c r="H6" s="102" t="s">
        <v>697</v>
      </c>
      <c r="I6" s="102" t="s">
        <v>593</v>
      </c>
      <c r="J6" s="102" t="s">
        <v>698</v>
      </c>
      <c r="K6" s="102" t="s">
        <v>696</v>
      </c>
      <c r="L6" s="102" t="s">
        <v>697</v>
      </c>
      <c r="M6" s="102" t="s">
        <v>593</v>
      </c>
      <c r="N6" s="102" t="s">
        <v>698</v>
      </c>
      <c r="O6" s="102" t="s">
        <v>696</v>
      </c>
      <c r="P6" s="102" t="s">
        <v>697</v>
      </c>
      <c r="Q6" s="102" t="s">
        <v>593</v>
      </c>
      <c r="R6" s="102" t="s">
        <v>698</v>
      </c>
      <c r="S6" s="102" t="s">
        <v>696</v>
      </c>
      <c r="T6" s="102" t="s">
        <v>697</v>
      </c>
      <c r="U6" s="102" t="s">
        <v>593</v>
      </c>
      <c r="V6" s="102" t="s">
        <v>698</v>
      </c>
      <c r="W6" s="102" t="s">
        <v>696</v>
      </c>
      <c r="X6" s="102" t="s">
        <v>697</v>
      </c>
      <c r="Y6" s="102" t="s">
        <v>593</v>
      </c>
      <c r="Z6" s="102" t="s">
        <v>698</v>
      </c>
      <c r="AA6" s="102" t="s">
        <v>696</v>
      </c>
      <c r="AB6" s="102" t="s">
        <v>697</v>
      </c>
      <c r="AC6" s="102" t="s">
        <v>593</v>
      </c>
      <c r="AD6" s="102" t="s">
        <v>698</v>
      </c>
    </row>
    <row r="7" spans="1:30" s="48" customFormat="1" ht="13.5" customHeight="1">
      <c r="A7" s="13">
        <v>1</v>
      </c>
      <c r="B7" s="13">
        <v>2</v>
      </c>
      <c r="C7" s="33">
        <v>3</v>
      </c>
      <c r="D7" s="33">
        <v>4</v>
      </c>
      <c r="E7" s="33">
        <v>5</v>
      </c>
      <c r="F7" s="33">
        <v>6</v>
      </c>
      <c r="G7" s="33">
        <v>7</v>
      </c>
      <c r="H7" s="33">
        <v>8</v>
      </c>
      <c r="I7" s="33">
        <v>9</v>
      </c>
      <c r="J7" s="33">
        <v>10</v>
      </c>
      <c r="K7" s="33">
        <v>11</v>
      </c>
      <c r="L7" s="33">
        <v>12</v>
      </c>
      <c r="M7" s="33">
        <v>13</v>
      </c>
      <c r="N7" s="33">
        <v>14</v>
      </c>
      <c r="O7" s="33"/>
      <c r="P7" s="33"/>
      <c r="Q7" s="33"/>
      <c r="R7" s="33"/>
      <c r="S7" s="33">
        <v>15</v>
      </c>
      <c r="T7" s="33">
        <v>16</v>
      </c>
      <c r="U7" s="33">
        <v>17</v>
      </c>
      <c r="V7" s="33">
        <v>18</v>
      </c>
      <c r="W7" s="33">
        <v>19</v>
      </c>
      <c r="X7" s="33">
        <v>20</v>
      </c>
      <c r="Y7" s="33">
        <v>21</v>
      </c>
      <c r="Z7" s="33">
        <v>22</v>
      </c>
      <c r="AA7" s="33">
        <v>23</v>
      </c>
      <c r="AB7" s="33">
        <v>24</v>
      </c>
      <c r="AC7" s="33">
        <v>25</v>
      </c>
      <c r="AD7" s="33">
        <v>26</v>
      </c>
    </row>
    <row r="8" spans="1:30" s="866" customFormat="1" ht="15" customHeight="1">
      <c r="A8" s="60" t="s">
        <v>4</v>
      </c>
      <c r="B8" s="70" t="s">
        <v>699</v>
      </c>
      <c r="C8" s="252">
        <f t="shared" ref="C8:AD8" si="0">C22</f>
        <v>410.57600000000002</v>
      </c>
      <c r="D8" s="252">
        <f t="shared" si="0"/>
        <v>145</v>
      </c>
      <c r="E8" s="252">
        <f t="shared" si="0"/>
        <v>2152.4492892911421</v>
      </c>
      <c r="F8" s="252">
        <f t="shared" si="0"/>
        <v>507.89886172413793</v>
      </c>
      <c r="G8" s="252">
        <f t="shared" si="0"/>
        <v>399.63940000000008</v>
      </c>
      <c r="H8" s="252">
        <f t="shared" si="0"/>
        <v>143.79300000000001</v>
      </c>
      <c r="I8" s="252">
        <f t="shared" si="0"/>
        <v>870.13871446967869</v>
      </c>
      <c r="J8" s="252">
        <f t="shared" si="0"/>
        <v>201.52911579344018</v>
      </c>
      <c r="K8" s="252">
        <f t="shared" ref="K8:N8" si="1">K22</f>
        <v>377.28214835200004</v>
      </c>
      <c r="L8" s="252">
        <f t="shared" si="1"/>
        <v>143.79300000000001</v>
      </c>
      <c r="M8" s="252">
        <f t="shared" si="1"/>
        <v>1056.6210388398906</v>
      </c>
      <c r="N8" s="252">
        <f t="shared" si="1"/>
        <v>231.02901133773085</v>
      </c>
      <c r="O8" s="252">
        <f t="shared" ref="O8:R8" si="2">O22</f>
        <v>400.41050000000007</v>
      </c>
      <c r="P8" s="252">
        <f t="shared" si="2"/>
        <v>143.79300000000001</v>
      </c>
      <c r="Q8" s="252">
        <f t="shared" si="2"/>
        <v>21.341285447060031</v>
      </c>
      <c r="R8" s="252">
        <f t="shared" si="2"/>
        <v>4.9523010951506858</v>
      </c>
      <c r="S8" s="252">
        <f t="shared" si="0"/>
        <v>389</v>
      </c>
      <c r="T8" s="252">
        <f t="shared" si="0"/>
        <v>143.79300000000001</v>
      </c>
      <c r="U8" s="252">
        <f t="shared" si="0"/>
        <v>2320.5321537198406</v>
      </c>
      <c r="V8" s="252">
        <f t="shared" si="0"/>
        <v>523.1403289201711</v>
      </c>
      <c r="W8" s="252">
        <f t="shared" si="0"/>
        <v>237.10000000000002</v>
      </c>
      <c r="X8" s="252">
        <f t="shared" si="0"/>
        <v>143.79300000000001</v>
      </c>
      <c r="Y8" s="252">
        <f t="shared" si="0"/>
        <v>942.14002985660034</v>
      </c>
      <c r="Z8" s="252">
        <f t="shared" si="0"/>
        <v>258.91547928735514</v>
      </c>
      <c r="AA8" s="252">
        <f t="shared" si="0"/>
        <v>151.9</v>
      </c>
      <c r="AB8" s="252">
        <f t="shared" si="0"/>
        <v>143.79300000000001</v>
      </c>
      <c r="AC8" s="252">
        <f t="shared" si="0"/>
        <v>4472.0579770771428</v>
      </c>
      <c r="AD8" s="252">
        <f t="shared" si="0"/>
        <v>787.36517855298689</v>
      </c>
    </row>
    <row r="9" spans="1:30" s="866" customFormat="1" ht="43.5" customHeight="1">
      <c r="A9" s="60" t="s">
        <v>5</v>
      </c>
      <c r="B9" s="70" t="s">
        <v>679</v>
      </c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  <c r="AD9" s="67"/>
    </row>
    <row r="10" spans="1:30" s="866" customFormat="1" ht="15" customHeight="1">
      <c r="A10" s="60" t="s">
        <v>6</v>
      </c>
      <c r="B10" s="70" t="s">
        <v>596</v>
      </c>
      <c r="C10" s="252">
        <f t="shared" ref="C10:AD10" si="3">C24</f>
        <v>410.57600000000002</v>
      </c>
      <c r="D10" s="252">
        <f t="shared" si="3"/>
        <v>145</v>
      </c>
      <c r="E10" s="252">
        <f t="shared" si="3"/>
        <v>2152.4492892911421</v>
      </c>
      <c r="F10" s="252">
        <f t="shared" si="3"/>
        <v>507.89886172413793</v>
      </c>
      <c r="G10" s="252">
        <f t="shared" si="3"/>
        <v>399.63940000000008</v>
      </c>
      <c r="H10" s="252">
        <f t="shared" si="3"/>
        <v>143.79300000000001</v>
      </c>
      <c r="I10" s="252">
        <f t="shared" si="3"/>
        <v>870.13871446967869</v>
      </c>
      <c r="J10" s="252">
        <f t="shared" si="3"/>
        <v>201.52911579344018</v>
      </c>
      <c r="K10" s="252">
        <f t="shared" ref="K10:N10" si="4">K24</f>
        <v>377.28214835200004</v>
      </c>
      <c r="L10" s="252">
        <f t="shared" si="4"/>
        <v>143.79300000000001</v>
      </c>
      <c r="M10" s="252">
        <f t="shared" si="4"/>
        <v>1056.6210388398906</v>
      </c>
      <c r="N10" s="252">
        <f t="shared" si="4"/>
        <v>231.02901133773085</v>
      </c>
      <c r="O10" s="252">
        <f t="shared" ref="O10:R10" si="5">O24</f>
        <v>400.41050000000007</v>
      </c>
      <c r="P10" s="252">
        <f t="shared" si="5"/>
        <v>143.79300000000001</v>
      </c>
      <c r="Q10" s="252">
        <f t="shared" si="5"/>
        <v>21.341285447060031</v>
      </c>
      <c r="R10" s="252">
        <f t="shared" si="5"/>
        <v>4.9523010951506858</v>
      </c>
      <c r="S10" s="252">
        <f t="shared" si="3"/>
        <v>389</v>
      </c>
      <c r="T10" s="252">
        <f t="shared" si="3"/>
        <v>143.79300000000001</v>
      </c>
      <c r="U10" s="252">
        <f t="shared" si="3"/>
        <v>2320.5321537198406</v>
      </c>
      <c r="V10" s="252">
        <f t="shared" si="3"/>
        <v>523.1403289201711</v>
      </c>
      <c r="W10" s="252">
        <f t="shared" si="3"/>
        <v>237.10000000000002</v>
      </c>
      <c r="X10" s="252">
        <f t="shared" si="3"/>
        <v>143.79300000000001</v>
      </c>
      <c r="Y10" s="252">
        <f t="shared" si="3"/>
        <v>942.14002985660034</v>
      </c>
      <c r="Z10" s="252">
        <f t="shared" si="3"/>
        <v>258.91547928735514</v>
      </c>
      <c r="AA10" s="252">
        <f t="shared" si="3"/>
        <v>151.9</v>
      </c>
      <c r="AB10" s="252">
        <f t="shared" si="3"/>
        <v>143.79300000000001</v>
      </c>
      <c r="AC10" s="252">
        <f t="shared" si="3"/>
        <v>4472.0579770771428</v>
      </c>
      <c r="AD10" s="252">
        <f t="shared" si="3"/>
        <v>787.36517855298689</v>
      </c>
    </row>
    <row r="11" spans="1:30" s="866" customFormat="1" ht="15" customHeight="1">
      <c r="A11" s="60" t="s">
        <v>7</v>
      </c>
      <c r="B11" s="70" t="s">
        <v>657</v>
      </c>
      <c r="C11" s="67"/>
      <c r="D11" s="67"/>
      <c r="E11" s="67"/>
      <c r="F11" s="67"/>
      <c r="G11" s="67"/>
      <c r="H11" s="67"/>
      <c r="I11" s="67"/>
      <c r="J11" s="67"/>
      <c r="K11" s="67"/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  <c r="AD11" s="67"/>
    </row>
    <row r="12" spans="1:30" s="866" customFormat="1" ht="43.5" customHeight="1">
      <c r="A12" s="60" t="s">
        <v>11</v>
      </c>
      <c r="B12" s="70" t="s">
        <v>681</v>
      </c>
      <c r="C12" s="67"/>
      <c r="D12" s="67"/>
      <c r="E12" s="67"/>
      <c r="F12" s="67"/>
      <c r="G12" s="67"/>
      <c r="H12" s="67"/>
      <c r="I12" s="67"/>
      <c r="J12" s="67"/>
      <c r="K12" s="67"/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  <c r="AD12" s="67"/>
    </row>
    <row r="13" spans="1:30" s="866" customFormat="1" ht="58.5" customHeight="1">
      <c r="A13" s="60" t="s">
        <v>12</v>
      </c>
      <c r="B13" s="70" t="s">
        <v>636</v>
      </c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</row>
    <row r="14" spans="1:30" s="866" customFormat="1" ht="15" customHeight="1">
      <c r="A14" s="60"/>
      <c r="B14" s="70" t="s">
        <v>596</v>
      </c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</row>
    <row r="15" spans="1:30" s="866" customFormat="1" ht="15" customHeight="1">
      <c r="A15" s="60"/>
      <c r="B15" s="70" t="s">
        <v>657</v>
      </c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</row>
    <row r="16" spans="1:30" s="866" customFormat="1" ht="58.5" customHeight="1">
      <c r="A16" s="60" t="s">
        <v>18</v>
      </c>
      <c r="B16" s="70" t="s">
        <v>700</v>
      </c>
      <c r="C16" s="67"/>
      <c r="D16" s="67"/>
      <c r="E16" s="67"/>
      <c r="F16" s="67"/>
      <c r="G16" s="67"/>
      <c r="H16" s="67"/>
      <c r="I16" s="67"/>
      <c r="J16" s="67"/>
      <c r="K16" s="67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  <c r="AD16" s="67"/>
    </row>
    <row r="17" spans="1:30" s="866" customFormat="1" ht="15" customHeight="1">
      <c r="A17" s="60"/>
      <c r="B17" s="70" t="s">
        <v>596</v>
      </c>
      <c r="C17" s="67"/>
      <c r="D17" s="67"/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</row>
    <row r="18" spans="1:30" s="866" customFormat="1" ht="15" customHeight="1">
      <c r="A18" s="60"/>
      <c r="B18" s="70" t="s">
        <v>657</v>
      </c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</row>
    <row r="19" spans="1:30" s="866" customFormat="1" ht="15">
      <c r="A19" s="60"/>
      <c r="B19" s="70" t="s">
        <v>26</v>
      </c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</row>
    <row r="20" spans="1:30" s="866" customFormat="1" ht="15" customHeight="1">
      <c r="A20" s="60" t="s">
        <v>434</v>
      </c>
      <c r="B20" s="70" t="s">
        <v>701</v>
      </c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</row>
    <row r="21" spans="1:30" s="866" customFormat="1" ht="15">
      <c r="A21" s="60"/>
      <c r="B21" s="70" t="s">
        <v>26</v>
      </c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</row>
    <row r="22" spans="1:30" s="866" customFormat="1" ht="58.5" customHeight="1">
      <c r="A22" s="60" t="s">
        <v>603</v>
      </c>
      <c r="B22" s="70" t="s">
        <v>702</v>
      </c>
      <c r="C22" s="260">
        <f t="shared" ref="C22:AD22" si="6">C24</f>
        <v>410.57600000000002</v>
      </c>
      <c r="D22" s="260">
        <f t="shared" si="6"/>
        <v>145</v>
      </c>
      <c r="E22" s="260">
        <f t="shared" si="6"/>
        <v>2152.4492892911421</v>
      </c>
      <c r="F22" s="260">
        <f t="shared" si="6"/>
        <v>507.89886172413793</v>
      </c>
      <c r="G22" s="260">
        <f t="shared" si="6"/>
        <v>399.63940000000008</v>
      </c>
      <c r="H22" s="260">
        <f t="shared" si="6"/>
        <v>143.79300000000001</v>
      </c>
      <c r="I22" s="260">
        <f t="shared" si="6"/>
        <v>870.13871446967869</v>
      </c>
      <c r="J22" s="260">
        <f t="shared" si="6"/>
        <v>201.52911579344018</v>
      </c>
      <c r="K22" s="260">
        <f t="shared" ref="K22:N22" si="7">K24</f>
        <v>377.28214835200004</v>
      </c>
      <c r="L22" s="260">
        <f t="shared" si="7"/>
        <v>143.79300000000001</v>
      </c>
      <c r="M22" s="260">
        <f t="shared" si="7"/>
        <v>1056.6210388398906</v>
      </c>
      <c r="N22" s="260">
        <f t="shared" si="7"/>
        <v>231.02901133773085</v>
      </c>
      <c r="O22" s="260">
        <f t="shared" ref="O22:R22" si="8">O24</f>
        <v>400.41050000000007</v>
      </c>
      <c r="P22" s="260">
        <f t="shared" si="8"/>
        <v>143.79300000000001</v>
      </c>
      <c r="Q22" s="260">
        <f t="shared" si="8"/>
        <v>21.341285447060031</v>
      </c>
      <c r="R22" s="260">
        <f t="shared" si="8"/>
        <v>4.9523010951506858</v>
      </c>
      <c r="S22" s="260">
        <f t="shared" si="6"/>
        <v>389</v>
      </c>
      <c r="T22" s="260">
        <f t="shared" si="6"/>
        <v>143.79300000000001</v>
      </c>
      <c r="U22" s="260">
        <f t="shared" si="6"/>
        <v>2320.5321537198406</v>
      </c>
      <c r="V22" s="260">
        <f t="shared" si="6"/>
        <v>523.1403289201711</v>
      </c>
      <c r="W22" s="260">
        <f t="shared" si="6"/>
        <v>237.10000000000002</v>
      </c>
      <c r="X22" s="260">
        <f t="shared" si="6"/>
        <v>143.79300000000001</v>
      </c>
      <c r="Y22" s="260">
        <f t="shared" si="6"/>
        <v>942.14002985660034</v>
      </c>
      <c r="Z22" s="260">
        <f t="shared" si="6"/>
        <v>258.91547928735514</v>
      </c>
      <c r="AA22" s="260">
        <f t="shared" si="6"/>
        <v>151.9</v>
      </c>
      <c r="AB22" s="260">
        <f t="shared" si="6"/>
        <v>143.79300000000001</v>
      </c>
      <c r="AC22" s="260">
        <f t="shared" si="6"/>
        <v>4472.0579770771428</v>
      </c>
      <c r="AD22" s="260">
        <f t="shared" si="6"/>
        <v>787.36517855298689</v>
      </c>
    </row>
    <row r="23" spans="1:30" s="866" customFormat="1" ht="43.5" customHeight="1">
      <c r="A23" s="60" t="s">
        <v>703</v>
      </c>
      <c r="B23" s="70" t="s">
        <v>679</v>
      </c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</row>
    <row r="24" spans="1:30" s="108" customFormat="1" ht="15" customHeight="1">
      <c r="A24" s="256" t="s">
        <v>704</v>
      </c>
      <c r="B24" s="257" t="s">
        <v>596</v>
      </c>
      <c r="C24" s="269">
        <f>'6.2_передача (котельн)'!D10</f>
        <v>410.57600000000002</v>
      </c>
      <c r="D24" s="269">
        <f>'6.2_передача (котельн)'!D12</f>
        <v>145</v>
      </c>
      <c r="E24" s="269">
        <f>'6.2_передача (котельн)'!D15</f>
        <v>2152.4492892911421</v>
      </c>
      <c r="F24" s="269">
        <f>'6.2_передача (котельн)'!D18</f>
        <v>507.89886172413793</v>
      </c>
      <c r="G24" s="269">
        <f>'6.2_передача (котельн)'!E10</f>
        <v>399.63940000000008</v>
      </c>
      <c r="H24" s="269">
        <f>'6.2_передача (котельн)'!E12</f>
        <v>143.79300000000001</v>
      </c>
      <c r="I24" s="269">
        <f>'6.2_передача (котельн)'!E15</f>
        <v>870.13871446967869</v>
      </c>
      <c r="J24" s="269">
        <f>'6.2_передача (котельн)'!E18</f>
        <v>201.52911579344018</v>
      </c>
      <c r="K24" s="269">
        <f>'6.2_передача (котельн)'!F10</f>
        <v>377.28214835200004</v>
      </c>
      <c r="L24" s="269">
        <f>'6.2_передача (котельн)'!F12</f>
        <v>143.79300000000001</v>
      </c>
      <c r="M24" s="269">
        <f>'6.2_передача (котельн)'!F15</f>
        <v>1056.6210388398906</v>
      </c>
      <c r="N24" s="269">
        <f>'6.2_передача (котельн)'!F18</f>
        <v>231.02901133773085</v>
      </c>
      <c r="O24" s="269">
        <f>'6.2_передача (котельн)'!G10</f>
        <v>400.41050000000007</v>
      </c>
      <c r="P24" s="269">
        <f>'6.2_передача (котельн)'!G12</f>
        <v>143.79300000000001</v>
      </c>
      <c r="Q24" s="269">
        <f>'6.2_передача (котельн)'!G15</f>
        <v>21.341285447060031</v>
      </c>
      <c r="R24" s="269">
        <f>'6.2_передача (котельн)'!G18</f>
        <v>4.9523010951506858</v>
      </c>
      <c r="S24" s="269">
        <f>'6.2_передача (котельн)'!H10</f>
        <v>389</v>
      </c>
      <c r="T24" s="269">
        <f>'6.2_передача (котельн)'!H12</f>
        <v>143.79300000000001</v>
      </c>
      <c r="U24" s="269">
        <f>'6.2_передача (котельн)'!H15</f>
        <v>2320.5321537198406</v>
      </c>
      <c r="V24" s="269">
        <f>'6.2_передача (котельн)'!H18</f>
        <v>523.1403289201711</v>
      </c>
      <c r="W24" s="269">
        <f>'6.2_передача (котельн)'!I10</f>
        <v>237.10000000000002</v>
      </c>
      <c r="X24" s="269">
        <f>'6.2_передача (котельн)'!I12</f>
        <v>143.79300000000001</v>
      </c>
      <c r="Y24" s="269">
        <f>'6.2_передача (котельн)'!I15</f>
        <v>942.14002985660034</v>
      </c>
      <c r="Z24" s="269">
        <f>'6.2_передача (котельн)'!I18</f>
        <v>258.91547928735514</v>
      </c>
      <c r="AA24" s="269">
        <f>'6.2_передача (котельн)'!J10</f>
        <v>151.9</v>
      </c>
      <c r="AB24" s="269">
        <f>'6.2_передача (котельн)'!J12</f>
        <v>143.79300000000001</v>
      </c>
      <c r="AC24" s="269">
        <f>'6.2_передача (котельн)'!J15</f>
        <v>4472.0579770771428</v>
      </c>
      <c r="AD24" s="269">
        <f>'6.2_передача (котельн)'!J18</f>
        <v>787.36517855298689</v>
      </c>
    </row>
    <row r="25" spans="1:30" s="866" customFormat="1" ht="16.5" customHeight="1">
      <c r="A25" s="60" t="s">
        <v>705</v>
      </c>
      <c r="B25" s="70" t="s">
        <v>657</v>
      </c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</row>
    <row r="26" spans="1:30" s="866" customFormat="1" ht="43.5" customHeight="1">
      <c r="A26" s="60" t="s">
        <v>706</v>
      </c>
      <c r="B26" s="70" t="s">
        <v>681</v>
      </c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</row>
    <row r="27" spans="1:30" s="866" customFormat="1" ht="58.5" customHeight="1">
      <c r="A27" s="60" t="s">
        <v>707</v>
      </c>
      <c r="B27" s="70" t="s">
        <v>682</v>
      </c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</row>
    <row r="28" spans="1:30" s="866" customFormat="1" ht="15" customHeight="1">
      <c r="A28" s="60"/>
      <c r="B28" s="70" t="s">
        <v>596</v>
      </c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</row>
    <row r="29" spans="1:30" s="866" customFormat="1" ht="15" customHeight="1">
      <c r="A29" s="60"/>
      <c r="B29" s="70" t="s">
        <v>657</v>
      </c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</row>
    <row r="30" spans="1:30" s="866" customFormat="1" ht="62.25" customHeight="1">
      <c r="A30" s="60" t="s">
        <v>708</v>
      </c>
      <c r="B30" s="70" t="s">
        <v>684</v>
      </c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</row>
    <row r="31" spans="1:30" s="866" customFormat="1" ht="15" customHeight="1">
      <c r="A31" s="60"/>
      <c r="B31" s="70" t="s">
        <v>596</v>
      </c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</row>
    <row r="32" spans="1:30" s="866" customFormat="1" ht="15" customHeight="1">
      <c r="A32" s="60"/>
      <c r="B32" s="70" t="s">
        <v>657</v>
      </c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</row>
    <row r="33" spans="1:30" ht="15"/>
    <row r="34" spans="1:30" ht="15">
      <c r="A34" s="26" t="s">
        <v>88</v>
      </c>
    </row>
    <row r="35" spans="1:30" s="866" customFormat="1" ht="33.75" customHeight="1">
      <c r="A35" s="45" t="s">
        <v>89</v>
      </c>
      <c r="B35" s="1842" t="s">
        <v>642</v>
      </c>
      <c r="C35" s="1842"/>
      <c r="D35" s="1842"/>
      <c r="E35" s="1842"/>
      <c r="F35" s="1842"/>
      <c r="G35" s="1842"/>
      <c r="H35" s="1842"/>
      <c r="I35" s="1842"/>
      <c r="J35" s="1842"/>
      <c r="K35" s="1842"/>
      <c r="L35" s="1842"/>
      <c r="M35" s="1842"/>
      <c r="N35" s="1842"/>
      <c r="O35" s="1842"/>
      <c r="P35" s="1842"/>
      <c r="Q35" s="1842"/>
      <c r="R35" s="1842"/>
      <c r="S35" s="1842"/>
      <c r="T35" s="1842"/>
      <c r="U35" s="1842"/>
      <c r="V35" s="1842"/>
      <c r="W35" s="1842"/>
      <c r="X35" s="1842"/>
      <c r="Y35" s="1842"/>
      <c r="Z35" s="1842"/>
      <c r="AA35" s="1842"/>
      <c r="AB35" s="1842"/>
      <c r="AC35" s="1842"/>
      <c r="AD35" s="1842"/>
    </row>
    <row r="36" spans="1:30" s="866" customFormat="1" ht="36" customHeight="1">
      <c r="A36" s="45" t="s">
        <v>91</v>
      </c>
      <c r="B36" s="1842" t="s">
        <v>709</v>
      </c>
      <c r="C36" s="1842"/>
      <c r="D36" s="1842"/>
      <c r="E36" s="1842"/>
      <c r="F36" s="1842"/>
      <c r="G36" s="1842"/>
      <c r="H36" s="1842"/>
      <c r="I36" s="1842"/>
      <c r="J36" s="1842"/>
      <c r="K36" s="1842"/>
      <c r="L36" s="1842"/>
      <c r="M36" s="1842"/>
      <c r="N36" s="1842"/>
      <c r="O36" s="1842"/>
      <c r="P36" s="1842"/>
      <c r="Q36" s="1842"/>
      <c r="R36" s="1842"/>
      <c r="S36" s="1842"/>
      <c r="T36" s="1842"/>
      <c r="U36" s="1842"/>
      <c r="V36" s="1842"/>
      <c r="W36" s="1842"/>
      <c r="X36" s="1842"/>
      <c r="Y36" s="1842"/>
      <c r="Z36" s="1842"/>
      <c r="AA36" s="1842"/>
      <c r="AB36" s="1842"/>
      <c r="AC36" s="1842"/>
      <c r="AD36" s="1842"/>
    </row>
    <row r="37" spans="1:30" s="866" customFormat="1" ht="29.25" customHeight="1">
      <c r="A37" s="45" t="s">
        <v>93</v>
      </c>
      <c r="B37" s="1842" t="s">
        <v>710</v>
      </c>
      <c r="C37" s="1842"/>
      <c r="D37" s="1842"/>
      <c r="E37" s="1842"/>
      <c r="F37" s="1842"/>
      <c r="G37" s="1842"/>
      <c r="H37" s="1842"/>
      <c r="I37" s="1842"/>
      <c r="J37" s="1842"/>
      <c r="K37" s="1842"/>
      <c r="L37" s="1842"/>
      <c r="M37" s="1842"/>
      <c r="N37" s="1842"/>
      <c r="O37" s="1842"/>
      <c r="P37" s="1842"/>
      <c r="Q37" s="1842"/>
      <c r="R37" s="1842"/>
      <c r="S37" s="1842"/>
      <c r="T37" s="1842"/>
      <c r="U37" s="1842"/>
      <c r="V37" s="1842"/>
      <c r="W37" s="1842"/>
      <c r="X37" s="1842"/>
      <c r="Y37" s="1842"/>
      <c r="Z37" s="1842"/>
      <c r="AA37" s="1842"/>
      <c r="AB37" s="1842"/>
      <c r="AC37" s="1842"/>
      <c r="AD37" s="1842"/>
    </row>
    <row r="38" spans="1:30" ht="15">
      <c r="A38" s="98" t="s">
        <v>95</v>
      </c>
      <c r="B38" s="26" t="s">
        <v>711</v>
      </c>
    </row>
    <row r="39" spans="1:30" ht="15">
      <c r="A39" s="98" t="s">
        <v>97</v>
      </c>
      <c r="B39" s="26" t="s">
        <v>678</v>
      </c>
    </row>
    <row r="40" spans="1:30" ht="15">
      <c r="B40" s="26" t="s">
        <v>712</v>
      </c>
    </row>
    <row r="41" spans="1:30" ht="15">
      <c r="B41" s="26" t="s">
        <v>713</v>
      </c>
    </row>
    <row r="42" spans="1:30" ht="15">
      <c r="B42" s="26" t="s">
        <v>714</v>
      </c>
    </row>
    <row r="43" spans="1:30" ht="15">
      <c r="B43" s="26" t="s">
        <v>715</v>
      </c>
    </row>
  </sheetData>
  <mergeCells count="13">
    <mergeCell ref="B35:AD35"/>
    <mergeCell ref="B36:AD36"/>
    <mergeCell ref="B37:AD37"/>
    <mergeCell ref="A3:AD3"/>
    <mergeCell ref="A5:A6"/>
    <mergeCell ref="B5:B6"/>
    <mergeCell ref="C5:F5"/>
    <mergeCell ref="G5:J5"/>
    <mergeCell ref="S5:V5"/>
    <mergeCell ref="W5:Z5"/>
    <mergeCell ref="AA5:AD5"/>
    <mergeCell ref="K5:N5"/>
    <mergeCell ref="O5:R5"/>
  </mergeCells>
  <pageMargins left="0.59055118110236227" right="0.23622047244094491" top="0.78740157480314965" bottom="0.39370078740157483" header="0.19685039370078741" footer="0.19685039370078741"/>
  <pageSetup paperSize="9" scale="48" orientation="landscape" r:id="rId1"/>
  <headerFooter alignWithMargins="0"/>
  <rowBreaks count="1" manualBreakCount="1">
    <brk id="32" max="17" man="1"/>
  </rowBreaks>
</worksheet>
</file>

<file path=xl/worksheets/sheet1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156"/>
  <sheetViews>
    <sheetView view="pageBreakPreview" topLeftCell="A79" zoomScaleNormal="100" zoomScaleSheetLayoutView="100" workbookViewId="0">
      <selection activeCell="F4" sqref="F4"/>
    </sheetView>
  </sheetViews>
  <sheetFormatPr defaultRowHeight="12.75"/>
  <cols>
    <col min="1" max="1" width="5.85546875" customWidth="1"/>
    <col min="2" max="2" width="51.85546875" customWidth="1"/>
    <col min="3" max="3" width="11.140625" customWidth="1"/>
    <col min="4" max="4" width="11.28515625" customWidth="1"/>
    <col min="5" max="5" width="11.85546875" customWidth="1"/>
    <col min="6" max="6" width="11.7109375" customWidth="1"/>
    <col min="7" max="7" width="11.140625" customWidth="1"/>
    <col min="8" max="8" width="10.7109375" customWidth="1"/>
    <col min="9" max="9" width="11.85546875" customWidth="1"/>
    <col min="10" max="10" width="11.7109375" customWidth="1"/>
    <col min="11" max="11" width="10.28515625" customWidth="1"/>
  </cols>
  <sheetData>
    <row r="1" spans="1:13">
      <c r="A1" s="1097">
        <v>1</v>
      </c>
      <c r="C1" s="1097"/>
      <c r="D1" s="1097"/>
      <c r="E1" s="1097"/>
      <c r="F1" s="1097"/>
      <c r="G1" s="1097"/>
      <c r="H1" s="1097"/>
      <c r="I1" s="1097"/>
      <c r="J1" s="1097"/>
      <c r="K1" s="1097"/>
    </row>
    <row r="2" spans="1:13">
      <c r="A2" s="1097">
        <v>1</v>
      </c>
      <c r="B2" s="1097"/>
      <c r="C2" s="1097"/>
      <c r="D2" s="1097"/>
      <c r="E2" s="1097"/>
      <c r="F2" s="1097"/>
      <c r="G2" s="1097"/>
      <c r="H2" s="1097"/>
      <c r="I2" s="1097"/>
      <c r="J2" s="1097"/>
      <c r="K2" s="1097"/>
    </row>
    <row r="6" spans="1:13" s="1099" customFormat="1" ht="27.75" customHeight="1">
      <c r="A6" s="1098" t="s">
        <v>89</v>
      </c>
      <c r="B6" s="1098" t="s">
        <v>1585</v>
      </c>
      <c r="C6" s="2050" t="s">
        <v>1569</v>
      </c>
      <c r="D6" s="2050"/>
      <c r="E6" s="2050"/>
      <c r="F6" s="2050"/>
      <c r="G6" s="2050" t="s">
        <v>1227</v>
      </c>
      <c r="H6" s="2050"/>
      <c r="I6" s="2050"/>
      <c r="J6" s="2050"/>
    </row>
    <row r="7" spans="1:13" s="1099" customFormat="1" ht="21.75" customHeight="1">
      <c r="A7" s="1100"/>
      <c r="B7" s="1100"/>
      <c r="C7" s="1101">
        <v>2016</v>
      </c>
      <c r="D7" s="1101">
        <v>2016</v>
      </c>
      <c r="E7" s="1100" t="s">
        <v>767</v>
      </c>
      <c r="F7" s="1100" t="s">
        <v>766</v>
      </c>
      <c r="G7" s="1101">
        <v>2016</v>
      </c>
      <c r="H7" s="1101">
        <v>2016</v>
      </c>
      <c r="I7" s="1100" t="s">
        <v>767</v>
      </c>
      <c r="J7" s="1100" t="s">
        <v>766</v>
      </c>
    </row>
    <row r="8" spans="1:13" ht="13.5" customHeight="1">
      <c r="A8" s="1102"/>
      <c r="B8" s="1102" t="s">
        <v>1570</v>
      </c>
      <c r="C8" s="1103">
        <v>181573</v>
      </c>
      <c r="D8" s="1102"/>
      <c r="E8" s="1102"/>
      <c r="F8" s="1102"/>
      <c r="G8" s="1103">
        <v>290000</v>
      </c>
      <c r="H8" s="1102"/>
      <c r="I8" s="1102"/>
      <c r="J8" s="1102"/>
    </row>
    <row r="9" spans="1:13">
      <c r="A9" s="1102"/>
      <c r="B9" s="1102" t="s">
        <v>1583</v>
      </c>
      <c r="C9" s="1104">
        <v>8.6</v>
      </c>
      <c r="D9" s="1102"/>
      <c r="E9" s="1102"/>
      <c r="F9" s="1102"/>
      <c r="G9" s="1104">
        <v>5.5</v>
      </c>
      <c r="H9" s="1102"/>
      <c r="I9" s="1102"/>
      <c r="J9" s="1102"/>
    </row>
    <row r="10" spans="1:13">
      <c r="A10" s="1102"/>
      <c r="B10" s="1102" t="s">
        <v>1571</v>
      </c>
      <c r="C10" s="1103">
        <v>2302709</v>
      </c>
      <c r="D10" s="1102"/>
      <c r="E10" s="1102"/>
      <c r="F10" s="1102"/>
      <c r="G10" s="1103">
        <v>6148870</v>
      </c>
      <c r="H10" s="1102"/>
      <c r="I10" s="1102"/>
      <c r="J10" s="1102"/>
    </row>
    <row r="11" spans="1:13">
      <c r="A11" s="1102"/>
      <c r="B11" s="1102" t="s">
        <v>1572</v>
      </c>
      <c r="C11" s="1104">
        <v>0.8</v>
      </c>
      <c r="D11" s="1102"/>
      <c r="E11" s="1102"/>
      <c r="F11" s="1102"/>
      <c r="G11" s="1104">
        <v>1.2</v>
      </c>
      <c r="H11" s="1102"/>
      <c r="I11" s="1102"/>
      <c r="J11" s="1102"/>
    </row>
    <row r="12" spans="1:13">
      <c r="A12" s="1102"/>
      <c r="B12" s="1102" t="s">
        <v>1573</v>
      </c>
      <c r="C12" s="1104">
        <v>3.73</v>
      </c>
      <c r="D12" s="1102"/>
      <c r="E12" s="1102"/>
      <c r="F12" s="1102"/>
      <c r="G12" s="1104">
        <v>1.99</v>
      </c>
      <c r="H12" s="1102"/>
      <c r="I12" s="1102"/>
      <c r="J12" s="1102"/>
    </row>
    <row r="13" spans="1:13">
      <c r="A13" s="1102"/>
      <c r="B13" s="1102" t="s">
        <v>1574</v>
      </c>
      <c r="C13" s="1103">
        <v>4209840</v>
      </c>
      <c r="D13" s="1102"/>
      <c r="E13" s="1102"/>
      <c r="F13" s="1102"/>
      <c r="G13" s="1103">
        <v>4331740</v>
      </c>
      <c r="H13" s="1102"/>
      <c r="I13" s="1102"/>
      <c r="J13" s="1102"/>
    </row>
    <row r="14" spans="1:13">
      <c r="A14" s="1102"/>
      <c r="B14" s="1102"/>
      <c r="C14" s="1102"/>
      <c r="D14" s="1102"/>
      <c r="E14" s="1102"/>
      <c r="F14" s="1102"/>
      <c r="G14" s="1102"/>
      <c r="H14" s="1102"/>
      <c r="I14" s="1102"/>
      <c r="J14" s="1102"/>
      <c r="M14">
        <f>M15*104369</f>
        <v>63198.124268391839</v>
      </c>
    </row>
    <row r="15" spans="1:13">
      <c r="A15" s="1102" t="s">
        <v>91</v>
      </c>
      <c r="B15" s="1102" t="s">
        <v>1586</v>
      </c>
      <c r="C15" s="1102"/>
      <c r="D15" s="1102"/>
      <c r="E15" s="1102"/>
      <c r="F15" s="1102"/>
      <c r="G15" s="1102"/>
      <c r="H15" s="1102"/>
      <c r="I15" s="1102"/>
      <c r="J15" s="1102"/>
      <c r="M15">
        <f>67765/111911</f>
        <v>0.60552581962452301</v>
      </c>
    </row>
    <row r="16" spans="1:13">
      <c r="A16" s="1102"/>
      <c r="B16" s="1102"/>
      <c r="C16" s="1102"/>
      <c r="D16" s="1102"/>
      <c r="E16" s="1102"/>
      <c r="F16" s="1102"/>
      <c r="G16" s="1102"/>
      <c r="H16" s="1102"/>
      <c r="I16" s="1102"/>
      <c r="J16" s="1102"/>
    </row>
    <row r="17" spans="1:13">
      <c r="A17" s="1102"/>
      <c r="B17" s="1102" t="s">
        <v>1575</v>
      </c>
      <c r="C17" s="1106"/>
      <c r="D17" s="1106">
        <v>111911</v>
      </c>
      <c r="E17" s="1106">
        <v>67765</v>
      </c>
      <c r="F17" s="1106">
        <f>D17-E17</f>
        <v>44146</v>
      </c>
      <c r="G17" s="1102"/>
      <c r="H17" s="1106">
        <v>127301</v>
      </c>
      <c r="I17" s="1106">
        <v>77084</v>
      </c>
      <c r="J17" s="1106">
        <f>H17-I17</f>
        <v>50217</v>
      </c>
      <c r="M17" s="1460">
        <v>111911</v>
      </c>
    </row>
    <row r="18" spans="1:13">
      <c r="A18" s="1102"/>
      <c r="B18" s="1102" t="s">
        <v>1584</v>
      </c>
      <c r="C18" s="1102"/>
      <c r="D18" s="1106">
        <f>E18+F18</f>
        <v>9624.3459999999995</v>
      </c>
      <c r="E18" s="1106">
        <f>E17*$C$9/100</f>
        <v>5827.79</v>
      </c>
      <c r="F18" s="1106">
        <f>F17*$C$9/100</f>
        <v>3796.5559999999996</v>
      </c>
      <c r="G18" s="1102"/>
      <c r="H18" s="1106">
        <f>I18+J18</f>
        <v>7001.5550000000003</v>
      </c>
      <c r="I18" s="1106">
        <f>I17*$G$9/100</f>
        <v>4239.62</v>
      </c>
      <c r="J18" s="1106">
        <f>J17*$G$9/100</f>
        <v>2761.9349999999999</v>
      </c>
    </row>
    <row r="19" spans="1:13">
      <c r="A19" s="1102"/>
      <c r="B19" s="1107" t="s">
        <v>1576</v>
      </c>
      <c r="C19" s="1102"/>
      <c r="D19" s="1108">
        <f>E19+F19</f>
        <v>455998.39131515153</v>
      </c>
      <c r="E19" s="1108">
        <f>E21+E24</f>
        <v>276118.79964857112</v>
      </c>
      <c r="F19" s="1108">
        <f>F21+F24</f>
        <v>179879.59166658041</v>
      </c>
      <c r="G19" s="1102"/>
      <c r="H19" s="1108">
        <f>I19+J19</f>
        <v>452448.75866499997</v>
      </c>
      <c r="I19" s="1108">
        <f>I21+I24</f>
        <v>273969.25485999999</v>
      </c>
      <c r="J19" s="1108">
        <f>J21+J24</f>
        <v>178479.50380499999</v>
      </c>
      <c r="K19" s="1109">
        <f>D19+H19</f>
        <v>908447.14998015156</v>
      </c>
      <c r="M19">
        <v>127301</v>
      </c>
    </row>
    <row r="20" spans="1:13">
      <c r="A20" s="1102"/>
      <c r="B20" s="1110" t="s">
        <v>1573</v>
      </c>
      <c r="C20" s="1102"/>
      <c r="D20" s="1111">
        <f>C12*$A$2</f>
        <v>3.73</v>
      </c>
      <c r="E20" s="1111">
        <f>D20</f>
        <v>3.73</v>
      </c>
      <c r="F20" s="1111">
        <f>D20</f>
        <v>3.73</v>
      </c>
      <c r="G20" s="1102"/>
      <c r="H20" s="1111">
        <f>G12*$A$2</f>
        <v>1.99</v>
      </c>
      <c r="I20" s="1111">
        <f>H20</f>
        <v>1.99</v>
      </c>
      <c r="J20" s="1111">
        <f>H20</f>
        <v>1.99</v>
      </c>
      <c r="M20">
        <f>77084/M19</f>
        <v>0.60552548683828089</v>
      </c>
    </row>
    <row r="21" spans="1:13" s="1457" customFormat="1" ht="29.25" customHeight="1">
      <c r="A21" s="1112"/>
      <c r="B21" s="1113" t="s">
        <v>1577</v>
      </c>
      <c r="C21" s="1112"/>
      <c r="D21" s="1114">
        <f>E21+F21</f>
        <v>333942.424</v>
      </c>
      <c r="E21" s="1114">
        <f>E22*E20</f>
        <v>202210.76</v>
      </c>
      <c r="F21" s="1114">
        <f>F22*F20</f>
        <v>131731.66400000002</v>
      </c>
      <c r="G21" s="1112"/>
      <c r="H21" s="1114">
        <f>I21+J21</f>
        <v>303994.788</v>
      </c>
      <c r="I21" s="1114">
        <f>I22*I20</f>
        <v>184076.592</v>
      </c>
      <c r="J21" s="1114">
        <f>J22*J20</f>
        <v>119918.19599999998</v>
      </c>
      <c r="M21" s="1457">
        <f>M20*H17</f>
        <v>77084</v>
      </c>
    </row>
    <row r="22" spans="1:13">
      <c r="A22" s="1102"/>
      <c r="B22" s="1110" t="s">
        <v>1578</v>
      </c>
      <c r="C22" s="1102"/>
      <c r="D22" s="1115">
        <f>E22+F22</f>
        <v>89528.8</v>
      </c>
      <c r="E22" s="1115">
        <f>E17*$C$11</f>
        <v>54212</v>
      </c>
      <c r="F22" s="1115">
        <f>F17*$C$11</f>
        <v>35316.800000000003</v>
      </c>
      <c r="G22" s="1102"/>
      <c r="H22" s="1115">
        <f>I22+J22</f>
        <v>152761.20000000001</v>
      </c>
      <c r="I22" s="1115">
        <f>I17*$G$11</f>
        <v>92500.800000000003</v>
      </c>
      <c r="J22" s="1115">
        <f>J17*$G$11</f>
        <v>60260.399999999994</v>
      </c>
    </row>
    <row r="23" spans="1:13">
      <c r="A23" s="1102"/>
      <c r="B23" s="1102"/>
      <c r="C23" s="1102"/>
      <c r="D23" s="1116"/>
      <c r="E23" s="1106"/>
      <c r="F23" s="1106"/>
      <c r="G23" s="1102"/>
      <c r="H23" s="1116"/>
      <c r="I23" s="1106"/>
      <c r="J23" s="1106"/>
    </row>
    <row r="24" spans="1:13">
      <c r="A24" s="1102"/>
      <c r="B24" s="1098" t="s">
        <v>1571</v>
      </c>
      <c r="C24" s="1102"/>
      <c r="D24" s="1114">
        <f>E24+F24</f>
        <v>122055.9673151515</v>
      </c>
      <c r="E24" s="1114">
        <f t="shared" ref="E24" si="0">E20*E26</f>
        <v>73908.03964857111</v>
      </c>
      <c r="F24" s="1114">
        <f>F20*F26</f>
        <v>48147.927666580385</v>
      </c>
      <c r="G24" s="1102"/>
      <c r="H24" s="1114">
        <f>I24+J24</f>
        <v>148453.970665</v>
      </c>
      <c r="I24" s="1114">
        <f t="shared" ref="I24" si="1">I20*I26</f>
        <v>89892.662859999997</v>
      </c>
      <c r="J24" s="1114">
        <f>J20*J26</f>
        <v>58561.307804999997</v>
      </c>
    </row>
    <row r="25" spans="1:13">
      <c r="A25" s="1102"/>
      <c r="B25" s="1110" t="s">
        <v>1579</v>
      </c>
      <c r="C25" s="1117">
        <f>C10/C8/C12</f>
        <v>3.4000003159756913</v>
      </c>
      <c r="D25" s="1111">
        <f>C25</f>
        <v>3.4000003159756913</v>
      </c>
      <c r="E25" s="1111">
        <f>D25</f>
        <v>3.4000003159756913</v>
      </c>
      <c r="F25" s="1111">
        <f>D25</f>
        <v>3.4000003159756913</v>
      </c>
      <c r="G25" s="1117">
        <f>G10/G8/G12</f>
        <v>10.654773869346734</v>
      </c>
      <c r="H25" s="1111">
        <f>G25*A2</f>
        <v>10.654773869346734</v>
      </c>
      <c r="I25" s="1111">
        <f>H25</f>
        <v>10.654773869346734</v>
      </c>
      <c r="J25" s="1111">
        <f>H25</f>
        <v>10.654773869346734</v>
      </c>
    </row>
    <row r="26" spans="1:13">
      <c r="A26" s="1102"/>
      <c r="B26" s="1110" t="s">
        <v>1580</v>
      </c>
      <c r="C26" s="1118"/>
      <c r="D26" s="1115">
        <f>E26+F26</f>
        <v>32722.779441059381</v>
      </c>
      <c r="E26" s="1115">
        <f>E25*E18</f>
        <v>19814.487841439975</v>
      </c>
      <c r="F26" s="1115">
        <f t="shared" ref="F26" si="2">F25*F18</f>
        <v>12908.291599619406</v>
      </c>
      <c r="G26" s="1118"/>
      <c r="H26" s="1115">
        <f>I26+J26</f>
        <v>74599.985258793968</v>
      </c>
      <c r="I26" s="1115">
        <f t="shared" ref="I26" si="3">I25*I18</f>
        <v>45172.192391959798</v>
      </c>
      <c r="J26" s="1115">
        <f>J25*J18</f>
        <v>29427.79286683417</v>
      </c>
    </row>
    <row r="27" spans="1:13" ht="38.25">
      <c r="A27" s="1102"/>
      <c r="B27" s="1107" t="s">
        <v>1581</v>
      </c>
      <c r="C27" s="1102"/>
      <c r="D27" s="1108">
        <f>E27+F27</f>
        <v>223144.172121626</v>
      </c>
      <c r="E27" s="1108">
        <f>E28*E18</f>
        <v>135119.55771838324</v>
      </c>
      <c r="F27" s="1108">
        <f>F28*F18</f>
        <v>88024.614403242769</v>
      </c>
      <c r="G27" s="1102"/>
      <c r="H27" s="1108">
        <f>I27+J27</f>
        <v>104582.46846793103</v>
      </c>
      <c r="I27" s="1108">
        <f>I28*I18</f>
        <v>63327.350133793101</v>
      </c>
      <c r="J27" s="1108">
        <f>J28*J18</f>
        <v>41255.118334137929</v>
      </c>
      <c r="K27" s="1109">
        <f>D27+H27</f>
        <v>327726.64058955701</v>
      </c>
    </row>
    <row r="28" spans="1:13">
      <c r="A28" s="1102"/>
      <c r="B28" s="1110" t="s">
        <v>1582</v>
      </c>
      <c r="C28" s="1117">
        <f>C13/C8</f>
        <v>23.185385492336415</v>
      </c>
      <c r="D28" s="1117">
        <f>C28*$A$1</f>
        <v>23.185385492336415</v>
      </c>
      <c r="E28" s="1117">
        <f>D28</f>
        <v>23.185385492336415</v>
      </c>
      <c r="F28" s="1117">
        <f>D28</f>
        <v>23.185385492336415</v>
      </c>
      <c r="G28" s="1117">
        <f>G13/G8</f>
        <v>14.937034482758621</v>
      </c>
      <c r="H28" s="1117">
        <f>G28*$A$1</f>
        <v>14.937034482758621</v>
      </c>
      <c r="I28" s="1117">
        <f>H28</f>
        <v>14.937034482758621</v>
      </c>
      <c r="J28" s="1117">
        <f>H28</f>
        <v>14.937034482758621</v>
      </c>
    </row>
    <row r="29" spans="1:13">
      <c r="A29" s="1119"/>
      <c r="B29" s="1119"/>
      <c r="C29" s="1119"/>
      <c r="D29" s="1119"/>
      <c r="E29" s="1119"/>
      <c r="F29" s="1119"/>
      <c r="G29" s="1119"/>
      <c r="H29" s="1119"/>
      <c r="I29" s="1119"/>
      <c r="J29" s="1119"/>
    </row>
    <row r="30" spans="1:13" ht="27" customHeight="1">
      <c r="A30" s="2051" t="s">
        <v>1602</v>
      </c>
      <c r="B30" s="2052"/>
      <c r="C30" s="2052"/>
      <c r="D30" s="2052"/>
      <c r="E30" s="2052"/>
      <c r="F30" s="2052"/>
      <c r="G30" s="1119"/>
      <c r="H30" s="1119"/>
      <c r="I30" s="1119"/>
      <c r="J30" s="1119"/>
    </row>
    <row r="32" spans="1:13">
      <c r="A32" s="1098" t="s">
        <v>89</v>
      </c>
      <c r="B32" s="1098" t="s">
        <v>1585</v>
      </c>
      <c r="C32" s="2050" t="s">
        <v>1569</v>
      </c>
      <c r="D32" s="2050"/>
      <c r="E32" s="2050"/>
      <c r="F32" s="2050"/>
      <c r="G32" s="2050" t="s">
        <v>1227</v>
      </c>
      <c r="H32" s="2050"/>
      <c r="I32" s="2050"/>
      <c r="J32" s="2050"/>
    </row>
    <row r="33" spans="1:10" ht="15">
      <c r="A33" s="1100"/>
      <c r="B33" s="1100"/>
      <c r="C33" s="1101">
        <v>2016</v>
      </c>
      <c r="D33" s="1101">
        <v>2016</v>
      </c>
      <c r="E33" s="1100" t="s">
        <v>767</v>
      </c>
      <c r="F33" s="1100" t="s">
        <v>766</v>
      </c>
      <c r="G33" s="1101">
        <v>2016</v>
      </c>
      <c r="H33" s="1101">
        <v>2016</v>
      </c>
      <c r="I33" s="1100" t="s">
        <v>767</v>
      </c>
      <c r="J33" s="1100" t="s">
        <v>766</v>
      </c>
    </row>
    <row r="34" spans="1:10">
      <c r="A34" s="1102"/>
      <c r="B34" s="1102" t="s">
        <v>1570</v>
      </c>
      <c r="C34" s="1103">
        <v>181573</v>
      </c>
      <c r="D34" s="1102"/>
      <c r="E34" s="1103">
        <f>E37/D37*C34</f>
        <v>109947.13964668351</v>
      </c>
      <c r="F34" s="1103">
        <f>C34-E34</f>
        <v>71625.860353316486</v>
      </c>
      <c r="G34" s="1103">
        <v>290000</v>
      </c>
      <c r="H34" s="1102"/>
      <c r="I34" s="1103">
        <f>I37/H37*G34</f>
        <v>175602.39118310146</v>
      </c>
      <c r="J34" s="1103">
        <f>G34-I34</f>
        <v>114397.60881689854</v>
      </c>
    </row>
    <row r="35" spans="1:10">
      <c r="A35" s="1102"/>
      <c r="B35" s="1102" t="s">
        <v>1583</v>
      </c>
      <c r="C35" s="1104">
        <v>8.6</v>
      </c>
      <c r="D35" s="1102"/>
      <c r="E35" s="1102"/>
      <c r="F35" s="1102"/>
      <c r="G35" s="1104">
        <v>5.5</v>
      </c>
      <c r="H35" s="1102"/>
      <c r="I35" s="1102"/>
      <c r="J35" s="1102"/>
    </row>
    <row r="36" spans="1:10">
      <c r="A36" s="1102"/>
      <c r="B36" s="1102"/>
      <c r="C36" s="1102"/>
      <c r="D36" s="1102"/>
      <c r="E36" s="1102"/>
      <c r="F36" s="1102"/>
      <c r="G36" s="1102"/>
      <c r="H36" s="1102"/>
      <c r="I36" s="1102"/>
      <c r="J36" s="1102"/>
    </row>
    <row r="37" spans="1:10">
      <c r="A37" s="1102"/>
      <c r="B37" s="1102" t="s">
        <v>1575</v>
      </c>
      <c r="C37" s="1106"/>
      <c r="D37" s="1106">
        <v>111911</v>
      </c>
      <c r="E37" s="1106">
        <v>67765</v>
      </c>
      <c r="F37" s="1106">
        <f>D37-E37</f>
        <v>44146</v>
      </c>
      <c r="G37" s="1102"/>
      <c r="H37" s="1106">
        <v>127301</v>
      </c>
      <c r="I37" s="1106">
        <v>77084</v>
      </c>
      <c r="J37" s="1106">
        <f>H37-I37</f>
        <v>50217</v>
      </c>
    </row>
    <row r="38" spans="1:10">
      <c r="A38" s="1102"/>
      <c r="B38" s="1102"/>
      <c r="C38" s="1102"/>
      <c r="D38" s="1116"/>
      <c r="E38" s="1106"/>
      <c r="F38" s="1106"/>
      <c r="G38" s="1102"/>
      <c r="H38" s="1116"/>
      <c r="I38" s="1106"/>
      <c r="J38" s="1106"/>
    </row>
    <row r="40" spans="1:10">
      <c r="A40" s="1098" t="s">
        <v>1599</v>
      </c>
      <c r="B40" s="1102" t="s">
        <v>1603</v>
      </c>
    </row>
    <row r="41" spans="1:10" ht="25.5">
      <c r="A41" s="1120" t="s">
        <v>132</v>
      </c>
      <c r="B41" s="1120" t="s">
        <v>1589</v>
      </c>
      <c r="C41" s="1120" t="s">
        <v>1569</v>
      </c>
      <c r="D41" s="1101">
        <v>2016</v>
      </c>
      <c r="E41" s="1100" t="s">
        <v>767</v>
      </c>
      <c r="F41" s="1100" t="s">
        <v>766</v>
      </c>
      <c r="G41" s="1120" t="s">
        <v>1227</v>
      </c>
      <c r="H41" s="1101">
        <v>2016</v>
      </c>
      <c r="I41" s="1100" t="s">
        <v>767</v>
      </c>
      <c r="J41" s="1100" t="s">
        <v>766</v>
      </c>
    </row>
    <row r="42" spans="1:10">
      <c r="A42" s="1121" t="s">
        <v>89</v>
      </c>
      <c r="B42" s="1122" t="s">
        <v>1590</v>
      </c>
      <c r="C42" s="1122"/>
      <c r="D42" s="1124">
        <v>7005086</v>
      </c>
      <c r="E42" s="1124">
        <f>E17/D17*D42</f>
        <v>4241760.4416902717</v>
      </c>
      <c r="F42" s="1124">
        <f>D42-E42</f>
        <v>2763325.5583097283</v>
      </c>
      <c r="G42" s="1102"/>
      <c r="H42" s="1124">
        <v>0</v>
      </c>
      <c r="I42" s="1124">
        <v>0</v>
      </c>
      <c r="J42" s="1124">
        <v>0</v>
      </c>
    </row>
    <row r="43" spans="1:10">
      <c r="A43" s="1121" t="s">
        <v>91</v>
      </c>
      <c r="B43" s="1122" t="s">
        <v>1591</v>
      </c>
      <c r="C43" s="1122"/>
      <c r="D43" s="1124">
        <v>5704394</v>
      </c>
      <c r="E43" s="1124">
        <f>D43/2</f>
        <v>2852197</v>
      </c>
      <c r="F43" s="1124">
        <f>D43-E43</f>
        <v>2852197</v>
      </c>
      <c r="G43" s="1102"/>
      <c r="H43" s="1124">
        <v>8358047</v>
      </c>
      <c r="I43" s="1124">
        <f>H43/2</f>
        <v>4179023.5</v>
      </c>
      <c r="J43" s="1124">
        <f>H43-I43</f>
        <v>4179023.5</v>
      </c>
    </row>
    <row r="44" spans="1:10">
      <c r="A44" s="1121" t="s">
        <v>93</v>
      </c>
      <c r="B44" s="1122" t="s">
        <v>1592</v>
      </c>
      <c r="C44" s="1122"/>
      <c r="D44" s="1124">
        <v>1722727</v>
      </c>
      <c r="E44" s="1124">
        <f>D44/2</f>
        <v>861363.5</v>
      </c>
      <c r="F44" s="1124">
        <f>D44-E44</f>
        <v>861363.5</v>
      </c>
      <c r="G44" s="1102"/>
      <c r="H44" s="1124">
        <v>2524130</v>
      </c>
      <c r="I44" s="1124">
        <f>H44/2</f>
        <v>1262065</v>
      </c>
      <c r="J44" s="1124">
        <f>H44-I44</f>
        <v>1262065</v>
      </c>
    </row>
    <row r="45" spans="1:10">
      <c r="A45" s="1121" t="s">
        <v>95</v>
      </c>
      <c r="B45" s="1122" t="s">
        <v>1594</v>
      </c>
      <c r="C45" s="1122"/>
      <c r="D45" s="1124">
        <v>675445</v>
      </c>
      <c r="E45" s="1124">
        <f>D45/2</f>
        <v>337722.5</v>
      </c>
      <c r="F45" s="1124">
        <f>D45-E45</f>
        <v>337722.5</v>
      </c>
      <c r="G45" s="1102"/>
      <c r="H45" s="1124">
        <v>93701</v>
      </c>
      <c r="I45" s="1124">
        <f>H45/2</f>
        <v>46850.5</v>
      </c>
      <c r="J45" s="1124">
        <f>H45-I45</f>
        <v>46850.5</v>
      </c>
    </row>
    <row r="46" spans="1:10">
      <c r="A46" s="1105"/>
      <c r="B46" s="1122"/>
      <c r="C46" s="1122"/>
      <c r="D46" s="1124"/>
      <c r="E46" s="1124"/>
      <c r="F46" s="1124"/>
      <c r="G46" s="1102"/>
      <c r="H46" s="1102"/>
      <c r="I46" s="1102"/>
      <c r="J46" s="1102"/>
    </row>
    <row r="47" spans="1:10">
      <c r="A47" s="1105"/>
      <c r="B47" s="1122" t="s">
        <v>1596</v>
      </c>
      <c r="C47" s="1122"/>
      <c r="D47" s="1124">
        <f>SUM(D42:D45)</f>
        <v>15107652</v>
      </c>
      <c r="E47" s="1124">
        <f t="shared" ref="E47:J47" si="4">SUM(E42:E45)</f>
        <v>8293043.4416902717</v>
      </c>
      <c r="F47" s="1124">
        <f t="shared" si="4"/>
        <v>6814608.5583097283</v>
      </c>
      <c r="G47" s="1102"/>
      <c r="H47" s="1124">
        <f t="shared" si="4"/>
        <v>10975878</v>
      </c>
      <c r="I47" s="1124">
        <f t="shared" si="4"/>
        <v>5487939</v>
      </c>
      <c r="J47" s="1124">
        <f t="shared" si="4"/>
        <v>5487939</v>
      </c>
    </row>
    <row r="48" spans="1:10">
      <c r="A48" s="1105"/>
      <c r="B48" s="1112"/>
      <c r="C48" s="1112"/>
      <c r="D48" s="1124"/>
      <c r="E48" s="1124"/>
      <c r="F48" s="1124"/>
      <c r="G48" s="1102"/>
      <c r="H48" s="1102"/>
      <c r="I48" s="1102"/>
      <c r="J48" s="1102"/>
    </row>
    <row r="49" spans="1:10">
      <c r="A49" s="1105"/>
      <c r="B49" s="1123" t="s">
        <v>1593</v>
      </c>
      <c r="C49" s="1123"/>
      <c r="D49" s="1125">
        <f>D47/C34</f>
        <v>83.204286980993871</v>
      </c>
      <c r="E49" s="1125">
        <f>E47/E34</f>
        <v>75.427550624236957</v>
      </c>
      <c r="F49" s="1125">
        <f>F47/F34</f>
        <v>95.141734070551962</v>
      </c>
      <c r="G49" s="1102"/>
      <c r="H49" s="1125">
        <f>H47/G34</f>
        <v>37.847855172413794</v>
      </c>
      <c r="I49" s="1125">
        <f>I47/I34</f>
        <v>31.252074433756995</v>
      </c>
      <c r="J49" s="1125">
        <f>J47/J34</f>
        <v>47.972497473997329</v>
      </c>
    </row>
    <row r="51" spans="1:10" ht="25.5">
      <c r="A51" s="1102"/>
      <c r="B51" s="1113" t="s">
        <v>1595</v>
      </c>
      <c r="C51" s="1102"/>
      <c r="D51" s="1124">
        <f>C35*D37/100*D49</f>
        <v>800786.8465883804</v>
      </c>
      <c r="E51" s="1124">
        <f>C35*E37/100*E49</f>
        <v>439575.92525242188</v>
      </c>
      <c r="F51" s="1124">
        <f>C35*F37/100*F49</f>
        <v>361210.92133595841</v>
      </c>
      <c r="G51" s="1102"/>
      <c r="H51" s="1124">
        <f>G35*H37/100*H49</f>
        <v>264993.83962168969</v>
      </c>
      <c r="I51" s="1124">
        <f>G35*I37/100*I49</f>
        <v>132496.91981084482</v>
      </c>
      <c r="J51" s="1124">
        <f>G35*J37/100*J49</f>
        <v>132496.91981084482</v>
      </c>
    </row>
    <row r="54" spans="1:10">
      <c r="A54" s="1126" t="s">
        <v>1601</v>
      </c>
    </row>
    <row r="56" spans="1:10">
      <c r="A56" s="1098" t="s">
        <v>89</v>
      </c>
      <c r="B56" s="1098" t="s">
        <v>1585</v>
      </c>
      <c r="C56" s="2050" t="s">
        <v>1569</v>
      </c>
      <c r="D56" s="2050"/>
      <c r="E56" s="2050"/>
      <c r="F56" s="2050"/>
      <c r="G56" s="2050" t="s">
        <v>1227</v>
      </c>
      <c r="H56" s="2050"/>
      <c r="I56" s="2050"/>
      <c r="J56" s="2050"/>
    </row>
    <row r="57" spans="1:10" ht="15">
      <c r="A57" s="1100"/>
      <c r="B57" s="1100"/>
      <c r="C57" s="1101">
        <v>2016</v>
      </c>
      <c r="D57" s="1101">
        <v>2016</v>
      </c>
      <c r="E57" s="1100" t="s">
        <v>767</v>
      </c>
      <c r="F57" s="1100" t="s">
        <v>766</v>
      </c>
      <c r="G57" s="1101">
        <v>2016</v>
      </c>
      <c r="H57" s="1101">
        <v>2016</v>
      </c>
      <c r="I57" s="1100" t="s">
        <v>767</v>
      </c>
      <c r="J57" s="1100" t="s">
        <v>766</v>
      </c>
    </row>
    <row r="58" spans="1:10">
      <c r="A58" s="1102"/>
      <c r="B58" s="1102" t="s">
        <v>1570</v>
      </c>
      <c r="C58" s="1103">
        <v>181573</v>
      </c>
      <c r="D58" s="1102"/>
      <c r="E58" s="1103">
        <f>E65/D65*C58</f>
        <v>109947.13964668351</v>
      </c>
      <c r="F58" s="1103">
        <f>C58-E58</f>
        <v>71625.860353316486</v>
      </c>
      <c r="G58" s="1103">
        <v>290000</v>
      </c>
      <c r="H58" s="1102"/>
      <c r="I58" s="1103">
        <f>I65/H65*G58</f>
        <v>175602.39118310146</v>
      </c>
      <c r="J58" s="1103">
        <f>G58-I58</f>
        <v>114397.60881689854</v>
      </c>
    </row>
    <row r="59" spans="1:10">
      <c r="A59" s="1102"/>
      <c r="B59" s="1102" t="s">
        <v>1583</v>
      </c>
      <c r="C59" s="1104">
        <v>8.6</v>
      </c>
      <c r="D59" s="1102"/>
      <c r="E59" s="1102"/>
      <c r="F59" s="1102"/>
      <c r="G59" s="1104">
        <v>5.5</v>
      </c>
      <c r="H59" s="1102"/>
      <c r="I59" s="1102"/>
      <c r="J59" s="1102"/>
    </row>
    <row r="60" spans="1:10">
      <c r="A60" s="1102"/>
      <c r="B60" s="1102" t="s">
        <v>1597</v>
      </c>
      <c r="C60" s="1104">
        <v>0.2</v>
      </c>
      <c r="D60" s="1102"/>
      <c r="E60" s="1102"/>
      <c r="F60" s="1102"/>
      <c r="G60" s="1104">
        <v>0.15</v>
      </c>
      <c r="H60" s="1102"/>
      <c r="I60" s="1102"/>
      <c r="J60" s="1102"/>
    </row>
    <row r="61" spans="1:10">
      <c r="A61" s="1102"/>
      <c r="B61" s="1102" t="s">
        <v>1588</v>
      </c>
      <c r="C61" s="1104">
        <v>644.5</v>
      </c>
      <c r="D61" s="1102"/>
      <c r="E61" s="1102"/>
      <c r="F61" s="1102"/>
      <c r="G61" s="1104">
        <v>667.7</v>
      </c>
      <c r="H61" s="1102"/>
      <c r="I61" s="1102"/>
      <c r="J61" s="1102"/>
    </row>
    <row r="62" spans="1:10">
      <c r="A62" s="1102"/>
      <c r="B62" s="1102" t="s">
        <v>1587</v>
      </c>
      <c r="C62" s="1104">
        <v>5</v>
      </c>
      <c r="D62" s="1102"/>
      <c r="E62" s="1102"/>
      <c r="F62" s="1102"/>
      <c r="G62" s="1104">
        <v>5</v>
      </c>
      <c r="H62" s="1102"/>
      <c r="I62" s="1102"/>
      <c r="J62" s="1102"/>
    </row>
    <row r="63" spans="1:10">
      <c r="A63" s="1102"/>
      <c r="B63" s="1102" t="s">
        <v>1598</v>
      </c>
      <c r="C63" s="1104">
        <v>1219.3900000000001</v>
      </c>
      <c r="D63" s="1102"/>
      <c r="E63" s="1102"/>
      <c r="F63" s="1102"/>
      <c r="G63" s="1104">
        <v>954.93</v>
      </c>
      <c r="H63" s="1102"/>
      <c r="I63" s="1102"/>
      <c r="J63" s="1102"/>
    </row>
    <row r="64" spans="1:10">
      <c r="A64" s="1102"/>
      <c r="B64" s="1102"/>
      <c r="C64" s="1102"/>
      <c r="D64" s="1102"/>
      <c r="E64" s="1102"/>
      <c r="F64" s="1102"/>
      <c r="G64" s="1102"/>
      <c r="H64" s="1102"/>
      <c r="I64" s="1102"/>
      <c r="J64" s="1102"/>
    </row>
    <row r="65" spans="1:10">
      <c r="A65" s="1102"/>
      <c r="B65" s="1102" t="s">
        <v>1575</v>
      </c>
      <c r="C65" s="1106"/>
      <c r="D65" s="1106">
        <v>111911</v>
      </c>
      <c r="E65" s="1106">
        <v>67765</v>
      </c>
      <c r="F65" s="1106">
        <f>D65-E65</f>
        <v>44146</v>
      </c>
      <c r="G65" s="1102"/>
      <c r="H65" s="1106">
        <v>127301</v>
      </c>
      <c r="I65" s="1106">
        <v>77084</v>
      </c>
      <c r="J65" s="1106">
        <f>H65-I65</f>
        <v>50217</v>
      </c>
    </row>
    <row r="66" spans="1:10">
      <c r="A66" s="1102"/>
      <c r="B66" s="1102"/>
      <c r="C66" s="1102"/>
      <c r="D66" s="1116"/>
      <c r="E66" s="1106"/>
      <c r="F66" s="1106"/>
      <c r="G66" s="1102"/>
      <c r="H66" s="1116"/>
      <c r="I66" s="1106"/>
      <c r="J66" s="1106"/>
    </row>
    <row r="67" spans="1:10" ht="25.5">
      <c r="A67" s="1102" t="s">
        <v>1599</v>
      </c>
      <c r="B67" s="1113" t="s">
        <v>1600</v>
      </c>
      <c r="C67" s="1102"/>
      <c r="D67" s="1106">
        <f>C60*D65/100*(C61-C62)/1000*C63</f>
        <v>174536.37433691</v>
      </c>
      <c r="E67" s="1106">
        <f>E65/D65*D67</f>
        <v>105686.28112464999</v>
      </c>
      <c r="F67" s="1106">
        <f>D67-E67</f>
        <v>68850.093212260006</v>
      </c>
      <c r="G67" s="1102"/>
      <c r="H67" s="1106">
        <f>G60*H65/100*(G61-G62)/1000*G63</f>
        <v>120840.2408436165</v>
      </c>
      <c r="I67" s="1106">
        <f>I65/H65*H67</f>
        <v>73171.845666485999</v>
      </c>
      <c r="J67" s="1106">
        <f>H67-I67</f>
        <v>47668.3951771305</v>
      </c>
    </row>
    <row r="69" spans="1:10">
      <c r="A69" t="s">
        <v>1569</v>
      </c>
    </row>
    <row r="70" spans="1:10">
      <c r="B70" s="2053" t="s">
        <v>1742</v>
      </c>
      <c r="C70" s="2053"/>
      <c r="D70" s="2053"/>
      <c r="E70" s="2053"/>
      <c r="F70" s="2053"/>
      <c r="G70" s="2053"/>
      <c r="H70" s="2053"/>
    </row>
    <row r="71" spans="1:10" ht="25.5">
      <c r="A71" s="1462" t="s">
        <v>132</v>
      </c>
      <c r="B71" s="2054" t="s">
        <v>1743</v>
      </c>
      <c r="C71" s="2022"/>
      <c r="D71" s="2022"/>
      <c r="E71" s="2021"/>
      <c r="F71" s="1120" t="s">
        <v>1744</v>
      </c>
      <c r="G71" s="1120" t="s">
        <v>1745</v>
      </c>
      <c r="H71" s="1463" t="s">
        <v>1746</v>
      </c>
      <c r="I71" s="1463" t="s">
        <v>1747</v>
      </c>
    </row>
    <row r="72" spans="1:10">
      <c r="A72" s="1464"/>
      <c r="B72" s="2055" t="s">
        <v>1748</v>
      </c>
      <c r="C72" s="2056"/>
      <c r="D72" s="2056"/>
      <c r="E72" s="2057"/>
      <c r="F72" s="1465">
        <v>2</v>
      </c>
      <c r="G72" s="1466">
        <f>ROUND(1155874/1.0584,0)</f>
        <v>1092096</v>
      </c>
      <c r="H72" s="1467">
        <v>6</v>
      </c>
      <c r="I72" s="1468">
        <f>ROUND(G72*F72*H72/100,0)</f>
        <v>131052</v>
      </c>
    </row>
    <row r="73" spans="1:10">
      <c r="A73" s="1469"/>
      <c r="B73" s="2058" t="s">
        <v>1748</v>
      </c>
      <c r="C73" s="2043"/>
      <c r="D73" s="2043"/>
      <c r="E73" s="2044"/>
      <c r="F73" s="1470">
        <v>2</v>
      </c>
      <c r="G73" s="1471">
        <f>ROUND(1297754/1.0584,0)</f>
        <v>1226147</v>
      </c>
      <c r="H73" s="1472">
        <v>6</v>
      </c>
      <c r="I73" s="1473">
        <f t="shared" ref="I73:I83" si="5">ROUND(G73*F73*H73/100,0)</f>
        <v>147138</v>
      </c>
    </row>
    <row r="74" spans="1:10">
      <c r="A74" s="1469"/>
      <c r="B74" s="2059" t="s">
        <v>1749</v>
      </c>
      <c r="C74" s="2059"/>
      <c r="D74" s="2059"/>
      <c r="E74" s="2060"/>
      <c r="F74" s="1470">
        <v>2</v>
      </c>
      <c r="G74" s="1471">
        <f>ROUND(982447/1.0584,0)</f>
        <v>928238</v>
      </c>
      <c r="H74" s="1472">
        <v>10</v>
      </c>
      <c r="I74" s="1473">
        <f t="shared" si="5"/>
        <v>185648</v>
      </c>
    </row>
    <row r="75" spans="1:10">
      <c r="A75" s="1469"/>
      <c r="B75" s="2043" t="s">
        <v>1750</v>
      </c>
      <c r="C75" s="2043"/>
      <c r="D75" s="2043"/>
      <c r="E75" s="2044"/>
      <c r="F75" s="1470">
        <v>2</v>
      </c>
      <c r="G75" s="1471">
        <f>ROUND(889304/1.0584,0)</f>
        <v>840234</v>
      </c>
      <c r="H75" s="1472">
        <v>10</v>
      </c>
      <c r="I75" s="1473">
        <f t="shared" si="5"/>
        <v>168047</v>
      </c>
    </row>
    <row r="76" spans="1:10">
      <c r="A76" s="1469"/>
      <c r="B76" s="2043" t="s">
        <v>1751</v>
      </c>
      <c r="C76" s="2043"/>
      <c r="D76" s="2043"/>
      <c r="E76" s="2044"/>
      <c r="F76" s="1470">
        <v>2</v>
      </c>
      <c r="G76" s="1471">
        <f>ROUND(778525/1.0584,0)</f>
        <v>735568</v>
      </c>
      <c r="H76" s="1472">
        <v>10</v>
      </c>
      <c r="I76" s="1473">
        <f t="shared" si="5"/>
        <v>147114</v>
      </c>
    </row>
    <row r="77" spans="1:10" ht="12.75" customHeight="1">
      <c r="A77" s="1469"/>
      <c r="B77" s="2027" t="s">
        <v>1752</v>
      </c>
      <c r="C77" s="2028"/>
      <c r="D77" s="2028"/>
      <c r="E77" s="2045"/>
      <c r="F77" s="1470">
        <v>2</v>
      </c>
      <c r="G77" s="1471">
        <f>ROUND(899162/1.0584,0)</f>
        <v>849548</v>
      </c>
      <c r="H77" s="1472">
        <v>4</v>
      </c>
      <c r="I77" s="1473">
        <f t="shared" si="5"/>
        <v>67964</v>
      </c>
    </row>
    <row r="78" spans="1:10" ht="12.75" customHeight="1">
      <c r="A78" s="1469"/>
      <c r="B78" s="2027" t="s">
        <v>1753</v>
      </c>
      <c r="C78" s="2028"/>
      <c r="D78" s="2028"/>
      <c r="E78" s="2045"/>
      <c r="F78" s="1470">
        <v>2</v>
      </c>
      <c r="G78" s="1471">
        <f>ROUND(772748/1.0584,0)</f>
        <v>730110</v>
      </c>
      <c r="H78" s="1472">
        <v>5</v>
      </c>
      <c r="I78" s="1473">
        <f t="shared" si="5"/>
        <v>73011</v>
      </c>
    </row>
    <row r="79" spans="1:10" ht="12.75" customHeight="1">
      <c r="A79" s="1469"/>
      <c r="B79" s="2027" t="s">
        <v>1754</v>
      </c>
      <c r="C79" s="2028"/>
      <c r="D79" s="2028"/>
      <c r="E79" s="2045"/>
      <c r="F79" s="1470">
        <v>2</v>
      </c>
      <c r="G79" s="1471">
        <f>ROUND(916163/1.0584,0)</f>
        <v>865611</v>
      </c>
      <c r="H79" s="1472">
        <v>5</v>
      </c>
      <c r="I79" s="1473">
        <f t="shared" si="5"/>
        <v>86561</v>
      </c>
    </row>
    <row r="80" spans="1:10" ht="12.75" customHeight="1">
      <c r="A80" s="1469"/>
      <c r="B80" s="2027" t="s">
        <v>1755</v>
      </c>
      <c r="C80" s="2028"/>
      <c r="D80" s="2028"/>
      <c r="E80" s="2045"/>
      <c r="F80" s="1470">
        <v>2</v>
      </c>
      <c r="G80" s="1559">
        <f>ROUND(824117/1.0584,0)</f>
        <v>778644</v>
      </c>
      <c r="H80" s="1472">
        <v>3</v>
      </c>
      <c r="I80" s="1473">
        <f t="shared" si="5"/>
        <v>46719</v>
      </c>
    </row>
    <row r="81" spans="1:9" ht="12.75" customHeight="1">
      <c r="A81" s="1469"/>
      <c r="B81" s="2027" t="s">
        <v>1756</v>
      </c>
      <c r="C81" s="2028"/>
      <c r="D81" s="2028"/>
      <c r="E81" s="2045"/>
      <c r="F81" s="1470">
        <v>2</v>
      </c>
      <c r="G81" s="1471">
        <f>ROUND(977041/1.0584,0)</f>
        <v>923130</v>
      </c>
      <c r="H81" s="1472">
        <v>3</v>
      </c>
      <c r="I81" s="1473">
        <f t="shared" si="5"/>
        <v>55388</v>
      </c>
    </row>
    <row r="82" spans="1:9" ht="12.75" customHeight="1">
      <c r="A82" s="1469"/>
      <c r="B82" s="2027" t="s">
        <v>1757</v>
      </c>
      <c r="C82" s="2028"/>
      <c r="D82" s="2028"/>
      <c r="E82" s="2045"/>
      <c r="F82" s="1470">
        <v>2</v>
      </c>
      <c r="G82" s="1471">
        <f>ROUND(866283/1.0584,0)</f>
        <v>818484</v>
      </c>
      <c r="H82" s="1472">
        <v>3</v>
      </c>
      <c r="I82" s="1473">
        <f t="shared" si="5"/>
        <v>49109</v>
      </c>
    </row>
    <row r="83" spans="1:9" ht="12.75" customHeight="1">
      <c r="A83" s="1474"/>
      <c r="B83" s="2023" t="s">
        <v>1758</v>
      </c>
      <c r="C83" s="2024"/>
      <c r="D83" s="2024"/>
      <c r="E83" s="2046"/>
      <c r="F83" s="1475">
        <v>2</v>
      </c>
      <c r="G83" s="1476">
        <f>ROUND(784716/1.0584,0)</f>
        <v>741417</v>
      </c>
      <c r="H83" s="1477">
        <v>4</v>
      </c>
      <c r="I83" s="1473">
        <f t="shared" si="5"/>
        <v>59313</v>
      </c>
    </row>
    <row r="84" spans="1:9">
      <c r="A84" s="1102"/>
      <c r="B84" s="2047" t="s">
        <v>435</v>
      </c>
      <c r="C84" s="2047"/>
      <c r="D84" s="2047"/>
      <c r="E84" s="2047"/>
      <c r="F84" s="1102"/>
      <c r="G84" s="1102"/>
      <c r="H84" s="1102"/>
      <c r="I84" s="1478">
        <f>SUM(I72:I83)</f>
        <v>1217064</v>
      </c>
    </row>
    <row r="86" spans="1:9">
      <c r="A86" s="2048" t="s">
        <v>1569</v>
      </c>
      <c r="B86" s="2048"/>
      <c r="C86" s="2048"/>
      <c r="D86" s="2048"/>
      <c r="E86" s="2048"/>
      <c r="F86" s="2048"/>
      <c r="G86" s="2048"/>
      <c r="H86" s="2048"/>
      <c r="I86" s="2048"/>
    </row>
    <row r="87" spans="1:9">
      <c r="A87" s="2049" t="s">
        <v>1759</v>
      </c>
      <c r="B87" s="2049"/>
      <c r="C87" s="2049"/>
      <c r="D87" s="2049"/>
      <c r="E87" s="2049"/>
      <c r="F87" s="2049"/>
      <c r="G87" s="2049"/>
      <c r="H87" s="2049"/>
      <c r="I87" s="2049"/>
    </row>
    <row r="88" spans="1:9" ht="63.75">
      <c r="A88" s="1975" t="s">
        <v>1760</v>
      </c>
      <c r="B88" s="1975"/>
      <c r="C88" s="1975" t="s">
        <v>1761</v>
      </c>
      <c r="D88" s="1975"/>
      <c r="E88" s="1975"/>
      <c r="F88" s="1120" t="s">
        <v>1762</v>
      </c>
      <c r="G88" s="1120" t="s">
        <v>1763</v>
      </c>
      <c r="H88" s="1120" t="s">
        <v>1764</v>
      </c>
      <c r="I88" s="1120" t="s">
        <v>1765</v>
      </c>
    </row>
    <row r="89" spans="1:9" ht="12.75" customHeight="1">
      <c r="A89" s="2029" t="s">
        <v>1766</v>
      </c>
      <c r="B89" s="2030"/>
      <c r="C89" s="2031" t="s">
        <v>1767</v>
      </c>
      <c r="D89" s="2031"/>
      <c r="E89" s="2032"/>
      <c r="F89" s="1473">
        <v>26028204</v>
      </c>
      <c r="G89" s="1479">
        <v>400</v>
      </c>
      <c r="H89" s="1480">
        <v>10</v>
      </c>
      <c r="I89" s="1481">
        <f>ROUND(F89/G89*12*H89/100,0)</f>
        <v>78085</v>
      </c>
    </row>
    <row r="90" spans="1:9" ht="14.25">
      <c r="A90" s="2033" t="s">
        <v>1768</v>
      </c>
      <c r="B90" s="2034"/>
      <c r="C90" s="1482" t="s">
        <v>1769</v>
      </c>
      <c r="D90" s="1482"/>
      <c r="E90" s="1482"/>
      <c r="F90" s="1483">
        <v>10838</v>
      </c>
      <c r="G90" s="1484">
        <v>76</v>
      </c>
      <c r="H90" s="1485">
        <v>100</v>
      </c>
      <c r="I90" s="1486">
        <f>ROUND(F90/G90*12,0)</f>
        <v>1711</v>
      </c>
    </row>
    <row r="91" spans="1:9" ht="14.25">
      <c r="A91" s="2033" t="s">
        <v>1770</v>
      </c>
      <c r="B91" s="2034"/>
      <c r="C91" s="1482" t="s">
        <v>1769</v>
      </c>
      <c r="D91" s="1482"/>
      <c r="E91" s="1482"/>
      <c r="F91" s="1483">
        <v>10838</v>
      </c>
      <c r="G91" s="1484">
        <v>76</v>
      </c>
      <c r="H91" s="1485">
        <v>100</v>
      </c>
      <c r="I91" s="1486">
        <f>ROUND(F91/G91*12,0)</f>
        <v>1711</v>
      </c>
    </row>
    <row r="92" spans="1:9" ht="12.75" customHeight="1">
      <c r="A92" s="2035" t="s">
        <v>1771</v>
      </c>
      <c r="B92" s="2036"/>
      <c r="C92" s="2037" t="s">
        <v>1772</v>
      </c>
      <c r="D92" s="2037"/>
      <c r="E92" s="2038"/>
      <c r="F92" s="1487">
        <v>71542</v>
      </c>
      <c r="G92" s="1488">
        <v>125</v>
      </c>
      <c r="H92" s="1489">
        <v>100</v>
      </c>
      <c r="I92" s="1490">
        <f>ROUND(F92/G92*12,0)</f>
        <v>6868</v>
      </c>
    </row>
    <row r="93" spans="1:9">
      <c r="A93" s="2039"/>
      <c r="B93" s="1929"/>
      <c r="C93" s="2016" t="s">
        <v>435</v>
      </c>
      <c r="D93" s="2017"/>
      <c r="E93" s="2018"/>
      <c r="F93" s="1491">
        <f>SUM(F89:F92)</f>
        <v>26121422</v>
      </c>
      <c r="G93" s="1492"/>
      <c r="H93" s="1493"/>
      <c r="I93" s="1494">
        <f>SUM(I89:I92)</f>
        <v>88375</v>
      </c>
    </row>
    <row r="94" spans="1:9">
      <c r="A94" s="1119"/>
      <c r="B94" s="1119"/>
      <c r="C94" s="1119"/>
      <c r="D94" s="1119"/>
      <c r="E94" s="1119"/>
      <c r="F94" s="1119"/>
      <c r="G94" s="1119"/>
      <c r="H94" s="1119"/>
    </row>
    <row r="95" spans="1:9">
      <c r="A95" s="1515" t="s">
        <v>1227</v>
      </c>
    </row>
    <row r="96" spans="1:9">
      <c r="A96" s="1495"/>
      <c r="B96" s="2019" t="s">
        <v>1742</v>
      </c>
      <c r="C96" s="2019"/>
      <c r="D96" s="2019"/>
      <c r="E96" s="2019"/>
      <c r="F96" s="2019"/>
      <c r="G96" s="2019"/>
      <c r="H96" s="2019"/>
      <c r="I96" s="1496"/>
    </row>
    <row r="97" spans="1:9" ht="38.25">
      <c r="A97" s="1463" t="s">
        <v>132</v>
      </c>
      <c r="B97" s="2040" t="s">
        <v>1743</v>
      </c>
      <c r="C97" s="2040"/>
      <c r="D97" s="2040"/>
      <c r="E97" s="2040"/>
      <c r="F97" s="1463" t="s">
        <v>1744</v>
      </c>
      <c r="G97" s="1120" t="s">
        <v>1745</v>
      </c>
      <c r="H97" s="1463" t="s">
        <v>1773</v>
      </c>
      <c r="I97" s="1120" t="s">
        <v>1774</v>
      </c>
    </row>
    <row r="98" spans="1:9">
      <c r="A98" s="1497"/>
      <c r="B98" s="2041" t="s">
        <v>1775</v>
      </c>
      <c r="C98" s="2042"/>
      <c r="D98" s="2042"/>
      <c r="E98" s="2042"/>
      <c r="F98" s="1498">
        <v>2</v>
      </c>
      <c r="G98" s="1499">
        <f>ROUND(497683/1.0584,0)</f>
        <v>470222</v>
      </c>
      <c r="H98" s="1498">
        <v>30</v>
      </c>
      <c r="I98" s="1499">
        <f>ROUND(G98*F98*H98/100,0)</f>
        <v>282133</v>
      </c>
    </row>
    <row r="99" spans="1:9">
      <c r="A99" s="1500"/>
      <c r="B99" s="2025" t="s">
        <v>1776</v>
      </c>
      <c r="C99" s="2026"/>
      <c r="D99" s="2026"/>
      <c r="E99" s="2026"/>
      <c r="F99" s="1501">
        <v>1</v>
      </c>
      <c r="G99" s="1499">
        <f>ROUND(670477/1.0584,0)</f>
        <v>633482</v>
      </c>
      <c r="H99" s="1501">
        <v>5</v>
      </c>
      <c r="I99" s="1502">
        <f t="shared" ref="I99:I110" si="6">ROUND(G99*F99*H99/100,0)</f>
        <v>31674</v>
      </c>
    </row>
    <row r="100" spans="1:9">
      <c r="A100" s="1500"/>
      <c r="B100" s="2025" t="s">
        <v>1777</v>
      </c>
      <c r="C100" s="2026"/>
      <c r="D100" s="2026"/>
      <c r="E100" s="2026"/>
      <c r="F100" s="1501">
        <v>1</v>
      </c>
      <c r="G100" s="1499">
        <f>ROUND(783496/1.0584,0)</f>
        <v>740265</v>
      </c>
      <c r="H100" s="1501">
        <v>5</v>
      </c>
      <c r="I100" s="1502">
        <f t="shared" si="6"/>
        <v>37013</v>
      </c>
    </row>
    <row r="101" spans="1:9">
      <c r="A101" s="1500"/>
      <c r="B101" s="2025" t="s">
        <v>1778</v>
      </c>
      <c r="C101" s="2026"/>
      <c r="D101" s="2026"/>
      <c r="E101" s="2026"/>
      <c r="F101" s="1501">
        <v>2</v>
      </c>
      <c r="G101" s="1499">
        <f>ROUND(796986/1.0584,0)</f>
        <v>753010</v>
      </c>
      <c r="H101" s="1501">
        <v>10</v>
      </c>
      <c r="I101" s="1502">
        <f t="shared" si="6"/>
        <v>150602</v>
      </c>
    </row>
    <row r="102" spans="1:9">
      <c r="A102" s="1500"/>
      <c r="B102" s="2025" t="s">
        <v>1779</v>
      </c>
      <c r="C102" s="2026"/>
      <c r="D102" s="2026"/>
      <c r="E102" s="2026"/>
      <c r="F102" s="1501">
        <v>2</v>
      </c>
      <c r="G102" s="1499">
        <f>ROUND(580947/1.0584,0)</f>
        <v>548892</v>
      </c>
      <c r="H102" s="1501">
        <v>10</v>
      </c>
      <c r="I102" s="1502">
        <f t="shared" si="6"/>
        <v>109778</v>
      </c>
    </row>
    <row r="103" spans="1:9">
      <c r="A103" s="1500"/>
      <c r="B103" s="2025" t="s">
        <v>1780</v>
      </c>
      <c r="C103" s="2026"/>
      <c r="D103" s="2026"/>
      <c r="E103" s="2026"/>
      <c r="F103" s="1501">
        <v>1</v>
      </c>
      <c r="G103" s="1499">
        <f>ROUND(988932/1.0584,0)</f>
        <v>934365</v>
      </c>
      <c r="H103" s="1501">
        <v>10</v>
      </c>
      <c r="I103" s="1502">
        <f t="shared" si="6"/>
        <v>93437</v>
      </c>
    </row>
    <row r="104" spans="1:9">
      <c r="A104" s="1500"/>
      <c r="B104" s="2025" t="s">
        <v>1748</v>
      </c>
      <c r="C104" s="2026"/>
      <c r="D104" s="2026"/>
      <c r="E104" s="2026"/>
      <c r="F104" s="1501">
        <v>2</v>
      </c>
      <c r="G104" s="1499">
        <f>ROUND(1369278/1.0584,0)</f>
        <v>1293724</v>
      </c>
      <c r="H104" s="1501">
        <v>10</v>
      </c>
      <c r="I104" s="1502">
        <f t="shared" si="6"/>
        <v>258745</v>
      </c>
    </row>
    <row r="105" spans="1:9">
      <c r="A105" s="1500"/>
      <c r="B105" s="2025" t="s">
        <v>1781</v>
      </c>
      <c r="C105" s="2026"/>
      <c r="D105" s="2026"/>
      <c r="E105" s="2026"/>
      <c r="F105" s="1501">
        <v>2</v>
      </c>
      <c r="G105" s="1499">
        <f>ROUND(907612/1.0584,0)</f>
        <v>857532</v>
      </c>
      <c r="H105" s="1501">
        <v>15</v>
      </c>
      <c r="I105" s="1502">
        <f t="shared" si="6"/>
        <v>257260</v>
      </c>
    </row>
    <row r="106" spans="1:9">
      <c r="A106" s="1500"/>
      <c r="B106" s="2025" t="s">
        <v>1782</v>
      </c>
      <c r="C106" s="2026"/>
      <c r="D106" s="2026"/>
      <c r="E106" s="2026"/>
      <c r="F106" s="1501">
        <v>2</v>
      </c>
      <c r="G106" s="1499">
        <f>ROUND(734812/1.0584,0)</f>
        <v>694267</v>
      </c>
      <c r="H106" s="1501">
        <v>15</v>
      </c>
      <c r="I106" s="1502">
        <f t="shared" si="6"/>
        <v>208280</v>
      </c>
    </row>
    <row r="107" spans="1:9" ht="12.75" customHeight="1">
      <c r="A107" s="1500"/>
      <c r="B107" s="2025" t="s">
        <v>1752</v>
      </c>
      <c r="C107" s="2026"/>
      <c r="D107" s="2026"/>
      <c r="E107" s="2026"/>
      <c r="F107" s="1501">
        <v>2</v>
      </c>
      <c r="G107" s="1499">
        <f>ROUND(909600/1.0584,0)</f>
        <v>859410</v>
      </c>
      <c r="H107" s="1501">
        <v>2</v>
      </c>
      <c r="I107" s="1502">
        <f t="shared" si="6"/>
        <v>34376</v>
      </c>
    </row>
    <row r="108" spans="1:9" ht="12.75" customHeight="1">
      <c r="A108" s="1500"/>
      <c r="B108" s="2025" t="s">
        <v>1753</v>
      </c>
      <c r="C108" s="2026"/>
      <c r="D108" s="2026"/>
      <c r="E108" s="2026"/>
      <c r="F108" s="1501">
        <v>2</v>
      </c>
      <c r="G108" s="1499">
        <f>ROUND(772105/1.0584,0)</f>
        <v>729502</v>
      </c>
      <c r="H108" s="1501">
        <v>5</v>
      </c>
      <c r="I108" s="1502">
        <f t="shared" si="6"/>
        <v>72950</v>
      </c>
    </row>
    <row r="109" spans="1:9" ht="12.75" customHeight="1">
      <c r="A109" s="1500"/>
      <c r="B109" s="2025" t="s">
        <v>1754</v>
      </c>
      <c r="C109" s="2026"/>
      <c r="D109" s="2026"/>
      <c r="E109" s="2026"/>
      <c r="F109" s="1501">
        <v>2</v>
      </c>
      <c r="G109" s="1499">
        <f>ROUND(866283/1.0584,0)</f>
        <v>818484</v>
      </c>
      <c r="H109" s="1501">
        <v>5</v>
      </c>
      <c r="I109" s="1502">
        <f t="shared" si="6"/>
        <v>81848</v>
      </c>
    </row>
    <row r="110" spans="1:9" ht="12.75" customHeight="1">
      <c r="A110" s="1503"/>
      <c r="B110" s="2027" t="s">
        <v>1783</v>
      </c>
      <c r="C110" s="2028"/>
      <c r="D110" s="2028"/>
      <c r="E110" s="2028"/>
      <c r="F110" s="1504">
        <v>2</v>
      </c>
      <c r="G110" s="1499">
        <f>ROUND(727748/1.0584,0)</f>
        <v>687593</v>
      </c>
      <c r="H110" s="1504">
        <v>3</v>
      </c>
      <c r="I110" s="1505">
        <f t="shared" si="6"/>
        <v>41256</v>
      </c>
    </row>
    <row r="111" spans="1:9" ht="12.75" customHeight="1">
      <c r="A111" s="1506"/>
      <c r="B111" s="2023" t="s">
        <v>1756</v>
      </c>
      <c r="C111" s="2024"/>
      <c r="D111" s="2024"/>
      <c r="E111" s="2024"/>
      <c r="F111" s="1507">
        <v>2</v>
      </c>
      <c r="G111" s="1499">
        <f>ROUND(957263/1.0584,0)</f>
        <v>904443</v>
      </c>
      <c r="H111" s="1507">
        <v>2</v>
      </c>
      <c r="I111" s="1508">
        <f>ROUND(635444*2*H111/100,0)</f>
        <v>25418</v>
      </c>
    </row>
    <row r="112" spans="1:9">
      <c r="A112" s="1509"/>
      <c r="B112" s="2016" t="s">
        <v>1784</v>
      </c>
      <c r="C112" s="2017"/>
      <c r="D112" s="2017"/>
      <c r="E112" s="2018"/>
      <c r="F112" s="1510"/>
      <c r="G112" s="1511"/>
      <c r="H112" s="1511"/>
      <c r="I112" s="1478">
        <f>SUM(I98:I111)</f>
        <v>1684770</v>
      </c>
    </row>
    <row r="113" spans="1:9">
      <c r="A113" s="1495"/>
      <c r="B113" s="1512"/>
      <c r="C113" s="1512"/>
      <c r="D113" s="1512"/>
      <c r="E113" s="1512"/>
      <c r="F113" s="1512"/>
      <c r="G113" s="1512"/>
      <c r="H113" s="1513"/>
      <c r="I113" s="1496"/>
    </row>
    <row r="114" spans="1:9">
      <c r="A114" s="1515" t="s">
        <v>1227</v>
      </c>
      <c r="B114" s="1514"/>
      <c r="C114" s="1514"/>
      <c r="D114" s="1514"/>
      <c r="E114" s="1514"/>
      <c r="F114" s="1514"/>
      <c r="G114" s="1514"/>
      <c r="H114" s="1514"/>
      <c r="I114" s="1514"/>
    </row>
    <row r="115" spans="1:9">
      <c r="A115" s="1515"/>
      <c r="B115" s="2019" t="s">
        <v>1759</v>
      </c>
      <c r="C115" s="2019"/>
      <c r="D115" s="2019"/>
      <c r="E115" s="2019"/>
      <c r="F115" s="2019"/>
      <c r="G115" s="2019"/>
      <c r="H115" s="2019"/>
      <c r="I115" s="2019"/>
    </row>
    <row r="116" spans="1:9" ht="63.75">
      <c r="A116" s="2020" t="s">
        <v>1760</v>
      </c>
      <c r="B116" s="2021"/>
      <c r="C116" s="2020" t="s">
        <v>1761</v>
      </c>
      <c r="D116" s="2022"/>
      <c r="E116" s="2021"/>
      <c r="F116" s="1120" t="s">
        <v>1785</v>
      </c>
      <c r="G116" s="1120" t="s">
        <v>1763</v>
      </c>
      <c r="H116" s="1120" t="s">
        <v>1764</v>
      </c>
      <c r="I116" s="1120" t="s">
        <v>1765</v>
      </c>
    </row>
    <row r="117" spans="1:9" ht="12.75" customHeight="1">
      <c r="A117" s="2013" t="s">
        <v>1786</v>
      </c>
      <c r="B117" s="2014"/>
      <c r="C117" s="2005" t="s">
        <v>1787</v>
      </c>
      <c r="D117" s="2006"/>
      <c r="E117" s="2007"/>
      <c r="F117" s="1516">
        <v>7496008</v>
      </c>
      <c r="G117" s="1517">
        <v>372</v>
      </c>
      <c r="H117" s="1517">
        <v>20</v>
      </c>
      <c r="I117" s="1518">
        <f>ROUND(F117/G117*12*H117/100,0)</f>
        <v>48361</v>
      </c>
    </row>
    <row r="118" spans="1:9" ht="51">
      <c r="A118" s="1519"/>
      <c r="B118" s="1520"/>
      <c r="C118" s="1521" t="s">
        <v>1788</v>
      </c>
      <c r="D118" s="1522"/>
      <c r="E118" s="1522"/>
      <c r="F118" s="1523"/>
      <c r="G118" s="1524"/>
      <c r="H118" s="1524"/>
      <c r="I118" s="1525"/>
    </row>
    <row r="119" spans="1:9" ht="25.5">
      <c r="A119" s="1519"/>
      <c r="B119" s="1520"/>
      <c r="C119" s="1526" t="s">
        <v>1789</v>
      </c>
      <c r="D119" s="1526"/>
      <c r="E119" s="1526"/>
      <c r="F119" s="1527"/>
      <c r="G119" s="1528"/>
      <c r="H119" s="1528"/>
      <c r="I119" s="1525"/>
    </row>
    <row r="120" spans="1:9">
      <c r="A120" s="1519"/>
      <c r="B120" s="1520"/>
      <c r="C120" s="1529"/>
      <c r="D120" s="1530"/>
      <c r="E120" s="1530"/>
      <c r="F120" s="1516"/>
      <c r="G120" s="1517"/>
      <c r="H120" s="1517"/>
      <c r="I120" s="1525"/>
    </row>
    <row r="121" spans="1:9" ht="12.75" customHeight="1">
      <c r="A121" s="2013" t="s">
        <v>1790</v>
      </c>
      <c r="B121" s="2014"/>
      <c r="C121" s="2005" t="s">
        <v>1791</v>
      </c>
      <c r="D121" s="2006"/>
      <c r="E121" s="2007"/>
      <c r="F121" s="1523">
        <v>2507517</v>
      </c>
      <c r="G121" s="1524">
        <v>400</v>
      </c>
      <c r="H121" s="1524">
        <v>20</v>
      </c>
      <c r="I121" s="1518">
        <f>ROUND(F121/G121*12*H121/100,0)</f>
        <v>15045</v>
      </c>
    </row>
    <row r="122" spans="1:9" ht="51">
      <c r="A122" s="1519"/>
      <c r="B122" s="1520"/>
      <c r="C122" s="1530" t="s">
        <v>1792</v>
      </c>
      <c r="D122" s="1530"/>
      <c r="E122" s="1530"/>
      <c r="F122" s="1516"/>
      <c r="G122" s="1517"/>
      <c r="H122" s="1517"/>
      <c r="I122" s="1525"/>
    </row>
    <row r="123" spans="1:9" ht="51">
      <c r="A123" s="1519"/>
      <c r="B123" s="1520"/>
      <c r="C123" s="1521" t="s">
        <v>1793</v>
      </c>
      <c r="D123" s="1522"/>
      <c r="E123" s="1522"/>
      <c r="F123" s="1523"/>
      <c r="G123" s="1524"/>
      <c r="H123" s="1524"/>
      <c r="I123" s="1525"/>
    </row>
    <row r="124" spans="1:9" ht="51">
      <c r="A124" s="1519"/>
      <c r="B124" s="1520"/>
      <c r="C124" s="1529" t="s">
        <v>1794</v>
      </c>
      <c r="D124" s="1530"/>
      <c r="E124" s="1530"/>
      <c r="F124" s="1516"/>
      <c r="G124" s="1517"/>
      <c r="H124" s="1517"/>
      <c r="I124" s="1531"/>
    </row>
    <row r="125" spans="1:9" ht="12.75" customHeight="1">
      <c r="A125" s="2015" t="s">
        <v>1795</v>
      </c>
      <c r="B125" s="2004"/>
      <c r="C125" s="2005" t="s">
        <v>1796</v>
      </c>
      <c r="D125" s="2006"/>
      <c r="E125" s="2007"/>
      <c r="F125" s="1523">
        <v>208328</v>
      </c>
      <c r="G125" s="1524">
        <v>76</v>
      </c>
      <c r="H125" s="1524">
        <v>20</v>
      </c>
      <c r="I125" s="1525">
        <f>ROUND(F125/G125*12*H125/100,0)</f>
        <v>6579</v>
      </c>
    </row>
    <row r="126" spans="1:9" ht="12.75" customHeight="1">
      <c r="A126" s="2015" t="s">
        <v>1797</v>
      </c>
      <c r="B126" s="2004"/>
      <c r="C126" s="2005" t="s">
        <v>1798</v>
      </c>
      <c r="D126" s="2006"/>
      <c r="E126" s="2007"/>
      <c r="F126" s="1527">
        <v>69614</v>
      </c>
      <c r="G126" s="1524">
        <v>76</v>
      </c>
      <c r="H126" s="1528">
        <v>20</v>
      </c>
      <c r="I126" s="1525">
        <f>ROUND(F126/G126*12*H126/100,0)</f>
        <v>2198</v>
      </c>
    </row>
    <row r="127" spans="1:9">
      <c r="A127" s="1519"/>
      <c r="B127" s="1520"/>
      <c r="C127" s="1529"/>
      <c r="D127" s="1530"/>
      <c r="E127" s="1530"/>
      <c r="F127" s="1516"/>
      <c r="G127" s="1517"/>
      <c r="H127" s="1517"/>
      <c r="I127" s="1532"/>
    </row>
    <row r="128" spans="1:9" ht="12.75" customHeight="1">
      <c r="A128" s="2003" t="s">
        <v>1799</v>
      </c>
      <c r="B128" s="2004"/>
      <c r="C128" s="2005" t="s">
        <v>1800</v>
      </c>
      <c r="D128" s="2006"/>
      <c r="E128" s="2007"/>
      <c r="F128" s="1523">
        <v>2196654</v>
      </c>
      <c r="G128" s="1524">
        <v>245</v>
      </c>
      <c r="H128" s="1524">
        <v>20</v>
      </c>
      <c r="I128" s="1525">
        <f>ROUND(F128/G128*12*H128/100,0)</f>
        <v>21518</v>
      </c>
    </row>
    <row r="129" spans="1:9" ht="38.25">
      <c r="A129" s="1533"/>
      <c r="B129" s="1534"/>
      <c r="C129" s="1530" t="s">
        <v>1801</v>
      </c>
      <c r="D129" s="1530"/>
      <c r="E129" s="1530"/>
      <c r="F129" s="1535"/>
      <c r="G129" s="1517"/>
      <c r="H129" s="1517"/>
      <c r="I129" s="1536"/>
    </row>
    <row r="130" spans="1:9" ht="51">
      <c r="A130" s="1533"/>
      <c r="B130" s="1534"/>
      <c r="C130" s="1521" t="s">
        <v>1802</v>
      </c>
      <c r="D130" s="1522"/>
      <c r="E130" s="1522"/>
      <c r="F130" s="1537"/>
      <c r="G130" s="1524"/>
      <c r="H130" s="1524"/>
      <c r="I130" s="1536"/>
    </row>
    <row r="131" spans="1:9" ht="38.25">
      <c r="A131" s="1533"/>
      <c r="B131" s="1534"/>
      <c r="C131" s="1529" t="s">
        <v>1803</v>
      </c>
      <c r="D131" s="1530"/>
      <c r="E131" s="1530"/>
      <c r="F131" s="1535"/>
      <c r="G131" s="1517"/>
      <c r="H131" s="1517"/>
      <c r="I131" s="1536"/>
    </row>
    <row r="132" spans="1:9" ht="39.75">
      <c r="A132" s="1533"/>
      <c r="B132" s="1534"/>
      <c r="C132" s="1538" t="s">
        <v>1804</v>
      </c>
      <c r="D132" s="1522"/>
      <c r="E132" s="1522"/>
      <c r="F132" s="1537"/>
      <c r="G132" s="1524"/>
      <c r="H132" s="1524"/>
      <c r="I132" s="1536"/>
    </row>
    <row r="133" spans="1:9" ht="12.75" customHeight="1">
      <c r="A133" s="1533"/>
      <c r="B133" s="1534"/>
      <c r="C133" s="2008" t="s">
        <v>1805</v>
      </c>
      <c r="D133" s="2009"/>
      <c r="E133" s="2010"/>
      <c r="F133" s="1535"/>
      <c r="G133" s="1517"/>
      <c r="H133" s="1517"/>
      <c r="I133" s="1536"/>
    </row>
    <row r="134" spans="1:9" ht="12.75" customHeight="1">
      <c r="A134" s="1533"/>
      <c r="B134" s="1534"/>
      <c r="C134" s="2008" t="s">
        <v>1806</v>
      </c>
      <c r="D134" s="2009"/>
      <c r="E134" s="2010"/>
      <c r="F134" s="1539"/>
      <c r="G134" s="1540"/>
      <c r="H134" s="1540"/>
      <c r="I134" s="1536"/>
    </row>
    <row r="135" spans="1:9" ht="38.25">
      <c r="A135" s="1533"/>
      <c r="B135" s="1534"/>
      <c r="C135" s="1522" t="s">
        <v>1807</v>
      </c>
      <c r="D135" s="1522"/>
      <c r="E135" s="1522"/>
      <c r="F135" s="1537"/>
      <c r="G135" s="1524"/>
      <c r="H135" s="1524"/>
      <c r="I135" s="1536"/>
    </row>
    <row r="136" spans="1:9" ht="52.5">
      <c r="A136" s="1533"/>
      <c r="B136" s="1534"/>
      <c r="C136" s="1541" t="s">
        <v>1808</v>
      </c>
      <c r="D136" s="1530"/>
      <c r="E136" s="1530"/>
      <c r="F136" s="1539"/>
      <c r="G136" s="1540"/>
      <c r="H136" s="1540"/>
      <c r="I136" s="1536"/>
    </row>
    <row r="137" spans="1:9" ht="38.25">
      <c r="A137" s="1542"/>
      <c r="B137" s="1543"/>
      <c r="C137" s="1521" t="s">
        <v>1809</v>
      </c>
      <c r="D137" s="1522"/>
      <c r="E137" s="1522"/>
      <c r="F137" s="1537"/>
      <c r="G137" s="1524"/>
      <c r="H137" s="1524"/>
      <c r="I137" s="1536"/>
    </row>
    <row r="138" spans="1:9">
      <c r="A138" s="1542"/>
      <c r="B138" s="1544"/>
      <c r="C138" s="1521"/>
      <c r="D138" s="1522"/>
      <c r="E138" s="1522"/>
      <c r="F138" s="1537"/>
      <c r="G138" s="1544"/>
      <c r="H138" s="1524"/>
      <c r="I138" s="1545"/>
    </row>
    <row r="139" spans="1:9" ht="12.75" customHeight="1">
      <c r="A139" s="2005" t="s">
        <v>1810</v>
      </c>
      <c r="B139" s="2004"/>
      <c r="C139" s="2005" t="s">
        <v>1811</v>
      </c>
      <c r="D139" s="2011"/>
      <c r="E139" s="2012"/>
      <c r="F139" s="1527">
        <v>724821865</v>
      </c>
      <c r="G139" s="1546">
        <v>400</v>
      </c>
      <c r="H139" s="1542">
        <v>15</v>
      </c>
      <c r="I139" s="1525">
        <f>ROUND(F139/G139*12*H139/100,0)</f>
        <v>3261698</v>
      </c>
    </row>
    <row r="140" spans="1:9" ht="51">
      <c r="A140" s="1533"/>
      <c r="B140" s="1534"/>
      <c r="C140" s="1521" t="s">
        <v>1812</v>
      </c>
      <c r="D140" s="1522"/>
      <c r="E140" s="1547"/>
      <c r="F140" s="1539"/>
      <c r="G140" s="1496"/>
      <c r="H140" s="1533"/>
      <c r="I140" s="1548"/>
    </row>
    <row r="141" spans="1:9" ht="51">
      <c r="A141" s="1533"/>
      <c r="B141" s="1534"/>
      <c r="C141" s="1529" t="s">
        <v>1813</v>
      </c>
      <c r="D141" s="1530"/>
      <c r="E141" s="1549"/>
      <c r="F141" s="1539"/>
      <c r="G141" s="1550"/>
      <c r="H141" s="1550"/>
      <c r="I141" s="1536"/>
    </row>
    <row r="142" spans="1:9" ht="38.25">
      <c r="A142" s="1533"/>
      <c r="B142" s="1534"/>
      <c r="C142" s="1521" t="s">
        <v>1814</v>
      </c>
      <c r="D142" s="1522"/>
      <c r="E142" s="1547"/>
      <c r="F142" s="1539"/>
      <c r="G142" s="1496"/>
      <c r="H142" s="1533"/>
      <c r="I142" s="1548"/>
    </row>
    <row r="143" spans="1:9" ht="63.75">
      <c r="A143" s="1533"/>
      <c r="B143" s="1534"/>
      <c r="C143" s="1529" t="s">
        <v>1815</v>
      </c>
      <c r="D143" s="1530"/>
      <c r="E143" s="1549"/>
      <c r="F143" s="1539"/>
      <c r="G143" s="1550"/>
      <c r="H143" s="1550"/>
      <c r="I143" s="1536"/>
    </row>
    <row r="144" spans="1:9" ht="63.75">
      <c r="A144" s="1533"/>
      <c r="B144" s="1534"/>
      <c r="C144" s="1521" t="s">
        <v>1816</v>
      </c>
      <c r="D144" s="1522"/>
      <c r="E144" s="1547"/>
      <c r="F144" s="1539"/>
      <c r="G144" s="1496"/>
      <c r="H144" s="1533"/>
      <c r="I144" s="1548"/>
    </row>
    <row r="145" spans="1:9" ht="51">
      <c r="A145" s="1533"/>
      <c r="B145" s="1534"/>
      <c r="C145" s="1529" t="s">
        <v>1817</v>
      </c>
      <c r="D145" s="1530"/>
      <c r="E145" s="1549"/>
      <c r="F145" s="1539"/>
      <c r="G145" s="1550"/>
      <c r="H145" s="1550"/>
      <c r="I145" s="1536"/>
    </row>
    <row r="146" spans="1:9" ht="63.75">
      <c r="A146" s="1533"/>
      <c r="B146" s="1534"/>
      <c r="C146" s="1521" t="s">
        <v>1818</v>
      </c>
      <c r="D146" s="1522"/>
      <c r="E146" s="1547"/>
      <c r="F146" s="1539"/>
      <c r="G146" s="1550"/>
      <c r="H146" s="1550"/>
      <c r="I146" s="1536"/>
    </row>
    <row r="147" spans="1:9" ht="76.5">
      <c r="A147" s="1533"/>
      <c r="B147" s="1534"/>
      <c r="C147" s="1529" t="s">
        <v>1819</v>
      </c>
      <c r="D147" s="1530"/>
      <c r="E147" s="1549"/>
      <c r="F147" s="1539"/>
      <c r="G147" s="1550"/>
      <c r="H147" s="1550"/>
      <c r="I147" s="1536"/>
    </row>
    <row r="148" spans="1:9" ht="76.5">
      <c r="A148" s="1533"/>
      <c r="B148" s="1534"/>
      <c r="C148" s="1521" t="s">
        <v>1820</v>
      </c>
      <c r="D148" s="1522"/>
      <c r="E148" s="1547"/>
      <c r="F148" s="1539"/>
      <c r="G148" s="1496"/>
      <c r="H148" s="1533"/>
      <c r="I148" s="1548"/>
    </row>
    <row r="149" spans="1:9" ht="51">
      <c r="A149" s="1533"/>
      <c r="B149" s="1534"/>
      <c r="C149" s="1529" t="s">
        <v>1821</v>
      </c>
      <c r="D149" s="1530"/>
      <c r="E149" s="1549"/>
      <c r="F149" s="1539"/>
      <c r="G149" s="1550"/>
      <c r="H149" s="1550"/>
      <c r="I149" s="1536"/>
    </row>
    <row r="150" spans="1:9" ht="51">
      <c r="A150" s="1533"/>
      <c r="B150" s="1534"/>
      <c r="C150" s="1521" t="s">
        <v>1822</v>
      </c>
      <c r="D150" s="1522"/>
      <c r="E150" s="1547"/>
      <c r="F150" s="1539"/>
      <c r="G150" s="1496"/>
      <c r="H150" s="1533"/>
      <c r="I150" s="1548"/>
    </row>
    <row r="151" spans="1:9" ht="51">
      <c r="A151" s="1533"/>
      <c r="B151" s="1534"/>
      <c r="C151" s="1529" t="s">
        <v>1823</v>
      </c>
      <c r="D151" s="1530"/>
      <c r="E151" s="1549"/>
      <c r="F151" s="1539"/>
      <c r="G151" s="1550"/>
      <c r="H151" s="1550"/>
      <c r="I151" s="1536"/>
    </row>
    <row r="152" spans="1:9" ht="51">
      <c r="A152" s="1533"/>
      <c r="B152" s="1534"/>
      <c r="C152" s="1521" t="s">
        <v>1824</v>
      </c>
      <c r="D152" s="1522"/>
      <c r="E152" s="1547"/>
      <c r="F152" s="1539"/>
      <c r="G152" s="1496"/>
      <c r="H152" s="1533"/>
      <c r="I152" s="1548"/>
    </row>
    <row r="153" spans="1:9" ht="51">
      <c r="A153" s="1533"/>
      <c r="B153" s="1534"/>
      <c r="C153" s="1529" t="s">
        <v>1825</v>
      </c>
      <c r="D153" s="1530"/>
      <c r="E153" s="1549"/>
      <c r="F153" s="1539"/>
      <c r="G153" s="1550"/>
      <c r="H153" s="1550"/>
      <c r="I153" s="1536"/>
    </row>
    <row r="154" spans="1:9" ht="38.25">
      <c r="A154" s="1533"/>
      <c r="B154" s="1534"/>
      <c r="C154" s="1521" t="s">
        <v>1826</v>
      </c>
      <c r="D154" s="1522"/>
      <c r="E154" s="1547"/>
      <c r="F154" s="1537"/>
      <c r="G154" s="1550"/>
      <c r="H154" s="1550"/>
      <c r="I154" s="1536"/>
    </row>
    <row r="155" spans="1:9">
      <c r="A155" s="1551"/>
      <c r="B155" s="1552"/>
      <c r="C155" s="2000" t="s">
        <v>435</v>
      </c>
      <c r="D155" s="2001"/>
      <c r="E155" s="2002"/>
      <c r="F155" s="1553">
        <f>SUM(F117,F121,F125,F126,F128,F139)</f>
        <v>737299986</v>
      </c>
      <c r="G155" s="1554"/>
      <c r="H155" s="1554"/>
      <c r="I155" s="1555">
        <f>SUM(I117,I121,I125,I126,I128,I139)</f>
        <v>3355399</v>
      </c>
    </row>
    <row r="156" spans="1:9">
      <c r="A156" s="1496"/>
      <c r="B156" s="1496"/>
      <c r="C156" s="1512"/>
      <c r="D156" s="1496"/>
      <c r="E156" s="1496"/>
      <c r="F156" s="1496"/>
      <c r="G156" s="1496"/>
      <c r="H156" s="1496"/>
      <c r="I156" s="1496"/>
    </row>
  </sheetData>
  <mergeCells count="69">
    <mergeCell ref="B75:E75"/>
    <mergeCell ref="C6:F6"/>
    <mergeCell ref="G6:J6"/>
    <mergeCell ref="A30:F30"/>
    <mergeCell ref="C32:F32"/>
    <mergeCell ref="G32:J32"/>
    <mergeCell ref="C56:F56"/>
    <mergeCell ref="G56:J56"/>
    <mergeCell ref="B70:H70"/>
    <mergeCell ref="B71:E71"/>
    <mergeCell ref="B72:E72"/>
    <mergeCell ref="B73:E73"/>
    <mergeCell ref="B74:E74"/>
    <mergeCell ref="A88:B88"/>
    <mergeCell ref="C88:E88"/>
    <mergeCell ref="B76:E76"/>
    <mergeCell ref="B77:E77"/>
    <mergeCell ref="B78:E78"/>
    <mergeCell ref="B79:E79"/>
    <mergeCell ref="B80:E80"/>
    <mergeCell ref="B81:E81"/>
    <mergeCell ref="B82:E82"/>
    <mergeCell ref="B83:E83"/>
    <mergeCell ref="B84:E84"/>
    <mergeCell ref="A86:I86"/>
    <mergeCell ref="A87:I87"/>
    <mergeCell ref="B99:E99"/>
    <mergeCell ref="A89:B89"/>
    <mergeCell ref="C89:E89"/>
    <mergeCell ref="A90:B90"/>
    <mergeCell ref="A91:B91"/>
    <mergeCell ref="A92:B92"/>
    <mergeCell ref="C92:E92"/>
    <mergeCell ref="A93:B93"/>
    <mergeCell ref="C93:E93"/>
    <mergeCell ref="B96:H96"/>
    <mergeCell ref="B97:E97"/>
    <mergeCell ref="B98:E98"/>
    <mergeCell ref="B111:E111"/>
    <mergeCell ref="B100:E100"/>
    <mergeCell ref="B101:E101"/>
    <mergeCell ref="B102:E102"/>
    <mergeCell ref="B103:E103"/>
    <mergeCell ref="B104:E104"/>
    <mergeCell ref="B105:E105"/>
    <mergeCell ref="B106:E106"/>
    <mergeCell ref="B107:E107"/>
    <mergeCell ref="B108:E108"/>
    <mergeCell ref="B109:E109"/>
    <mergeCell ref="B110:E110"/>
    <mergeCell ref="B112:E112"/>
    <mergeCell ref="B115:I115"/>
    <mergeCell ref="A116:B116"/>
    <mergeCell ref="C116:E116"/>
    <mergeCell ref="A117:B117"/>
    <mergeCell ref="C117:E117"/>
    <mergeCell ref="A121:B121"/>
    <mergeCell ref="C121:E121"/>
    <mergeCell ref="A125:B125"/>
    <mergeCell ref="C125:E125"/>
    <mergeCell ref="A126:B126"/>
    <mergeCell ref="C126:E126"/>
    <mergeCell ref="C155:E155"/>
    <mergeCell ref="A128:B128"/>
    <mergeCell ref="C128:E128"/>
    <mergeCell ref="C133:E133"/>
    <mergeCell ref="C134:E134"/>
    <mergeCell ref="A139:B139"/>
    <mergeCell ref="C139:E139"/>
  </mergeCells>
  <pageMargins left="0.70866141732283472" right="0.70866141732283472" top="0.74803149606299213" bottom="0.74803149606299213" header="0.31496062992125984" footer="0.31496062992125984"/>
  <pageSetup paperSize="9" scale="51" orientation="landscape" r:id="rId1"/>
  <legacy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156"/>
  <sheetViews>
    <sheetView view="pageBreakPreview" zoomScaleNormal="100" zoomScaleSheetLayoutView="100" workbookViewId="0">
      <selection activeCell="F4" sqref="F4"/>
    </sheetView>
  </sheetViews>
  <sheetFormatPr defaultRowHeight="12.75"/>
  <cols>
    <col min="1" max="1" width="5.85546875" customWidth="1"/>
    <col min="2" max="2" width="51.85546875" customWidth="1"/>
    <col min="3" max="3" width="11.140625" customWidth="1"/>
    <col min="4" max="4" width="11.28515625" customWidth="1"/>
    <col min="5" max="5" width="11.85546875" customWidth="1"/>
    <col min="6" max="6" width="11.7109375" customWidth="1"/>
    <col min="7" max="7" width="11.140625" customWidth="1"/>
    <col min="8" max="8" width="10.7109375" customWidth="1"/>
    <col min="9" max="9" width="11.85546875" customWidth="1"/>
    <col min="10" max="10" width="11.7109375" customWidth="1"/>
    <col min="11" max="11" width="10.28515625" customWidth="1"/>
  </cols>
  <sheetData>
    <row r="1" spans="1:13">
      <c r="A1" s="1097">
        <v>1</v>
      </c>
      <c r="C1" s="1097"/>
      <c r="D1" s="1097"/>
      <c r="E1" s="1097"/>
      <c r="F1" s="1097"/>
      <c r="G1" s="1097"/>
      <c r="H1" s="1097"/>
      <c r="I1" s="1097"/>
      <c r="J1" s="1097"/>
      <c r="K1" s="1097"/>
    </row>
    <row r="2" spans="1:13">
      <c r="A2" s="1097">
        <v>1</v>
      </c>
      <c r="B2" s="1097"/>
      <c r="C2" s="1097"/>
      <c r="D2" s="1097"/>
      <c r="E2" s="1097"/>
      <c r="F2" s="1097"/>
      <c r="G2" s="1097"/>
      <c r="H2" s="1097"/>
      <c r="I2" s="1097"/>
      <c r="J2" s="1097"/>
      <c r="K2" s="1097"/>
    </row>
    <row r="6" spans="1:13" s="1099" customFormat="1" ht="27.75" customHeight="1">
      <c r="A6" s="1098" t="s">
        <v>89</v>
      </c>
      <c r="B6" s="1098" t="s">
        <v>1585</v>
      </c>
      <c r="C6" s="2050" t="s">
        <v>1569</v>
      </c>
      <c r="D6" s="2050"/>
      <c r="E6" s="2050"/>
      <c r="F6" s="2050"/>
      <c r="G6" s="2050" t="s">
        <v>1227</v>
      </c>
      <c r="H6" s="2050"/>
      <c r="I6" s="2050"/>
      <c r="J6" s="2050"/>
    </row>
    <row r="7" spans="1:13" s="1099" customFormat="1" ht="21.75" customHeight="1">
      <c r="A7" s="1100"/>
      <c r="B7" s="1100"/>
      <c r="C7" s="1101" t="s">
        <v>1859</v>
      </c>
      <c r="D7" s="1101" t="s">
        <v>1859</v>
      </c>
      <c r="E7" s="1100" t="s">
        <v>767</v>
      </c>
      <c r="F7" s="1100" t="s">
        <v>766</v>
      </c>
      <c r="G7" s="1101" t="s">
        <v>1859</v>
      </c>
      <c r="H7" s="1101" t="s">
        <v>1859</v>
      </c>
      <c r="I7" s="1100" t="s">
        <v>767</v>
      </c>
      <c r="J7" s="1100" t="s">
        <v>766</v>
      </c>
    </row>
    <row r="8" spans="1:13" ht="13.5" customHeight="1">
      <c r="A8" s="1102"/>
      <c r="B8" s="1102" t="s">
        <v>1570</v>
      </c>
      <c r="C8" s="1103">
        <v>182200</v>
      </c>
      <c r="D8" s="1102"/>
      <c r="E8" s="1102"/>
      <c r="F8" s="1102"/>
      <c r="G8" s="1103">
        <v>280000</v>
      </c>
      <c r="H8" s="1102"/>
      <c r="I8" s="1102"/>
      <c r="J8" s="1102"/>
    </row>
    <row r="9" spans="1:13">
      <c r="A9" s="1102"/>
      <c r="B9" s="1102" t="s">
        <v>1583</v>
      </c>
      <c r="C9" s="1104">
        <v>8.6</v>
      </c>
      <c r="D9" s="1102"/>
      <c r="E9" s="1102"/>
      <c r="F9" s="1102"/>
      <c r="G9" s="1104">
        <v>5.5</v>
      </c>
      <c r="H9" s="1102"/>
      <c r="I9" s="1102"/>
      <c r="J9" s="1102"/>
    </row>
    <row r="10" spans="1:13">
      <c r="A10" s="1102"/>
      <c r="B10" s="1102" t="s">
        <v>1571</v>
      </c>
      <c r="C10" s="1103">
        <v>2459336</v>
      </c>
      <c r="D10" s="1102"/>
      <c r="E10" s="1102"/>
      <c r="F10" s="1102"/>
      <c r="G10" s="1103">
        <v>6471920</v>
      </c>
      <c r="H10" s="1102"/>
      <c r="I10" s="1102"/>
      <c r="J10" s="1102"/>
    </row>
    <row r="11" spans="1:13">
      <c r="A11" s="1102"/>
      <c r="B11" s="1102" t="s">
        <v>1572</v>
      </c>
      <c r="C11" s="1104">
        <v>0.8</v>
      </c>
      <c r="D11" s="1102"/>
      <c r="E11" s="1102"/>
      <c r="F11" s="1102"/>
      <c r="G11" s="1104">
        <v>1.2</v>
      </c>
      <c r="H11" s="1102"/>
      <c r="I11" s="1102"/>
      <c r="J11" s="1102"/>
    </row>
    <row r="12" spans="1:13">
      <c r="A12" s="1102"/>
      <c r="B12" s="1102" t="s">
        <v>1573</v>
      </c>
      <c r="C12" s="1104">
        <v>3.97</v>
      </c>
      <c r="D12" s="1102"/>
      <c r="E12" s="1102"/>
      <c r="F12" s="1102"/>
      <c r="G12" s="1104">
        <v>2.54</v>
      </c>
      <c r="H12" s="1102"/>
      <c r="I12" s="1102"/>
      <c r="J12" s="1102"/>
    </row>
    <row r="13" spans="1:13">
      <c r="A13" s="1102"/>
      <c r="B13" s="1102" t="s">
        <v>1574</v>
      </c>
      <c r="C13" s="1103">
        <v>4069084</v>
      </c>
      <c r="D13" s="1102"/>
      <c r="E13" s="1102"/>
      <c r="F13" s="1102"/>
      <c r="G13" s="1103">
        <v>4331740</v>
      </c>
      <c r="H13" s="1102"/>
      <c r="I13" s="1102"/>
      <c r="J13" s="1102"/>
    </row>
    <row r="14" spans="1:13">
      <c r="A14" s="1102"/>
      <c r="B14" s="1102"/>
      <c r="C14" s="1102"/>
      <c r="D14" s="1102"/>
      <c r="E14" s="1102"/>
      <c r="F14" s="1102"/>
      <c r="G14" s="1102"/>
      <c r="H14" s="1102"/>
      <c r="I14" s="1102"/>
      <c r="J14" s="1102"/>
      <c r="M14">
        <f>M15*104369</f>
        <v>63198.124268391839</v>
      </c>
    </row>
    <row r="15" spans="1:13">
      <c r="A15" s="1102" t="s">
        <v>91</v>
      </c>
      <c r="B15" s="1102" t="s">
        <v>1586</v>
      </c>
      <c r="C15" s="1102"/>
      <c r="D15" s="1102"/>
      <c r="E15" s="1102"/>
      <c r="F15" s="1102"/>
      <c r="G15" s="1102"/>
      <c r="H15" s="1102"/>
      <c r="I15" s="1102"/>
      <c r="J15" s="1102"/>
      <c r="M15">
        <f>67765/111911</f>
        <v>0.60552581962452301</v>
      </c>
    </row>
    <row r="16" spans="1:13">
      <c r="A16" s="1102"/>
      <c r="B16" s="1102"/>
      <c r="C16" s="1102"/>
      <c r="D16" s="1102"/>
      <c r="E16" s="1102"/>
      <c r="F16" s="1102"/>
      <c r="G16" s="1102"/>
      <c r="H16" s="1102"/>
      <c r="I16" s="1102"/>
      <c r="J16" s="1102"/>
    </row>
    <row r="17" spans="1:13">
      <c r="A17" s="1102"/>
      <c r="B17" s="1102" t="s">
        <v>1575</v>
      </c>
      <c r="C17" s="1106"/>
      <c r="D17" s="1106">
        <v>102813</v>
      </c>
      <c r="E17" s="1106">
        <f>D17*0.6</f>
        <v>61687.799999999996</v>
      </c>
      <c r="F17" s="1106">
        <f>D17-E17</f>
        <v>41125.200000000004</v>
      </c>
      <c r="G17" s="1102"/>
      <c r="H17" s="1106">
        <v>107844</v>
      </c>
      <c r="I17" s="1106">
        <f>H17*0.6</f>
        <v>64706.399999999994</v>
      </c>
      <c r="J17" s="1106">
        <f>H17-I17</f>
        <v>43137.600000000006</v>
      </c>
      <c r="M17" s="1460">
        <v>111911</v>
      </c>
    </row>
    <row r="18" spans="1:13">
      <c r="A18" s="1102"/>
      <c r="B18" s="1102" t="s">
        <v>1584</v>
      </c>
      <c r="C18" s="1102"/>
      <c r="D18" s="1106">
        <f>E18+F18</f>
        <v>8841.9179999999997</v>
      </c>
      <c r="E18" s="1106">
        <f>E17*$C$9/100</f>
        <v>5305.1507999999994</v>
      </c>
      <c r="F18" s="1106">
        <f>F17*$C$9/100</f>
        <v>3536.7672000000002</v>
      </c>
      <c r="G18" s="1102"/>
      <c r="H18" s="1106">
        <f>I18+J18</f>
        <v>5931.42</v>
      </c>
      <c r="I18" s="1106">
        <f>I17*$G$9/100</f>
        <v>3558.8519999999994</v>
      </c>
      <c r="J18" s="1106">
        <f>J17*$G$9/100</f>
        <v>2372.5680000000007</v>
      </c>
    </row>
    <row r="19" spans="1:13">
      <c r="A19" s="1102"/>
      <c r="B19" s="1107" t="s">
        <v>1576</v>
      </c>
      <c r="C19" s="1102"/>
      <c r="D19" s="1108">
        <f>E19+F19</f>
        <v>445882.31657545554</v>
      </c>
      <c r="E19" s="1108">
        <f>E21+E24</f>
        <v>267529.38994527329</v>
      </c>
      <c r="F19" s="1108">
        <f>F21+F24</f>
        <v>178352.92663018225</v>
      </c>
      <c r="G19" s="1102"/>
      <c r="H19" s="1108">
        <f>I19+J19</f>
        <v>465807.35388000007</v>
      </c>
      <c r="I19" s="1108">
        <f>I21+I24</f>
        <v>279484.41232800001</v>
      </c>
      <c r="J19" s="1108">
        <f>J21+J24</f>
        <v>186322.94155200003</v>
      </c>
      <c r="K19" s="1109">
        <f>D19+H19</f>
        <v>911689.67045545555</v>
      </c>
      <c r="M19">
        <v>127301</v>
      </c>
    </row>
    <row r="20" spans="1:13">
      <c r="A20" s="1102"/>
      <c r="B20" s="1110" t="s">
        <v>1573</v>
      </c>
      <c r="C20" s="1102"/>
      <c r="D20" s="1111">
        <f>C12*$A$2</f>
        <v>3.97</v>
      </c>
      <c r="E20" s="1111">
        <f>D20</f>
        <v>3.97</v>
      </c>
      <c r="F20" s="1111">
        <f>D20</f>
        <v>3.97</v>
      </c>
      <c r="G20" s="1102"/>
      <c r="H20" s="1111">
        <f>G12*$A$2</f>
        <v>2.54</v>
      </c>
      <c r="I20" s="1111">
        <f>H20</f>
        <v>2.54</v>
      </c>
      <c r="J20" s="1111">
        <f>H20</f>
        <v>2.54</v>
      </c>
      <c r="M20">
        <f>77084/M19</f>
        <v>0.60552548683828089</v>
      </c>
    </row>
    <row r="21" spans="1:13" s="1092" customFormat="1" ht="29.25" customHeight="1">
      <c r="A21" s="1112"/>
      <c r="B21" s="1113" t="s">
        <v>1577</v>
      </c>
      <c r="C21" s="1112"/>
      <c r="D21" s="1114">
        <f>E21+F21</f>
        <v>326534.08799999999</v>
      </c>
      <c r="E21" s="1114">
        <f>E22*E20</f>
        <v>195920.4528</v>
      </c>
      <c r="F21" s="1114">
        <f>F22*F20</f>
        <v>130613.63520000002</v>
      </c>
      <c r="G21" s="1112"/>
      <c r="H21" s="1114">
        <f>I21+J21</f>
        <v>328708.51199999999</v>
      </c>
      <c r="I21" s="1114">
        <f>I22*I20</f>
        <v>197225.1072</v>
      </c>
      <c r="J21" s="1114">
        <f>J22*J20</f>
        <v>131483.40480000002</v>
      </c>
      <c r="M21" s="1092">
        <f>M20*H17</f>
        <v>65302.290602587564</v>
      </c>
    </row>
    <row r="22" spans="1:13">
      <c r="A22" s="1102"/>
      <c r="B22" s="1110" t="s">
        <v>1578</v>
      </c>
      <c r="C22" s="1102"/>
      <c r="D22" s="1115">
        <f>E22+F22</f>
        <v>82250.399999999994</v>
      </c>
      <c r="E22" s="1115">
        <f>E17*$C$11</f>
        <v>49350.239999999998</v>
      </c>
      <c r="F22" s="1115">
        <f>F17*$C$11</f>
        <v>32900.160000000003</v>
      </c>
      <c r="G22" s="1102"/>
      <c r="H22" s="1115">
        <f>I22+J22</f>
        <v>129412.79999999999</v>
      </c>
      <c r="I22" s="1115">
        <f>I17*$G$11</f>
        <v>77647.679999999993</v>
      </c>
      <c r="J22" s="1115">
        <f>J17*$G$11</f>
        <v>51765.120000000003</v>
      </c>
    </row>
    <row r="23" spans="1:13">
      <c r="A23" s="1102"/>
      <c r="B23" s="1102"/>
      <c r="C23" s="1102"/>
      <c r="D23" s="1116"/>
      <c r="E23" s="1106"/>
      <c r="F23" s="1106"/>
      <c r="G23" s="1102"/>
      <c r="H23" s="1116"/>
      <c r="I23" s="1106"/>
      <c r="J23" s="1106"/>
    </row>
    <row r="24" spans="1:13">
      <c r="A24" s="1102"/>
      <c r="B24" s="1098" t="s">
        <v>1571</v>
      </c>
      <c r="C24" s="1102"/>
      <c r="D24" s="1114">
        <f>E24+F24</f>
        <v>119348.22857545553</v>
      </c>
      <c r="E24" s="1114">
        <f t="shared" ref="E24" si="0">E20*E26</f>
        <v>71608.937145273318</v>
      </c>
      <c r="F24" s="1114">
        <f>F20*F26</f>
        <v>47739.291430182217</v>
      </c>
      <c r="G24" s="1102"/>
      <c r="H24" s="1114">
        <f>I24+J24</f>
        <v>137098.84187999999</v>
      </c>
      <c r="I24" s="1114">
        <f t="shared" ref="I24" si="1">I20*I26</f>
        <v>82259.305127999993</v>
      </c>
      <c r="J24" s="1114">
        <f>J20*J26</f>
        <v>54839.536752000007</v>
      </c>
    </row>
    <row r="25" spans="1:13">
      <c r="A25" s="1102"/>
      <c r="B25" s="1110" t="s">
        <v>1579</v>
      </c>
      <c r="C25" s="1117">
        <f>C10/C8/C12</f>
        <v>3.4000005529948818</v>
      </c>
      <c r="D25" s="1111">
        <f>C25</f>
        <v>3.4000005529948818</v>
      </c>
      <c r="E25" s="1111">
        <f>D25</f>
        <v>3.4000005529948818</v>
      </c>
      <c r="F25" s="1111">
        <f>D25</f>
        <v>3.4000005529948818</v>
      </c>
      <c r="G25" s="1117">
        <f>G10/G8/G12</f>
        <v>9.1</v>
      </c>
      <c r="H25" s="1111">
        <f>G25*A2</f>
        <v>9.1</v>
      </c>
      <c r="I25" s="1111">
        <f>H25</f>
        <v>9.1</v>
      </c>
      <c r="J25" s="1111">
        <f>H25</f>
        <v>9.1</v>
      </c>
    </row>
    <row r="26" spans="1:13">
      <c r="A26" s="1102"/>
      <c r="B26" s="1110" t="s">
        <v>1580</v>
      </c>
      <c r="C26" s="1118"/>
      <c r="D26" s="1115">
        <f>E26+F26</f>
        <v>30062.5260895354</v>
      </c>
      <c r="E26" s="1115">
        <f>E25*E18</f>
        <v>18037.515653721239</v>
      </c>
      <c r="F26" s="1115">
        <f t="shared" ref="F26" si="2">F25*F18</f>
        <v>12025.01043581416</v>
      </c>
      <c r="G26" s="1118"/>
      <c r="H26" s="1115">
        <f>I26+J26</f>
        <v>53975.921999999999</v>
      </c>
      <c r="I26" s="1115">
        <f t="shared" ref="I26" si="3">I25*I18</f>
        <v>32385.553199999995</v>
      </c>
      <c r="J26" s="1115">
        <f>J25*J18</f>
        <v>21590.368800000004</v>
      </c>
    </row>
    <row r="27" spans="1:13" ht="38.25">
      <c r="A27" s="1102"/>
      <c r="B27" s="1107" t="s">
        <v>1581</v>
      </c>
      <c r="C27" s="1102"/>
      <c r="D27" s="1108">
        <f>E27+F27</f>
        <v>197467.10792048299</v>
      </c>
      <c r="E27" s="1108">
        <f>E28*E18</f>
        <v>118480.26475228979</v>
      </c>
      <c r="F27" s="1108">
        <f>F28*F18</f>
        <v>78986.843168193198</v>
      </c>
      <c r="G27" s="1102"/>
      <c r="H27" s="1108">
        <f>I27+J27</f>
        <v>91762.033110000004</v>
      </c>
      <c r="I27" s="1108">
        <f>I28*I18</f>
        <v>55057.219865999992</v>
      </c>
      <c r="J27" s="1108">
        <f>J28*J18</f>
        <v>36704.813244000012</v>
      </c>
      <c r="K27" s="1109">
        <f>D27+H27</f>
        <v>289229.14103048301</v>
      </c>
    </row>
    <row r="28" spans="1:13">
      <c r="A28" s="1102"/>
      <c r="B28" s="1110" t="s">
        <v>1582</v>
      </c>
      <c r="C28" s="1117">
        <f>C13/C8</f>
        <v>22.333062568605929</v>
      </c>
      <c r="D28" s="1117">
        <f>C28*$A$1</f>
        <v>22.333062568605929</v>
      </c>
      <c r="E28" s="1117">
        <f>D28</f>
        <v>22.333062568605929</v>
      </c>
      <c r="F28" s="1117">
        <f>D28</f>
        <v>22.333062568605929</v>
      </c>
      <c r="G28" s="1117">
        <f>G13/G8</f>
        <v>15.470499999999999</v>
      </c>
      <c r="H28" s="1117">
        <f>G28*$A$1</f>
        <v>15.470499999999999</v>
      </c>
      <c r="I28" s="1117">
        <f>H28</f>
        <v>15.470499999999999</v>
      </c>
      <c r="J28" s="1117">
        <f>H28</f>
        <v>15.470499999999999</v>
      </c>
    </row>
    <row r="29" spans="1:13">
      <c r="A29" s="1119"/>
      <c r="B29" s="1119"/>
      <c r="C29" s="1119"/>
      <c r="D29" s="1119"/>
      <c r="E29" s="1119"/>
      <c r="F29" s="1119"/>
      <c r="G29" s="1119"/>
      <c r="H29" s="1119"/>
      <c r="I29" s="1119"/>
      <c r="J29" s="1119"/>
    </row>
    <row r="30" spans="1:13" ht="27" customHeight="1">
      <c r="A30" s="2051" t="s">
        <v>1602</v>
      </c>
      <c r="B30" s="2052"/>
      <c r="C30" s="2052"/>
      <c r="D30" s="2052"/>
      <c r="E30" s="2052"/>
      <c r="F30" s="2052"/>
      <c r="G30" s="1119"/>
      <c r="H30" s="1119"/>
      <c r="I30" s="1119"/>
      <c r="J30" s="1119"/>
    </row>
    <row r="32" spans="1:13">
      <c r="A32" s="1098" t="s">
        <v>89</v>
      </c>
      <c r="B32" s="1098" t="s">
        <v>1585</v>
      </c>
      <c r="C32" s="2050" t="s">
        <v>1569</v>
      </c>
      <c r="D32" s="2050"/>
      <c r="E32" s="2050"/>
      <c r="F32" s="2050"/>
      <c r="G32" s="2050" t="s">
        <v>1227</v>
      </c>
      <c r="H32" s="2050"/>
      <c r="I32" s="2050"/>
      <c r="J32" s="2050"/>
    </row>
    <row r="33" spans="1:10" ht="15">
      <c r="A33" s="1100"/>
      <c r="B33" s="1100"/>
      <c r="C33" s="1101" t="s">
        <v>1859</v>
      </c>
      <c r="D33" s="1101" t="s">
        <v>1859</v>
      </c>
      <c r="E33" s="1100" t="s">
        <v>767</v>
      </c>
      <c r="F33" s="1100" t="s">
        <v>766</v>
      </c>
      <c r="G33" s="1101" t="s">
        <v>1859</v>
      </c>
      <c r="H33" s="1101" t="s">
        <v>1859</v>
      </c>
      <c r="I33" s="1100" t="s">
        <v>767</v>
      </c>
      <c r="J33" s="1100" t="s">
        <v>766</v>
      </c>
    </row>
    <row r="34" spans="1:10">
      <c r="A34" s="1102"/>
      <c r="B34" s="1102" t="s">
        <v>1570</v>
      </c>
      <c r="C34" s="1103">
        <v>182200</v>
      </c>
      <c r="D34" s="1102"/>
      <c r="E34" s="1103">
        <f>E37/D37*C34</f>
        <v>109320</v>
      </c>
      <c r="F34" s="1103">
        <f>C34-E34</f>
        <v>72880</v>
      </c>
      <c r="G34" s="1103">
        <v>280000</v>
      </c>
      <c r="H34" s="1102"/>
      <c r="I34" s="1103">
        <f>I37/H37*G34</f>
        <v>168000</v>
      </c>
      <c r="J34" s="1103">
        <f>G34-I34</f>
        <v>112000</v>
      </c>
    </row>
    <row r="35" spans="1:10">
      <c r="A35" s="1102"/>
      <c r="B35" s="1102" t="s">
        <v>1583</v>
      </c>
      <c r="C35" s="1104">
        <v>8.6</v>
      </c>
      <c r="D35" s="1102"/>
      <c r="E35" s="1102"/>
      <c r="F35" s="1102"/>
      <c r="G35" s="1104">
        <v>5.5</v>
      </c>
      <c r="H35" s="1102"/>
      <c r="I35" s="1102"/>
      <c r="J35" s="1102"/>
    </row>
    <row r="36" spans="1:10">
      <c r="A36" s="1102"/>
      <c r="B36" s="1102"/>
      <c r="C36" s="1102"/>
      <c r="D36" s="1102"/>
      <c r="E36" s="1102"/>
      <c r="F36" s="1102"/>
      <c r="G36" s="1102"/>
      <c r="H36" s="1102"/>
      <c r="I36" s="1102"/>
      <c r="J36" s="1102"/>
    </row>
    <row r="37" spans="1:10">
      <c r="A37" s="1102"/>
      <c r="B37" s="1102" t="s">
        <v>1575</v>
      </c>
      <c r="C37" s="1106"/>
      <c r="D37" s="1106">
        <v>102813</v>
      </c>
      <c r="E37" s="1106">
        <f>D37*0.6</f>
        <v>61687.799999999996</v>
      </c>
      <c r="F37" s="1106">
        <f>D37-E37</f>
        <v>41125.200000000004</v>
      </c>
      <c r="G37" s="1102"/>
      <c r="H37" s="1106">
        <v>107844</v>
      </c>
      <c r="I37" s="1106">
        <f>H37*0.6</f>
        <v>64706.399999999994</v>
      </c>
      <c r="J37" s="1106">
        <f>H37-I37</f>
        <v>43137.600000000006</v>
      </c>
    </row>
    <row r="38" spans="1:10">
      <c r="A38" s="1102"/>
      <c r="B38" s="1102"/>
      <c r="C38" s="1102"/>
      <c r="D38" s="1116"/>
      <c r="E38" s="1106"/>
      <c r="F38" s="1106"/>
      <c r="G38" s="1102"/>
      <c r="H38" s="1116"/>
      <c r="I38" s="1106"/>
      <c r="J38" s="1106"/>
    </row>
    <row r="40" spans="1:10">
      <c r="A40" s="1098" t="s">
        <v>1599</v>
      </c>
      <c r="B40" s="1102" t="s">
        <v>1603</v>
      </c>
    </row>
    <row r="41" spans="1:10" ht="25.5">
      <c r="A41" s="1120" t="s">
        <v>132</v>
      </c>
      <c r="B41" s="1120" t="s">
        <v>1589</v>
      </c>
      <c r="C41" s="1120" t="s">
        <v>1569</v>
      </c>
      <c r="D41" s="1101" t="s">
        <v>1859</v>
      </c>
      <c r="E41" s="1100" t="s">
        <v>767</v>
      </c>
      <c r="F41" s="1100" t="s">
        <v>766</v>
      </c>
      <c r="G41" s="1120" t="s">
        <v>1227</v>
      </c>
      <c r="H41" s="1101" t="s">
        <v>1859</v>
      </c>
      <c r="I41" s="1100" t="s">
        <v>767</v>
      </c>
      <c r="J41" s="1100" t="s">
        <v>766</v>
      </c>
    </row>
    <row r="42" spans="1:10">
      <c r="A42" s="1121" t="s">
        <v>89</v>
      </c>
      <c r="B42" s="1122" t="s">
        <v>1590</v>
      </c>
      <c r="C42" s="1122"/>
      <c r="D42" s="1124">
        <v>8361158</v>
      </c>
      <c r="E42" s="1124">
        <f>E17/D17*D42</f>
        <v>5016694.8</v>
      </c>
      <c r="F42" s="1124">
        <f>D42-E42</f>
        <v>3344463.2</v>
      </c>
      <c r="G42" s="1102"/>
      <c r="H42" s="1124">
        <v>0</v>
      </c>
      <c r="I42" s="1124">
        <v>0</v>
      </c>
      <c r="J42" s="1124">
        <v>0</v>
      </c>
    </row>
    <row r="43" spans="1:10">
      <c r="A43" s="1121" t="s">
        <v>91</v>
      </c>
      <c r="B43" s="1122" t="s">
        <v>1591</v>
      </c>
      <c r="C43" s="1122"/>
      <c r="D43" s="1124">
        <v>7115275</v>
      </c>
      <c r="E43" s="1124">
        <f>D43/2</f>
        <v>3557637.5</v>
      </c>
      <c r="F43" s="1124">
        <f>D43-E43</f>
        <v>3557637.5</v>
      </c>
      <c r="G43" s="1102"/>
      <c r="H43" s="1124">
        <v>10355247</v>
      </c>
      <c r="I43" s="1124">
        <f>H43/2</f>
        <v>5177623.5</v>
      </c>
      <c r="J43" s="1124">
        <f>H43-I43</f>
        <v>5177623.5</v>
      </c>
    </row>
    <row r="44" spans="1:10">
      <c r="A44" s="1121" t="s">
        <v>93</v>
      </c>
      <c r="B44" s="1122" t="s">
        <v>1592</v>
      </c>
      <c r="C44" s="1122"/>
      <c r="D44" s="1124">
        <v>2148813</v>
      </c>
      <c r="E44" s="1124">
        <f>D44/2</f>
        <v>1074406.5</v>
      </c>
      <c r="F44" s="1124">
        <f>D44-E44</f>
        <v>1074406.5</v>
      </c>
      <c r="G44" s="1102"/>
      <c r="H44" s="1124">
        <v>3127285</v>
      </c>
      <c r="I44" s="1124">
        <f>H44/2</f>
        <v>1563642.5</v>
      </c>
      <c r="J44" s="1124">
        <f>H44-I44</f>
        <v>1563642.5</v>
      </c>
    </row>
    <row r="45" spans="1:10">
      <c r="A45" s="1121" t="s">
        <v>95</v>
      </c>
      <c r="B45" s="1122" t="s">
        <v>1594</v>
      </c>
      <c r="C45" s="1122"/>
      <c r="D45" s="1124">
        <v>675445</v>
      </c>
      <c r="E45" s="1124">
        <f>D45/2</f>
        <v>337722.5</v>
      </c>
      <c r="F45" s="1124">
        <f>D45-E45</f>
        <v>337722.5</v>
      </c>
      <c r="G45" s="1102"/>
      <c r="H45" s="1124">
        <v>93701</v>
      </c>
      <c r="I45" s="1124">
        <f>H45/2</f>
        <v>46850.5</v>
      </c>
      <c r="J45" s="1124">
        <f>H45-I45</f>
        <v>46850.5</v>
      </c>
    </row>
    <row r="46" spans="1:10">
      <c r="A46" s="1105"/>
      <c r="B46" s="1122"/>
      <c r="C46" s="1122"/>
      <c r="D46" s="1124"/>
      <c r="E46" s="1124"/>
      <c r="F46" s="1124"/>
      <c r="G46" s="1102"/>
      <c r="H46" s="1102"/>
      <c r="I46" s="1102"/>
      <c r="J46" s="1102"/>
    </row>
    <row r="47" spans="1:10">
      <c r="A47" s="1105"/>
      <c r="B47" s="1122" t="s">
        <v>1596</v>
      </c>
      <c r="C47" s="1122"/>
      <c r="D47" s="1124">
        <f>SUM(D42:D45)</f>
        <v>18300691</v>
      </c>
      <c r="E47" s="1124">
        <f t="shared" ref="E47:J47" si="4">SUM(E42:E45)</f>
        <v>9986461.3000000007</v>
      </c>
      <c r="F47" s="1124">
        <f t="shared" si="4"/>
        <v>8314229.7000000002</v>
      </c>
      <c r="G47" s="1102"/>
      <c r="H47" s="1124">
        <f t="shared" si="4"/>
        <v>13576233</v>
      </c>
      <c r="I47" s="1124">
        <f t="shared" si="4"/>
        <v>6788116.5</v>
      </c>
      <c r="J47" s="1124">
        <f t="shared" si="4"/>
        <v>6788116.5</v>
      </c>
    </row>
    <row r="48" spans="1:10">
      <c r="A48" s="1105"/>
      <c r="B48" s="1112"/>
      <c r="C48" s="1112"/>
      <c r="D48" s="1124"/>
      <c r="E48" s="1124"/>
      <c r="F48" s="1124"/>
      <c r="G48" s="1102"/>
      <c r="H48" s="1102"/>
      <c r="I48" s="1102"/>
      <c r="J48" s="1102"/>
    </row>
    <row r="49" spans="1:10">
      <c r="A49" s="1105"/>
      <c r="B49" s="1123" t="s">
        <v>1593</v>
      </c>
      <c r="C49" s="1123"/>
      <c r="D49" s="1125">
        <f>D47/C34</f>
        <v>100.44287047200878</v>
      </c>
      <c r="E49" s="1125">
        <f>E47/E34</f>
        <v>91.350725393340653</v>
      </c>
      <c r="F49" s="1125">
        <f>F47/F34</f>
        <v>114.08108809001098</v>
      </c>
      <c r="G49" s="1102"/>
      <c r="H49" s="1125">
        <f>H47/G34</f>
        <v>48.48654642857143</v>
      </c>
      <c r="I49" s="1125">
        <f>I47/I34</f>
        <v>40.405455357142856</v>
      </c>
      <c r="J49" s="1125">
        <f>J47/J34</f>
        <v>60.608183035714283</v>
      </c>
    </row>
    <row r="51" spans="1:10" ht="25.5">
      <c r="A51" s="1102"/>
      <c r="B51" s="1113" t="s">
        <v>1595</v>
      </c>
      <c r="C51" s="1102"/>
      <c r="D51" s="1124">
        <f>C35*D37/100*D49</f>
        <v>888107.62439812289</v>
      </c>
      <c r="E51" s="1124">
        <f>C35*E37/100*E49</f>
        <v>484629.37390106142</v>
      </c>
      <c r="F51" s="1124">
        <f>C35*F37/100*F49</f>
        <v>403478.25049706153</v>
      </c>
      <c r="G51" s="1102"/>
      <c r="H51" s="1124">
        <f>G35*H37/100*H49</f>
        <v>287594.07121735718</v>
      </c>
      <c r="I51" s="1124">
        <f>G35*I37/100*I49</f>
        <v>143797.03560867853</v>
      </c>
      <c r="J51" s="1124">
        <f>G35*J37/100*J49</f>
        <v>143797.03560867862</v>
      </c>
    </row>
    <row r="54" spans="1:10">
      <c r="A54" s="1126" t="s">
        <v>1601</v>
      </c>
    </row>
    <row r="56" spans="1:10">
      <c r="A56" s="1098" t="s">
        <v>89</v>
      </c>
      <c r="B56" s="1098" t="s">
        <v>1585</v>
      </c>
      <c r="C56" s="2050" t="s">
        <v>1569</v>
      </c>
      <c r="D56" s="2050"/>
      <c r="E56" s="2050"/>
      <c r="F56" s="2050"/>
      <c r="G56" s="2050" t="s">
        <v>1227</v>
      </c>
      <c r="H56" s="2050"/>
      <c r="I56" s="2050"/>
      <c r="J56" s="2050"/>
    </row>
    <row r="57" spans="1:10" ht="15">
      <c r="A57" s="1100"/>
      <c r="B57" s="1100"/>
      <c r="C57" s="1101" t="s">
        <v>1859</v>
      </c>
      <c r="D57" s="1101" t="s">
        <v>1859</v>
      </c>
      <c r="E57" s="1100" t="s">
        <v>767</v>
      </c>
      <c r="F57" s="1100" t="s">
        <v>766</v>
      </c>
      <c r="G57" s="1101" t="s">
        <v>1859</v>
      </c>
      <c r="H57" s="1101" t="s">
        <v>1859</v>
      </c>
      <c r="I57" s="1100" t="s">
        <v>767</v>
      </c>
      <c r="J57" s="1100" t="s">
        <v>766</v>
      </c>
    </row>
    <row r="58" spans="1:10">
      <c r="A58" s="1102"/>
      <c r="B58" s="1102" t="s">
        <v>1570</v>
      </c>
      <c r="C58" s="1103">
        <v>182200</v>
      </c>
      <c r="D58" s="1102"/>
      <c r="E58" s="1103">
        <f>E65/D65*C58</f>
        <v>109320</v>
      </c>
      <c r="F58" s="1103">
        <f>C58-E58</f>
        <v>72880</v>
      </c>
      <c r="G58" s="1103">
        <v>280000</v>
      </c>
      <c r="H58" s="1102"/>
      <c r="I58" s="1103">
        <f>I65/H65*G58</f>
        <v>168000</v>
      </c>
      <c r="J58" s="1103">
        <f>G58-I58</f>
        <v>112000</v>
      </c>
    </row>
    <row r="59" spans="1:10">
      <c r="A59" s="1102"/>
      <c r="B59" s="1102" t="s">
        <v>1583</v>
      </c>
      <c r="C59" s="1104">
        <v>8.6</v>
      </c>
      <c r="D59" s="1102"/>
      <c r="E59" s="1102"/>
      <c r="F59" s="1102"/>
      <c r="G59" s="1104">
        <v>5.5</v>
      </c>
      <c r="H59" s="1102"/>
      <c r="I59" s="1102"/>
      <c r="J59" s="1102"/>
    </row>
    <row r="60" spans="1:10">
      <c r="A60" s="1102"/>
      <c r="B60" s="1102" t="s">
        <v>1597</v>
      </c>
      <c r="C60" s="1104">
        <v>0.2</v>
      </c>
      <c r="D60" s="1102"/>
      <c r="E60" s="1102"/>
      <c r="F60" s="1102"/>
      <c r="G60" s="1104">
        <v>0.15</v>
      </c>
      <c r="H60" s="1102"/>
      <c r="I60" s="1102"/>
      <c r="J60" s="1102"/>
    </row>
    <row r="61" spans="1:10">
      <c r="A61" s="1102"/>
      <c r="B61" s="1102" t="s">
        <v>1588</v>
      </c>
      <c r="C61" s="1104">
        <v>644.5</v>
      </c>
      <c r="D61" s="1102"/>
      <c r="E61" s="1102"/>
      <c r="F61" s="1102"/>
      <c r="G61" s="1104">
        <v>667.7</v>
      </c>
      <c r="H61" s="1102"/>
      <c r="I61" s="1102"/>
      <c r="J61" s="1102"/>
    </row>
    <row r="62" spans="1:10">
      <c r="A62" s="1102"/>
      <c r="B62" s="1102" t="s">
        <v>1587</v>
      </c>
      <c r="C62" s="1104">
        <v>4.9000000000000004</v>
      </c>
      <c r="D62" s="1102"/>
      <c r="E62" s="1102"/>
      <c r="F62" s="1102"/>
      <c r="G62" s="1104">
        <v>5</v>
      </c>
      <c r="H62" s="1102"/>
      <c r="I62" s="1102"/>
      <c r="J62" s="1102"/>
    </row>
    <row r="63" spans="1:10">
      <c r="A63" s="1102"/>
      <c r="B63" s="1102" t="s">
        <v>1598</v>
      </c>
      <c r="C63" s="1104">
        <v>1220.76</v>
      </c>
      <c r="D63" s="1102"/>
      <c r="E63" s="1102"/>
      <c r="F63" s="1102"/>
      <c r="G63" s="1104">
        <v>954.93</v>
      </c>
      <c r="H63" s="1102"/>
      <c r="I63" s="1102"/>
      <c r="J63" s="1102"/>
    </row>
    <row r="64" spans="1:10">
      <c r="A64" s="1102"/>
      <c r="B64" s="1102"/>
      <c r="C64" s="1102"/>
      <c r="D64" s="1102"/>
      <c r="E64" s="1102"/>
      <c r="F64" s="1102"/>
      <c r="G64" s="1102"/>
      <c r="H64" s="1102"/>
      <c r="I64" s="1102"/>
      <c r="J64" s="1102"/>
    </row>
    <row r="65" spans="1:10">
      <c r="A65" s="1102"/>
      <c r="B65" s="1102" t="s">
        <v>1575</v>
      </c>
      <c r="C65" s="1106"/>
      <c r="D65" s="1106">
        <f>D37</f>
        <v>102813</v>
      </c>
      <c r="E65" s="1106">
        <f>E37</f>
        <v>61687.799999999996</v>
      </c>
      <c r="F65" s="1106">
        <f>D65-E65</f>
        <v>41125.200000000004</v>
      </c>
      <c r="G65" s="1102"/>
      <c r="H65" s="1106">
        <f>H37</f>
        <v>107844</v>
      </c>
      <c r="I65" s="1106">
        <f>I37</f>
        <v>64706.399999999994</v>
      </c>
      <c r="J65" s="1106">
        <f>H65-I65</f>
        <v>43137.600000000006</v>
      </c>
    </row>
    <row r="66" spans="1:10">
      <c r="A66" s="1102"/>
      <c r="B66" s="1102"/>
      <c r="C66" s="1102"/>
      <c r="D66" s="1116"/>
      <c r="E66" s="1106"/>
      <c r="F66" s="1106"/>
      <c r="G66" s="1102"/>
      <c r="H66" s="1116"/>
      <c r="I66" s="1106"/>
      <c r="J66" s="1106"/>
    </row>
    <row r="67" spans="1:10" ht="25.5">
      <c r="A67" s="1102" t="s">
        <v>1599</v>
      </c>
      <c r="B67" s="1113" t="s">
        <v>1600</v>
      </c>
      <c r="C67" s="1102"/>
      <c r="D67" s="1106">
        <f>C60*D65/100*(C61-C62)/1000*C63</f>
        <v>160552.38928809605</v>
      </c>
      <c r="E67" s="1106">
        <f>E65/D65*D67</f>
        <v>96331.433572857626</v>
      </c>
      <c r="F67" s="1106">
        <f>D67-E67</f>
        <v>64220.955715238422</v>
      </c>
      <c r="G67" s="1102"/>
      <c r="H67" s="1106">
        <f>G60*H65/100*(G61-G62)/1000*G63</f>
        <v>102370.71926802599</v>
      </c>
      <c r="I67" s="1106">
        <f>I65/H65*H67</f>
        <v>61422.431560815588</v>
      </c>
      <c r="J67" s="1106">
        <f>H67-I67</f>
        <v>40948.287707210402</v>
      </c>
    </row>
    <row r="69" spans="1:10">
      <c r="A69" t="s">
        <v>1569</v>
      </c>
    </row>
    <row r="70" spans="1:10">
      <c r="B70" s="2053" t="s">
        <v>1742</v>
      </c>
      <c r="C70" s="2053"/>
      <c r="D70" s="2053"/>
      <c r="E70" s="2053"/>
      <c r="F70" s="2053"/>
      <c r="G70" s="2053"/>
      <c r="H70" s="2053"/>
    </row>
    <row r="71" spans="1:10" ht="25.5">
      <c r="A71" s="1462" t="s">
        <v>132</v>
      </c>
      <c r="B71" s="2054" t="s">
        <v>1743</v>
      </c>
      <c r="C71" s="2022"/>
      <c r="D71" s="2022"/>
      <c r="E71" s="2021"/>
      <c r="F71" s="1120" t="s">
        <v>1744</v>
      </c>
      <c r="G71" s="1120" t="s">
        <v>1745</v>
      </c>
      <c r="H71" s="1463" t="s">
        <v>1746</v>
      </c>
      <c r="I71" s="1463" t="s">
        <v>1747</v>
      </c>
    </row>
    <row r="72" spans="1:10">
      <c r="A72" s="1464"/>
      <c r="B72" s="2055" t="s">
        <v>1748</v>
      </c>
      <c r="C72" s="2056"/>
      <c r="D72" s="2056"/>
      <c r="E72" s="2057"/>
      <c r="F72" s="1465">
        <v>2</v>
      </c>
      <c r="G72" s="1466">
        <v>1424109</v>
      </c>
      <c r="H72" s="1467">
        <v>6</v>
      </c>
      <c r="I72" s="1468">
        <f>ROUND(G72*F72*H72/100,0)</f>
        <v>170893</v>
      </c>
    </row>
    <row r="73" spans="1:10">
      <c r="A73" s="1469"/>
      <c r="B73" s="2055" t="s">
        <v>1748</v>
      </c>
      <c r="C73" s="2056"/>
      <c r="D73" s="2056"/>
      <c r="E73" s="2057"/>
      <c r="F73" s="1470">
        <v>2</v>
      </c>
      <c r="G73" s="1471">
        <v>1598908</v>
      </c>
      <c r="H73" s="1472">
        <v>6</v>
      </c>
      <c r="I73" s="1473">
        <f t="shared" ref="I73:I83" si="5">ROUND(G73*F73*H73/100,0)</f>
        <v>191869</v>
      </c>
    </row>
    <row r="74" spans="1:10">
      <c r="A74" s="1469"/>
      <c r="B74" s="2063" t="s">
        <v>1749</v>
      </c>
      <c r="C74" s="2059"/>
      <c r="D74" s="2059"/>
      <c r="E74" s="2060"/>
      <c r="F74" s="1470">
        <v>2</v>
      </c>
      <c r="G74" s="1471">
        <v>1156682</v>
      </c>
      <c r="H74" s="1472">
        <v>10</v>
      </c>
      <c r="I74" s="1473">
        <f t="shared" si="5"/>
        <v>231336</v>
      </c>
    </row>
    <row r="75" spans="1:10">
      <c r="A75" s="1469"/>
      <c r="B75" s="2061" t="s">
        <v>1750</v>
      </c>
      <c r="C75" s="2043"/>
      <c r="D75" s="2043"/>
      <c r="E75" s="2044"/>
      <c r="F75" s="1470">
        <v>2</v>
      </c>
      <c r="G75" s="1471">
        <v>1045118</v>
      </c>
      <c r="H75" s="1472">
        <v>10</v>
      </c>
      <c r="I75" s="1473">
        <f t="shared" si="5"/>
        <v>209024</v>
      </c>
    </row>
    <row r="76" spans="1:10">
      <c r="A76" s="1469"/>
      <c r="B76" s="2062" t="s">
        <v>1751</v>
      </c>
      <c r="C76" s="2043"/>
      <c r="D76" s="2043"/>
      <c r="E76" s="2044"/>
      <c r="F76" s="1470">
        <v>2</v>
      </c>
      <c r="G76" s="1471">
        <v>926393</v>
      </c>
      <c r="H76" s="1472">
        <v>10</v>
      </c>
      <c r="I76" s="1473">
        <f t="shared" si="5"/>
        <v>185279</v>
      </c>
    </row>
    <row r="77" spans="1:10">
      <c r="A77" s="1469"/>
      <c r="B77" s="2027" t="s">
        <v>1752</v>
      </c>
      <c r="C77" s="2028"/>
      <c r="D77" s="2028"/>
      <c r="E77" s="2045"/>
      <c r="F77" s="1470">
        <v>2</v>
      </c>
      <c r="G77" s="1471">
        <v>1066803</v>
      </c>
      <c r="H77" s="1472">
        <v>4</v>
      </c>
      <c r="I77" s="1473">
        <f t="shared" si="5"/>
        <v>85344</v>
      </c>
    </row>
    <row r="78" spans="1:10">
      <c r="A78" s="1469"/>
      <c r="B78" s="2027" t="s">
        <v>1753</v>
      </c>
      <c r="C78" s="2028"/>
      <c r="D78" s="2028"/>
      <c r="E78" s="2045"/>
      <c r="F78" s="1470">
        <v>2</v>
      </c>
      <c r="G78" s="1471">
        <v>863441</v>
      </c>
      <c r="H78" s="1472">
        <v>5</v>
      </c>
      <c r="I78" s="1473">
        <f t="shared" si="5"/>
        <v>86344</v>
      </c>
    </row>
    <row r="79" spans="1:10">
      <c r="A79" s="1469"/>
      <c r="B79" s="2027" t="s">
        <v>1754</v>
      </c>
      <c r="C79" s="2028"/>
      <c r="D79" s="2028"/>
      <c r="E79" s="2045"/>
      <c r="F79" s="1470">
        <v>2</v>
      </c>
      <c r="G79" s="1471">
        <v>1087005</v>
      </c>
      <c r="H79" s="1472">
        <v>5</v>
      </c>
      <c r="I79" s="1473">
        <f t="shared" si="5"/>
        <v>108701</v>
      </c>
    </row>
    <row r="80" spans="1:10">
      <c r="A80" s="1469"/>
      <c r="B80" s="2027" t="s">
        <v>1755</v>
      </c>
      <c r="C80" s="2028"/>
      <c r="D80" s="2028"/>
      <c r="E80" s="2045"/>
      <c r="F80" s="1470">
        <v>2</v>
      </c>
      <c r="G80" s="1471">
        <v>958064</v>
      </c>
      <c r="H80" s="1472">
        <v>3</v>
      </c>
      <c r="I80" s="1473">
        <f t="shared" si="5"/>
        <v>57484</v>
      </c>
    </row>
    <row r="81" spans="1:9">
      <c r="A81" s="1469"/>
      <c r="B81" s="2027" t="s">
        <v>1756</v>
      </c>
      <c r="C81" s="2028"/>
      <c r="D81" s="2028"/>
      <c r="E81" s="2045"/>
      <c r="F81" s="1470">
        <v>2</v>
      </c>
      <c r="G81" s="1471">
        <v>1140413</v>
      </c>
      <c r="H81" s="1472">
        <v>3</v>
      </c>
      <c r="I81" s="1473">
        <f t="shared" si="5"/>
        <v>68425</v>
      </c>
    </row>
    <row r="82" spans="1:9">
      <c r="A82" s="1469"/>
      <c r="B82" s="2027" t="s">
        <v>1757</v>
      </c>
      <c r="C82" s="2028"/>
      <c r="D82" s="2028"/>
      <c r="E82" s="2045"/>
      <c r="F82" s="1470">
        <v>2</v>
      </c>
      <c r="G82" s="1471">
        <v>1027779</v>
      </c>
      <c r="H82" s="1472">
        <v>3</v>
      </c>
      <c r="I82" s="1473">
        <f t="shared" si="5"/>
        <v>61667</v>
      </c>
    </row>
    <row r="83" spans="1:9">
      <c r="A83" s="1474"/>
      <c r="B83" s="2023" t="s">
        <v>1758</v>
      </c>
      <c r="C83" s="2024"/>
      <c r="D83" s="2024"/>
      <c r="E83" s="2046"/>
      <c r="F83" s="1475">
        <v>2</v>
      </c>
      <c r="G83" s="1476">
        <v>931021</v>
      </c>
      <c r="H83" s="1477">
        <v>4</v>
      </c>
      <c r="I83" s="1473">
        <f t="shared" si="5"/>
        <v>74482</v>
      </c>
    </row>
    <row r="84" spans="1:9">
      <c r="A84" s="1102"/>
      <c r="B84" s="2047" t="s">
        <v>435</v>
      </c>
      <c r="C84" s="2047"/>
      <c r="D84" s="2047"/>
      <c r="E84" s="2047"/>
      <c r="F84" s="1102"/>
      <c r="G84" s="1102"/>
      <c r="H84" s="1102"/>
      <c r="I84" s="1478">
        <f>SUM(I72:I83)</f>
        <v>1530848</v>
      </c>
    </row>
    <row r="86" spans="1:9">
      <c r="A86" s="2048" t="s">
        <v>1569</v>
      </c>
      <c r="B86" s="2048"/>
      <c r="C86" s="2048"/>
      <c r="D86" s="2048"/>
      <c r="E86" s="2048"/>
      <c r="F86" s="2048"/>
      <c r="G86" s="2048"/>
      <c r="H86" s="2048"/>
      <c r="I86" s="2048"/>
    </row>
    <row r="87" spans="1:9">
      <c r="A87" s="2049" t="s">
        <v>1759</v>
      </c>
      <c r="B87" s="2049"/>
      <c r="C87" s="2049"/>
      <c r="D87" s="2049"/>
      <c r="E87" s="2049"/>
      <c r="F87" s="2049"/>
      <c r="G87" s="2049"/>
      <c r="H87" s="2049"/>
      <c r="I87" s="2049"/>
    </row>
    <row r="88" spans="1:9" ht="63.75">
      <c r="A88" s="1975" t="s">
        <v>1760</v>
      </c>
      <c r="B88" s="1975"/>
      <c r="C88" s="1975" t="s">
        <v>1761</v>
      </c>
      <c r="D88" s="1975"/>
      <c r="E88" s="1975"/>
      <c r="F88" s="1120" t="s">
        <v>1762</v>
      </c>
      <c r="G88" s="1120" t="s">
        <v>1763</v>
      </c>
      <c r="H88" s="1120" t="s">
        <v>1764</v>
      </c>
      <c r="I88" s="1120" t="s">
        <v>1765</v>
      </c>
    </row>
    <row r="89" spans="1:9">
      <c r="A89" s="2029" t="s">
        <v>1766</v>
      </c>
      <c r="B89" s="2030"/>
      <c r="C89" s="2031" t="s">
        <v>1767</v>
      </c>
      <c r="D89" s="2031"/>
      <c r="E89" s="2032"/>
      <c r="F89" s="1473">
        <v>30662517</v>
      </c>
      <c r="G89" s="1479">
        <v>400</v>
      </c>
      <c r="H89" s="1480">
        <v>10</v>
      </c>
      <c r="I89" s="1481">
        <f>ROUND(F89/G89*12*H89/100,0)</f>
        <v>91988</v>
      </c>
    </row>
    <row r="90" spans="1:9" ht="14.25">
      <c r="A90" s="2033" t="s">
        <v>1768</v>
      </c>
      <c r="B90" s="2034"/>
      <c r="C90" s="1482" t="s">
        <v>1769</v>
      </c>
      <c r="D90" s="1482"/>
      <c r="E90" s="1482"/>
      <c r="F90" s="1483">
        <v>10838</v>
      </c>
      <c r="G90" s="1484">
        <v>76</v>
      </c>
      <c r="H90" s="1485">
        <v>100</v>
      </c>
      <c r="I90" s="1486">
        <f>ROUND(F90/G90*12,0)</f>
        <v>1711</v>
      </c>
    </row>
    <row r="91" spans="1:9" ht="14.25">
      <c r="A91" s="2033" t="s">
        <v>1770</v>
      </c>
      <c r="B91" s="2034"/>
      <c r="C91" s="1482" t="s">
        <v>1769</v>
      </c>
      <c r="D91" s="1482"/>
      <c r="E91" s="1482"/>
      <c r="F91" s="1483">
        <v>10838</v>
      </c>
      <c r="G91" s="1484">
        <v>76</v>
      </c>
      <c r="H91" s="1485">
        <v>100</v>
      </c>
      <c r="I91" s="1486">
        <f>ROUND(F91/G91*12,0)</f>
        <v>1711</v>
      </c>
    </row>
    <row r="92" spans="1:9">
      <c r="A92" s="2035" t="s">
        <v>1771</v>
      </c>
      <c r="B92" s="2036"/>
      <c r="C92" s="2037" t="s">
        <v>1772</v>
      </c>
      <c r="D92" s="2037"/>
      <c r="E92" s="2038"/>
      <c r="F92" s="1487">
        <v>71542</v>
      </c>
      <c r="G92" s="1488">
        <v>125</v>
      </c>
      <c r="H92" s="1489">
        <v>100</v>
      </c>
      <c r="I92" s="1490">
        <f>ROUND(F92/G92*12,0)</f>
        <v>6868</v>
      </c>
    </row>
    <row r="93" spans="1:9">
      <c r="A93" s="2039"/>
      <c r="B93" s="1929"/>
      <c r="C93" s="2016" t="s">
        <v>435</v>
      </c>
      <c r="D93" s="2017"/>
      <c r="E93" s="2018"/>
      <c r="F93" s="1491">
        <f>SUM(F89:F92)</f>
        <v>30755735</v>
      </c>
      <c r="G93" s="1492"/>
      <c r="H93" s="1493"/>
      <c r="I93" s="1494">
        <f>SUM(I89:I92)</f>
        <v>102278</v>
      </c>
    </row>
    <row r="94" spans="1:9">
      <c r="A94" s="1119"/>
      <c r="B94" s="1119"/>
      <c r="C94" s="1119"/>
      <c r="D94" s="1119"/>
      <c r="E94" s="1119"/>
      <c r="F94" s="1119"/>
      <c r="G94" s="1119"/>
      <c r="H94" s="1119"/>
    </row>
    <row r="95" spans="1:9">
      <c r="A95" s="1515" t="s">
        <v>1227</v>
      </c>
    </row>
    <row r="96" spans="1:9">
      <c r="A96" s="1495"/>
      <c r="B96" s="2019" t="s">
        <v>1742</v>
      </c>
      <c r="C96" s="2019"/>
      <c r="D96" s="2019"/>
      <c r="E96" s="2019"/>
      <c r="F96" s="2019"/>
      <c r="G96" s="2019"/>
      <c r="H96" s="2019"/>
      <c r="I96" s="1496"/>
    </row>
    <row r="97" spans="1:9" ht="38.25">
      <c r="A97" s="1463" t="s">
        <v>132</v>
      </c>
      <c r="B97" s="2040" t="s">
        <v>1743</v>
      </c>
      <c r="C97" s="2040"/>
      <c r="D97" s="2040"/>
      <c r="E97" s="2040"/>
      <c r="F97" s="1463" t="s">
        <v>1744</v>
      </c>
      <c r="G97" s="1120" t="s">
        <v>1745</v>
      </c>
      <c r="H97" s="1463" t="s">
        <v>1773</v>
      </c>
      <c r="I97" s="1120" t="s">
        <v>1774</v>
      </c>
    </row>
    <row r="98" spans="1:9">
      <c r="A98" s="1497"/>
      <c r="B98" s="2041" t="s">
        <v>1775</v>
      </c>
      <c r="C98" s="2042"/>
      <c r="D98" s="2042"/>
      <c r="E98" s="2042"/>
      <c r="F98" s="1498">
        <v>2</v>
      </c>
      <c r="G98" s="1746">
        <v>590448</v>
      </c>
      <c r="H98" s="1498">
        <v>30</v>
      </c>
      <c r="I98" s="1499">
        <f>ROUND(G98*F98*H98/100,0)</f>
        <v>354269</v>
      </c>
    </row>
    <row r="99" spans="1:9">
      <c r="A99" s="1500"/>
      <c r="B99" s="2025" t="s">
        <v>1776</v>
      </c>
      <c r="C99" s="2026"/>
      <c r="D99" s="2026"/>
      <c r="E99" s="2026"/>
      <c r="F99" s="1501">
        <v>1</v>
      </c>
      <c r="G99" s="1747">
        <v>795482</v>
      </c>
      <c r="H99" s="1501">
        <v>5</v>
      </c>
      <c r="I99" s="1502">
        <f t="shared" ref="I99:I110" si="6">ROUND(G99*F99*H99/100,0)</f>
        <v>39774</v>
      </c>
    </row>
    <row r="100" spans="1:9">
      <c r="A100" s="1500"/>
      <c r="B100" s="2025" t="s">
        <v>1777</v>
      </c>
      <c r="C100" s="2026"/>
      <c r="D100" s="2026"/>
      <c r="E100" s="2026"/>
      <c r="F100" s="1501">
        <v>1</v>
      </c>
      <c r="G100" s="1747">
        <v>929573</v>
      </c>
      <c r="H100" s="1501">
        <v>5</v>
      </c>
      <c r="I100" s="1502">
        <f t="shared" si="6"/>
        <v>46479</v>
      </c>
    </row>
    <row r="101" spans="1:9">
      <c r="A101" s="1500"/>
      <c r="B101" s="2025" t="s">
        <v>1778</v>
      </c>
      <c r="C101" s="2026"/>
      <c r="D101" s="2026"/>
      <c r="E101" s="2026"/>
      <c r="F101" s="1501">
        <v>2</v>
      </c>
      <c r="G101" s="1502">
        <v>945582</v>
      </c>
      <c r="H101" s="1501">
        <v>10</v>
      </c>
      <c r="I101" s="1502">
        <f t="shared" si="6"/>
        <v>189116</v>
      </c>
    </row>
    <row r="102" spans="1:9">
      <c r="A102" s="1500"/>
      <c r="B102" s="2025" t="s">
        <v>1779</v>
      </c>
      <c r="C102" s="2026"/>
      <c r="D102" s="2026"/>
      <c r="E102" s="2026"/>
      <c r="F102" s="1501">
        <v>2</v>
      </c>
      <c r="G102" s="1502">
        <v>689282</v>
      </c>
      <c r="H102" s="1501">
        <v>10</v>
      </c>
      <c r="I102" s="1502">
        <f t="shared" si="6"/>
        <v>137856</v>
      </c>
    </row>
    <row r="103" spans="1:9">
      <c r="A103" s="1500"/>
      <c r="B103" s="2025" t="s">
        <v>1780</v>
      </c>
      <c r="C103" s="2026"/>
      <c r="D103" s="2026"/>
      <c r="E103" s="2026"/>
      <c r="F103" s="1501">
        <v>1</v>
      </c>
      <c r="G103" s="1502">
        <v>988932</v>
      </c>
      <c r="H103" s="1501">
        <v>10</v>
      </c>
      <c r="I103" s="1502">
        <f t="shared" si="6"/>
        <v>98893</v>
      </c>
    </row>
    <row r="104" spans="1:9">
      <c r="A104" s="1500"/>
      <c r="B104" s="2025" t="s">
        <v>1748</v>
      </c>
      <c r="C104" s="2026"/>
      <c r="D104" s="2026"/>
      <c r="E104" s="2026"/>
      <c r="F104" s="1501">
        <v>2</v>
      </c>
      <c r="G104" s="1502">
        <v>1624547</v>
      </c>
      <c r="H104" s="1501">
        <v>10</v>
      </c>
      <c r="I104" s="1502">
        <f t="shared" si="6"/>
        <v>324909</v>
      </c>
    </row>
    <row r="105" spans="1:9">
      <c r="A105" s="1500"/>
      <c r="B105" s="2025" t="s">
        <v>1781</v>
      </c>
      <c r="C105" s="2026"/>
      <c r="D105" s="2026"/>
      <c r="E105" s="2026"/>
      <c r="F105" s="1501">
        <v>2</v>
      </c>
      <c r="G105" s="1502">
        <v>1076828</v>
      </c>
      <c r="H105" s="1501">
        <v>15</v>
      </c>
      <c r="I105" s="1502">
        <f t="shared" si="6"/>
        <v>323048</v>
      </c>
    </row>
    <row r="106" spans="1:9">
      <c r="A106" s="1500"/>
      <c r="B106" s="2025" t="s">
        <v>1782</v>
      </c>
      <c r="C106" s="2026"/>
      <c r="D106" s="2026"/>
      <c r="E106" s="2026"/>
      <c r="F106" s="1501">
        <v>2</v>
      </c>
      <c r="G106" s="1502">
        <v>871812</v>
      </c>
      <c r="H106" s="1501">
        <v>15</v>
      </c>
      <c r="I106" s="1502">
        <f t="shared" si="6"/>
        <v>261544</v>
      </c>
    </row>
    <row r="107" spans="1:9">
      <c r="A107" s="1500"/>
      <c r="B107" s="2025" t="s">
        <v>1752</v>
      </c>
      <c r="C107" s="2026"/>
      <c r="D107" s="2026"/>
      <c r="E107" s="2026"/>
      <c r="F107" s="1501">
        <v>2</v>
      </c>
      <c r="G107" s="1502">
        <v>1079187</v>
      </c>
      <c r="H107" s="1501">
        <v>2</v>
      </c>
      <c r="I107" s="1502">
        <f t="shared" si="6"/>
        <v>43167</v>
      </c>
    </row>
    <row r="108" spans="1:9">
      <c r="A108" s="1500"/>
      <c r="B108" s="2025" t="s">
        <v>1753</v>
      </c>
      <c r="C108" s="2026"/>
      <c r="D108" s="2026"/>
      <c r="E108" s="2026"/>
      <c r="F108" s="1501">
        <v>2</v>
      </c>
      <c r="G108" s="1502">
        <v>916059</v>
      </c>
      <c r="H108" s="1501">
        <v>5</v>
      </c>
      <c r="I108" s="1502">
        <f t="shared" si="6"/>
        <v>91606</v>
      </c>
    </row>
    <row r="109" spans="1:9">
      <c r="A109" s="1500"/>
      <c r="B109" s="2025" t="s">
        <v>1754</v>
      </c>
      <c r="C109" s="2026"/>
      <c r="D109" s="2026"/>
      <c r="E109" s="2026"/>
      <c r="F109" s="1501">
        <v>2</v>
      </c>
      <c r="G109" s="1502">
        <v>1027779</v>
      </c>
      <c r="H109" s="1501">
        <v>5</v>
      </c>
      <c r="I109" s="1502">
        <f t="shared" si="6"/>
        <v>102778</v>
      </c>
    </row>
    <row r="110" spans="1:9">
      <c r="A110" s="1503"/>
      <c r="B110" s="2027" t="s">
        <v>1783</v>
      </c>
      <c r="C110" s="2028"/>
      <c r="D110" s="2028"/>
      <c r="E110" s="2028"/>
      <c r="F110" s="1504">
        <v>2</v>
      </c>
      <c r="G110" s="1505">
        <v>1135719</v>
      </c>
      <c r="H110" s="1504">
        <v>3</v>
      </c>
      <c r="I110" s="1505">
        <f t="shared" si="6"/>
        <v>68143</v>
      </c>
    </row>
    <row r="111" spans="1:9">
      <c r="A111" s="1506"/>
      <c r="B111" s="2023" t="s">
        <v>1756</v>
      </c>
      <c r="C111" s="2024"/>
      <c r="D111" s="2024"/>
      <c r="E111" s="2024"/>
      <c r="F111" s="1507">
        <v>2</v>
      </c>
      <c r="G111" s="1508">
        <v>957263</v>
      </c>
      <c r="H111" s="1507">
        <v>2</v>
      </c>
      <c r="I111" s="1508">
        <f>ROUND(635444*2*H111/100,0)</f>
        <v>25418</v>
      </c>
    </row>
    <row r="112" spans="1:9">
      <c r="A112" s="1509"/>
      <c r="B112" s="2016" t="s">
        <v>1784</v>
      </c>
      <c r="C112" s="2017"/>
      <c r="D112" s="2017"/>
      <c r="E112" s="2018"/>
      <c r="F112" s="1510"/>
      <c r="G112" s="1511"/>
      <c r="H112" s="1511"/>
      <c r="I112" s="1478">
        <f>SUM(I98:I111)</f>
        <v>2107000</v>
      </c>
    </row>
    <row r="113" spans="1:9">
      <c r="A113" s="1495"/>
      <c r="B113" s="1512"/>
      <c r="C113" s="1512"/>
      <c r="D113" s="1512"/>
      <c r="E113" s="1512"/>
      <c r="F113" s="1512"/>
      <c r="G113" s="1512"/>
      <c r="H113" s="1513"/>
      <c r="I113" s="1496"/>
    </row>
    <row r="114" spans="1:9">
      <c r="A114" s="1515" t="s">
        <v>1227</v>
      </c>
      <c r="B114" s="1514"/>
      <c r="C114" s="1514"/>
      <c r="D114" s="1514"/>
      <c r="E114" s="1514"/>
      <c r="F114" s="1514"/>
      <c r="G114" s="1514"/>
      <c r="H114" s="1514"/>
      <c r="I114" s="1514"/>
    </row>
    <row r="115" spans="1:9">
      <c r="A115" s="1515"/>
      <c r="B115" s="2019" t="s">
        <v>1759</v>
      </c>
      <c r="C115" s="2019"/>
      <c r="D115" s="2019"/>
      <c r="E115" s="2019"/>
      <c r="F115" s="2019"/>
      <c r="G115" s="2019"/>
      <c r="H115" s="2019"/>
      <c r="I115" s="2019"/>
    </row>
    <row r="116" spans="1:9" ht="63.75">
      <c r="A116" s="2020" t="s">
        <v>1760</v>
      </c>
      <c r="B116" s="2021"/>
      <c r="C116" s="2020" t="s">
        <v>1761</v>
      </c>
      <c r="D116" s="2022"/>
      <c r="E116" s="2021"/>
      <c r="F116" s="1120" t="s">
        <v>1785</v>
      </c>
      <c r="G116" s="1120" t="s">
        <v>1763</v>
      </c>
      <c r="H116" s="1120" t="s">
        <v>1764</v>
      </c>
      <c r="I116" s="1120" t="s">
        <v>1765</v>
      </c>
    </row>
    <row r="117" spans="1:9">
      <c r="A117" s="2013" t="s">
        <v>1786</v>
      </c>
      <c r="B117" s="2014"/>
      <c r="C117" s="2005" t="s">
        <v>1787</v>
      </c>
      <c r="D117" s="2006"/>
      <c r="E117" s="2007"/>
      <c r="F117" s="1516">
        <v>7496008</v>
      </c>
      <c r="G117" s="1517">
        <v>372</v>
      </c>
      <c r="H117" s="1517">
        <v>20</v>
      </c>
      <c r="I117" s="1518">
        <f>ROUND(F117/G117*12*H117/100,0)</f>
        <v>48361</v>
      </c>
    </row>
    <row r="118" spans="1:9" ht="51">
      <c r="A118" s="1519"/>
      <c r="B118" s="1520"/>
      <c r="C118" s="1521" t="s">
        <v>1788</v>
      </c>
      <c r="D118" s="1522"/>
      <c r="E118" s="1522"/>
      <c r="F118" s="1523"/>
      <c r="G118" s="1524"/>
      <c r="H118" s="1524"/>
      <c r="I118" s="1525"/>
    </row>
    <row r="119" spans="1:9" ht="25.5">
      <c r="A119" s="1519"/>
      <c r="B119" s="1520"/>
      <c r="C119" s="1526" t="s">
        <v>1789</v>
      </c>
      <c r="D119" s="1526"/>
      <c r="E119" s="1526"/>
      <c r="F119" s="1527"/>
      <c r="G119" s="1528"/>
      <c r="H119" s="1528"/>
      <c r="I119" s="1525"/>
    </row>
    <row r="120" spans="1:9">
      <c r="A120" s="1519"/>
      <c r="B120" s="1520"/>
      <c r="C120" s="1529"/>
      <c r="D120" s="1530"/>
      <c r="E120" s="1530"/>
      <c r="F120" s="1516"/>
      <c r="G120" s="1517"/>
      <c r="H120" s="1517"/>
      <c r="I120" s="1525"/>
    </row>
    <row r="121" spans="1:9">
      <c r="A121" s="2013" t="s">
        <v>1790</v>
      </c>
      <c r="B121" s="2014"/>
      <c r="C121" s="2005" t="s">
        <v>1791</v>
      </c>
      <c r="D121" s="2006"/>
      <c r="E121" s="2007"/>
      <c r="F121" s="1523">
        <v>2507517</v>
      </c>
      <c r="G121" s="1524">
        <v>400</v>
      </c>
      <c r="H121" s="1524">
        <v>20</v>
      </c>
      <c r="I121" s="1518">
        <f>ROUND(F121/G121*12*H121/100,0)</f>
        <v>15045</v>
      </c>
    </row>
    <row r="122" spans="1:9" ht="51">
      <c r="A122" s="1519"/>
      <c r="B122" s="1520"/>
      <c r="C122" s="1530" t="s">
        <v>1792</v>
      </c>
      <c r="D122" s="1530"/>
      <c r="E122" s="1530"/>
      <c r="F122" s="1516"/>
      <c r="G122" s="1517"/>
      <c r="H122" s="1517"/>
      <c r="I122" s="1525"/>
    </row>
    <row r="123" spans="1:9" ht="51">
      <c r="A123" s="1519"/>
      <c r="B123" s="1520"/>
      <c r="C123" s="1521" t="s">
        <v>1793</v>
      </c>
      <c r="D123" s="1522"/>
      <c r="E123" s="1522"/>
      <c r="F123" s="1523"/>
      <c r="G123" s="1524"/>
      <c r="H123" s="1524"/>
      <c r="I123" s="1525"/>
    </row>
    <row r="124" spans="1:9" ht="51">
      <c r="A124" s="1519"/>
      <c r="B124" s="1520"/>
      <c r="C124" s="1529" t="s">
        <v>1794</v>
      </c>
      <c r="D124" s="1530"/>
      <c r="E124" s="1530"/>
      <c r="F124" s="1516"/>
      <c r="G124" s="1517"/>
      <c r="H124" s="1517"/>
      <c r="I124" s="1531"/>
    </row>
    <row r="125" spans="1:9">
      <c r="A125" s="2015" t="s">
        <v>1795</v>
      </c>
      <c r="B125" s="2004"/>
      <c r="C125" s="2005" t="s">
        <v>1796</v>
      </c>
      <c r="D125" s="2006"/>
      <c r="E125" s="2007"/>
      <c r="F125" s="1523">
        <v>208328</v>
      </c>
      <c r="G125" s="1524">
        <v>76</v>
      </c>
      <c r="H125" s="1524">
        <v>20</v>
      </c>
      <c r="I125" s="1525">
        <f>ROUND(F125/G125*12*H125/100,0)</f>
        <v>6579</v>
      </c>
    </row>
    <row r="126" spans="1:9">
      <c r="A126" s="2015" t="s">
        <v>1797</v>
      </c>
      <c r="B126" s="2004"/>
      <c r="C126" s="2005" t="s">
        <v>1798</v>
      </c>
      <c r="D126" s="2006"/>
      <c r="E126" s="2007"/>
      <c r="F126" s="1527">
        <v>69614</v>
      </c>
      <c r="G126" s="1524">
        <v>76</v>
      </c>
      <c r="H126" s="1528">
        <v>20</v>
      </c>
      <c r="I126" s="1525">
        <f>ROUND(F126/G126*12*H126/100,0)</f>
        <v>2198</v>
      </c>
    </row>
    <row r="127" spans="1:9">
      <c r="A127" s="1519"/>
      <c r="B127" s="1520"/>
      <c r="C127" s="1529"/>
      <c r="D127" s="1530"/>
      <c r="E127" s="1530"/>
      <c r="F127" s="1516"/>
      <c r="G127" s="1517"/>
      <c r="H127" s="1517"/>
      <c r="I127" s="1532"/>
    </row>
    <row r="128" spans="1:9">
      <c r="A128" s="2003" t="s">
        <v>1799</v>
      </c>
      <c r="B128" s="2004"/>
      <c r="C128" s="2005" t="s">
        <v>1800</v>
      </c>
      <c r="D128" s="2006"/>
      <c r="E128" s="2007"/>
      <c r="F128" s="1523">
        <v>2196654</v>
      </c>
      <c r="G128" s="1524">
        <v>245</v>
      </c>
      <c r="H128" s="1524">
        <v>20</v>
      </c>
      <c r="I128" s="1525">
        <f>ROUND(F128/G128*12*H128/100,0)</f>
        <v>21518</v>
      </c>
    </row>
    <row r="129" spans="1:9" ht="38.25">
      <c r="A129" s="1533"/>
      <c r="B129" s="1534"/>
      <c r="C129" s="1530" t="s">
        <v>1801</v>
      </c>
      <c r="D129" s="1530"/>
      <c r="E129" s="1530"/>
      <c r="F129" s="1535"/>
      <c r="G129" s="1517"/>
      <c r="H129" s="1517"/>
      <c r="I129" s="1536"/>
    </row>
    <row r="130" spans="1:9" ht="51">
      <c r="A130" s="1533"/>
      <c r="B130" s="1534"/>
      <c r="C130" s="1521" t="s">
        <v>1802</v>
      </c>
      <c r="D130" s="1522"/>
      <c r="E130" s="1522"/>
      <c r="F130" s="1537"/>
      <c r="G130" s="1524"/>
      <c r="H130" s="1524"/>
      <c r="I130" s="1536"/>
    </row>
    <row r="131" spans="1:9" ht="38.25">
      <c r="A131" s="1533"/>
      <c r="B131" s="1534"/>
      <c r="C131" s="1529" t="s">
        <v>1803</v>
      </c>
      <c r="D131" s="1530"/>
      <c r="E131" s="1530"/>
      <c r="F131" s="1535"/>
      <c r="G131" s="1517"/>
      <c r="H131" s="1517"/>
      <c r="I131" s="1536"/>
    </row>
    <row r="132" spans="1:9" ht="39.75">
      <c r="A132" s="1533"/>
      <c r="B132" s="1534"/>
      <c r="C132" s="1538" t="s">
        <v>1804</v>
      </c>
      <c r="D132" s="1522"/>
      <c r="E132" s="1522"/>
      <c r="F132" s="1537"/>
      <c r="G132" s="1524"/>
      <c r="H132" s="1524"/>
      <c r="I132" s="1536"/>
    </row>
    <row r="133" spans="1:9">
      <c r="A133" s="1533"/>
      <c r="B133" s="1534"/>
      <c r="C133" s="2008" t="s">
        <v>1805</v>
      </c>
      <c r="D133" s="2009"/>
      <c r="E133" s="2010"/>
      <c r="F133" s="1535"/>
      <c r="G133" s="1517"/>
      <c r="H133" s="1517"/>
      <c r="I133" s="1536"/>
    </row>
    <row r="134" spans="1:9">
      <c r="A134" s="1533"/>
      <c r="B134" s="1534"/>
      <c r="C134" s="2008" t="s">
        <v>1806</v>
      </c>
      <c r="D134" s="2009"/>
      <c r="E134" s="2010"/>
      <c r="F134" s="1539"/>
      <c r="G134" s="1540"/>
      <c r="H134" s="1540"/>
      <c r="I134" s="1536"/>
    </row>
    <row r="135" spans="1:9" ht="38.25">
      <c r="A135" s="1533"/>
      <c r="B135" s="1534"/>
      <c r="C135" s="1522" t="s">
        <v>1807</v>
      </c>
      <c r="D135" s="1522"/>
      <c r="E135" s="1522"/>
      <c r="F135" s="1537"/>
      <c r="G135" s="1524"/>
      <c r="H135" s="1524"/>
      <c r="I135" s="1536"/>
    </row>
    <row r="136" spans="1:9" ht="52.5">
      <c r="A136" s="1533"/>
      <c r="B136" s="1534"/>
      <c r="C136" s="1541" t="s">
        <v>1808</v>
      </c>
      <c r="D136" s="1530"/>
      <c r="E136" s="1530"/>
      <c r="F136" s="1539"/>
      <c r="G136" s="1540"/>
      <c r="H136" s="1540"/>
      <c r="I136" s="1536"/>
    </row>
    <row r="137" spans="1:9" ht="38.25">
      <c r="A137" s="1542"/>
      <c r="B137" s="1543"/>
      <c r="C137" s="1521" t="s">
        <v>1809</v>
      </c>
      <c r="D137" s="1522"/>
      <c r="E137" s="1522"/>
      <c r="F137" s="1537"/>
      <c r="G137" s="1524"/>
      <c r="H137" s="1524"/>
      <c r="I137" s="1536"/>
    </row>
    <row r="138" spans="1:9">
      <c r="A138" s="1542"/>
      <c r="B138" s="1544"/>
      <c r="C138" s="1521"/>
      <c r="D138" s="1522"/>
      <c r="E138" s="1522"/>
      <c r="F138" s="1537"/>
      <c r="G138" s="1544"/>
      <c r="H138" s="1524"/>
      <c r="I138" s="1545"/>
    </row>
    <row r="139" spans="1:9">
      <c r="A139" s="2005" t="s">
        <v>1810</v>
      </c>
      <c r="B139" s="2004"/>
      <c r="C139" s="2005" t="s">
        <v>1811</v>
      </c>
      <c r="D139" s="2011"/>
      <c r="E139" s="2012"/>
      <c r="F139" s="1527">
        <v>727767572</v>
      </c>
      <c r="G139" s="1546">
        <v>399.68169999999998</v>
      </c>
      <c r="H139" s="1542">
        <v>15</v>
      </c>
      <c r="I139" s="1525">
        <f>ROUND(F139/G139*12*H139/100,0)</f>
        <v>3277562</v>
      </c>
    </row>
    <row r="140" spans="1:9" ht="51">
      <c r="A140" s="1533"/>
      <c r="B140" s="1534"/>
      <c r="C140" s="1521" t="s">
        <v>1812</v>
      </c>
      <c r="D140" s="1522"/>
      <c r="E140" s="1547"/>
      <c r="F140" s="1539"/>
      <c r="G140" s="1496"/>
      <c r="H140" s="1533"/>
      <c r="I140" s="1548"/>
    </row>
    <row r="141" spans="1:9" ht="51">
      <c r="A141" s="1533"/>
      <c r="B141" s="1534"/>
      <c r="C141" s="1529" t="s">
        <v>1813</v>
      </c>
      <c r="D141" s="1530"/>
      <c r="E141" s="1549"/>
      <c r="F141" s="1539"/>
      <c r="G141" s="1550"/>
      <c r="H141" s="1550"/>
      <c r="I141" s="1536"/>
    </row>
    <row r="142" spans="1:9" ht="38.25">
      <c r="A142" s="1533"/>
      <c r="B142" s="1534"/>
      <c r="C142" s="1521" t="s">
        <v>1814</v>
      </c>
      <c r="D142" s="1522"/>
      <c r="E142" s="1547"/>
      <c r="F142" s="1539"/>
      <c r="G142" s="1496"/>
      <c r="H142" s="1533"/>
      <c r="I142" s="1548"/>
    </row>
    <row r="143" spans="1:9" ht="63.75">
      <c r="A143" s="1533"/>
      <c r="B143" s="1534"/>
      <c r="C143" s="1529" t="s">
        <v>1815</v>
      </c>
      <c r="D143" s="1530"/>
      <c r="E143" s="1549"/>
      <c r="F143" s="1539"/>
      <c r="G143" s="1550"/>
      <c r="H143" s="1550"/>
      <c r="I143" s="1536"/>
    </row>
    <row r="144" spans="1:9" ht="63.75">
      <c r="A144" s="1533"/>
      <c r="B144" s="1534"/>
      <c r="C144" s="1521" t="s">
        <v>1816</v>
      </c>
      <c r="D144" s="1522"/>
      <c r="E144" s="1547"/>
      <c r="F144" s="1539"/>
      <c r="G144" s="1496"/>
      <c r="H144" s="1533"/>
      <c r="I144" s="1548"/>
    </row>
    <row r="145" spans="1:9" ht="51">
      <c r="A145" s="1533"/>
      <c r="B145" s="1534"/>
      <c r="C145" s="1529" t="s">
        <v>1817</v>
      </c>
      <c r="D145" s="1530"/>
      <c r="E145" s="1549"/>
      <c r="F145" s="1539"/>
      <c r="G145" s="1550"/>
      <c r="H145" s="1550"/>
      <c r="I145" s="1536"/>
    </row>
    <row r="146" spans="1:9" ht="63.75">
      <c r="A146" s="1533"/>
      <c r="B146" s="1534"/>
      <c r="C146" s="1521" t="s">
        <v>1818</v>
      </c>
      <c r="D146" s="1522"/>
      <c r="E146" s="1547"/>
      <c r="F146" s="1539"/>
      <c r="G146" s="1550"/>
      <c r="H146" s="1550"/>
      <c r="I146" s="1536"/>
    </row>
    <row r="147" spans="1:9" ht="76.5">
      <c r="A147" s="1533"/>
      <c r="B147" s="1534"/>
      <c r="C147" s="1529" t="s">
        <v>1819</v>
      </c>
      <c r="D147" s="1530"/>
      <c r="E147" s="1549"/>
      <c r="F147" s="1539"/>
      <c r="G147" s="1550"/>
      <c r="H147" s="1550"/>
      <c r="I147" s="1536"/>
    </row>
    <row r="148" spans="1:9" ht="76.5">
      <c r="A148" s="1533"/>
      <c r="B148" s="1534"/>
      <c r="C148" s="1521" t="s">
        <v>1820</v>
      </c>
      <c r="D148" s="1522"/>
      <c r="E148" s="1547"/>
      <c r="F148" s="1539"/>
      <c r="G148" s="1496"/>
      <c r="H148" s="1533"/>
      <c r="I148" s="1548"/>
    </row>
    <row r="149" spans="1:9" ht="51">
      <c r="A149" s="1533"/>
      <c r="B149" s="1534"/>
      <c r="C149" s="1529" t="s">
        <v>1821</v>
      </c>
      <c r="D149" s="1530"/>
      <c r="E149" s="1549"/>
      <c r="F149" s="1539"/>
      <c r="G149" s="1550"/>
      <c r="H149" s="1550"/>
      <c r="I149" s="1536"/>
    </row>
    <row r="150" spans="1:9" ht="51">
      <c r="A150" s="1533"/>
      <c r="B150" s="1534"/>
      <c r="C150" s="1521" t="s">
        <v>1822</v>
      </c>
      <c r="D150" s="1522"/>
      <c r="E150" s="1547"/>
      <c r="F150" s="1539"/>
      <c r="G150" s="1496"/>
      <c r="H150" s="1533"/>
      <c r="I150" s="1548"/>
    </row>
    <row r="151" spans="1:9" ht="51">
      <c r="A151" s="1533"/>
      <c r="B151" s="1534"/>
      <c r="C151" s="1529" t="s">
        <v>1823</v>
      </c>
      <c r="D151" s="1530"/>
      <c r="E151" s="1549"/>
      <c r="F151" s="1539"/>
      <c r="G151" s="1550"/>
      <c r="H151" s="1550"/>
      <c r="I151" s="1536"/>
    </row>
    <row r="152" spans="1:9" ht="51">
      <c r="A152" s="1533"/>
      <c r="B152" s="1534"/>
      <c r="C152" s="1521" t="s">
        <v>1824</v>
      </c>
      <c r="D152" s="1522"/>
      <c r="E152" s="1547"/>
      <c r="F152" s="1539"/>
      <c r="G152" s="1496"/>
      <c r="H152" s="1533"/>
      <c r="I152" s="1548"/>
    </row>
    <row r="153" spans="1:9" ht="51">
      <c r="A153" s="1533"/>
      <c r="B153" s="1534"/>
      <c r="C153" s="1529" t="s">
        <v>1825</v>
      </c>
      <c r="D153" s="1530"/>
      <c r="E153" s="1549"/>
      <c r="F153" s="1539"/>
      <c r="G153" s="1550"/>
      <c r="H153" s="1550"/>
      <c r="I153" s="1536"/>
    </row>
    <row r="154" spans="1:9" ht="38.25">
      <c r="A154" s="1533"/>
      <c r="B154" s="1534"/>
      <c r="C154" s="1521" t="s">
        <v>1826</v>
      </c>
      <c r="D154" s="1522"/>
      <c r="E154" s="1547"/>
      <c r="F154" s="1537"/>
      <c r="G154" s="1550"/>
      <c r="H154" s="1550"/>
      <c r="I154" s="1536"/>
    </row>
    <row r="155" spans="1:9">
      <c r="A155" s="1551"/>
      <c r="B155" s="1552"/>
      <c r="C155" s="2000" t="s">
        <v>435</v>
      </c>
      <c r="D155" s="2001"/>
      <c r="E155" s="2002"/>
      <c r="F155" s="1553">
        <f>SUM(F117,F121,F125,F126,F128,F139)</f>
        <v>740245693</v>
      </c>
      <c r="G155" s="1554"/>
      <c r="H155" s="1554"/>
      <c r="I155" s="1555">
        <f>SUM(I117,I121,I125,I126,I128,I139)</f>
        <v>3371263</v>
      </c>
    </row>
    <row r="156" spans="1:9">
      <c r="A156" s="1496"/>
      <c r="B156" s="1496"/>
      <c r="C156" s="1512"/>
      <c r="D156" s="1496"/>
      <c r="E156" s="1496"/>
      <c r="F156" s="1496"/>
      <c r="G156" s="1496"/>
      <c r="H156" s="1496"/>
      <c r="I156" s="1496"/>
    </row>
  </sheetData>
  <mergeCells count="69">
    <mergeCell ref="C56:F56"/>
    <mergeCell ref="G56:J56"/>
    <mergeCell ref="A30:F30"/>
    <mergeCell ref="C6:F6"/>
    <mergeCell ref="G6:J6"/>
    <mergeCell ref="C32:F32"/>
    <mergeCell ref="G32:J32"/>
    <mergeCell ref="B70:H70"/>
    <mergeCell ref="B71:E71"/>
    <mergeCell ref="B72:E72"/>
    <mergeCell ref="B73:E73"/>
    <mergeCell ref="B74:E74"/>
    <mergeCell ref="B75:E75"/>
    <mergeCell ref="B76:E76"/>
    <mergeCell ref="B77:E77"/>
    <mergeCell ref="B78:E78"/>
    <mergeCell ref="B79:E79"/>
    <mergeCell ref="B80:E80"/>
    <mergeCell ref="B81:E81"/>
    <mergeCell ref="B82:E82"/>
    <mergeCell ref="B83:E83"/>
    <mergeCell ref="B84:E84"/>
    <mergeCell ref="A86:I86"/>
    <mergeCell ref="A87:I87"/>
    <mergeCell ref="A88:B88"/>
    <mergeCell ref="C88:E88"/>
    <mergeCell ref="A89:B89"/>
    <mergeCell ref="C89:E89"/>
    <mergeCell ref="A90:B90"/>
    <mergeCell ref="A91:B91"/>
    <mergeCell ref="A92:B92"/>
    <mergeCell ref="C92:E92"/>
    <mergeCell ref="A93:B93"/>
    <mergeCell ref="C93:E93"/>
    <mergeCell ref="B96:H96"/>
    <mergeCell ref="B97:E97"/>
    <mergeCell ref="B98:E98"/>
    <mergeCell ref="B99:E99"/>
    <mergeCell ref="B100:E100"/>
    <mergeCell ref="B101:E101"/>
    <mergeCell ref="B102:E102"/>
    <mergeCell ref="B103:E103"/>
    <mergeCell ref="B104:E104"/>
    <mergeCell ref="B105:E105"/>
    <mergeCell ref="B106:E106"/>
    <mergeCell ref="B107:E107"/>
    <mergeCell ref="B108:E108"/>
    <mergeCell ref="B109:E109"/>
    <mergeCell ref="B110:E110"/>
    <mergeCell ref="B111:E111"/>
    <mergeCell ref="B112:E112"/>
    <mergeCell ref="B115:I115"/>
    <mergeCell ref="A116:B116"/>
    <mergeCell ref="C116:E116"/>
    <mergeCell ref="A117:B117"/>
    <mergeCell ref="C117:E117"/>
    <mergeCell ref="A121:B121"/>
    <mergeCell ref="C121:E121"/>
    <mergeCell ref="A125:B125"/>
    <mergeCell ref="C125:E125"/>
    <mergeCell ref="C134:E134"/>
    <mergeCell ref="A139:B139"/>
    <mergeCell ref="C139:E139"/>
    <mergeCell ref="C155:E155"/>
    <mergeCell ref="A126:B126"/>
    <mergeCell ref="C126:E126"/>
    <mergeCell ref="A128:B128"/>
    <mergeCell ref="C128:E128"/>
    <mergeCell ref="C133:E133"/>
  </mergeCells>
  <pageMargins left="0.70866141732283472" right="0.70866141732283472" top="0.74803149606299213" bottom="0.74803149606299213" header="0.31496062992125984" footer="0.31496062992125984"/>
  <pageSetup paperSize="9" scale="51" orientation="landscape" r:id="rId1"/>
  <legacy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T42"/>
  <sheetViews>
    <sheetView view="pageBreakPreview" zoomScaleNormal="100" zoomScaleSheetLayoutView="100" workbookViewId="0">
      <pane xSplit="3" ySplit="6" topLeftCell="J7" activePane="bottomRight" state="frozen"/>
      <selection activeCell="F4" sqref="F4"/>
      <selection pane="topRight" activeCell="F4" sqref="F4"/>
      <selection pane="bottomLeft" activeCell="F4" sqref="F4"/>
      <selection pane="bottomRight" activeCell="F4" sqref="F4"/>
    </sheetView>
  </sheetViews>
  <sheetFormatPr defaultRowHeight="15"/>
  <cols>
    <col min="1" max="1" width="9.140625" style="393"/>
    <col min="2" max="2" width="42.5703125" style="393" customWidth="1"/>
    <col min="3" max="3" width="11.85546875" style="393" customWidth="1"/>
    <col min="4" max="4" width="12.7109375" style="393" hidden="1" customWidth="1"/>
    <col min="5" max="6" width="13" style="393" hidden="1" customWidth="1"/>
    <col min="7" max="7" width="13.5703125" style="393" hidden="1" customWidth="1"/>
    <col min="8" max="8" width="12" style="393" customWidth="1"/>
    <col min="9" max="9" width="13.5703125" style="410" customWidth="1"/>
    <col min="10" max="11" width="13.5703125" style="393" customWidth="1"/>
    <col min="12" max="12" width="14.140625" style="393" customWidth="1"/>
    <col min="13" max="13" width="11.42578125" style="393" customWidth="1"/>
    <col min="14" max="14" width="10.85546875" style="393" customWidth="1"/>
    <col min="15" max="15" width="13.28515625" style="393" customWidth="1"/>
    <col min="16" max="17" width="10.85546875" style="393" customWidth="1"/>
    <col min="18" max="18" width="11.42578125" style="393" customWidth="1"/>
    <col min="19" max="16384" width="9.140625" style="393"/>
  </cols>
  <sheetData>
    <row r="1" spans="1:20" ht="16.5">
      <c r="A1" s="422" t="s">
        <v>864</v>
      </c>
      <c r="B1" s="420"/>
      <c r="C1" s="420"/>
      <c r="D1" s="420"/>
      <c r="E1" s="419"/>
      <c r="F1" s="419"/>
      <c r="G1" s="419"/>
      <c r="H1" s="419"/>
      <c r="I1" s="1759"/>
      <c r="J1" s="419"/>
      <c r="K1" s="419"/>
      <c r="L1" s="419"/>
      <c r="M1" s="419"/>
      <c r="N1" s="419"/>
      <c r="O1" s="419"/>
      <c r="P1" s="419"/>
      <c r="Q1" s="419" t="s">
        <v>1048</v>
      </c>
    </row>
    <row r="2" spans="1:20">
      <c r="A2" s="420"/>
      <c r="B2" s="420"/>
      <c r="C2" s="420"/>
      <c r="D2" s="420"/>
      <c r="E2" s="420"/>
      <c r="F2" s="420"/>
      <c r="G2" s="420"/>
      <c r="H2" s="420"/>
      <c r="I2" s="377"/>
      <c r="J2" s="420"/>
      <c r="K2" s="420"/>
      <c r="L2" s="420"/>
      <c r="M2" s="420"/>
      <c r="N2" s="420"/>
      <c r="O2" s="420"/>
      <c r="P2" s="420"/>
      <c r="Q2" s="420"/>
    </row>
    <row r="3" spans="1:20" ht="54.75" customHeight="1">
      <c r="A3" s="2064" t="s">
        <v>1493</v>
      </c>
      <c r="B3" s="2064"/>
      <c r="C3" s="2064"/>
      <c r="D3" s="2064"/>
      <c r="E3" s="2064"/>
      <c r="F3" s="2064"/>
      <c r="G3" s="2064"/>
      <c r="H3" s="2064"/>
      <c r="I3" s="2064"/>
      <c r="J3" s="2064"/>
      <c r="K3" s="2064"/>
      <c r="L3" s="2064"/>
      <c r="M3" s="2065"/>
      <c r="N3" s="2065"/>
      <c r="O3" s="1742"/>
      <c r="P3" s="1742"/>
      <c r="Q3" s="1742"/>
      <c r="R3" s="1617"/>
    </row>
    <row r="4" spans="1:20">
      <c r="A4" s="421" t="s">
        <v>1039</v>
      </c>
      <c r="B4" s="420"/>
      <c r="C4" s="420"/>
      <c r="D4" s="420"/>
      <c r="E4" s="419"/>
      <c r="F4" s="419"/>
      <c r="G4" s="419"/>
      <c r="H4" s="419"/>
      <c r="I4" s="1759"/>
      <c r="J4" s="419"/>
      <c r="K4" s="419"/>
      <c r="L4" s="419"/>
      <c r="M4" s="419"/>
      <c r="N4" s="419"/>
      <c r="O4" s="419"/>
      <c r="P4" s="419"/>
      <c r="Q4" s="419"/>
    </row>
    <row r="5" spans="1:20" ht="42.75">
      <c r="A5" s="418" t="s">
        <v>132</v>
      </c>
      <c r="B5" s="418" t="s">
        <v>1</v>
      </c>
      <c r="C5" s="418" t="s">
        <v>1038</v>
      </c>
      <c r="D5" s="418" t="s">
        <v>1491</v>
      </c>
      <c r="E5" s="418" t="s">
        <v>1130</v>
      </c>
      <c r="F5" s="418" t="s">
        <v>1492</v>
      </c>
      <c r="G5" s="418" t="s">
        <v>1708</v>
      </c>
      <c r="H5" s="418" t="s">
        <v>1707</v>
      </c>
      <c r="I5" s="1760" t="s">
        <v>1857</v>
      </c>
      <c r="J5" s="418" t="s">
        <v>1858</v>
      </c>
      <c r="K5" s="418" t="s">
        <v>1834</v>
      </c>
      <c r="L5" s="418" t="s">
        <v>1560</v>
      </c>
      <c r="M5" s="418" t="s">
        <v>763</v>
      </c>
      <c r="N5" s="418" t="s">
        <v>764</v>
      </c>
      <c r="O5" s="418" t="s">
        <v>1875</v>
      </c>
      <c r="P5" s="418" t="s">
        <v>763</v>
      </c>
      <c r="Q5" s="418" t="s">
        <v>764</v>
      </c>
    </row>
    <row r="6" spans="1:20">
      <c r="A6" s="417">
        <v>1</v>
      </c>
      <c r="B6" s="417">
        <v>2</v>
      </c>
      <c r="C6" s="417">
        <v>3</v>
      </c>
      <c r="D6" s="417">
        <v>4</v>
      </c>
      <c r="E6" s="417">
        <v>5</v>
      </c>
      <c r="F6" s="417">
        <v>4</v>
      </c>
      <c r="G6" s="417">
        <v>5</v>
      </c>
      <c r="H6" s="417">
        <v>6</v>
      </c>
      <c r="I6" s="1761">
        <v>7</v>
      </c>
      <c r="J6" s="417">
        <v>8</v>
      </c>
      <c r="K6" s="417">
        <v>9</v>
      </c>
      <c r="L6" s="417">
        <v>10</v>
      </c>
      <c r="M6" s="417">
        <v>11</v>
      </c>
      <c r="N6" s="417">
        <v>12</v>
      </c>
      <c r="O6" s="417">
        <v>13</v>
      </c>
      <c r="P6" s="417">
        <v>14</v>
      </c>
      <c r="Q6" s="417">
        <v>15</v>
      </c>
    </row>
    <row r="7" spans="1:20" ht="57.75" customHeight="1">
      <c r="A7" s="402" t="s">
        <v>89</v>
      </c>
      <c r="B7" s="403" t="s">
        <v>786</v>
      </c>
      <c r="C7" s="402" t="s">
        <v>240</v>
      </c>
      <c r="D7" s="415">
        <f>SUM(D8:D15)</f>
        <v>0</v>
      </c>
      <c r="E7" s="415">
        <f>SUM(E8:E15)</f>
        <v>0</v>
      </c>
      <c r="F7" s="415">
        <f t="shared" ref="F7:L7" si="0">SUM(F8:F15)</f>
        <v>2107</v>
      </c>
      <c r="G7" s="415">
        <f t="shared" si="0"/>
        <v>8645.6052965515591</v>
      </c>
      <c r="H7" s="415">
        <f t="shared" si="0"/>
        <v>0</v>
      </c>
      <c r="I7" s="405">
        <v>1474.78</v>
      </c>
      <c r="J7" s="415"/>
      <c r="K7" s="415">
        <v>9951.3543265915614</v>
      </c>
      <c r="L7" s="415">
        <v>10066.996889601016</v>
      </c>
      <c r="M7" s="415">
        <v>5625.3430775030683</v>
      </c>
      <c r="N7" s="415">
        <v>4441.6538120979485</v>
      </c>
      <c r="O7" s="415">
        <v>10731.166185335633</v>
      </c>
      <c r="P7" s="415">
        <v>6068.134521169417</v>
      </c>
      <c r="Q7" s="415">
        <v>4663.0316641662157</v>
      </c>
    </row>
    <row r="8" spans="1:20" s="411" customFormat="1">
      <c r="A8" s="416" t="s">
        <v>893</v>
      </c>
      <c r="B8" s="414" t="s">
        <v>716</v>
      </c>
      <c r="C8" s="413" t="s">
        <v>240</v>
      </c>
      <c r="D8" s="412"/>
      <c r="E8" s="405"/>
      <c r="F8" s="405">
        <v>836</v>
      </c>
      <c r="G8" s="405">
        <f>('Вспом. расчеты_теплонос. (2016)'!E17*34.26)/1000+('Вспом. расчеты_теплонос. (2016)'!F17*35.97)/1000</f>
        <v>3909.5605199999995</v>
      </c>
      <c r="H8" s="405"/>
      <c r="I8" s="405">
        <v>795</v>
      </c>
      <c r="J8" s="405"/>
      <c r="K8" s="405">
        <v>4872.7864200000004</v>
      </c>
      <c r="L8" s="405">
        <v>4578.6852458040003</v>
      </c>
      <c r="M8" s="405">
        <v>2650.7247659999998</v>
      </c>
      <c r="N8" s="405">
        <v>1927.9604798040004</v>
      </c>
      <c r="O8" s="405">
        <v>4906.6594211011807</v>
      </c>
      <c r="P8" s="405">
        <v>2891.940719706</v>
      </c>
      <c r="Q8" s="405">
        <v>2014.7187013951805</v>
      </c>
      <c r="R8" s="1093"/>
      <c r="S8" s="1093"/>
      <c r="T8" s="1093"/>
    </row>
    <row r="9" spans="1:20" ht="45" customHeight="1">
      <c r="A9" s="402" t="s">
        <v>895</v>
      </c>
      <c r="B9" s="403" t="s">
        <v>1037</v>
      </c>
      <c r="C9" s="402" t="s">
        <v>240</v>
      </c>
      <c r="D9" s="406"/>
      <c r="E9" s="405"/>
      <c r="F9" s="405">
        <v>27</v>
      </c>
      <c r="G9" s="405">
        <f>'Вспом. расчеты_теплонос. (2016)'!D27/1000</f>
        <v>223.14417212162601</v>
      </c>
      <c r="H9" s="405"/>
      <c r="I9" s="405">
        <v>179</v>
      </c>
      <c r="J9" s="405"/>
      <c r="K9" s="405">
        <v>223.14417212162601</v>
      </c>
      <c r="L9" s="405">
        <v>197.46710792048299</v>
      </c>
      <c r="M9" s="405">
        <v>118.48026475228978</v>
      </c>
      <c r="N9" s="405">
        <v>78.986843168193204</v>
      </c>
      <c r="O9" s="405">
        <v>209.11766728779148</v>
      </c>
      <c r="P9" s="405">
        <v>125.47060037267488</v>
      </c>
      <c r="Q9" s="405">
        <v>83.647066915116596</v>
      </c>
    </row>
    <row r="10" spans="1:20" ht="76.5" customHeight="1">
      <c r="A10" s="402" t="s">
        <v>896</v>
      </c>
      <c r="B10" s="403" t="s">
        <v>717</v>
      </c>
      <c r="C10" s="402" t="s">
        <v>240</v>
      </c>
      <c r="D10" s="406"/>
      <c r="E10" s="405"/>
      <c r="F10" s="405"/>
      <c r="G10" s="405"/>
      <c r="H10" s="405"/>
      <c r="I10" s="405"/>
      <c r="J10" s="405"/>
      <c r="K10" s="405"/>
      <c r="L10" s="405"/>
      <c r="M10" s="405"/>
      <c r="N10" s="405"/>
      <c r="O10" s="405"/>
      <c r="P10" s="405"/>
      <c r="Q10" s="405"/>
    </row>
    <row r="11" spans="1:20" s="411" customFormat="1" ht="48" customHeight="1">
      <c r="A11" s="413" t="s">
        <v>897</v>
      </c>
      <c r="B11" s="414" t="s">
        <v>718</v>
      </c>
      <c r="C11" s="413" t="s">
        <v>240</v>
      </c>
      <c r="D11" s="412"/>
      <c r="E11" s="405"/>
      <c r="F11" s="405">
        <v>155</v>
      </c>
      <c r="G11" s="405">
        <f>('Вспом. расчеты_теплонос. (2016)'!D19+'Вспом. расчеты_теплонос. (2016)'!D67)/1000</f>
        <v>630.53476565206154</v>
      </c>
      <c r="H11" s="405"/>
      <c r="I11" s="405"/>
      <c r="J11" s="405"/>
      <c r="K11" s="405">
        <v>630.53476565206154</v>
      </c>
      <c r="L11" s="405">
        <v>606.43470586355159</v>
      </c>
      <c r="M11" s="405">
        <v>363.86082351813093</v>
      </c>
      <c r="N11" s="405">
        <v>242.57388234542066</v>
      </c>
      <c r="O11" s="405">
        <v>642.21435350950105</v>
      </c>
      <c r="P11" s="405">
        <v>385.32861210570064</v>
      </c>
      <c r="Q11" s="405">
        <v>256.88574140380047</v>
      </c>
    </row>
    <row r="12" spans="1:20" ht="45">
      <c r="A12" s="402" t="s">
        <v>1036</v>
      </c>
      <c r="B12" s="403" t="s">
        <v>719</v>
      </c>
      <c r="C12" s="402" t="s">
        <v>240</v>
      </c>
      <c r="D12" s="406"/>
      <c r="E12" s="405"/>
      <c r="F12" s="405"/>
      <c r="G12" s="405"/>
      <c r="H12" s="405"/>
      <c r="I12" s="405"/>
      <c r="J12" s="405"/>
      <c r="K12" s="405"/>
      <c r="L12" s="405"/>
      <c r="M12" s="405"/>
      <c r="N12" s="405"/>
      <c r="O12" s="405"/>
      <c r="P12" s="405"/>
      <c r="Q12" s="405"/>
    </row>
    <row r="13" spans="1:20" ht="32.25" customHeight="1">
      <c r="A13" s="402" t="s">
        <v>1035</v>
      </c>
      <c r="B13" s="403" t="s">
        <v>720</v>
      </c>
      <c r="C13" s="402" t="s">
        <v>240</v>
      </c>
      <c r="D13" s="406"/>
      <c r="E13" s="415"/>
      <c r="F13" s="415"/>
      <c r="G13" s="415">
        <f>'Вспом. расчеты_теплонос. (2016)'!I84/1000+367.553</f>
        <v>1584.6170000000002</v>
      </c>
      <c r="H13" s="415"/>
      <c r="I13" s="405">
        <v>362.46</v>
      </c>
      <c r="J13" s="415"/>
      <c r="K13" s="415">
        <v>1584.6170000000002</v>
      </c>
      <c r="L13" s="415">
        <v>1993.164</v>
      </c>
      <c r="M13" s="415">
        <v>996.58199999999999</v>
      </c>
      <c r="N13" s="415">
        <v>996.58199999999999</v>
      </c>
      <c r="O13" s="405">
        <v>2110.7606759999999</v>
      </c>
      <c r="P13" s="405">
        <v>1055.3803379999999</v>
      </c>
      <c r="Q13" s="405">
        <v>1055.3803379999999</v>
      </c>
    </row>
    <row r="14" spans="1:20" ht="33" customHeight="1">
      <c r="A14" s="402" t="s">
        <v>1034</v>
      </c>
      <c r="B14" s="403" t="s">
        <v>721</v>
      </c>
      <c r="C14" s="402" t="s">
        <v>240</v>
      </c>
      <c r="D14" s="406"/>
      <c r="E14" s="415"/>
      <c r="F14" s="415"/>
      <c r="G14" s="415">
        <f>'Вспом. расчеты_теплонос. (2016)'!I93/1000</f>
        <v>88.375</v>
      </c>
      <c r="H14" s="415"/>
      <c r="I14" s="405">
        <v>3</v>
      </c>
      <c r="J14" s="415"/>
      <c r="K14" s="415">
        <v>88.375</v>
      </c>
      <c r="L14" s="415">
        <v>102.27800000000001</v>
      </c>
      <c r="M14" s="415">
        <v>51.139000000000003</v>
      </c>
      <c r="N14" s="415">
        <v>51.139000000000003</v>
      </c>
      <c r="O14" s="415">
        <v>102.27800000000001</v>
      </c>
      <c r="P14" s="415">
        <v>51.139000000000003</v>
      </c>
      <c r="Q14" s="415">
        <v>51.139000000000003</v>
      </c>
    </row>
    <row r="15" spans="1:20" ht="32.25" customHeight="1">
      <c r="A15" s="402" t="s">
        <v>1033</v>
      </c>
      <c r="B15" s="403" t="s">
        <v>722</v>
      </c>
      <c r="C15" s="402" t="s">
        <v>240</v>
      </c>
      <c r="D15" s="415">
        <f>D16+D17+D18</f>
        <v>0</v>
      </c>
      <c r="E15" s="415">
        <f>E16+E17+E18</f>
        <v>0</v>
      </c>
      <c r="F15" s="415">
        <f t="shared" ref="F15:L15" si="1">F16+F17+F18</f>
        <v>1089</v>
      </c>
      <c r="G15" s="415">
        <f t="shared" si="1"/>
        <v>2209.3738387778731</v>
      </c>
      <c r="H15" s="415">
        <f t="shared" si="1"/>
        <v>0</v>
      </c>
      <c r="I15" s="405">
        <v>135.32000000000002</v>
      </c>
      <c r="J15" s="415"/>
      <c r="K15" s="415">
        <v>2551.8969688178736</v>
      </c>
      <c r="L15" s="415">
        <v>2588.9678300129817</v>
      </c>
      <c r="M15" s="415">
        <v>1444.5562232326474</v>
      </c>
      <c r="N15" s="415">
        <v>1144.4116067803343</v>
      </c>
      <c r="O15" s="415">
        <v>2760.1360674371585</v>
      </c>
      <c r="P15" s="415">
        <v>1558.875250985041</v>
      </c>
      <c r="Q15" s="415">
        <v>1201.2608164521178</v>
      </c>
    </row>
    <row r="16" spans="1:20" ht="18" customHeight="1">
      <c r="A16" s="402" t="s">
        <v>1032</v>
      </c>
      <c r="B16" s="403" t="s">
        <v>723</v>
      </c>
      <c r="C16" s="402" t="s">
        <v>240</v>
      </c>
      <c r="D16" s="406"/>
      <c r="E16" s="405"/>
      <c r="F16" s="405"/>
      <c r="G16" s="405"/>
      <c r="H16" s="405"/>
      <c r="I16" s="405"/>
      <c r="J16" s="405"/>
      <c r="K16" s="405"/>
      <c r="L16" s="405"/>
      <c r="M16" s="405"/>
      <c r="N16" s="405"/>
      <c r="O16" s="405"/>
      <c r="P16" s="405"/>
      <c r="Q16" s="405"/>
    </row>
    <row r="17" spans="1:18" ht="30">
      <c r="A17" s="402" t="s">
        <v>1031</v>
      </c>
      <c r="B17" s="403" t="s">
        <v>724</v>
      </c>
      <c r="C17" s="402" t="s">
        <v>240</v>
      </c>
      <c r="D17" s="406"/>
      <c r="E17" s="405"/>
      <c r="F17" s="405"/>
      <c r="G17" s="405"/>
      <c r="H17" s="405"/>
      <c r="I17" s="405"/>
      <c r="J17" s="405"/>
      <c r="K17" s="405"/>
      <c r="L17" s="405"/>
      <c r="M17" s="405"/>
      <c r="N17" s="405"/>
      <c r="O17" s="405"/>
      <c r="P17" s="405"/>
      <c r="Q17" s="405"/>
    </row>
    <row r="18" spans="1:18" s="411" customFormat="1">
      <c r="A18" s="413" t="s">
        <v>1030</v>
      </c>
      <c r="B18" s="414" t="s">
        <v>725</v>
      </c>
      <c r="C18" s="413" t="s">
        <v>240</v>
      </c>
      <c r="D18" s="405">
        <f>(D8+D11+D13+D14)*0.3556</f>
        <v>0</v>
      </c>
      <c r="E18" s="405">
        <f>(E8+E11+E13+E14)*0.3556</f>
        <v>0</v>
      </c>
      <c r="F18" s="405">
        <v>1089</v>
      </c>
      <c r="G18" s="405">
        <f t="shared" ref="G18:H18" si="2">(G8+G11+G13+G14)*0.3556</f>
        <v>2209.3738387778731</v>
      </c>
      <c r="H18" s="405">
        <f t="shared" si="2"/>
        <v>0</v>
      </c>
      <c r="I18" s="405">
        <v>135.32000000000002</v>
      </c>
      <c r="J18" s="405"/>
      <c r="K18" s="405">
        <v>2551.8969688178736</v>
      </c>
      <c r="L18" s="405">
        <v>2588.9678300129817</v>
      </c>
      <c r="M18" s="405">
        <v>1444.5562232326474</v>
      </c>
      <c r="N18" s="405">
        <v>1144.4116067803343</v>
      </c>
      <c r="O18" s="405">
        <v>2760.1360674371585</v>
      </c>
      <c r="P18" s="405">
        <v>1558.875250985041</v>
      </c>
      <c r="Q18" s="405">
        <v>1201.2608164521178</v>
      </c>
    </row>
    <row r="19" spans="1:18" s="410" customFormat="1" ht="43.5">
      <c r="A19" s="435" t="s">
        <v>91</v>
      </c>
      <c r="B19" s="436" t="s">
        <v>726</v>
      </c>
      <c r="C19" s="435" t="s">
        <v>727</v>
      </c>
      <c r="D19" s="437"/>
      <c r="E19" s="433"/>
      <c r="F19" s="433">
        <v>23.876000000000001</v>
      </c>
      <c r="G19" s="433">
        <f>'Вспом. расчеты_теплонос. (2016)'!D17/1000</f>
        <v>111.911</v>
      </c>
      <c r="H19" s="433"/>
      <c r="I19" s="433">
        <v>10.009</v>
      </c>
      <c r="J19" s="433"/>
      <c r="K19" s="433">
        <v>111.911</v>
      </c>
      <c r="L19" s="433">
        <v>102.813</v>
      </c>
      <c r="M19" s="1461">
        <v>61.687799999999996</v>
      </c>
      <c r="N19" s="1461">
        <v>41.125200000000007</v>
      </c>
      <c r="O19" s="1461">
        <v>102.813</v>
      </c>
      <c r="P19" s="1461">
        <v>61.687799999999996</v>
      </c>
      <c r="Q19" s="1461">
        <v>41.125200000000007</v>
      </c>
    </row>
    <row r="20" spans="1:18" ht="29.25" customHeight="1">
      <c r="A20" s="402" t="s">
        <v>93</v>
      </c>
      <c r="B20" s="403" t="s">
        <v>728</v>
      </c>
      <c r="C20" s="402" t="s">
        <v>240</v>
      </c>
      <c r="D20" s="409"/>
      <c r="E20" s="408"/>
      <c r="F20" s="408"/>
      <c r="G20" s="408"/>
      <c r="H20" s="408"/>
      <c r="I20" s="408"/>
      <c r="J20" s="408"/>
      <c r="K20" s="408"/>
      <c r="L20" s="408"/>
      <c r="M20" s="408"/>
      <c r="N20" s="408"/>
      <c r="O20" s="408"/>
      <c r="P20" s="408"/>
      <c r="Q20" s="408"/>
    </row>
    <row r="21" spans="1:18" ht="30.75" customHeight="1">
      <c r="A21" s="402" t="s">
        <v>95</v>
      </c>
      <c r="B21" s="403" t="s">
        <v>729</v>
      </c>
      <c r="C21" s="402" t="s">
        <v>727</v>
      </c>
      <c r="D21" s="409"/>
      <c r="E21" s="408"/>
      <c r="F21" s="408"/>
      <c r="G21" s="408"/>
      <c r="H21" s="408"/>
      <c r="I21" s="408"/>
      <c r="J21" s="408"/>
      <c r="K21" s="408"/>
      <c r="L21" s="408"/>
      <c r="M21" s="408"/>
      <c r="N21" s="408"/>
      <c r="O21" s="408"/>
      <c r="P21" s="408"/>
      <c r="Q21" s="408"/>
    </row>
    <row r="22" spans="1:18" ht="62.25" customHeight="1">
      <c r="A22" s="402" t="s">
        <v>97</v>
      </c>
      <c r="B22" s="403" t="s">
        <v>730</v>
      </c>
      <c r="C22" s="402" t="s">
        <v>240</v>
      </c>
      <c r="D22" s="406"/>
      <c r="E22" s="405"/>
      <c r="F22" s="405"/>
      <c r="G22" s="405">
        <f>'Вспом. расчеты_теплонос. (2016)'!D51/1000</f>
        <v>800.7868465883804</v>
      </c>
      <c r="H22" s="405"/>
      <c r="I22" s="405"/>
      <c r="J22" s="405"/>
      <c r="K22" s="405">
        <v>800.7868465883804</v>
      </c>
      <c r="L22" s="405">
        <v>888.10762439812288</v>
      </c>
      <c r="M22" s="405">
        <v>484.6293739010614</v>
      </c>
      <c r="N22" s="405">
        <v>403.47825049706148</v>
      </c>
      <c r="O22" s="405">
        <v>940.50597423761212</v>
      </c>
      <c r="P22" s="405">
        <v>513.22250696122398</v>
      </c>
      <c r="Q22" s="405">
        <v>427.28346727638808</v>
      </c>
      <c r="R22" s="394"/>
    </row>
    <row r="23" spans="1:18">
      <c r="A23" s="402" t="s">
        <v>582</v>
      </c>
      <c r="B23" s="407" t="s">
        <v>1029</v>
      </c>
      <c r="C23" s="402" t="s">
        <v>240</v>
      </c>
      <c r="D23" s="405">
        <f>(D7+D20+D22)*0.25</f>
        <v>0</v>
      </c>
      <c r="E23" s="405">
        <f>(E7+E20+E22)*0.25</f>
        <v>0</v>
      </c>
      <c r="F23" s="405"/>
      <c r="G23" s="405">
        <f t="shared" ref="G23:L23" si="3">(G7+G20+G22)*0.25</f>
        <v>2361.5980357849849</v>
      </c>
      <c r="H23" s="405">
        <f t="shared" ref="H23" si="4">(H7+H20+H22)*0.25</f>
        <v>0</v>
      </c>
      <c r="I23" s="405"/>
      <c r="J23" s="405"/>
      <c r="K23" s="405">
        <v>2688.0352932949854</v>
      </c>
      <c r="L23" s="405">
        <v>2738.7761284997846</v>
      </c>
      <c r="M23" s="405">
        <v>1527.4931128510325</v>
      </c>
      <c r="N23" s="405">
        <v>1211.2830156487526</v>
      </c>
      <c r="O23" s="405">
        <v>2917.9180398933113</v>
      </c>
      <c r="P23" s="405">
        <v>1645.3392570326603</v>
      </c>
      <c r="Q23" s="405">
        <v>1272.578782860651</v>
      </c>
    </row>
    <row r="24" spans="1:18" ht="43.5">
      <c r="A24" s="398" t="s">
        <v>615</v>
      </c>
      <c r="B24" s="399" t="s">
        <v>731</v>
      </c>
      <c r="C24" s="398" t="s">
        <v>240</v>
      </c>
      <c r="D24" s="404">
        <f>D7+D20+D22+D23</f>
        <v>0</v>
      </c>
      <c r="E24" s="404">
        <f>E7+E20+E22+E23</f>
        <v>0</v>
      </c>
      <c r="F24" s="404">
        <f t="shared" ref="F24:G24" si="5">F7+F20+F22+F23</f>
        <v>2107</v>
      </c>
      <c r="G24" s="404">
        <f t="shared" si="5"/>
        <v>11807.990178924923</v>
      </c>
      <c r="H24" s="404">
        <f t="shared" ref="H24:I24" si="6">H7+H20+H22+H23</f>
        <v>0</v>
      </c>
      <c r="I24" s="1762">
        <f t="shared" si="6"/>
        <v>1474.78</v>
      </c>
      <c r="J24" s="404"/>
      <c r="K24" s="404">
        <f t="shared" ref="K24" si="7">K7+K20+K22+K23</f>
        <v>13440.176466474928</v>
      </c>
      <c r="L24" s="404">
        <f>L7+L20+L22+L23</f>
        <v>13693.880642498923</v>
      </c>
      <c r="M24" s="404">
        <f>M7+M20+M22+M23</f>
        <v>7637.4655642551625</v>
      </c>
      <c r="N24" s="404">
        <f>N7+N20+N22+N23</f>
        <v>6056.4150782437628</v>
      </c>
      <c r="O24" s="404">
        <f t="shared" ref="O24:Q24" si="8">O7+O20+O22+O23</f>
        <v>14589.590199466556</v>
      </c>
      <c r="P24" s="404">
        <f t="shared" si="8"/>
        <v>8226.6962851633016</v>
      </c>
      <c r="Q24" s="404">
        <f t="shared" si="8"/>
        <v>6362.8939143032549</v>
      </c>
    </row>
    <row r="25" spans="1:18" ht="61.5" customHeight="1">
      <c r="A25" s="402" t="s">
        <v>649</v>
      </c>
      <c r="B25" s="403" t="s">
        <v>732</v>
      </c>
      <c r="C25" s="402" t="s">
        <v>1027</v>
      </c>
      <c r="D25" s="400" t="e">
        <f>D24/(D19+D21)</f>
        <v>#DIV/0!</v>
      </c>
      <c r="E25" s="400" t="e">
        <f>E24/(E19+E21)</f>
        <v>#DIV/0!</v>
      </c>
      <c r="F25" s="400">
        <f t="shared" ref="F25:L25" si="9">F24/(F19+F21)</f>
        <v>88.247612665438098</v>
      </c>
      <c r="G25" s="400">
        <f t="shared" si="9"/>
        <v>105.51232835847168</v>
      </c>
      <c r="H25" s="400" t="e">
        <f t="shared" ref="H25:I25" si="10">H24/(H19+H21)</f>
        <v>#DIV/0!</v>
      </c>
      <c r="I25" s="1763">
        <f t="shared" si="10"/>
        <v>147.3453891497652</v>
      </c>
      <c r="J25" s="400"/>
      <c r="K25" s="400">
        <f t="shared" ref="K25" si="11">K24/(K19+K21)</f>
        <v>120.09700982454743</v>
      </c>
      <c r="L25" s="400">
        <f t="shared" si="9"/>
        <v>133.19211230582633</v>
      </c>
      <c r="M25" s="400">
        <f>M24/(M19+M21)</f>
        <v>123.80836347308808</v>
      </c>
      <c r="N25" s="400">
        <f>N24/(N19+N21)</f>
        <v>147.26773555493375</v>
      </c>
      <c r="O25" s="400">
        <f t="shared" ref="O25:Q25" si="12">O24/(O19+O21)</f>
        <v>141.90413857650839</v>
      </c>
      <c r="P25" s="400">
        <f t="shared" si="12"/>
        <v>133.36018281026884</v>
      </c>
      <c r="Q25" s="400">
        <f t="shared" si="12"/>
        <v>154.72007222586768</v>
      </c>
    </row>
    <row r="26" spans="1:18" ht="72">
      <c r="A26" s="398" t="s">
        <v>1028</v>
      </c>
      <c r="B26" s="399" t="s">
        <v>734</v>
      </c>
      <c r="C26" s="398" t="s">
        <v>1027</v>
      </c>
      <c r="D26" s="396" t="e">
        <f>D25</f>
        <v>#DIV/0!</v>
      </c>
      <c r="E26" s="396" t="e">
        <f>E25</f>
        <v>#DIV/0!</v>
      </c>
      <c r="F26" s="396">
        <f t="shared" ref="F26:L26" si="13">F25</f>
        <v>88.247612665438098</v>
      </c>
      <c r="G26" s="396">
        <f t="shared" si="13"/>
        <v>105.51232835847168</v>
      </c>
      <c r="H26" s="396" t="e">
        <f t="shared" si="13"/>
        <v>#DIV/0!</v>
      </c>
      <c r="I26" s="1764">
        <f t="shared" si="13"/>
        <v>147.3453891497652</v>
      </c>
      <c r="J26" s="396"/>
      <c r="K26" s="396">
        <f t="shared" ref="K26" si="14">K25</f>
        <v>120.09700982454743</v>
      </c>
      <c r="L26" s="396">
        <f t="shared" si="13"/>
        <v>133.19211230582633</v>
      </c>
      <c r="M26" s="396">
        <f>M25</f>
        <v>123.80836347308808</v>
      </c>
      <c r="N26" s="396">
        <f>N25</f>
        <v>147.26773555493375</v>
      </c>
      <c r="O26" s="396">
        <f t="shared" ref="O26:Q26" si="15">O25</f>
        <v>141.90413857650839</v>
      </c>
      <c r="P26" s="396">
        <f t="shared" si="15"/>
        <v>133.36018281026884</v>
      </c>
      <c r="Q26" s="396">
        <f t="shared" si="15"/>
        <v>154.72007222586768</v>
      </c>
    </row>
    <row r="27" spans="1:18">
      <c r="B27" s="394"/>
      <c r="I27" s="411"/>
    </row>
    <row r="28" spans="1:18" ht="17.25">
      <c r="B28" s="395"/>
    </row>
    <row r="29" spans="1:18">
      <c r="A29" s="26" t="s">
        <v>88</v>
      </c>
      <c r="B29" s="26"/>
      <c r="C29" s="26"/>
      <c r="D29" s="26"/>
      <c r="E29" s="26"/>
      <c r="F29" s="26"/>
      <c r="G29" s="26"/>
      <c r="H29" s="26"/>
      <c r="I29" s="883"/>
      <c r="J29" s="26"/>
      <c r="K29" s="26"/>
      <c r="L29" s="26"/>
    </row>
    <row r="30" spans="1:18" ht="43.5" customHeight="1">
      <c r="A30" s="392" t="s">
        <v>89</v>
      </c>
      <c r="B30" s="1842" t="s">
        <v>735</v>
      </c>
      <c r="C30" s="1842"/>
      <c r="D30" s="1842"/>
      <c r="E30" s="1842"/>
      <c r="F30" s="770"/>
      <c r="G30" s="770"/>
      <c r="H30" s="1289"/>
      <c r="I30" s="1748"/>
      <c r="J30" s="1585"/>
      <c r="K30" s="1585"/>
      <c r="L30" s="770"/>
    </row>
    <row r="31" spans="1:18">
      <c r="A31" s="26" t="s">
        <v>91</v>
      </c>
      <c r="B31" s="26" t="s">
        <v>736</v>
      </c>
      <c r="C31" s="26"/>
      <c r="D31" s="26"/>
      <c r="E31" s="26"/>
      <c r="F31" s="26"/>
      <c r="G31" s="26"/>
      <c r="H31" s="26"/>
      <c r="I31" s="883"/>
      <c r="J31" s="26"/>
      <c r="K31" s="26"/>
      <c r="L31" s="26"/>
    </row>
    <row r="32" spans="1:18">
      <c r="A32" s="26" t="s">
        <v>93</v>
      </c>
      <c r="B32" s="26" t="s">
        <v>737</v>
      </c>
      <c r="C32" s="26"/>
      <c r="D32" s="26"/>
      <c r="E32" s="26"/>
      <c r="F32" s="26"/>
      <c r="G32" s="26"/>
      <c r="H32" s="26"/>
      <c r="I32" s="883"/>
      <c r="J32" s="26"/>
      <c r="K32" s="26"/>
      <c r="L32" s="26"/>
    </row>
    <row r="33" spans="1:12">
      <c r="A33" s="26" t="s">
        <v>95</v>
      </c>
      <c r="B33" s="26" t="s">
        <v>738</v>
      </c>
      <c r="C33" s="26"/>
      <c r="D33" s="26"/>
      <c r="E33" s="26"/>
      <c r="F33" s="26"/>
      <c r="G33" s="26"/>
      <c r="H33" s="26"/>
      <c r="I33" s="883"/>
      <c r="J33" s="26"/>
      <c r="K33" s="26"/>
      <c r="L33" s="26"/>
    </row>
    <row r="34" spans="1:12">
      <c r="B34" s="394"/>
    </row>
    <row r="35" spans="1:12">
      <c r="B35" s="394"/>
    </row>
    <row r="36" spans="1:12">
      <c r="B36" s="394"/>
    </row>
    <row r="37" spans="1:12">
      <c r="B37" s="394"/>
    </row>
    <row r="38" spans="1:12">
      <c r="B38" s="394"/>
    </row>
    <row r="39" spans="1:12">
      <c r="B39" s="394"/>
    </row>
    <row r="40" spans="1:12">
      <c r="B40" s="394"/>
    </row>
    <row r="41" spans="1:12">
      <c r="B41" s="394"/>
    </row>
    <row r="42" spans="1:12">
      <c r="B42" s="394"/>
    </row>
  </sheetData>
  <mergeCells count="2">
    <mergeCell ref="A3:N3"/>
    <mergeCell ref="B30:E30"/>
  </mergeCells>
  <pageMargins left="0.70866141732283472" right="0.21" top="0.74803149606299213" bottom="0.74803149606299213" header="0.31496062992125984" footer="0.31496062992125984"/>
  <pageSetup paperSize="9" scale="50" orientation="portrait" r:id="rId1"/>
  <rowBreaks count="1" manualBreakCount="1">
    <brk id="27" max="6" man="1"/>
  </rowBreaks>
  <colBreaks count="1" manualBreakCount="1">
    <brk id="17" max="1048575" man="1"/>
  </colBreaks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75"/>
  <sheetViews>
    <sheetView view="pageBreakPreview" zoomScaleNormal="100" workbookViewId="0">
      <pane xSplit="1" ySplit="5" topLeftCell="B57" activePane="bottomRight" state="frozen"/>
      <selection pane="topRight" activeCell="B1" sqref="B1"/>
      <selection pane="bottomLeft" activeCell="A6" sqref="A6"/>
      <selection pane="bottomRight" activeCell="D181" sqref="D181"/>
    </sheetView>
  </sheetViews>
  <sheetFormatPr defaultColWidth="5" defaultRowHeight="15"/>
  <cols>
    <col min="1" max="1" width="5" style="1" customWidth="1"/>
    <col min="2" max="2" width="49.85546875" style="1" customWidth="1"/>
    <col min="3" max="3" width="15.42578125" style="21" customWidth="1"/>
    <col min="4" max="4" width="15.42578125" style="1" customWidth="1"/>
    <col min="5" max="7" width="16" style="1" customWidth="1"/>
    <col min="8" max="35" width="10.7109375" style="1" customWidth="1"/>
    <col min="36" max="16384" width="5" style="1"/>
  </cols>
  <sheetData>
    <row r="1" spans="1:7" s="5" customFormat="1" ht="20.25" customHeight="1">
      <c r="A1" s="74" t="s">
        <v>765</v>
      </c>
      <c r="C1" s="20"/>
      <c r="F1" s="6"/>
      <c r="G1" s="6" t="s">
        <v>130</v>
      </c>
    </row>
    <row r="2" spans="1:7" s="5" customFormat="1" ht="12.75" customHeight="1">
      <c r="A2" s="105" t="str">
        <f>'3.1'!$A$2</f>
        <v>ПКГО - Комбинированная выработка КТЭЦ</v>
      </c>
      <c r="C2" s="20"/>
    </row>
    <row r="3" spans="1:7" ht="24" customHeight="1">
      <c r="A3" s="1877" t="s">
        <v>131</v>
      </c>
      <c r="B3" s="1877"/>
      <c r="C3" s="1877"/>
      <c r="D3" s="1877"/>
      <c r="E3" s="1877"/>
      <c r="F3" s="1877"/>
      <c r="G3" s="1877"/>
    </row>
    <row r="4" spans="1:7" ht="12.75" customHeight="1"/>
    <row r="5" spans="1:7" s="3" customFormat="1" ht="51" customHeight="1">
      <c r="A5" s="12" t="s">
        <v>132</v>
      </c>
      <c r="B5" s="12" t="s">
        <v>1</v>
      </c>
      <c r="C5" s="10" t="s">
        <v>2</v>
      </c>
      <c r="D5" s="10" t="s">
        <v>771</v>
      </c>
      <c r="E5" s="10" t="s">
        <v>773</v>
      </c>
      <c r="F5" s="10" t="s">
        <v>767</v>
      </c>
      <c r="G5" s="10" t="s">
        <v>766</v>
      </c>
    </row>
    <row r="6" spans="1:7" s="2" customFormat="1" ht="14.25" customHeight="1">
      <c r="A6" s="13">
        <v>1</v>
      </c>
      <c r="B6" s="13">
        <v>2</v>
      </c>
      <c r="C6" s="11">
        <v>3</v>
      </c>
      <c r="D6" s="11">
        <v>4</v>
      </c>
      <c r="E6" s="11">
        <v>5</v>
      </c>
      <c r="F6" s="11">
        <v>6</v>
      </c>
      <c r="G6" s="11">
        <v>7</v>
      </c>
    </row>
    <row r="7" spans="1:7" s="36" customFormat="1" ht="15" customHeight="1">
      <c r="A7" s="60" t="s">
        <v>4</v>
      </c>
      <c r="B7" s="61" t="s">
        <v>133</v>
      </c>
      <c r="C7" s="11" t="s">
        <v>134</v>
      </c>
      <c r="D7" s="14"/>
      <c r="E7" s="14"/>
      <c r="F7" s="14"/>
      <c r="G7" s="14"/>
    </row>
    <row r="8" spans="1:7" s="36" customFormat="1">
      <c r="A8" s="60" t="s">
        <v>23</v>
      </c>
      <c r="B8" s="61" t="s">
        <v>135</v>
      </c>
      <c r="C8" s="11" t="s">
        <v>134</v>
      </c>
      <c r="D8" s="14"/>
      <c r="E8" s="14"/>
      <c r="F8" s="14"/>
      <c r="G8" s="14"/>
    </row>
    <row r="9" spans="1:7" s="36" customFormat="1" ht="15" customHeight="1">
      <c r="A9" s="60" t="s">
        <v>24</v>
      </c>
      <c r="B9" s="61" t="s">
        <v>136</v>
      </c>
      <c r="C9" s="11" t="s">
        <v>134</v>
      </c>
      <c r="D9" s="14"/>
      <c r="E9" s="14"/>
      <c r="F9" s="14"/>
      <c r="G9" s="14"/>
    </row>
    <row r="10" spans="1:7" s="36" customFormat="1" ht="15" customHeight="1">
      <c r="A10" s="60" t="s">
        <v>25</v>
      </c>
      <c r="B10" s="61" t="s">
        <v>137</v>
      </c>
      <c r="C10" s="11" t="s">
        <v>138</v>
      </c>
      <c r="D10" s="14"/>
      <c r="E10" s="14"/>
      <c r="F10" s="14"/>
      <c r="G10" s="14"/>
    </row>
    <row r="11" spans="1:7" s="36" customFormat="1" ht="15" customHeight="1">
      <c r="A11" s="60" t="s">
        <v>139</v>
      </c>
      <c r="B11" s="61" t="s">
        <v>140</v>
      </c>
      <c r="C11" s="11" t="s">
        <v>134</v>
      </c>
      <c r="D11" s="14"/>
      <c r="E11" s="14"/>
      <c r="F11" s="14"/>
      <c r="G11" s="14"/>
    </row>
    <row r="12" spans="1:7" s="36" customFormat="1" ht="15" customHeight="1">
      <c r="A12" s="60" t="s">
        <v>141</v>
      </c>
      <c r="B12" s="61" t="s">
        <v>142</v>
      </c>
      <c r="C12" s="11" t="s">
        <v>143</v>
      </c>
      <c r="D12" s="14"/>
      <c r="E12" s="14"/>
      <c r="F12" s="14"/>
      <c r="G12" s="14"/>
    </row>
    <row r="13" spans="1:7" s="36" customFormat="1" ht="15" customHeight="1">
      <c r="A13" s="60" t="s">
        <v>27</v>
      </c>
      <c r="B13" s="61" t="s">
        <v>144</v>
      </c>
      <c r="C13" s="11" t="s">
        <v>134</v>
      </c>
      <c r="D13" s="14"/>
      <c r="E13" s="14"/>
      <c r="F13" s="14"/>
      <c r="G13" s="14"/>
    </row>
    <row r="14" spans="1:7" s="36" customFormat="1" ht="29.25" customHeight="1">
      <c r="A14" s="60" t="s">
        <v>30</v>
      </c>
      <c r="B14" s="61" t="s">
        <v>145</v>
      </c>
      <c r="C14" s="11" t="s">
        <v>134</v>
      </c>
      <c r="D14" s="14"/>
      <c r="E14" s="14"/>
      <c r="F14" s="14"/>
      <c r="G14" s="14"/>
    </row>
    <row r="15" spans="1:7" s="36" customFormat="1" ht="15" customHeight="1">
      <c r="A15" s="60" t="s">
        <v>31</v>
      </c>
      <c r="B15" s="61" t="s">
        <v>146</v>
      </c>
      <c r="C15" s="11" t="s">
        <v>138</v>
      </c>
      <c r="D15" s="14"/>
      <c r="E15" s="14"/>
      <c r="F15" s="14"/>
      <c r="G15" s="14"/>
    </row>
    <row r="16" spans="1:7" s="36" customFormat="1" ht="29.25" customHeight="1">
      <c r="A16" s="60" t="s">
        <v>78</v>
      </c>
      <c r="B16" s="61" t="s">
        <v>147</v>
      </c>
      <c r="C16" s="11" t="s">
        <v>134</v>
      </c>
      <c r="D16" s="14"/>
      <c r="E16" s="14"/>
      <c r="F16" s="14"/>
      <c r="G16" s="14"/>
    </row>
    <row r="17" spans="1:7" s="36" customFormat="1" ht="15" customHeight="1">
      <c r="A17" s="60" t="s">
        <v>80</v>
      </c>
      <c r="B17" s="61" t="s">
        <v>146</v>
      </c>
      <c r="C17" s="11" t="s">
        <v>138</v>
      </c>
      <c r="D17" s="14"/>
      <c r="E17" s="14"/>
      <c r="F17" s="14"/>
      <c r="G17" s="14"/>
    </row>
    <row r="18" spans="1:7" s="36" customFormat="1" ht="15" customHeight="1">
      <c r="A18" s="60" t="s">
        <v>86</v>
      </c>
      <c r="B18" s="61" t="s">
        <v>148</v>
      </c>
      <c r="C18" s="11" t="s">
        <v>134</v>
      </c>
      <c r="D18" s="14"/>
      <c r="E18" s="14"/>
      <c r="F18" s="14"/>
      <c r="G18" s="14"/>
    </row>
    <row r="19" spans="1:7" s="36" customFormat="1" ht="29.25" customHeight="1">
      <c r="A19" s="60" t="s">
        <v>109</v>
      </c>
      <c r="B19" s="61" t="s">
        <v>149</v>
      </c>
      <c r="C19" s="11" t="s">
        <v>150</v>
      </c>
      <c r="D19" s="14"/>
      <c r="E19" s="14"/>
      <c r="F19" s="14"/>
      <c r="G19" s="14"/>
    </row>
    <row r="20" spans="1:7" s="36" customFormat="1" ht="30" customHeight="1">
      <c r="A20" s="60" t="s">
        <v>151</v>
      </c>
      <c r="B20" s="61" t="s">
        <v>152</v>
      </c>
      <c r="C20" s="11" t="s">
        <v>150</v>
      </c>
      <c r="D20" s="14"/>
      <c r="E20" s="14"/>
      <c r="F20" s="14"/>
      <c r="G20" s="14"/>
    </row>
    <row r="21" spans="1:7" s="36" customFormat="1" ht="15" customHeight="1">
      <c r="A21" s="60" t="s">
        <v>153</v>
      </c>
      <c r="B21" s="61" t="s">
        <v>154</v>
      </c>
      <c r="C21" s="11" t="s">
        <v>138</v>
      </c>
      <c r="D21" s="14"/>
      <c r="E21" s="14"/>
      <c r="F21" s="14"/>
      <c r="G21" s="14"/>
    </row>
    <row r="22" spans="1:7" s="36" customFormat="1" ht="29.25" customHeight="1">
      <c r="A22" s="60" t="s">
        <v>155</v>
      </c>
      <c r="B22" s="61" t="s">
        <v>77</v>
      </c>
      <c r="C22" s="11" t="s">
        <v>150</v>
      </c>
      <c r="D22" s="14"/>
      <c r="E22" s="14"/>
      <c r="F22" s="14"/>
      <c r="G22" s="14"/>
    </row>
    <row r="23" spans="1:7" s="36" customFormat="1" ht="15" customHeight="1">
      <c r="A23" s="60" t="s">
        <v>156</v>
      </c>
      <c r="B23" s="61" t="s">
        <v>144</v>
      </c>
      <c r="C23" s="11" t="s">
        <v>134</v>
      </c>
      <c r="D23" s="14"/>
      <c r="E23" s="14"/>
      <c r="F23" s="14"/>
      <c r="G23" s="14"/>
    </row>
    <row r="24" spans="1:7" s="36" customFormat="1" ht="29.25" customHeight="1">
      <c r="A24" s="60" t="s">
        <v>157</v>
      </c>
      <c r="B24" s="61" t="s">
        <v>158</v>
      </c>
      <c r="C24" s="11" t="s">
        <v>159</v>
      </c>
      <c r="D24" s="14"/>
      <c r="E24" s="14"/>
      <c r="F24" s="14"/>
      <c r="G24" s="14"/>
    </row>
    <row r="25" spans="1:7" s="36" customFormat="1" ht="29.25" customHeight="1">
      <c r="A25" s="60" t="s">
        <v>160</v>
      </c>
      <c r="B25" s="61" t="s">
        <v>161</v>
      </c>
      <c r="C25" s="11" t="s">
        <v>162</v>
      </c>
      <c r="D25" s="14"/>
      <c r="E25" s="14"/>
      <c r="F25" s="14"/>
      <c r="G25" s="14"/>
    </row>
    <row r="26" spans="1:7" s="36" customFormat="1" ht="29.25" customHeight="1">
      <c r="A26" s="60" t="s">
        <v>163</v>
      </c>
      <c r="B26" s="61" t="s">
        <v>149</v>
      </c>
      <c r="C26" s="11" t="s">
        <v>150</v>
      </c>
      <c r="D26" s="14"/>
      <c r="E26" s="14"/>
      <c r="F26" s="14"/>
      <c r="G26" s="14"/>
    </row>
    <row r="27" spans="1:7" s="36" customFormat="1" ht="29.25" customHeight="1">
      <c r="A27" s="60" t="s">
        <v>164</v>
      </c>
      <c r="B27" s="61" t="s">
        <v>165</v>
      </c>
      <c r="C27" s="11" t="s">
        <v>166</v>
      </c>
      <c r="D27" s="14"/>
      <c r="E27" s="14"/>
      <c r="F27" s="14"/>
      <c r="G27" s="14"/>
    </row>
    <row r="28" spans="1:7" s="36" customFormat="1" ht="29.25" customHeight="1">
      <c r="A28" s="60" t="s">
        <v>167</v>
      </c>
      <c r="B28" s="61" t="s">
        <v>168</v>
      </c>
      <c r="C28" s="11" t="s">
        <v>162</v>
      </c>
      <c r="D28" s="14"/>
      <c r="E28" s="14"/>
      <c r="F28" s="14"/>
      <c r="G28" s="14"/>
    </row>
    <row r="29" spans="1:7" s="36" customFormat="1" ht="15" customHeight="1">
      <c r="A29" s="60" t="s">
        <v>169</v>
      </c>
      <c r="B29" s="61" t="s">
        <v>170</v>
      </c>
      <c r="C29" s="11" t="s">
        <v>162</v>
      </c>
      <c r="D29" s="14"/>
      <c r="E29" s="14"/>
      <c r="F29" s="14"/>
      <c r="G29" s="14"/>
    </row>
    <row r="30" spans="1:7" s="36" customFormat="1" ht="29.25" customHeight="1">
      <c r="A30" s="60" t="s">
        <v>171</v>
      </c>
      <c r="B30" s="61" t="s">
        <v>172</v>
      </c>
      <c r="C30" s="11" t="s">
        <v>138</v>
      </c>
      <c r="D30" s="14"/>
      <c r="E30" s="14"/>
      <c r="F30" s="14"/>
      <c r="G30" s="14"/>
    </row>
    <row r="31" spans="1:7" s="36" customFormat="1" ht="15" customHeight="1">
      <c r="A31" s="58" t="s">
        <v>173</v>
      </c>
      <c r="B31" s="59" t="s">
        <v>174</v>
      </c>
      <c r="C31" s="11" t="s">
        <v>162</v>
      </c>
      <c r="D31" s="14"/>
      <c r="E31" s="14"/>
      <c r="F31" s="14"/>
      <c r="G31" s="14"/>
    </row>
    <row r="32" spans="1:7" s="36" customFormat="1" ht="15" customHeight="1">
      <c r="A32" s="58" t="s">
        <v>175</v>
      </c>
      <c r="B32" s="59" t="s">
        <v>176</v>
      </c>
      <c r="C32" s="11" t="s">
        <v>162</v>
      </c>
      <c r="D32" s="14"/>
      <c r="E32" s="14"/>
      <c r="F32" s="14"/>
      <c r="G32" s="14"/>
    </row>
    <row r="33" spans="1:7" s="36" customFormat="1">
      <c r="A33" s="58"/>
      <c r="B33" s="59"/>
      <c r="C33" s="11"/>
      <c r="D33" s="14"/>
      <c r="E33" s="14"/>
      <c r="F33" s="14"/>
      <c r="G33" s="14"/>
    </row>
    <row r="34" spans="1:7" s="36" customFormat="1" ht="15" customHeight="1">
      <c r="A34" s="58" t="s">
        <v>177</v>
      </c>
      <c r="B34" s="59" t="s">
        <v>178</v>
      </c>
      <c r="C34" s="11" t="s">
        <v>162</v>
      </c>
      <c r="D34" s="14"/>
      <c r="E34" s="14"/>
      <c r="F34" s="14"/>
      <c r="G34" s="14"/>
    </row>
    <row r="35" spans="1:7" s="36" customFormat="1" ht="15" customHeight="1">
      <c r="A35" s="58" t="s">
        <v>179</v>
      </c>
      <c r="B35" s="59" t="s">
        <v>180</v>
      </c>
      <c r="C35" s="11" t="s">
        <v>162</v>
      </c>
      <c r="D35" s="14"/>
      <c r="E35" s="14"/>
      <c r="F35" s="14"/>
      <c r="G35" s="14"/>
    </row>
    <row r="36" spans="1:7" s="36" customFormat="1" ht="15" customHeight="1">
      <c r="A36" s="58" t="s">
        <v>181</v>
      </c>
      <c r="B36" s="59" t="s">
        <v>182</v>
      </c>
      <c r="C36" s="11" t="s">
        <v>162</v>
      </c>
      <c r="D36" s="14"/>
      <c r="E36" s="14"/>
      <c r="F36" s="14"/>
      <c r="G36" s="14"/>
    </row>
    <row r="37" spans="1:7" s="36" customFormat="1" ht="15" customHeight="1">
      <c r="A37" s="58" t="s">
        <v>183</v>
      </c>
      <c r="B37" s="59" t="s">
        <v>184</v>
      </c>
      <c r="C37" s="11" t="s">
        <v>162</v>
      </c>
      <c r="D37" s="14"/>
      <c r="E37" s="14"/>
      <c r="F37" s="14"/>
      <c r="G37" s="14"/>
    </row>
    <row r="38" spans="1:7" s="36" customFormat="1" ht="15" customHeight="1">
      <c r="A38" s="58" t="s">
        <v>185</v>
      </c>
      <c r="B38" s="59" t="s">
        <v>186</v>
      </c>
      <c r="C38" s="11" t="s">
        <v>162</v>
      </c>
      <c r="D38" s="14"/>
      <c r="E38" s="14"/>
      <c r="F38" s="14"/>
      <c r="G38" s="14"/>
    </row>
    <row r="39" spans="1:7" s="36" customFormat="1" ht="15" customHeight="1">
      <c r="A39" s="58" t="s">
        <v>187</v>
      </c>
      <c r="B39" s="59" t="s">
        <v>188</v>
      </c>
      <c r="C39" s="11" t="s">
        <v>162</v>
      </c>
      <c r="D39" s="14"/>
      <c r="E39" s="14"/>
      <c r="F39" s="14"/>
      <c r="G39" s="14"/>
    </row>
    <row r="40" spans="1:7" s="36" customFormat="1">
      <c r="A40" s="58"/>
      <c r="B40" s="59"/>
      <c r="C40" s="11"/>
      <c r="D40" s="14"/>
      <c r="E40" s="14"/>
      <c r="F40" s="14"/>
      <c r="G40" s="14"/>
    </row>
    <row r="41" spans="1:7" s="36" customFormat="1" ht="15" customHeight="1">
      <c r="A41" s="58" t="s">
        <v>189</v>
      </c>
      <c r="B41" s="59" t="s">
        <v>140</v>
      </c>
      <c r="C41" s="11" t="s">
        <v>162</v>
      </c>
      <c r="D41" s="14"/>
      <c r="E41" s="14"/>
      <c r="F41" s="14"/>
      <c r="G41" s="14"/>
    </row>
    <row r="42" spans="1:7" s="36" customFormat="1" ht="15" customHeight="1">
      <c r="A42" s="58" t="s">
        <v>190</v>
      </c>
      <c r="B42" s="59" t="s">
        <v>191</v>
      </c>
      <c r="C42" s="11" t="s">
        <v>138</v>
      </c>
      <c r="D42" s="14"/>
      <c r="E42" s="14"/>
      <c r="F42" s="14"/>
      <c r="G42" s="14"/>
    </row>
    <row r="43" spans="1:7" s="36" customFormat="1" ht="15" customHeight="1">
      <c r="A43" s="58" t="s">
        <v>192</v>
      </c>
      <c r="B43" s="59" t="s">
        <v>176</v>
      </c>
      <c r="C43" s="11" t="s">
        <v>138</v>
      </c>
      <c r="D43" s="14"/>
      <c r="E43" s="14"/>
      <c r="F43" s="14"/>
      <c r="G43" s="14"/>
    </row>
    <row r="44" spans="1:7" s="36" customFormat="1">
      <c r="A44" s="58"/>
      <c r="B44" s="59"/>
      <c r="C44" s="11"/>
      <c r="D44" s="14"/>
      <c r="E44" s="14"/>
      <c r="F44" s="14"/>
      <c r="G44" s="14"/>
    </row>
    <row r="45" spans="1:7" s="36" customFormat="1" ht="15" customHeight="1">
      <c r="A45" s="58" t="s">
        <v>193</v>
      </c>
      <c r="B45" s="59" t="s">
        <v>178</v>
      </c>
      <c r="C45" s="11" t="s">
        <v>138</v>
      </c>
      <c r="D45" s="14"/>
      <c r="E45" s="14"/>
      <c r="F45" s="14"/>
      <c r="G45" s="14"/>
    </row>
    <row r="46" spans="1:7" s="36" customFormat="1" ht="15" customHeight="1">
      <c r="A46" s="58" t="s">
        <v>194</v>
      </c>
      <c r="B46" s="59" t="s">
        <v>180</v>
      </c>
      <c r="C46" s="11" t="s">
        <v>138</v>
      </c>
      <c r="D46" s="14"/>
      <c r="E46" s="14"/>
      <c r="F46" s="14"/>
      <c r="G46" s="14"/>
    </row>
    <row r="47" spans="1:7" s="36" customFormat="1" ht="15" customHeight="1">
      <c r="A47" s="58" t="s">
        <v>195</v>
      </c>
      <c r="B47" s="59" t="s">
        <v>182</v>
      </c>
      <c r="C47" s="11" t="s">
        <v>138</v>
      </c>
      <c r="D47" s="14"/>
      <c r="E47" s="14"/>
      <c r="F47" s="14"/>
      <c r="G47" s="14"/>
    </row>
    <row r="48" spans="1:7" s="36" customFormat="1" ht="15" customHeight="1">
      <c r="A48" s="58" t="s">
        <v>196</v>
      </c>
      <c r="B48" s="59" t="s">
        <v>184</v>
      </c>
      <c r="C48" s="11" t="s">
        <v>138</v>
      </c>
      <c r="D48" s="14"/>
      <c r="E48" s="14"/>
      <c r="F48" s="14"/>
      <c r="G48" s="14"/>
    </row>
    <row r="49" spans="1:7" s="36" customFormat="1" ht="15" customHeight="1">
      <c r="A49" s="58" t="s">
        <v>197</v>
      </c>
      <c r="B49" s="59" t="s">
        <v>186</v>
      </c>
      <c r="C49" s="11" t="s">
        <v>138</v>
      </c>
      <c r="D49" s="14"/>
      <c r="E49" s="14"/>
      <c r="F49" s="14"/>
      <c r="G49" s="14"/>
    </row>
    <row r="50" spans="1:7" s="36" customFormat="1" ht="15" customHeight="1">
      <c r="A50" s="58" t="s">
        <v>198</v>
      </c>
      <c r="B50" s="59" t="s">
        <v>188</v>
      </c>
      <c r="C50" s="11" t="s">
        <v>138</v>
      </c>
      <c r="D50" s="14"/>
      <c r="E50" s="14"/>
      <c r="F50" s="14"/>
      <c r="G50" s="14"/>
    </row>
    <row r="51" spans="1:7" s="36" customFormat="1" ht="15" customHeight="1">
      <c r="A51" s="58" t="s">
        <v>199</v>
      </c>
      <c r="B51" s="59" t="s">
        <v>200</v>
      </c>
      <c r="C51" s="11"/>
      <c r="D51" s="14"/>
      <c r="E51" s="14"/>
      <c r="F51" s="14"/>
      <c r="G51" s="14"/>
    </row>
    <row r="52" spans="1:7" s="36" customFormat="1" ht="15" customHeight="1">
      <c r="A52" s="58" t="s">
        <v>201</v>
      </c>
      <c r="B52" s="59" t="s">
        <v>176</v>
      </c>
      <c r="C52" s="11"/>
      <c r="D52" s="14"/>
      <c r="E52" s="14"/>
      <c r="F52" s="14"/>
      <c r="G52" s="14"/>
    </row>
    <row r="53" spans="1:7" s="36" customFormat="1">
      <c r="A53" s="58"/>
      <c r="B53" s="59"/>
      <c r="C53" s="11"/>
      <c r="D53" s="14"/>
      <c r="E53" s="14"/>
      <c r="F53" s="14"/>
      <c r="G53" s="14"/>
    </row>
    <row r="54" spans="1:7" s="36" customFormat="1" ht="15" customHeight="1">
      <c r="A54" s="58" t="s">
        <v>202</v>
      </c>
      <c r="B54" s="59" t="s">
        <v>178</v>
      </c>
      <c r="C54" s="11"/>
      <c r="D54" s="14"/>
      <c r="E54" s="14"/>
      <c r="F54" s="14"/>
      <c r="G54" s="14"/>
    </row>
    <row r="55" spans="1:7" s="36" customFormat="1" ht="15" customHeight="1">
      <c r="A55" s="58" t="s">
        <v>203</v>
      </c>
      <c r="B55" s="59" t="s">
        <v>180</v>
      </c>
      <c r="C55" s="11"/>
      <c r="D55" s="14"/>
      <c r="E55" s="14"/>
      <c r="F55" s="14"/>
      <c r="G55" s="14"/>
    </row>
    <row r="56" spans="1:7" s="36" customFormat="1" ht="15" customHeight="1">
      <c r="A56" s="58" t="s">
        <v>204</v>
      </c>
      <c r="B56" s="59" t="s">
        <v>182</v>
      </c>
      <c r="C56" s="11"/>
      <c r="D56" s="14"/>
      <c r="E56" s="14"/>
      <c r="F56" s="14"/>
      <c r="G56" s="14"/>
    </row>
    <row r="57" spans="1:7" s="36" customFormat="1" ht="15" customHeight="1">
      <c r="A57" s="58" t="s">
        <v>205</v>
      </c>
      <c r="B57" s="59" t="s">
        <v>184</v>
      </c>
      <c r="C57" s="11"/>
      <c r="D57" s="14"/>
      <c r="E57" s="14"/>
      <c r="F57" s="14"/>
      <c r="G57" s="14"/>
    </row>
    <row r="58" spans="1:7" s="36" customFormat="1" ht="15" customHeight="1">
      <c r="A58" s="58" t="s">
        <v>206</v>
      </c>
      <c r="B58" s="59" t="s">
        <v>186</v>
      </c>
      <c r="C58" s="11"/>
      <c r="D58" s="14"/>
      <c r="E58" s="14"/>
      <c r="F58" s="14"/>
      <c r="G58" s="14"/>
    </row>
    <row r="59" spans="1:7" s="36" customFormat="1" ht="15" customHeight="1">
      <c r="A59" s="58" t="s">
        <v>207</v>
      </c>
      <c r="B59" s="59" t="s">
        <v>188</v>
      </c>
      <c r="C59" s="11"/>
      <c r="D59" s="14"/>
      <c r="E59" s="14"/>
      <c r="F59" s="14"/>
      <c r="G59" s="14"/>
    </row>
    <row r="60" spans="1:7" s="36" customFormat="1" ht="15" customHeight="1">
      <c r="A60" s="58" t="s">
        <v>208</v>
      </c>
      <c r="B60" s="59" t="s">
        <v>209</v>
      </c>
      <c r="C60" s="11"/>
      <c r="D60" s="14"/>
      <c r="E60" s="14"/>
      <c r="F60" s="14"/>
      <c r="G60" s="14"/>
    </row>
    <row r="61" spans="1:7" s="36" customFormat="1" ht="15" customHeight="1">
      <c r="A61" s="58" t="s">
        <v>210</v>
      </c>
      <c r="B61" s="59" t="s">
        <v>176</v>
      </c>
      <c r="C61" s="11" t="s">
        <v>211</v>
      </c>
      <c r="D61" s="14"/>
      <c r="E61" s="14"/>
      <c r="F61" s="14"/>
      <c r="G61" s="14"/>
    </row>
    <row r="62" spans="1:7" s="36" customFormat="1">
      <c r="A62" s="58"/>
      <c r="B62" s="59"/>
      <c r="C62" s="11"/>
      <c r="D62" s="14"/>
      <c r="E62" s="14"/>
      <c r="F62" s="14"/>
      <c r="G62" s="14"/>
    </row>
    <row r="63" spans="1:7" s="36" customFormat="1" ht="15" customHeight="1">
      <c r="A63" s="58" t="s">
        <v>212</v>
      </c>
      <c r="B63" s="59" t="s">
        <v>178</v>
      </c>
      <c r="C63" s="11" t="s">
        <v>211</v>
      </c>
      <c r="D63" s="14"/>
      <c r="E63" s="14"/>
      <c r="F63" s="14"/>
      <c r="G63" s="14"/>
    </row>
    <row r="64" spans="1:7" s="36" customFormat="1" ht="15" customHeight="1">
      <c r="A64" s="58" t="s">
        <v>213</v>
      </c>
      <c r="B64" s="59" t="s">
        <v>180</v>
      </c>
      <c r="C64" s="11" t="s">
        <v>214</v>
      </c>
      <c r="D64" s="14"/>
      <c r="E64" s="14"/>
      <c r="F64" s="14"/>
      <c r="G64" s="14"/>
    </row>
    <row r="65" spans="1:7" s="36" customFormat="1" ht="15" customHeight="1">
      <c r="A65" s="58" t="s">
        <v>215</v>
      </c>
      <c r="B65" s="59" t="s">
        <v>182</v>
      </c>
      <c r="C65" s="11" t="s">
        <v>214</v>
      </c>
      <c r="D65" s="14"/>
      <c r="E65" s="14"/>
      <c r="F65" s="14"/>
      <c r="G65" s="14"/>
    </row>
    <row r="66" spans="1:7" s="36" customFormat="1" ht="15" customHeight="1">
      <c r="A66" s="58" t="s">
        <v>216</v>
      </c>
      <c r="B66" s="59" t="s">
        <v>184</v>
      </c>
      <c r="C66" s="11" t="s">
        <v>214</v>
      </c>
      <c r="D66" s="14"/>
      <c r="E66" s="14"/>
      <c r="F66" s="14"/>
      <c r="G66" s="14"/>
    </row>
    <row r="67" spans="1:7" s="36" customFormat="1" ht="15" customHeight="1">
      <c r="A67" s="58" t="s">
        <v>217</v>
      </c>
      <c r="B67" s="59" t="s">
        <v>186</v>
      </c>
      <c r="C67" s="11" t="s">
        <v>214</v>
      </c>
      <c r="D67" s="14"/>
      <c r="E67" s="14"/>
      <c r="F67" s="14"/>
      <c r="G67" s="14"/>
    </row>
    <row r="68" spans="1:7" s="36" customFormat="1" ht="15" customHeight="1">
      <c r="A68" s="58" t="s">
        <v>218</v>
      </c>
      <c r="B68" s="59" t="s">
        <v>188</v>
      </c>
      <c r="C68" s="11" t="s">
        <v>211</v>
      </c>
      <c r="D68" s="14"/>
      <c r="E68" s="14"/>
      <c r="F68" s="14"/>
      <c r="G68" s="14"/>
    </row>
    <row r="69" spans="1:7" s="36" customFormat="1" ht="15" customHeight="1">
      <c r="A69" s="58" t="s">
        <v>219</v>
      </c>
      <c r="B69" s="59" t="s">
        <v>220</v>
      </c>
      <c r="C69" s="11"/>
      <c r="D69" s="14"/>
      <c r="E69" s="14"/>
      <c r="F69" s="14"/>
      <c r="G69" s="14"/>
    </row>
    <row r="70" spans="1:7" s="36" customFormat="1" ht="15" customHeight="1">
      <c r="A70" s="58" t="s">
        <v>221</v>
      </c>
      <c r="B70" s="59" t="s">
        <v>176</v>
      </c>
      <c r="C70" s="11" t="s">
        <v>138</v>
      </c>
      <c r="D70" s="14"/>
      <c r="E70" s="14"/>
      <c r="F70" s="14"/>
      <c r="G70" s="14"/>
    </row>
    <row r="71" spans="1:7" s="36" customFormat="1">
      <c r="A71" s="58"/>
      <c r="B71" s="59"/>
      <c r="C71" s="11"/>
      <c r="D71" s="14"/>
      <c r="E71" s="14"/>
      <c r="F71" s="14"/>
      <c r="G71" s="14"/>
    </row>
    <row r="72" spans="1:7" s="36" customFormat="1" ht="15" customHeight="1">
      <c r="A72" s="58" t="s">
        <v>222</v>
      </c>
      <c r="B72" s="59" t="s">
        <v>178</v>
      </c>
      <c r="C72" s="11" t="s">
        <v>138</v>
      </c>
      <c r="D72" s="14"/>
      <c r="E72" s="14"/>
      <c r="F72" s="14"/>
      <c r="G72" s="14"/>
    </row>
    <row r="73" spans="1:7" s="36" customFormat="1" ht="15" customHeight="1">
      <c r="A73" s="58" t="s">
        <v>223</v>
      </c>
      <c r="B73" s="59" t="s">
        <v>180</v>
      </c>
      <c r="C73" s="11" t="s">
        <v>138</v>
      </c>
      <c r="D73" s="14"/>
      <c r="E73" s="14"/>
      <c r="F73" s="14"/>
      <c r="G73" s="14"/>
    </row>
    <row r="74" spans="1:7" s="36" customFormat="1" ht="15" customHeight="1">
      <c r="A74" s="58" t="s">
        <v>224</v>
      </c>
      <c r="B74" s="59" t="s">
        <v>182</v>
      </c>
      <c r="C74" s="11" t="s">
        <v>138</v>
      </c>
      <c r="D74" s="14"/>
      <c r="E74" s="14"/>
      <c r="F74" s="14"/>
      <c r="G74" s="14"/>
    </row>
    <row r="75" spans="1:7" s="36" customFormat="1" ht="15" customHeight="1">
      <c r="A75" s="58" t="s">
        <v>225</v>
      </c>
      <c r="B75" s="59" t="s">
        <v>184</v>
      </c>
      <c r="C75" s="11" t="s">
        <v>138</v>
      </c>
      <c r="D75" s="14"/>
      <c r="E75" s="14"/>
      <c r="F75" s="14"/>
      <c r="G75" s="14"/>
    </row>
    <row r="76" spans="1:7" s="36" customFormat="1" ht="15" customHeight="1">
      <c r="A76" s="58" t="s">
        <v>226</v>
      </c>
      <c r="B76" s="59" t="s">
        <v>186</v>
      </c>
      <c r="C76" s="11" t="s">
        <v>138</v>
      </c>
      <c r="D76" s="14"/>
      <c r="E76" s="14"/>
      <c r="F76" s="14"/>
      <c r="G76" s="14"/>
    </row>
    <row r="77" spans="1:7" s="36" customFormat="1" ht="15" customHeight="1">
      <c r="A77" s="58" t="s">
        <v>227</v>
      </c>
      <c r="B77" s="59" t="s">
        <v>188</v>
      </c>
      <c r="C77" s="11" t="s">
        <v>138</v>
      </c>
      <c r="D77" s="14"/>
      <c r="E77" s="14"/>
      <c r="F77" s="14"/>
      <c r="G77" s="14"/>
    </row>
    <row r="78" spans="1:7" s="36" customFormat="1" ht="15" customHeight="1">
      <c r="A78" s="58" t="s">
        <v>228</v>
      </c>
      <c r="B78" s="59" t="s">
        <v>229</v>
      </c>
      <c r="C78" s="11"/>
      <c r="D78" s="14"/>
      <c r="E78" s="14"/>
      <c r="F78" s="14"/>
      <c r="G78" s="14"/>
    </row>
    <row r="79" spans="1:7" s="36" customFormat="1" ht="15" customHeight="1">
      <c r="A79" s="58" t="s">
        <v>230</v>
      </c>
      <c r="B79" s="59" t="s">
        <v>176</v>
      </c>
      <c r="C79" s="11" t="s">
        <v>231</v>
      </c>
      <c r="D79" s="14"/>
      <c r="E79" s="14"/>
      <c r="F79" s="14"/>
      <c r="G79" s="14"/>
    </row>
    <row r="80" spans="1:7" s="36" customFormat="1">
      <c r="A80" s="58"/>
      <c r="B80" s="59"/>
      <c r="C80" s="11"/>
      <c r="D80" s="14"/>
      <c r="E80" s="14"/>
      <c r="F80" s="14"/>
      <c r="G80" s="14"/>
    </row>
    <row r="81" spans="1:7" s="36" customFormat="1" ht="15" customHeight="1">
      <c r="A81" s="58" t="s">
        <v>232</v>
      </c>
      <c r="B81" s="59" t="s">
        <v>178</v>
      </c>
      <c r="C81" s="11" t="s">
        <v>231</v>
      </c>
      <c r="D81" s="14"/>
      <c r="E81" s="14"/>
      <c r="F81" s="14"/>
      <c r="G81" s="14"/>
    </row>
    <row r="82" spans="1:7" s="36" customFormat="1">
      <c r="A82" s="58" t="s">
        <v>233</v>
      </c>
      <c r="B82" s="59" t="s">
        <v>180</v>
      </c>
      <c r="C82" s="37" t="s">
        <v>762</v>
      </c>
      <c r="D82" s="14"/>
      <c r="E82" s="14"/>
      <c r="F82" s="14"/>
      <c r="G82" s="14"/>
    </row>
    <row r="83" spans="1:7" s="36" customFormat="1">
      <c r="A83" s="58" t="s">
        <v>234</v>
      </c>
      <c r="B83" s="59" t="s">
        <v>182</v>
      </c>
      <c r="C83" s="37" t="s">
        <v>762</v>
      </c>
      <c r="D83" s="14"/>
      <c r="E83" s="14"/>
      <c r="F83" s="14"/>
      <c r="G83" s="14"/>
    </row>
    <row r="84" spans="1:7" s="36" customFormat="1">
      <c r="A84" s="58" t="s">
        <v>235</v>
      </c>
      <c r="B84" s="59" t="s">
        <v>184</v>
      </c>
      <c r="C84" s="37" t="s">
        <v>762</v>
      </c>
      <c r="D84" s="14"/>
      <c r="E84" s="14"/>
      <c r="F84" s="14"/>
      <c r="G84" s="14"/>
    </row>
    <row r="85" spans="1:7" s="36" customFormat="1">
      <c r="A85" s="58" t="s">
        <v>236</v>
      </c>
      <c r="B85" s="59" t="s">
        <v>186</v>
      </c>
      <c r="C85" s="37" t="s">
        <v>762</v>
      </c>
      <c r="D85" s="14"/>
      <c r="E85" s="14"/>
      <c r="F85" s="14"/>
      <c r="G85" s="14"/>
    </row>
    <row r="86" spans="1:7" s="36" customFormat="1" ht="15" customHeight="1">
      <c r="A86" s="58" t="s">
        <v>237</v>
      </c>
      <c r="B86" s="59" t="s">
        <v>188</v>
      </c>
      <c r="C86" s="11" t="s">
        <v>231</v>
      </c>
      <c r="D86" s="14"/>
      <c r="E86" s="14"/>
      <c r="F86" s="14"/>
      <c r="G86" s="14"/>
    </row>
    <row r="87" spans="1:7" s="36" customFormat="1" ht="15" customHeight="1">
      <c r="A87" s="58" t="s">
        <v>238</v>
      </c>
      <c r="B87" s="59" t="s">
        <v>239</v>
      </c>
      <c r="C87" s="11" t="s">
        <v>240</v>
      </c>
      <c r="D87" s="14"/>
      <c r="E87" s="14"/>
      <c r="F87" s="14"/>
      <c r="G87" s="14"/>
    </row>
    <row r="88" spans="1:7" s="36" customFormat="1" ht="15" customHeight="1">
      <c r="A88" s="58" t="s">
        <v>241</v>
      </c>
      <c r="B88" s="59" t="s">
        <v>176</v>
      </c>
      <c r="C88" s="11" t="s">
        <v>240</v>
      </c>
      <c r="D88" s="14"/>
      <c r="E88" s="14"/>
      <c r="F88" s="14"/>
      <c r="G88" s="14"/>
    </row>
    <row r="89" spans="1:7" s="36" customFormat="1">
      <c r="A89" s="58"/>
      <c r="B89" s="59"/>
      <c r="C89" s="11"/>
      <c r="D89" s="14"/>
      <c r="E89" s="14"/>
      <c r="F89" s="14"/>
      <c r="G89" s="14"/>
    </row>
    <row r="90" spans="1:7" s="36" customFormat="1" ht="15" customHeight="1">
      <c r="A90" s="58" t="s">
        <v>242</v>
      </c>
      <c r="B90" s="59" t="s">
        <v>178</v>
      </c>
      <c r="C90" s="11" t="s">
        <v>240</v>
      </c>
      <c r="D90" s="14"/>
      <c r="E90" s="14"/>
      <c r="F90" s="14"/>
      <c r="G90" s="14"/>
    </row>
    <row r="91" spans="1:7" s="36" customFormat="1" ht="15" customHeight="1">
      <c r="A91" s="58" t="s">
        <v>243</v>
      </c>
      <c r="B91" s="59" t="s">
        <v>180</v>
      </c>
      <c r="C91" s="11" t="s">
        <v>240</v>
      </c>
      <c r="D91" s="14"/>
      <c r="E91" s="14"/>
      <c r="F91" s="14"/>
      <c r="G91" s="14"/>
    </row>
    <row r="92" spans="1:7" s="36" customFormat="1" ht="15" customHeight="1">
      <c r="A92" s="58" t="s">
        <v>244</v>
      </c>
      <c r="B92" s="59" t="s">
        <v>182</v>
      </c>
      <c r="C92" s="11" t="s">
        <v>240</v>
      </c>
      <c r="D92" s="14"/>
      <c r="E92" s="14"/>
      <c r="F92" s="14"/>
      <c r="G92" s="14"/>
    </row>
    <row r="93" spans="1:7" s="36" customFormat="1" ht="15" customHeight="1">
      <c r="A93" s="58" t="s">
        <v>245</v>
      </c>
      <c r="B93" s="59" t="s">
        <v>184</v>
      </c>
      <c r="C93" s="11" t="s">
        <v>240</v>
      </c>
      <c r="D93" s="14"/>
      <c r="E93" s="14"/>
      <c r="F93" s="14"/>
      <c r="G93" s="14"/>
    </row>
    <row r="94" spans="1:7" s="36" customFormat="1" ht="15" customHeight="1">
      <c r="A94" s="58" t="s">
        <v>246</v>
      </c>
      <c r="B94" s="59" t="s">
        <v>186</v>
      </c>
      <c r="C94" s="11" t="s">
        <v>240</v>
      </c>
      <c r="D94" s="14"/>
      <c r="E94" s="14"/>
      <c r="F94" s="14"/>
      <c r="G94" s="14"/>
    </row>
    <row r="95" spans="1:7" s="36" customFormat="1" ht="15" customHeight="1">
      <c r="A95" s="58" t="s">
        <v>247</v>
      </c>
      <c r="B95" s="59" t="s">
        <v>188</v>
      </c>
      <c r="C95" s="11" t="s">
        <v>240</v>
      </c>
      <c r="D95" s="14"/>
      <c r="E95" s="14"/>
      <c r="F95" s="14"/>
      <c r="G95" s="14"/>
    </row>
    <row r="96" spans="1:7" s="36" customFormat="1" ht="15" customHeight="1">
      <c r="A96" s="58" t="s">
        <v>248</v>
      </c>
      <c r="B96" s="59" t="s">
        <v>140</v>
      </c>
      <c r="C96" s="11" t="s">
        <v>240</v>
      </c>
      <c r="D96" s="14"/>
      <c r="E96" s="14"/>
      <c r="F96" s="14"/>
      <c r="G96" s="14"/>
    </row>
    <row r="97" spans="1:7" s="36" customFormat="1" ht="44.25" customHeight="1">
      <c r="A97" s="58" t="s">
        <v>249</v>
      </c>
      <c r="B97" s="59" t="s">
        <v>250</v>
      </c>
      <c r="C97" s="11" t="s">
        <v>240</v>
      </c>
      <c r="D97" s="14"/>
      <c r="E97" s="14"/>
      <c r="F97" s="14"/>
      <c r="G97" s="14"/>
    </row>
    <row r="98" spans="1:7" s="36" customFormat="1" ht="15" customHeight="1">
      <c r="A98" s="58" t="s">
        <v>251</v>
      </c>
      <c r="B98" s="59" t="s">
        <v>176</v>
      </c>
      <c r="C98" s="11" t="s">
        <v>240</v>
      </c>
      <c r="D98" s="14"/>
      <c r="E98" s="14"/>
      <c r="F98" s="14"/>
      <c r="G98" s="14"/>
    </row>
    <row r="99" spans="1:7" s="36" customFormat="1">
      <c r="A99" s="58"/>
      <c r="B99" s="59"/>
      <c r="C99" s="11"/>
      <c r="D99" s="14"/>
      <c r="E99" s="14"/>
      <c r="F99" s="14"/>
      <c r="G99" s="14"/>
    </row>
    <row r="100" spans="1:7" s="36" customFormat="1" ht="15" customHeight="1">
      <c r="A100" s="58"/>
      <c r="B100" s="59" t="s">
        <v>178</v>
      </c>
      <c r="C100" s="11" t="s">
        <v>240</v>
      </c>
      <c r="D100" s="14"/>
      <c r="E100" s="14"/>
      <c r="F100" s="14"/>
      <c r="G100" s="14"/>
    </row>
    <row r="101" spans="1:7" s="36" customFormat="1" ht="15" customHeight="1">
      <c r="A101" s="58" t="s">
        <v>252</v>
      </c>
      <c r="B101" s="59" t="s">
        <v>180</v>
      </c>
      <c r="C101" s="11" t="s">
        <v>240</v>
      </c>
      <c r="D101" s="14"/>
      <c r="E101" s="14"/>
      <c r="F101" s="14"/>
      <c r="G101" s="14"/>
    </row>
    <row r="102" spans="1:7" s="36" customFormat="1" ht="15" customHeight="1">
      <c r="A102" s="58" t="s">
        <v>253</v>
      </c>
      <c r="B102" s="59" t="s">
        <v>182</v>
      </c>
      <c r="C102" s="11" t="s">
        <v>240</v>
      </c>
      <c r="D102" s="14"/>
      <c r="E102" s="14"/>
      <c r="F102" s="14"/>
      <c r="G102" s="14"/>
    </row>
    <row r="103" spans="1:7" s="36" customFormat="1" ht="15" customHeight="1">
      <c r="A103" s="58" t="s">
        <v>254</v>
      </c>
      <c r="B103" s="59" t="s">
        <v>184</v>
      </c>
      <c r="C103" s="11" t="s">
        <v>240</v>
      </c>
      <c r="D103" s="14"/>
      <c r="E103" s="14"/>
      <c r="F103" s="14"/>
      <c r="G103" s="14"/>
    </row>
    <row r="104" spans="1:7" s="36" customFormat="1" ht="15" customHeight="1">
      <c r="A104" s="58" t="s">
        <v>255</v>
      </c>
      <c r="B104" s="59" t="s">
        <v>186</v>
      </c>
      <c r="C104" s="11" t="s">
        <v>240</v>
      </c>
      <c r="D104" s="14"/>
      <c r="E104" s="14"/>
      <c r="F104" s="14"/>
      <c r="G104" s="14"/>
    </row>
    <row r="105" spans="1:7" s="36" customFormat="1" ht="15" customHeight="1">
      <c r="A105" s="58" t="s">
        <v>256</v>
      </c>
      <c r="B105" s="59" t="s">
        <v>188</v>
      </c>
      <c r="C105" s="11" t="s">
        <v>240</v>
      </c>
      <c r="D105" s="14"/>
      <c r="E105" s="14"/>
      <c r="F105" s="14"/>
      <c r="G105" s="14"/>
    </row>
    <row r="106" spans="1:7" s="36" customFormat="1" ht="29.25" customHeight="1">
      <c r="A106" s="58" t="s">
        <v>257</v>
      </c>
      <c r="B106" s="59" t="s">
        <v>258</v>
      </c>
      <c r="C106" s="11"/>
      <c r="D106" s="14"/>
      <c r="E106" s="14"/>
      <c r="F106" s="14"/>
      <c r="G106" s="14"/>
    </row>
    <row r="107" spans="1:7" s="36" customFormat="1" ht="15" customHeight="1">
      <c r="A107" s="58" t="s">
        <v>259</v>
      </c>
      <c r="B107" s="59" t="s">
        <v>176</v>
      </c>
      <c r="C107" s="11" t="s">
        <v>138</v>
      </c>
      <c r="D107" s="14"/>
      <c r="E107" s="14"/>
      <c r="F107" s="14"/>
      <c r="G107" s="14"/>
    </row>
    <row r="108" spans="1:7" s="36" customFormat="1">
      <c r="A108" s="58"/>
      <c r="B108" s="59"/>
      <c r="C108" s="11"/>
      <c r="D108" s="14"/>
      <c r="E108" s="14"/>
      <c r="F108" s="14"/>
      <c r="G108" s="14"/>
    </row>
    <row r="109" spans="1:7" s="36" customFormat="1" ht="15" customHeight="1">
      <c r="A109" s="58" t="s">
        <v>260</v>
      </c>
      <c r="B109" s="59" t="s">
        <v>178</v>
      </c>
      <c r="C109" s="11" t="s">
        <v>138</v>
      </c>
      <c r="D109" s="14"/>
      <c r="E109" s="14"/>
      <c r="F109" s="14"/>
      <c r="G109" s="14"/>
    </row>
    <row r="110" spans="1:7" s="36" customFormat="1" ht="15" customHeight="1">
      <c r="A110" s="58" t="s">
        <v>261</v>
      </c>
      <c r="B110" s="59" t="s">
        <v>180</v>
      </c>
      <c r="C110" s="11" t="s">
        <v>138</v>
      </c>
      <c r="D110" s="14"/>
      <c r="E110" s="14"/>
      <c r="F110" s="14"/>
      <c r="G110" s="14"/>
    </row>
    <row r="111" spans="1:7" s="36" customFormat="1" ht="15" customHeight="1">
      <c r="A111" s="58" t="s">
        <v>262</v>
      </c>
      <c r="B111" s="59" t="s">
        <v>182</v>
      </c>
      <c r="C111" s="11" t="s">
        <v>138</v>
      </c>
      <c r="D111" s="14"/>
      <c r="E111" s="14"/>
      <c r="F111" s="14"/>
      <c r="G111" s="14"/>
    </row>
    <row r="112" spans="1:7" s="36" customFormat="1" ht="15" customHeight="1">
      <c r="A112" s="58" t="s">
        <v>263</v>
      </c>
      <c r="B112" s="59" t="s">
        <v>184</v>
      </c>
      <c r="C112" s="11" t="s">
        <v>138</v>
      </c>
      <c r="D112" s="14"/>
      <c r="E112" s="14"/>
      <c r="F112" s="14"/>
      <c r="G112" s="14"/>
    </row>
    <row r="113" spans="1:7" s="36" customFormat="1" ht="15" customHeight="1">
      <c r="A113" s="58" t="s">
        <v>264</v>
      </c>
      <c r="B113" s="59" t="s">
        <v>186</v>
      </c>
      <c r="C113" s="11" t="s">
        <v>138</v>
      </c>
      <c r="D113" s="14"/>
      <c r="E113" s="14"/>
      <c r="F113" s="14"/>
      <c r="G113" s="14"/>
    </row>
    <row r="114" spans="1:7" s="36" customFormat="1" ht="15" customHeight="1">
      <c r="A114" s="58" t="s">
        <v>265</v>
      </c>
      <c r="B114" s="59" t="s">
        <v>188</v>
      </c>
      <c r="C114" s="11" t="s">
        <v>138</v>
      </c>
      <c r="D114" s="14"/>
      <c r="E114" s="14"/>
      <c r="F114" s="14"/>
      <c r="G114" s="14"/>
    </row>
    <row r="115" spans="1:7" s="36" customFormat="1" ht="15" customHeight="1">
      <c r="A115" s="58" t="s">
        <v>266</v>
      </c>
      <c r="B115" s="59" t="s">
        <v>267</v>
      </c>
      <c r="C115" s="11"/>
      <c r="D115" s="14"/>
      <c r="E115" s="14"/>
      <c r="F115" s="14"/>
      <c r="G115" s="14"/>
    </row>
    <row r="116" spans="1:7" s="36" customFormat="1" ht="15" customHeight="1">
      <c r="A116" s="58" t="s">
        <v>268</v>
      </c>
      <c r="B116" s="59" t="s">
        <v>176</v>
      </c>
      <c r="C116" s="11" t="s">
        <v>231</v>
      </c>
      <c r="D116" s="14"/>
      <c r="E116" s="14"/>
      <c r="F116" s="14"/>
      <c r="G116" s="14"/>
    </row>
    <row r="117" spans="1:7" s="36" customFormat="1">
      <c r="A117" s="58"/>
      <c r="B117" s="59"/>
      <c r="C117" s="11"/>
      <c r="D117" s="14"/>
      <c r="E117" s="14"/>
      <c r="F117" s="14"/>
      <c r="G117" s="14"/>
    </row>
    <row r="118" spans="1:7" s="36" customFormat="1" ht="15" customHeight="1">
      <c r="A118" s="58" t="s">
        <v>269</v>
      </c>
      <c r="B118" s="59" t="s">
        <v>178</v>
      </c>
      <c r="C118" s="11" t="s">
        <v>231</v>
      </c>
      <c r="D118" s="14"/>
      <c r="E118" s="14"/>
      <c r="F118" s="14"/>
      <c r="G118" s="14"/>
    </row>
    <row r="119" spans="1:7" s="36" customFormat="1">
      <c r="A119" s="58" t="s">
        <v>270</v>
      </c>
      <c r="B119" s="59" t="s">
        <v>180</v>
      </c>
      <c r="C119" s="37" t="s">
        <v>762</v>
      </c>
      <c r="D119" s="14"/>
      <c r="E119" s="14"/>
      <c r="F119" s="14"/>
      <c r="G119" s="14"/>
    </row>
    <row r="120" spans="1:7" s="36" customFormat="1">
      <c r="A120" s="58" t="s">
        <v>271</v>
      </c>
      <c r="B120" s="59" t="s">
        <v>182</v>
      </c>
      <c r="C120" s="37" t="s">
        <v>762</v>
      </c>
      <c r="D120" s="14"/>
      <c r="E120" s="14"/>
      <c r="F120" s="14"/>
      <c r="G120" s="14"/>
    </row>
    <row r="121" spans="1:7" s="36" customFormat="1">
      <c r="A121" s="58" t="s">
        <v>272</v>
      </c>
      <c r="B121" s="59" t="s">
        <v>184</v>
      </c>
      <c r="C121" s="37" t="s">
        <v>762</v>
      </c>
      <c r="D121" s="14"/>
      <c r="E121" s="14"/>
      <c r="F121" s="14"/>
      <c r="G121" s="14"/>
    </row>
    <row r="122" spans="1:7" s="36" customFormat="1">
      <c r="A122" s="58" t="s">
        <v>273</v>
      </c>
      <c r="B122" s="59" t="s">
        <v>186</v>
      </c>
      <c r="C122" s="37" t="s">
        <v>762</v>
      </c>
      <c r="D122" s="14"/>
      <c r="E122" s="14"/>
      <c r="F122" s="14"/>
      <c r="G122" s="14"/>
    </row>
    <row r="123" spans="1:7" s="36" customFormat="1" ht="15" customHeight="1">
      <c r="A123" s="58" t="s">
        <v>274</v>
      </c>
      <c r="B123" s="59" t="s">
        <v>188</v>
      </c>
      <c r="C123" s="11" t="s">
        <v>231</v>
      </c>
      <c r="D123" s="14"/>
      <c r="E123" s="14"/>
      <c r="F123" s="14"/>
      <c r="G123" s="14"/>
    </row>
    <row r="124" spans="1:7" s="36" customFormat="1" ht="15" customHeight="1">
      <c r="A124" s="58" t="s">
        <v>275</v>
      </c>
      <c r="B124" s="59" t="s">
        <v>276</v>
      </c>
      <c r="C124" s="11" t="s">
        <v>240</v>
      </c>
      <c r="D124" s="14"/>
      <c r="E124" s="14"/>
      <c r="F124" s="14"/>
      <c r="G124" s="14"/>
    </row>
    <row r="125" spans="1:7" s="36" customFormat="1" ht="15" customHeight="1">
      <c r="A125" s="58" t="s">
        <v>277</v>
      </c>
      <c r="B125" s="59" t="s">
        <v>176</v>
      </c>
      <c r="C125" s="11" t="s">
        <v>240</v>
      </c>
      <c r="D125" s="14"/>
      <c r="E125" s="14"/>
      <c r="F125" s="14"/>
      <c r="G125" s="14"/>
    </row>
    <row r="126" spans="1:7" s="36" customFormat="1">
      <c r="A126" s="58"/>
      <c r="B126" s="59"/>
      <c r="C126" s="11"/>
      <c r="D126" s="14"/>
      <c r="E126" s="14"/>
      <c r="F126" s="14"/>
      <c r="G126" s="14"/>
    </row>
    <row r="127" spans="1:7" s="36" customFormat="1" ht="15" customHeight="1">
      <c r="A127" s="58" t="s">
        <v>278</v>
      </c>
      <c r="B127" s="59" t="s">
        <v>178</v>
      </c>
      <c r="C127" s="11" t="s">
        <v>240</v>
      </c>
      <c r="D127" s="14"/>
      <c r="E127" s="14"/>
      <c r="F127" s="14"/>
      <c r="G127" s="14"/>
    </row>
    <row r="128" spans="1:7" s="36" customFormat="1" ht="15" customHeight="1">
      <c r="A128" s="58" t="s">
        <v>279</v>
      </c>
      <c r="B128" s="59" t="s">
        <v>180</v>
      </c>
      <c r="C128" s="11" t="s">
        <v>240</v>
      </c>
      <c r="D128" s="14"/>
      <c r="E128" s="14"/>
      <c r="F128" s="14"/>
      <c r="G128" s="14"/>
    </row>
    <row r="129" spans="1:7" s="36" customFormat="1" ht="15" customHeight="1">
      <c r="A129" s="58" t="s">
        <v>280</v>
      </c>
      <c r="B129" s="59" t="s">
        <v>182</v>
      </c>
      <c r="C129" s="11" t="s">
        <v>240</v>
      </c>
      <c r="D129" s="14"/>
      <c r="E129" s="14"/>
      <c r="F129" s="14"/>
      <c r="G129" s="14"/>
    </row>
    <row r="130" spans="1:7" s="36" customFormat="1" ht="15" customHeight="1">
      <c r="A130" s="58" t="s">
        <v>281</v>
      </c>
      <c r="B130" s="59" t="s">
        <v>184</v>
      </c>
      <c r="C130" s="11" t="s">
        <v>240</v>
      </c>
      <c r="D130" s="14"/>
      <c r="E130" s="14"/>
      <c r="F130" s="14"/>
      <c r="G130" s="14"/>
    </row>
    <row r="131" spans="1:7" s="36" customFormat="1" ht="15" customHeight="1">
      <c r="A131" s="58" t="s">
        <v>282</v>
      </c>
      <c r="B131" s="59" t="s">
        <v>186</v>
      </c>
      <c r="C131" s="11" t="s">
        <v>240</v>
      </c>
      <c r="D131" s="14"/>
      <c r="E131" s="14"/>
      <c r="F131" s="14"/>
      <c r="G131" s="14"/>
    </row>
    <row r="132" spans="1:7" s="36" customFormat="1" ht="15" customHeight="1">
      <c r="A132" s="58" t="s">
        <v>283</v>
      </c>
      <c r="B132" s="59" t="s">
        <v>188</v>
      </c>
      <c r="C132" s="11" t="s">
        <v>240</v>
      </c>
      <c r="D132" s="14"/>
      <c r="E132" s="14"/>
      <c r="F132" s="14"/>
      <c r="G132" s="14"/>
    </row>
    <row r="133" spans="1:7" s="36" customFormat="1">
      <c r="A133" s="58"/>
      <c r="B133" s="59"/>
      <c r="C133" s="11"/>
      <c r="D133" s="14"/>
      <c r="E133" s="14"/>
      <c r="F133" s="14"/>
      <c r="G133" s="14"/>
    </row>
    <row r="134" spans="1:7" s="36" customFormat="1" ht="15" customHeight="1">
      <c r="A134" s="58" t="s">
        <v>284</v>
      </c>
      <c r="B134" s="59" t="s">
        <v>140</v>
      </c>
      <c r="C134" s="11" t="s">
        <v>240</v>
      </c>
      <c r="D134" s="14"/>
      <c r="E134" s="14"/>
      <c r="F134" s="14"/>
      <c r="G134" s="14"/>
    </row>
    <row r="135" spans="1:7" s="36" customFormat="1" ht="29.25" customHeight="1">
      <c r="A135" s="58" t="s">
        <v>285</v>
      </c>
      <c r="B135" s="59" t="s">
        <v>286</v>
      </c>
      <c r="C135" s="11" t="s">
        <v>240</v>
      </c>
      <c r="D135" s="14"/>
      <c r="E135" s="14"/>
      <c r="F135" s="14"/>
      <c r="G135" s="14"/>
    </row>
    <row r="136" spans="1:7" s="36" customFormat="1" ht="15" customHeight="1">
      <c r="A136" s="58" t="s">
        <v>287</v>
      </c>
      <c r="B136" s="59" t="s">
        <v>176</v>
      </c>
      <c r="C136" s="11" t="s">
        <v>240</v>
      </c>
      <c r="D136" s="14"/>
      <c r="E136" s="14"/>
      <c r="F136" s="14"/>
      <c r="G136" s="14"/>
    </row>
    <row r="137" spans="1:7" s="36" customFormat="1">
      <c r="A137" s="58"/>
      <c r="B137" s="59"/>
      <c r="C137" s="11"/>
      <c r="D137" s="14"/>
      <c r="E137" s="14"/>
      <c r="F137" s="14"/>
      <c r="G137" s="14"/>
    </row>
    <row r="138" spans="1:7" s="36" customFormat="1" ht="15" customHeight="1">
      <c r="A138" s="58" t="s">
        <v>288</v>
      </c>
      <c r="B138" s="59" t="s">
        <v>178</v>
      </c>
      <c r="C138" s="11" t="s">
        <v>240</v>
      </c>
      <c r="D138" s="14"/>
      <c r="E138" s="14"/>
      <c r="F138" s="14"/>
      <c r="G138" s="14"/>
    </row>
    <row r="139" spans="1:7" s="36" customFormat="1" ht="15" customHeight="1">
      <c r="A139" s="58" t="s">
        <v>289</v>
      </c>
      <c r="B139" s="59" t="s">
        <v>180</v>
      </c>
      <c r="C139" s="11" t="s">
        <v>240</v>
      </c>
      <c r="D139" s="14"/>
      <c r="E139" s="14"/>
      <c r="F139" s="14"/>
      <c r="G139" s="14"/>
    </row>
    <row r="140" spans="1:7" s="36" customFormat="1" ht="15" customHeight="1">
      <c r="A140" s="58" t="s">
        <v>290</v>
      </c>
      <c r="B140" s="59" t="s">
        <v>182</v>
      </c>
      <c r="C140" s="11" t="s">
        <v>240</v>
      </c>
      <c r="D140" s="14"/>
      <c r="E140" s="14"/>
      <c r="F140" s="14"/>
      <c r="G140" s="14"/>
    </row>
    <row r="141" spans="1:7" s="36" customFormat="1" ht="15" customHeight="1">
      <c r="A141" s="58" t="s">
        <v>291</v>
      </c>
      <c r="B141" s="59" t="s">
        <v>184</v>
      </c>
      <c r="C141" s="11" t="s">
        <v>240</v>
      </c>
      <c r="D141" s="14"/>
      <c r="E141" s="14"/>
      <c r="F141" s="14"/>
      <c r="G141" s="14"/>
    </row>
    <row r="142" spans="1:7" s="36" customFormat="1" ht="15" customHeight="1">
      <c r="A142" s="58" t="s">
        <v>292</v>
      </c>
      <c r="B142" s="59" t="s">
        <v>186</v>
      </c>
      <c r="C142" s="11" t="s">
        <v>240</v>
      </c>
      <c r="D142" s="14"/>
      <c r="E142" s="14"/>
      <c r="F142" s="14"/>
      <c r="G142" s="14"/>
    </row>
    <row r="143" spans="1:7" s="36" customFormat="1" ht="15" customHeight="1">
      <c r="A143" s="58" t="s">
        <v>293</v>
      </c>
      <c r="B143" s="59" t="s">
        <v>188</v>
      </c>
      <c r="C143" s="11" t="s">
        <v>240</v>
      </c>
      <c r="D143" s="14"/>
      <c r="E143" s="14"/>
      <c r="F143" s="14"/>
      <c r="G143" s="14"/>
    </row>
    <row r="144" spans="1:7" s="36" customFormat="1" ht="29.25" customHeight="1">
      <c r="A144" s="58" t="s">
        <v>294</v>
      </c>
      <c r="B144" s="59" t="s">
        <v>295</v>
      </c>
      <c r="C144" s="11" t="s">
        <v>240</v>
      </c>
      <c r="D144" s="14"/>
      <c r="E144" s="14"/>
      <c r="F144" s="14"/>
      <c r="G144" s="14"/>
    </row>
    <row r="145" spans="1:7" s="36" customFormat="1" ht="15" customHeight="1">
      <c r="A145" s="58" t="s">
        <v>296</v>
      </c>
      <c r="B145" s="59" t="s">
        <v>176</v>
      </c>
      <c r="C145" s="11" t="s">
        <v>240</v>
      </c>
      <c r="D145" s="14"/>
      <c r="E145" s="14"/>
      <c r="F145" s="14"/>
      <c r="G145" s="14"/>
    </row>
    <row r="146" spans="1:7" s="36" customFormat="1">
      <c r="A146" s="58"/>
      <c r="B146" s="59"/>
      <c r="C146" s="11"/>
      <c r="D146" s="14"/>
      <c r="E146" s="14"/>
      <c r="F146" s="14"/>
      <c r="G146" s="14"/>
    </row>
    <row r="147" spans="1:7" s="36" customFormat="1" ht="15" customHeight="1">
      <c r="A147" s="58" t="s">
        <v>297</v>
      </c>
      <c r="B147" s="59" t="s">
        <v>178</v>
      </c>
      <c r="C147" s="11" t="s">
        <v>240</v>
      </c>
      <c r="D147" s="14"/>
      <c r="E147" s="14"/>
      <c r="F147" s="14"/>
      <c r="G147" s="14"/>
    </row>
    <row r="148" spans="1:7" s="36" customFormat="1" ht="15" customHeight="1">
      <c r="A148" s="58" t="s">
        <v>298</v>
      </c>
      <c r="B148" s="59" t="s">
        <v>180</v>
      </c>
      <c r="C148" s="11" t="s">
        <v>240</v>
      </c>
      <c r="D148" s="14"/>
      <c r="E148" s="14"/>
      <c r="F148" s="14"/>
      <c r="G148" s="14"/>
    </row>
    <row r="149" spans="1:7" s="36" customFormat="1" ht="15" customHeight="1">
      <c r="A149" s="58" t="s">
        <v>299</v>
      </c>
      <c r="B149" s="59" t="s">
        <v>182</v>
      </c>
      <c r="C149" s="11" t="s">
        <v>240</v>
      </c>
      <c r="D149" s="14"/>
      <c r="E149" s="14"/>
      <c r="F149" s="14"/>
      <c r="G149" s="14"/>
    </row>
    <row r="150" spans="1:7" s="36" customFormat="1" ht="15" customHeight="1">
      <c r="A150" s="58" t="s">
        <v>300</v>
      </c>
      <c r="B150" s="59" t="s">
        <v>184</v>
      </c>
      <c r="C150" s="11" t="s">
        <v>240</v>
      </c>
      <c r="D150" s="14"/>
      <c r="E150" s="14"/>
      <c r="F150" s="14"/>
      <c r="G150" s="14"/>
    </row>
    <row r="151" spans="1:7" s="36" customFormat="1" ht="15" customHeight="1">
      <c r="A151" s="58" t="s">
        <v>301</v>
      </c>
      <c r="B151" s="59" t="s">
        <v>186</v>
      </c>
      <c r="C151" s="11" t="s">
        <v>240</v>
      </c>
      <c r="D151" s="14"/>
      <c r="E151" s="14"/>
      <c r="F151" s="14"/>
      <c r="G151" s="14"/>
    </row>
    <row r="152" spans="1:7" s="36" customFormat="1" ht="15" customHeight="1">
      <c r="A152" s="58" t="s">
        <v>302</v>
      </c>
      <c r="B152" s="59" t="s">
        <v>188</v>
      </c>
      <c r="C152" s="11" t="s">
        <v>240</v>
      </c>
      <c r="D152" s="14"/>
      <c r="E152" s="14"/>
      <c r="F152" s="14"/>
      <c r="G152" s="14"/>
    </row>
    <row r="153" spans="1:7" s="36" customFormat="1">
      <c r="A153" s="58"/>
      <c r="B153" s="59"/>
      <c r="C153" s="11"/>
      <c r="D153" s="14"/>
      <c r="E153" s="14"/>
      <c r="F153" s="14"/>
      <c r="G153" s="14"/>
    </row>
    <row r="154" spans="1:7" s="36" customFormat="1" ht="15" customHeight="1">
      <c r="A154" s="58" t="s">
        <v>303</v>
      </c>
      <c r="B154" s="59" t="s">
        <v>140</v>
      </c>
      <c r="C154" s="11" t="s">
        <v>240</v>
      </c>
      <c r="D154" s="14"/>
      <c r="E154" s="14"/>
      <c r="F154" s="14"/>
      <c r="G154" s="14"/>
    </row>
    <row r="155" spans="1:7" s="36" customFormat="1" ht="15" customHeight="1">
      <c r="A155" s="58" t="s">
        <v>304</v>
      </c>
      <c r="B155" s="59" t="s">
        <v>305</v>
      </c>
      <c r="C155" s="11" t="s">
        <v>306</v>
      </c>
      <c r="D155" s="14"/>
      <c r="E155" s="14"/>
      <c r="F155" s="14"/>
      <c r="G155" s="14"/>
    </row>
    <row r="156" spans="1:7" s="36" customFormat="1" ht="15" customHeight="1">
      <c r="A156" s="58" t="s">
        <v>307</v>
      </c>
      <c r="B156" s="59" t="s">
        <v>176</v>
      </c>
      <c r="C156" s="11" t="s">
        <v>306</v>
      </c>
      <c r="D156" s="14"/>
      <c r="E156" s="14"/>
      <c r="F156" s="14"/>
      <c r="G156" s="14"/>
    </row>
    <row r="157" spans="1:7" s="36" customFormat="1">
      <c r="A157" s="58"/>
      <c r="B157" s="59"/>
      <c r="C157" s="11"/>
      <c r="D157" s="14"/>
      <c r="E157" s="14"/>
      <c r="F157" s="14"/>
      <c r="G157" s="14"/>
    </row>
    <row r="158" spans="1:7" s="36" customFormat="1" ht="15" customHeight="1">
      <c r="A158" s="58" t="s">
        <v>308</v>
      </c>
      <c r="B158" s="59" t="s">
        <v>178</v>
      </c>
      <c r="C158" s="11" t="s">
        <v>306</v>
      </c>
      <c r="D158" s="14"/>
      <c r="E158" s="14"/>
      <c r="F158" s="14"/>
      <c r="G158" s="14"/>
    </row>
    <row r="159" spans="1:7" s="36" customFormat="1" ht="15" customHeight="1">
      <c r="A159" s="58" t="s">
        <v>309</v>
      </c>
      <c r="B159" s="59" t="s">
        <v>180</v>
      </c>
      <c r="C159" s="11" t="s">
        <v>306</v>
      </c>
      <c r="D159" s="14"/>
      <c r="E159" s="14"/>
      <c r="F159" s="14"/>
      <c r="G159" s="14"/>
    </row>
    <row r="160" spans="1:7" s="36" customFormat="1" ht="15" customHeight="1">
      <c r="A160" s="58" t="s">
        <v>310</v>
      </c>
      <c r="B160" s="59" t="s">
        <v>182</v>
      </c>
      <c r="C160" s="11" t="s">
        <v>306</v>
      </c>
      <c r="D160" s="14"/>
      <c r="E160" s="14"/>
      <c r="F160" s="14"/>
      <c r="G160" s="14"/>
    </row>
    <row r="161" spans="1:7" s="36" customFormat="1" ht="15" customHeight="1">
      <c r="A161" s="58" t="s">
        <v>311</v>
      </c>
      <c r="B161" s="59" t="s">
        <v>184</v>
      </c>
      <c r="C161" s="11" t="s">
        <v>306</v>
      </c>
      <c r="D161" s="14"/>
      <c r="E161" s="14"/>
      <c r="F161" s="14"/>
      <c r="G161" s="14"/>
    </row>
    <row r="162" spans="1:7" s="36" customFormat="1" ht="15" customHeight="1">
      <c r="A162" s="58" t="s">
        <v>312</v>
      </c>
      <c r="B162" s="59" t="s">
        <v>186</v>
      </c>
      <c r="C162" s="11" t="s">
        <v>306</v>
      </c>
      <c r="D162" s="14"/>
      <c r="E162" s="14"/>
      <c r="F162" s="14"/>
      <c r="G162" s="14"/>
    </row>
    <row r="163" spans="1:7" s="36" customFormat="1" ht="15" customHeight="1">
      <c r="A163" s="58" t="s">
        <v>313</v>
      </c>
      <c r="B163" s="59" t="s">
        <v>188</v>
      </c>
      <c r="C163" s="11" t="s">
        <v>306</v>
      </c>
      <c r="D163" s="14"/>
      <c r="E163" s="14"/>
      <c r="F163" s="14"/>
      <c r="G163" s="14"/>
    </row>
    <row r="164" spans="1:7" s="36" customFormat="1">
      <c r="A164" s="58"/>
      <c r="B164" s="59"/>
      <c r="C164" s="11"/>
      <c r="D164" s="14"/>
      <c r="E164" s="14"/>
      <c r="F164" s="14"/>
      <c r="G164" s="14"/>
    </row>
    <row r="165" spans="1:7" s="36" customFormat="1" ht="15" customHeight="1">
      <c r="A165" s="58" t="s">
        <v>314</v>
      </c>
      <c r="B165" s="59" t="s">
        <v>140</v>
      </c>
      <c r="C165" s="11" t="s">
        <v>306</v>
      </c>
      <c r="D165" s="14"/>
      <c r="E165" s="14"/>
      <c r="F165" s="14"/>
      <c r="G165" s="14"/>
    </row>
    <row r="166" spans="1:7" s="36" customFormat="1">
      <c r="A166" s="58" t="s">
        <v>315</v>
      </c>
      <c r="B166" s="59" t="s">
        <v>316</v>
      </c>
      <c r="C166" s="11"/>
      <c r="D166" s="14"/>
      <c r="E166" s="14"/>
      <c r="F166" s="14"/>
      <c r="G166" s="14"/>
    </row>
    <row r="167" spans="1:7" s="36" customFormat="1">
      <c r="A167" s="58" t="s">
        <v>317</v>
      </c>
      <c r="B167" s="59" t="s">
        <v>176</v>
      </c>
      <c r="C167" s="11" t="s">
        <v>231</v>
      </c>
      <c r="D167" s="14"/>
      <c r="E167" s="14"/>
      <c r="F167" s="14"/>
      <c r="G167" s="14"/>
    </row>
    <row r="168" spans="1:7" s="36" customFormat="1">
      <c r="A168" s="58"/>
      <c r="B168" s="59"/>
      <c r="C168" s="11"/>
      <c r="D168" s="14"/>
      <c r="E168" s="14"/>
      <c r="F168" s="14"/>
      <c r="G168" s="14"/>
    </row>
    <row r="169" spans="1:7" s="36" customFormat="1">
      <c r="A169" s="58" t="s">
        <v>318</v>
      </c>
      <c r="B169" s="59" t="s">
        <v>178</v>
      </c>
      <c r="C169" s="11" t="s">
        <v>231</v>
      </c>
      <c r="D169" s="14"/>
      <c r="E169" s="14"/>
      <c r="F169" s="14"/>
      <c r="G169" s="14"/>
    </row>
    <row r="170" spans="1:7" s="36" customFormat="1">
      <c r="A170" s="58" t="s">
        <v>319</v>
      </c>
      <c r="B170" s="59" t="s">
        <v>180</v>
      </c>
      <c r="C170" s="37" t="s">
        <v>762</v>
      </c>
      <c r="D170" s="14"/>
      <c r="E170" s="14"/>
      <c r="F170" s="14"/>
      <c r="G170" s="14"/>
    </row>
    <row r="171" spans="1:7" s="36" customFormat="1">
      <c r="A171" s="58" t="s">
        <v>320</v>
      </c>
      <c r="B171" s="59" t="s">
        <v>182</v>
      </c>
      <c r="C171" s="37" t="s">
        <v>762</v>
      </c>
      <c r="D171" s="14"/>
      <c r="E171" s="14"/>
      <c r="F171" s="14"/>
      <c r="G171" s="14"/>
    </row>
    <row r="172" spans="1:7" s="36" customFormat="1" ht="30">
      <c r="A172" s="58" t="s">
        <v>321</v>
      </c>
      <c r="B172" s="59" t="s">
        <v>184</v>
      </c>
      <c r="C172" s="37" t="s">
        <v>761</v>
      </c>
      <c r="D172" s="14"/>
      <c r="E172" s="14"/>
      <c r="F172" s="14"/>
      <c r="G172" s="14"/>
    </row>
    <row r="173" spans="1:7" s="36" customFormat="1">
      <c r="A173" s="58" t="s">
        <v>322</v>
      </c>
      <c r="B173" s="59" t="s">
        <v>186</v>
      </c>
      <c r="C173" s="37" t="s">
        <v>762</v>
      </c>
      <c r="D173" s="14"/>
      <c r="E173" s="14"/>
      <c r="F173" s="14"/>
      <c r="G173" s="14"/>
    </row>
    <row r="174" spans="1:7" s="36" customFormat="1">
      <c r="A174" s="58" t="s">
        <v>323</v>
      </c>
      <c r="B174" s="59" t="s">
        <v>188</v>
      </c>
      <c r="C174" s="11" t="s">
        <v>231</v>
      </c>
      <c r="D174" s="14"/>
      <c r="E174" s="14"/>
      <c r="F174" s="14"/>
      <c r="G174" s="14"/>
    </row>
    <row r="175" spans="1:7" s="36" customFormat="1">
      <c r="A175" s="58" t="s">
        <v>324</v>
      </c>
      <c r="B175" s="59" t="s">
        <v>325</v>
      </c>
      <c r="C175" s="11" t="s">
        <v>326</v>
      </c>
      <c r="D175" s="14"/>
      <c r="E175" s="14"/>
      <c r="F175" s="14"/>
      <c r="G175" s="14"/>
    </row>
  </sheetData>
  <mergeCells count="1">
    <mergeCell ref="A3:G3"/>
  </mergeCells>
  <pageMargins left="0.78740157480314965" right="0.51181102362204722" top="0.59055118110236227" bottom="0.39370078740157483" header="0.19685039370078741" footer="0.19685039370078741"/>
  <pageSetup paperSize="9" scale="67" orientation="portrait" r:id="rId1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V42"/>
  <sheetViews>
    <sheetView view="pageBreakPreview" zoomScaleNormal="100" zoomScaleSheetLayoutView="100" workbookViewId="0">
      <pane xSplit="3" ySplit="6" topLeftCell="J16" activePane="bottomRight" state="frozen"/>
      <selection activeCell="F4" sqref="F4"/>
      <selection pane="topRight" activeCell="F4" sqref="F4"/>
      <selection pane="bottomLeft" activeCell="F4" sqref="F4"/>
      <selection pane="bottomRight" activeCell="F4" sqref="F4"/>
    </sheetView>
  </sheetViews>
  <sheetFormatPr defaultRowHeight="15"/>
  <cols>
    <col min="1" max="1" width="5.85546875" style="393" customWidth="1"/>
    <col min="2" max="2" width="42.5703125" style="393" customWidth="1"/>
    <col min="3" max="3" width="11.85546875" style="393" customWidth="1"/>
    <col min="4" max="6" width="11.85546875" style="393" hidden="1" customWidth="1"/>
    <col min="7" max="7" width="13.140625" style="393" hidden="1" customWidth="1"/>
    <col min="8" max="8" width="12" style="393" customWidth="1"/>
    <col min="9" max="9" width="13.140625" style="410" customWidth="1"/>
    <col min="10" max="11" width="13.140625" style="393" customWidth="1"/>
    <col min="12" max="12" width="13.42578125" style="393" customWidth="1"/>
    <col min="13" max="13" width="12" style="393" customWidth="1"/>
    <col min="14" max="14" width="11.5703125" style="393" customWidth="1"/>
    <col min="15" max="15" width="13.28515625" style="393" customWidth="1"/>
    <col min="16" max="17" width="11.5703125" style="393" customWidth="1"/>
    <col min="18" max="18" width="10.5703125" style="393" customWidth="1"/>
    <col min="19" max="16384" width="9.140625" style="393"/>
  </cols>
  <sheetData>
    <row r="1" spans="1:18" ht="16.5">
      <c r="A1" s="422" t="s">
        <v>864</v>
      </c>
      <c r="B1" s="420"/>
      <c r="C1" s="420"/>
      <c r="D1" s="420"/>
      <c r="E1" s="420"/>
      <c r="F1" s="420"/>
      <c r="G1" s="420"/>
      <c r="H1" s="420"/>
      <c r="I1" s="377"/>
      <c r="J1" s="420"/>
      <c r="K1" s="420"/>
      <c r="L1" s="419"/>
      <c r="N1" s="419"/>
      <c r="O1" s="419"/>
      <c r="P1" s="419"/>
      <c r="Q1" s="419" t="s">
        <v>1049</v>
      </c>
    </row>
    <row r="2" spans="1:18">
      <c r="A2" s="420"/>
      <c r="B2" s="420"/>
      <c r="C2" s="420"/>
      <c r="D2" s="420"/>
      <c r="E2" s="420"/>
      <c r="F2" s="420"/>
      <c r="G2" s="420"/>
      <c r="H2" s="420"/>
      <c r="I2" s="377"/>
      <c r="J2" s="420"/>
      <c r="K2" s="420"/>
      <c r="L2" s="420"/>
    </row>
    <row r="3" spans="1:18" ht="54.75" customHeight="1">
      <c r="A3" s="2064" t="s">
        <v>1493</v>
      </c>
      <c r="B3" s="2064"/>
      <c r="C3" s="2064"/>
      <c r="D3" s="2064"/>
      <c r="E3" s="2064"/>
      <c r="F3" s="2064"/>
      <c r="G3" s="2064"/>
      <c r="H3" s="2064"/>
      <c r="I3" s="2064"/>
      <c r="J3" s="2064"/>
      <c r="K3" s="2064"/>
      <c r="L3" s="2064"/>
      <c r="M3" s="2066"/>
      <c r="N3" s="2066"/>
      <c r="O3" s="1743"/>
      <c r="P3" s="1743"/>
      <c r="Q3" s="1743"/>
    </row>
    <row r="4" spans="1:18">
      <c r="A4" s="421" t="s">
        <v>1040</v>
      </c>
      <c r="B4" s="420"/>
      <c r="C4" s="420"/>
      <c r="D4" s="420"/>
      <c r="E4" s="420"/>
      <c r="F4" s="420"/>
      <c r="G4" s="420"/>
      <c r="H4" s="420"/>
      <c r="I4" s="377"/>
      <c r="J4" s="420"/>
      <c r="K4" s="420"/>
      <c r="L4" s="419"/>
    </row>
    <row r="5" spans="1:18" ht="42.75">
      <c r="A5" s="418" t="s">
        <v>132</v>
      </c>
      <c r="B5" s="418" t="s">
        <v>1</v>
      </c>
      <c r="C5" s="418" t="s">
        <v>1038</v>
      </c>
      <c r="D5" s="418" t="s">
        <v>1491</v>
      </c>
      <c r="E5" s="418" t="s">
        <v>1130</v>
      </c>
      <c r="F5" s="418" t="s">
        <v>1492</v>
      </c>
      <c r="G5" s="418" t="s">
        <v>1708</v>
      </c>
      <c r="H5" s="418" t="s">
        <v>1707</v>
      </c>
      <c r="I5" s="1760" t="s">
        <v>1857</v>
      </c>
      <c r="J5" s="418" t="s">
        <v>1858</v>
      </c>
      <c r="K5" s="418" t="s">
        <v>1834</v>
      </c>
      <c r="L5" s="418" t="s">
        <v>1560</v>
      </c>
      <c r="M5" s="418" t="s">
        <v>763</v>
      </c>
      <c r="N5" s="418" t="s">
        <v>764</v>
      </c>
      <c r="O5" s="418" t="s">
        <v>1875</v>
      </c>
      <c r="P5" s="418" t="s">
        <v>763</v>
      </c>
      <c r="Q5" s="418" t="s">
        <v>764</v>
      </c>
    </row>
    <row r="6" spans="1:18">
      <c r="A6" s="417">
        <v>1</v>
      </c>
      <c r="B6" s="417">
        <v>2</v>
      </c>
      <c r="C6" s="417">
        <v>3</v>
      </c>
      <c r="D6" s="417">
        <v>4</v>
      </c>
      <c r="E6" s="417">
        <v>5</v>
      </c>
      <c r="F6" s="417">
        <v>4</v>
      </c>
      <c r="G6" s="417">
        <v>5</v>
      </c>
      <c r="H6" s="417">
        <v>6</v>
      </c>
      <c r="I6" s="1761">
        <v>7</v>
      </c>
      <c r="J6" s="417">
        <v>8</v>
      </c>
      <c r="K6" s="417">
        <v>9</v>
      </c>
      <c r="L6" s="417">
        <v>10</v>
      </c>
      <c r="M6" s="417">
        <v>11</v>
      </c>
      <c r="N6" s="417">
        <v>12</v>
      </c>
      <c r="O6" s="417">
        <v>13</v>
      </c>
      <c r="P6" s="417">
        <v>14</v>
      </c>
      <c r="Q6" s="417">
        <v>15</v>
      </c>
    </row>
    <row r="7" spans="1:18" ht="57.75" customHeight="1">
      <c r="A7" s="402" t="s">
        <v>89</v>
      </c>
      <c r="B7" s="403" t="s">
        <v>786</v>
      </c>
      <c r="C7" s="402" t="s">
        <v>240</v>
      </c>
      <c r="D7" s="415">
        <f t="shared" ref="D7:I7" si="0">SUM(D8:D15)</f>
        <v>0</v>
      </c>
      <c r="E7" s="415">
        <f t="shared" si="0"/>
        <v>0</v>
      </c>
      <c r="F7" s="415">
        <f t="shared" si="0"/>
        <v>195.02299999999997</v>
      </c>
      <c r="G7" s="415">
        <f t="shared" si="0"/>
        <v>8403.9167682018124</v>
      </c>
      <c r="H7" s="415">
        <f t="shared" si="0"/>
        <v>0</v>
      </c>
      <c r="I7" s="405">
        <v>885.89162399999998</v>
      </c>
      <c r="J7" s="415"/>
      <c r="K7" s="415">
        <v>8403.9154126018111</v>
      </c>
      <c r="L7" s="415">
        <v>9150.9048102694633</v>
      </c>
      <c r="M7" s="415">
        <v>4661.6508280416783</v>
      </c>
      <c r="N7" s="415">
        <v>4489.2539822277859</v>
      </c>
      <c r="O7" s="415">
        <v>9421.1732308301616</v>
      </c>
      <c r="P7" s="415">
        <v>4801.8707452735371</v>
      </c>
      <c r="Q7" s="415">
        <v>4619.3024855566246</v>
      </c>
    </row>
    <row r="8" spans="1:18">
      <c r="A8" s="423" t="s">
        <v>893</v>
      </c>
      <c r="B8" s="403" t="s">
        <v>716</v>
      </c>
      <c r="C8" s="402" t="s">
        <v>240</v>
      </c>
      <c r="D8" s="412"/>
      <c r="E8" s="405"/>
      <c r="F8" s="405">
        <v>0</v>
      </c>
      <c r="G8" s="405">
        <v>0</v>
      </c>
      <c r="H8" s="405"/>
      <c r="I8" s="405">
        <v>0</v>
      </c>
      <c r="J8" s="405"/>
      <c r="K8" s="405">
        <v>0</v>
      </c>
      <c r="L8" s="405">
        <v>0</v>
      </c>
      <c r="M8" s="424">
        <v>0</v>
      </c>
      <c r="N8" s="424">
        <v>0</v>
      </c>
      <c r="O8" s="424">
        <v>0</v>
      </c>
      <c r="P8" s="424">
        <v>0</v>
      </c>
      <c r="Q8" s="424">
        <v>0</v>
      </c>
      <c r="R8" s="1094" t="s">
        <v>1050</v>
      </c>
    </row>
    <row r="9" spans="1:18" ht="49.5" customHeight="1">
      <c r="A9" s="402" t="s">
        <v>895</v>
      </c>
      <c r="B9" s="407" t="s">
        <v>1037</v>
      </c>
      <c r="C9" s="402" t="s">
        <v>240</v>
      </c>
      <c r="D9" s="406"/>
      <c r="E9" s="405"/>
      <c r="F9" s="405">
        <v>1</v>
      </c>
      <c r="G9" s="405">
        <f>'Вспом. расчеты_теплонос. (2016)'!H27/1000</f>
        <v>104.58246846793104</v>
      </c>
      <c r="H9" s="405"/>
      <c r="I9" s="405">
        <v>84</v>
      </c>
      <c r="J9" s="405"/>
      <c r="K9" s="405">
        <v>104.58246846793104</v>
      </c>
      <c r="L9" s="405">
        <v>91.762033110000004</v>
      </c>
      <c r="M9" s="405">
        <v>55.05721986599999</v>
      </c>
      <c r="N9" s="405">
        <v>36.704813244000015</v>
      </c>
      <c r="O9" s="405">
        <v>97.175993063489997</v>
      </c>
      <c r="P9" s="405">
        <v>58.305595838093986</v>
      </c>
      <c r="Q9" s="405">
        <v>38.870397225396012</v>
      </c>
      <c r="R9" s="394"/>
    </row>
    <row r="10" spans="1:18" ht="76.5" customHeight="1">
      <c r="A10" s="402" t="s">
        <v>896</v>
      </c>
      <c r="B10" s="403" t="s">
        <v>717</v>
      </c>
      <c r="C10" s="402" t="s">
        <v>240</v>
      </c>
      <c r="D10" s="406"/>
      <c r="E10" s="405"/>
      <c r="F10" s="405"/>
      <c r="G10" s="405"/>
      <c r="H10" s="405"/>
      <c r="I10" s="405"/>
      <c r="J10" s="405"/>
      <c r="K10" s="405"/>
      <c r="L10" s="405"/>
      <c r="M10" s="405"/>
      <c r="N10" s="405"/>
      <c r="O10" s="405"/>
      <c r="P10" s="405"/>
      <c r="Q10" s="405"/>
    </row>
    <row r="11" spans="1:18" ht="48" customHeight="1">
      <c r="A11" s="402" t="s">
        <v>897</v>
      </c>
      <c r="B11" s="403" t="s">
        <v>718</v>
      </c>
      <c r="C11" s="402" t="s">
        <v>240</v>
      </c>
      <c r="D11" s="412"/>
      <c r="E11" s="405"/>
      <c r="F11" s="405">
        <v>7</v>
      </c>
      <c r="G11" s="405">
        <f>('Вспом. расчеты_теплонос. (2016)'!H19+'Вспом. расчеты_теплонос. (2016)'!H67)/1000</f>
        <v>573.28899950861648</v>
      </c>
      <c r="H11" s="405"/>
      <c r="I11" s="405"/>
      <c r="J11" s="405"/>
      <c r="K11" s="405">
        <v>573.28899950861648</v>
      </c>
      <c r="L11" s="405">
        <v>568.17807314802599</v>
      </c>
      <c r="M11" s="405">
        <v>340.90684388881562</v>
      </c>
      <c r="N11" s="405">
        <v>227.27122925921037</v>
      </c>
      <c r="O11" s="405">
        <v>601.70057946375948</v>
      </c>
      <c r="P11" s="405">
        <v>361.02034767825569</v>
      </c>
      <c r="Q11" s="405">
        <v>240.68023178550376</v>
      </c>
    </row>
    <row r="12" spans="1:18" ht="45">
      <c r="A12" s="402" t="s">
        <v>1036</v>
      </c>
      <c r="B12" s="403" t="s">
        <v>719</v>
      </c>
      <c r="C12" s="402" t="s">
        <v>240</v>
      </c>
      <c r="D12" s="406"/>
      <c r="E12" s="405"/>
      <c r="F12" s="405"/>
      <c r="G12" s="405"/>
      <c r="H12" s="405"/>
      <c r="I12" s="405"/>
      <c r="J12" s="405"/>
      <c r="K12" s="405"/>
      <c r="L12" s="405"/>
      <c r="M12" s="405"/>
      <c r="N12" s="405"/>
      <c r="O12" s="405"/>
      <c r="P12" s="405"/>
      <c r="Q12" s="405"/>
    </row>
    <row r="13" spans="1:18" ht="32.25" customHeight="1">
      <c r="A13" s="402" t="s">
        <v>1035</v>
      </c>
      <c r="B13" s="403" t="s">
        <v>720</v>
      </c>
      <c r="C13" s="402" t="s">
        <v>240</v>
      </c>
      <c r="D13" s="406"/>
      <c r="E13" s="415"/>
      <c r="F13" s="415"/>
      <c r="G13" s="415">
        <f>'Вспом. расчеты_теплонос. (2016)'!I112/1000+508.801</f>
        <v>2193.5709999999999</v>
      </c>
      <c r="H13" s="415"/>
      <c r="I13" s="405">
        <v>500.54</v>
      </c>
      <c r="J13" s="415"/>
      <c r="K13" s="415">
        <v>2193.5700000000002</v>
      </c>
      <c r="L13" s="415">
        <v>2743.3139999999999</v>
      </c>
      <c r="M13" s="415">
        <v>1371.6569999999999</v>
      </c>
      <c r="N13" s="415">
        <v>1371.6569999999999</v>
      </c>
      <c r="O13" s="405">
        <v>2905.1695259999997</v>
      </c>
      <c r="P13" s="405">
        <v>1452.5847629999998</v>
      </c>
      <c r="Q13" s="405">
        <v>1452.5847629999998</v>
      </c>
    </row>
    <row r="14" spans="1:18" ht="33" customHeight="1">
      <c r="A14" s="402" t="s">
        <v>1034</v>
      </c>
      <c r="B14" s="403" t="s">
        <v>721</v>
      </c>
      <c r="C14" s="402" t="s">
        <v>240</v>
      </c>
      <c r="D14" s="406"/>
      <c r="E14" s="415"/>
      <c r="F14" s="415"/>
      <c r="G14" s="415">
        <f>'Вспом. расчеты_теплонос. (2016)'!I155/1000</f>
        <v>3355.3989999999999</v>
      </c>
      <c r="H14" s="415"/>
      <c r="I14" s="405">
        <v>91</v>
      </c>
      <c r="J14" s="415"/>
      <c r="K14" s="415">
        <v>3355.3989999999999</v>
      </c>
      <c r="L14" s="415">
        <v>3371.2629999999999</v>
      </c>
      <c r="M14" s="415">
        <v>1685.6315</v>
      </c>
      <c r="N14" s="415">
        <v>1685.6315</v>
      </c>
      <c r="O14" s="415">
        <v>3371.2629999999999</v>
      </c>
      <c r="P14" s="415">
        <v>1685.6315</v>
      </c>
      <c r="Q14" s="415">
        <v>1685.6315</v>
      </c>
    </row>
    <row r="15" spans="1:18" ht="32.25" customHeight="1">
      <c r="A15" s="402" t="s">
        <v>1033</v>
      </c>
      <c r="B15" s="403" t="s">
        <v>722</v>
      </c>
      <c r="C15" s="402" t="s">
        <v>240</v>
      </c>
      <c r="D15" s="415">
        <f>D16+D17+D18</f>
        <v>0</v>
      </c>
      <c r="E15" s="415">
        <f>E16+E17+E18</f>
        <v>0</v>
      </c>
      <c r="F15" s="415">
        <f t="shared" ref="F15:L15" si="1">F16+F17+F18</f>
        <v>187.02299999999997</v>
      </c>
      <c r="G15" s="415">
        <f t="shared" si="1"/>
        <v>2177.0753002252641</v>
      </c>
      <c r="H15" s="415">
        <f t="shared" si="1"/>
        <v>0</v>
      </c>
      <c r="I15" s="405">
        <v>210.35162400000002</v>
      </c>
      <c r="J15" s="415"/>
      <c r="K15" s="415">
        <v>2177.0749446252639</v>
      </c>
      <c r="L15" s="415">
        <v>2376.387704011438</v>
      </c>
      <c r="M15" s="415">
        <v>1208.3982642868627</v>
      </c>
      <c r="N15" s="415">
        <v>1167.9894397245753</v>
      </c>
      <c r="O15" s="415">
        <v>2445.8641323029128</v>
      </c>
      <c r="P15" s="415">
        <v>1244.3285387571877</v>
      </c>
      <c r="Q15" s="415">
        <v>1201.5355935457253</v>
      </c>
    </row>
    <row r="16" spans="1:18" ht="18" customHeight="1">
      <c r="A16" s="402" t="s">
        <v>1032</v>
      </c>
      <c r="B16" s="403" t="s">
        <v>723</v>
      </c>
      <c r="C16" s="402" t="s">
        <v>240</v>
      </c>
      <c r="D16" s="406"/>
      <c r="E16" s="405"/>
      <c r="F16" s="405"/>
      <c r="G16" s="405"/>
      <c r="H16" s="405"/>
      <c r="I16" s="405"/>
      <c r="J16" s="405"/>
      <c r="K16" s="405"/>
      <c r="L16" s="405"/>
      <c r="M16" s="405"/>
      <c r="N16" s="405"/>
      <c r="O16" s="405"/>
      <c r="P16" s="405"/>
      <c r="Q16" s="405"/>
    </row>
    <row r="17" spans="1:22" ht="30">
      <c r="A17" s="402" t="s">
        <v>1031</v>
      </c>
      <c r="B17" s="403" t="s">
        <v>724</v>
      </c>
      <c r="C17" s="402" t="s">
        <v>240</v>
      </c>
      <c r="D17" s="406"/>
      <c r="E17" s="405"/>
      <c r="F17" s="405">
        <v>0.623</v>
      </c>
      <c r="G17" s="405"/>
      <c r="H17" s="405"/>
      <c r="I17" s="405"/>
      <c r="J17" s="405"/>
      <c r="K17" s="405"/>
      <c r="L17" s="405"/>
      <c r="M17" s="405"/>
      <c r="N17" s="405"/>
      <c r="O17" s="405"/>
      <c r="P17" s="405"/>
      <c r="Q17" s="405"/>
    </row>
    <row r="18" spans="1:22" s="411" customFormat="1">
      <c r="A18" s="413" t="s">
        <v>1030</v>
      </c>
      <c r="B18" s="414" t="s">
        <v>725</v>
      </c>
      <c r="C18" s="413" t="s">
        <v>240</v>
      </c>
      <c r="D18" s="405">
        <f>(D8+D11+D13+D14)*0.3556</f>
        <v>0</v>
      </c>
      <c r="E18" s="405">
        <f>(E8+E11+E13+E14)*0.3556</f>
        <v>0</v>
      </c>
      <c r="F18" s="405">
        <v>186.39999999999998</v>
      </c>
      <c r="G18" s="405">
        <f t="shared" ref="G18:I18" si="2">(G8+G11+G13+G14)*0.3556</f>
        <v>2177.0753002252641</v>
      </c>
      <c r="H18" s="405">
        <f t="shared" si="2"/>
        <v>0</v>
      </c>
      <c r="I18" s="405">
        <v>210.35162400000002</v>
      </c>
      <c r="J18" s="405"/>
      <c r="K18" s="405">
        <v>2177.0749446252639</v>
      </c>
      <c r="L18" s="405">
        <v>2376.387704011438</v>
      </c>
      <c r="M18" s="405">
        <v>1208.3982642868627</v>
      </c>
      <c r="N18" s="405">
        <v>1167.9894397245753</v>
      </c>
      <c r="O18" s="405">
        <v>2445.8641323029128</v>
      </c>
      <c r="P18" s="405">
        <v>1244.3285387571877</v>
      </c>
      <c r="Q18" s="405">
        <v>1201.5355935457253</v>
      </c>
    </row>
    <row r="19" spans="1:22" s="410" customFormat="1" ht="43.5">
      <c r="A19" s="435" t="s">
        <v>91</v>
      </c>
      <c r="B19" s="436" t="s">
        <v>726</v>
      </c>
      <c r="C19" s="435" t="s">
        <v>727</v>
      </c>
      <c r="D19" s="437"/>
      <c r="E19" s="433"/>
      <c r="F19" s="433">
        <v>2.476</v>
      </c>
      <c r="G19" s="433">
        <f>'Вспом. расчеты_теплонос. (2016)'!H17/1000</f>
        <v>127.301</v>
      </c>
      <c r="H19" s="433"/>
      <c r="I19" s="433">
        <v>10.498999999999999</v>
      </c>
      <c r="J19" s="433"/>
      <c r="K19" s="433">
        <v>127.301</v>
      </c>
      <c r="L19" s="433">
        <v>107.84399999999999</v>
      </c>
      <c r="M19" s="433">
        <v>64.706399999999988</v>
      </c>
      <c r="N19" s="433">
        <v>43.137600000000006</v>
      </c>
      <c r="O19" s="1461">
        <v>107.84399999999999</v>
      </c>
      <c r="P19" s="1461">
        <v>64.706399999999988</v>
      </c>
      <c r="Q19" s="1461">
        <v>43.137600000000006</v>
      </c>
      <c r="R19" s="1093"/>
      <c r="S19" s="1093"/>
      <c r="T19" s="1093"/>
      <c r="U19" s="411"/>
      <c r="V19" s="411"/>
    </row>
    <row r="20" spans="1:22" ht="29.25" customHeight="1">
      <c r="A20" s="402" t="s">
        <v>93</v>
      </c>
      <c r="B20" s="403" t="s">
        <v>728</v>
      </c>
      <c r="C20" s="402" t="s">
        <v>240</v>
      </c>
      <c r="D20" s="409"/>
      <c r="E20" s="408"/>
      <c r="F20" s="408"/>
      <c r="G20" s="408"/>
      <c r="H20" s="408"/>
      <c r="I20" s="408"/>
      <c r="J20" s="408"/>
      <c r="K20" s="408"/>
      <c r="L20" s="408"/>
      <c r="M20" s="408"/>
      <c r="N20" s="408"/>
      <c r="O20" s="408"/>
      <c r="P20" s="408"/>
      <c r="Q20" s="408"/>
    </row>
    <row r="21" spans="1:22" ht="30.75" customHeight="1">
      <c r="A21" s="402" t="s">
        <v>95</v>
      </c>
      <c r="B21" s="403" t="s">
        <v>729</v>
      </c>
      <c r="C21" s="402" t="s">
        <v>727</v>
      </c>
      <c r="D21" s="409"/>
      <c r="E21" s="408"/>
      <c r="F21" s="408"/>
      <c r="G21" s="408"/>
      <c r="H21" s="408"/>
      <c r="I21" s="408"/>
      <c r="J21" s="408"/>
      <c r="K21" s="408"/>
      <c r="L21" s="408"/>
      <c r="M21" s="408"/>
      <c r="N21" s="408"/>
      <c r="O21" s="408"/>
      <c r="P21" s="408"/>
      <c r="Q21" s="408"/>
    </row>
    <row r="22" spans="1:22" ht="62.25" customHeight="1">
      <c r="A22" s="402" t="s">
        <v>97</v>
      </c>
      <c r="B22" s="403" t="s">
        <v>730</v>
      </c>
      <c r="C22" s="402" t="s">
        <v>240</v>
      </c>
      <c r="D22" s="406"/>
      <c r="E22" s="405"/>
      <c r="F22" s="405"/>
      <c r="G22" s="405">
        <f>'Вспом. расчеты_теплонос. (2016)'!H51/1000</f>
        <v>264.99383962168969</v>
      </c>
      <c r="H22" s="405"/>
      <c r="I22" s="405"/>
      <c r="J22" s="405"/>
      <c r="K22" s="405">
        <v>264.99383962168969</v>
      </c>
      <c r="L22" s="405">
        <v>287.59407121735717</v>
      </c>
      <c r="M22" s="405">
        <v>143.79703560867853</v>
      </c>
      <c r="N22" s="405">
        <v>143.79703560867864</v>
      </c>
      <c r="O22" s="405">
        <v>304.56212141918121</v>
      </c>
      <c r="P22" s="405">
        <v>152.28106070959055</v>
      </c>
      <c r="Q22" s="405">
        <v>152.28106070959066</v>
      </c>
      <c r="R22" s="394"/>
    </row>
    <row r="23" spans="1:22">
      <c r="A23" s="402" t="s">
        <v>582</v>
      </c>
      <c r="B23" s="407" t="s">
        <v>1029</v>
      </c>
      <c r="C23" s="402" t="s">
        <v>240</v>
      </c>
      <c r="D23" s="405">
        <f>(D7+D20+D22)*0.25</f>
        <v>0</v>
      </c>
      <c r="E23" s="405">
        <f>(E7+E20+E22)*0.25</f>
        <v>0</v>
      </c>
      <c r="F23" s="405"/>
      <c r="G23" s="405">
        <f t="shared" ref="G23:L23" si="3">(G7+G20+G22)*0.25</f>
        <v>2167.2276519558754</v>
      </c>
      <c r="H23" s="405">
        <f t="shared" si="3"/>
        <v>0</v>
      </c>
      <c r="I23" s="405"/>
      <c r="J23" s="405"/>
      <c r="K23" s="405">
        <v>2167.2273130558751</v>
      </c>
      <c r="L23" s="405">
        <v>2359.6247203717053</v>
      </c>
      <c r="M23" s="405">
        <v>1201.3619659125893</v>
      </c>
      <c r="N23" s="405">
        <v>1158.2627544591162</v>
      </c>
      <c r="O23" s="405">
        <v>2431.4338380623358</v>
      </c>
      <c r="P23" s="405">
        <v>1238.537951495782</v>
      </c>
      <c r="Q23" s="405">
        <v>1192.8958865665538</v>
      </c>
    </row>
    <row r="24" spans="1:22" ht="43.5">
      <c r="A24" s="398" t="s">
        <v>615</v>
      </c>
      <c r="B24" s="399" t="s">
        <v>731</v>
      </c>
      <c r="C24" s="398" t="s">
        <v>240</v>
      </c>
      <c r="D24" s="404">
        <f>D7+D20+D22+D23</f>
        <v>0</v>
      </c>
      <c r="E24" s="404">
        <f>E7+E20+E22+E23</f>
        <v>0</v>
      </c>
      <c r="F24" s="404">
        <f t="shared" ref="F24:L24" si="4">F7+F20+F22+F23</f>
        <v>195.02299999999997</v>
      </c>
      <c r="G24" s="404">
        <f t="shared" si="4"/>
        <v>10836.138259779378</v>
      </c>
      <c r="H24" s="404">
        <f t="shared" si="4"/>
        <v>0</v>
      </c>
      <c r="I24" s="1762">
        <f t="shared" si="4"/>
        <v>885.89162399999998</v>
      </c>
      <c r="J24" s="404"/>
      <c r="K24" s="404">
        <f t="shared" ref="K24" si="5">K7+K20+K22+K23</f>
        <v>10836.136565279376</v>
      </c>
      <c r="L24" s="404">
        <f t="shared" si="4"/>
        <v>11798.123601858526</v>
      </c>
      <c r="M24" s="404">
        <f>M7+M20+M22+M23</f>
        <v>6006.8098295629461</v>
      </c>
      <c r="N24" s="404">
        <f>N7+N20+N22+N23</f>
        <v>5791.3137722955807</v>
      </c>
      <c r="O24" s="404">
        <f t="shared" ref="O24:Q24" si="6">O7+O20+O22+O23</f>
        <v>12157.169190311679</v>
      </c>
      <c r="P24" s="404">
        <f t="shared" si="6"/>
        <v>6192.68975747891</v>
      </c>
      <c r="Q24" s="404">
        <f t="shared" si="6"/>
        <v>5964.4794328327689</v>
      </c>
    </row>
    <row r="25" spans="1:22" ht="61.5" customHeight="1">
      <c r="A25" s="402" t="s">
        <v>649</v>
      </c>
      <c r="B25" s="403" t="s">
        <v>732</v>
      </c>
      <c r="C25" s="402" t="s">
        <v>1027</v>
      </c>
      <c r="D25" s="400" t="e">
        <f>D24/(D19+D21)</f>
        <v>#DIV/0!</v>
      </c>
      <c r="E25" s="400" t="e">
        <f>E24/(E19+E21)</f>
        <v>#DIV/0!</v>
      </c>
      <c r="F25" s="400">
        <f>F24/(F19+F21)+0.15</f>
        <v>78.915347334410328</v>
      </c>
      <c r="G25" s="400">
        <f t="shared" ref="G25:L25" si="7">G24/(G19+G21)</f>
        <v>85.122177043223374</v>
      </c>
      <c r="H25" s="400" t="e">
        <f t="shared" ref="H25:I25" si="8">H24/(H19+H21)</f>
        <v>#DIV/0!</v>
      </c>
      <c r="I25" s="1763">
        <f t="shared" si="8"/>
        <v>84.378666920659114</v>
      </c>
      <c r="J25" s="400"/>
      <c r="K25" s="400">
        <f t="shared" ref="K25" si="9">K24/(K19+K21)</f>
        <v>85.122163732251721</v>
      </c>
      <c r="L25" s="400">
        <f t="shared" si="7"/>
        <v>109.39990729070256</v>
      </c>
      <c r="M25" s="400">
        <f>M24/(M19+M21)</f>
        <v>92.831772893607848</v>
      </c>
      <c r="N25" s="400">
        <f>N24/(N19+N21)</f>
        <v>134.25210888634462</v>
      </c>
      <c r="O25" s="400">
        <f t="shared" ref="O25:Q25" si="10">O24/(O19+O21)</f>
        <v>112.72921247646303</v>
      </c>
      <c r="P25" s="400">
        <f t="shared" si="10"/>
        <v>95.704439707338238</v>
      </c>
      <c r="Q25" s="400">
        <f t="shared" si="10"/>
        <v>138.26637163015022</v>
      </c>
    </row>
    <row r="26" spans="1:22" ht="72">
      <c r="A26" s="398" t="s">
        <v>1028</v>
      </c>
      <c r="B26" s="399" t="s">
        <v>734</v>
      </c>
      <c r="C26" s="398" t="s">
        <v>1027</v>
      </c>
      <c r="D26" s="396" t="e">
        <f>D25</f>
        <v>#DIV/0!</v>
      </c>
      <c r="E26" s="396" t="e">
        <f>E25</f>
        <v>#DIV/0!</v>
      </c>
      <c r="F26" s="396">
        <f t="shared" ref="F26:L26" si="11">F25</f>
        <v>78.915347334410328</v>
      </c>
      <c r="G26" s="396">
        <f t="shared" si="11"/>
        <v>85.122177043223374</v>
      </c>
      <c r="H26" s="396" t="e">
        <f t="shared" ref="H26:I26" si="12">H25</f>
        <v>#DIV/0!</v>
      </c>
      <c r="I26" s="1764">
        <f t="shared" si="12"/>
        <v>84.378666920659114</v>
      </c>
      <c r="J26" s="396"/>
      <c r="K26" s="396">
        <f t="shared" ref="K26" si="13">K25</f>
        <v>85.122163732251721</v>
      </c>
      <c r="L26" s="396">
        <f t="shared" si="11"/>
        <v>109.39990729070256</v>
      </c>
      <c r="M26" s="396">
        <f>M25</f>
        <v>92.831772893607848</v>
      </c>
      <c r="N26" s="396">
        <f>N25</f>
        <v>134.25210888634462</v>
      </c>
      <c r="O26" s="396">
        <f t="shared" ref="O26:Q26" si="14">O25</f>
        <v>112.72921247646303</v>
      </c>
      <c r="P26" s="396">
        <f t="shared" si="14"/>
        <v>95.704439707338238</v>
      </c>
      <c r="Q26" s="396">
        <f t="shared" si="14"/>
        <v>138.26637163015022</v>
      </c>
    </row>
    <row r="27" spans="1:22">
      <c r="B27" s="394"/>
      <c r="I27" s="411"/>
    </row>
    <row r="28" spans="1:22" ht="17.25">
      <c r="B28" s="395"/>
    </row>
    <row r="29" spans="1:22">
      <c r="A29" s="26" t="s">
        <v>88</v>
      </c>
      <c r="B29" s="26"/>
      <c r="C29" s="26"/>
      <c r="D29" s="26"/>
      <c r="E29" s="26"/>
      <c r="F29" s="26"/>
      <c r="G29" s="26"/>
      <c r="H29" s="26"/>
      <c r="I29" s="883"/>
      <c r="J29" s="26"/>
      <c r="K29" s="26"/>
      <c r="L29" s="26"/>
    </row>
    <row r="30" spans="1:22" ht="46.5" customHeight="1">
      <c r="A30" s="392" t="s">
        <v>89</v>
      </c>
      <c r="B30" s="1842" t="s">
        <v>735</v>
      </c>
      <c r="C30" s="1842"/>
      <c r="D30" s="1842"/>
      <c r="E30" s="1842"/>
      <c r="F30" s="1842"/>
      <c r="G30" s="1842"/>
      <c r="H30" s="1842"/>
      <c r="I30" s="1842"/>
      <c r="J30" s="1842"/>
      <c r="K30" s="1842"/>
      <c r="L30" s="1842"/>
    </row>
    <row r="31" spans="1:22">
      <c r="A31" s="26" t="s">
        <v>91</v>
      </c>
      <c r="B31" s="26" t="s">
        <v>736</v>
      </c>
      <c r="C31" s="26"/>
      <c r="D31" s="26"/>
      <c r="E31" s="26"/>
      <c r="F31" s="26"/>
      <c r="G31" s="26"/>
      <c r="H31" s="26"/>
      <c r="I31" s="883"/>
      <c r="J31" s="26"/>
      <c r="K31" s="26"/>
      <c r="L31" s="26"/>
    </row>
    <row r="32" spans="1:22">
      <c r="A32" s="26" t="s">
        <v>93</v>
      </c>
      <c r="B32" s="26" t="s">
        <v>737</v>
      </c>
      <c r="C32" s="26"/>
      <c r="D32" s="26"/>
      <c r="E32" s="26"/>
      <c r="F32" s="26"/>
      <c r="G32" s="26"/>
      <c r="H32" s="26"/>
      <c r="I32" s="883"/>
      <c r="J32" s="26"/>
      <c r="K32" s="26"/>
      <c r="L32" s="26"/>
    </row>
    <row r="33" spans="1:12">
      <c r="A33" s="26" t="s">
        <v>95</v>
      </c>
      <c r="B33" s="26" t="s">
        <v>738</v>
      </c>
      <c r="C33" s="26"/>
      <c r="D33" s="26"/>
      <c r="E33" s="26"/>
      <c r="F33" s="26"/>
      <c r="G33" s="26"/>
      <c r="H33" s="26"/>
      <c r="I33" s="883"/>
      <c r="J33" s="26"/>
      <c r="K33" s="26"/>
      <c r="L33" s="26"/>
    </row>
    <row r="34" spans="1:12">
      <c r="B34" s="394"/>
    </row>
    <row r="35" spans="1:12">
      <c r="B35" s="394"/>
    </row>
    <row r="36" spans="1:12">
      <c r="B36" s="394"/>
    </row>
    <row r="37" spans="1:12">
      <c r="B37" s="394"/>
    </row>
    <row r="38" spans="1:12">
      <c r="B38" s="394"/>
    </row>
    <row r="39" spans="1:12">
      <c r="B39" s="394"/>
    </row>
    <row r="40" spans="1:12">
      <c r="B40" s="394"/>
    </row>
    <row r="41" spans="1:12">
      <c r="B41" s="394"/>
    </row>
    <row r="42" spans="1:12">
      <c r="B42" s="394"/>
    </row>
  </sheetData>
  <mergeCells count="2">
    <mergeCell ref="A3:N3"/>
    <mergeCell ref="B30:L30"/>
  </mergeCells>
  <pageMargins left="0.70866141732283472" right="0.24" top="0.74803149606299213" bottom="0.74803149606299213" header="0.31496062992125984" footer="0.31496062992125984"/>
  <pageSetup paperSize="9" scale="50" orientation="portrait" r:id="rId1"/>
  <colBreaks count="1" manualBreakCount="1">
    <brk id="17" max="1048575" man="1"/>
  </colBreaks>
  <legacy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T42"/>
  <sheetViews>
    <sheetView view="pageBreakPreview" zoomScaleNormal="100" zoomScaleSheetLayoutView="100" workbookViewId="0">
      <pane xSplit="3" ySplit="6" topLeftCell="J7" activePane="bottomRight" state="frozen"/>
      <selection activeCell="O25" sqref="O25"/>
      <selection pane="topRight" activeCell="O25" sqref="O25"/>
      <selection pane="bottomLeft" activeCell="O25" sqref="O25"/>
      <selection pane="bottomRight" activeCell="R13" sqref="R13"/>
    </sheetView>
  </sheetViews>
  <sheetFormatPr defaultRowHeight="15"/>
  <cols>
    <col min="1" max="1" width="9.140625" style="393"/>
    <col min="2" max="2" width="42.5703125" style="393" customWidth="1"/>
    <col min="3" max="3" width="11.85546875" style="393" customWidth="1"/>
    <col min="4" max="4" width="12.7109375" style="393" hidden="1" customWidth="1"/>
    <col min="5" max="6" width="13" style="393" hidden="1" customWidth="1"/>
    <col min="7" max="7" width="13.5703125" style="393" hidden="1" customWidth="1"/>
    <col min="8" max="8" width="12" style="393" customWidth="1"/>
    <col min="9" max="9" width="13.5703125" style="410" customWidth="1"/>
    <col min="10" max="11" width="13.5703125" style="393" customWidth="1"/>
    <col min="12" max="12" width="14.140625" style="393" customWidth="1"/>
    <col min="13" max="13" width="11.42578125" style="393" customWidth="1"/>
    <col min="14" max="14" width="10.85546875" style="393" customWidth="1"/>
    <col min="15" max="15" width="13.28515625" style="393" customWidth="1"/>
    <col min="16" max="17" width="10.85546875" style="393" customWidth="1"/>
    <col min="18" max="18" width="11.42578125" style="393" customWidth="1"/>
    <col min="19" max="16384" width="9.140625" style="393"/>
  </cols>
  <sheetData>
    <row r="1" spans="1:20" ht="16.5">
      <c r="A1" s="422" t="s">
        <v>864</v>
      </c>
      <c r="B1" s="420"/>
      <c r="C1" s="420"/>
      <c r="D1" s="420"/>
      <c r="E1" s="419"/>
      <c r="F1" s="419"/>
      <c r="G1" s="419"/>
      <c r="H1" s="419"/>
      <c r="I1" s="1759"/>
      <c r="J1" s="419"/>
      <c r="K1" s="419"/>
      <c r="L1" s="419"/>
      <c r="M1" s="419"/>
      <c r="N1" s="419"/>
      <c r="O1" s="419"/>
      <c r="P1" s="419"/>
      <c r="Q1" s="419" t="s">
        <v>1048</v>
      </c>
    </row>
    <row r="2" spans="1:20">
      <c r="A2" s="420"/>
      <c r="B2" s="420"/>
      <c r="C2" s="420"/>
      <c r="D2" s="420"/>
      <c r="E2" s="420"/>
      <c r="F2" s="420"/>
      <c r="G2" s="420"/>
      <c r="H2" s="420"/>
      <c r="I2" s="377"/>
      <c r="J2" s="420"/>
      <c r="K2" s="420"/>
      <c r="L2" s="420"/>
      <c r="M2" s="420"/>
      <c r="N2" s="420"/>
      <c r="O2" s="420"/>
      <c r="P2" s="420"/>
      <c r="Q2" s="420"/>
    </row>
    <row r="3" spans="1:20" ht="54.75" customHeight="1">
      <c r="A3" s="2064" t="s">
        <v>1493</v>
      </c>
      <c r="B3" s="2064"/>
      <c r="C3" s="2064"/>
      <c r="D3" s="2064"/>
      <c r="E3" s="2064"/>
      <c r="F3" s="2064"/>
      <c r="G3" s="2064"/>
      <c r="H3" s="2064"/>
      <c r="I3" s="2064"/>
      <c r="J3" s="2064"/>
      <c r="K3" s="2064"/>
      <c r="L3" s="2064"/>
      <c r="M3" s="2065"/>
      <c r="N3" s="2065"/>
      <c r="O3" s="1742"/>
      <c r="P3" s="1742"/>
      <c r="Q3" s="1742"/>
      <c r="R3" s="1617"/>
    </row>
    <row r="4" spans="1:20">
      <c r="A4" s="421" t="s">
        <v>1958</v>
      </c>
      <c r="B4" s="420"/>
      <c r="C4" s="420"/>
      <c r="D4" s="420"/>
      <c r="E4" s="419"/>
      <c r="F4" s="419"/>
      <c r="G4" s="419"/>
      <c r="H4" s="419"/>
      <c r="I4" s="1759"/>
      <c r="J4" s="419"/>
      <c r="K4" s="419"/>
      <c r="L4" s="419"/>
      <c r="M4" s="419"/>
      <c r="N4" s="419"/>
      <c r="O4" s="419"/>
      <c r="P4" s="419"/>
      <c r="Q4" s="419"/>
    </row>
    <row r="5" spans="1:20" ht="42.75">
      <c r="A5" s="418" t="s">
        <v>132</v>
      </c>
      <c r="B5" s="418" t="s">
        <v>1</v>
      </c>
      <c r="C5" s="418" t="s">
        <v>1038</v>
      </c>
      <c r="D5" s="418" t="s">
        <v>1491</v>
      </c>
      <c r="E5" s="418" t="s">
        <v>1130</v>
      </c>
      <c r="F5" s="418" t="s">
        <v>1492</v>
      </c>
      <c r="G5" s="418" t="s">
        <v>1708</v>
      </c>
      <c r="H5" s="418" t="s">
        <v>1707</v>
      </c>
      <c r="I5" s="1760" t="s">
        <v>1857</v>
      </c>
      <c r="J5" s="418" t="s">
        <v>1858</v>
      </c>
      <c r="K5" s="418" t="s">
        <v>1834</v>
      </c>
      <c r="L5" s="418" t="s">
        <v>1560</v>
      </c>
      <c r="M5" s="418" t="s">
        <v>763</v>
      </c>
      <c r="N5" s="418" t="s">
        <v>764</v>
      </c>
      <c r="O5" s="418" t="s">
        <v>1875</v>
      </c>
      <c r="P5" s="418" t="s">
        <v>763</v>
      </c>
      <c r="Q5" s="418" t="s">
        <v>764</v>
      </c>
    </row>
    <row r="6" spans="1:20">
      <c r="A6" s="417">
        <v>1</v>
      </c>
      <c r="B6" s="417">
        <v>2</v>
      </c>
      <c r="C6" s="417">
        <v>3</v>
      </c>
      <c r="D6" s="417">
        <v>4</v>
      </c>
      <c r="E6" s="417">
        <v>5</v>
      </c>
      <c r="F6" s="417">
        <v>4</v>
      </c>
      <c r="G6" s="417">
        <v>5</v>
      </c>
      <c r="H6" s="417">
        <v>6</v>
      </c>
      <c r="I6" s="1761">
        <v>7</v>
      </c>
      <c r="J6" s="417">
        <v>8</v>
      </c>
      <c r="K6" s="417">
        <v>9</v>
      </c>
      <c r="L6" s="417">
        <v>10</v>
      </c>
      <c r="M6" s="417">
        <v>11</v>
      </c>
      <c r="N6" s="417">
        <v>12</v>
      </c>
      <c r="O6" s="417">
        <v>13</v>
      </c>
      <c r="P6" s="417">
        <v>14</v>
      </c>
      <c r="Q6" s="417">
        <v>15</v>
      </c>
    </row>
    <row r="7" spans="1:20" ht="57.75" customHeight="1">
      <c r="A7" s="402" t="s">
        <v>89</v>
      </c>
      <c r="B7" s="403" t="s">
        <v>786</v>
      </c>
      <c r="C7" s="402" t="s">
        <v>240</v>
      </c>
      <c r="D7" s="415">
        <f>SUM(D8:D15)</f>
        <v>0</v>
      </c>
      <c r="E7" s="415">
        <f>SUM(E8:E15)</f>
        <v>0</v>
      </c>
      <c r="F7" s="415">
        <f t="shared" ref="F7:L7" si="0">SUM(F8:F15)</f>
        <v>2301.4</v>
      </c>
      <c r="G7" s="415">
        <f t="shared" si="0"/>
        <v>17049.522064753372</v>
      </c>
      <c r="H7" s="415">
        <f t="shared" si="0"/>
        <v>0</v>
      </c>
      <c r="I7" s="405">
        <v>2360.6716240000001</v>
      </c>
      <c r="J7" s="415"/>
      <c r="K7" s="415">
        <v>18355.269739193373</v>
      </c>
      <c r="L7" s="415">
        <v>19217.901699870483</v>
      </c>
      <c r="M7" s="415">
        <v>10286.993905544747</v>
      </c>
      <c r="N7" s="415">
        <v>8930.9077943257344</v>
      </c>
      <c r="O7" s="415">
        <v>20152.339416165792</v>
      </c>
      <c r="P7" s="415">
        <v>10870.005266442953</v>
      </c>
      <c r="Q7" s="415">
        <v>9282.3341497228394</v>
      </c>
    </row>
    <row r="8" spans="1:20" s="411" customFormat="1">
      <c r="A8" s="416" t="s">
        <v>893</v>
      </c>
      <c r="B8" s="414" t="s">
        <v>716</v>
      </c>
      <c r="C8" s="413" t="s">
        <v>240</v>
      </c>
      <c r="D8" s="412"/>
      <c r="E8" s="405"/>
      <c r="F8" s="405">
        <f>'6.6_теплонос.тэц-1_1 контур'!F8+'6.6_теплонос.тэц-2_1 контур'!F8</f>
        <v>836</v>
      </c>
      <c r="G8" s="405">
        <f>'6.6_теплонос.тэц-1_1 контур'!G8+'6.6_теплонос.тэц-2_1 контур'!G8</f>
        <v>3909.5605199999995</v>
      </c>
      <c r="H8" s="405"/>
      <c r="I8" s="405">
        <v>795</v>
      </c>
      <c r="J8" s="405"/>
      <c r="K8" s="405">
        <v>4872.7864200000004</v>
      </c>
      <c r="L8" s="405">
        <v>4578.6852458040003</v>
      </c>
      <c r="M8" s="405">
        <v>2650.7247659999998</v>
      </c>
      <c r="N8" s="405">
        <v>1927.9604798040004</v>
      </c>
      <c r="O8" s="405">
        <v>4906.6594211011807</v>
      </c>
      <c r="P8" s="405">
        <v>2891.940719706</v>
      </c>
      <c r="Q8" s="405">
        <v>2014.7187013951805</v>
      </c>
      <c r="R8" s="1093"/>
      <c r="S8" s="1093"/>
      <c r="T8" s="1093"/>
    </row>
    <row r="9" spans="1:20" ht="45" customHeight="1">
      <c r="A9" s="402" t="s">
        <v>895</v>
      </c>
      <c r="B9" s="403" t="s">
        <v>1037</v>
      </c>
      <c r="C9" s="402" t="s">
        <v>240</v>
      </c>
      <c r="D9" s="406"/>
      <c r="E9" s="405"/>
      <c r="F9" s="405">
        <f>'6.6_теплонос.тэц-1_1 контур'!F9+'6.6_теплонос.тэц-2_1 контур'!F9</f>
        <v>28</v>
      </c>
      <c r="G9" s="405">
        <f>'6.6_теплонос.тэц-1_1 контур'!G9+'6.6_теплонос.тэц-2_1 контур'!G9</f>
        <v>327.72664058955706</v>
      </c>
      <c r="H9" s="405"/>
      <c r="I9" s="405">
        <v>263</v>
      </c>
      <c r="J9" s="405"/>
      <c r="K9" s="405">
        <v>327.72664058955706</v>
      </c>
      <c r="L9" s="405">
        <v>289.22914103048299</v>
      </c>
      <c r="M9" s="405">
        <v>173.53748461828977</v>
      </c>
      <c r="N9" s="405">
        <v>115.69165641219323</v>
      </c>
      <c r="O9" s="405">
        <v>306.29366035128146</v>
      </c>
      <c r="P9" s="405">
        <v>183.77619621076886</v>
      </c>
      <c r="Q9" s="405">
        <v>122.5174641405126</v>
      </c>
    </row>
    <row r="10" spans="1:20" ht="76.5" customHeight="1">
      <c r="A10" s="402" t="s">
        <v>896</v>
      </c>
      <c r="B10" s="403" t="s">
        <v>717</v>
      </c>
      <c r="C10" s="402" t="s">
        <v>240</v>
      </c>
      <c r="D10" s="406"/>
      <c r="E10" s="405"/>
      <c r="F10" s="405"/>
      <c r="G10" s="405"/>
      <c r="H10" s="405"/>
      <c r="I10" s="405"/>
      <c r="J10" s="405"/>
      <c r="K10" s="405"/>
      <c r="L10" s="405"/>
      <c r="M10" s="405"/>
      <c r="N10" s="405"/>
      <c r="O10" s="405"/>
      <c r="P10" s="405"/>
      <c r="Q10" s="405"/>
    </row>
    <row r="11" spans="1:20" s="411" customFormat="1" ht="48" customHeight="1">
      <c r="A11" s="413" t="s">
        <v>897</v>
      </c>
      <c r="B11" s="414" t="s">
        <v>718</v>
      </c>
      <c r="C11" s="413" t="s">
        <v>240</v>
      </c>
      <c r="D11" s="412"/>
      <c r="E11" s="405"/>
      <c r="F11" s="405">
        <f>'6.6_теплонос.тэц-1_1 контур'!F11+'6.6_теплонос.тэц-2_1 контур'!F11</f>
        <v>162</v>
      </c>
      <c r="G11" s="405">
        <f>'6.6_теплонос.тэц-1_1 контур'!G11+'6.6_теплонос.тэц-2_1 контур'!G11</f>
        <v>1203.823765160678</v>
      </c>
      <c r="H11" s="405"/>
      <c r="I11" s="405">
        <v>0</v>
      </c>
      <c r="J11" s="405"/>
      <c r="K11" s="405">
        <v>1203.823765160678</v>
      </c>
      <c r="L11" s="405">
        <v>1174.6127790115775</v>
      </c>
      <c r="M11" s="405">
        <v>704.76766740694654</v>
      </c>
      <c r="N11" s="405">
        <v>469.84511160463103</v>
      </c>
      <c r="O11" s="405">
        <v>1243.9149329732604</v>
      </c>
      <c r="P11" s="405">
        <v>746.34895978395639</v>
      </c>
      <c r="Q11" s="405">
        <v>497.56597318930426</v>
      </c>
    </row>
    <row r="12" spans="1:20" ht="45">
      <c r="A12" s="402" t="s">
        <v>1036</v>
      </c>
      <c r="B12" s="403" t="s">
        <v>719</v>
      </c>
      <c r="C12" s="402" t="s">
        <v>240</v>
      </c>
      <c r="D12" s="406"/>
      <c r="E12" s="405"/>
      <c r="F12" s="405"/>
      <c r="G12" s="405"/>
      <c r="H12" s="405"/>
      <c r="I12" s="405"/>
      <c r="J12" s="405"/>
      <c r="K12" s="405"/>
      <c r="L12" s="405"/>
      <c r="M12" s="405"/>
      <c r="N12" s="405"/>
      <c r="O12" s="405"/>
      <c r="P12" s="405"/>
      <c r="Q12" s="405"/>
    </row>
    <row r="13" spans="1:20" ht="32.25" customHeight="1">
      <c r="A13" s="402" t="s">
        <v>1035</v>
      </c>
      <c r="B13" s="403" t="s">
        <v>720</v>
      </c>
      <c r="C13" s="402" t="s">
        <v>240</v>
      </c>
      <c r="D13" s="406"/>
      <c r="E13" s="415"/>
      <c r="F13" s="405">
        <f>'6.6_теплонос.тэц-1_1 контур'!F13+'6.6_теплонос.тэц-2_1 контур'!F13</f>
        <v>0</v>
      </c>
      <c r="G13" s="405">
        <f>'6.6_теплонос.тэц-1_1 контур'!G13+'6.6_теплонос.тэц-2_1 контур'!G13</f>
        <v>3778.1880000000001</v>
      </c>
      <c r="H13" s="415"/>
      <c r="I13" s="405">
        <v>863</v>
      </c>
      <c r="J13" s="415"/>
      <c r="K13" s="405">
        <v>3778.1870000000004</v>
      </c>
      <c r="L13" s="405">
        <v>4736.4780000000001</v>
      </c>
      <c r="M13" s="405">
        <v>2368.239</v>
      </c>
      <c r="N13" s="405">
        <v>2368.239</v>
      </c>
      <c r="O13" s="405">
        <v>5015.9302019999996</v>
      </c>
      <c r="P13" s="405">
        <v>2507.9651009999998</v>
      </c>
      <c r="Q13" s="405">
        <v>2507.9651009999998</v>
      </c>
    </row>
    <row r="14" spans="1:20" ht="33" customHeight="1">
      <c r="A14" s="402" t="s">
        <v>1034</v>
      </c>
      <c r="B14" s="403" t="s">
        <v>721</v>
      </c>
      <c r="C14" s="402" t="s">
        <v>240</v>
      </c>
      <c r="D14" s="406"/>
      <c r="E14" s="415"/>
      <c r="F14" s="405">
        <f>'6.6_теплонос.тэц-1_1 контур'!F14+'6.6_теплонос.тэц-2_1 контур'!F14</f>
        <v>0</v>
      </c>
      <c r="G14" s="405">
        <f>'6.6_теплонос.тэц-1_1 контур'!G14+'6.6_теплонос.тэц-2_1 контур'!G14</f>
        <v>3443.7739999999999</v>
      </c>
      <c r="H14" s="415"/>
      <c r="I14" s="405">
        <v>94</v>
      </c>
      <c r="J14" s="415"/>
      <c r="K14" s="405">
        <v>3443.7739999999999</v>
      </c>
      <c r="L14" s="405">
        <v>3473.5409999999997</v>
      </c>
      <c r="M14" s="405">
        <v>1736.7704999999999</v>
      </c>
      <c r="N14" s="405">
        <v>1736.7704999999999</v>
      </c>
      <c r="O14" s="405">
        <v>3473.5409999999997</v>
      </c>
      <c r="P14" s="405">
        <v>1736.7704999999999</v>
      </c>
      <c r="Q14" s="405">
        <v>1736.7704999999999</v>
      </c>
    </row>
    <row r="15" spans="1:20" ht="32.25" customHeight="1">
      <c r="A15" s="402" t="s">
        <v>1033</v>
      </c>
      <c r="B15" s="403" t="s">
        <v>722</v>
      </c>
      <c r="C15" s="402" t="s">
        <v>240</v>
      </c>
      <c r="D15" s="415">
        <f>D16+D17+D18</f>
        <v>0</v>
      </c>
      <c r="E15" s="415">
        <f>E16+E17+E18</f>
        <v>0</v>
      </c>
      <c r="F15" s="415">
        <f t="shared" ref="F15:H15" si="1">F16+F17+F18</f>
        <v>1275.4000000000001</v>
      </c>
      <c r="G15" s="415">
        <f t="shared" ref="G15:I15" si="2">G16+G17+G18</f>
        <v>4386.4491390031371</v>
      </c>
      <c r="H15" s="415">
        <f t="shared" si="1"/>
        <v>0</v>
      </c>
      <c r="I15" s="405">
        <v>345.67162400000007</v>
      </c>
      <c r="J15" s="415"/>
      <c r="K15" s="415">
        <v>4728.971913443138</v>
      </c>
      <c r="L15" s="415">
        <v>4965.3555340244202</v>
      </c>
      <c r="M15" s="415">
        <v>2652.9544875195102</v>
      </c>
      <c r="N15" s="415">
        <v>2312.4010465049096</v>
      </c>
      <c r="O15" s="415">
        <v>5206.0001997400714</v>
      </c>
      <c r="P15" s="415">
        <v>2803.2037897422288</v>
      </c>
      <c r="Q15" s="415">
        <v>2402.7964099978431</v>
      </c>
    </row>
    <row r="16" spans="1:20" ht="18" customHeight="1">
      <c r="A16" s="402" t="s">
        <v>1032</v>
      </c>
      <c r="B16" s="403" t="s">
        <v>723</v>
      </c>
      <c r="C16" s="402" t="s">
        <v>240</v>
      </c>
      <c r="D16" s="406"/>
      <c r="E16" s="405"/>
      <c r="F16" s="405"/>
      <c r="G16" s="405"/>
      <c r="H16" s="405"/>
      <c r="I16" s="405"/>
      <c r="J16" s="405"/>
      <c r="K16" s="405"/>
      <c r="L16" s="405"/>
      <c r="M16" s="405"/>
      <c r="N16" s="405"/>
      <c r="O16" s="405"/>
      <c r="P16" s="405"/>
      <c r="Q16" s="405"/>
    </row>
    <row r="17" spans="1:18" ht="30">
      <c r="A17" s="402" t="s">
        <v>1031</v>
      </c>
      <c r="B17" s="403" t="s">
        <v>724</v>
      </c>
      <c r="C17" s="402" t="s">
        <v>240</v>
      </c>
      <c r="D17" s="406"/>
      <c r="E17" s="405"/>
      <c r="F17" s="405"/>
      <c r="G17" s="405"/>
      <c r="H17" s="405"/>
      <c r="I17" s="405"/>
      <c r="J17" s="405"/>
      <c r="K17" s="405"/>
      <c r="L17" s="405"/>
      <c r="M17" s="405"/>
      <c r="N17" s="405"/>
      <c r="O17" s="405"/>
      <c r="P17" s="405"/>
      <c r="Q17" s="405"/>
    </row>
    <row r="18" spans="1:18" s="411" customFormat="1">
      <c r="A18" s="413" t="s">
        <v>1030</v>
      </c>
      <c r="B18" s="414" t="s">
        <v>725</v>
      </c>
      <c r="C18" s="413" t="s">
        <v>240</v>
      </c>
      <c r="D18" s="405">
        <f>(D8+D11+D13+D14)*0.3556</f>
        <v>0</v>
      </c>
      <c r="E18" s="405">
        <f>(E8+E11+E13+E14)*0.3556</f>
        <v>0</v>
      </c>
      <c r="F18" s="405">
        <f>'6.6_теплонос.тэц-1_1 контур'!F18+'6.6_теплонос.тэц-2_1 контур'!F18</f>
        <v>1275.4000000000001</v>
      </c>
      <c r="G18" s="405">
        <f>'6.6_теплонос.тэц-1_1 контур'!G18+'6.6_теплонос.тэц-2_1 контур'!G18</f>
        <v>4386.4491390031371</v>
      </c>
      <c r="H18" s="405">
        <f t="shared" ref="H18" si="3">(H8+H11+H13+H14)*0.3556</f>
        <v>0</v>
      </c>
      <c r="I18" s="405">
        <v>345.67162400000007</v>
      </c>
      <c r="J18" s="405"/>
      <c r="K18" s="405">
        <v>4728.971913443138</v>
      </c>
      <c r="L18" s="405">
        <v>4965.3555340244202</v>
      </c>
      <c r="M18" s="405">
        <v>2652.9544875195102</v>
      </c>
      <c r="N18" s="405">
        <v>2312.4010465049096</v>
      </c>
      <c r="O18" s="405">
        <v>5206.0001997400714</v>
      </c>
      <c r="P18" s="405">
        <v>2803.2037897422288</v>
      </c>
      <c r="Q18" s="405">
        <v>2402.7964099978431</v>
      </c>
    </row>
    <row r="19" spans="1:18" s="410" customFormat="1" ht="43.5">
      <c r="A19" s="435" t="s">
        <v>91</v>
      </c>
      <c r="B19" s="436" t="s">
        <v>726</v>
      </c>
      <c r="C19" s="435" t="s">
        <v>727</v>
      </c>
      <c r="D19" s="437"/>
      <c r="E19" s="433"/>
      <c r="F19" s="433">
        <f>'6.6_теплонос.тэц-1_1 контур'!F19+'6.6_теплонос.тэц-2_1 контур'!F19</f>
        <v>26.352</v>
      </c>
      <c r="G19" s="433">
        <f>'6.6_теплонос.тэц-1_1 контур'!G19+'6.6_теплонос.тэц-2_1 контур'!G19</f>
        <v>239.21199999999999</v>
      </c>
      <c r="H19" s="433"/>
      <c r="I19" s="433">
        <v>20.507999999999999</v>
      </c>
      <c r="J19" s="433"/>
      <c r="K19" s="433">
        <v>239.21199999999999</v>
      </c>
      <c r="L19" s="433">
        <v>210.65699999999998</v>
      </c>
      <c r="M19" s="433">
        <v>126.39419999999998</v>
      </c>
      <c r="N19" s="433">
        <v>84.262800000000013</v>
      </c>
      <c r="O19" s="433">
        <v>210.65699999999998</v>
      </c>
      <c r="P19" s="433">
        <v>126.39419999999998</v>
      </c>
      <c r="Q19" s="433">
        <v>84.262800000000013</v>
      </c>
    </row>
    <row r="20" spans="1:18" ht="29.25" customHeight="1">
      <c r="A20" s="402" t="s">
        <v>93</v>
      </c>
      <c r="B20" s="403" t="s">
        <v>728</v>
      </c>
      <c r="C20" s="402" t="s">
        <v>240</v>
      </c>
      <c r="D20" s="409"/>
      <c r="E20" s="408"/>
      <c r="F20" s="408"/>
      <c r="G20" s="408"/>
      <c r="H20" s="408"/>
      <c r="I20" s="408"/>
      <c r="J20" s="408"/>
      <c r="K20" s="408"/>
      <c r="L20" s="408"/>
      <c r="M20" s="408"/>
      <c r="N20" s="408"/>
      <c r="O20" s="408"/>
      <c r="P20" s="408"/>
      <c r="Q20" s="408"/>
    </row>
    <row r="21" spans="1:18" ht="30.75" customHeight="1">
      <c r="A21" s="402" t="s">
        <v>95</v>
      </c>
      <c r="B21" s="403" t="s">
        <v>729</v>
      </c>
      <c r="C21" s="402" t="s">
        <v>727</v>
      </c>
      <c r="D21" s="409"/>
      <c r="E21" s="408"/>
      <c r="F21" s="408"/>
      <c r="G21" s="408"/>
      <c r="H21" s="408"/>
      <c r="I21" s="408"/>
      <c r="J21" s="408"/>
      <c r="K21" s="408"/>
      <c r="L21" s="408"/>
      <c r="M21" s="408"/>
      <c r="N21" s="408"/>
      <c r="O21" s="408"/>
      <c r="P21" s="408"/>
      <c r="Q21" s="408"/>
    </row>
    <row r="22" spans="1:18" ht="62.25" customHeight="1">
      <c r="A22" s="402" t="s">
        <v>97</v>
      </c>
      <c r="B22" s="403" t="s">
        <v>730</v>
      </c>
      <c r="C22" s="402" t="s">
        <v>240</v>
      </c>
      <c r="D22" s="406"/>
      <c r="E22" s="405"/>
      <c r="F22" s="405">
        <f>'6.6_теплонос.тэц-1_1 контур'!F22+'6.6_теплонос.тэц-2_1 контур'!F22</f>
        <v>0</v>
      </c>
      <c r="G22" s="405">
        <f>'6.6_теплонос.тэц-1_1 контур'!G22+'6.6_теплонос.тэц-2_1 контур'!G22</f>
        <v>1065.7806862100701</v>
      </c>
      <c r="H22" s="405"/>
      <c r="I22" s="405">
        <v>0</v>
      </c>
      <c r="J22" s="405"/>
      <c r="K22" s="405">
        <v>1065.7806862100701</v>
      </c>
      <c r="L22" s="405">
        <v>1175.70169561548</v>
      </c>
      <c r="M22" s="405">
        <v>628.42640950973987</v>
      </c>
      <c r="N22" s="405">
        <v>547.27528610574018</v>
      </c>
      <c r="O22" s="405">
        <v>1245.0680956567933</v>
      </c>
      <c r="P22" s="405">
        <v>665.5035676708145</v>
      </c>
      <c r="Q22" s="405">
        <v>579.56452798597877</v>
      </c>
      <c r="R22" s="394"/>
    </row>
    <row r="23" spans="1:18">
      <c r="A23" s="402" t="s">
        <v>582</v>
      </c>
      <c r="B23" s="407" t="s">
        <v>1029</v>
      </c>
      <c r="C23" s="402" t="s">
        <v>240</v>
      </c>
      <c r="D23" s="405">
        <f>(D7+D20+D22)*0.25</f>
        <v>0</v>
      </c>
      <c r="E23" s="405">
        <f>(E7+E20+E22)*0.25</f>
        <v>0</v>
      </c>
      <c r="F23" s="405">
        <f>'6.6_теплонос.тэц-1_1 контур'!F23+'6.6_теплонос.тэц-2_1 контур'!F23</f>
        <v>0</v>
      </c>
      <c r="G23" s="405">
        <f t="shared" ref="G23:Q23" si="4">(G7+G20+G22)*0.25</f>
        <v>4528.8256877408603</v>
      </c>
      <c r="H23" s="405">
        <f t="shared" ref="H23" si="5">(H7+H20+H22)*0.25</f>
        <v>0</v>
      </c>
      <c r="I23" s="405">
        <v>590.16790600000002</v>
      </c>
      <c r="J23" s="405"/>
      <c r="K23" s="405">
        <v>4855.2626063508606</v>
      </c>
      <c r="L23" s="405">
        <v>5098.4008488714908</v>
      </c>
      <c r="M23" s="405">
        <v>2728.8550787636218</v>
      </c>
      <c r="N23" s="405">
        <v>2369.5457701078685</v>
      </c>
      <c r="O23" s="405">
        <v>5349.3518779556462</v>
      </c>
      <c r="P23" s="405">
        <v>2883.8772085284418</v>
      </c>
      <c r="Q23" s="405">
        <v>2465.4746694272044</v>
      </c>
    </row>
    <row r="24" spans="1:18" ht="43.5">
      <c r="A24" s="398" t="s">
        <v>615</v>
      </c>
      <c r="B24" s="399" t="s">
        <v>731</v>
      </c>
      <c r="C24" s="398" t="s">
        <v>240</v>
      </c>
      <c r="D24" s="404">
        <f>D7+D20+D22+D23</f>
        <v>0</v>
      </c>
      <c r="E24" s="404">
        <f>E7+E20+E22+E23</f>
        <v>0</v>
      </c>
      <c r="F24" s="404">
        <f t="shared" ref="F24:I24" si="6">F7+F20+F22+F23</f>
        <v>2301.4</v>
      </c>
      <c r="G24" s="404">
        <f t="shared" si="6"/>
        <v>22644.128438704302</v>
      </c>
      <c r="H24" s="404">
        <f t="shared" si="6"/>
        <v>0</v>
      </c>
      <c r="I24" s="1762">
        <f t="shared" si="6"/>
        <v>2950.8395300000002</v>
      </c>
      <c r="J24" s="404"/>
      <c r="K24" s="404">
        <f t="shared" ref="K24" si="7">K7+K20+K22+K23</f>
        <v>24276.313031754304</v>
      </c>
      <c r="L24" s="404">
        <f>L7+L20+L22+L23</f>
        <v>25492.004244357453</v>
      </c>
      <c r="M24" s="404">
        <f>M7+M20+M22+M23</f>
        <v>13644.275393818109</v>
      </c>
      <c r="N24" s="404">
        <f>N7+N20+N22+N23</f>
        <v>11847.728850539343</v>
      </c>
      <c r="O24" s="404">
        <f t="shared" ref="O24:Q24" si="8">O7+O20+O22+O23</f>
        <v>26746.759389778232</v>
      </c>
      <c r="P24" s="404">
        <f t="shared" si="8"/>
        <v>14419.386042642209</v>
      </c>
      <c r="Q24" s="404">
        <f t="shared" si="8"/>
        <v>12327.373347136021</v>
      </c>
    </row>
    <row r="25" spans="1:18" ht="61.5" customHeight="1">
      <c r="A25" s="402" t="s">
        <v>649</v>
      </c>
      <c r="B25" s="403" t="s">
        <v>732</v>
      </c>
      <c r="C25" s="402" t="s">
        <v>1027</v>
      </c>
      <c r="D25" s="400" t="e">
        <f>D24/(D19+D21)</f>
        <v>#DIV/0!</v>
      </c>
      <c r="E25" s="400" t="e">
        <f>E24/(E19+E21)</f>
        <v>#DIV/0!</v>
      </c>
      <c r="F25" s="400">
        <f t="shared" ref="F25:L25" si="9">F24/(F19+F21)</f>
        <v>87.33302975106254</v>
      </c>
      <c r="G25" s="400">
        <f t="shared" si="9"/>
        <v>94.661339893919632</v>
      </c>
      <c r="H25" s="400"/>
      <c r="I25" s="1763">
        <f t="shared" si="9"/>
        <v>143.88724058903844</v>
      </c>
      <c r="J25" s="400"/>
      <c r="K25" s="400">
        <f t="shared" ref="K25" si="10">K24/(K19+K21)</f>
        <v>101.48451177931837</v>
      </c>
      <c r="L25" s="400">
        <f t="shared" si="9"/>
        <v>121.01190202251743</v>
      </c>
      <c r="M25" s="400">
        <f>M24/(M19+M21)</f>
        <v>107.95017013295001</v>
      </c>
      <c r="N25" s="400">
        <f>N24/(N19+N21)</f>
        <v>140.60449985686853</v>
      </c>
      <c r="O25" s="400">
        <f t="shared" ref="O25:Q25" si="11">O24/(O19+O21)</f>
        <v>126.96829153447659</v>
      </c>
      <c r="P25" s="400">
        <f t="shared" si="11"/>
        <v>114.08265602885426</v>
      </c>
      <c r="Q25" s="400">
        <f t="shared" si="11"/>
        <v>146.29674479291003</v>
      </c>
    </row>
    <row r="26" spans="1:18" ht="72">
      <c r="A26" s="398" t="s">
        <v>1028</v>
      </c>
      <c r="B26" s="399" t="s">
        <v>734</v>
      </c>
      <c r="C26" s="398" t="s">
        <v>1027</v>
      </c>
      <c r="D26" s="396" t="e">
        <f>D25</f>
        <v>#DIV/0!</v>
      </c>
      <c r="E26" s="396" t="e">
        <f>E25</f>
        <v>#DIV/0!</v>
      </c>
      <c r="F26" s="396">
        <f t="shared" ref="F26:L26" si="12">F25</f>
        <v>87.33302975106254</v>
      </c>
      <c r="G26" s="396">
        <f t="shared" si="12"/>
        <v>94.661339893919632</v>
      </c>
      <c r="H26" s="396">
        <f t="shared" si="12"/>
        <v>0</v>
      </c>
      <c r="I26" s="1764">
        <f t="shared" si="12"/>
        <v>143.88724058903844</v>
      </c>
      <c r="J26" s="396"/>
      <c r="K26" s="396">
        <f t="shared" ref="K26" si="13">K25</f>
        <v>101.48451177931837</v>
      </c>
      <c r="L26" s="396">
        <f t="shared" si="12"/>
        <v>121.01190202251743</v>
      </c>
      <c r="M26" s="396">
        <f>M25</f>
        <v>107.95017013295001</v>
      </c>
      <c r="N26" s="396">
        <f>N25</f>
        <v>140.60449985686853</v>
      </c>
      <c r="O26" s="396">
        <f t="shared" ref="O26:Q26" si="14">O25</f>
        <v>126.96829153447659</v>
      </c>
      <c r="P26" s="396">
        <f t="shared" si="14"/>
        <v>114.08265602885426</v>
      </c>
      <c r="Q26" s="396">
        <f t="shared" si="14"/>
        <v>146.29674479291003</v>
      </c>
    </row>
    <row r="27" spans="1:18">
      <c r="B27" s="394"/>
      <c r="I27" s="411"/>
    </row>
    <row r="28" spans="1:18" ht="17.25">
      <c r="B28" s="395"/>
    </row>
    <row r="29" spans="1:18">
      <c r="A29" s="26" t="s">
        <v>88</v>
      </c>
      <c r="B29" s="26"/>
      <c r="C29" s="26"/>
      <c r="D29" s="26"/>
      <c r="E29" s="26"/>
      <c r="F29" s="26"/>
      <c r="G29" s="26"/>
      <c r="H29" s="26"/>
      <c r="I29" s="883"/>
      <c r="J29" s="26"/>
      <c r="K29" s="26"/>
      <c r="L29" s="26"/>
    </row>
    <row r="30" spans="1:18" ht="43.5" customHeight="1">
      <c r="A30" s="1741" t="s">
        <v>89</v>
      </c>
      <c r="B30" s="1842" t="s">
        <v>735</v>
      </c>
      <c r="C30" s="1842"/>
      <c r="D30" s="1842"/>
      <c r="E30" s="1842"/>
      <c r="F30" s="1740"/>
      <c r="G30" s="1740"/>
      <c r="H30" s="1740"/>
      <c r="I30" s="1748"/>
      <c r="J30" s="1740"/>
      <c r="K30" s="1740"/>
      <c r="L30" s="1740"/>
    </row>
    <row r="31" spans="1:18">
      <c r="A31" s="26" t="s">
        <v>91</v>
      </c>
      <c r="B31" s="26" t="s">
        <v>736</v>
      </c>
      <c r="C31" s="26"/>
      <c r="D31" s="26"/>
      <c r="E31" s="26"/>
      <c r="F31" s="26"/>
      <c r="G31" s="26"/>
      <c r="H31" s="26"/>
      <c r="I31" s="883"/>
      <c r="J31" s="26"/>
      <c r="K31" s="26"/>
      <c r="L31" s="26"/>
    </row>
    <row r="32" spans="1:18">
      <c r="A32" s="26" t="s">
        <v>93</v>
      </c>
      <c r="B32" s="26" t="s">
        <v>737</v>
      </c>
      <c r="C32" s="26"/>
      <c r="D32" s="26"/>
      <c r="E32" s="26"/>
      <c r="F32" s="26"/>
      <c r="G32" s="26"/>
      <c r="H32" s="26"/>
      <c r="I32" s="883"/>
      <c r="J32" s="26"/>
      <c r="K32" s="26"/>
      <c r="L32" s="26"/>
    </row>
    <row r="33" spans="1:12">
      <c r="A33" s="26" t="s">
        <v>95</v>
      </c>
      <c r="B33" s="26" t="s">
        <v>738</v>
      </c>
      <c r="C33" s="26"/>
      <c r="D33" s="26"/>
      <c r="E33" s="26"/>
      <c r="F33" s="26"/>
      <c r="G33" s="26"/>
      <c r="H33" s="26"/>
      <c r="I33" s="883"/>
      <c r="J33" s="26"/>
      <c r="K33" s="26"/>
      <c r="L33" s="26"/>
    </row>
    <row r="34" spans="1:12">
      <c r="B34" s="394"/>
    </row>
    <row r="35" spans="1:12">
      <c r="B35" s="394"/>
    </row>
    <row r="36" spans="1:12">
      <c r="B36" s="394"/>
    </row>
    <row r="37" spans="1:12">
      <c r="B37" s="394"/>
    </row>
    <row r="38" spans="1:12">
      <c r="B38" s="394"/>
    </row>
    <row r="39" spans="1:12">
      <c r="B39" s="394"/>
    </row>
    <row r="40" spans="1:12">
      <c r="B40" s="394"/>
    </row>
    <row r="41" spans="1:12">
      <c r="B41" s="394"/>
    </row>
    <row r="42" spans="1:12">
      <c r="B42" s="394"/>
    </row>
  </sheetData>
  <mergeCells count="2">
    <mergeCell ref="A3:N3"/>
    <mergeCell ref="B30:E30"/>
  </mergeCells>
  <pageMargins left="0.70866141732283472" right="0.17" top="0.74803149606299213" bottom="0.74803149606299213" header="0.31496062992125984" footer="0.31496062992125984"/>
  <pageSetup paperSize="9" scale="50" orientation="portrait" r:id="rId1"/>
  <rowBreaks count="1" manualBreakCount="1">
    <brk id="27" max="6" man="1"/>
  </rowBreaks>
  <colBreaks count="1" manualBreakCount="1">
    <brk id="17" max="1048575" man="1"/>
  </colBreaks>
  <legacy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Q30"/>
  <sheetViews>
    <sheetView view="pageBreakPreview" zoomScaleNormal="100" zoomScaleSheetLayoutView="100" workbookViewId="0">
      <pane xSplit="2" ySplit="5" topLeftCell="C6" activePane="bottomRight" state="frozen"/>
      <selection activeCell="A12" sqref="A12:F19"/>
      <selection pane="topRight" activeCell="A12" sqref="A12:F19"/>
      <selection pane="bottomLeft" activeCell="A12" sqref="A12:F19"/>
      <selection pane="bottomRight" activeCell="S8" sqref="S8"/>
    </sheetView>
  </sheetViews>
  <sheetFormatPr defaultRowHeight="15"/>
  <cols>
    <col min="1" max="1" width="9.140625" style="393"/>
    <col min="2" max="2" width="42.5703125" style="393" customWidth="1"/>
    <col min="3" max="3" width="11.85546875" style="393" customWidth="1"/>
    <col min="4" max="6" width="12.5703125" style="393" hidden="1" customWidth="1"/>
    <col min="7" max="7" width="13.85546875" style="393" hidden="1" customWidth="1"/>
    <col min="8" max="8" width="12.85546875" style="393" customWidth="1"/>
    <col min="9" max="11" width="13.85546875" style="393" customWidth="1"/>
    <col min="12" max="12" width="15.85546875" style="393" customWidth="1"/>
    <col min="13" max="13" width="10.28515625" style="393" customWidth="1"/>
    <col min="14" max="14" width="10.5703125" style="393" customWidth="1"/>
    <col min="15" max="15" width="14" style="393" customWidth="1"/>
    <col min="16" max="16" width="11.7109375" style="393" customWidth="1"/>
    <col min="17" max="17" width="11.140625" style="393" customWidth="1"/>
    <col min="18" max="16384" width="9.140625" style="393"/>
  </cols>
  <sheetData>
    <row r="1" spans="1:17" ht="16.5">
      <c r="A1" s="422" t="s">
        <v>864</v>
      </c>
      <c r="L1" s="419"/>
      <c r="N1" s="419"/>
      <c r="Q1" s="419" t="s">
        <v>739</v>
      </c>
    </row>
    <row r="3" spans="1:17" ht="30.75" customHeight="1">
      <c r="A3" s="2064" t="s">
        <v>1494</v>
      </c>
      <c r="B3" s="2064"/>
      <c r="C3" s="2064"/>
      <c r="D3" s="2064"/>
      <c r="E3" s="2064"/>
      <c r="F3" s="2064"/>
      <c r="G3" s="2064"/>
      <c r="H3" s="2064"/>
      <c r="I3" s="2064"/>
      <c r="J3" s="2064"/>
      <c r="K3" s="2064"/>
      <c r="L3" s="2064"/>
      <c r="M3" s="2066"/>
      <c r="N3" s="2066"/>
    </row>
    <row r="4" spans="1:17">
      <c r="A4" s="421"/>
      <c r="B4" s="420"/>
      <c r="C4" s="420"/>
      <c r="D4" s="420"/>
      <c r="E4" s="420"/>
      <c r="F4" s="420"/>
      <c r="G4" s="420"/>
      <c r="H4" s="420"/>
      <c r="I4" s="420"/>
      <c r="J4" s="420"/>
      <c r="K4" s="420"/>
      <c r="L4" s="420"/>
    </row>
    <row r="5" spans="1:17" ht="42.75">
      <c r="A5" s="418" t="s">
        <v>132</v>
      </c>
      <c r="B5" s="418" t="s">
        <v>1</v>
      </c>
      <c r="C5" s="418" t="s">
        <v>1038</v>
      </c>
      <c r="D5" s="418" t="s">
        <v>1491</v>
      </c>
      <c r="E5" s="418" t="s">
        <v>1130</v>
      </c>
      <c r="F5" s="418" t="s">
        <v>1492</v>
      </c>
      <c r="G5" s="418" t="s">
        <v>1708</v>
      </c>
      <c r="H5" s="418" t="s">
        <v>1707</v>
      </c>
      <c r="I5" s="418" t="s">
        <v>1857</v>
      </c>
      <c r="J5" s="418" t="s">
        <v>1858</v>
      </c>
      <c r="K5" s="418" t="s">
        <v>1834</v>
      </c>
      <c r="L5" s="418" t="s">
        <v>1560</v>
      </c>
      <c r="M5" s="418" t="s">
        <v>763</v>
      </c>
      <c r="N5" s="418" t="s">
        <v>764</v>
      </c>
      <c r="O5" s="418" t="s">
        <v>1875</v>
      </c>
      <c r="P5" s="418" t="s">
        <v>763</v>
      </c>
      <c r="Q5" s="418" t="s">
        <v>764</v>
      </c>
    </row>
    <row r="6" spans="1:17">
      <c r="A6" s="417">
        <v>1</v>
      </c>
      <c r="B6" s="417">
        <v>2</v>
      </c>
      <c r="C6" s="417">
        <v>3</v>
      </c>
      <c r="D6" s="417">
        <v>4</v>
      </c>
      <c r="E6" s="417">
        <v>5</v>
      </c>
      <c r="F6" s="417">
        <v>4</v>
      </c>
      <c r="G6" s="417">
        <v>5</v>
      </c>
      <c r="H6" s="417">
        <v>6</v>
      </c>
      <c r="I6" s="417">
        <v>7</v>
      </c>
      <c r="J6" s="417">
        <v>8</v>
      </c>
      <c r="K6" s="417">
        <v>9</v>
      </c>
      <c r="L6" s="417">
        <v>10</v>
      </c>
      <c r="M6" s="417">
        <v>11</v>
      </c>
      <c r="N6" s="417">
        <v>12</v>
      </c>
      <c r="O6" s="417">
        <v>13</v>
      </c>
      <c r="P6" s="417">
        <v>14</v>
      </c>
      <c r="Q6" s="417">
        <v>15</v>
      </c>
    </row>
    <row r="7" spans="1:17" ht="30">
      <c r="A7" s="402" t="s">
        <v>89</v>
      </c>
      <c r="B7" s="403" t="s">
        <v>1047</v>
      </c>
      <c r="C7" s="402"/>
      <c r="D7" s="409"/>
      <c r="E7" s="409"/>
      <c r="F7" s="409"/>
      <c r="G7" s="409"/>
      <c r="H7" s="409"/>
      <c r="I7" s="409"/>
      <c r="J7" s="409"/>
      <c r="K7" s="409"/>
      <c r="L7" s="409"/>
      <c r="M7" s="415"/>
      <c r="N7" s="415"/>
      <c r="O7" s="1749"/>
      <c r="P7" s="1749"/>
      <c r="Q7" s="1749"/>
    </row>
    <row r="8" spans="1:17">
      <c r="A8" s="423" t="s">
        <v>893</v>
      </c>
      <c r="B8" s="403" t="s">
        <v>740</v>
      </c>
      <c r="C8" s="402" t="s">
        <v>1027</v>
      </c>
      <c r="D8" s="401" t="e">
        <f>'6.6_теплонос.тэц-1_1 контур'!D26</f>
        <v>#DIV/0!</v>
      </c>
      <c r="E8" s="401" t="e">
        <f>'6.6_теплонос.тэц-1_1 контур'!E26</f>
        <v>#DIV/0!</v>
      </c>
      <c r="F8" s="401">
        <f>'6.6_теплонос.тэц-1_1 контур'!F26</f>
        <v>88.247612665438098</v>
      </c>
      <c r="G8" s="401">
        <f>'6.6_теплонос.тэц-1_1 контур'!G26</f>
        <v>105.51232835847168</v>
      </c>
      <c r="H8" s="401" t="e">
        <f>'6.6_теплонос.тэц-1_1 контур'!H26</f>
        <v>#DIV/0!</v>
      </c>
      <c r="I8" s="401">
        <v>147.3453891497652</v>
      </c>
      <c r="J8" s="401"/>
      <c r="K8" s="401">
        <v>120.09700982454743</v>
      </c>
      <c r="L8" s="401">
        <v>133.19211230582633</v>
      </c>
      <c r="M8" s="401">
        <v>123.80836347308808</v>
      </c>
      <c r="N8" s="401">
        <v>147.26773555493375</v>
      </c>
      <c r="O8" s="401">
        <v>141.90413857650839</v>
      </c>
      <c r="P8" s="401">
        <v>133.36018281026884</v>
      </c>
      <c r="Q8" s="401">
        <v>154.72007222586768</v>
      </c>
    </row>
    <row r="9" spans="1:17" ht="45" customHeight="1">
      <c r="A9" s="402" t="s">
        <v>895</v>
      </c>
      <c r="B9" s="403" t="s">
        <v>1046</v>
      </c>
      <c r="C9" s="402" t="s">
        <v>1041</v>
      </c>
      <c r="D9" s="868">
        <f>'6.6_теплонос.тэц-1_1 контур'!D19</f>
        <v>0</v>
      </c>
      <c r="E9" s="868">
        <f>'6.6_теплонос.тэц-1_1 контур'!E19</f>
        <v>0</v>
      </c>
      <c r="F9" s="868">
        <f>'6.6_теплонос.тэц-1_1 контур'!F19</f>
        <v>23.876000000000001</v>
      </c>
      <c r="G9" s="868">
        <f>'6.6_теплонос.тэц-1_1 контур'!G19</f>
        <v>111.911</v>
      </c>
      <c r="H9" s="868">
        <f>'6.6_теплонос.тэц-1_1 контур'!H19</f>
        <v>0</v>
      </c>
      <c r="I9" s="868">
        <v>10.009</v>
      </c>
      <c r="J9" s="868"/>
      <c r="K9" s="868">
        <v>111.911</v>
      </c>
      <c r="L9" s="868">
        <v>102.813</v>
      </c>
      <c r="M9" s="1556">
        <v>61.687799999999996</v>
      </c>
      <c r="N9" s="1556">
        <v>41.125200000000007</v>
      </c>
      <c r="O9" s="868">
        <v>102.813</v>
      </c>
      <c r="P9" s="1556">
        <v>61.687799999999996</v>
      </c>
      <c r="Q9" s="1556">
        <v>41.125200000000007</v>
      </c>
    </row>
    <row r="10" spans="1:17" ht="30">
      <c r="A10" s="402" t="s">
        <v>91</v>
      </c>
      <c r="B10" s="403" t="s">
        <v>1045</v>
      </c>
      <c r="C10" s="402"/>
      <c r="D10" s="409"/>
      <c r="E10" s="409"/>
      <c r="F10" s="409"/>
      <c r="G10" s="409"/>
      <c r="H10" s="409"/>
      <c r="I10" s="409"/>
      <c r="J10" s="409"/>
      <c r="K10" s="409"/>
      <c r="L10" s="409"/>
      <c r="M10" s="409"/>
      <c r="N10" s="409"/>
      <c r="O10" s="409"/>
      <c r="P10" s="409"/>
      <c r="Q10" s="409"/>
    </row>
    <row r="11" spans="1:17" ht="16.5" customHeight="1">
      <c r="A11" s="402" t="s">
        <v>1044</v>
      </c>
      <c r="B11" s="403" t="s">
        <v>740</v>
      </c>
      <c r="C11" s="402" t="s">
        <v>1027</v>
      </c>
      <c r="D11" s="401" t="e">
        <f>'6.6_теплонос.тэц-2_1 контур'!D26</f>
        <v>#DIV/0!</v>
      </c>
      <c r="E11" s="401" t="e">
        <f>'6.6_теплонос.тэц-2_1 контур'!E26</f>
        <v>#DIV/0!</v>
      </c>
      <c r="F11" s="401">
        <f>'6.6_теплонос.тэц-2_1 контур'!F26</f>
        <v>78.915347334410328</v>
      </c>
      <c r="G11" s="401">
        <f>'6.6_теплонос.тэц-2_1 контур'!G26</f>
        <v>85.122177043223374</v>
      </c>
      <c r="H11" s="401" t="e">
        <f>'6.6_теплонос.тэц-2_1 контур'!H26</f>
        <v>#DIV/0!</v>
      </c>
      <c r="I11" s="401">
        <v>84.378666920659114</v>
      </c>
      <c r="J11" s="401"/>
      <c r="K11" s="401">
        <v>85.122163732251721</v>
      </c>
      <c r="L11" s="401">
        <v>109.39990729070256</v>
      </c>
      <c r="M11" s="401">
        <v>92.831772893607848</v>
      </c>
      <c r="N11" s="401">
        <v>134.25210888634462</v>
      </c>
      <c r="O11" s="401">
        <v>112.72921247646303</v>
      </c>
      <c r="P11" s="401">
        <v>95.704439707338238</v>
      </c>
      <c r="Q11" s="401">
        <v>138.26637163015022</v>
      </c>
    </row>
    <row r="12" spans="1:17" ht="48.75" customHeight="1">
      <c r="A12" s="402" t="s">
        <v>1043</v>
      </c>
      <c r="B12" s="403" t="s">
        <v>1042</v>
      </c>
      <c r="C12" s="402" t="s">
        <v>1041</v>
      </c>
      <c r="D12" s="868">
        <f>'6.6_теплонос.тэц-2_1 контур'!D19</f>
        <v>0</v>
      </c>
      <c r="E12" s="868">
        <f>'6.6_теплонос.тэц-2_1 контур'!E19</f>
        <v>0</v>
      </c>
      <c r="F12" s="868">
        <f>'6.6_теплонос.тэц-2_1 контур'!F19</f>
        <v>2.476</v>
      </c>
      <c r="G12" s="868">
        <f>'6.6_теплонос.тэц-2_1 контур'!G19</f>
        <v>127.301</v>
      </c>
      <c r="H12" s="868">
        <f>'6.6_теплонос.тэц-2_1 контур'!H19</f>
        <v>0</v>
      </c>
      <c r="I12" s="868">
        <v>10.498999999999999</v>
      </c>
      <c r="J12" s="868"/>
      <c r="K12" s="868">
        <v>127.301</v>
      </c>
      <c r="L12" s="868">
        <v>107.84399999999999</v>
      </c>
      <c r="M12" s="1556">
        <v>64.706399999999988</v>
      </c>
      <c r="N12" s="1556">
        <v>43.137600000000006</v>
      </c>
      <c r="O12" s="868">
        <v>107.84399999999999</v>
      </c>
      <c r="P12" s="1556">
        <v>64.706399999999988</v>
      </c>
      <c r="Q12" s="1556">
        <v>43.137600000000006</v>
      </c>
    </row>
    <row r="13" spans="1:17" ht="45">
      <c r="A13" s="402" t="s">
        <v>93</v>
      </c>
      <c r="B13" s="403" t="s">
        <v>741</v>
      </c>
      <c r="C13" s="402" t="s">
        <v>1041</v>
      </c>
      <c r="D13" s="868">
        <f t="shared" ref="D13:G13" si="0">D9+D12</f>
        <v>0</v>
      </c>
      <c r="E13" s="868">
        <f t="shared" si="0"/>
        <v>0</v>
      </c>
      <c r="F13" s="868">
        <f t="shared" si="0"/>
        <v>26.352</v>
      </c>
      <c r="G13" s="868">
        <f t="shared" si="0"/>
        <v>239.21199999999999</v>
      </c>
      <c r="H13" s="868">
        <f t="shared" ref="H13:I13" si="1">H9+H12</f>
        <v>0</v>
      </c>
      <c r="I13" s="868">
        <v>20.507999999999999</v>
      </c>
      <c r="J13" s="868"/>
      <c r="K13" s="868">
        <v>239.21199999999999</v>
      </c>
      <c r="L13" s="868">
        <v>210.65699999999998</v>
      </c>
      <c r="M13" s="1556">
        <v>126.39419999999998</v>
      </c>
      <c r="N13" s="1556">
        <v>84.262800000000013</v>
      </c>
      <c r="O13" s="868">
        <v>210.65699999999998</v>
      </c>
      <c r="P13" s="1556">
        <v>126.39419999999998</v>
      </c>
      <c r="Q13" s="1556">
        <v>84.262800000000013</v>
      </c>
    </row>
    <row r="14" spans="1:17" ht="33" customHeight="1">
      <c r="A14" s="398" t="s">
        <v>95</v>
      </c>
      <c r="B14" s="399" t="s">
        <v>742</v>
      </c>
      <c r="C14" s="398" t="s">
        <v>1027</v>
      </c>
      <c r="D14" s="397" t="e">
        <f t="shared" ref="D14:G14" si="2">(D8*D9+D11*D12)/D13</f>
        <v>#DIV/0!</v>
      </c>
      <c r="E14" s="397" t="e">
        <f t="shared" si="2"/>
        <v>#DIV/0!</v>
      </c>
      <c r="F14" s="397">
        <f t="shared" si="2"/>
        <v>87.370765027322406</v>
      </c>
      <c r="G14" s="397">
        <f t="shared" si="2"/>
        <v>94.661339893919632</v>
      </c>
      <c r="H14" s="397" t="e">
        <f t="shared" ref="H14:I14" si="3">(H8*H9+H11*H12)/H13</f>
        <v>#DIV/0!</v>
      </c>
      <c r="I14" s="397">
        <f t="shared" si="3"/>
        <v>115.10979247123075</v>
      </c>
      <c r="J14" s="397"/>
      <c r="K14" s="397">
        <f t="shared" ref="K14" si="4">(K8*K9+K11*K12)/K13</f>
        <v>101.48451177931837</v>
      </c>
      <c r="L14" s="397">
        <f t="shared" ref="L14:Q14" si="5">(L8*L9+L11*L12)/L13</f>
        <v>121.01190202251742</v>
      </c>
      <c r="M14" s="397">
        <f t="shared" si="5"/>
        <v>107.95017013295001</v>
      </c>
      <c r="N14" s="397">
        <f t="shared" si="5"/>
        <v>140.60449985686853</v>
      </c>
      <c r="O14" s="397">
        <f t="shared" si="5"/>
        <v>126.96829153447661</v>
      </c>
      <c r="P14" s="397">
        <f t="shared" si="5"/>
        <v>114.08265602885427</v>
      </c>
      <c r="Q14" s="397">
        <f t="shared" si="5"/>
        <v>146.29674479291006</v>
      </c>
    </row>
    <row r="15" spans="1:17">
      <c r="B15" s="394"/>
    </row>
    <row r="16" spans="1:17">
      <c r="B16" s="394"/>
      <c r="L16" s="1127">
        <f>L14/F14*100</f>
        <v>138.50388283160257</v>
      </c>
    </row>
    <row r="17" spans="1:11">
      <c r="A17" s="26" t="s">
        <v>88</v>
      </c>
      <c r="B17" s="26"/>
      <c r="C17" s="48"/>
      <c r="D17" s="26"/>
      <c r="E17" s="26"/>
      <c r="F17" s="26"/>
      <c r="G17" s="26"/>
      <c r="H17" s="26"/>
      <c r="I17" s="26"/>
      <c r="J17" s="26"/>
      <c r="K17" s="26"/>
    </row>
    <row r="18" spans="1:11" ht="180">
      <c r="A18" s="392" t="s">
        <v>89</v>
      </c>
      <c r="B18" s="46" t="s">
        <v>743</v>
      </c>
      <c r="C18" s="39"/>
      <c r="D18" s="46"/>
      <c r="E18" s="857"/>
      <c r="F18" s="857"/>
      <c r="G18" s="857"/>
      <c r="H18" s="1294"/>
      <c r="I18" s="1294"/>
      <c r="J18" s="1590"/>
      <c r="K18" s="1590"/>
    </row>
    <row r="19" spans="1:11">
      <c r="A19" s="26" t="s">
        <v>91</v>
      </c>
      <c r="B19" s="26" t="s">
        <v>744</v>
      </c>
      <c r="C19" s="48"/>
      <c r="D19" s="26"/>
      <c r="E19" s="26"/>
      <c r="F19" s="26"/>
      <c r="G19" s="26"/>
      <c r="H19" s="26"/>
      <c r="I19" s="26"/>
      <c r="J19" s="26"/>
      <c r="K19" s="26"/>
    </row>
    <row r="20" spans="1:11">
      <c r="A20" s="26" t="s">
        <v>93</v>
      </c>
      <c r="B20" s="26" t="s">
        <v>745</v>
      </c>
      <c r="C20" s="48"/>
      <c r="D20" s="26"/>
      <c r="E20" s="26"/>
      <c r="F20" s="26"/>
      <c r="G20" s="26"/>
      <c r="H20" s="26"/>
      <c r="I20" s="26"/>
      <c r="J20" s="26"/>
      <c r="K20" s="26"/>
    </row>
    <row r="21" spans="1:11">
      <c r="B21" s="394"/>
    </row>
    <row r="22" spans="1:11">
      <c r="B22" s="394"/>
    </row>
    <row r="23" spans="1:11">
      <c r="B23" s="394"/>
    </row>
    <row r="24" spans="1:11">
      <c r="B24" s="394"/>
    </row>
    <row r="25" spans="1:11">
      <c r="B25" s="394"/>
    </row>
    <row r="26" spans="1:11">
      <c r="B26" s="394"/>
    </row>
    <row r="27" spans="1:11">
      <c r="B27" s="394"/>
    </row>
    <row r="28" spans="1:11">
      <c r="B28" s="394"/>
    </row>
    <row r="29" spans="1:11">
      <c r="B29" s="394"/>
    </row>
    <row r="30" spans="1:11">
      <c r="B30" s="394"/>
    </row>
  </sheetData>
  <mergeCells count="1">
    <mergeCell ref="A3:N3"/>
  </mergeCells>
  <pageMargins left="0.57999999999999996" right="0.15748031496062992" top="0.74803149606299213" bottom="0.74803149606299213" header="0.31496062992125984" footer="0.31496062992125984"/>
  <pageSetup paperSize="9" scale="50" orientation="portrait" r:id="rId1"/>
</worksheet>
</file>

<file path=xl/worksheets/sheet1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Q42"/>
  <sheetViews>
    <sheetView view="pageBreakPreview" zoomScaleNormal="100" zoomScaleSheetLayoutView="100" workbookViewId="0">
      <pane xSplit="3" ySplit="6" topLeftCell="F10" activePane="bottomRight" state="frozen"/>
      <selection activeCell="A12" sqref="A12:F19"/>
      <selection pane="topRight" activeCell="A12" sqref="A12:F19"/>
      <selection pane="bottomLeft" activeCell="A12" sqref="A12:F19"/>
      <selection pane="bottomRight" activeCell="S10" sqref="S10"/>
    </sheetView>
  </sheetViews>
  <sheetFormatPr defaultRowHeight="15"/>
  <cols>
    <col min="1" max="1" width="9.140625" style="393"/>
    <col min="2" max="2" width="42.5703125" style="393" customWidth="1"/>
    <col min="3" max="3" width="11.85546875" style="393" customWidth="1"/>
    <col min="4" max="4" width="12.7109375" style="393" hidden="1" customWidth="1"/>
    <col min="5" max="6" width="13" style="393" hidden="1" customWidth="1"/>
    <col min="7" max="7" width="13.5703125" style="393" hidden="1" customWidth="1"/>
    <col min="8" max="8" width="12.5703125" style="393" customWidth="1"/>
    <col min="9" max="11" width="13.5703125" style="393" customWidth="1"/>
    <col min="12" max="12" width="14.140625" style="393" customWidth="1"/>
    <col min="13" max="13" width="11.42578125" style="393" customWidth="1"/>
    <col min="14" max="14" width="10.85546875" style="393" customWidth="1"/>
    <col min="15" max="15" width="13.140625" style="393" customWidth="1"/>
    <col min="16" max="17" width="10.85546875" style="393" customWidth="1"/>
    <col min="18" max="16384" width="9.140625" style="393"/>
  </cols>
  <sheetData>
    <row r="1" spans="1:17" ht="16.5">
      <c r="A1" s="422" t="s">
        <v>864</v>
      </c>
      <c r="B1" s="420"/>
      <c r="C1" s="420"/>
      <c r="D1" s="420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 t="s">
        <v>1048</v>
      </c>
    </row>
    <row r="2" spans="1:17">
      <c r="A2" s="420" t="str">
        <f>'4.2_КТЭЦ'!A2</f>
        <v>ПКГО - Комбинированная выработка КТЭЦ</v>
      </c>
      <c r="B2" s="420"/>
      <c r="C2" s="420"/>
      <c r="D2" s="420"/>
      <c r="E2" s="420"/>
      <c r="F2" s="420"/>
      <c r="G2" s="420"/>
      <c r="H2" s="420"/>
      <c r="I2" s="420"/>
      <c r="J2" s="420"/>
      <c r="K2" s="420"/>
      <c r="L2" s="420"/>
      <c r="M2" s="420"/>
      <c r="N2" s="420"/>
      <c r="O2" s="420"/>
      <c r="P2" s="420"/>
      <c r="Q2" s="420"/>
    </row>
    <row r="3" spans="1:17" ht="54.75" customHeight="1">
      <c r="A3" s="2064" t="s">
        <v>1495</v>
      </c>
      <c r="B3" s="2064"/>
      <c r="C3" s="2064"/>
      <c r="D3" s="2064"/>
      <c r="E3" s="2064"/>
      <c r="F3" s="2064"/>
      <c r="G3" s="2064"/>
      <c r="H3" s="2064"/>
      <c r="I3" s="2064"/>
      <c r="J3" s="2064"/>
      <c r="K3" s="2064"/>
      <c r="L3" s="2064"/>
      <c r="M3" s="2065"/>
      <c r="N3" s="2065"/>
      <c r="O3" s="1742"/>
      <c r="P3" s="1742"/>
      <c r="Q3" s="1742"/>
    </row>
    <row r="4" spans="1:17">
      <c r="A4" s="421"/>
      <c r="B4" s="420"/>
      <c r="C4" s="420"/>
      <c r="D4" s="420"/>
      <c r="E4" s="419"/>
      <c r="F4" s="419"/>
      <c r="G4" s="419"/>
      <c r="H4" s="419"/>
      <c r="I4" s="419"/>
      <c r="J4" s="419"/>
      <c r="K4" s="419"/>
      <c r="L4" s="419"/>
      <c r="M4" s="419"/>
      <c r="N4" s="419"/>
      <c r="O4" s="419"/>
      <c r="P4" s="419"/>
      <c r="Q4" s="419"/>
    </row>
    <row r="5" spans="1:17" ht="42.75">
      <c r="A5" s="418" t="s">
        <v>132</v>
      </c>
      <c r="B5" s="418" t="s">
        <v>1</v>
      </c>
      <c r="C5" s="418" t="s">
        <v>1038</v>
      </c>
      <c r="D5" s="418" t="s">
        <v>1491</v>
      </c>
      <c r="E5" s="418" t="s">
        <v>1130</v>
      </c>
      <c r="F5" s="418" t="s">
        <v>1492</v>
      </c>
      <c r="G5" s="418" t="s">
        <v>1708</v>
      </c>
      <c r="H5" s="418" t="s">
        <v>1707</v>
      </c>
      <c r="I5" s="418" t="s">
        <v>1857</v>
      </c>
      <c r="J5" s="418" t="s">
        <v>1858</v>
      </c>
      <c r="K5" s="418" t="s">
        <v>1834</v>
      </c>
      <c r="L5" s="418" t="s">
        <v>1560</v>
      </c>
      <c r="M5" s="418" t="s">
        <v>763</v>
      </c>
      <c r="N5" s="418" t="s">
        <v>764</v>
      </c>
      <c r="O5" s="418" t="s">
        <v>1875</v>
      </c>
      <c r="P5" s="418" t="s">
        <v>763</v>
      </c>
      <c r="Q5" s="418" t="s">
        <v>764</v>
      </c>
    </row>
    <row r="6" spans="1:17">
      <c r="A6" s="417">
        <v>1</v>
      </c>
      <c r="B6" s="417">
        <v>2</v>
      </c>
      <c r="C6" s="417">
        <v>3</v>
      </c>
      <c r="D6" s="417">
        <v>4</v>
      </c>
      <c r="E6" s="417">
        <v>5</v>
      </c>
      <c r="F6" s="417">
        <v>4</v>
      </c>
      <c r="G6" s="417">
        <v>5</v>
      </c>
      <c r="H6" s="417">
        <v>6</v>
      </c>
      <c r="I6" s="417">
        <v>7</v>
      </c>
      <c r="J6" s="417">
        <v>8</v>
      </c>
      <c r="K6" s="417">
        <v>9</v>
      </c>
      <c r="L6" s="417">
        <v>10</v>
      </c>
      <c r="M6" s="417">
        <v>11</v>
      </c>
      <c r="N6" s="417">
        <v>12</v>
      </c>
      <c r="O6" s="417">
        <v>13</v>
      </c>
      <c r="P6" s="417">
        <v>14</v>
      </c>
      <c r="Q6" s="417">
        <v>15</v>
      </c>
    </row>
    <row r="7" spans="1:17" ht="57.75" customHeight="1">
      <c r="A7" s="402" t="s">
        <v>89</v>
      </c>
      <c r="B7" s="403" t="s">
        <v>786</v>
      </c>
      <c r="C7" s="402" t="s">
        <v>240</v>
      </c>
      <c r="D7" s="415">
        <f>SUM(D8:D15)</f>
        <v>0</v>
      </c>
      <c r="E7" s="415">
        <f>SUM(E8:E15)</f>
        <v>241.09354133599999</v>
      </c>
      <c r="F7" s="415">
        <f t="shared" ref="F7:L7" si="0">SUM(F8:F15)</f>
        <v>0</v>
      </c>
      <c r="G7" s="415">
        <f t="shared" si="0"/>
        <v>42235</v>
      </c>
      <c r="H7" s="415">
        <f t="shared" si="0"/>
        <v>0</v>
      </c>
      <c r="I7" s="415">
        <v>42235</v>
      </c>
      <c r="J7" s="415"/>
      <c r="K7" s="415">
        <v>32236.561959999999</v>
      </c>
      <c r="L7" s="415">
        <v>33823.854406800005</v>
      </c>
      <c r="M7" s="415">
        <v>21783.12586</v>
      </c>
      <c r="N7" s="415">
        <v>12040.728546800001</v>
      </c>
      <c r="O7" s="415">
        <v>36347.951644665998</v>
      </c>
      <c r="P7" s="415">
        <v>23765.390313260003</v>
      </c>
      <c r="Q7" s="415">
        <v>12582.561331405999</v>
      </c>
    </row>
    <row r="8" spans="1:17" s="411" customFormat="1">
      <c r="A8" s="416" t="s">
        <v>893</v>
      </c>
      <c r="B8" s="414" t="s">
        <v>716</v>
      </c>
      <c r="C8" s="413" t="s">
        <v>240</v>
      </c>
      <c r="D8" s="412">
        <f>'4.8 - КТЭЦ'!E19</f>
        <v>0</v>
      </c>
      <c r="E8" s="405">
        <f>'4.8 - КТЭЦ'!H19</f>
        <v>177.85005999999998</v>
      </c>
      <c r="F8" s="405">
        <f>'4.8 - КТЭЦ'!K23</f>
        <v>0</v>
      </c>
      <c r="G8" s="405">
        <f>'4.8 - КТЭЦ'!N23</f>
        <v>42235</v>
      </c>
      <c r="H8" s="405">
        <f>'4.8 - КТЭЦ'!Q2323</f>
        <v>0</v>
      </c>
      <c r="I8" s="405">
        <v>42235</v>
      </c>
      <c r="J8" s="405"/>
      <c r="K8" s="405">
        <v>32236.561959999999</v>
      </c>
      <c r="L8" s="405">
        <v>33823.854406800005</v>
      </c>
      <c r="M8" s="424">
        <v>21783.12586</v>
      </c>
      <c r="N8" s="424">
        <v>12040.728546800001</v>
      </c>
      <c r="O8" s="424">
        <v>36347.951644665998</v>
      </c>
      <c r="P8" s="424">
        <v>23765.390313260003</v>
      </c>
      <c r="Q8" s="424">
        <v>12582.561331405999</v>
      </c>
    </row>
    <row r="9" spans="1:17" ht="45" customHeight="1">
      <c r="A9" s="402" t="s">
        <v>895</v>
      </c>
      <c r="B9" s="403" t="s">
        <v>1037</v>
      </c>
      <c r="C9" s="402" t="s">
        <v>240</v>
      </c>
      <c r="D9" s="406"/>
      <c r="E9" s="405"/>
      <c r="F9" s="405"/>
      <c r="G9" s="405"/>
      <c r="H9" s="405"/>
      <c r="I9" s="405"/>
      <c r="J9" s="405"/>
      <c r="K9" s="405"/>
      <c r="L9" s="405"/>
      <c r="M9" s="405"/>
      <c r="N9" s="405"/>
      <c r="O9" s="405"/>
      <c r="P9" s="405"/>
      <c r="Q9" s="405"/>
    </row>
    <row r="10" spans="1:17" ht="76.5" customHeight="1">
      <c r="A10" s="402" t="s">
        <v>896</v>
      </c>
      <c r="B10" s="403" t="s">
        <v>717</v>
      </c>
      <c r="C10" s="402" t="s">
        <v>240</v>
      </c>
      <c r="D10" s="406"/>
      <c r="E10" s="405"/>
      <c r="F10" s="405"/>
      <c r="G10" s="405"/>
      <c r="H10" s="405"/>
      <c r="I10" s="405"/>
      <c r="J10" s="405"/>
      <c r="K10" s="405"/>
      <c r="L10" s="405"/>
      <c r="M10" s="405"/>
      <c r="N10" s="405"/>
      <c r="O10" s="405"/>
      <c r="P10" s="405"/>
      <c r="Q10" s="405"/>
    </row>
    <row r="11" spans="1:17" s="411" customFormat="1" ht="48" customHeight="1">
      <c r="A11" s="413" t="s">
        <v>897</v>
      </c>
      <c r="B11" s="414" t="s">
        <v>718</v>
      </c>
      <c r="C11" s="413" t="s">
        <v>240</v>
      </c>
      <c r="D11" s="412"/>
      <c r="E11" s="405"/>
      <c r="F11" s="405"/>
      <c r="G11" s="405"/>
      <c r="H11" s="405"/>
      <c r="I11" s="405"/>
      <c r="J11" s="405"/>
      <c r="K11" s="405"/>
      <c r="L11" s="405"/>
      <c r="M11" s="405"/>
      <c r="N11" s="405"/>
      <c r="O11" s="405"/>
      <c r="P11" s="405"/>
      <c r="Q11" s="405"/>
    </row>
    <row r="12" spans="1:17" ht="45">
      <c r="A12" s="402" t="s">
        <v>1036</v>
      </c>
      <c r="B12" s="403" t="s">
        <v>719</v>
      </c>
      <c r="C12" s="402" t="s">
        <v>240</v>
      </c>
      <c r="D12" s="406"/>
      <c r="E12" s="405"/>
      <c r="F12" s="405"/>
      <c r="G12" s="405"/>
      <c r="H12" s="405"/>
      <c r="I12" s="405"/>
      <c r="J12" s="405"/>
      <c r="K12" s="405"/>
      <c r="L12" s="405"/>
      <c r="M12" s="405"/>
      <c r="N12" s="405"/>
      <c r="O12" s="405"/>
      <c r="P12" s="405"/>
      <c r="Q12" s="405"/>
    </row>
    <row r="13" spans="1:17" ht="32.25" customHeight="1">
      <c r="A13" s="402" t="s">
        <v>1035</v>
      </c>
      <c r="B13" s="403" t="s">
        <v>720</v>
      </c>
      <c r="C13" s="402" t="s">
        <v>240</v>
      </c>
      <c r="D13" s="406"/>
      <c r="E13" s="415"/>
      <c r="F13" s="415"/>
      <c r="G13" s="415"/>
      <c r="H13" s="415"/>
      <c r="I13" s="415"/>
      <c r="J13" s="415"/>
      <c r="K13" s="415"/>
      <c r="L13" s="415"/>
      <c r="M13" s="415"/>
      <c r="N13" s="415"/>
      <c r="O13" s="415"/>
      <c r="P13" s="415"/>
      <c r="Q13" s="415"/>
    </row>
    <row r="14" spans="1:17" ht="33" customHeight="1">
      <c r="A14" s="402" t="s">
        <v>1034</v>
      </c>
      <c r="B14" s="403" t="s">
        <v>721</v>
      </c>
      <c r="C14" s="402" t="s">
        <v>240</v>
      </c>
      <c r="D14" s="406"/>
      <c r="E14" s="415"/>
      <c r="F14" s="415"/>
      <c r="G14" s="415"/>
      <c r="H14" s="415"/>
      <c r="I14" s="415"/>
      <c r="J14" s="415"/>
      <c r="K14" s="415"/>
      <c r="L14" s="415"/>
      <c r="M14" s="415"/>
      <c r="N14" s="415"/>
      <c r="O14" s="415"/>
      <c r="P14" s="415"/>
      <c r="Q14" s="415"/>
    </row>
    <row r="15" spans="1:17" ht="32.25" customHeight="1">
      <c r="A15" s="402" t="s">
        <v>1033</v>
      </c>
      <c r="B15" s="403" t="s">
        <v>722</v>
      </c>
      <c r="C15" s="402" t="s">
        <v>240</v>
      </c>
      <c r="D15" s="415">
        <f>D16+D17+D18</f>
        <v>0</v>
      </c>
      <c r="E15" s="415">
        <f>E16+E17+E18</f>
        <v>63.243481336000002</v>
      </c>
      <c r="F15" s="415">
        <f t="shared" ref="F15:L15" si="1">F16+F17+F18</f>
        <v>0</v>
      </c>
      <c r="G15" s="415">
        <f t="shared" si="1"/>
        <v>0</v>
      </c>
      <c r="H15" s="415">
        <f t="shared" si="1"/>
        <v>0</v>
      </c>
      <c r="I15" s="415">
        <v>0</v>
      </c>
      <c r="J15" s="415"/>
      <c r="K15" s="415">
        <v>0</v>
      </c>
      <c r="L15" s="415">
        <v>0</v>
      </c>
      <c r="M15" s="415">
        <v>0</v>
      </c>
      <c r="N15" s="415">
        <v>0</v>
      </c>
      <c r="O15" s="415">
        <v>0</v>
      </c>
      <c r="P15" s="415">
        <v>0</v>
      </c>
      <c r="Q15" s="415">
        <v>0</v>
      </c>
    </row>
    <row r="16" spans="1:17" ht="18" customHeight="1">
      <c r="A16" s="402" t="s">
        <v>1032</v>
      </c>
      <c r="B16" s="403" t="s">
        <v>723</v>
      </c>
      <c r="C16" s="402" t="s">
        <v>240</v>
      </c>
      <c r="D16" s="406"/>
      <c r="E16" s="405"/>
      <c r="F16" s="405"/>
      <c r="G16" s="405"/>
      <c r="H16" s="405"/>
      <c r="I16" s="405"/>
      <c r="J16" s="405"/>
      <c r="K16" s="405"/>
      <c r="L16" s="405"/>
      <c r="M16" s="405"/>
      <c r="N16" s="405"/>
      <c r="O16" s="405"/>
      <c r="P16" s="405"/>
      <c r="Q16" s="405"/>
    </row>
    <row r="17" spans="1:17" ht="30">
      <c r="A17" s="402" t="s">
        <v>1031</v>
      </c>
      <c r="B17" s="403" t="s">
        <v>724</v>
      </c>
      <c r="C17" s="402" t="s">
        <v>240</v>
      </c>
      <c r="D17" s="406"/>
      <c r="E17" s="405"/>
      <c r="F17" s="405"/>
      <c r="G17" s="405"/>
      <c r="H17" s="405"/>
      <c r="I17" s="405"/>
      <c r="J17" s="405"/>
      <c r="K17" s="405"/>
      <c r="L17" s="405"/>
      <c r="M17" s="405"/>
      <c r="N17" s="405"/>
      <c r="O17" s="405"/>
      <c r="P17" s="405"/>
      <c r="Q17" s="405"/>
    </row>
    <row r="18" spans="1:17" s="411" customFormat="1">
      <c r="A18" s="413" t="s">
        <v>1030</v>
      </c>
      <c r="B18" s="414" t="s">
        <v>725</v>
      </c>
      <c r="C18" s="413" t="s">
        <v>240</v>
      </c>
      <c r="D18" s="405">
        <f>(D8+D11+D13+D14)*0.3556</f>
        <v>0</v>
      </c>
      <c r="E18" s="405">
        <f>(E8+E11+E13+E14)*0.3556</f>
        <v>63.243481336000002</v>
      </c>
      <c r="F18" s="405"/>
      <c r="G18" s="405"/>
      <c r="H18" s="405"/>
      <c r="I18" s="405"/>
      <c r="J18" s="405"/>
      <c r="K18" s="405"/>
      <c r="L18" s="405"/>
      <c r="M18" s="405"/>
      <c r="N18" s="405"/>
      <c r="O18" s="405"/>
      <c r="P18" s="405"/>
      <c r="Q18" s="405"/>
    </row>
    <row r="19" spans="1:17" s="410" customFormat="1" ht="43.5">
      <c r="A19" s="435" t="s">
        <v>91</v>
      </c>
      <c r="B19" s="436" t="s">
        <v>726</v>
      </c>
      <c r="C19" s="435" t="s">
        <v>727</v>
      </c>
      <c r="D19" s="437"/>
      <c r="E19" s="433"/>
      <c r="F19" s="433"/>
      <c r="G19" s="433"/>
      <c r="H19" s="433"/>
      <c r="I19" s="433"/>
      <c r="J19" s="433"/>
      <c r="K19" s="433"/>
      <c r="L19" s="433"/>
      <c r="M19" s="434"/>
      <c r="N19" s="433"/>
      <c r="O19" s="433"/>
      <c r="P19" s="433"/>
      <c r="Q19" s="433"/>
    </row>
    <row r="20" spans="1:17" ht="29.25" customHeight="1">
      <c r="A20" s="402" t="s">
        <v>93</v>
      </c>
      <c r="B20" s="403" t="s">
        <v>728</v>
      </c>
      <c r="C20" s="402" t="s">
        <v>240</v>
      </c>
      <c r="D20" s="409"/>
      <c r="E20" s="408"/>
      <c r="F20" s="408"/>
      <c r="G20" s="408"/>
      <c r="H20" s="408"/>
      <c r="I20" s="408"/>
      <c r="J20" s="408"/>
      <c r="K20" s="408"/>
      <c r="L20" s="408"/>
      <c r="M20" s="408"/>
      <c r="N20" s="408"/>
      <c r="O20" s="408"/>
      <c r="P20" s="408"/>
      <c r="Q20" s="408"/>
    </row>
    <row r="21" spans="1:17" ht="30.75" customHeight="1">
      <c r="A21" s="402" t="s">
        <v>95</v>
      </c>
      <c r="B21" s="403" t="s">
        <v>729</v>
      </c>
      <c r="C21" s="402" t="s">
        <v>727</v>
      </c>
      <c r="D21" s="405">
        <f>'4.8 - КТЭЦ'!C19</f>
        <v>0</v>
      </c>
      <c r="E21" s="405">
        <f>'4.8 - КТЭЦ'!F19</f>
        <v>5739</v>
      </c>
      <c r="F21" s="405">
        <f>'4.8 - КТЭЦ'!I23/1000</f>
        <v>0</v>
      </c>
      <c r="G21" s="405">
        <f>'4.8 - КТЭЦ'!L23/1000</f>
        <v>1180.194</v>
      </c>
      <c r="H21" s="405">
        <f>'4.8 - КТЭЦ'!O23/1000</f>
        <v>0</v>
      </c>
      <c r="I21" s="405">
        <v>913.779</v>
      </c>
      <c r="J21" s="405"/>
      <c r="K21" s="405">
        <v>763.77800000000002</v>
      </c>
      <c r="L21" s="405">
        <v>763.77800000000002</v>
      </c>
      <c r="M21" s="405">
        <v>506.93799999999999</v>
      </c>
      <c r="N21" s="405">
        <v>256.83999999999997</v>
      </c>
      <c r="O21" s="405">
        <v>763.77800000000002</v>
      </c>
      <c r="P21" s="405">
        <v>506.93799999999999</v>
      </c>
      <c r="Q21" s="405">
        <v>256.83999999999997</v>
      </c>
    </row>
    <row r="22" spans="1:17" ht="62.25" customHeight="1">
      <c r="A22" s="402" t="s">
        <v>97</v>
      </c>
      <c r="B22" s="403" t="s">
        <v>730</v>
      </c>
      <c r="C22" s="402" t="s">
        <v>240</v>
      </c>
      <c r="D22" s="406"/>
      <c r="E22" s="405"/>
      <c r="F22" s="405"/>
      <c r="G22" s="405"/>
      <c r="H22" s="405"/>
      <c r="I22" s="405"/>
      <c r="J22" s="405"/>
      <c r="K22" s="405"/>
      <c r="L22" s="405"/>
      <c r="M22" s="405"/>
      <c r="N22" s="405"/>
      <c r="O22" s="405"/>
      <c r="P22" s="405"/>
      <c r="Q22" s="405"/>
    </row>
    <row r="23" spans="1:17">
      <c r="A23" s="402" t="s">
        <v>582</v>
      </c>
      <c r="B23" s="407" t="s">
        <v>1029</v>
      </c>
      <c r="C23" s="402" t="s">
        <v>240</v>
      </c>
      <c r="D23" s="405">
        <f>(D7+D20+D22)*0.25</f>
        <v>0</v>
      </c>
      <c r="E23" s="405">
        <f>(E7+E20+E22)*0.25</f>
        <v>60.273385333999997</v>
      </c>
      <c r="F23" s="405"/>
      <c r="G23" s="405"/>
      <c r="H23" s="405"/>
      <c r="I23" s="405"/>
      <c r="J23" s="405"/>
      <c r="K23" s="405"/>
      <c r="L23" s="405"/>
      <c r="M23" s="405"/>
      <c r="N23" s="405"/>
      <c r="O23" s="405"/>
      <c r="P23" s="405"/>
      <c r="Q23" s="405"/>
    </row>
    <row r="24" spans="1:17" ht="43.5">
      <c r="A24" s="398" t="s">
        <v>615</v>
      </c>
      <c r="B24" s="399" t="s">
        <v>731</v>
      </c>
      <c r="C24" s="398" t="s">
        <v>240</v>
      </c>
      <c r="D24" s="404">
        <f>D7+D20+D22+D23</f>
        <v>0</v>
      </c>
      <c r="E24" s="404">
        <f>E7+E20+E22+E23</f>
        <v>301.36692667</v>
      </c>
      <c r="F24" s="404">
        <f t="shared" ref="F24:L24" si="2">F7+F20+F22+F23</f>
        <v>0</v>
      </c>
      <c r="G24" s="404">
        <f t="shared" si="2"/>
        <v>42235</v>
      </c>
      <c r="H24" s="404">
        <f t="shared" si="2"/>
        <v>0</v>
      </c>
      <c r="I24" s="404">
        <f t="shared" si="2"/>
        <v>42235</v>
      </c>
      <c r="J24" s="404"/>
      <c r="K24" s="404">
        <f t="shared" ref="K24" si="3">K7+K20+K22+K23</f>
        <v>32236.561959999999</v>
      </c>
      <c r="L24" s="404">
        <f t="shared" si="2"/>
        <v>33823.854406800005</v>
      </c>
      <c r="M24" s="404">
        <f>M7+M20+M22+M23</f>
        <v>21783.12586</v>
      </c>
      <c r="N24" s="404">
        <f>N7+N20+N22+N23</f>
        <v>12040.728546800001</v>
      </c>
      <c r="O24" s="404">
        <f t="shared" ref="O24:Q24" si="4">O7+O20+O22+O23</f>
        <v>36347.951644665998</v>
      </c>
      <c r="P24" s="404">
        <f t="shared" si="4"/>
        <v>23765.390313260003</v>
      </c>
      <c r="Q24" s="404">
        <f t="shared" si="4"/>
        <v>12582.561331405999</v>
      </c>
    </row>
    <row r="25" spans="1:17" ht="61.5" customHeight="1">
      <c r="A25" s="402" t="s">
        <v>649</v>
      </c>
      <c r="B25" s="403" t="s">
        <v>732</v>
      </c>
      <c r="C25" s="402" t="s">
        <v>1027</v>
      </c>
      <c r="D25" s="400" t="e">
        <f>D24/(D19+D21)</f>
        <v>#DIV/0!</v>
      </c>
      <c r="E25" s="400">
        <f>E24/(E19+E21)</f>
        <v>5.2512097346227568E-2</v>
      </c>
      <c r="F25" s="400" t="e">
        <f t="shared" ref="F25" si="5">F24/(F19+F21)</f>
        <v>#DIV/0!</v>
      </c>
      <c r="G25" s="400">
        <f>G24/(G19+G21)</f>
        <v>35.786489339888192</v>
      </c>
      <c r="H25" s="400" t="e">
        <f t="shared" ref="H25:I25" si="6">H24/(H19+H21)</f>
        <v>#DIV/0!</v>
      </c>
      <c r="I25" s="400">
        <f t="shared" si="6"/>
        <v>46.220147322273768</v>
      </c>
      <c r="J25" s="400"/>
      <c r="K25" s="400">
        <f t="shared" ref="K25" si="7">K24/(K19+K21)</f>
        <v>42.206717082712515</v>
      </c>
      <c r="L25" s="400">
        <f>'4.8 - КТЭЦ'!AB23*1000</f>
        <v>44.504928875668064</v>
      </c>
      <c r="M25" s="400">
        <f>M24/(M19+M21)</f>
        <v>42.97</v>
      </c>
      <c r="N25" s="400">
        <f>N24/(N19+N21)</f>
        <v>46.88027000000001</v>
      </c>
      <c r="O25" s="400">
        <f t="shared" ref="O25:Q25" si="8">O24/(O19+O21)</f>
        <v>47.589681353306844</v>
      </c>
      <c r="P25" s="400">
        <f t="shared" si="8"/>
        <v>46.880270000000003</v>
      </c>
      <c r="Q25" s="400">
        <f t="shared" si="8"/>
        <v>48.98988215</v>
      </c>
    </row>
    <row r="26" spans="1:17" ht="72">
      <c r="A26" s="398" t="s">
        <v>1028</v>
      </c>
      <c r="B26" s="399" t="s">
        <v>734</v>
      </c>
      <c r="C26" s="398" t="s">
        <v>1027</v>
      </c>
      <c r="D26" s="396" t="e">
        <f>D25</f>
        <v>#DIV/0!</v>
      </c>
      <c r="E26" s="396">
        <f>E25</f>
        <v>5.2512097346227568E-2</v>
      </c>
      <c r="F26" s="396">
        <v>34.96</v>
      </c>
      <c r="G26" s="396">
        <f t="shared" ref="G26:L26" si="9">G25</f>
        <v>35.786489339888192</v>
      </c>
      <c r="H26" s="396" t="e">
        <f t="shared" si="9"/>
        <v>#DIV/0!</v>
      </c>
      <c r="I26" s="396">
        <f t="shared" si="9"/>
        <v>46.220147322273768</v>
      </c>
      <c r="J26" s="396"/>
      <c r="K26" s="396">
        <f t="shared" ref="K26" si="10">K25</f>
        <v>42.206717082712515</v>
      </c>
      <c r="L26" s="396">
        <f t="shared" si="9"/>
        <v>44.504928875668064</v>
      </c>
      <c r="M26" s="396">
        <f>M25</f>
        <v>42.97</v>
      </c>
      <c r="N26" s="396">
        <f>N25</f>
        <v>46.88027000000001</v>
      </c>
      <c r="O26" s="396">
        <f t="shared" ref="O26:Q26" si="11">O25</f>
        <v>47.589681353306844</v>
      </c>
      <c r="P26" s="396">
        <f t="shared" si="11"/>
        <v>46.880270000000003</v>
      </c>
      <c r="Q26" s="396">
        <f t="shared" si="11"/>
        <v>48.98988215</v>
      </c>
    </row>
    <row r="27" spans="1:17">
      <c r="B27" s="394"/>
    </row>
    <row r="28" spans="1:17" ht="17.25">
      <c r="B28" s="395"/>
    </row>
    <row r="29" spans="1:17">
      <c r="A29" s="26" t="s">
        <v>88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</row>
    <row r="30" spans="1:17" ht="43.5" customHeight="1">
      <c r="A30" s="804" t="s">
        <v>89</v>
      </c>
      <c r="B30" s="1842" t="s">
        <v>735</v>
      </c>
      <c r="C30" s="1842"/>
      <c r="D30" s="1842"/>
      <c r="E30" s="1842"/>
      <c r="F30" s="803"/>
      <c r="G30" s="803"/>
      <c r="H30" s="1289"/>
      <c r="I30" s="1289"/>
      <c r="J30" s="1585"/>
      <c r="K30" s="1585"/>
      <c r="L30" s="803"/>
    </row>
    <row r="31" spans="1:17">
      <c r="A31" s="26" t="s">
        <v>91</v>
      </c>
      <c r="B31" s="26" t="s">
        <v>736</v>
      </c>
      <c r="C31" s="26"/>
      <c r="D31" s="26"/>
      <c r="E31" s="26"/>
      <c r="F31" s="26"/>
      <c r="G31" s="26"/>
      <c r="H31" s="26"/>
      <c r="I31" s="26"/>
      <c r="J31" s="26"/>
      <c r="K31" s="26"/>
      <c r="L31" s="26"/>
    </row>
    <row r="32" spans="1:17">
      <c r="A32" s="26" t="s">
        <v>93</v>
      </c>
      <c r="B32" s="26" t="s">
        <v>737</v>
      </c>
      <c r="C32" s="26"/>
      <c r="D32" s="26"/>
      <c r="E32" s="26"/>
      <c r="F32" s="26"/>
      <c r="G32" s="26"/>
      <c r="H32" s="26"/>
      <c r="I32" s="26"/>
      <c r="J32" s="26"/>
      <c r="K32" s="26"/>
      <c r="L32" s="26"/>
    </row>
    <row r="33" spans="1:12">
      <c r="A33" s="26" t="s">
        <v>95</v>
      </c>
      <c r="B33" s="26" t="s">
        <v>738</v>
      </c>
      <c r="C33" s="26"/>
      <c r="D33" s="26"/>
      <c r="E33" s="26"/>
      <c r="F33" s="26"/>
      <c r="G33" s="26"/>
      <c r="H33" s="26"/>
      <c r="I33" s="26"/>
      <c r="J33" s="26"/>
      <c r="K33" s="26"/>
      <c r="L33" s="26"/>
    </row>
    <row r="34" spans="1:12">
      <c r="B34" s="394"/>
    </row>
    <row r="35" spans="1:12">
      <c r="B35" s="394"/>
    </row>
    <row r="36" spans="1:12">
      <c r="B36" s="394"/>
    </row>
    <row r="37" spans="1:12">
      <c r="B37" s="394"/>
    </row>
    <row r="38" spans="1:12">
      <c r="B38" s="394"/>
    </row>
    <row r="39" spans="1:12">
      <c r="B39" s="394"/>
    </row>
    <row r="40" spans="1:12">
      <c r="B40" s="394"/>
    </row>
    <row r="41" spans="1:12">
      <c r="B41" s="394"/>
    </row>
    <row r="42" spans="1:12">
      <c r="B42" s="394"/>
    </row>
  </sheetData>
  <mergeCells count="2">
    <mergeCell ref="A3:N3"/>
    <mergeCell ref="B30:E30"/>
  </mergeCells>
  <pageMargins left="0.70866141732283472" right="0.15748031496062992" top="0.74803149606299213" bottom="0.74803149606299213" header="0.31496062992125984" footer="0.31496062992125984"/>
  <pageSetup paperSize="9" scale="50" orientation="portrait" r:id="rId1"/>
  <rowBreaks count="1" manualBreakCount="1">
    <brk id="27" max="6" man="1"/>
  </rowBreaks>
  <colBreaks count="1" manualBreakCount="1">
    <brk id="17" max="1048575" man="1"/>
  </colBreaks>
  <legacy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Q42"/>
  <sheetViews>
    <sheetView view="pageBreakPreview" zoomScaleNormal="100" zoomScaleSheetLayoutView="100" workbookViewId="0">
      <pane xSplit="3" ySplit="6" topLeftCell="F7" activePane="bottomRight" state="frozen"/>
      <selection activeCell="N1" sqref="N1"/>
      <selection pane="topRight" activeCell="N1" sqref="N1"/>
      <selection pane="bottomLeft" activeCell="N1" sqref="N1"/>
      <selection pane="bottomRight" activeCell="R10" sqref="R10"/>
    </sheetView>
  </sheetViews>
  <sheetFormatPr defaultRowHeight="15"/>
  <cols>
    <col min="1" max="1" width="5.85546875" style="393" customWidth="1"/>
    <col min="2" max="2" width="42.5703125" style="393" customWidth="1"/>
    <col min="3" max="3" width="11.85546875" style="393" customWidth="1"/>
    <col min="4" max="6" width="11.85546875" style="393" hidden="1" customWidth="1"/>
    <col min="7" max="7" width="14.140625" style="393" hidden="1" customWidth="1"/>
    <col min="8" max="8" width="12.5703125" style="393" customWidth="1"/>
    <col min="9" max="11" width="14.140625" style="393" customWidth="1"/>
    <col min="12" max="12" width="13.42578125" style="393" customWidth="1"/>
    <col min="13" max="13" width="12" style="393" customWidth="1"/>
    <col min="14" max="14" width="11.5703125" style="393" customWidth="1"/>
    <col min="15" max="15" width="13.140625" style="393" customWidth="1"/>
    <col min="16" max="17" width="11.5703125" style="393" customWidth="1"/>
    <col min="18" max="16384" width="9.140625" style="393"/>
  </cols>
  <sheetData>
    <row r="1" spans="1:17" ht="16.5">
      <c r="A1" s="422" t="s">
        <v>864</v>
      </c>
      <c r="B1" s="420"/>
      <c r="C1" s="420"/>
      <c r="D1" s="420"/>
      <c r="E1" s="420"/>
      <c r="F1" s="420"/>
      <c r="G1" s="420"/>
      <c r="H1" s="420"/>
      <c r="I1" s="420"/>
      <c r="J1" s="420"/>
      <c r="K1" s="420"/>
      <c r="L1" s="419"/>
      <c r="N1" s="419"/>
      <c r="O1" s="419"/>
      <c r="P1" s="419"/>
      <c r="Q1" s="419" t="s">
        <v>1049</v>
      </c>
    </row>
    <row r="2" spans="1:17">
      <c r="A2" s="420" t="str">
        <f>'4.2_котельные'!A2</f>
        <v>ПКГО - выработка котельными</v>
      </c>
      <c r="B2" s="420"/>
      <c r="C2" s="420"/>
      <c r="D2" s="420"/>
      <c r="E2" s="420"/>
      <c r="F2" s="420"/>
      <c r="G2" s="420"/>
      <c r="H2" s="420"/>
      <c r="I2" s="420"/>
      <c r="J2" s="420"/>
      <c r="K2" s="420"/>
      <c r="L2" s="420"/>
    </row>
    <row r="3" spans="1:17" ht="54.75" customHeight="1">
      <c r="A3" s="2064" t="s">
        <v>1495</v>
      </c>
      <c r="B3" s="2064"/>
      <c r="C3" s="2064"/>
      <c r="D3" s="2064"/>
      <c r="E3" s="2064"/>
      <c r="F3" s="2064"/>
      <c r="G3" s="2064"/>
      <c r="H3" s="2064"/>
      <c r="I3" s="2064"/>
      <c r="J3" s="2064"/>
      <c r="K3" s="2064"/>
      <c r="L3" s="2064"/>
      <c r="M3" s="2066"/>
      <c r="N3" s="2066"/>
      <c r="O3" s="1743"/>
      <c r="P3" s="1743"/>
      <c r="Q3" s="1743"/>
    </row>
    <row r="4" spans="1:17">
      <c r="A4" s="421"/>
      <c r="B4" s="420"/>
      <c r="C4" s="420"/>
      <c r="D4" s="420"/>
      <c r="E4" s="420"/>
      <c r="F4" s="420"/>
      <c r="G4" s="420"/>
      <c r="H4" s="420"/>
      <c r="I4" s="420"/>
      <c r="J4" s="420"/>
      <c r="K4" s="420"/>
      <c r="L4" s="419"/>
    </row>
    <row r="5" spans="1:17" ht="42.75">
      <c r="A5" s="418" t="s">
        <v>132</v>
      </c>
      <c r="B5" s="418" t="s">
        <v>1</v>
      </c>
      <c r="C5" s="418" t="s">
        <v>1038</v>
      </c>
      <c r="D5" s="418" t="s">
        <v>1491</v>
      </c>
      <c r="E5" s="418" t="s">
        <v>1130</v>
      </c>
      <c r="F5" s="418" t="s">
        <v>1492</v>
      </c>
      <c r="G5" s="418" t="s">
        <v>1708</v>
      </c>
      <c r="H5" s="418" t="s">
        <v>1707</v>
      </c>
      <c r="I5" s="418" t="s">
        <v>1857</v>
      </c>
      <c r="J5" s="418" t="s">
        <v>1858</v>
      </c>
      <c r="K5" s="418" t="s">
        <v>1834</v>
      </c>
      <c r="L5" s="418" t="s">
        <v>1560</v>
      </c>
      <c r="M5" s="418" t="s">
        <v>763</v>
      </c>
      <c r="N5" s="418" t="s">
        <v>764</v>
      </c>
      <c r="O5" s="418" t="s">
        <v>1875</v>
      </c>
      <c r="P5" s="418" t="s">
        <v>763</v>
      </c>
      <c r="Q5" s="418" t="s">
        <v>764</v>
      </c>
    </row>
    <row r="6" spans="1:17">
      <c r="A6" s="417">
        <v>1</v>
      </c>
      <c r="B6" s="417">
        <v>2</v>
      </c>
      <c r="C6" s="417">
        <v>3</v>
      </c>
      <c r="D6" s="417">
        <v>4</v>
      </c>
      <c r="E6" s="417">
        <v>5</v>
      </c>
      <c r="F6" s="417">
        <v>4</v>
      </c>
      <c r="G6" s="417">
        <v>5</v>
      </c>
      <c r="H6" s="417">
        <v>6</v>
      </c>
      <c r="I6" s="417">
        <v>7</v>
      </c>
      <c r="J6" s="417">
        <v>8</v>
      </c>
      <c r="K6" s="417">
        <v>9</v>
      </c>
      <c r="L6" s="417">
        <v>10</v>
      </c>
      <c r="M6" s="417">
        <v>11</v>
      </c>
      <c r="N6" s="417">
        <v>12</v>
      </c>
      <c r="O6" s="417">
        <v>13</v>
      </c>
      <c r="P6" s="417">
        <v>14</v>
      </c>
      <c r="Q6" s="417">
        <v>15</v>
      </c>
    </row>
    <row r="7" spans="1:17" ht="57.75" customHeight="1">
      <c r="A7" s="402" t="s">
        <v>89</v>
      </c>
      <c r="B7" s="403" t="s">
        <v>786</v>
      </c>
      <c r="C7" s="402" t="s">
        <v>240</v>
      </c>
      <c r="D7" s="415">
        <f t="shared" ref="D7:I7" si="0">SUM(D8:D15)</f>
        <v>0</v>
      </c>
      <c r="E7" s="415">
        <f t="shared" si="0"/>
        <v>40002.485485751065</v>
      </c>
      <c r="F7" s="415">
        <f t="shared" si="0"/>
        <v>0</v>
      </c>
      <c r="G7" s="415">
        <f t="shared" si="0"/>
        <v>32359.210181781415</v>
      </c>
      <c r="H7" s="415">
        <f t="shared" si="0"/>
        <v>0</v>
      </c>
      <c r="I7" s="415">
        <v>32256.702178964799</v>
      </c>
      <c r="J7" s="415"/>
      <c r="K7" s="415">
        <v>36509.635421782143</v>
      </c>
      <c r="L7" s="415">
        <v>38472.318377784002</v>
      </c>
      <c r="M7" s="415">
        <v>21173.536251999998</v>
      </c>
      <c r="N7" s="415">
        <v>17298.782125784001</v>
      </c>
      <c r="O7" s="415">
        <v>41177.555372376279</v>
      </c>
      <c r="P7" s="415">
        <v>23100.328050931999</v>
      </c>
      <c r="Q7" s="415">
        <v>18077.227321444279</v>
      </c>
    </row>
    <row r="8" spans="1:17">
      <c r="A8" s="423" t="s">
        <v>893</v>
      </c>
      <c r="B8" s="403" t="s">
        <v>716</v>
      </c>
      <c r="C8" s="402" t="s">
        <v>240</v>
      </c>
      <c r="D8" s="412">
        <f>'4.8 - котельн.'!E18</f>
        <v>0</v>
      </c>
      <c r="E8" s="405">
        <f>'4.8 - котельн.'!H18</f>
        <v>29509.062766119107</v>
      </c>
      <c r="F8" s="405">
        <f>'4.8 - котельн.'!K18</f>
        <v>0</v>
      </c>
      <c r="G8" s="405">
        <f>'4.8 - котельн.'!N18</f>
        <v>32359.210181781415</v>
      </c>
      <c r="H8" s="405">
        <f>'4.8 - котельн.'!Q18</f>
        <v>0</v>
      </c>
      <c r="I8" s="405">
        <v>32256.702178964799</v>
      </c>
      <c r="J8" s="405"/>
      <c r="K8" s="405">
        <v>36509.635421782143</v>
      </c>
      <c r="L8" s="405">
        <v>38472.318377784002</v>
      </c>
      <c r="M8" s="424">
        <v>21173.536251999998</v>
      </c>
      <c r="N8" s="424">
        <v>17298.782125784001</v>
      </c>
      <c r="O8" s="424">
        <v>41177.555372376279</v>
      </c>
      <c r="P8" s="424">
        <v>23100.328050931999</v>
      </c>
      <c r="Q8" s="424">
        <v>18077.227321444279</v>
      </c>
    </row>
    <row r="9" spans="1:17" ht="45" customHeight="1">
      <c r="A9" s="402" t="s">
        <v>895</v>
      </c>
      <c r="B9" s="403" t="s">
        <v>1037</v>
      </c>
      <c r="C9" s="402" t="s">
        <v>240</v>
      </c>
      <c r="D9" s="406"/>
      <c r="E9" s="405"/>
      <c r="F9" s="405"/>
      <c r="G9" s="405"/>
      <c r="H9" s="405"/>
      <c r="I9" s="405"/>
      <c r="J9" s="405"/>
      <c r="K9" s="405"/>
      <c r="L9" s="405"/>
      <c r="M9" s="405"/>
      <c r="N9" s="405"/>
      <c r="O9" s="405"/>
      <c r="P9" s="405"/>
      <c r="Q9" s="405"/>
    </row>
    <row r="10" spans="1:17" ht="76.5" customHeight="1">
      <c r="A10" s="402" t="s">
        <v>896</v>
      </c>
      <c r="B10" s="403" t="s">
        <v>717</v>
      </c>
      <c r="C10" s="402" t="s">
        <v>240</v>
      </c>
      <c r="D10" s="406"/>
      <c r="E10" s="405"/>
      <c r="F10" s="405"/>
      <c r="G10" s="405"/>
      <c r="H10" s="405"/>
      <c r="I10" s="405"/>
      <c r="J10" s="405"/>
      <c r="K10" s="405"/>
      <c r="L10" s="405"/>
      <c r="M10" s="405"/>
      <c r="N10" s="405"/>
      <c r="O10" s="405"/>
      <c r="P10" s="405"/>
      <c r="Q10" s="405"/>
    </row>
    <row r="11" spans="1:17" ht="48" customHeight="1">
      <c r="A11" s="402" t="s">
        <v>897</v>
      </c>
      <c r="B11" s="403" t="s">
        <v>718</v>
      </c>
      <c r="C11" s="402" t="s">
        <v>240</v>
      </c>
      <c r="D11" s="412"/>
      <c r="E11" s="405"/>
      <c r="F11" s="405"/>
      <c r="G11" s="405"/>
      <c r="H11" s="405"/>
      <c r="I11" s="405"/>
      <c r="J11" s="405"/>
      <c r="K11" s="405"/>
      <c r="L11" s="405"/>
      <c r="M11" s="405"/>
      <c r="N11" s="405"/>
      <c r="O11" s="405"/>
      <c r="P11" s="405"/>
      <c r="Q11" s="405"/>
    </row>
    <row r="12" spans="1:17" ht="45">
      <c r="A12" s="402" t="s">
        <v>1036</v>
      </c>
      <c r="B12" s="403" t="s">
        <v>719</v>
      </c>
      <c r="C12" s="402" t="s">
        <v>240</v>
      </c>
      <c r="D12" s="406"/>
      <c r="E12" s="405"/>
      <c r="F12" s="405"/>
      <c r="G12" s="405"/>
      <c r="H12" s="405"/>
      <c r="I12" s="405"/>
      <c r="J12" s="405"/>
      <c r="K12" s="405"/>
      <c r="L12" s="405"/>
      <c r="M12" s="405"/>
      <c r="N12" s="405"/>
      <c r="O12" s="405"/>
      <c r="P12" s="405"/>
      <c r="Q12" s="405"/>
    </row>
    <row r="13" spans="1:17" ht="32.25" customHeight="1">
      <c r="A13" s="402" t="s">
        <v>1035</v>
      </c>
      <c r="B13" s="403" t="s">
        <v>720</v>
      </c>
      <c r="C13" s="402" t="s">
        <v>240</v>
      </c>
      <c r="D13" s="406"/>
      <c r="E13" s="415"/>
      <c r="F13" s="415"/>
      <c r="G13" s="415"/>
      <c r="H13" s="415"/>
      <c r="I13" s="415"/>
      <c r="J13" s="415"/>
      <c r="K13" s="415"/>
      <c r="L13" s="415"/>
      <c r="M13" s="415"/>
      <c r="N13" s="415"/>
      <c r="O13" s="415"/>
      <c r="P13" s="415"/>
      <c r="Q13" s="415"/>
    </row>
    <row r="14" spans="1:17" ht="33" customHeight="1">
      <c r="A14" s="402" t="s">
        <v>1034</v>
      </c>
      <c r="B14" s="403" t="s">
        <v>721</v>
      </c>
      <c r="C14" s="402" t="s">
        <v>240</v>
      </c>
      <c r="D14" s="406"/>
      <c r="E14" s="415"/>
      <c r="F14" s="415"/>
      <c r="G14" s="415"/>
      <c r="H14" s="415"/>
      <c r="I14" s="415"/>
      <c r="J14" s="415"/>
      <c r="K14" s="415"/>
      <c r="L14" s="415"/>
      <c r="M14" s="415"/>
      <c r="N14" s="415"/>
      <c r="O14" s="415"/>
      <c r="P14" s="415"/>
      <c r="Q14" s="415"/>
    </row>
    <row r="15" spans="1:17" ht="32.25" customHeight="1">
      <c r="A15" s="402" t="s">
        <v>1033</v>
      </c>
      <c r="B15" s="403" t="s">
        <v>722</v>
      </c>
      <c r="C15" s="402" t="s">
        <v>240</v>
      </c>
      <c r="D15" s="415">
        <f>D16+D17+D18</f>
        <v>0</v>
      </c>
      <c r="E15" s="415">
        <f>E16+E17+E18</f>
        <v>10493.422719631955</v>
      </c>
      <c r="F15" s="415">
        <f t="shared" ref="F15:L15" si="1">F16+F17+F18</f>
        <v>0</v>
      </c>
      <c r="G15" s="415">
        <f t="shared" si="1"/>
        <v>0</v>
      </c>
      <c r="H15" s="415">
        <f t="shared" si="1"/>
        <v>0</v>
      </c>
      <c r="I15" s="415">
        <v>0</v>
      </c>
      <c r="J15" s="415"/>
      <c r="K15" s="415">
        <v>0</v>
      </c>
      <c r="L15" s="415">
        <v>0</v>
      </c>
      <c r="M15" s="415">
        <v>0</v>
      </c>
      <c r="N15" s="415">
        <v>0</v>
      </c>
      <c r="O15" s="415">
        <v>0</v>
      </c>
      <c r="P15" s="415">
        <v>0</v>
      </c>
      <c r="Q15" s="415">
        <v>0</v>
      </c>
    </row>
    <row r="16" spans="1:17" ht="18" customHeight="1">
      <c r="A16" s="402" t="s">
        <v>1032</v>
      </c>
      <c r="B16" s="403" t="s">
        <v>723</v>
      </c>
      <c r="C16" s="402" t="s">
        <v>240</v>
      </c>
      <c r="D16" s="406"/>
      <c r="E16" s="405"/>
      <c r="F16" s="405"/>
      <c r="G16" s="405"/>
      <c r="H16" s="405"/>
      <c r="I16" s="405"/>
      <c r="J16" s="405"/>
      <c r="K16" s="405"/>
      <c r="L16" s="405"/>
      <c r="M16" s="405"/>
      <c r="N16" s="405"/>
      <c r="O16" s="405"/>
      <c r="P16" s="405"/>
      <c r="Q16" s="405"/>
    </row>
    <row r="17" spans="1:17" ht="30">
      <c r="A17" s="402" t="s">
        <v>1031</v>
      </c>
      <c r="B17" s="403" t="s">
        <v>724</v>
      </c>
      <c r="C17" s="402" t="s">
        <v>240</v>
      </c>
      <c r="D17" s="406"/>
      <c r="E17" s="405"/>
      <c r="F17" s="405"/>
      <c r="G17" s="405"/>
      <c r="H17" s="405"/>
      <c r="I17" s="405"/>
      <c r="J17" s="405"/>
      <c r="K17" s="405"/>
      <c r="L17" s="405"/>
      <c r="M17" s="405"/>
      <c r="N17" s="405"/>
      <c r="O17" s="405"/>
      <c r="P17" s="405"/>
      <c r="Q17" s="405"/>
    </row>
    <row r="18" spans="1:17" s="411" customFormat="1">
      <c r="A18" s="413" t="s">
        <v>1030</v>
      </c>
      <c r="B18" s="414" t="s">
        <v>725</v>
      </c>
      <c r="C18" s="413" t="s">
        <v>240</v>
      </c>
      <c r="D18" s="405">
        <f>(D8+D11+D13+D14)*0.3556</f>
        <v>0</v>
      </c>
      <c r="E18" s="405">
        <f>(E8+E11+E13+E14)*0.3556</f>
        <v>10493.422719631955</v>
      </c>
      <c r="F18" s="405"/>
      <c r="G18" s="405"/>
      <c r="H18" s="405"/>
      <c r="I18" s="405"/>
      <c r="J18" s="405"/>
      <c r="K18" s="405"/>
      <c r="L18" s="405"/>
      <c r="M18" s="405"/>
      <c r="N18" s="405"/>
      <c r="O18" s="405"/>
      <c r="P18" s="405"/>
      <c r="Q18" s="405"/>
    </row>
    <row r="19" spans="1:17" s="410" customFormat="1" ht="43.5">
      <c r="A19" s="435" t="s">
        <v>91</v>
      </c>
      <c r="B19" s="436" t="s">
        <v>726</v>
      </c>
      <c r="C19" s="435" t="s">
        <v>727</v>
      </c>
      <c r="D19" s="437"/>
      <c r="E19" s="433"/>
      <c r="F19" s="433"/>
      <c r="G19" s="433"/>
      <c r="H19" s="433"/>
      <c r="I19" s="433"/>
      <c r="J19" s="433"/>
      <c r="K19" s="433"/>
      <c r="L19" s="433"/>
      <c r="M19" s="434"/>
      <c r="N19" s="433"/>
      <c r="O19" s="433"/>
      <c r="P19" s="433"/>
      <c r="Q19" s="433"/>
    </row>
    <row r="20" spans="1:17" ht="29.25" customHeight="1">
      <c r="A20" s="402" t="s">
        <v>93</v>
      </c>
      <c r="B20" s="403" t="s">
        <v>728</v>
      </c>
      <c r="C20" s="402" t="s">
        <v>240</v>
      </c>
      <c r="D20" s="409"/>
      <c r="E20" s="408"/>
      <c r="F20" s="408"/>
      <c r="G20" s="408"/>
      <c r="H20" s="408"/>
      <c r="I20" s="408"/>
      <c r="J20" s="408"/>
      <c r="K20" s="408"/>
      <c r="L20" s="408"/>
      <c r="M20" s="408"/>
      <c r="N20" s="408"/>
      <c r="O20" s="408"/>
      <c r="P20" s="408"/>
      <c r="Q20" s="408"/>
    </row>
    <row r="21" spans="1:17" ht="30.75" customHeight="1">
      <c r="A21" s="402" t="s">
        <v>95</v>
      </c>
      <c r="B21" s="403" t="s">
        <v>729</v>
      </c>
      <c r="C21" s="402" t="s">
        <v>727</v>
      </c>
      <c r="D21" s="405">
        <f>'4.8 - котельн.'!C18</f>
        <v>0</v>
      </c>
      <c r="E21" s="405">
        <f>'4.8 - котельн.'!F18</f>
        <v>964225</v>
      </c>
      <c r="F21" s="405">
        <f>'4.8 - котельн.'!I18/1000</f>
        <v>0</v>
      </c>
      <c r="G21" s="405">
        <f>'4.8 - котельн.'!L18/1000</f>
        <v>902.25522999999998</v>
      </c>
      <c r="H21" s="405">
        <f>'4.8 - котельн.'!O18/1000</f>
        <v>0</v>
      </c>
      <c r="I21" s="405">
        <v>807.65335000000005</v>
      </c>
      <c r="J21" s="405"/>
      <c r="K21" s="405">
        <v>861.75080000000003</v>
      </c>
      <c r="L21" s="405">
        <v>861.75080000000003</v>
      </c>
      <c r="M21" s="405">
        <v>492.7516</v>
      </c>
      <c r="N21" s="405">
        <v>368.99920000000003</v>
      </c>
      <c r="O21" s="405">
        <v>861.75080000000003</v>
      </c>
      <c r="P21" s="405">
        <v>492.7516</v>
      </c>
      <c r="Q21" s="405">
        <v>368.99920000000003</v>
      </c>
    </row>
    <row r="22" spans="1:17" ht="62.25" customHeight="1">
      <c r="A22" s="402" t="s">
        <v>97</v>
      </c>
      <c r="B22" s="403" t="s">
        <v>730</v>
      </c>
      <c r="C22" s="402" t="s">
        <v>240</v>
      </c>
      <c r="D22" s="406"/>
      <c r="E22" s="405"/>
      <c r="F22" s="405"/>
      <c r="G22" s="405"/>
      <c r="H22" s="405"/>
      <c r="I22" s="405"/>
      <c r="J22" s="405"/>
      <c r="K22" s="405"/>
      <c r="L22" s="405"/>
      <c r="M22" s="405"/>
      <c r="N22" s="405"/>
      <c r="O22" s="405"/>
      <c r="P22" s="405"/>
      <c r="Q22" s="405"/>
    </row>
    <row r="23" spans="1:17">
      <c r="A23" s="402" t="s">
        <v>582</v>
      </c>
      <c r="B23" s="407" t="s">
        <v>1029</v>
      </c>
      <c r="C23" s="402" t="s">
        <v>240</v>
      </c>
      <c r="D23" s="405">
        <f>(D7+D20+D22)*0.25</f>
        <v>0</v>
      </c>
      <c r="E23" s="405">
        <f>(E7+E20+E22)*0.25</f>
        <v>10000.621371437766</v>
      </c>
      <c r="F23" s="405"/>
      <c r="G23" s="405"/>
      <c r="H23" s="405"/>
      <c r="I23" s="405"/>
      <c r="J23" s="405"/>
      <c r="K23" s="405"/>
      <c r="L23" s="405"/>
      <c r="M23" s="405"/>
      <c r="N23" s="405"/>
      <c r="O23" s="405"/>
      <c r="P23" s="405"/>
      <c r="Q23" s="405"/>
    </row>
    <row r="24" spans="1:17" ht="43.5">
      <c r="A24" s="398" t="s">
        <v>615</v>
      </c>
      <c r="B24" s="399" t="s">
        <v>731</v>
      </c>
      <c r="C24" s="398" t="s">
        <v>240</v>
      </c>
      <c r="D24" s="404">
        <f>D7+D20+D22+D23</f>
        <v>0</v>
      </c>
      <c r="E24" s="404">
        <f>E7+E20+E22+E23</f>
        <v>50003.106857188832</v>
      </c>
      <c r="F24" s="404">
        <f t="shared" ref="F24:L24" si="2">F7+F20+F22+F23</f>
        <v>0</v>
      </c>
      <c r="G24" s="404">
        <f t="shared" si="2"/>
        <v>32359.210181781415</v>
      </c>
      <c r="H24" s="404">
        <f t="shared" si="2"/>
        <v>0</v>
      </c>
      <c r="I24" s="404">
        <f t="shared" si="2"/>
        <v>32256.702178964799</v>
      </c>
      <c r="J24" s="404"/>
      <c r="K24" s="404">
        <f t="shared" ref="K24" si="3">K7+K20+K22+K23</f>
        <v>36509.635421782143</v>
      </c>
      <c r="L24" s="404">
        <f t="shared" si="2"/>
        <v>38472.318377784002</v>
      </c>
      <c r="M24" s="404">
        <f>M7+M20+M22+M23</f>
        <v>21173.536251999998</v>
      </c>
      <c r="N24" s="404">
        <f>N7+N20+N22+N23</f>
        <v>17298.782125784001</v>
      </c>
      <c r="O24" s="404">
        <f t="shared" ref="O24:Q24" si="4">O7+O20+O22+O23</f>
        <v>41177.555372376279</v>
      </c>
      <c r="P24" s="404">
        <f t="shared" si="4"/>
        <v>23100.328050931999</v>
      </c>
      <c r="Q24" s="404">
        <f t="shared" si="4"/>
        <v>18077.227321444279</v>
      </c>
    </row>
    <row r="25" spans="1:17" ht="61.5" customHeight="1">
      <c r="A25" s="402" t="s">
        <v>649</v>
      </c>
      <c r="B25" s="403" t="s">
        <v>732</v>
      </c>
      <c r="C25" s="402" t="s">
        <v>1027</v>
      </c>
      <c r="D25" s="400" t="e">
        <f>D24/(D19+D21)</f>
        <v>#DIV/0!</v>
      </c>
      <c r="E25" s="400">
        <f>E24/(E19+E21)</f>
        <v>5.1858338932498985E-2</v>
      </c>
      <c r="F25" s="400" t="e">
        <f t="shared" ref="F25:G25" si="5">F24/(F19+F21)</f>
        <v>#DIV/0!</v>
      </c>
      <c r="G25" s="400">
        <f t="shared" si="5"/>
        <v>35.864807546509226</v>
      </c>
      <c r="H25" s="400" t="e">
        <f t="shared" ref="H25:I25" si="6">H24/(H19+H21)</f>
        <v>#DIV/0!</v>
      </c>
      <c r="I25" s="400">
        <f t="shared" si="6"/>
        <v>39.938795745680736</v>
      </c>
      <c r="J25" s="400"/>
      <c r="K25" s="400">
        <f t="shared" ref="K25" si="7">K24/(K19+K21)</f>
        <v>42.366813493857087</v>
      </c>
      <c r="L25" s="400">
        <f>'4.8 - котельн.'!AB18*1000+0.09</f>
        <v>44.744366303789924</v>
      </c>
      <c r="M25" s="400">
        <f>M24/(M19+M21)</f>
        <v>42.97</v>
      </c>
      <c r="N25" s="400">
        <f>N24/(N19+N21)</f>
        <v>46.880269999999996</v>
      </c>
      <c r="O25" s="400">
        <f t="shared" ref="O25:Q25" si="8">O24/(O19+O21)</f>
        <v>47.783599820709512</v>
      </c>
      <c r="P25" s="400">
        <f t="shared" si="8"/>
        <v>46.880269999999996</v>
      </c>
      <c r="Q25" s="400">
        <f t="shared" si="8"/>
        <v>48.989882149999993</v>
      </c>
    </row>
    <row r="26" spans="1:17" ht="72">
      <c r="A26" s="398" t="s">
        <v>1028</v>
      </c>
      <c r="B26" s="399" t="s">
        <v>734</v>
      </c>
      <c r="C26" s="398" t="s">
        <v>1027</v>
      </c>
      <c r="D26" s="396" t="e">
        <f>D25</f>
        <v>#DIV/0!</v>
      </c>
      <c r="E26" s="396">
        <f>E25</f>
        <v>5.1858338932498985E-2</v>
      </c>
      <c r="F26" s="396">
        <v>34.96</v>
      </c>
      <c r="G26" s="396">
        <f t="shared" ref="G26:L26" si="9">G25</f>
        <v>35.864807546509226</v>
      </c>
      <c r="H26" s="396" t="e">
        <f t="shared" ref="H26:I26" si="10">H25</f>
        <v>#DIV/0!</v>
      </c>
      <c r="I26" s="396">
        <f t="shared" si="10"/>
        <v>39.938795745680736</v>
      </c>
      <c r="J26" s="396"/>
      <c r="K26" s="396">
        <f t="shared" ref="K26" si="11">K25</f>
        <v>42.366813493857087</v>
      </c>
      <c r="L26" s="396">
        <f t="shared" si="9"/>
        <v>44.744366303789924</v>
      </c>
      <c r="M26" s="396">
        <f>M25</f>
        <v>42.97</v>
      </c>
      <c r="N26" s="396">
        <f>N25</f>
        <v>46.880269999999996</v>
      </c>
      <c r="O26" s="396">
        <f t="shared" ref="O26:Q26" si="12">O25</f>
        <v>47.783599820709512</v>
      </c>
      <c r="P26" s="396">
        <f t="shared" si="12"/>
        <v>46.880269999999996</v>
      </c>
      <c r="Q26" s="396">
        <f t="shared" si="12"/>
        <v>48.989882149999993</v>
      </c>
    </row>
    <row r="27" spans="1:17">
      <c r="B27" s="394"/>
    </row>
    <row r="28" spans="1:17" ht="17.25">
      <c r="B28" s="395"/>
    </row>
    <row r="29" spans="1:17">
      <c r="A29" s="26" t="s">
        <v>88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</row>
    <row r="30" spans="1:17" ht="46.5" customHeight="1">
      <c r="A30" s="804" t="s">
        <v>89</v>
      </c>
      <c r="B30" s="1842" t="s">
        <v>735</v>
      </c>
      <c r="C30" s="1842"/>
      <c r="D30" s="1842"/>
      <c r="E30" s="1842"/>
      <c r="F30" s="1842"/>
      <c r="G30" s="1842"/>
      <c r="H30" s="1842"/>
      <c r="I30" s="1842"/>
      <c r="J30" s="1842"/>
      <c r="K30" s="1842"/>
      <c r="L30" s="1842"/>
    </row>
    <row r="31" spans="1:17">
      <c r="A31" s="26" t="s">
        <v>91</v>
      </c>
      <c r="B31" s="26" t="s">
        <v>736</v>
      </c>
      <c r="C31" s="26"/>
      <c r="D31" s="26"/>
      <c r="E31" s="26"/>
      <c r="F31" s="26"/>
      <c r="G31" s="26"/>
      <c r="H31" s="26"/>
      <c r="I31" s="26"/>
      <c r="J31" s="26"/>
      <c r="K31" s="26"/>
      <c r="L31" s="26"/>
    </row>
    <row r="32" spans="1:17">
      <c r="A32" s="26" t="s">
        <v>93</v>
      </c>
      <c r="B32" s="26" t="s">
        <v>737</v>
      </c>
      <c r="C32" s="26"/>
      <c r="D32" s="26"/>
      <c r="E32" s="26"/>
      <c r="F32" s="26"/>
      <c r="G32" s="26"/>
      <c r="H32" s="26"/>
      <c r="I32" s="26"/>
      <c r="J32" s="26"/>
      <c r="K32" s="26"/>
      <c r="L32" s="26"/>
    </row>
    <row r="33" spans="1:12">
      <c r="A33" s="26" t="s">
        <v>95</v>
      </c>
      <c r="B33" s="26" t="s">
        <v>738</v>
      </c>
      <c r="C33" s="26"/>
      <c r="D33" s="26"/>
      <c r="E33" s="26"/>
      <c r="F33" s="26"/>
      <c r="G33" s="26"/>
      <c r="H33" s="26"/>
      <c r="I33" s="26"/>
      <c r="J33" s="26"/>
      <c r="K33" s="26"/>
      <c r="L33" s="26"/>
    </row>
    <row r="34" spans="1:12">
      <c r="B34" s="394"/>
    </row>
    <row r="35" spans="1:12">
      <c r="B35" s="394"/>
    </row>
    <row r="36" spans="1:12">
      <c r="B36" s="394"/>
    </row>
    <row r="37" spans="1:12">
      <c r="B37" s="394"/>
    </row>
    <row r="38" spans="1:12">
      <c r="B38" s="394"/>
    </row>
    <row r="39" spans="1:12">
      <c r="B39" s="394"/>
    </row>
    <row r="40" spans="1:12">
      <c r="B40" s="394"/>
    </row>
    <row r="41" spans="1:12">
      <c r="B41" s="394"/>
    </row>
    <row r="42" spans="1:12">
      <c r="B42" s="394"/>
    </row>
  </sheetData>
  <mergeCells count="2">
    <mergeCell ref="A3:N3"/>
    <mergeCell ref="B30:L30"/>
  </mergeCells>
  <pageMargins left="0.70866141732283472" right="0.15748031496062992" top="0.74803149606299213" bottom="0.74803149606299213" header="0.31496062992125984" footer="0.31496062992125984"/>
  <pageSetup paperSize="9" scale="50" orientation="portrait" r:id="rId1"/>
  <colBreaks count="1" manualBreakCount="1">
    <brk id="17" max="1048575" man="1"/>
  </colBreaks>
  <legacy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Q30"/>
  <sheetViews>
    <sheetView view="pageBreakPreview" zoomScaleNormal="100" zoomScaleSheetLayoutView="100" workbookViewId="0">
      <pane xSplit="2" ySplit="5" topLeftCell="F6" activePane="bottomRight" state="frozen"/>
      <selection activeCell="A12" sqref="A12:F19"/>
      <selection pane="topRight" activeCell="A12" sqref="A12:F19"/>
      <selection pane="bottomLeft" activeCell="A12" sqref="A12:F19"/>
      <selection pane="bottomRight" activeCell="R7" sqref="R7"/>
    </sheetView>
  </sheetViews>
  <sheetFormatPr defaultRowHeight="15"/>
  <cols>
    <col min="1" max="1" width="9.140625" style="393"/>
    <col min="2" max="2" width="42.5703125" style="393" customWidth="1"/>
    <col min="3" max="3" width="11.85546875" style="393" customWidth="1"/>
    <col min="4" max="4" width="11.5703125" style="393" hidden="1" customWidth="1"/>
    <col min="5" max="6" width="12.5703125" style="393" hidden="1" customWidth="1"/>
    <col min="7" max="7" width="13.85546875" style="393" hidden="1" customWidth="1"/>
    <col min="8" max="8" width="12.85546875" style="393" customWidth="1"/>
    <col min="9" max="11" width="13.85546875" style="393" customWidth="1"/>
    <col min="12" max="12" width="15.7109375" style="393" customWidth="1"/>
    <col min="13" max="13" width="11.140625" style="393" customWidth="1"/>
    <col min="14" max="14" width="11" style="393" customWidth="1"/>
    <col min="15" max="15" width="13.28515625" style="393" customWidth="1"/>
    <col min="16" max="16" width="12" style="393" customWidth="1"/>
    <col min="17" max="17" width="11.5703125" style="393" customWidth="1"/>
    <col min="18" max="16384" width="9.140625" style="393"/>
  </cols>
  <sheetData>
    <row r="1" spans="1:17" ht="16.5">
      <c r="A1" s="422" t="s">
        <v>864</v>
      </c>
      <c r="L1" s="419"/>
      <c r="N1" s="419"/>
      <c r="Q1" s="419" t="s">
        <v>739</v>
      </c>
    </row>
    <row r="3" spans="1:17" ht="30.75" customHeight="1">
      <c r="A3" s="2064" t="s">
        <v>1500</v>
      </c>
      <c r="B3" s="2064"/>
      <c r="C3" s="2064"/>
      <c r="D3" s="2064"/>
      <c r="E3" s="2064"/>
      <c r="F3" s="2064"/>
      <c r="G3" s="2064"/>
      <c r="H3" s="2064"/>
      <c r="I3" s="2064"/>
      <c r="J3" s="2064"/>
      <c r="K3" s="2064"/>
      <c r="L3" s="2064"/>
      <c r="M3" s="2066"/>
      <c r="N3" s="2066"/>
    </row>
    <row r="4" spans="1:17">
      <c r="A4" s="421"/>
      <c r="B4" s="420"/>
      <c r="C4" s="420"/>
      <c r="D4" s="420"/>
      <c r="E4" s="420"/>
      <c r="F4" s="420"/>
      <c r="G4" s="420"/>
      <c r="H4" s="420"/>
      <c r="I4" s="420"/>
      <c r="J4" s="420"/>
      <c r="K4" s="420"/>
      <c r="L4" s="420"/>
    </row>
    <row r="5" spans="1:17" ht="42.75">
      <c r="A5" s="418" t="s">
        <v>132</v>
      </c>
      <c r="B5" s="418" t="s">
        <v>1</v>
      </c>
      <c r="C5" s="418" t="s">
        <v>1038</v>
      </c>
      <c r="D5" s="418" t="s">
        <v>1491</v>
      </c>
      <c r="E5" s="418" t="s">
        <v>1130</v>
      </c>
      <c r="F5" s="418" t="s">
        <v>1492</v>
      </c>
      <c r="G5" s="418" t="s">
        <v>1708</v>
      </c>
      <c r="H5" s="418" t="s">
        <v>1707</v>
      </c>
      <c r="I5" s="418" t="s">
        <v>1857</v>
      </c>
      <c r="J5" s="418" t="s">
        <v>1858</v>
      </c>
      <c r="K5" s="418" t="s">
        <v>1834</v>
      </c>
      <c r="L5" s="418" t="s">
        <v>1560</v>
      </c>
      <c r="M5" s="418" t="s">
        <v>763</v>
      </c>
      <c r="N5" s="418" t="s">
        <v>764</v>
      </c>
      <c r="O5" s="418" t="s">
        <v>1875</v>
      </c>
      <c r="P5" s="418" t="s">
        <v>763</v>
      </c>
      <c r="Q5" s="418" t="s">
        <v>764</v>
      </c>
    </row>
    <row r="6" spans="1:17">
      <c r="A6" s="417">
        <v>1</v>
      </c>
      <c r="B6" s="417">
        <v>2</v>
      </c>
      <c r="C6" s="417">
        <v>3</v>
      </c>
      <c r="D6" s="417">
        <v>4</v>
      </c>
      <c r="E6" s="417">
        <v>5</v>
      </c>
      <c r="F6" s="417">
        <v>4</v>
      </c>
      <c r="G6" s="417">
        <v>5</v>
      </c>
      <c r="H6" s="417">
        <v>6</v>
      </c>
      <c r="I6" s="417">
        <v>7</v>
      </c>
      <c r="J6" s="417">
        <v>8</v>
      </c>
      <c r="K6" s="417">
        <v>9</v>
      </c>
      <c r="L6" s="417">
        <v>10</v>
      </c>
      <c r="M6" s="417">
        <v>11</v>
      </c>
      <c r="N6" s="417">
        <v>12</v>
      </c>
      <c r="O6" s="417">
        <v>13</v>
      </c>
      <c r="P6" s="417">
        <v>14</v>
      </c>
      <c r="Q6" s="417">
        <v>15</v>
      </c>
    </row>
    <row r="7" spans="1:17" ht="30">
      <c r="A7" s="402" t="s">
        <v>89</v>
      </c>
      <c r="B7" s="403" t="s">
        <v>1496</v>
      </c>
      <c r="C7" s="402"/>
      <c r="D7" s="409"/>
      <c r="E7" s="409"/>
      <c r="F7" s="409"/>
      <c r="G7" s="409"/>
      <c r="H7" s="409"/>
      <c r="I7" s="409"/>
      <c r="J7" s="409"/>
      <c r="K7" s="409"/>
      <c r="L7" s="409"/>
      <c r="M7" s="415"/>
      <c r="N7" s="415"/>
      <c r="O7" s="409"/>
      <c r="P7" s="415"/>
      <c r="Q7" s="415"/>
    </row>
    <row r="8" spans="1:17">
      <c r="A8" s="423" t="s">
        <v>893</v>
      </c>
      <c r="B8" s="403" t="s">
        <v>740</v>
      </c>
      <c r="C8" s="402" t="s">
        <v>1027</v>
      </c>
      <c r="D8" s="401" t="e">
        <f>'6.6_теплонос.ктэц_2 контур'!D26</f>
        <v>#DIV/0!</v>
      </c>
      <c r="E8" s="401">
        <f>'6.6_теплонос.ктэц_2 контур'!E26</f>
        <v>5.2512097346227568E-2</v>
      </c>
      <c r="F8" s="401">
        <f>'6.6_теплонос.ктэц_2 контур'!F26</f>
        <v>34.96</v>
      </c>
      <c r="G8" s="401">
        <f>'6.6_теплонос.ктэц_2 контур'!G26</f>
        <v>35.786489339888192</v>
      </c>
      <c r="H8" s="401" t="e">
        <f>'6.6_теплонос.ктэц_2 контур'!H26</f>
        <v>#DIV/0!</v>
      </c>
      <c r="I8" s="401">
        <v>46.220147322273768</v>
      </c>
      <c r="J8" s="401">
        <v>0</v>
      </c>
      <c r="K8" s="401">
        <v>42.206717082712515</v>
      </c>
      <c r="L8" s="401">
        <v>44.504928875668064</v>
      </c>
      <c r="M8" s="401">
        <v>42.97</v>
      </c>
      <c r="N8" s="401">
        <v>46.88027000000001</v>
      </c>
      <c r="O8" s="401">
        <v>47.589681353306844</v>
      </c>
      <c r="P8" s="401">
        <v>46.880270000000003</v>
      </c>
      <c r="Q8" s="401">
        <v>48.98988215</v>
      </c>
    </row>
    <row r="9" spans="1:17" ht="45" customHeight="1">
      <c r="A9" s="402" t="s">
        <v>895</v>
      </c>
      <c r="B9" s="403" t="s">
        <v>1497</v>
      </c>
      <c r="C9" s="402" t="s">
        <v>1041</v>
      </c>
      <c r="D9" s="868">
        <f>'6.6_теплонос.ктэц_2 контур'!D21</f>
        <v>0</v>
      </c>
      <c r="E9" s="868">
        <f>'6.6_теплонос.ктэц_2 контур'!E21</f>
        <v>5739</v>
      </c>
      <c r="F9" s="868">
        <f>'6.6_теплонос.ктэц_2 контур'!F21</f>
        <v>0</v>
      </c>
      <c r="G9" s="415">
        <f>'6.6_теплонос.ктэц_2 контур'!G21</f>
        <v>1180.194</v>
      </c>
      <c r="H9" s="415">
        <f>'6.6_теплонос.ктэц_2 контур'!H21</f>
        <v>0</v>
      </c>
      <c r="I9" s="415">
        <v>913.779</v>
      </c>
      <c r="J9" s="415">
        <v>0</v>
      </c>
      <c r="K9" s="415">
        <v>763.77800000000002</v>
      </c>
      <c r="L9" s="415">
        <v>763.77800000000002</v>
      </c>
      <c r="M9" s="415">
        <v>506.93799999999999</v>
      </c>
      <c r="N9" s="415">
        <v>256.83999999999997</v>
      </c>
      <c r="O9" s="415">
        <v>763.77800000000002</v>
      </c>
      <c r="P9" s="415">
        <v>506.93799999999999</v>
      </c>
      <c r="Q9" s="415">
        <v>256.83999999999997</v>
      </c>
    </row>
    <row r="10" spans="1:17" ht="30">
      <c r="A10" s="402" t="s">
        <v>91</v>
      </c>
      <c r="B10" s="403" t="s">
        <v>1498</v>
      </c>
      <c r="C10" s="402"/>
      <c r="D10" s="409"/>
      <c r="E10" s="409"/>
      <c r="F10" s="409"/>
      <c r="G10" s="409"/>
      <c r="H10" s="409"/>
      <c r="I10" s="409"/>
      <c r="J10" s="409"/>
      <c r="K10" s="409"/>
      <c r="L10" s="409"/>
      <c r="M10" s="409"/>
      <c r="N10" s="409"/>
      <c r="O10" s="409"/>
      <c r="P10" s="409"/>
      <c r="Q10" s="409"/>
    </row>
    <row r="11" spans="1:17" ht="16.5" customHeight="1">
      <c r="A11" s="402" t="s">
        <v>1044</v>
      </c>
      <c r="B11" s="403" t="s">
        <v>740</v>
      </c>
      <c r="C11" s="402" t="s">
        <v>1027</v>
      </c>
      <c r="D11" s="401" t="e">
        <f>'6.6_теплонос.котельн_2 контур'!D26</f>
        <v>#DIV/0!</v>
      </c>
      <c r="E11" s="401">
        <f>'6.6_теплонос.котельн_2 контур'!E26</f>
        <v>5.1858338932498985E-2</v>
      </c>
      <c r="F11" s="401">
        <f>'6.6_теплонос.котельн_2 контур'!F26</f>
        <v>34.96</v>
      </c>
      <c r="G11" s="401">
        <f>'6.6_теплонос.котельн_2 контур'!G26</f>
        <v>35.864807546509226</v>
      </c>
      <c r="H11" s="401" t="e">
        <f>'6.6_теплонос.котельн_2 контур'!H26</f>
        <v>#DIV/0!</v>
      </c>
      <c r="I11" s="401">
        <v>39.938795745680736</v>
      </c>
      <c r="J11" s="401">
        <v>0</v>
      </c>
      <c r="K11" s="401">
        <v>42.366813493857087</v>
      </c>
      <c r="L11" s="401">
        <v>44.744366303789924</v>
      </c>
      <c r="M11" s="401">
        <v>42.97</v>
      </c>
      <c r="N11" s="401">
        <v>46.880269999999996</v>
      </c>
      <c r="O11" s="401">
        <v>47.783599820709512</v>
      </c>
      <c r="P11" s="401">
        <v>46.880269999999996</v>
      </c>
      <c r="Q11" s="401">
        <v>48.989882149999993</v>
      </c>
    </row>
    <row r="12" spans="1:17" ht="48.75" customHeight="1">
      <c r="A12" s="402" t="s">
        <v>1043</v>
      </c>
      <c r="B12" s="403" t="s">
        <v>1499</v>
      </c>
      <c r="C12" s="402" t="s">
        <v>1041</v>
      </c>
      <c r="D12" s="868">
        <f>'6.6_теплонос.котельн_2 контур'!D21</f>
        <v>0</v>
      </c>
      <c r="E12" s="868">
        <f>'6.6_теплонос.котельн_2 контур'!E21</f>
        <v>964225</v>
      </c>
      <c r="F12" s="868">
        <f>'6.6_теплонос.котельн_2 контур'!F21</f>
        <v>0</v>
      </c>
      <c r="G12" s="415">
        <f>'6.6_теплонос.котельн_2 контур'!G21</f>
        <v>902.25522999999998</v>
      </c>
      <c r="H12" s="415">
        <f>'6.6_теплонос.котельн_2 контур'!H21</f>
        <v>0</v>
      </c>
      <c r="I12" s="415">
        <v>807.65335000000005</v>
      </c>
      <c r="J12" s="415">
        <v>0</v>
      </c>
      <c r="K12" s="415">
        <v>861.75080000000003</v>
      </c>
      <c r="L12" s="415">
        <v>861.75080000000003</v>
      </c>
      <c r="M12" s="415">
        <v>492.7516</v>
      </c>
      <c r="N12" s="415">
        <v>368.99920000000003</v>
      </c>
      <c r="O12" s="415">
        <v>861.75080000000003</v>
      </c>
      <c r="P12" s="415">
        <v>492.7516</v>
      </c>
      <c r="Q12" s="415">
        <v>368.99920000000003</v>
      </c>
    </row>
    <row r="13" spans="1:17" ht="45">
      <c r="A13" s="402" t="s">
        <v>93</v>
      </c>
      <c r="B13" s="403" t="s">
        <v>741</v>
      </c>
      <c r="C13" s="402" t="s">
        <v>1041</v>
      </c>
      <c r="D13" s="868">
        <f t="shared" ref="D13:I13" si="0">D9+D12</f>
        <v>0</v>
      </c>
      <c r="E13" s="868">
        <f t="shared" si="0"/>
        <v>969964</v>
      </c>
      <c r="F13" s="868">
        <f t="shared" si="0"/>
        <v>0</v>
      </c>
      <c r="G13" s="415">
        <f t="shared" si="0"/>
        <v>2082.4492300000002</v>
      </c>
      <c r="H13" s="415">
        <f t="shared" si="0"/>
        <v>0</v>
      </c>
      <c r="I13" s="415">
        <v>1721.43235</v>
      </c>
      <c r="J13" s="415">
        <v>0</v>
      </c>
      <c r="K13" s="415">
        <v>1625.5288</v>
      </c>
      <c r="L13" s="415">
        <v>1625.5288</v>
      </c>
      <c r="M13" s="415">
        <v>999.68959999999993</v>
      </c>
      <c r="N13" s="415">
        <v>625.83920000000001</v>
      </c>
      <c r="O13" s="415">
        <v>1625.5288</v>
      </c>
      <c r="P13" s="415">
        <v>999.68959999999993</v>
      </c>
      <c r="Q13" s="415">
        <v>625.83920000000001</v>
      </c>
    </row>
    <row r="14" spans="1:17" ht="33" customHeight="1">
      <c r="A14" s="398" t="s">
        <v>95</v>
      </c>
      <c r="B14" s="399" t="s">
        <v>742</v>
      </c>
      <c r="C14" s="398" t="s">
        <v>1027</v>
      </c>
      <c r="D14" s="397" t="e">
        <f t="shared" ref="D14:I14" si="1">(D8*D9+D11*D12)/D13</f>
        <v>#DIV/0!</v>
      </c>
      <c r="E14" s="397">
        <f t="shared" si="1"/>
        <v>5.1862207034342342E-2</v>
      </c>
      <c r="F14" s="397">
        <v>34.96</v>
      </c>
      <c r="G14" s="397">
        <f t="shared" si="1"/>
        <v>35.820421985404849</v>
      </c>
      <c r="H14" s="397" t="e">
        <f t="shared" si="1"/>
        <v>#DIV/0!</v>
      </c>
      <c r="I14" s="397">
        <f t="shared" si="1"/>
        <v>43.27309300244346</v>
      </c>
      <c r="J14" s="397" t="e">
        <f t="shared" ref="J14:K14" si="2">(J8*J9+J11*J12)/J13</f>
        <v>#DIV/0!</v>
      </c>
      <c r="K14" s="397">
        <f t="shared" si="2"/>
        <v>42.291589900949241</v>
      </c>
      <c r="L14" s="397">
        <f t="shared" ref="L14:Q14" si="3">(L8*L9+L11*L12)/L13</f>
        <v>44.631863197123309</v>
      </c>
      <c r="M14" s="397">
        <f t="shared" si="3"/>
        <v>42.97</v>
      </c>
      <c r="N14" s="397">
        <f t="shared" si="3"/>
        <v>46.880270000000003</v>
      </c>
      <c r="O14" s="397">
        <f t="shared" si="3"/>
        <v>47.692484450009303</v>
      </c>
      <c r="P14" s="397">
        <f t="shared" si="3"/>
        <v>46.880270000000003</v>
      </c>
      <c r="Q14" s="397">
        <f t="shared" si="3"/>
        <v>48.98988215</v>
      </c>
    </row>
    <row r="15" spans="1:17">
      <c r="B15" s="394"/>
    </row>
    <row r="16" spans="1:17">
      <c r="B16" s="394"/>
    </row>
    <row r="17" spans="1:11">
      <c r="A17" s="26" t="s">
        <v>88</v>
      </c>
      <c r="B17" s="26"/>
      <c r="C17" s="48"/>
      <c r="D17" s="26"/>
      <c r="E17" s="26"/>
      <c r="F17" s="26"/>
      <c r="G17" s="26"/>
      <c r="H17" s="26"/>
      <c r="I17" s="26"/>
      <c r="J17" s="26"/>
      <c r="K17" s="26"/>
    </row>
    <row r="18" spans="1:11" ht="180">
      <c r="A18" s="804" t="s">
        <v>89</v>
      </c>
      <c r="B18" s="857" t="s">
        <v>743</v>
      </c>
      <c r="C18" s="39"/>
      <c r="D18" s="857"/>
      <c r="E18" s="857"/>
      <c r="F18" s="857"/>
      <c r="G18" s="857"/>
      <c r="H18" s="1294"/>
      <c r="I18" s="1294"/>
      <c r="J18" s="1590"/>
      <c r="K18" s="1590"/>
    </row>
    <row r="19" spans="1:11">
      <c r="A19" s="26" t="s">
        <v>91</v>
      </c>
      <c r="B19" s="26" t="s">
        <v>744</v>
      </c>
      <c r="C19" s="48"/>
      <c r="D19" s="26"/>
      <c r="E19" s="26"/>
      <c r="F19" s="26"/>
      <c r="G19" s="26"/>
      <c r="H19" s="26"/>
      <c r="I19" s="26"/>
      <c r="J19" s="26"/>
      <c r="K19" s="26"/>
    </row>
    <row r="20" spans="1:11">
      <c r="A20" s="26" t="s">
        <v>93</v>
      </c>
      <c r="B20" s="26" t="s">
        <v>745</v>
      </c>
      <c r="C20" s="48"/>
      <c r="D20" s="26"/>
      <c r="E20" s="26"/>
      <c r="F20" s="26"/>
      <c r="G20" s="26"/>
      <c r="H20" s="26"/>
      <c r="I20" s="26"/>
      <c r="J20" s="26"/>
      <c r="K20" s="26"/>
    </row>
    <row r="21" spans="1:11">
      <c r="B21" s="394"/>
    </row>
    <row r="22" spans="1:11">
      <c r="B22" s="394"/>
    </row>
    <row r="23" spans="1:11">
      <c r="B23" s="394"/>
    </row>
    <row r="24" spans="1:11">
      <c r="B24" s="394"/>
    </row>
    <row r="25" spans="1:11">
      <c r="B25" s="394"/>
    </row>
    <row r="26" spans="1:11">
      <c r="B26" s="394"/>
    </row>
    <row r="27" spans="1:11">
      <c r="B27" s="394"/>
    </row>
    <row r="28" spans="1:11">
      <c r="B28" s="394"/>
    </row>
    <row r="29" spans="1:11">
      <c r="B29" s="394"/>
    </row>
    <row r="30" spans="1:11">
      <c r="B30" s="394"/>
    </row>
  </sheetData>
  <mergeCells count="1">
    <mergeCell ref="A3:N3"/>
  </mergeCells>
  <pageMargins left="0.6" right="0.19685039370078741" top="0.74803149606299213" bottom="0.74803149606299213" header="0.31496062992125984" footer="0.31496062992125984"/>
  <pageSetup paperSize="9" scale="50" orientation="portrait" r:id="rId1"/>
</worksheet>
</file>

<file path=xl/worksheets/sheet1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Q21"/>
  <sheetViews>
    <sheetView view="pageBreakPreview" zoomScale="80" zoomScaleNormal="100" zoomScaleSheetLayoutView="80" workbookViewId="0">
      <pane xSplit="2" ySplit="5" topLeftCell="C6" activePane="bottomRight" state="frozen"/>
      <selection activeCell="A12" sqref="A12:F19"/>
      <selection pane="topRight" activeCell="A12" sqref="A12:F19"/>
      <selection pane="bottomLeft" activeCell="A12" sqref="A12:F19"/>
      <selection pane="bottomRight" activeCell="L9" sqref="L9"/>
    </sheetView>
  </sheetViews>
  <sheetFormatPr defaultColWidth="0.85546875" defaultRowHeight="15"/>
  <cols>
    <col min="1" max="1" width="6.42578125" style="1" customWidth="1"/>
    <col min="2" max="2" width="32.7109375" style="1" customWidth="1"/>
    <col min="3" max="3" width="16" style="21" customWidth="1"/>
    <col min="4" max="4" width="12.7109375" style="1" hidden="1" customWidth="1"/>
    <col min="5" max="6" width="12.42578125" style="1" hidden="1" customWidth="1"/>
    <col min="7" max="7" width="13.42578125" style="1" hidden="1" customWidth="1"/>
    <col min="8" max="8" width="12.7109375" style="1" customWidth="1"/>
    <col min="9" max="11" width="13.42578125" style="1" customWidth="1"/>
    <col min="12" max="12" width="15.7109375" style="1" customWidth="1"/>
    <col min="13" max="13" width="11.28515625" style="1" customWidth="1"/>
    <col min="14" max="14" width="11.140625" style="1" customWidth="1"/>
    <col min="15" max="15" width="13.28515625" style="1" customWidth="1"/>
    <col min="16" max="17" width="11.140625" style="1" customWidth="1"/>
    <col min="18" max="266" width="4" style="1" customWidth="1"/>
    <col min="267" max="16384" width="0.85546875" style="1"/>
  </cols>
  <sheetData>
    <row r="1" spans="1:17" s="5" customFormat="1" ht="19.5" customHeight="1">
      <c r="A1" s="74" t="s">
        <v>765</v>
      </c>
      <c r="C1" s="20"/>
      <c r="L1" s="6"/>
      <c r="N1" s="6"/>
      <c r="O1" s="6"/>
      <c r="P1" s="6"/>
      <c r="Q1" s="6" t="s">
        <v>746</v>
      </c>
    </row>
    <row r="2" spans="1:17" s="5" customFormat="1" ht="12.75" customHeight="1">
      <c r="A2" s="105" t="str">
        <f>'3.1'!$A$2</f>
        <v>ПКГО - Комбинированная выработка КТЭЦ</v>
      </c>
      <c r="C2" s="20"/>
    </row>
    <row r="3" spans="1:17" ht="49.5" customHeight="1">
      <c r="A3" s="1915" t="s">
        <v>1501</v>
      </c>
      <c r="B3" s="1915"/>
      <c r="C3" s="1915"/>
      <c r="D3" s="1915"/>
      <c r="E3" s="1915"/>
      <c r="F3" s="1915"/>
      <c r="G3" s="1915"/>
      <c r="H3" s="1915"/>
      <c r="I3" s="1915"/>
      <c r="J3" s="1915"/>
      <c r="K3" s="1915"/>
      <c r="L3" s="1915"/>
      <c r="M3" s="1962"/>
      <c r="N3" s="1962"/>
      <c r="O3" s="1962"/>
      <c r="P3" s="1962"/>
      <c r="Q3" s="1962"/>
    </row>
    <row r="4" spans="1:17" ht="12.75" customHeight="1"/>
    <row r="5" spans="1:17" s="3" customFormat="1" ht="42.75">
      <c r="A5" s="426" t="s">
        <v>132</v>
      </c>
      <c r="B5" s="426" t="s">
        <v>1</v>
      </c>
      <c r="C5" s="426" t="s">
        <v>621</v>
      </c>
      <c r="D5" s="418" t="s">
        <v>1491</v>
      </c>
      <c r="E5" s="418" t="s">
        <v>1130</v>
      </c>
      <c r="F5" s="975" t="s">
        <v>1709</v>
      </c>
      <c r="G5" s="418" t="s">
        <v>1708</v>
      </c>
      <c r="H5" s="1290" t="s">
        <v>1710</v>
      </c>
      <c r="I5" s="418" t="s">
        <v>1857</v>
      </c>
      <c r="J5" s="418" t="s">
        <v>1858</v>
      </c>
      <c r="K5" s="418" t="s">
        <v>1834</v>
      </c>
      <c r="L5" s="418" t="s">
        <v>1560</v>
      </c>
      <c r="M5" s="418" t="s">
        <v>763</v>
      </c>
      <c r="N5" s="418" t="s">
        <v>764</v>
      </c>
      <c r="O5" s="418" t="s">
        <v>1875</v>
      </c>
      <c r="P5" s="418" t="s">
        <v>763</v>
      </c>
      <c r="Q5" s="418" t="s">
        <v>764</v>
      </c>
    </row>
    <row r="6" spans="1:17" s="2" customFormat="1" ht="14.25" customHeight="1">
      <c r="A6" s="11">
        <v>1</v>
      </c>
      <c r="B6" s="11">
        <v>2</v>
      </c>
      <c r="C6" s="11">
        <v>3</v>
      </c>
      <c r="D6" s="11">
        <v>4</v>
      </c>
      <c r="E6" s="11">
        <v>5</v>
      </c>
      <c r="F6" s="11">
        <v>6</v>
      </c>
      <c r="G6" s="11">
        <v>7</v>
      </c>
      <c r="H6" s="11">
        <v>8</v>
      </c>
      <c r="I6" s="11">
        <v>9</v>
      </c>
      <c r="J6" s="11">
        <v>8</v>
      </c>
      <c r="K6" s="11">
        <v>9</v>
      </c>
      <c r="L6" s="11">
        <v>10</v>
      </c>
      <c r="M6" s="11">
        <v>11</v>
      </c>
      <c r="N6" s="13">
        <v>12</v>
      </c>
      <c r="O6" s="11">
        <v>13</v>
      </c>
      <c r="P6" s="11">
        <v>14</v>
      </c>
      <c r="Q6" s="13">
        <v>15</v>
      </c>
    </row>
    <row r="7" spans="1:17" s="36" customFormat="1" ht="15" customHeight="1">
      <c r="A7" s="82" t="s">
        <v>361</v>
      </c>
      <c r="B7" s="429" t="s">
        <v>747</v>
      </c>
      <c r="C7" s="430" t="s">
        <v>733</v>
      </c>
      <c r="D7" s="431"/>
      <c r="E7" s="431"/>
      <c r="F7" s="431"/>
      <c r="G7" s="431"/>
      <c r="H7" s="431"/>
      <c r="I7" s="431"/>
      <c r="J7" s="431"/>
      <c r="K7" s="431"/>
      <c r="L7" s="431"/>
      <c r="M7" s="431"/>
      <c r="N7" s="431"/>
      <c r="O7" s="431"/>
      <c r="P7" s="431"/>
      <c r="Q7" s="431"/>
    </row>
    <row r="8" spans="1:17" s="36" customFormat="1" ht="29.25" customHeight="1">
      <c r="A8" s="60" t="s">
        <v>5</v>
      </c>
      <c r="B8" s="59" t="s">
        <v>748</v>
      </c>
      <c r="C8" s="91" t="s">
        <v>733</v>
      </c>
      <c r="D8" s="869" t="e">
        <f>'6.7_теплонос._1 контур'!D14</f>
        <v>#DIV/0!</v>
      </c>
      <c r="E8" s="869" t="e">
        <f>'6.7_теплонос._1 контур'!E14</f>
        <v>#DIV/0!</v>
      </c>
      <c r="F8" s="869">
        <f>'6.7_теплонос._1 контур'!F14</f>
        <v>87.370765027322406</v>
      </c>
      <c r="G8" s="869">
        <f>'6.7_теплонос._1 контур'!G14</f>
        <v>94.661339893919632</v>
      </c>
      <c r="H8" s="869" t="e">
        <f>'6.7_теплонос._1 контур'!H14</f>
        <v>#DIV/0!</v>
      </c>
      <c r="I8" s="869">
        <v>115.10979247123075</v>
      </c>
      <c r="J8" s="869">
        <v>0</v>
      </c>
      <c r="K8" s="869">
        <v>101.48451177931837</v>
      </c>
      <c r="L8" s="869">
        <v>121.01190202251742</v>
      </c>
      <c r="M8" s="869">
        <v>107.95017013295001</v>
      </c>
      <c r="N8" s="1136">
        <v>140.60449985686853</v>
      </c>
      <c r="O8" s="869">
        <v>126.96829153447661</v>
      </c>
      <c r="P8" s="869">
        <v>114.08265602885427</v>
      </c>
      <c r="Q8" s="1136">
        <v>146.29674479291006</v>
      </c>
    </row>
    <row r="9" spans="1:17" s="36" customFormat="1" ht="44.25" customHeight="1">
      <c r="A9" s="60" t="s">
        <v>11</v>
      </c>
      <c r="B9" s="59" t="s">
        <v>749</v>
      </c>
      <c r="C9" s="91" t="s">
        <v>727</v>
      </c>
      <c r="D9" s="427">
        <f>'6.7_теплонос._1 контур'!D13</f>
        <v>0</v>
      </c>
      <c r="E9" s="427">
        <f>'6.7_теплонос._1 контур'!E13</f>
        <v>0</v>
      </c>
      <c r="F9" s="427">
        <f>'6.7_теплонос._1 контур'!F13</f>
        <v>26.352</v>
      </c>
      <c r="G9" s="427">
        <f>'6.7_теплонос._1 контур'!G13</f>
        <v>239.21199999999999</v>
      </c>
      <c r="H9" s="427">
        <f>'6.7_теплонос._1 контур'!H13</f>
        <v>0</v>
      </c>
      <c r="I9" s="427">
        <v>20.507999999999999</v>
      </c>
      <c r="J9" s="427">
        <v>0</v>
      </c>
      <c r="K9" s="427">
        <v>239.21199999999999</v>
      </c>
      <c r="L9" s="427">
        <v>210.65699999999998</v>
      </c>
      <c r="M9" s="1557">
        <v>126.39419999999998</v>
      </c>
      <c r="N9" s="1558">
        <v>84.262800000000013</v>
      </c>
      <c r="O9" s="427">
        <v>210.65699999999998</v>
      </c>
      <c r="P9" s="1557">
        <v>126.39419999999998</v>
      </c>
      <c r="Q9" s="1558">
        <v>84.262800000000013</v>
      </c>
    </row>
    <row r="10" spans="1:17" s="36" customFormat="1" hidden="1">
      <c r="A10" s="60"/>
      <c r="B10" s="59" t="s">
        <v>26</v>
      </c>
      <c r="C10" s="11"/>
      <c r="D10" s="14"/>
      <c r="E10" s="14"/>
      <c r="F10" s="14"/>
      <c r="G10" s="14"/>
      <c r="H10" s="14"/>
      <c r="I10" s="14"/>
      <c r="J10" s="14"/>
      <c r="K10" s="14"/>
      <c r="L10" s="66"/>
      <c r="M10" s="425"/>
      <c r="N10" s="425"/>
      <c r="O10" s="66"/>
      <c r="P10" s="425"/>
      <c r="Q10" s="425"/>
    </row>
    <row r="11" spans="1:17" s="36" customFormat="1" ht="29.25" hidden="1" customHeight="1">
      <c r="A11" s="60" t="s">
        <v>750</v>
      </c>
      <c r="B11" s="59" t="s">
        <v>751</v>
      </c>
      <c r="C11" s="11" t="s">
        <v>733</v>
      </c>
      <c r="D11" s="14"/>
      <c r="E11" s="14"/>
      <c r="F11" s="14"/>
      <c r="G11" s="14"/>
      <c r="H11" s="14"/>
      <c r="I11" s="14"/>
      <c r="J11" s="14"/>
      <c r="K11" s="14"/>
      <c r="L11" s="66"/>
      <c r="M11" s="425"/>
      <c r="N11" s="425"/>
      <c r="O11" s="66"/>
      <c r="P11" s="425"/>
      <c r="Q11" s="425"/>
    </row>
    <row r="12" spans="1:17" s="36" customFormat="1" ht="44.25" hidden="1" customHeight="1">
      <c r="A12" s="60" t="s">
        <v>752</v>
      </c>
      <c r="B12" s="59" t="s">
        <v>753</v>
      </c>
      <c r="C12" s="11" t="s">
        <v>727</v>
      </c>
      <c r="D12" s="14"/>
      <c r="E12" s="14"/>
      <c r="F12" s="14"/>
      <c r="G12" s="14"/>
      <c r="H12" s="14"/>
      <c r="I12" s="14"/>
      <c r="J12" s="14"/>
      <c r="K12" s="14"/>
      <c r="L12" s="66"/>
      <c r="M12" s="425"/>
      <c r="N12" s="425"/>
      <c r="O12" s="66"/>
      <c r="P12" s="425"/>
      <c r="Q12" s="425"/>
    </row>
    <row r="13" spans="1:17" s="36" customFormat="1" ht="28.5">
      <c r="A13" s="82" t="s">
        <v>385</v>
      </c>
      <c r="B13" s="429" t="s">
        <v>754</v>
      </c>
      <c r="C13" s="430"/>
      <c r="D13" s="432"/>
      <c r="E13" s="432"/>
      <c r="F13" s="432"/>
      <c r="G13" s="432"/>
      <c r="H13" s="432"/>
      <c r="I13" s="432"/>
      <c r="J13" s="432"/>
      <c r="K13" s="432"/>
      <c r="L13" s="432"/>
      <c r="M13" s="432"/>
      <c r="N13" s="432"/>
      <c r="O13" s="432"/>
      <c r="P13" s="432"/>
      <c r="Q13" s="432"/>
    </row>
    <row r="14" spans="1:17" s="36" customFormat="1" ht="34.5" customHeight="1">
      <c r="A14" s="60" t="s">
        <v>4</v>
      </c>
      <c r="B14" s="59" t="s">
        <v>755</v>
      </c>
      <c r="C14" s="91" t="s">
        <v>326</v>
      </c>
      <c r="D14" s="870">
        <f>'4.6_КТЭЦ свод с косв.'!C99</f>
        <v>2615.6962897890494</v>
      </c>
      <c r="E14" s="870">
        <f>'4.6_КТЭЦ свод с косв.'!D99</f>
        <v>3729.5557677147176</v>
      </c>
      <c r="F14" s="1129" t="s">
        <v>1604</v>
      </c>
      <c r="G14" s="870">
        <f>'4.6_КТЭЦ свод с косв.'!F99</f>
        <v>4903.5546955364389</v>
      </c>
      <c r="H14" s="870">
        <f>'4.6_КТЭЦ свод с косв.'!G99</f>
        <v>3615.770161592453</v>
      </c>
      <c r="I14" s="870">
        <v>5236.6415730013341</v>
      </c>
      <c r="J14" s="870" t="e">
        <v>#DIV/0!</v>
      </c>
      <c r="K14" s="870">
        <v>3954.8830236206327</v>
      </c>
      <c r="L14" s="870">
        <v>6625.2717922940983</v>
      </c>
      <c r="M14" s="870">
        <v>3536.1138117733331</v>
      </c>
      <c r="N14" s="428">
        <v>11410.502880174257</v>
      </c>
      <c r="O14" s="870">
        <v>4758.5350192670185</v>
      </c>
      <c r="P14" s="870">
        <v>3765.7116970547063</v>
      </c>
      <c r="Q14" s="428">
        <v>6296.4560517331092</v>
      </c>
    </row>
    <row r="15" spans="1:17" s="36" customFormat="1" ht="29.25" customHeight="1">
      <c r="A15" s="60" t="s">
        <v>23</v>
      </c>
      <c r="B15" s="59" t="s">
        <v>756</v>
      </c>
      <c r="C15" s="11"/>
      <c r="D15" s="14"/>
      <c r="E15" s="14"/>
      <c r="F15" s="14"/>
      <c r="G15" s="14"/>
      <c r="H15" s="14"/>
      <c r="I15" s="14"/>
      <c r="J15" s="14"/>
      <c r="K15" s="14"/>
      <c r="L15" s="66"/>
      <c r="M15" s="425"/>
      <c r="N15" s="425"/>
      <c r="O15" s="66"/>
      <c r="P15" s="425"/>
      <c r="Q15" s="425"/>
    </row>
    <row r="16" spans="1:17" s="36" customFormat="1" ht="15" customHeight="1">
      <c r="A16" s="60"/>
      <c r="B16" s="69" t="s">
        <v>633</v>
      </c>
      <c r="C16" s="11" t="s">
        <v>326</v>
      </c>
      <c r="D16" s="14"/>
      <c r="E16" s="14"/>
      <c r="F16" s="14"/>
      <c r="G16" s="14"/>
      <c r="H16" s="14"/>
      <c r="I16" s="14"/>
      <c r="J16" s="14"/>
      <c r="K16" s="14"/>
      <c r="L16" s="66"/>
      <c r="M16" s="425"/>
      <c r="N16" s="425"/>
      <c r="O16" s="66"/>
      <c r="P16" s="425"/>
      <c r="Q16" s="425"/>
    </row>
    <row r="17" spans="1:17" s="36" customFormat="1" ht="29.25" customHeight="1">
      <c r="A17" s="60"/>
      <c r="B17" s="69" t="s">
        <v>757</v>
      </c>
      <c r="C17" s="37" t="s">
        <v>758</v>
      </c>
      <c r="D17" s="14"/>
      <c r="E17" s="14"/>
      <c r="F17" s="14"/>
      <c r="G17" s="14"/>
      <c r="H17" s="14"/>
      <c r="I17" s="14"/>
      <c r="J17" s="14"/>
      <c r="K17" s="14"/>
      <c r="L17" s="66"/>
      <c r="M17" s="425"/>
      <c r="N17" s="425"/>
      <c r="O17" s="66"/>
      <c r="P17" s="425"/>
      <c r="Q17" s="425"/>
    </row>
    <row r="19" spans="1:17" s="26" customFormat="1" ht="15.75" customHeight="1">
      <c r="A19" s="28" t="s">
        <v>88</v>
      </c>
      <c r="C19" s="48"/>
    </row>
    <row r="20" spans="1:17" s="28" customFormat="1" ht="110.25" customHeight="1">
      <c r="A20" s="28" t="s">
        <v>89</v>
      </c>
      <c r="B20" s="1842" t="s">
        <v>759</v>
      </c>
      <c r="C20" s="1842"/>
      <c r="D20" s="1842"/>
      <c r="E20" s="1842"/>
      <c r="F20" s="1842"/>
      <c r="G20" s="1842"/>
      <c r="H20" s="1842"/>
      <c r="I20" s="1842"/>
      <c r="J20" s="1842"/>
      <c r="K20" s="1842"/>
      <c r="L20" s="1842"/>
      <c r="O20" s="1741"/>
      <c r="P20" s="1741"/>
      <c r="Q20" s="1741"/>
    </row>
    <row r="21" spans="1:17" s="26" customFormat="1" ht="24" customHeight="1">
      <c r="A21" s="26" t="s">
        <v>91</v>
      </c>
      <c r="B21" s="26" t="s">
        <v>760</v>
      </c>
      <c r="C21" s="48"/>
    </row>
  </sheetData>
  <mergeCells count="2">
    <mergeCell ref="B20:L20"/>
    <mergeCell ref="A3:Q3"/>
  </mergeCells>
  <pageMargins left="0.59055118110236227" right="0.15748031496062992" top="0.59055118110236227" bottom="0.39370078740157483" header="0.19685039370078741" footer="0.19685039370078741"/>
  <pageSetup paperSize="9" scale="50" orientation="portrait" r:id="rId1"/>
  <headerFooter alignWithMargins="0"/>
  <legacy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Q21"/>
  <sheetViews>
    <sheetView view="pageBreakPreview" zoomScaleNormal="100" workbookViewId="0">
      <pane xSplit="2" ySplit="5" topLeftCell="C6" activePane="bottomRight" state="frozen"/>
      <selection activeCell="A12" sqref="A12:F19"/>
      <selection pane="topRight" activeCell="A12" sqref="A12:F19"/>
      <selection pane="bottomLeft" activeCell="A12" sqref="A12:F19"/>
      <selection pane="bottomRight" activeCell="M17" sqref="M17"/>
    </sheetView>
  </sheetViews>
  <sheetFormatPr defaultColWidth="0.85546875" defaultRowHeight="15"/>
  <cols>
    <col min="1" max="1" width="6.42578125" style="1" customWidth="1"/>
    <col min="2" max="2" width="32.7109375" style="1" customWidth="1"/>
    <col min="3" max="3" width="16" style="21" customWidth="1"/>
    <col min="4" max="4" width="12.7109375" style="1" hidden="1" customWidth="1"/>
    <col min="5" max="6" width="12.42578125" style="1" hidden="1" customWidth="1"/>
    <col min="7" max="7" width="13.42578125" style="1" hidden="1" customWidth="1"/>
    <col min="8" max="8" width="12.7109375" style="1" customWidth="1"/>
    <col min="9" max="11" width="13.42578125" style="1" customWidth="1"/>
    <col min="12" max="12" width="15.7109375" style="1" customWidth="1"/>
    <col min="13" max="13" width="11.28515625" style="1" customWidth="1"/>
    <col min="14" max="14" width="11.140625" style="1" customWidth="1"/>
    <col min="15" max="15" width="13.5703125" style="1" customWidth="1"/>
    <col min="16" max="17" width="11.140625" style="1" customWidth="1"/>
    <col min="18" max="266" width="4" style="1" customWidth="1"/>
    <col min="267" max="16384" width="0.85546875" style="1"/>
  </cols>
  <sheetData>
    <row r="1" spans="1:17" s="5" customFormat="1" ht="19.5" customHeight="1">
      <c r="A1" s="74" t="s">
        <v>765</v>
      </c>
      <c r="C1" s="20"/>
      <c r="L1" s="6"/>
      <c r="N1" s="6"/>
      <c r="O1" s="6"/>
      <c r="P1" s="6"/>
      <c r="Q1" s="6" t="s">
        <v>746</v>
      </c>
    </row>
    <row r="2" spans="1:17" s="5" customFormat="1" ht="12.75" customHeight="1">
      <c r="A2" s="759" t="str">
        <f>'4.1 (свод)'!A2</f>
        <v>КТЭЦ + котельные СВОД</v>
      </c>
      <c r="C2" s="20"/>
    </row>
    <row r="3" spans="1:17" ht="42.75" customHeight="1">
      <c r="A3" s="1915" t="s">
        <v>1502</v>
      </c>
      <c r="B3" s="1915"/>
      <c r="C3" s="1915"/>
      <c r="D3" s="1915"/>
      <c r="E3" s="1915"/>
      <c r="F3" s="1915"/>
      <c r="G3" s="1915"/>
      <c r="H3" s="1915"/>
      <c r="I3" s="1915"/>
      <c r="J3" s="1915"/>
      <c r="K3" s="1915"/>
      <c r="L3" s="1915"/>
      <c r="M3" s="1962"/>
      <c r="N3" s="1962"/>
      <c r="O3" s="1962"/>
      <c r="P3" s="1962"/>
      <c r="Q3" s="1962"/>
    </row>
    <row r="4" spans="1:17" ht="12.75" customHeight="1"/>
    <row r="5" spans="1:17" s="3" customFormat="1" ht="42.75">
      <c r="A5" s="426" t="s">
        <v>132</v>
      </c>
      <c r="B5" s="426" t="s">
        <v>1</v>
      </c>
      <c r="C5" s="426" t="s">
        <v>621</v>
      </c>
      <c r="D5" s="418" t="s">
        <v>1491</v>
      </c>
      <c r="E5" s="418" t="s">
        <v>1130</v>
      </c>
      <c r="F5" s="1312" t="s">
        <v>1492</v>
      </c>
      <c r="G5" s="418" t="s">
        <v>1708</v>
      </c>
      <c r="H5" s="1312" t="s">
        <v>1707</v>
      </c>
      <c r="I5" s="418" t="s">
        <v>1857</v>
      </c>
      <c r="J5" s="1312" t="s">
        <v>1858</v>
      </c>
      <c r="K5" s="418" t="s">
        <v>1834</v>
      </c>
      <c r="L5" s="418" t="s">
        <v>1560</v>
      </c>
      <c r="M5" s="418" t="s">
        <v>763</v>
      </c>
      <c r="N5" s="418" t="s">
        <v>764</v>
      </c>
      <c r="O5" s="418" t="s">
        <v>1875</v>
      </c>
      <c r="P5" s="418" t="s">
        <v>763</v>
      </c>
      <c r="Q5" s="418" t="s">
        <v>764</v>
      </c>
    </row>
    <row r="6" spans="1:17" s="2" customFormat="1" ht="14.25" customHeight="1">
      <c r="A6" s="11">
        <v>1</v>
      </c>
      <c r="B6" s="11">
        <v>2</v>
      </c>
      <c r="C6" s="11">
        <v>3</v>
      </c>
      <c r="D6" s="11">
        <v>4</v>
      </c>
      <c r="E6" s="11">
        <v>5</v>
      </c>
      <c r="F6" s="11">
        <v>6</v>
      </c>
      <c r="G6" s="11">
        <v>7</v>
      </c>
      <c r="H6" s="11">
        <v>8</v>
      </c>
      <c r="I6" s="11">
        <v>9</v>
      </c>
      <c r="J6" s="11">
        <v>8</v>
      </c>
      <c r="K6" s="11">
        <v>9</v>
      </c>
      <c r="L6" s="11">
        <v>10</v>
      </c>
      <c r="M6" s="11">
        <v>11</v>
      </c>
      <c r="N6" s="13">
        <v>12</v>
      </c>
      <c r="O6" s="11">
        <v>10</v>
      </c>
      <c r="P6" s="11">
        <v>11</v>
      </c>
      <c r="Q6" s="13">
        <v>12</v>
      </c>
    </row>
    <row r="7" spans="1:17" s="36" customFormat="1" ht="15" customHeight="1">
      <c r="A7" s="82" t="s">
        <v>361</v>
      </c>
      <c r="B7" s="429" t="s">
        <v>747</v>
      </c>
      <c r="C7" s="430" t="s">
        <v>733</v>
      </c>
      <c r="D7" s="431"/>
      <c r="E7" s="431"/>
      <c r="F7" s="431"/>
      <c r="G7" s="431"/>
      <c r="H7" s="431"/>
      <c r="I7" s="431"/>
      <c r="J7" s="431"/>
      <c r="K7" s="431"/>
      <c r="L7" s="431"/>
      <c r="M7" s="431"/>
      <c r="N7" s="431"/>
      <c r="O7" s="431"/>
      <c r="P7" s="431"/>
      <c r="Q7" s="431"/>
    </row>
    <row r="8" spans="1:17" s="36" customFormat="1" ht="29.25" customHeight="1">
      <c r="A8" s="60" t="s">
        <v>5</v>
      </c>
      <c r="B8" s="59" t="s">
        <v>748</v>
      </c>
      <c r="C8" s="91" t="s">
        <v>733</v>
      </c>
      <c r="D8" s="869">
        <v>30.59</v>
      </c>
      <c r="E8" s="869">
        <v>30.72</v>
      </c>
      <c r="F8" s="869">
        <f>'6.6_теплонос.ктэц_2 контур'!F26</f>
        <v>34.96</v>
      </c>
      <c r="G8" s="869">
        <f>'6.6_теплонос.ктэц_2 контур'!G26</f>
        <v>35.786489339888192</v>
      </c>
      <c r="H8" s="869" t="e">
        <f>'6.6_теплонос.ктэц_2 контур'!H26</f>
        <v>#DIV/0!</v>
      </c>
      <c r="I8" s="869">
        <v>46.220147322273768</v>
      </c>
      <c r="J8" s="869">
        <v>0</v>
      </c>
      <c r="K8" s="869">
        <v>42.206717082712515</v>
      </c>
      <c r="L8" s="869">
        <v>44.504928875668064</v>
      </c>
      <c r="M8" s="869">
        <v>42.97</v>
      </c>
      <c r="N8" s="1136">
        <v>46.88027000000001</v>
      </c>
      <c r="O8" s="869">
        <v>47.589681353306844</v>
      </c>
      <c r="P8" s="869">
        <v>46.880270000000003</v>
      </c>
      <c r="Q8" s="1136">
        <v>48.98988215</v>
      </c>
    </row>
    <row r="9" spans="1:17" s="36" customFormat="1" ht="44.25" customHeight="1">
      <c r="A9" s="60" t="s">
        <v>11</v>
      </c>
      <c r="B9" s="59" t="s">
        <v>749</v>
      </c>
      <c r="C9" s="91" t="s">
        <v>727</v>
      </c>
      <c r="D9" s="427"/>
      <c r="E9" s="427"/>
      <c r="F9" s="427"/>
      <c r="G9" s="427"/>
      <c r="H9" s="427"/>
      <c r="I9" s="427"/>
      <c r="J9" s="427"/>
      <c r="K9" s="427"/>
      <c r="L9" s="18">
        <v>0</v>
      </c>
      <c r="M9" s="18"/>
      <c r="N9" s="18"/>
      <c r="O9" s="18">
        <v>0</v>
      </c>
      <c r="P9" s="18"/>
      <c r="Q9" s="18"/>
    </row>
    <row r="10" spans="1:17" s="36" customFormat="1" hidden="1">
      <c r="A10" s="60"/>
      <c r="B10" s="59" t="s">
        <v>26</v>
      </c>
      <c r="C10" s="11"/>
      <c r="D10" s="14"/>
      <c r="E10" s="14"/>
      <c r="F10" s="14"/>
      <c r="G10" s="14"/>
      <c r="H10" s="14"/>
      <c r="I10" s="14"/>
      <c r="J10" s="14"/>
      <c r="K10" s="14"/>
      <c r="L10" s="66"/>
      <c r="M10" s="425"/>
      <c r="N10" s="425"/>
      <c r="O10" s="66"/>
      <c r="P10" s="425"/>
      <c r="Q10" s="425"/>
    </row>
    <row r="11" spans="1:17" s="36" customFormat="1" ht="29.25" hidden="1" customHeight="1">
      <c r="A11" s="60" t="s">
        <v>750</v>
      </c>
      <c r="B11" s="59" t="s">
        <v>751</v>
      </c>
      <c r="C11" s="11" t="s">
        <v>733</v>
      </c>
      <c r="D11" s="14"/>
      <c r="E11" s="14"/>
      <c r="F11" s="14"/>
      <c r="G11" s="14"/>
      <c r="H11" s="14"/>
      <c r="I11" s="14"/>
      <c r="J11" s="14"/>
      <c r="K11" s="14"/>
      <c r="L11" s="66"/>
      <c r="M11" s="425"/>
      <c r="N11" s="425"/>
      <c r="O11" s="66"/>
      <c r="P11" s="425"/>
      <c r="Q11" s="425"/>
    </row>
    <row r="12" spans="1:17" s="36" customFormat="1" ht="44.25" hidden="1" customHeight="1">
      <c r="A12" s="60" t="s">
        <v>752</v>
      </c>
      <c r="B12" s="59" t="s">
        <v>753</v>
      </c>
      <c r="C12" s="11" t="s">
        <v>727</v>
      </c>
      <c r="D12" s="14"/>
      <c r="E12" s="14"/>
      <c r="F12" s="14"/>
      <c r="G12" s="14"/>
      <c r="H12" s="14"/>
      <c r="I12" s="14"/>
      <c r="J12" s="14"/>
      <c r="K12" s="14"/>
      <c r="L12" s="66"/>
      <c r="M12" s="425"/>
      <c r="N12" s="425"/>
      <c r="O12" s="66"/>
      <c r="P12" s="425"/>
      <c r="Q12" s="425"/>
    </row>
    <row r="13" spans="1:17" s="36" customFormat="1" ht="28.5">
      <c r="A13" s="82" t="s">
        <v>385</v>
      </c>
      <c r="B13" s="429" t="s">
        <v>754</v>
      </c>
      <c r="C13" s="430"/>
      <c r="D13" s="432"/>
      <c r="E13" s="432"/>
      <c r="F13" s="432"/>
      <c r="G13" s="432"/>
      <c r="H13" s="432"/>
      <c r="I13" s="432"/>
      <c r="J13" s="432"/>
      <c r="K13" s="432"/>
      <c r="L13" s="432"/>
      <c r="M13" s="432"/>
      <c r="N13" s="432"/>
      <c r="O13" s="432"/>
      <c r="P13" s="432"/>
      <c r="Q13" s="432"/>
    </row>
    <row r="14" spans="1:17" s="36" customFormat="1" ht="29.25" customHeight="1">
      <c r="A14" s="60" t="s">
        <v>4</v>
      </c>
      <c r="B14" s="59" t="s">
        <v>755</v>
      </c>
      <c r="C14" s="91" t="s">
        <v>326</v>
      </c>
      <c r="D14" s="870">
        <f>'4.6_свод'!C99</f>
        <v>3452.5919004068555</v>
      </c>
      <c r="E14" s="870">
        <f>'4.6_свод'!D99</f>
        <v>4876.1993257946297</v>
      </c>
      <c r="F14" s="870">
        <f>'4.6_свод'!E99</f>
        <v>3671.0667094844812</v>
      </c>
      <c r="G14" s="870">
        <f>'4.6_свод'!F99</f>
        <v>5288.2764325860144</v>
      </c>
      <c r="H14" s="870">
        <f>'4.6_свод'!G99</f>
        <v>4064.1102447424187</v>
      </c>
      <c r="I14" s="870">
        <v>5683.2738057394263</v>
      </c>
      <c r="J14" s="870">
        <v>4470.4881237031532</v>
      </c>
      <c r="K14" s="870">
        <v>4849.1009320784769</v>
      </c>
      <c r="L14" s="870">
        <v>7369.7441750098624</v>
      </c>
      <c r="M14" s="870">
        <v>4558.9687877980323</v>
      </c>
      <c r="N14" s="428">
        <v>11734.091092935641</v>
      </c>
      <c r="O14" s="870">
        <v>5923.702197477196</v>
      </c>
      <c r="P14" s="870">
        <v>4836.2871496516545</v>
      </c>
      <c r="Q14" s="870">
        <v>7612.1477992538057</v>
      </c>
    </row>
    <row r="15" spans="1:17" s="36" customFormat="1" ht="29.25" customHeight="1">
      <c r="A15" s="60" t="s">
        <v>23</v>
      </c>
      <c r="B15" s="59" t="s">
        <v>756</v>
      </c>
      <c r="C15" s="11"/>
      <c r="D15" s="14"/>
      <c r="E15" s="14"/>
      <c r="F15" s="14"/>
      <c r="G15" s="14"/>
      <c r="H15" s="14"/>
      <c r="I15" s="14"/>
      <c r="J15" s="14"/>
      <c r="K15" s="14"/>
      <c r="L15" s="66"/>
      <c r="M15" s="425"/>
      <c r="N15" s="425"/>
      <c r="O15" s="66"/>
      <c r="P15" s="425"/>
      <c r="Q15" s="425"/>
    </row>
    <row r="16" spans="1:17" s="36" customFormat="1" ht="15" customHeight="1">
      <c r="A16" s="60"/>
      <c r="B16" s="69" t="s">
        <v>633</v>
      </c>
      <c r="C16" s="11" t="s">
        <v>326</v>
      </c>
      <c r="D16" s="14"/>
      <c r="E16" s="14"/>
      <c r="F16" s="14"/>
      <c r="G16" s="14"/>
      <c r="H16" s="14"/>
      <c r="I16" s="14"/>
      <c r="J16" s="14"/>
      <c r="K16" s="14"/>
      <c r="L16" s="66"/>
      <c r="M16" s="425"/>
      <c r="N16" s="425"/>
      <c r="O16" s="66"/>
      <c r="P16" s="425"/>
      <c r="Q16" s="425"/>
    </row>
    <row r="17" spans="1:17" s="36" customFormat="1" ht="29.25" customHeight="1">
      <c r="A17" s="60"/>
      <c r="B17" s="69" t="s">
        <v>757</v>
      </c>
      <c r="C17" s="37" t="s">
        <v>758</v>
      </c>
      <c r="D17" s="14"/>
      <c r="E17" s="14"/>
      <c r="F17" s="14"/>
      <c r="G17" s="14"/>
      <c r="H17" s="14"/>
      <c r="I17" s="14"/>
      <c r="J17" s="14"/>
      <c r="K17" s="14"/>
      <c r="L17" s="66"/>
      <c r="M17" s="425"/>
      <c r="N17" s="425"/>
      <c r="O17" s="66"/>
      <c r="P17" s="425"/>
      <c r="Q17" s="425"/>
    </row>
    <row r="19" spans="1:17" s="26" customFormat="1" ht="15.75" customHeight="1">
      <c r="A19" s="804" t="s">
        <v>88</v>
      </c>
      <c r="C19" s="48"/>
    </row>
    <row r="20" spans="1:17" s="804" customFormat="1" ht="110.25" customHeight="1">
      <c r="A20" s="804" t="s">
        <v>89</v>
      </c>
      <c r="B20" s="1842" t="s">
        <v>759</v>
      </c>
      <c r="C20" s="1842"/>
      <c r="D20" s="1842"/>
      <c r="E20" s="1842"/>
      <c r="F20" s="1842"/>
      <c r="G20" s="1842"/>
      <c r="H20" s="1842"/>
      <c r="I20" s="1842"/>
      <c r="J20" s="1842"/>
      <c r="K20" s="1842"/>
      <c r="L20" s="1842"/>
      <c r="O20" s="1741"/>
      <c r="P20" s="1741"/>
      <c r="Q20" s="1741"/>
    </row>
    <row r="21" spans="1:17" s="26" customFormat="1" ht="24" customHeight="1">
      <c r="A21" s="26" t="s">
        <v>91</v>
      </c>
      <c r="B21" s="26" t="s">
        <v>760</v>
      </c>
      <c r="C21" s="48"/>
    </row>
  </sheetData>
  <mergeCells count="2">
    <mergeCell ref="B20:L20"/>
    <mergeCell ref="A3:Q3"/>
  </mergeCells>
  <pageMargins left="0.59055118110236227" right="0.15748031496062992" top="0.59055118110236227" bottom="0.39370078740157483" header="0.19685039370078741" footer="0.19685039370078741"/>
  <pageSetup paperSize="9" scale="50" orientation="portrait" r:id="rId1"/>
  <headerFooter alignWithMargins="0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Q21"/>
  <sheetViews>
    <sheetView view="pageBreakPreview" zoomScale="80" zoomScaleNormal="100" zoomScaleSheetLayoutView="80" workbookViewId="0">
      <pane xSplit="2" ySplit="5" topLeftCell="C6" activePane="bottomRight" state="frozen"/>
      <selection activeCell="O6" sqref="O6"/>
      <selection pane="topRight" activeCell="O6" sqref="O6"/>
      <selection pane="bottomLeft" activeCell="O6" sqref="O6"/>
      <selection pane="bottomRight" activeCell="O17" sqref="O17"/>
    </sheetView>
  </sheetViews>
  <sheetFormatPr defaultColWidth="0.85546875" defaultRowHeight="15"/>
  <cols>
    <col min="1" max="1" width="6.42578125" style="1" customWidth="1"/>
    <col min="2" max="2" width="32.7109375" style="1" customWidth="1"/>
    <col min="3" max="3" width="16" style="21" customWidth="1"/>
    <col min="4" max="4" width="12.7109375" style="1" hidden="1" customWidth="1"/>
    <col min="5" max="6" width="12.42578125" style="1" hidden="1" customWidth="1"/>
    <col min="7" max="7" width="13.42578125" style="1" hidden="1" customWidth="1"/>
    <col min="8" max="8" width="12.7109375" style="1" customWidth="1"/>
    <col min="9" max="11" width="13.42578125" style="1" customWidth="1"/>
    <col min="12" max="12" width="15.7109375" style="1" customWidth="1"/>
    <col min="13" max="13" width="11.28515625" style="1" customWidth="1"/>
    <col min="14" max="14" width="11.140625" style="1" customWidth="1"/>
    <col min="15" max="15" width="13.5703125" style="1" customWidth="1"/>
    <col min="16" max="17" width="11.140625" style="1" customWidth="1"/>
    <col min="18" max="266" width="4" style="1" customWidth="1"/>
    <col min="267" max="16384" width="0.85546875" style="1"/>
  </cols>
  <sheetData>
    <row r="1" spans="1:17" s="5" customFormat="1" ht="19.5" customHeight="1">
      <c r="A1" s="74" t="s">
        <v>765</v>
      </c>
      <c r="C1" s="20"/>
      <c r="L1" s="6"/>
      <c r="N1" s="6"/>
      <c r="O1" s="6"/>
      <c r="P1" s="6"/>
      <c r="Q1" s="6" t="s">
        <v>746</v>
      </c>
    </row>
    <row r="2" spans="1:17" s="5" customFormat="1" ht="12.75" customHeight="1">
      <c r="A2" s="759" t="str">
        <f>'3.1'!$A$2</f>
        <v>ПКГО - Комбинированная выработка КТЭЦ</v>
      </c>
      <c r="C2" s="20"/>
    </row>
    <row r="3" spans="1:17" ht="45" customHeight="1">
      <c r="A3" s="1915" t="s">
        <v>1502</v>
      </c>
      <c r="B3" s="1915"/>
      <c r="C3" s="1915"/>
      <c r="D3" s="1915"/>
      <c r="E3" s="1915"/>
      <c r="F3" s="1915"/>
      <c r="G3" s="1915"/>
      <c r="H3" s="1915"/>
      <c r="I3" s="1915"/>
      <c r="J3" s="1915"/>
      <c r="K3" s="1915"/>
      <c r="L3" s="1915"/>
      <c r="M3" s="1962"/>
      <c r="N3" s="1962"/>
      <c r="O3" s="1962"/>
      <c r="P3" s="1962"/>
      <c r="Q3" s="1962"/>
    </row>
    <row r="4" spans="1:17" ht="12.75" customHeight="1"/>
    <row r="5" spans="1:17" s="3" customFormat="1" ht="42.75">
      <c r="A5" s="426" t="s">
        <v>132</v>
      </c>
      <c r="B5" s="426" t="s">
        <v>1</v>
      </c>
      <c r="C5" s="426" t="s">
        <v>621</v>
      </c>
      <c r="D5" s="418" t="s">
        <v>1491</v>
      </c>
      <c r="E5" s="418" t="s">
        <v>1130</v>
      </c>
      <c r="F5" s="1312" t="s">
        <v>1492</v>
      </c>
      <c r="G5" s="418" t="s">
        <v>1708</v>
      </c>
      <c r="H5" s="1312" t="s">
        <v>1707</v>
      </c>
      <c r="I5" s="418" t="s">
        <v>1857</v>
      </c>
      <c r="J5" s="1312" t="s">
        <v>1858</v>
      </c>
      <c r="K5" s="418" t="s">
        <v>1834</v>
      </c>
      <c r="L5" s="418" t="s">
        <v>1560</v>
      </c>
      <c r="M5" s="418" t="s">
        <v>763</v>
      </c>
      <c r="N5" s="418" t="s">
        <v>764</v>
      </c>
      <c r="O5" s="418" t="s">
        <v>1875</v>
      </c>
      <c r="P5" s="418" t="s">
        <v>763</v>
      </c>
      <c r="Q5" s="418" t="s">
        <v>764</v>
      </c>
    </row>
    <row r="6" spans="1:17" s="2" customFormat="1" ht="14.25" customHeight="1">
      <c r="A6" s="11">
        <v>1</v>
      </c>
      <c r="B6" s="11">
        <v>2</v>
      </c>
      <c r="C6" s="11">
        <v>3</v>
      </c>
      <c r="D6" s="11">
        <v>4</v>
      </c>
      <c r="E6" s="11">
        <v>5</v>
      </c>
      <c r="F6" s="11">
        <v>6</v>
      </c>
      <c r="G6" s="11">
        <v>7</v>
      </c>
      <c r="H6" s="11">
        <v>8</v>
      </c>
      <c r="I6" s="11">
        <v>9</v>
      </c>
      <c r="J6" s="11">
        <v>8</v>
      </c>
      <c r="K6" s="11">
        <v>9</v>
      </c>
      <c r="L6" s="11">
        <v>10</v>
      </c>
      <c r="M6" s="11">
        <v>11</v>
      </c>
      <c r="N6" s="13">
        <v>12</v>
      </c>
      <c r="O6" s="11">
        <v>10</v>
      </c>
      <c r="P6" s="11">
        <v>11</v>
      </c>
      <c r="Q6" s="13">
        <v>12</v>
      </c>
    </row>
    <row r="7" spans="1:17" s="36" customFormat="1" ht="15" customHeight="1">
      <c r="A7" s="82" t="s">
        <v>361</v>
      </c>
      <c r="B7" s="429" t="s">
        <v>747</v>
      </c>
      <c r="C7" s="430" t="s">
        <v>733</v>
      </c>
      <c r="D7" s="431"/>
      <c r="E7" s="431"/>
      <c r="F7" s="431"/>
      <c r="G7" s="431"/>
      <c r="H7" s="431"/>
      <c r="I7" s="431"/>
      <c r="J7" s="431"/>
      <c r="K7" s="431"/>
      <c r="L7" s="431"/>
      <c r="M7" s="431"/>
      <c r="N7" s="431"/>
      <c r="O7" s="431"/>
      <c r="P7" s="431"/>
      <c r="Q7" s="431"/>
    </row>
    <row r="8" spans="1:17" s="36" customFormat="1" ht="29.25" customHeight="1">
      <c r="A8" s="60" t="s">
        <v>5</v>
      </c>
      <c r="B8" s="59" t="s">
        <v>748</v>
      </c>
      <c r="C8" s="91" t="s">
        <v>733</v>
      </c>
      <c r="D8" s="869" t="e">
        <f>'6.6_теплонос.ктэц_2 контур'!D26</f>
        <v>#DIV/0!</v>
      </c>
      <c r="E8" s="1130">
        <f>'6.6_теплонос.ктэц_2 контур'!E26</f>
        <v>5.2512097346227568E-2</v>
      </c>
      <c r="F8" s="869">
        <f>'6.6_теплонос.ктэц_2 контур'!F26</f>
        <v>34.96</v>
      </c>
      <c r="G8" s="869">
        <f>'6.6_теплонос.ктэц_2 контур'!G26</f>
        <v>35.786489339888192</v>
      </c>
      <c r="H8" s="869" t="e">
        <f>'6.6_теплонос.ктэц_2 контур'!H26</f>
        <v>#DIV/0!</v>
      </c>
      <c r="I8" s="869">
        <v>46.220147322273768</v>
      </c>
      <c r="J8" s="869">
        <v>0</v>
      </c>
      <c r="K8" s="869">
        <v>42.206717082712515</v>
      </c>
      <c r="L8" s="869">
        <v>44.504928875668064</v>
      </c>
      <c r="M8" s="869">
        <v>42.97</v>
      </c>
      <c r="N8" s="1136">
        <v>46.88027000000001</v>
      </c>
      <c r="O8" s="869">
        <v>47.589681353306844</v>
      </c>
      <c r="P8" s="869">
        <v>46.880270000000003</v>
      </c>
      <c r="Q8" s="1136">
        <v>48.98988215</v>
      </c>
    </row>
    <row r="9" spans="1:17" s="36" customFormat="1" ht="44.25" customHeight="1">
      <c r="A9" s="60" t="s">
        <v>11</v>
      </c>
      <c r="B9" s="59" t="s">
        <v>749</v>
      </c>
      <c r="C9" s="91" t="s">
        <v>727</v>
      </c>
      <c r="D9" s="427"/>
      <c r="E9" s="427"/>
      <c r="F9" s="427"/>
      <c r="G9" s="427"/>
      <c r="H9" s="427"/>
      <c r="I9" s="427"/>
      <c r="J9" s="427"/>
      <c r="K9" s="427"/>
      <c r="L9" s="18">
        <v>0</v>
      </c>
      <c r="M9" s="18"/>
      <c r="N9" s="18"/>
      <c r="O9" s="18">
        <v>0</v>
      </c>
      <c r="P9" s="18"/>
      <c r="Q9" s="18"/>
    </row>
    <row r="10" spans="1:17" s="36" customFormat="1" hidden="1">
      <c r="A10" s="60"/>
      <c r="B10" s="59" t="s">
        <v>26</v>
      </c>
      <c r="C10" s="11"/>
      <c r="D10" s="14"/>
      <c r="E10" s="14"/>
      <c r="F10" s="14"/>
      <c r="G10" s="14"/>
      <c r="H10" s="14"/>
      <c r="I10" s="14"/>
      <c r="J10" s="14"/>
      <c r="K10" s="14"/>
      <c r="L10" s="66"/>
      <c r="M10" s="425"/>
      <c r="N10" s="425"/>
      <c r="O10" s="66"/>
      <c r="P10" s="425"/>
      <c r="Q10" s="425"/>
    </row>
    <row r="11" spans="1:17" s="36" customFormat="1" ht="29.25" hidden="1" customHeight="1">
      <c r="A11" s="60" t="s">
        <v>750</v>
      </c>
      <c r="B11" s="59" t="s">
        <v>751</v>
      </c>
      <c r="C11" s="11" t="s">
        <v>733</v>
      </c>
      <c r="D11" s="14"/>
      <c r="E11" s="14"/>
      <c r="F11" s="14"/>
      <c r="G11" s="14"/>
      <c r="H11" s="14"/>
      <c r="I11" s="14"/>
      <c r="J11" s="14"/>
      <c r="K11" s="14"/>
      <c r="L11" s="66"/>
      <c r="M11" s="425"/>
      <c r="N11" s="425"/>
      <c r="O11" s="66"/>
      <c r="P11" s="425"/>
      <c r="Q11" s="425"/>
    </row>
    <row r="12" spans="1:17" s="36" customFormat="1" ht="44.25" hidden="1" customHeight="1">
      <c r="A12" s="60" t="s">
        <v>752</v>
      </c>
      <c r="B12" s="59" t="s">
        <v>753</v>
      </c>
      <c r="C12" s="11" t="s">
        <v>727</v>
      </c>
      <c r="D12" s="14"/>
      <c r="E12" s="14"/>
      <c r="F12" s="14"/>
      <c r="G12" s="14"/>
      <c r="H12" s="14"/>
      <c r="I12" s="14"/>
      <c r="J12" s="14"/>
      <c r="K12" s="14"/>
      <c r="L12" s="66"/>
      <c r="M12" s="425"/>
      <c r="N12" s="425"/>
      <c r="O12" s="66"/>
      <c r="P12" s="425"/>
      <c r="Q12" s="425"/>
    </row>
    <row r="13" spans="1:17" s="36" customFormat="1" ht="28.5">
      <c r="A13" s="82" t="s">
        <v>385</v>
      </c>
      <c r="B13" s="429" t="s">
        <v>754</v>
      </c>
      <c r="C13" s="430"/>
      <c r="D13" s="432"/>
      <c r="E13" s="432"/>
      <c r="F13" s="432"/>
      <c r="G13" s="432"/>
      <c r="H13" s="432"/>
      <c r="I13" s="432"/>
      <c r="J13" s="432"/>
      <c r="K13" s="432"/>
      <c r="L13" s="432"/>
      <c r="M13" s="432"/>
      <c r="N13" s="432"/>
      <c r="O13" s="432"/>
      <c r="P13" s="432"/>
      <c r="Q13" s="432"/>
    </row>
    <row r="14" spans="1:17" s="36" customFormat="1" ht="29.25" customHeight="1">
      <c r="A14" s="60" t="s">
        <v>4</v>
      </c>
      <c r="B14" s="59" t="s">
        <v>755</v>
      </c>
      <c r="C14" s="91" t="s">
        <v>326</v>
      </c>
      <c r="D14" s="870">
        <f>'4.6_КТЭЦ свод с косв.'!C99</f>
        <v>2615.6962897890494</v>
      </c>
      <c r="E14" s="870">
        <f>'4.6_КТЭЦ свод с косв.'!D99</f>
        <v>3729.5557677147176</v>
      </c>
      <c r="F14" s="991">
        <f>'4.6_КТЭЦ свод с косв.'!E99</f>
        <v>1466.4772984075703</v>
      </c>
      <c r="G14" s="870">
        <f>'4.6_КТЭЦ свод с косв.'!F99</f>
        <v>4903.5546955364389</v>
      </c>
      <c r="H14" s="870">
        <f>'4.6_КТЭЦ свод с косв.'!G99</f>
        <v>3615.770161592453</v>
      </c>
      <c r="I14" s="870">
        <v>5236.6415730013341</v>
      </c>
      <c r="J14" s="870" t="e">
        <v>#DIV/0!</v>
      </c>
      <c r="K14" s="870">
        <v>3954.8830236206327</v>
      </c>
      <c r="L14" s="870">
        <v>6625.2717922940983</v>
      </c>
      <c r="M14" s="870">
        <v>3536.1138117733331</v>
      </c>
      <c r="N14" s="870">
        <v>11410.502880174257</v>
      </c>
      <c r="O14" s="870">
        <v>4758.5350192670185</v>
      </c>
      <c r="P14" s="870">
        <v>3765.7116970547063</v>
      </c>
      <c r="Q14" s="870">
        <v>6296.4560517331092</v>
      </c>
    </row>
    <row r="15" spans="1:17" s="36" customFormat="1" ht="29.25" customHeight="1">
      <c r="A15" s="60" t="s">
        <v>23</v>
      </c>
      <c r="B15" s="59" t="s">
        <v>756</v>
      </c>
      <c r="C15" s="11"/>
      <c r="D15" s="14"/>
      <c r="E15" s="14"/>
      <c r="F15" s="14"/>
      <c r="G15" s="14"/>
      <c r="H15" s="14"/>
      <c r="I15" s="14"/>
      <c r="J15" s="14"/>
      <c r="K15" s="14"/>
      <c r="L15" s="66"/>
      <c r="M15" s="425"/>
      <c r="N15" s="425"/>
      <c r="O15" s="66"/>
      <c r="P15" s="425"/>
      <c r="Q15" s="425"/>
    </row>
    <row r="16" spans="1:17" s="36" customFormat="1" ht="15" customHeight="1">
      <c r="A16" s="60"/>
      <c r="B16" s="69" t="s">
        <v>633</v>
      </c>
      <c r="C16" s="11" t="s">
        <v>326</v>
      </c>
      <c r="D16" s="14"/>
      <c r="E16" s="14"/>
      <c r="F16" s="14"/>
      <c r="G16" s="14"/>
      <c r="H16" s="14"/>
      <c r="I16" s="14"/>
      <c r="J16" s="14"/>
      <c r="K16" s="14"/>
      <c r="L16" s="66"/>
      <c r="M16" s="425"/>
      <c r="N16" s="425"/>
      <c r="O16" s="66"/>
      <c r="P16" s="425"/>
      <c r="Q16" s="425"/>
    </row>
    <row r="17" spans="1:17" s="36" customFormat="1" ht="29.25" customHeight="1">
      <c r="A17" s="60"/>
      <c r="B17" s="69" t="s">
        <v>757</v>
      </c>
      <c r="C17" s="37" t="s">
        <v>758</v>
      </c>
      <c r="D17" s="14"/>
      <c r="E17" s="14"/>
      <c r="F17" s="14"/>
      <c r="G17" s="14"/>
      <c r="H17" s="14"/>
      <c r="I17" s="14"/>
      <c r="J17" s="14"/>
      <c r="K17" s="14"/>
      <c r="L17" s="66"/>
      <c r="M17" s="425"/>
      <c r="N17" s="425"/>
      <c r="O17" s="66"/>
      <c r="P17" s="425"/>
      <c r="Q17" s="425"/>
    </row>
    <row r="19" spans="1:17" s="26" customFormat="1" ht="15.75" customHeight="1">
      <c r="A19" s="804" t="s">
        <v>88</v>
      </c>
      <c r="C19" s="48"/>
    </row>
    <row r="20" spans="1:17" s="804" customFormat="1" ht="110.25" customHeight="1">
      <c r="A20" s="804" t="s">
        <v>89</v>
      </c>
      <c r="B20" s="1842" t="s">
        <v>759</v>
      </c>
      <c r="C20" s="1842"/>
      <c r="D20" s="1842"/>
      <c r="E20" s="1842"/>
      <c r="F20" s="1842"/>
      <c r="G20" s="1842"/>
      <c r="H20" s="1842"/>
      <c r="I20" s="1842"/>
      <c r="J20" s="1842"/>
      <c r="K20" s="1842"/>
      <c r="L20" s="1842"/>
      <c r="O20" s="1741"/>
      <c r="P20" s="1741"/>
      <c r="Q20" s="1741"/>
    </row>
    <row r="21" spans="1:17" s="26" customFormat="1" ht="24" customHeight="1">
      <c r="A21" s="26" t="s">
        <v>91</v>
      </c>
      <c r="B21" s="26" t="s">
        <v>760</v>
      </c>
      <c r="C21" s="48"/>
    </row>
  </sheetData>
  <mergeCells count="2">
    <mergeCell ref="B20:L20"/>
    <mergeCell ref="A3:Q3"/>
  </mergeCells>
  <pageMargins left="0.59055118110236227" right="0.19685039370078741" top="0.59055118110236227" bottom="0.39370078740157483" header="0.19685039370078741" footer="0.19685039370078741"/>
  <pageSetup paperSize="9" scale="50" orientation="portrait" r:id="rId1"/>
  <headerFooter alignWithMargins="0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Q21"/>
  <sheetViews>
    <sheetView view="pageBreakPreview" zoomScale="90" zoomScaleNormal="100" zoomScaleSheetLayoutView="90" workbookViewId="0">
      <pane xSplit="2" ySplit="5" topLeftCell="C6" activePane="bottomRight" state="frozen"/>
      <selection activeCell="O6" sqref="O6"/>
      <selection pane="topRight" activeCell="O6" sqref="O6"/>
      <selection pane="bottomLeft" activeCell="O6" sqref="O6"/>
      <selection pane="bottomRight" activeCell="N17" sqref="N17"/>
    </sheetView>
  </sheetViews>
  <sheetFormatPr defaultColWidth="0.85546875" defaultRowHeight="15"/>
  <cols>
    <col min="1" max="1" width="6.42578125" style="1" customWidth="1"/>
    <col min="2" max="2" width="32.7109375" style="1" customWidth="1"/>
    <col min="3" max="3" width="16" style="21" customWidth="1"/>
    <col min="4" max="4" width="12.7109375" style="1" hidden="1" customWidth="1"/>
    <col min="5" max="6" width="12.42578125" style="1" hidden="1" customWidth="1"/>
    <col min="7" max="7" width="13.42578125" style="1" hidden="1" customWidth="1"/>
    <col min="8" max="8" width="12.7109375" style="1" customWidth="1"/>
    <col min="9" max="11" width="13.42578125" style="1" customWidth="1"/>
    <col min="12" max="12" width="15.7109375" style="1" customWidth="1"/>
    <col min="13" max="13" width="11.28515625" style="1" customWidth="1"/>
    <col min="14" max="14" width="11.140625" style="1" customWidth="1"/>
    <col min="15" max="15" width="13.5703125" style="1" customWidth="1"/>
    <col min="16" max="17" width="11.140625" style="1" customWidth="1"/>
    <col min="18" max="266" width="4" style="1" customWidth="1"/>
    <col min="267" max="16384" width="0.85546875" style="1"/>
  </cols>
  <sheetData>
    <row r="1" spans="1:17" s="5" customFormat="1" ht="19.5" customHeight="1">
      <c r="A1" s="74" t="s">
        <v>765</v>
      </c>
      <c r="C1" s="20"/>
      <c r="L1" s="6"/>
      <c r="N1" s="6"/>
      <c r="O1" s="6"/>
      <c r="P1" s="6"/>
      <c r="Q1" s="6" t="s">
        <v>746</v>
      </c>
    </row>
    <row r="2" spans="1:17" s="5" customFormat="1" ht="12.75" customHeight="1">
      <c r="A2" s="759" t="str">
        <f>'6.6_теплонос.котельн_2 контур'!A2</f>
        <v>ПКГО - выработка котельными</v>
      </c>
      <c r="C2" s="20"/>
    </row>
    <row r="3" spans="1:17" ht="56.25" customHeight="1">
      <c r="A3" s="1915" t="s">
        <v>1502</v>
      </c>
      <c r="B3" s="1915"/>
      <c r="C3" s="1915"/>
      <c r="D3" s="1915"/>
      <c r="E3" s="1915"/>
      <c r="F3" s="1915"/>
      <c r="G3" s="1915"/>
      <c r="H3" s="1915"/>
      <c r="I3" s="1915"/>
      <c r="J3" s="1915"/>
      <c r="K3" s="1915"/>
      <c r="L3" s="1915"/>
      <c r="M3" s="1962"/>
      <c r="N3" s="1962"/>
      <c r="O3" s="1962"/>
      <c r="P3" s="1962"/>
      <c r="Q3" s="1962"/>
    </row>
    <row r="4" spans="1:17" ht="12.75" customHeight="1"/>
    <row r="5" spans="1:17" s="3" customFormat="1" ht="42.75">
      <c r="A5" s="426" t="s">
        <v>132</v>
      </c>
      <c r="B5" s="426" t="s">
        <v>1</v>
      </c>
      <c r="C5" s="426" t="s">
        <v>621</v>
      </c>
      <c r="D5" s="418" t="s">
        <v>1491</v>
      </c>
      <c r="E5" s="418" t="s">
        <v>1130</v>
      </c>
      <c r="F5" s="1312" t="s">
        <v>1492</v>
      </c>
      <c r="G5" s="418" t="s">
        <v>1708</v>
      </c>
      <c r="H5" s="1312" t="s">
        <v>1707</v>
      </c>
      <c r="I5" s="418" t="s">
        <v>1857</v>
      </c>
      <c r="J5" s="1312" t="s">
        <v>1858</v>
      </c>
      <c r="K5" s="418" t="s">
        <v>1834</v>
      </c>
      <c r="L5" s="418" t="s">
        <v>1560</v>
      </c>
      <c r="M5" s="418" t="s">
        <v>763</v>
      </c>
      <c r="N5" s="418" t="s">
        <v>764</v>
      </c>
      <c r="O5" s="418" t="s">
        <v>1875</v>
      </c>
      <c r="P5" s="418" t="s">
        <v>763</v>
      </c>
      <c r="Q5" s="418" t="s">
        <v>764</v>
      </c>
    </row>
    <row r="6" spans="1:17" s="2" customFormat="1" ht="14.25" customHeight="1">
      <c r="A6" s="11">
        <v>1</v>
      </c>
      <c r="B6" s="11">
        <v>2</v>
      </c>
      <c r="C6" s="11">
        <v>3</v>
      </c>
      <c r="D6" s="11">
        <v>4</v>
      </c>
      <c r="E6" s="11">
        <v>5</v>
      </c>
      <c r="F6" s="11">
        <v>6</v>
      </c>
      <c r="G6" s="11">
        <v>7</v>
      </c>
      <c r="H6" s="11">
        <v>8</v>
      </c>
      <c r="I6" s="11">
        <v>9</v>
      </c>
      <c r="J6" s="11">
        <v>8</v>
      </c>
      <c r="K6" s="11">
        <v>9</v>
      </c>
      <c r="L6" s="11">
        <v>10</v>
      </c>
      <c r="M6" s="11">
        <v>11</v>
      </c>
      <c r="N6" s="13">
        <v>12</v>
      </c>
      <c r="O6" s="11">
        <v>10</v>
      </c>
      <c r="P6" s="11">
        <v>11</v>
      </c>
      <c r="Q6" s="13">
        <v>12</v>
      </c>
    </row>
    <row r="7" spans="1:17" s="36" customFormat="1" ht="15" customHeight="1">
      <c r="A7" s="82" t="s">
        <v>361</v>
      </c>
      <c r="B7" s="429" t="s">
        <v>747</v>
      </c>
      <c r="C7" s="430" t="s">
        <v>733</v>
      </c>
      <c r="D7" s="431"/>
      <c r="E7" s="431"/>
      <c r="F7" s="431"/>
      <c r="G7" s="431"/>
      <c r="H7" s="431"/>
      <c r="I7" s="431"/>
      <c r="J7" s="431"/>
      <c r="K7" s="431"/>
      <c r="L7" s="431"/>
      <c r="M7" s="431"/>
      <c r="N7" s="431"/>
      <c r="O7" s="431"/>
      <c r="P7" s="431"/>
      <c r="Q7" s="431"/>
    </row>
    <row r="8" spans="1:17" s="36" customFormat="1" ht="29.25" customHeight="1">
      <c r="A8" s="60" t="s">
        <v>5</v>
      </c>
      <c r="B8" s="59" t="s">
        <v>748</v>
      </c>
      <c r="C8" s="91" t="s">
        <v>733</v>
      </c>
      <c r="D8" s="869" t="e">
        <f>'6.6_теплонос.котельн_2 контур'!D26</f>
        <v>#DIV/0!</v>
      </c>
      <c r="E8" s="869">
        <f>'6.6_теплонос.котельн_2 контур'!E26</f>
        <v>5.1858338932498985E-2</v>
      </c>
      <c r="F8" s="869">
        <f>'6.6_теплонос.котельн_2 контур'!F26</f>
        <v>34.96</v>
      </c>
      <c r="G8" s="869">
        <f>'6.6_теплонос.котельн_2 контур'!G26</f>
        <v>35.864807546509226</v>
      </c>
      <c r="H8" s="869" t="e">
        <f>'6.6_теплонос.котельн_2 контур'!H26</f>
        <v>#DIV/0!</v>
      </c>
      <c r="I8" s="869">
        <v>39.938795745680736</v>
      </c>
      <c r="J8" s="869">
        <v>0</v>
      </c>
      <c r="K8" s="869">
        <v>42.366813493857087</v>
      </c>
      <c r="L8" s="869">
        <v>44.744366303789924</v>
      </c>
      <c r="M8" s="869">
        <v>42.97</v>
      </c>
      <c r="N8" s="1136">
        <v>46.880269999999996</v>
      </c>
      <c r="O8" s="869">
        <v>47.783599820709512</v>
      </c>
      <c r="P8" s="869">
        <v>46.880269999999996</v>
      </c>
      <c r="Q8" s="1136">
        <v>48.989882149999993</v>
      </c>
    </row>
    <row r="9" spans="1:17" s="36" customFormat="1" ht="44.25" customHeight="1">
      <c r="A9" s="60" t="s">
        <v>11</v>
      </c>
      <c r="B9" s="59" t="s">
        <v>749</v>
      </c>
      <c r="C9" s="91" t="s">
        <v>727</v>
      </c>
      <c r="D9" s="427"/>
      <c r="E9" s="427"/>
      <c r="F9" s="427"/>
      <c r="G9" s="427"/>
      <c r="H9" s="427"/>
      <c r="I9" s="427"/>
      <c r="J9" s="427"/>
      <c r="K9" s="427"/>
      <c r="L9" s="18">
        <v>0</v>
      </c>
      <c r="M9" s="18"/>
      <c r="N9" s="18"/>
      <c r="O9" s="18">
        <v>0</v>
      </c>
      <c r="P9" s="18"/>
      <c r="Q9" s="18"/>
    </row>
    <row r="10" spans="1:17" s="36" customFormat="1" hidden="1">
      <c r="A10" s="60"/>
      <c r="B10" s="59" t="s">
        <v>26</v>
      </c>
      <c r="C10" s="11"/>
      <c r="D10" s="14"/>
      <c r="E10" s="14"/>
      <c r="F10" s="14"/>
      <c r="G10" s="14"/>
      <c r="H10" s="14"/>
      <c r="I10" s="14"/>
      <c r="J10" s="14"/>
      <c r="K10" s="14"/>
      <c r="L10" s="66"/>
      <c r="M10" s="425"/>
      <c r="N10" s="425"/>
      <c r="O10" s="66"/>
      <c r="P10" s="425"/>
      <c r="Q10" s="425"/>
    </row>
    <row r="11" spans="1:17" s="36" customFormat="1" ht="29.25" hidden="1" customHeight="1">
      <c r="A11" s="60" t="s">
        <v>750</v>
      </c>
      <c r="B11" s="59" t="s">
        <v>751</v>
      </c>
      <c r="C11" s="11" t="s">
        <v>733</v>
      </c>
      <c r="D11" s="14"/>
      <c r="E11" s="14"/>
      <c r="F11" s="14"/>
      <c r="G11" s="14"/>
      <c r="H11" s="14"/>
      <c r="I11" s="14"/>
      <c r="J11" s="14"/>
      <c r="K11" s="14"/>
      <c r="L11" s="66"/>
      <c r="M11" s="425"/>
      <c r="N11" s="425"/>
      <c r="O11" s="66"/>
      <c r="P11" s="425"/>
      <c r="Q11" s="425"/>
    </row>
    <row r="12" spans="1:17" s="36" customFormat="1" ht="44.25" hidden="1" customHeight="1">
      <c r="A12" s="60" t="s">
        <v>752</v>
      </c>
      <c r="B12" s="59" t="s">
        <v>753</v>
      </c>
      <c r="C12" s="11" t="s">
        <v>727</v>
      </c>
      <c r="D12" s="14"/>
      <c r="E12" s="14"/>
      <c r="F12" s="14"/>
      <c r="G12" s="14"/>
      <c r="H12" s="14"/>
      <c r="I12" s="14"/>
      <c r="J12" s="14"/>
      <c r="K12" s="14"/>
      <c r="L12" s="66"/>
      <c r="M12" s="425"/>
      <c r="N12" s="425"/>
      <c r="O12" s="66"/>
      <c r="P12" s="425"/>
      <c r="Q12" s="425"/>
    </row>
    <row r="13" spans="1:17" s="36" customFormat="1" ht="28.5">
      <c r="A13" s="82" t="s">
        <v>385</v>
      </c>
      <c r="B13" s="429" t="s">
        <v>754</v>
      </c>
      <c r="C13" s="430"/>
      <c r="D13" s="432"/>
      <c r="E13" s="432"/>
      <c r="F13" s="432"/>
      <c r="G13" s="432"/>
      <c r="H13" s="432"/>
      <c r="I13" s="432"/>
      <c r="J13" s="432"/>
      <c r="K13" s="432"/>
      <c r="L13" s="432"/>
      <c r="M13" s="432"/>
      <c r="N13" s="432"/>
      <c r="O13" s="432"/>
      <c r="P13" s="432"/>
      <c r="Q13" s="432"/>
    </row>
    <row r="14" spans="1:17" s="36" customFormat="1" ht="29.25" customHeight="1">
      <c r="A14" s="60" t="s">
        <v>4</v>
      </c>
      <c r="B14" s="59" t="s">
        <v>755</v>
      </c>
      <c r="C14" s="91" t="s">
        <v>326</v>
      </c>
      <c r="D14" s="870">
        <f>'4.6_котельные'!C99</f>
        <v>5142.190431587901</v>
      </c>
      <c r="E14" s="870">
        <f>'4.6_котельные'!D99</f>
        <v>7409.5555811542818</v>
      </c>
      <c r="F14" s="991">
        <f>'4.6_котельные'!E99</f>
        <v>4424.0090918930618</v>
      </c>
      <c r="G14" s="870">
        <f>'4.6_котельные'!F99</f>
        <v>6271.0369219513532</v>
      </c>
      <c r="H14" s="870">
        <f>'4.6_котельные'!G99</f>
        <v>4934.1195542729702</v>
      </c>
      <c r="I14" s="870">
        <v>6673.2421183147308</v>
      </c>
      <c r="J14" s="870" t="e">
        <v>#DIV/0!</v>
      </c>
      <c r="K14" s="870">
        <v>6771.3178138077501</v>
      </c>
      <c r="L14" s="870">
        <v>9017.0089349405171</v>
      </c>
      <c r="M14" s="870">
        <v>6815.453300870684</v>
      </c>
      <c r="N14" s="428">
        <v>12453.413417086389</v>
      </c>
      <c r="O14" s="870">
        <v>8501.8217847907054</v>
      </c>
      <c r="P14" s="870">
        <v>7198.0461335590899</v>
      </c>
      <c r="Q14" s="870">
        <v>10536.872521505753</v>
      </c>
    </row>
    <row r="15" spans="1:17" s="36" customFormat="1" ht="29.25" customHeight="1">
      <c r="A15" s="60" t="s">
        <v>23</v>
      </c>
      <c r="B15" s="59" t="s">
        <v>756</v>
      </c>
      <c r="C15" s="11"/>
      <c r="D15" s="14"/>
      <c r="E15" s="14"/>
      <c r="F15" s="14"/>
      <c r="G15" s="14"/>
      <c r="H15" s="14"/>
      <c r="I15" s="14"/>
      <c r="J15" s="14"/>
      <c r="K15" s="14"/>
      <c r="L15" s="66"/>
      <c r="M15" s="425"/>
      <c r="N15" s="425"/>
      <c r="O15" s="66"/>
      <c r="P15" s="425"/>
      <c r="Q15" s="425"/>
    </row>
    <row r="16" spans="1:17" s="36" customFormat="1" ht="15" customHeight="1">
      <c r="A16" s="60"/>
      <c r="B16" s="69" t="s">
        <v>633</v>
      </c>
      <c r="C16" s="11" t="s">
        <v>326</v>
      </c>
      <c r="D16" s="14"/>
      <c r="E16" s="14"/>
      <c r="F16" s="14"/>
      <c r="G16" s="14"/>
      <c r="H16" s="14"/>
      <c r="I16" s="14"/>
      <c r="J16" s="14"/>
      <c r="K16" s="14"/>
      <c r="L16" s="66"/>
      <c r="M16" s="425"/>
      <c r="N16" s="425"/>
      <c r="O16" s="66"/>
      <c r="P16" s="425"/>
      <c r="Q16" s="425"/>
    </row>
    <row r="17" spans="1:17" s="36" customFormat="1" ht="29.25" customHeight="1">
      <c r="A17" s="60"/>
      <c r="B17" s="69" t="s">
        <v>757</v>
      </c>
      <c r="C17" s="37" t="s">
        <v>758</v>
      </c>
      <c r="D17" s="14"/>
      <c r="E17" s="14"/>
      <c r="F17" s="14"/>
      <c r="G17" s="14"/>
      <c r="H17" s="14"/>
      <c r="I17" s="14"/>
      <c r="J17" s="14"/>
      <c r="K17" s="14"/>
      <c r="L17" s="66"/>
      <c r="M17" s="425"/>
      <c r="N17" s="425"/>
      <c r="O17" s="66"/>
      <c r="P17" s="425"/>
      <c r="Q17" s="425"/>
    </row>
    <row r="19" spans="1:17" s="26" customFormat="1" ht="15.75" customHeight="1">
      <c r="A19" s="804" t="s">
        <v>88</v>
      </c>
      <c r="C19" s="48"/>
    </row>
    <row r="20" spans="1:17" s="804" customFormat="1" ht="110.25" customHeight="1">
      <c r="A20" s="804" t="s">
        <v>89</v>
      </c>
      <c r="B20" s="1842" t="s">
        <v>759</v>
      </c>
      <c r="C20" s="1842"/>
      <c r="D20" s="1842"/>
      <c r="E20" s="1842"/>
      <c r="F20" s="1842"/>
      <c r="G20" s="1842"/>
      <c r="H20" s="1842"/>
      <c r="I20" s="1842"/>
      <c r="J20" s="1842"/>
      <c r="K20" s="1842"/>
      <c r="L20" s="1842"/>
      <c r="O20" s="1741"/>
      <c r="P20" s="1741"/>
      <c r="Q20" s="1741"/>
    </row>
    <row r="21" spans="1:17" s="26" customFormat="1" ht="24" customHeight="1">
      <c r="A21" s="26" t="s">
        <v>91</v>
      </c>
      <c r="B21" s="26" t="s">
        <v>760</v>
      </c>
      <c r="C21" s="48"/>
    </row>
  </sheetData>
  <mergeCells count="2">
    <mergeCell ref="B20:L20"/>
    <mergeCell ref="A3:Q3"/>
  </mergeCells>
  <pageMargins left="0.62992125984251968" right="0.27559055118110237" top="0.59055118110236227" bottom="0.39370078740157483" header="0.19685039370078741" footer="0.19685039370078741"/>
  <pageSetup paperSize="9" scale="50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46"/>
  <sheetViews>
    <sheetView view="pageBreakPreview" zoomScaleNormal="100" zoomScaleSheetLayoutView="100" workbookViewId="0">
      <pane xSplit="2" ySplit="6" topLeftCell="C61" activePane="bottomRight" state="frozen"/>
      <selection pane="topRight" activeCell="C1" sqref="C1"/>
      <selection pane="bottomLeft" activeCell="A7" sqref="A7"/>
      <selection pane="bottomRight" activeCell="A2" sqref="A2"/>
    </sheetView>
  </sheetViews>
  <sheetFormatPr defaultColWidth="3.42578125" defaultRowHeight="12" customHeight="1" outlineLevelRow="1"/>
  <cols>
    <col min="1" max="1" width="12" style="26" customWidth="1"/>
    <col min="2" max="2" width="16.28515625" style="26" customWidth="1"/>
    <col min="3" max="5" width="11.7109375" style="48" customWidth="1"/>
    <col min="6" max="6" width="10.42578125" style="48" customWidth="1"/>
    <col min="7" max="10" width="5" style="48" customWidth="1"/>
    <col min="11" max="11" width="11.28515625" style="48" customWidth="1"/>
    <col min="12" max="12" width="11.140625" style="48" customWidth="1"/>
    <col min="13" max="13" width="10" style="48" customWidth="1"/>
    <col min="14" max="14" width="11.28515625" style="48" customWidth="1"/>
    <col min="15" max="15" width="12.5703125" style="48" customWidth="1"/>
    <col min="16" max="18" width="10.7109375" style="48" customWidth="1"/>
    <col min="19" max="52" width="14.28515625" style="26" customWidth="1"/>
    <col min="53" max="16384" width="3.42578125" style="26"/>
  </cols>
  <sheetData>
    <row r="1" spans="1:18" s="24" customFormat="1" ht="21" customHeight="1">
      <c r="A1" s="74" t="s">
        <v>765</v>
      </c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25" t="s">
        <v>327</v>
      </c>
    </row>
    <row r="2" spans="1:18" ht="9" customHeight="1">
      <c r="A2" s="105" t="str">
        <f>'3.1'!$A$2</f>
        <v>ПКГО - Комбинированная выработка КТЭЦ</v>
      </c>
    </row>
    <row r="3" spans="1:18" ht="18.75">
      <c r="A3" s="1876" t="s">
        <v>328</v>
      </c>
      <c r="B3" s="1876"/>
      <c r="C3" s="1876"/>
      <c r="D3" s="1876"/>
      <c r="E3" s="1876"/>
      <c r="F3" s="1876"/>
      <c r="G3" s="1876"/>
      <c r="H3" s="1876"/>
      <c r="I3" s="1876"/>
      <c r="J3" s="1876"/>
      <c r="K3" s="1876"/>
      <c r="L3" s="1876"/>
      <c r="M3" s="1876"/>
      <c r="N3" s="1876"/>
      <c r="O3" s="1876"/>
      <c r="P3" s="1876"/>
      <c r="Q3" s="1876"/>
      <c r="R3" s="1876"/>
    </row>
    <row r="4" spans="1:18" s="28" customFormat="1" ht="15.75" customHeight="1"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  <c r="P4" s="64"/>
      <c r="Q4" s="64"/>
      <c r="R4" s="64"/>
    </row>
    <row r="5" spans="1:18" s="31" customFormat="1" ht="29.25" customHeight="1">
      <c r="A5" s="1873" t="s">
        <v>329</v>
      </c>
      <c r="B5" s="1873" t="s">
        <v>330</v>
      </c>
      <c r="C5" s="1846" t="s">
        <v>331</v>
      </c>
      <c r="D5" s="1846"/>
      <c r="E5" s="1846"/>
      <c r="F5" s="1846" t="s">
        <v>332</v>
      </c>
      <c r="G5" s="1846"/>
      <c r="H5" s="1846"/>
      <c r="I5" s="1846"/>
      <c r="J5" s="1846"/>
      <c r="K5" s="1846"/>
      <c r="L5" s="1846"/>
      <c r="M5" s="1846" t="s">
        <v>209</v>
      </c>
      <c r="N5" s="1846"/>
      <c r="O5" s="1846"/>
      <c r="P5" s="1846" t="s">
        <v>333</v>
      </c>
      <c r="Q5" s="1846"/>
      <c r="R5" s="1846"/>
    </row>
    <row r="6" spans="1:18" s="31" customFormat="1" ht="105.75" customHeight="1">
      <c r="A6" s="1873"/>
      <c r="B6" s="1873"/>
      <c r="C6" s="65" t="s">
        <v>334</v>
      </c>
      <c r="D6" s="65" t="s">
        <v>335</v>
      </c>
      <c r="E6" s="65" t="s">
        <v>336</v>
      </c>
      <c r="F6" s="65" t="s">
        <v>337</v>
      </c>
      <c r="G6" s="65" t="s">
        <v>338</v>
      </c>
      <c r="H6" s="65" t="s">
        <v>339</v>
      </c>
      <c r="I6" s="65" t="s">
        <v>340</v>
      </c>
      <c r="J6" s="65" t="s">
        <v>341</v>
      </c>
      <c r="K6" s="65" t="s">
        <v>342</v>
      </c>
      <c r="L6" s="65" t="s">
        <v>336</v>
      </c>
      <c r="M6" s="65" t="s">
        <v>337</v>
      </c>
      <c r="N6" s="65" t="s">
        <v>335</v>
      </c>
      <c r="O6" s="65" t="s">
        <v>336</v>
      </c>
      <c r="P6" s="65" t="s">
        <v>337</v>
      </c>
      <c r="Q6" s="65" t="s">
        <v>335</v>
      </c>
      <c r="R6" s="65" t="s">
        <v>336</v>
      </c>
    </row>
    <row r="7" spans="1:18" s="48" customFormat="1" ht="15">
      <c r="A7" s="13">
        <v>1</v>
      </c>
      <c r="B7" s="13">
        <v>2</v>
      </c>
      <c r="C7" s="33">
        <v>3</v>
      </c>
      <c r="D7" s="33">
        <v>4</v>
      </c>
      <c r="E7" s="33">
        <v>5</v>
      </c>
      <c r="F7" s="33">
        <v>6</v>
      </c>
      <c r="G7" s="33">
        <v>7</v>
      </c>
      <c r="H7" s="33">
        <v>8</v>
      </c>
      <c r="I7" s="33">
        <v>9</v>
      </c>
      <c r="J7" s="33">
        <v>10</v>
      </c>
      <c r="K7" s="33">
        <v>11</v>
      </c>
      <c r="L7" s="33">
        <v>12</v>
      </c>
      <c r="M7" s="33">
        <v>13</v>
      </c>
      <c r="N7" s="33">
        <v>14</v>
      </c>
      <c r="O7" s="33">
        <v>15</v>
      </c>
      <c r="P7" s="33">
        <v>16</v>
      </c>
      <c r="Q7" s="33">
        <v>17</v>
      </c>
      <c r="R7" s="33">
        <v>18</v>
      </c>
    </row>
    <row r="8" spans="1:18" s="78" customFormat="1" ht="14.25">
      <c r="A8" s="1878" t="s">
        <v>771</v>
      </c>
      <c r="B8" s="1879"/>
      <c r="C8" s="1879"/>
      <c r="D8" s="1879"/>
      <c r="E8" s="1879"/>
      <c r="F8" s="1879"/>
      <c r="G8" s="1879"/>
      <c r="H8" s="1879"/>
      <c r="I8" s="1879"/>
      <c r="J8" s="1879"/>
      <c r="K8" s="1879"/>
      <c r="L8" s="1879"/>
      <c r="M8" s="1879"/>
      <c r="N8" s="1879"/>
      <c r="O8" s="1879"/>
      <c r="P8" s="1879"/>
      <c r="Q8" s="1879"/>
      <c r="R8" s="1880"/>
    </row>
    <row r="9" spans="1:18" s="28" customFormat="1" ht="15" customHeight="1">
      <c r="A9" s="67" t="s">
        <v>343</v>
      </c>
      <c r="B9" s="68" t="s">
        <v>344</v>
      </c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</row>
    <row r="10" spans="1:18" s="28" customFormat="1" ht="15" customHeight="1">
      <c r="A10" s="67"/>
      <c r="B10" s="68" t="s">
        <v>345</v>
      </c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</row>
    <row r="11" spans="1:18" s="28" customFormat="1" ht="15" customHeight="1">
      <c r="A11" s="67"/>
      <c r="B11" s="68" t="s">
        <v>346</v>
      </c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</row>
    <row r="12" spans="1:18" s="28" customFormat="1" ht="15" customHeight="1">
      <c r="A12" s="67"/>
      <c r="B12" s="68" t="s">
        <v>769</v>
      </c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</row>
    <row r="13" spans="1:18" s="28" customFormat="1" ht="15" customHeight="1">
      <c r="A13" s="67"/>
      <c r="B13" s="68" t="s">
        <v>348</v>
      </c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</row>
    <row r="14" spans="1:18" s="28" customFormat="1" ht="15">
      <c r="A14" s="67"/>
      <c r="B14" s="68" t="s">
        <v>26</v>
      </c>
      <c r="C14" s="38"/>
      <c r="D14" s="38"/>
      <c r="E14" s="38"/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</row>
    <row r="15" spans="1:18" s="28" customFormat="1" ht="15">
      <c r="A15" s="67" t="s">
        <v>50</v>
      </c>
      <c r="B15" s="68" t="s">
        <v>26</v>
      </c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</row>
    <row r="16" spans="1:18" s="28" customFormat="1" ht="15">
      <c r="A16" s="67"/>
      <c r="B16" s="68"/>
      <c r="C16" s="38"/>
      <c r="D16" s="38"/>
      <c r="E16" s="38"/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</row>
    <row r="17" spans="1:18" s="28" customFormat="1" ht="15" customHeight="1">
      <c r="A17" s="67" t="s">
        <v>349</v>
      </c>
      <c r="B17" s="68" t="s">
        <v>344</v>
      </c>
      <c r="C17" s="38"/>
      <c r="D17" s="38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</row>
    <row r="18" spans="1:18" s="28" customFormat="1" ht="15" customHeight="1">
      <c r="A18" s="67"/>
      <c r="B18" s="68" t="s">
        <v>345</v>
      </c>
      <c r="C18" s="38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</row>
    <row r="19" spans="1:18" s="28" customFormat="1" ht="15" customHeight="1">
      <c r="A19" s="67"/>
      <c r="B19" s="68" t="s">
        <v>346</v>
      </c>
      <c r="C19" s="38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</row>
    <row r="20" spans="1:18" s="28" customFormat="1" ht="15" customHeight="1">
      <c r="A20" s="67"/>
      <c r="B20" s="68" t="s">
        <v>347</v>
      </c>
      <c r="C20" s="38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</row>
    <row r="21" spans="1:18" s="28" customFormat="1" ht="15" customHeight="1">
      <c r="A21" s="67"/>
      <c r="B21" s="68" t="s">
        <v>348</v>
      </c>
      <c r="C21" s="38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</row>
    <row r="22" spans="1:18" s="77" customFormat="1" ht="15" customHeight="1">
      <c r="A22" s="79"/>
      <c r="B22" s="80" t="s">
        <v>770</v>
      </c>
      <c r="C22" s="8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</row>
    <row r="23" spans="1:18" s="78" customFormat="1" ht="18" customHeight="1">
      <c r="A23" s="1878" t="s">
        <v>773</v>
      </c>
      <c r="B23" s="1879"/>
      <c r="C23" s="1879"/>
      <c r="D23" s="1879"/>
      <c r="E23" s="1879"/>
      <c r="F23" s="1879"/>
      <c r="G23" s="1879"/>
      <c r="H23" s="1879"/>
      <c r="I23" s="1879"/>
      <c r="J23" s="1879"/>
      <c r="K23" s="1879"/>
      <c r="L23" s="1879"/>
      <c r="M23" s="1879"/>
      <c r="N23" s="1879"/>
      <c r="O23" s="1879"/>
      <c r="P23" s="1879"/>
      <c r="Q23" s="1879"/>
      <c r="R23" s="1880"/>
    </row>
    <row r="24" spans="1:18" s="28" customFormat="1" ht="15" customHeight="1">
      <c r="A24" s="67" t="s">
        <v>343</v>
      </c>
      <c r="B24" s="68" t="s">
        <v>344</v>
      </c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</row>
    <row r="25" spans="1:18" s="28" customFormat="1" ht="15" customHeight="1">
      <c r="A25" s="67"/>
      <c r="B25" s="68" t="s">
        <v>345</v>
      </c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</row>
    <row r="26" spans="1:18" s="28" customFormat="1" ht="15" customHeight="1">
      <c r="A26" s="67"/>
      <c r="B26" s="68" t="s">
        <v>346</v>
      </c>
      <c r="C26" s="38"/>
      <c r="D26" s="38"/>
      <c r="E26" s="38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</row>
    <row r="27" spans="1:18" s="28" customFormat="1" ht="15" customHeight="1">
      <c r="A27" s="67"/>
      <c r="B27" s="68" t="s">
        <v>347</v>
      </c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</row>
    <row r="28" spans="1:18" s="28" customFormat="1" ht="15" customHeight="1">
      <c r="A28" s="67"/>
      <c r="B28" s="68" t="s">
        <v>348</v>
      </c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</row>
    <row r="29" spans="1:18" s="28" customFormat="1" ht="15">
      <c r="A29" s="67"/>
      <c r="B29" s="68" t="s">
        <v>26</v>
      </c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</row>
    <row r="30" spans="1:18" s="28" customFormat="1" ht="15">
      <c r="A30" s="67" t="s">
        <v>50</v>
      </c>
      <c r="B30" s="68" t="s">
        <v>26</v>
      </c>
      <c r="C30" s="38"/>
      <c r="D30" s="38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</row>
    <row r="31" spans="1:18" s="28" customFormat="1" ht="15">
      <c r="A31" s="67"/>
      <c r="B31" s="68"/>
      <c r="C31" s="38"/>
      <c r="D31" s="38"/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</row>
    <row r="32" spans="1:18" s="28" customFormat="1" ht="15">
      <c r="A32" s="67"/>
      <c r="B32" s="68"/>
      <c r="C32" s="38"/>
      <c r="D32" s="38"/>
      <c r="E32" s="38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</row>
    <row r="33" spans="1:18" s="28" customFormat="1" ht="15" customHeight="1">
      <c r="A33" s="67" t="s">
        <v>349</v>
      </c>
      <c r="B33" s="68" t="s">
        <v>344</v>
      </c>
      <c r="C33" s="38"/>
      <c r="D33" s="38"/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</row>
    <row r="34" spans="1:18" s="28" customFormat="1" ht="15" customHeight="1">
      <c r="A34" s="67"/>
      <c r="B34" s="68" t="s">
        <v>345</v>
      </c>
      <c r="C34" s="38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</row>
    <row r="35" spans="1:18" s="28" customFormat="1" ht="15" customHeight="1">
      <c r="A35" s="67"/>
      <c r="B35" s="68" t="s">
        <v>346</v>
      </c>
      <c r="C35" s="38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</row>
    <row r="36" spans="1:18" s="28" customFormat="1" ht="15" customHeight="1">
      <c r="A36" s="67"/>
      <c r="B36" s="68" t="s">
        <v>347</v>
      </c>
      <c r="C36" s="38"/>
      <c r="D36" s="38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</row>
    <row r="37" spans="1:18" s="28" customFormat="1" ht="15" customHeight="1">
      <c r="A37" s="67"/>
      <c r="B37" s="68" t="s">
        <v>348</v>
      </c>
      <c r="C37" s="38"/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</row>
    <row r="38" spans="1:18" s="77" customFormat="1" ht="15" customHeight="1">
      <c r="A38" s="79"/>
      <c r="B38" s="80" t="s">
        <v>770</v>
      </c>
      <c r="C38" s="8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</row>
    <row r="39" spans="1:18" s="78" customFormat="1" ht="18" customHeight="1">
      <c r="A39" s="1878" t="s">
        <v>776</v>
      </c>
      <c r="B39" s="1879"/>
      <c r="C39" s="1879"/>
      <c r="D39" s="1879"/>
      <c r="E39" s="1879"/>
      <c r="F39" s="1879"/>
      <c r="G39" s="1879"/>
      <c r="H39" s="1879"/>
      <c r="I39" s="1879"/>
      <c r="J39" s="1879"/>
      <c r="K39" s="1879"/>
      <c r="L39" s="1879"/>
      <c r="M39" s="1879"/>
      <c r="N39" s="1879"/>
      <c r="O39" s="1879"/>
      <c r="P39" s="1879"/>
      <c r="Q39" s="1879"/>
      <c r="R39" s="1880"/>
    </row>
    <row r="40" spans="1:18" s="28" customFormat="1" ht="15" customHeight="1">
      <c r="A40" s="67" t="s">
        <v>343</v>
      </c>
      <c r="B40" s="68" t="s">
        <v>344</v>
      </c>
      <c r="C40" s="38"/>
      <c r="D40" s="38"/>
      <c r="E40" s="38"/>
      <c r="F40" s="38"/>
      <c r="G40" s="38"/>
      <c r="H40" s="38"/>
      <c r="I40" s="38"/>
      <c r="J40" s="38"/>
      <c r="K40" s="38"/>
      <c r="L40" s="38"/>
      <c r="M40" s="38"/>
      <c r="N40" s="38"/>
      <c r="O40" s="38"/>
      <c r="P40" s="38"/>
      <c r="Q40" s="38"/>
      <c r="R40" s="38"/>
    </row>
    <row r="41" spans="1:18" s="28" customFormat="1" ht="15" customHeight="1">
      <c r="A41" s="67"/>
      <c r="B41" s="68" t="s">
        <v>345</v>
      </c>
      <c r="C41" s="38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/>
    </row>
    <row r="42" spans="1:18" s="28" customFormat="1" ht="15" customHeight="1">
      <c r="A42" s="67"/>
      <c r="B42" s="68" t="s">
        <v>346</v>
      </c>
      <c r="C42" s="38"/>
      <c r="D42" s="38"/>
      <c r="E42" s="38"/>
      <c r="F42" s="38"/>
      <c r="G42" s="38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</row>
    <row r="43" spans="1:18" s="28" customFormat="1" ht="15" customHeight="1">
      <c r="A43" s="67"/>
      <c r="B43" s="68" t="s">
        <v>347</v>
      </c>
      <c r="C43" s="38"/>
      <c r="D43" s="38"/>
      <c r="E43" s="38"/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</row>
    <row r="44" spans="1:18" s="28" customFormat="1" ht="15" customHeight="1">
      <c r="A44" s="67"/>
      <c r="B44" s="68" t="s">
        <v>348</v>
      </c>
      <c r="C44" s="38"/>
      <c r="D44" s="38"/>
      <c r="E44" s="38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</row>
    <row r="45" spans="1:18" s="28" customFormat="1" ht="15">
      <c r="A45" s="67"/>
      <c r="B45" s="68" t="s">
        <v>26</v>
      </c>
      <c r="C45" s="38"/>
      <c r="D45" s="38"/>
      <c r="E45" s="38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</row>
    <row r="46" spans="1:18" s="28" customFormat="1" ht="15">
      <c r="A46" s="67" t="s">
        <v>50</v>
      </c>
      <c r="B46" s="68" t="s">
        <v>26</v>
      </c>
      <c r="C46" s="38"/>
      <c r="D46" s="38"/>
      <c r="E46" s="38"/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</row>
    <row r="47" spans="1:18" s="28" customFormat="1" ht="15">
      <c r="A47" s="67"/>
      <c r="B47" s="68"/>
      <c r="C47" s="38"/>
      <c r="D47" s="38"/>
      <c r="E47" s="38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</row>
    <row r="48" spans="1:18" s="28" customFormat="1" ht="15">
      <c r="A48" s="67"/>
      <c r="B48" s="6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</row>
    <row r="49" spans="1:18" s="28" customFormat="1" ht="15" customHeight="1">
      <c r="A49" s="67" t="s">
        <v>349</v>
      </c>
      <c r="B49" s="68" t="s">
        <v>344</v>
      </c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</row>
    <row r="50" spans="1:18" s="28" customFormat="1" ht="15" customHeight="1">
      <c r="A50" s="67"/>
      <c r="B50" s="68" t="s">
        <v>345</v>
      </c>
      <c r="C50" s="38"/>
      <c r="D50" s="38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</row>
    <row r="51" spans="1:18" s="28" customFormat="1" ht="15" customHeight="1">
      <c r="A51" s="67"/>
      <c r="B51" s="68" t="s">
        <v>346</v>
      </c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</row>
    <row r="52" spans="1:18" s="28" customFormat="1" ht="15" customHeight="1">
      <c r="A52" s="67"/>
      <c r="B52" s="68" t="s">
        <v>347</v>
      </c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</row>
    <row r="53" spans="1:18" s="28" customFormat="1" ht="15" customHeight="1">
      <c r="A53" s="67"/>
      <c r="B53" s="68" t="s">
        <v>348</v>
      </c>
      <c r="C53" s="38"/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</row>
    <row r="54" spans="1:18" s="77" customFormat="1" ht="15" customHeight="1">
      <c r="A54" s="79"/>
      <c r="B54" s="80" t="s">
        <v>770</v>
      </c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</row>
    <row r="55" spans="1:18" s="78" customFormat="1" ht="18" customHeight="1">
      <c r="A55" s="1878" t="s">
        <v>777</v>
      </c>
      <c r="B55" s="1879"/>
      <c r="C55" s="1879"/>
      <c r="D55" s="1879"/>
      <c r="E55" s="1879"/>
      <c r="F55" s="1879"/>
      <c r="G55" s="1879"/>
      <c r="H55" s="1879"/>
      <c r="I55" s="1879"/>
      <c r="J55" s="1879"/>
      <c r="K55" s="1879"/>
      <c r="L55" s="1879"/>
      <c r="M55" s="1879"/>
      <c r="N55" s="1879"/>
      <c r="O55" s="1879"/>
      <c r="P55" s="1879"/>
      <c r="Q55" s="1879"/>
      <c r="R55" s="1880"/>
    </row>
    <row r="56" spans="1:18" s="28" customFormat="1" ht="15" customHeight="1">
      <c r="A56" s="67" t="s">
        <v>343</v>
      </c>
      <c r="B56" s="68" t="s">
        <v>344</v>
      </c>
      <c r="C56" s="38"/>
      <c r="D56" s="38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</row>
    <row r="57" spans="1:18" s="28" customFormat="1" ht="15" customHeight="1">
      <c r="A57" s="67"/>
      <c r="B57" s="68" t="s">
        <v>345</v>
      </c>
      <c r="C57" s="38"/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</row>
    <row r="58" spans="1:18" s="28" customFormat="1" ht="15" customHeight="1">
      <c r="A58" s="67"/>
      <c r="B58" s="68" t="s">
        <v>346</v>
      </c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</row>
    <row r="59" spans="1:18" s="28" customFormat="1" ht="15" customHeight="1">
      <c r="A59" s="67"/>
      <c r="B59" s="68" t="s">
        <v>347</v>
      </c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</row>
    <row r="60" spans="1:18" s="28" customFormat="1" ht="15" customHeight="1">
      <c r="A60" s="67"/>
      <c r="B60" s="68" t="s">
        <v>348</v>
      </c>
      <c r="C60" s="3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</row>
    <row r="61" spans="1:18" s="28" customFormat="1" ht="15">
      <c r="A61" s="67"/>
      <c r="B61" s="68" t="s">
        <v>26</v>
      </c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</row>
    <row r="62" spans="1:18" s="28" customFormat="1" ht="15">
      <c r="A62" s="67" t="s">
        <v>50</v>
      </c>
      <c r="B62" s="68" t="s">
        <v>26</v>
      </c>
      <c r="C62" s="38"/>
      <c r="D62" s="38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</row>
    <row r="63" spans="1:18" s="28" customFormat="1" ht="15">
      <c r="A63" s="67"/>
      <c r="B63" s="68"/>
      <c r="C63" s="38"/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</row>
    <row r="64" spans="1:18" s="28" customFormat="1" ht="15">
      <c r="A64" s="67"/>
      <c r="B64" s="68"/>
      <c r="C64" s="38"/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</row>
    <row r="65" spans="1:18" s="28" customFormat="1" ht="15" customHeight="1">
      <c r="A65" s="67" t="s">
        <v>349</v>
      </c>
      <c r="B65" s="68" t="s">
        <v>344</v>
      </c>
      <c r="C65" s="38"/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</row>
    <row r="66" spans="1:18" s="28" customFormat="1" ht="15" customHeight="1">
      <c r="A66" s="67"/>
      <c r="B66" s="68" t="s">
        <v>345</v>
      </c>
      <c r="C66" s="38"/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</row>
    <row r="67" spans="1:18" s="28" customFormat="1" ht="15" customHeight="1">
      <c r="A67" s="67"/>
      <c r="B67" s="68" t="s">
        <v>346</v>
      </c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</row>
    <row r="68" spans="1:18" s="28" customFormat="1" ht="15" customHeight="1">
      <c r="A68" s="67"/>
      <c r="B68" s="68" t="s">
        <v>347</v>
      </c>
      <c r="C68" s="38"/>
      <c r="D68" s="38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</row>
    <row r="69" spans="1:18" s="28" customFormat="1" ht="15" customHeight="1">
      <c r="A69" s="67"/>
      <c r="B69" s="68" t="s">
        <v>348</v>
      </c>
      <c r="C69" s="38"/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</row>
    <row r="70" spans="1:18" s="77" customFormat="1" ht="15" customHeight="1">
      <c r="A70" s="79"/>
      <c r="B70" s="80" t="s">
        <v>770</v>
      </c>
      <c r="C70" s="8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</row>
    <row r="71" spans="1:18" s="28" customFormat="1" ht="15" customHeight="1">
      <c r="A71" s="45"/>
      <c r="B71" s="46"/>
      <c r="C71" s="64"/>
      <c r="D71" s="64"/>
      <c r="E71" s="64"/>
      <c r="F71" s="64"/>
      <c r="G71" s="64"/>
      <c r="H71" s="64"/>
      <c r="I71" s="64"/>
      <c r="J71" s="64"/>
      <c r="K71" s="64"/>
      <c r="L71" s="64"/>
      <c r="M71" s="64"/>
      <c r="N71" s="64"/>
      <c r="O71" s="64"/>
      <c r="P71" s="64"/>
      <c r="Q71" s="64"/>
      <c r="R71" s="64"/>
    </row>
    <row r="72" spans="1:18" s="28" customFormat="1" ht="15" hidden="1" customHeight="1" outlineLevel="1">
      <c r="A72" s="45"/>
      <c r="B72" s="46"/>
      <c r="C72" s="64"/>
      <c r="D72" s="64"/>
      <c r="E72" s="64"/>
      <c r="F72" s="64"/>
      <c r="G72" s="64"/>
      <c r="H72" s="64"/>
      <c r="I72" s="64"/>
      <c r="J72" s="64"/>
      <c r="K72" s="64"/>
      <c r="L72" s="64"/>
      <c r="M72" s="64"/>
      <c r="N72" s="64"/>
      <c r="O72" s="64"/>
      <c r="P72" s="64"/>
      <c r="Q72" s="64"/>
      <c r="R72" s="64"/>
    </row>
    <row r="73" spans="1:18" s="28" customFormat="1" ht="15" hidden="1" customHeight="1" outlineLevel="1">
      <c r="A73" s="45"/>
      <c r="B73" s="46"/>
      <c r="C73" s="64"/>
      <c r="D73" s="64"/>
      <c r="E73" s="64"/>
      <c r="F73" s="64"/>
      <c r="G73" s="64"/>
      <c r="H73" s="64"/>
      <c r="I73" s="64"/>
      <c r="J73" s="64"/>
      <c r="K73" s="64"/>
      <c r="L73" s="64"/>
      <c r="M73" s="64"/>
      <c r="N73" s="64"/>
      <c r="O73" s="64"/>
      <c r="P73" s="64"/>
      <c r="Q73" s="64"/>
      <c r="R73" s="64"/>
    </row>
    <row r="74" spans="1:18" s="28" customFormat="1" ht="15" hidden="1" customHeight="1" outlineLevel="1">
      <c r="A74" s="45"/>
      <c r="B74" s="46"/>
      <c r="C74" s="64"/>
      <c r="D74" s="64"/>
      <c r="E74" s="64"/>
      <c r="F74" s="64"/>
      <c r="G74" s="64"/>
      <c r="H74" s="64"/>
      <c r="I74" s="64"/>
      <c r="J74" s="64"/>
      <c r="K74" s="64"/>
      <c r="L74" s="64"/>
      <c r="M74" s="64"/>
      <c r="N74" s="64"/>
      <c r="O74" s="64"/>
      <c r="P74" s="64"/>
      <c r="Q74" s="64"/>
      <c r="R74" s="64"/>
    </row>
    <row r="75" spans="1:18" s="28" customFormat="1" ht="15" hidden="1" customHeight="1" outlineLevel="1">
      <c r="A75" s="45"/>
      <c r="B75" s="46"/>
      <c r="C75" s="64"/>
      <c r="D75" s="64"/>
      <c r="E75" s="64"/>
      <c r="F75" s="64"/>
      <c r="G75" s="64"/>
      <c r="H75" s="64"/>
      <c r="I75" s="64"/>
      <c r="J75" s="64"/>
      <c r="K75" s="64"/>
      <c r="L75" s="64"/>
      <c r="M75" s="64"/>
      <c r="N75" s="64"/>
      <c r="O75" s="64"/>
      <c r="P75" s="64"/>
      <c r="Q75" s="64"/>
      <c r="R75" s="64"/>
    </row>
    <row r="76" spans="1:18" s="28" customFormat="1" ht="15" hidden="1" customHeight="1" outlineLevel="1">
      <c r="A76" s="45"/>
      <c r="B76" s="46"/>
      <c r="C76" s="64"/>
      <c r="D76" s="64"/>
      <c r="E76" s="64"/>
      <c r="F76" s="64"/>
      <c r="G76" s="64"/>
      <c r="H76" s="64"/>
      <c r="I76" s="64"/>
      <c r="J76" s="64"/>
      <c r="K76" s="64"/>
      <c r="L76" s="64"/>
      <c r="M76" s="64"/>
      <c r="N76" s="64"/>
      <c r="O76" s="64"/>
      <c r="P76" s="64"/>
      <c r="Q76" s="64"/>
      <c r="R76" s="64"/>
    </row>
    <row r="77" spans="1:18" s="28" customFormat="1" ht="15" hidden="1" customHeight="1" outlineLevel="1">
      <c r="A77" s="45"/>
      <c r="B77" s="46"/>
      <c r="C77" s="64"/>
      <c r="D77" s="64"/>
      <c r="E77" s="64"/>
      <c r="F77" s="64"/>
      <c r="G77" s="64"/>
      <c r="H77" s="64"/>
      <c r="I77" s="64"/>
      <c r="J77" s="64"/>
      <c r="K77" s="64"/>
      <c r="L77" s="64"/>
      <c r="M77" s="64"/>
      <c r="N77" s="64"/>
      <c r="O77" s="64"/>
      <c r="P77" s="64"/>
      <c r="Q77" s="64"/>
      <c r="R77" s="64"/>
    </row>
    <row r="78" spans="1:18" s="28" customFormat="1" ht="15" hidden="1" customHeight="1" outlineLevel="1">
      <c r="A78" s="45"/>
      <c r="B78" s="46"/>
      <c r="C78" s="64"/>
      <c r="D78" s="64"/>
      <c r="E78" s="64"/>
      <c r="F78" s="64"/>
      <c r="G78" s="64"/>
      <c r="H78" s="64"/>
      <c r="I78" s="64"/>
      <c r="J78" s="64"/>
      <c r="K78" s="64"/>
      <c r="L78" s="64"/>
      <c r="M78" s="64"/>
      <c r="N78" s="64"/>
      <c r="O78" s="64"/>
      <c r="P78" s="64"/>
      <c r="Q78" s="64"/>
      <c r="R78" s="64"/>
    </row>
    <row r="79" spans="1:18" s="28" customFormat="1" ht="15" hidden="1" customHeight="1" outlineLevel="1">
      <c r="A79" s="45"/>
      <c r="B79" s="46"/>
      <c r="C79" s="64"/>
      <c r="D79" s="64"/>
      <c r="E79" s="64"/>
      <c r="F79" s="64"/>
      <c r="G79" s="64"/>
      <c r="H79" s="64"/>
      <c r="I79" s="64"/>
      <c r="J79" s="64"/>
      <c r="K79" s="64"/>
      <c r="L79" s="64"/>
      <c r="M79" s="64"/>
      <c r="N79" s="64"/>
      <c r="O79" s="64"/>
      <c r="P79" s="64"/>
      <c r="Q79" s="64"/>
      <c r="R79" s="64"/>
    </row>
    <row r="80" spans="1:18" s="28" customFormat="1" ht="15" hidden="1" customHeight="1" outlineLevel="1">
      <c r="A80" s="45"/>
      <c r="B80" s="46"/>
      <c r="C80" s="64"/>
      <c r="D80" s="64"/>
      <c r="E80" s="64"/>
      <c r="F80" s="64"/>
      <c r="G80" s="64"/>
      <c r="H80" s="64"/>
      <c r="I80" s="64"/>
      <c r="J80" s="64"/>
      <c r="K80" s="64"/>
      <c r="L80" s="64"/>
      <c r="M80" s="64"/>
      <c r="N80" s="64"/>
      <c r="O80" s="64"/>
      <c r="P80" s="64"/>
      <c r="Q80" s="64"/>
      <c r="R80" s="64"/>
    </row>
    <row r="81" spans="1:18" s="28" customFormat="1" ht="15" hidden="1" customHeight="1" outlineLevel="1">
      <c r="A81" s="45"/>
      <c r="B81" s="46"/>
      <c r="C81" s="64"/>
      <c r="D81" s="64"/>
      <c r="E81" s="64"/>
      <c r="F81" s="64"/>
      <c r="G81" s="64"/>
      <c r="H81" s="64"/>
      <c r="I81" s="64"/>
      <c r="J81" s="64"/>
      <c r="K81" s="64"/>
      <c r="L81" s="64"/>
      <c r="M81" s="64"/>
      <c r="N81" s="64"/>
      <c r="O81" s="64"/>
      <c r="P81" s="64"/>
      <c r="Q81" s="64"/>
      <c r="R81" s="64"/>
    </row>
    <row r="82" spans="1:18" s="28" customFormat="1" ht="15" hidden="1" customHeight="1" outlineLevel="1">
      <c r="A82" s="45"/>
      <c r="B82" s="46"/>
      <c r="C82" s="64"/>
      <c r="D82" s="64"/>
      <c r="E82" s="64"/>
      <c r="F82" s="64"/>
      <c r="G82" s="64"/>
      <c r="H82" s="64"/>
      <c r="I82" s="64"/>
      <c r="J82" s="64"/>
      <c r="K82" s="64"/>
      <c r="L82" s="64"/>
      <c r="M82" s="64"/>
      <c r="N82" s="64"/>
      <c r="O82" s="64"/>
      <c r="P82" s="64"/>
      <c r="Q82" s="64"/>
      <c r="R82" s="64"/>
    </row>
    <row r="83" spans="1:18" s="28" customFormat="1" ht="15" hidden="1" customHeight="1" outlineLevel="1">
      <c r="A83" s="45"/>
      <c r="B83" s="46"/>
      <c r="C83" s="64"/>
      <c r="D83" s="64"/>
      <c r="E83" s="64"/>
      <c r="F83" s="64"/>
      <c r="G83" s="64"/>
      <c r="H83" s="64"/>
      <c r="I83" s="64"/>
      <c r="J83" s="64"/>
      <c r="K83" s="64"/>
      <c r="L83" s="64"/>
      <c r="M83" s="64"/>
      <c r="N83" s="64"/>
      <c r="O83" s="64"/>
      <c r="P83" s="64"/>
      <c r="Q83" s="64"/>
      <c r="R83" s="64"/>
    </row>
    <row r="84" spans="1:18" s="28" customFormat="1" ht="15" hidden="1" customHeight="1" outlineLevel="1">
      <c r="A84" s="45"/>
      <c r="B84" s="46"/>
      <c r="C84" s="64"/>
      <c r="D84" s="64"/>
      <c r="E84" s="64"/>
      <c r="F84" s="64"/>
      <c r="G84" s="64"/>
      <c r="H84" s="64"/>
      <c r="I84" s="64"/>
      <c r="J84" s="64"/>
      <c r="K84" s="64"/>
      <c r="L84" s="64"/>
      <c r="M84" s="64"/>
      <c r="N84" s="64"/>
      <c r="O84" s="64"/>
      <c r="P84" s="64"/>
      <c r="Q84" s="64"/>
      <c r="R84" s="64"/>
    </row>
    <row r="85" spans="1:18" s="28" customFormat="1" ht="15" hidden="1" customHeight="1" outlineLevel="1">
      <c r="A85" s="45"/>
      <c r="B85" s="46"/>
      <c r="C85" s="64"/>
      <c r="D85" s="64"/>
      <c r="E85" s="64"/>
      <c r="F85" s="64"/>
      <c r="G85" s="64"/>
      <c r="H85" s="64"/>
      <c r="I85" s="64"/>
      <c r="J85" s="64"/>
      <c r="K85" s="64"/>
      <c r="L85" s="64"/>
      <c r="M85" s="64"/>
      <c r="N85" s="64"/>
      <c r="O85" s="64"/>
      <c r="P85" s="64"/>
      <c r="Q85" s="64"/>
      <c r="R85" s="64"/>
    </row>
    <row r="86" spans="1:18" s="28" customFormat="1" ht="15" hidden="1" customHeight="1" outlineLevel="1">
      <c r="A86" s="45"/>
      <c r="B86" s="46"/>
      <c r="C86" s="64"/>
      <c r="D86" s="64"/>
      <c r="E86" s="64"/>
      <c r="F86" s="64"/>
      <c r="G86" s="64"/>
      <c r="H86" s="64"/>
      <c r="I86" s="64"/>
      <c r="J86" s="64"/>
      <c r="K86" s="64"/>
      <c r="L86" s="64"/>
      <c r="M86" s="64"/>
      <c r="N86" s="64"/>
      <c r="O86" s="64"/>
      <c r="P86" s="64"/>
      <c r="Q86" s="64"/>
      <c r="R86" s="64"/>
    </row>
    <row r="87" spans="1:18" s="28" customFormat="1" ht="15" hidden="1" customHeight="1" outlineLevel="1">
      <c r="A87" s="45"/>
      <c r="B87" s="46"/>
      <c r="C87" s="64"/>
      <c r="D87" s="64"/>
      <c r="E87" s="64"/>
      <c r="F87" s="64"/>
      <c r="G87" s="64"/>
      <c r="H87" s="64"/>
      <c r="I87" s="64"/>
      <c r="J87" s="64"/>
      <c r="K87" s="64"/>
      <c r="L87" s="64"/>
      <c r="M87" s="64"/>
      <c r="N87" s="64"/>
      <c r="O87" s="64"/>
      <c r="P87" s="64"/>
      <c r="Q87" s="64"/>
      <c r="R87" s="64"/>
    </row>
    <row r="88" spans="1:18" s="28" customFormat="1" ht="15" hidden="1" customHeight="1" outlineLevel="1">
      <c r="A88" s="45"/>
      <c r="B88" s="46"/>
      <c r="C88" s="64"/>
      <c r="D88" s="64"/>
      <c r="E88" s="64"/>
      <c r="F88" s="64"/>
      <c r="G88" s="64"/>
      <c r="H88" s="64"/>
      <c r="I88" s="64"/>
      <c r="J88" s="64"/>
      <c r="K88" s="64"/>
      <c r="L88" s="64"/>
      <c r="M88" s="64"/>
      <c r="N88" s="64"/>
      <c r="O88" s="64"/>
      <c r="P88" s="64"/>
      <c r="Q88" s="64"/>
      <c r="R88" s="64"/>
    </row>
    <row r="89" spans="1:18" s="28" customFormat="1" ht="15" hidden="1" customHeight="1" outlineLevel="1">
      <c r="A89" s="45"/>
      <c r="B89" s="46"/>
      <c r="C89" s="64"/>
      <c r="D89" s="64"/>
      <c r="E89" s="64"/>
      <c r="F89" s="64"/>
      <c r="G89" s="64"/>
      <c r="H89" s="64"/>
      <c r="I89" s="64"/>
      <c r="J89" s="64"/>
      <c r="K89" s="64"/>
      <c r="L89" s="64"/>
      <c r="M89" s="64"/>
      <c r="N89" s="64"/>
      <c r="O89" s="64"/>
      <c r="P89" s="64"/>
      <c r="Q89" s="64"/>
      <c r="R89" s="64"/>
    </row>
    <row r="90" spans="1:18" s="28" customFormat="1" ht="15" hidden="1" customHeight="1" outlineLevel="1">
      <c r="A90" s="45"/>
      <c r="B90" s="46"/>
      <c r="C90" s="64"/>
      <c r="D90" s="64"/>
      <c r="E90" s="64"/>
      <c r="F90" s="64"/>
      <c r="G90" s="64"/>
      <c r="H90" s="64"/>
      <c r="I90" s="64"/>
      <c r="J90" s="64"/>
      <c r="K90" s="64"/>
      <c r="L90" s="64"/>
      <c r="M90" s="64"/>
      <c r="N90" s="64"/>
      <c r="O90" s="64"/>
      <c r="P90" s="64"/>
      <c r="Q90" s="64"/>
      <c r="R90" s="64"/>
    </row>
    <row r="91" spans="1:18" s="28" customFormat="1" ht="15" hidden="1" customHeight="1" outlineLevel="1">
      <c r="A91" s="45"/>
      <c r="B91" s="46"/>
      <c r="C91" s="64"/>
      <c r="D91" s="64"/>
      <c r="E91" s="64"/>
      <c r="F91" s="64"/>
      <c r="G91" s="64"/>
      <c r="H91" s="64"/>
      <c r="I91" s="64"/>
      <c r="J91" s="64"/>
      <c r="K91" s="64"/>
      <c r="L91" s="64"/>
      <c r="M91" s="64"/>
      <c r="N91" s="64"/>
      <c r="O91" s="64"/>
      <c r="P91" s="64"/>
      <c r="Q91" s="64"/>
      <c r="R91" s="64"/>
    </row>
    <row r="92" spans="1:18" s="28" customFormat="1" ht="15" hidden="1" customHeight="1" outlineLevel="1">
      <c r="A92" s="45"/>
      <c r="B92" s="46"/>
      <c r="C92" s="64"/>
      <c r="D92" s="64"/>
      <c r="E92" s="64"/>
      <c r="F92" s="64"/>
      <c r="G92" s="64"/>
      <c r="H92" s="64"/>
      <c r="I92" s="64"/>
      <c r="J92" s="64"/>
      <c r="K92" s="64"/>
      <c r="L92" s="64"/>
      <c r="M92" s="64"/>
      <c r="N92" s="64"/>
      <c r="O92" s="64"/>
      <c r="P92" s="64"/>
      <c r="Q92" s="64"/>
      <c r="R92" s="64"/>
    </row>
    <row r="93" spans="1:18" s="28" customFormat="1" ht="15" hidden="1" customHeight="1" outlineLevel="1">
      <c r="A93" s="45"/>
      <c r="B93" s="46"/>
      <c r="C93" s="64"/>
      <c r="D93" s="64"/>
      <c r="E93" s="64"/>
      <c r="F93" s="64"/>
      <c r="G93" s="64"/>
      <c r="H93" s="64"/>
      <c r="I93" s="64"/>
      <c r="J93" s="64"/>
      <c r="K93" s="64"/>
      <c r="L93" s="64"/>
      <c r="M93" s="64"/>
      <c r="N93" s="64"/>
      <c r="O93" s="64"/>
      <c r="P93" s="64"/>
      <c r="Q93" s="64"/>
      <c r="R93" s="64"/>
    </row>
    <row r="94" spans="1:18" s="28" customFormat="1" ht="15" hidden="1" customHeight="1" outlineLevel="1">
      <c r="A94" s="45"/>
      <c r="B94" s="46"/>
      <c r="C94" s="64"/>
      <c r="D94" s="64"/>
      <c r="E94" s="64"/>
      <c r="F94" s="64"/>
      <c r="G94" s="64"/>
      <c r="H94" s="64"/>
      <c r="I94" s="64"/>
      <c r="J94" s="64"/>
      <c r="K94" s="64"/>
      <c r="L94" s="64"/>
      <c r="M94" s="64"/>
      <c r="N94" s="64"/>
      <c r="O94" s="64"/>
      <c r="P94" s="64"/>
      <c r="Q94" s="64"/>
      <c r="R94" s="64"/>
    </row>
    <row r="95" spans="1:18" s="28" customFormat="1" ht="15" hidden="1" customHeight="1" outlineLevel="1">
      <c r="A95" s="45"/>
      <c r="B95" s="46"/>
      <c r="C95" s="64"/>
      <c r="D95" s="64"/>
      <c r="E95" s="64"/>
      <c r="F95" s="64"/>
      <c r="G95" s="64"/>
      <c r="H95" s="64"/>
      <c r="I95" s="64"/>
      <c r="J95" s="64"/>
      <c r="K95" s="64"/>
      <c r="L95" s="64"/>
      <c r="M95" s="64"/>
      <c r="N95" s="64"/>
      <c r="O95" s="64"/>
      <c r="P95" s="64"/>
      <c r="Q95" s="64"/>
      <c r="R95" s="64"/>
    </row>
    <row r="96" spans="1:18" s="28" customFormat="1" ht="15" hidden="1" customHeight="1" outlineLevel="1">
      <c r="A96" s="45"/>
      <c r="B96" s="46"/>
      <c r="C96" s="64"/>
      <c r="D96" s="64"/>
      <c r="E96" s="64"/>
      <c r="F96" s="64"/>
      <c r="G96" s="64"/>
      <c r="H96" s="64"/>
      <c r="I96" s="64"/>
      <c r="J96" s="64"/>
      <c r="K96" s="64"/>
      <c r="L96" s="64"/>
      <c r="M96" s="64"/>
      <c r="N96" s="64"/>
      <c r="O96" s="64"/>
      <c r="P96" s="64"/>
      <c r="Q96" s="64"/>
      <c r="R96" s="64"/>
    </row>
    <row r="97" spans="1:18" s="28" customFormat="1" ht="15" hidden="1" customHeight="1" outlineLevel="1">
      <c r="A97" s="45"/>
      <c r="B97" s="46"/>
      <c r="C97" s="64"/>
      <c r="D97" s="64"/>
      <c r="E97" s="64"/>
      <c r="F97" s="64"/>
      <c r="G97" s="64"/>
      <c r="H97" s="64"/>
      <c r="I97" s="64"/>
      <c r="J97" s="64"/>
      <c r="K97" s="64"/>
      <c r="L97" s="64"/>
      <c r="M97" s="64"/>
      <c r="N97" s="64"/>
      <c r="O97" s="64"/>
      <c r="P97" s="64"/>
      <c r="Q97" s="64"/>
      <c r="R97" s="64"/>
    </row>
    <row r="98" spans="1:18" s="28" customFormat="1" ht="15" hidden="1" customHeight="1" outlineLevel="1">
      <c r="A98" s="45"/>
      <c r="B98" s="46"/>
      <c r="C98" s="64"/>
      <c r="D98" s="64"/>
      <c r="E98" s="64"/>
      <c r="F98" s="64"/>
      <c r="G98" s="64"/>
      <c r="H98" s="64"/>
      <c r="I98" s="64"/>
      <c r="J98" s="64"/>
      <c r="K98" s="64"/>
      <c r="L98" s="64"/>
      <c r="M98" s="64"/>
      <c r="N98" s="64"/>
      <c r="O98" s="64"/>
      <c r="P98" s="64"/>
      <c r="Q98" s="64"/>
      <c r="R98" s="64"/>
    </row>
    <row r="99" spans="1:18" s="28" customFormat="1" ht="15" hidden="1" customHeight="1" outlineLevel="1">
      <c r="A99" s="45"/>
      <c r="B99" s="46"/>
      <c r="C99" s="64"/>
      <c r="D99" s="64"/>
      <c r="E99" s="64"/>
      <c r="F99" s="64"/>
      <c r="G99" s="64"/>
      <c r="H99" s="64"/>
      <c r="I99" s="64"/>
      <c r="J99" s="64"/>
      <c r="K99" s="64"/>
      <c r="L99" s="64"/>
      <c r="M99" s="64"/>
      <c r="N99" s="64"/>
      <c r="O99" s="64"/>
      <c r="P99" s="64"/>
      <c r="Q99" s="64"/>
      <c r="R99" s="64"/>
    </row>
    <row r="100" spans="1:18" s="28" customFormat="1" ht="15" hidden="1" customHeight="1" outlineLevel="1">
      <c r="A100" s="45"/>
      <c r="B100" s="46"/>
      <c r="C100" s="64"/>
      <c r="D100" s="64"/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</row>
    <row r="101" spans="1:18" s="28" customFormat="1" ht="15" hidden="1" customHeight="1" outlineLevel="1">
      <c r="A101" s="45"/>
      <c r="B101" s="46"/>
      <c r="C101" s="64"/>
      <c r="D101" s="64"/>
      <c r="E101" s="64"/>
      <c r="F101" s="64"/>
      <c r="G101" s="64"/>
      <c r="H101" s="64"/>
      <c r="I101" s="64"/>
      <c r="J101" s="64"/>
      <c r="K101" s="64"/>
      <c r="L101" s="64"/>
      <c r="M101" s="64"/>
      <c r="N101" s="64"/>
      <c r="O101" s="64"/>
      <c r="P101" s="64"/>
      <c r="Q101" s="64"/>
      <c r="R101" s="64"/>
    </row>
    <row r="102" spans="1:18" s="28" customFormat="1" ht="15" hidden="1" customHeight="1" outlineLevel="1">
      <c r="A102" s="45"/>
      <c r="B102" s="46"/>
      <c r="C102" s="64"/>
      <c r="D102" s="64"/>
      <c r="E102" s="64"/>
      <c r="F102" s="64"/>
      <c r="G102" s="64"/>
      <c r="H102" s="64"/>
      <c r="I102" s="64"/>
      <c r="J102" s="64"/>
      <c r="K102" s="64"/>
      <c r="L102" s="64"/>
      <c r="M102" s="64"/>
      <c r="N102" s="64"/>
      <c r="O102" s="64"/>
      <c r="P102" s="64"/>
      <c r="Q102" s="64"/>
      <c r="R102" s="64"/>
    </row>
    <row r="103" spans="1:18" s="28" customFormat="1" ht="15" hidden="1" customHeight="1" outlineLevel="1">
      <c r="A103" s="45"/>
      <c r="B103" s="46"/>
      <c r="C103" s="64"/>
      <c r="D103" s="64"/>
      <c r="E103" s="64"/>
      <c r="F103" s="64"/>
      <c r="G103" s="64"/>
      <c r="H103" s="64"/>
      <c r="I103" s="64"/>
      <c r="J103" s="64"/>
      <c r="K103" s="64"/>
      <c r="L103" s="64"/>
      <c r="M103" s="64"/>
      <c r="N103" s="64"/>
      <c r="O103" s="64"/>
      <c r="P103" s="64"/>
      <c r="Q103" s="64"/>
      <c r="R103" s="64"/>
    </row>
    <row r="104" spans="1:18" s="28" customFormat="1" ht="15" hidden="1" customHeight="1" outlineLevel="1">
      <c r="A104" s="45"/>
      <c r="B104" s="46"/>
      <c r="C104" s="64"/>
      <c r="D104" s="64"/>
      <c r="E104" s="64"/>
      <c r="F104" s="64"/>
      <c r="G104" s="64"/>
      <c r="H104" s="64"/>
      <c r="I104" s="64"/>
      <c r="J104" s="64"/>
      <c r="K104" s="64"/>
      <c r="L104" s="64"/>
      <c r="M104" s="64"/>
      <c r="N104" s="64"/>
      <c r="O104" s="64"/>
      <c r="P104" s="64"/>
      <c r="Q104" s="64"/>
      <c r="R104" s="64"/>
    </row>
    <row r="105" spans="1:18" s="28" customFormat="1" ht="15" hidden="1" customHeight="1" outlineLevel="1">
      <c r="A105" s="45"/>
      <c r="B105" s="46"/>
      <c r="C105" s="64"/>
      <c r="D105" s="64"/>
      <c r="E105" s="64"/>
      <c r="F105" s="64"/>
      <c r="G105" s="64"/>
      <c r="H105" s="64"/>
      <c r="I105" s="64"/>
      <c r="J105" s="64"/>
      <c r="K105" s="64"/>
      <c r="L105" s="64"/>
      <c r="M105" s="64"/>
      <c r="N105" s="64"/>
      <c r="O105" s="64"/>
      <c r="P105" s="64"/>
      <c r="Q105" s="64"/>
      <c r="R105" s="64"/>
    </row>
    <row r="106" spans="1:18" s="28" customFormat="1" ht="15" hidden="1" customHeight="1" outlineLevel="1">
      <c r="A106" s="45"/>
      <c r="B106" s="46"/>
      <c r="C106" s="64"/>
      <c r="D106" s="64"/>
      <c r="E106" s="64"/>
      <c r="F106" s="64"/>
      <c r="G106" s="64"/>
      <c r="H106" s="64"/>
      <c r="I106" s="64"/>
      <c r="J106" s="64"/>
      <c r="K106" s="64"/>
      <c r="L106" s="64"/>
      <c r="M106" s="64"/>
      <c r="N106" s="64"/>
      <c r="O106" s="64"/>
      <c r="P106" s="64"/>
      <c r="Q106" s="64"/>
      <c r="R106" s="64"/>
    </row>
    <row r="107" spans="1:18" s="28" customFormat="1" ht="15" hidden="1" customHeight="1" outlineLevel="1">
      <c r="A107" s="45"/>
      <c r="B107" s="46"/>
      <c r="C107" s="64"/>
      <c r="D107" s="64"/>
      <c r="E107" s="64"/>
      <c r="F107" s="64"/>
      <c r="G107" s="64"/>
      <c r="H107" s="64"/>
      <c r="I107" s="64"/>
      <c r="J107" s="64"/>
      <c r="K107" s="64"/>
      <c r="L107" s="64"/>
      <c r="M107" s="64"/>
      <c r="N107" s="64"/>
      <c r="O107" s="64"/>
      <c r="P107" s="64"/>
      <c r="Q107" s="64"/>
      <c r="R107" s="64"/>
    </row>
    <row r="108" spans="1:18" s="28" customFormat="1" ht="15" hidden="1" customHeight="1" outlineLevel="1">
      <c r="A108" s="45"/>
      <c r="B108" s="46"/>
      <c r="C108" s="64"/>
      <c r="D108" s="64"/>
      <c r="E108" s="64"/>
      <c r="F108" s="64"/>
      <c r="G108" s="64"/>
      <c r="H108" s="64"/>
      <c r="I108" s="64"/>
      <c r="J108" s="64"/>
      <c r="K108" s="64"/>
      <c r="L108" s="64"/>
      <c r="M108" s="64"/>
      <c r="N108" s="64"/>
      <c r="O108" s="64"/>
      <c r="P108" s="64"/>
      <c r="Q108" s="64"/>
      <c r="R108" s="64"/>
    </row>
    <row r="109" spans="1:18" s="28" customFormat="1" ht="15" hidden="1" customHeight="1" outlineLevel="1">
      <c r="A109" s="45"/>
      <c r="B109" s="46"/>
      <c r="C109" s="64"/>
      <c r="D109" s="64"/>
      <c r="E109" s="64"/>
      <c r="F109" s="64"/>
      <c r="G109" s="64"/>
      <c r="H109" s="64"/>
      <c r="I109" s="64"/>
      <c r="J109" s="64"/>
      <c r="K109" s="64"/>
      <c r="L109" s="64"/>
      <c r="M109" s="64"/>
      <c r="N109" s="64"/>
      <c r="O109" s="64"/>
      <c r="P109" s="64"/>
      <c r="Q109" s="64"/>
      <c r="R109" s="64"/>
    </row>
    <row r="110" spans="1:18" s="28" customFormat="1" ht="15" hidden="1" customHeight="1" outlineLevel="1">
      <c r="A110" s="45"/>
      <c r="B110" s="46"/>
      <c r="C110" s="64"/>
      <c r="D110" s="64"/>
      <c r="E110" s="64"/>
      <c r="F110" s="64"/>
      <c r="G110" s="64"/>
      <c r="H110" s="64"/>
      <c r="I110" s="64"/>
      <c r="J110" s="64"/>
      <c r="K110" s="64"/>
      <c r="L110" s="64"/>
      <c r="M110" s="64"/>
      <c r="N110" s="64"/>
      <c r="O110" s="64"/>
      <c r="P110" s="64"/>
      <c r="Q110" s="64"/>
      <c r="R110" s="64"/>
    </row>
    <row r="111" spans="1:18" s="28" customFormat="1" ht="15" hidden="1" customHeight="1" outlineLevel="1">
      <c r="A111" s="45"/>
      <c r="B111" s="46"/>
      <c r="C111" s="64"/>
      <c r="D111" s="64"/>
      <c r="E111" s="64"/>
      <c r="F111" s="64"/>
      <c r="G111" s="64"/>
      <c r="H111" s="64"/>
      <c r="I111" s="64"/>
      <c r="J111" s="64"/>
      <c r="K111" s="64"/>
      <c r="L111" s="64"/>
      <c r="M111" s="64"/>
      <c r="N111" s="64"/>
      <c r="O111" s="64"/>
      <c r="P111" s="64"/>
      <c r="Q111" s="64"/>
      <c r="R111" s="64"/>
    </row>
    <row r="112" spans="1:18" s="28" customFormat="1" ht="15" hidden="1" customHeight="1" outlineLevel="1">
      <c r="A112" s="45"/>
      <c r="B112" s="46"/>
      <c r="C112" s="64"/>
      <c r="D112" s="64"/>
      <c r="E112" s="64"/>
      <c r="F112" s="64"/>
      <c r="G112" s="64"/>
      <c r="H112" s="64"/>
      <c r="I112" s="64"/>
      <c r="J112" s="64"/>
      <c r="K112" s="64"/>
      <c r="L112" s="64"/>
      <c r="M112" s="64"/>
      <c r="N112" s="64"/>
      <c r="O112" s="64"/>
      <c r="P112" s="64"/>
      <c r="Q112" s="64"/>
      <c r="R112" s="64"/>
    </row>
    <row r="113" spans="1:18" s="28" customFormat="1" ht="15" hidden="1" customHeight="1" outlineLevel="1">
      <c r="A113" s="45"/>
      <c r="B113" s="46"/>
      <c r="C113" s="64"/>
      <c r="D113" s="64"/>
      <c r="E113" s="64"/>
      <c r="F113" s="64"/>
      <c r="G113" s="64"/>
      <c r="H113" s="64"/>
      <c r="I113" s="64"/>
      <c r="J113" s="64"/>
      <c r="K113" s="64"/>
      <c r="L113" s="64"/>
      <c r="M113" s="64"/>
      <c r="N113" s="64"/>
      <c r="O113" s="64"/>
      <c r="P113" s="64"/>
      <c r="Q113" s="64"/>
      <c r="R113" s="64"/>
    </row>
    <row r="114" spans="1:18" s="28" customFormat="1" ht="15" hidden="1" customHeight="1" outlineLevel="1">
      <c r="A114" s="45"/>
      <c r="B114" s="46"/>
      <c r="C114" s="64"/>
      <c r="D114" s="64"/>
      <c r="E114" s="64"/>
      <c r="F114" s="64"/>
      <c r="G114" s="64"/>
      <c r="H114" s="64"/>
      <c r="I114" s="64"/>
      <c r="J114" s="64"/>
      <c r="K114" s="64"/>
      <c r="L114" s="64"/>
      <c r="M114" s="64"/>
      <c r="N114" s="64"/>
      <c r="O114" s="64"/>
      <c r="P114" s="64"/>
      <c r="Q114" s="64"/>
      <c r="R114" s="64"/>
    </row>
    <row r="115" spans="1:18" s="28" customFormat="1" ht="15" hidden="1" customHeight="1" outlineLevel="1">
      <c r="A115" s="45"/>
      <c r="B115" s="46"/>
      <c r="C115" s="64"/>
      <c r="D115" s="64"/>
      <c r="E115" s="64"/>
      <c r="F115" s="64"/>
      <c r="G115" s="64"/>
      <c r="H115" s="64"/>
      <c r="I115" s="64"/>
      <c r="J115" s="64"/>
      <c r="K115" s="64"/>
      <c r="L115" s="64"/>
      <c r="M115" s="64"/>
      <c r="N115" s="64"/>
      <c r="O115" s="64"/>
      <c r="P115" s="64"/>
      <c r="Q115" s="64"/>
      <c r="R115" s="64"/>
    </row>
    <row r="116" spans="1:18" s="28" customFormat="1" ht="15" hidden="1" customHeight="1" outlineLevel="1">
      <c r="A116" s="45"/>
      <c r="B116" s="46"/>
      <c r="C116" s="64"/>
      <c r="D116" s="64"/>
      <c r="E116" s="64"/>
      <c r="F116" s="64"/>
      <c r="G116" s="64"/>
      <c r="H116" s="64"/>
      <c r="I116" s="64"/>
      <c r="J116" s="64"/>
      <c r="K116" s="64"/>
      <c r="L116" s="64"/>
      <c r="M116" s="64"/>
      <c r="N116" s="64"/>
      <c r="O116" s="64"/>
      <c r="P116" s="64"/>
      <c r="Q116" s="64"/>
      <c r="R116" s="64"/>
    </row>
    <row r="117" spans="1:18" s="28" customFormat="1" ht="15" hidden="1" customHeight="1" outlineLevel="1">
      <c r="A117" s="45"/>
      <c r="B117" s="46"/>
      <c r="C117" s="64"/>
      <c r="D117" s="64"/>
      <c r="E117" s="64"/>
      <c r="F117" s="64"/>
      <c r="G117" s="64"/>
      <c r="H117" s="64"/>
      <c r="I117" s="64"/>
      <c r="J117" s="64"/>
      <c r="K117" s="64"/>
      <c r="L117" s="64"/>
      <c r="M117" s="64"/>
      <c r="N117" s="64"/>
      <c r="O117" s="64"/>
      <c r="P117" s="64"/>
      <c r="Q117" s="64"/>
      <c r="R117" s="64"/>
    </row>
    <row r="118" spans="1:18" s="28" customFormat="1" ht="15" hidden="1" customHeight="1" outlineLevel="1">
      <c r="A118" s="45"/>
      <c r="B118" s="46"/>
      <c r="C118" s="64"/>
      <c r="D118" s="64"/>
      <c r="E118" s="64"/>
      <c r="F118" s="64"/>
      <c r="G118" s="64"/>
      <c r="H118" s="64"/>
      <c r="I118" s="64"/>
      <c r="J118" s="64"/>
      <c r="K118" s="64"/>
      <c r="L118" s="64"/>
      <c r="M118" s="64"/>
      <c r="N118" s="64"/>
      <c r="O118" s="64"/>
      <c r="P118" s="64"/>
      <c r="Q118" s="64"/>
      <c r="R118" s="64"/>
    </row>
    <row r="119" spans="1:18" s="28" customFormat="1" ht="15" hidden="1" customHeight="1" outlineLevel="1">
      <c r="A119" s="45"/>
      <c r="B119" s="46"/>
      <c r="C119" s="64"/>
      <c r="D119" s="64"/>
      <c r="E119" s="64"/>
      <c r="F119" s="64"/>
      <c r="G119" s="64"/>
      <c r="H119" s="64"/>
      <c r="I119" s="64"/>
      <c r="J119" s="64"/>
      <c r="K119" s="64"/>
      <c r="L119" s="64"/>
      <c r="M119" s="64"/>
      <c r="N119" s="64"/>
      <c r="O119" s="64"/>
      <c r="P119" s="64"/>
      <c r="Q119" s="64"/>
      <c r="R119" s="64"/>
    </row>
    <row r="120" spans="1:18" s="28" customFormat="1" ht="15" hidden="1" customHeight="1" outlineLevel="1">
      <c r="A120" s="45"/>
      <c r="B120" s="46"/>
      <c r="C120" s="64"/>
      <c r="D120" s="64"/>
      <c r="E120" s="64"/>
      <c r="F120" s="64"/>
      <c r="G120" s="64"/>
      <c r="H120" s="64"/>
      <c r="I120" s="64"/>
      <c r="J120" s="64"/>
      <c r="K120" s="64"/>
      <c r="L120" s="64"/>
      <c r="M120" s="64"/>
      <c r="N120" s="64"/>
      <c r="O120" s="64"/>
      <c r="P120" s="64"/>
      <c r="Q120" s="64"/>
      <c r="R120" s="64"/>
    </row>
    <row r="121" spans="1:18" s="28" customFormat="1" ht="15" hidden="1" customHeight="1" outlineLevel="1">
      <c r="A121" s="45"/>
      <c r="B121" s="46"/>
      <c r="C121" s="64"/>
      <c r="D121" s="64"/>
      <c r="E121" s="64"/>
      <c r="F121" s="64"/>
      <c r="G121" s="64"/>
      <c r="H121" s="64"/>
      <c r="I121" s="64"/>
      <c r="J121" s="64"/>
      <c r="K121" s="64"/>
      <c r="L121" s="64"/>
      <c r="M121" s="64"/>
      <c r="N121" s="64"/>
      <c r="O121" s="64"/>
      <c r="P121" s="64"/>
      <c r="Q121" s="64"/>
      <c r="R121" s="64"/>
    </row>
    <row r="122" spans="1:18" s="28" customFormat="1" ht="15" hidden="1" customHeight="1" outlineLevel="1">
      <c r="A122" s="45"/>
      <c r="B122" s="46"/>
      <c r="C122" s="64"/>
      <c r="D122" s="64"/>
      <c r="E122" s="64"/>
      <c r="F122" s="64"/>
      <c r="G122" s="64"/>
      <c r="H122" s="64"/>
      <c r="I122" s="64"/>
      <c r="J122" s="64"/>
      <c r="K122" s="64"/>
      <c r="L122" s="64"/>
      <c r="M122" s="64"/>
      <c r="N122" s="64"/>
      <c r="O122" s="64"/>
      <c r="P122" s="64"/>
      <c r="Q122" s="64"/>
      <c r="R122" s="64"/>
    </row>
    <row r="123" spans="1:18" s="28" customFormat="1" ht="15" hidden="1" customHeight="1" outlineLevel="1">
      <c r="A123" s="45"/>
      <c r="B123" s="46"/>
      <c r="C123" s="64"/>
      <c r="D123" s="64"/>
      <c r="E123" s="64"/>
      <c r="F123" s="64"/>
      <c r="G123" s="64"/>
      <c r="H123" s="64"/>
      <c r="I123" s="64"/>
      <c r="J123" s="64"/>
      <c r="K123" s="64"/>
      <c r="L123" s="64"/>
      <c r="M123" s="64"/>
      <c r="N123" s="64"/>
      <c r="O123" s="64"/>
      <c r="P123" s="64"/>
      <c r="Q123" s="64"/>
      <c r="R123" s="64"/>
    </row>
    <row r="124" spans="1:18" s="28" customFormat="1" ht="15" hidden="1" customHeight="1" outlineLevel="1">
      <c r="A124" s="45"/>
      <c r="B124" s="46"/>
      <c r="C124" s="64"/>
      <c r="D124" s="64"/>
      <c r="E124" s="64"/>
      <c r="F124" s="64"/>
      <c r="G124" s="64"/>
      <c r="H124" s="64"/>
      <c r="I124" s="64"/>
      <c r="J124" s="64"/>
      <c r="K124" s="64"/>
      <c r="L124" s="64"/>
      <c r="M124" s="64"/>
      <c r="N124" s="64"/>
      <c r="O124" s="64"/>
      <c r="P124" s="64"/>
      <c r="Q124" s="64"/>
      <c r="R124" s="64"/>
    </row>
    <row r="125" spans="1:18" s="28" customFormat="1" ht="15" hidden="1" customHeight="1" outlineLevel="1">
      <c r="A125" s="45"/>
      <c r="B125" s="46"/>
      <c r="C125" s="64"/>
      <c r="D125" s="64"/>
      <c r="E125" s="64"/>
      <c r="F125" s="64"/>
      <c r="G125" s="64"/>
      <c r="H125" s="64"/>
      <c r="I125" s="64"/>
      <c r="J125" s="64"/>
      <c r="K125" s="64"/>
      <c r="L125" s="64"/>
      <c r="M125" s="64"/>
      <c r="N125" s="64"/>
      <c r="O125" s="64"/>
      <c r="P125" s="64"/>
      <c r="Q125" s="64"/>
      <c r="R125" s="64"/>
    </row>
    <row r="126" spans="1:18" s="28" customFormat="1" ht="15" hidden="1" customHeight="1" outlineLevel="1">
      <c r="A126" s="45"/>
      <c r="B126" s="46"/>
      <c r="C126" s="64"/>
      <c r="D126" s="64"/>
      <c r="E126" s="64"/>
      <c r="F126" s="64"/>
      <c r="G126" s="64"/>
      <c r="H126" s="64"/>
      <c r="I126" s="64"/>
      <c r="J126" s="64"/>
      <c r="K126" s="64"/>
      <c r="L126" s="64"/>
      <c r="M126" s="64"/>
      <c r="N126" s="64"/>
      <c r="O126" s="64"/>
      <c r="P126" s="64"/>
      <c r="Q126" s="64"/>
      <c r="R126" s="64"/>
    </row>
    <row r="127" spans="1:18" s="28" customFormat="1" ht="15" hidden="1" customHeight="1" outlineLevel="1">
      <c r="A127" s="45"/>
      <c r="B127" s="46"/>
      <c r="C127" s="64"/>
      <c r="D127" s="64"/>
      <c r="E127" s="64"/>
      <c r="F127" s="64"/>
      <c r="G127" s="64"/>
      <c r="H127" s="64"/>
      <c r="I127" s="64"/>
      <c r="J127" s="64"/>
      <c r="K127" s="64"/>
      <c r="L127" s="64"/>
      <c r="M127" s="64"/>
      <c r="N127" s="64"/>
      <c r="O127" s="64"/>
      <c r="P127" s="64"/>
      <c r="Q127" s="64"/>
      <c r="R127" s="64"/>
    </row>
    <row r="128" spans="1:18" s="28" customFormat="1" ht="15" hidden="1" customHeight="1" outlineLevel="1">
      <c r="A128" s="45"/>
      <c r="B128" s="46"/>
      <c r="C128" s="64"/>
      <c r="D128" s="64"/>
      <c r="E128" s="64"/>
      <c r="F128" s="64"/>
      <c r="G128" s="64"/>
      <c r="H128" s="64"/>
      <c r="I128" s="64"/>
      <c r="J128" s="64"/>
      <c r="K128" s="64"/>
      <c r="L128" s="64"/>
      <c r="M128" s="64"/>
      <c r="N128" s="64"/>
      <c r="O128" s="64"/>
      <c r="P128" s="64"/>
      <c r="Q128" s="64"/>
      <c r="R128" s="64"/>
    </row>
    <row r="129" spans="1:18" s="28" customFormat="1" ht="15" hidden="1" customHeight="1" outlineLevel="1">
      <c r="A129" s="45"/>
      <c r="B129" s="46"/>
      <c r="C129" s="64"/>
      <c r="D129" s="64"/>
      <c r="E129" s="64"/>
      <c r="F129" s="64"/>
      <c r="G129" s="64"/>
      <c r="H129" s="64"/>
      <c r="I129" s="64"/>
      <c r="J129" s="64"/>
      <c r="K129" s="64"/>
      <c r="L129" s="64"/>
      <c r="M129" s="64"/>
      <c r="N129" s="64"/>
      <c r="O129" s="64"/>
      <c r="P129" s="64"/>
      <c r="Q129" s="64"/>
      <c r="R129" s="64"/>
    </row>
    <row r="130" spans="1:18" s="28" customFormat="1" ht="15" hidden="1" customHeight="1" outlineLevel="1">
      <c r="A130" s="45"/>
      <c r="B130" s="46"/>
      <c r="C130" s="64"/>
      <c r="D130" s="64"/>
      <c r="E130" s="64"/>
      <c r="F130" s="64"/>
      <c r="G130" s="64"/>
      <c r="H130" s="64"/>
      <c r="I130" s="64"/>
      <c r="J130" s="64"/>
      <c r="K130" s="64"/>
      <c r="L130" s="64"/>
      <c r="M130" s="64"/>
      <c r="N130" s="64"/>
      <c r="O130" s="64"/>
      <c r="P130" s="64"/>
      <c r="Q130" s="64"/>
      <c r="R130" s="64"/>
    </row>
    <row r="131" spans="1:18" s="28" customFormat="1" ht="15" hidden="1" customHeight="1" outlineLevel="1">
      <c r="A131" s="45"/>
      <c r="B131" s="46"/>
      <c r="C131" s="64"/>
      <c r="D131" s="64"/>
      <c r="E131" s="64"/>
      <c r="F131" s="64"/>
      <c r="G131" s="64"/>
      <c r="H131" s="64"/>
      <c r="I131" s="64"/>
      <c r="J131" s="64"/>
      <c r="K131" s="64"/>
      <c r="L131" s="64"/>
      <c r="M131" s="64"/>
      <c r="N131" s="64"/>
      <c r="O131" s="64"/>
      <c r="P131" s="64"/>
      <c r="Q131" s="64"/>
      <c r="R131" s="64"/>
    </row>
    <row r="132" spans="1:18" s="28" customFormat="1" ht="15" hidden="1" customHeight="1" outlineLevel="1">
      <c r="A132" s="45"/>
      <c r="B132" s="46"/>
      <c r="C132" s="64"/>
      <c r="D132" s="64"/>
      <c r="E132" s="64"/>
      <c r="F132" s="64"/>
      <c r="G132" s="64"/>
      <c r="H132" s="64"/>
      <c r="I132" s="64"/>
      <c r="J132" s="64"/>
      <c r="K132" s="64"/>
      <c r="L132" s="64"/>
      <c r="M132" s="64"/>
      <c r="N132" s="64"/>
      <c r="O132" s="64"/>
      <c r="P132" s="64"/>
      <c r="Q132" s="64"/>
      <c r="R132" s="64"/>
    </row>
    <row r="133" spans="1:18" s="28" customFormat="1" ht="15" hidden="1" customHeight="1" outlineLevel="1">
      <c r="A133" s="45"/>
      <c r="B133" s="46"/>
      <c r="C133" s="64"/>
      <c r="D133" s="64"/>
      <c r="E133" s="64"/>
      <c r="F133" s="64"/>
      <c r="G133" s="64"/>
      <c r="H133" s="64"/>
      <c r="I133" s="64"/>
      <c r="J133" s="64"/>
      <c r="K133" s="64"/>
      <c r="L133" s="64"/>
      <c r="M133" s="64"/>
      <c r="N133" s="64"/>
      <c r="O133" s="64"/>
      <c r="P133" s="64"/>
      <c r="Q133" s="64"/>
      <c r="R133" s="64"/>
    </row>
    <row r="134" spans="1:18" s="28" customFormat="1" ht="15" hidden="1" customHeight="1" outlineLevel="1">
      <c r="A134" s="45"/>
      <c r="B134" s="46"/>
      <c r="C134" s="64"/>
      <c r="D134" s="64"/>
      <c r="E134" s="64"/>
      <c r="F134" s="64"/>
      <c r="G134" s="64"/>
      <c r="H134" s="64"/>
      <c r="I134" s="64"/>
      <c r="J134" s="64"/>
      <c r="K134" s="64"/>
      <c r="L134" s="64"/>
      <c r="M134" s="64"/>
      <c r="N134" s="64"/>
      <c r="O134" s="64"/>
      <c r="P134" s="64"/>
      <c r="Q134" s="64"/>
      <c r="R134" s="64"/>
    </row>
    <row r="135" spans="1:18" s="28" customFormat="1" ht="15" hidden="1" customHeight="1" outlineLevel="1">
      <c r="A135" s="45"/>
      <c r="B135" s="46"/>
      <c r="C135" s="64"/>
      <c r="D135" s="64"/>
      <c r="E135" s="64"/>
      <c r="F135" s="64"/>
      <c r="G135" s="64"/>
      <c r="H135" s="64"/>
      <c r="I135" s="64"/>
      <c r="J135" s="64"/>
      <c r="K135" s="64"/>
      <c r="L135" s="64"/>
      <c r="M135" s="64"/>
      <c r="N135" s="64"/>
      <c r="O135" s="64"/>
      <c r="P135" s="64"/>
      <c r="Q135" s="64"/>
      <c r="R135" s="64"/>
    </row>
    <row r="136" spans="1:18" ht="15" hidden="1" outlineLevel="1"/>
    <row r="137" spans="1:18" ht="15" collapsed="1">
      <c r="A137" s="26" t="s">
        <v>88</v>
      </c>
    </row>
    <row r="138" spans="1:18" ht="15">
      <c r="A138" s="26" t="s">
        <v>350</v>
      </c>
    </row>
    <row r="139" spans="1:18" ht="15">
      <c r="A139" s="26" t="s">
        <v>351</v>
      </c>
    </row>
    <row r="140" spans="1:18" ht="15">
      <c r="A140" s="26" t="s">
        <v>352</v>
      </c>
    </row>
    <row r="141" spans="1:18" ht="18">
      <c r="A141" s="26" t="s">
        <v>353</v>
      </c>
    </row>
    <row r="142" spans="1:18" ht="18">
      <c r="A142" s="26" t="s">
        <v>354</v>
      </c>
    </row>
    <row r="143" spans="1:18" ht="18">
      <c r="A143" s="26" t="s">
        <v>355</v>
      </c>
    </row>
    <row r="144" spans="1:18" ht="18">
      <c r="A144" s="26" t="s">
        <v>356</v>
      </c>
    </row>
    <row r="145" spans="1:1" ht="15">
      <c r="A145" s="26" t="s">
        <v>357</v>
      </c>
    </row>
    <row r="146" spans="1:1" ht="15">
      <c r="A146" s="26" t="s">
        <v>358</v>
      </c>
    </row>
  </sheetData>
  <mergeCells count="11">
    <mergeCell ref="A3:R3"/>
    <mergeCell ref="C5:E5"/>
    <mergeCell ref="F5:L5"/>
    <mergeCell ref="M5:O5"/>
    <mergeCell ref="P5:R5"/>
    <mergeCell ref="A39:R39"/>
    <mergeCell ref="A55:R55"/>
    <mergeCell ref="B5:B6"/>
    <mergeCell ref="A5:A6"/>
    <mergeCell ref="A8:R8"/>
    <mergeCell ref="A23:R23"/>
  </mergeCells>
  <pageMargins left="0.31496062992125984" right="0.23622047244094491" top="0.78740157480314965" bottom="0.19685039370078741" header="0.19685039370078741" footer="0.15748031496062992"/>
  <pageSetup paperSize="9" scale="79" orientation="landscape" r:id="rId1"/>
  <headerFooter alignWithMargins="0"/>
  <rowBreaks count="1" manualBreakCount="1">
    <brk id="135" max="17" man="1"/>
  </rowBreaks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9"/>
  </sheetPr>
  <dimension ref="A1:H19"/>
  <sheetViews>
    <sheetView view="pageBreakPreview" zoomScaleNormal="100" zoomScaleSheetLayoutView="100" workbookViewId="0">
      <selection activeCell="F4" sqref="F4"/>
    </sheetView>
  </sheetViews>
  <sheetFormatPr defaultRowHeight="12.75"/>
  <cols>
    <col min="1" max="1" width="14.28515625" style="242" customWidth="1"/>
    <col min="2" max="2" width="10.28515625" style="242" hidden="1" customWidth="1"/>
    <col min="3" max="3" width="12.140625" style="242" hidden="1" customWidth="1"/>
    <col min="4" max="4" width="13.5703125" style="242" customWidth="1"/>
    <col min="5" max="5" width="12.85546875" style="242" customWidth="1"/>
    <col min="6" max="6" width="12.140625" style="242" customWidth="1"/>
    <col min="7" max="7" width="12" style="242" customWidth="1"/>
    <col min="8" max="8" width="11.42578125" style="242" customWidth="1"/>
    <col min="9" max="16384" width="9.140625" style="242"/>
  </cols>
  <sheetData>
    <row r="1" spans="1:8" ht="27.75" customHeight="1">
      <c r="A1" s="2067" t="s">
        <v>1510</v>
      </c>
      <c r="B1" s="2068"/>
      <c r="C1" s="2068"/>
      <c r="D1" s="2068"/>
      <c r="E1" s="2068"/>
      <c r="F1" s="2068"/>
    </row>
    <row r="2" spans="1:8">
      <c r="A2" s="247"/>
      <c r="B2" s="247">
        <v>2005</v>
      </c>
      <c r="C2" s="446">
        <v>2013</v>
      </c>
      <c r="D2" s="247">
        <v>2014</v>
      </c>
      <c r="E2" s="446">
        <v>2015</v>
      </c>
      <c r="F2" s="446">
        <v>2016</v>
      </c>
      <c r="G2" s="446">
        <v>2017</v>
      </c>
      <c r="H2" s="446">
        <v>2018</v>
      </c>
    </row>
    <row r="3" spans="1:8">
      <c r="A3" s="247" t="s">
        <v>1511</v>
      </c>
      <c r="B3" s="906">
        <f>SUM(B4:B5)</f>
        <v>11979.050999999999</v>
      </c>
      <c r="C3" s="767">
        <f>SUM(C4:C5)</f>
        <v>16804.690000000002</v>
      </c>
      <c r="D3" s="1722">
        <f>SUM(D4:D5)</f>
        <v>17204.214</v>
      </c>
      <c r="E3" s="1723">
        <f>SUM(E4:E5)</f>
        <v>17571.779687509563</v>
      </c>
      <c r="F3" s="1723">
        <f>SUM(F4:F5)</f>
        <v>17270.93</v>
      </c>
      <c r="G3" s="1723">
        <f t="shared" ref="G3:H3" si="0">SUM(G4:G5)</f>
        <v>17270.93</v>
      </c>
      <c r="H3" s="1723">
        <f t="shared" si="0"/>
        <v>17270.93</v>
      </c>
    </row>
    <row r="4" spans="1:8">
      <c r="A4" s="247" t="s">
        <v>1512</v>
      </c>
      <c r="B4" s="767">
        <v>2289.665</v>
      </c>
      <c r="C4" s="767">
        <v>2188.66</v>
      </c>
      <c r="D4" s="1723">
        <v>2237.5140000000001</v>
      </c>
      <c r="E4" s="1723">
        <v>2132.1440199999997</v>
      </c>
      <c r="F4" s="1723">
        <v>2200.8000000000002</v>
      </c>
      <c r="G4" s="1723">
        <v>2200.8000000000002</v>
      </c>
      <c r="H4" s="1723">
        <v>2200.8000000000002</v>
      </c>
    </row>
    <row r="5" spans="1:8">
      <c r="A5" s="247" t="s">
        <v>1513</v>
      </c>
      <c r="B5" s="767">
        <v>9689.3860000000004</v>
      </c>
      <c r="C5" s="767">
        <v>14616.03</v>
      </c>
      <c r="D5" s="1723">
        <v>14966.7</v>
      </c>
      <c r="E5" s="1723">
        <v>15439.635667509563</v>
      </c>
      <c r="F5" s="1723">
        <v>15070.13</v>
      </c>
      <c r="G5" s="1723">
        <v>15070.13</v>
      </c>
      <c r="H5" s="1723">
        <v>15070.13</v>
      </c>
    </row>
    <row r="6" spans="1:8">
      <c r="A6" s="446" t="s">
        <v>138</v>
      </c>
      <c r="B6" s="907">
        <v>1</v>
      </c>
      <c r="C6" s="907">
        <v>1</v>
      </c>
      <c r="D6" s="907">
        <v>1</v>
      </c>
      <c r="E6" s="907">
        <v>1</v>
      </c>
      <c r="F6" s="907">
        <v>1</v>
      </c>
      <c r="G6" s="907">
        <v>1</v>
      </c>
      <c r="H6" s="907">
        <v>1</v>
      </c>
    </row>
    <row r="7" spans="1:8" ht="18" customHeight="1">
      <c r="A7" s="446" t="s">
        <v>1512</v>
      </c>
      <c r="B7" s="908">
        <f>ROUND(B4/B3,3)</f>
        <v>0.191</v>
      </c>
      <c r="C7" s="909">
        <f>ROUND(C4/C3,3)</f>
        <v>0.13</v>
      </c>
      <c r="D7" s="908">
        <f>ROUND(D4/D3,3)</f>
        <v>0.13</v>
      </c>
      <c r="E7" s="909">
        <f>ROUND(E4/E3,3)</f>
        <v>0.121</v>
      </c>
      <c r="F7" s="909">
        <f>ROUND(F4/F3,3)</f>
        <v>0.127</v>
      </c>
      <c r="G7" s="909">
        <f t="shared" ref="G7:H7" si="1">ROUND(G4/G3,3)</f>
        <v>0.127</v>
      </c>
      <c r="H7" s="909">
        <f t="shared" si="1"/>
        <v>0.127</v>
      </c>
    </row>
    <row r="8" spans="1:8" ht="18.75" customHeight="1">
      <c r="A8" s="446" t="s">
        <v>1513</v>
      </c>
      <c r="B8" s="908">
        <f>B6-B7</f>
        <v>0.80899999999999994</v>
      </c>
      <c r="C8" s="909">
        <f>C6-C7</f>
        <v>0.87</v>
      </c>
      <c r="D8" s="908">
        <f>D6-D7</f>
        <v>0.87</v>
      </c>
      <c r="E8" s="909">
        <f>E6-E7</f>
        <v>0.879</v>
      </c>
      <c r="F8" s="909">
        <f>F6-F7</f>
        <v>0.873</v>
      </c>
      <c r="G8" s="909">
        <f t="shared" ref="G8:H8" si="2">G6-G7</f>
        <v>0.873</v>
      </c>
      <c r="H8" s="909">
        <f t="shared" si="2"/>
        <v>0.873</v>
      </c>
    </row>
    <row r="11" spans="1:8" ht="15">
      <c r="A11" s="2069"/>
      <c r="B11" s="2069"/>
      <c r="C11" s="2070"/>
      <c r="D11" s="2070"/>
      <c r="E11" s="910"/>
      <c r="F11" s="545"/>
      <c r="G11" s="545"/>
    </row>
    <row r="12" spans="1:8" ht="24.75" customHeight="1">
      <c r="A12" s="2067" t="s">
        <v>1514</v>
      </c>
      <c r="B12" s="2071"/>
      <c r="C12" s="2071"/>
      <c r="D12" s="2071"/>
      <c r="E12" s="2071"/>
      <c r="F12" s="2071"/>
    </row>
    <row r="13" spans="1:8">
      <c r="A13" s="247"/>
      <c r="B13" s="247">
        <v>2005</v>
      </c>
      <c r="C13" s="446">
        <v>2013</v>
      </c>
      <c r="D13" s="247">
        <v>2014</v>
      </c>
      <c r="E13" s="446">
        <v>2015</v>
      </c>
      <c r="F13" s="446">
        <v>2016</v>
      </c>
      <c r="G13" s="446">
        <v>2017</v>
      </c>
      <c r="H13" s="446">
        <v>2018</v>
      </c>
    </row>
    <row r="14" spans="1:8">
      <c r="A14" s="247" t="s">
        <v>1511</v>
      </c>
      <c r="B14" s="906">
        <f>SUM(B15:B16)</f>
        <v>11979.050999999999</v>
      </c>
      <c r="C14" s="767">
        <f>SUM(C15:C16)</f>
        <v>455.21</v>
      </c>
      <c r="D14" s="1722">
        <f>SUM(D15:D16)</f>
        <v>460.15</v>
      </c>
      <c r="E14" s="1723">
        <f>E15+E16</f>
        <v>9750</v>
      </c>
      <c r="F14" s="1723">
        <f t="shared" ref="F14:H14" si="3">F15+F16</f>
        <v>9832.23</v>
      </c>
      <c r="G14" s="1723">
        <f t="shared" si="3"/>
        <v>9832.23</v>
      </c>
      <c r="H14" s="1723">
        <f t="shared" si="3"/>
        <v>9832.23</v>
      </c>
    </row>
    <row r="15" spans="1:8">
      <c r="A15" s="247" t="s">
        <v>1512</v>
      </c>
      <c r="B15" s="767">
        <v>2289.665</v>
      </c>
      <c r="C15" s="767">
        <v>12.2</v>
      </c>
      <c r="D15" s="1723">
        <v>12.2</v>
      </c>
      <c r="E15" s="1723">
        <v>157.26</v>
      </c>
      <c r="F15" s="1723">
        <v>154.35</v>
      </c>
      <c r="G15" s="1723">
        <v>154.35</v>
      </c>
      <c r="H15" s="1723">
        <v>154.35</v>
      </c>
    </row>
    <row r="16" spans="1:8">
      <c r="A16" s="247" t="s">
        <v>1513</v>
      </c>
      <c r="B16" s="767">
        <v>9689.3860000000004</v>
      </c>
      <c r="C16" s="767">
        <v>443.01</v>
      </c>
      <c r="D16" s="1723">
        <v>447.95</v>
      </c>
      <c r="E16" s="1723">
        <f>9750-157.26</f>
        <v>9592.74</v>
      </c>
      <c r="F16" s="1723">
        <f>9832.23-154.35</f>
        <v>9677.8799999999992</v>
      </c>
      <c r="G16" s="1723">
        <f t="shared" ref="G16:H16" si="4">9832.23-154.35</f>
        <v>9677.8799999999992</v>
      </c>
      <c r="H16" s="1723">
        <f t="shared" si="4"/>
        <v>9677.8799999999992</v>
      </c>
    </row>
    <row r="17" spans="1:8">
      <c r="A17" s="446" t="s">
        <v>138</v>
      </c>
      <c r="B17" s="907">
        <v>1</v>
      </c>
      <c r="C17" s="907">
        <v>1</v>
      </c>
      <c r="D17" s="907">
        <v>1</v>
      </c>
      <c r="E17" s="907">
        <v>1</v>
      </c>
      <c r="F17" s="907">
        <v>1</v>
      </c>
      <c r="G17" s="907">
        <v>1</v>
      </c>
      <c r="H17" s="907">
        <v>1</v>
      </c>
    </row>
    <row r="18" spans="1:8">
      <c r="A18" s="446" t="s">
        <v>1512</v>
      </c>
      <c r="B18" s="908">
        <f>ROUND(B15/B14,3)</f>
        <v>0.191</v>
      </c>
      <c r="C18" s="909">
        <f>ROUND(C15/C14,3)</f>
        <v>2.7E-2</v>
      </c>
      <c r="D18" s="908">
        <f>ROUND(D15/D14,3)</f>
        <v>2.7E-2</v>
      </c>
      <c r="E18" s="909">
        <f>ROUND(E15/E14,3)</f>
        <v>1.6E-2</v>
      </c>
      <c r="F18" s="909">
        <f>ROUND(F15/F14,3)</f>
        <v>1.6E-2</v>
      </c>
      <c r="G18" s="909">
        <f t="shared" ref="G18:H18" si="5">ROUND(G15/G14,3)</f>
        <v>1.6E-2</v>
      </c>
      <c r="H18" s="909">
        <f t="shared" si="5"/>
        <v>1.6E-2</v>
      </c>
    </row>
    <row r="19" spans="1:8">
      <c r="A19" s="446" t="s">
        <v>1513</v>
      </c>
      <c r="B19" s="908">
        <f>B17-B18</f>
        <v>0.80899999999999994</v>
      </c>
      <c r="C19" s="909">
        <f>C17-C18</f>
        <v>0.97299999999999998</v>
      </c>
      <c r="D19" s="908">
        <f>D17-D18</f>
        <v>0.97299999999999998</v>
      </c>
      <c r="E19" s="909">
        <f>E17-E18</f>
        <v>0.98399999999999999</v>
      </c>
      <c r="F19" s="909">
        <f>F17-F18</f>
        <v>0.98399999999999999</v>
      </c>
      <c r="G19" s="909">
        <f t="shared" ref="G19:H19" si="6">G17-G18</f>
        <v>0.98399999999999999</v>
      </c>
      <c r="H19" s="909">
        <f t="shared" si="6"/>
        <v>0.98399999999999999</v>
      </c>
    </row>
  </sheetData>
  <mergeCells count="3">
    <mergeCell ref="A1:F1"/>
    <mergeCell ref="A11:D11"/>
    <mergeCell ref="A12:F12"/>
  </mergeCells>
  <pageMargins left="0.73" right="0.31" top="0.67" bottom="1" header="2.79" footer="0.5"/>
  <pageSetup paperSize="9" scale="106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N27"/>
  <sheetViews>
    <sheetView view="pageBreakPreview" zoomScale="80" zoomScaleNormal="100" zoomScaleSheetLayoutView="80" workbookViewId="0">
      <pane xSplit="2" ySplit="6" topLeftCell="C7" activePane="bottomRight" state="frozen"/>
      <selection activeCell="I17" sqref="I17"/>
      <selection pane="topRight" activeCell="I17" sqref="I17"/>
      <selection pane="bottomLeft" activeCell="I17" sqref="I17"/>
      <selection pane="bottomRight" activeCell="I17" sqref="I17"/>
    </sheetView>
  </sheetViews>
  <sheetFormatPr defaultColWidth="7.85546875" defaultRowHeight="12" customHeight="1"/>
  <cols>
    <col min="1" max="1" width="4.28515625" style="26" customWidth="1"/>
    <col min="2" max="2" width="30.140625" style="26" customWidth="1"/>
    <col min="3" max="3" width="13.7109375" style="26" customWidth="1"/>
    <col min="4" max="4" width="11" style="26" customWidth="1"/>
    <col min="5" max="5" width="13.7109375" style="26" customWidth="1"/>
    <col min="6" max="6" width="9.42578125" style="26" customWidth="1"/>
    <col min="7" max="7" width="13.7109375" style="26" customWidth="1"/>
    <col min="8" max="8" width="11" style="26" customWidth="1"/>
    <col min="9" max="9" width="13.7109375" style="26" customWidth="1"/>
    <col min="10" max="10" width="11.5703125" style="26" customWidth="1"/>
    <col min="11" max="11" width="13.7109375" style="26" customWidth="1"/>
    <col min="12" max="12" width="10.140625" style="26" customWidth="1"/>
    <col min="13" max="13" width="13.7109375" style="26" customWidth="1"/>
    <col min="14" max="14" width="9.7109375" style="26" customWidth="1"/>
    <col min="15" max="16384" width="7.85546875" style="26"/>
  </cols>
  <sheetData>
    <row r="1" spans="1:14" s="24" customFormat="1" ht="18" customHeight="1">
      <c r="A1" s="74" t="s">
        <v>765</v>
      </c>
      <c r="J1" s="25"/>
      <c r="N1" s="25" t="s">
        <v>768</v>
      </c>
    </row>
    <row r="2" spans="1:14" ht="24.75" customHeight="1">
      <c r="A2" s="105" t="str">
        <f>'[10]3.1'!$A$2</f>
        <v>ПКГО - выработка котельными</v>
      </c>
    </row>
    <row r="3" spans="1:14" ht="25.5" customHeight="1">
      <c r="A3" s="1876" t="s">
        <v>114</v>
      </c>
      <c r="B3" s="1876"/>
      <c r="C3" s="1876"/>
      <c r="D3" s="1876"/>
      <c r="E3" s="1876"/>
      <c r="F3" s="1876"/>
      <c r="G3" s="1876"/>
      <c r="H3" s="1876"/>
      <c r="I3" s="1876"/>
      <c r="J3" s="1876"/>
      <c r="K3" s="1876"/>
      <c r="L3" s="1876"/>
      <c r="M3" s="1876"/>
      <c r="N3" s="1876"/>
    </row>
    <row r="4" spans="1:14" s="541" customFormat="1" ht="26.25" customHeight="1"/>
    <row r="5" spans="1:14" s="31" customFormat="1" ht="27" customHeight="1">
      <c r="A5" s="1873" t="s">
        <v>0</v>
      </c>
      <c r="B5" s="1858" t="s">
        <v>1</v>
      </c>
      <c r="C5" s="1846" t="s">
        <v>773</v>
      </c>
      <c r="D5" s="1846"/>
      <c r="E5" s="1846"/>
      <c r="F5" s="1846"/>
      <c r="G5" s="1846" t="s">
        <v>767</v>
      </c>
      <c r="H5" s="1846"/>
      <c r="I5" s="1846"/>
      <c r="J5" s="1846"/>
      <c r="K5" s="1846" t="s">
        <v>766</v>
      </c>
      <c r="L5" s="1846"/>
      <c r="M5" s="1846"/>
      <c r="N5" s="1846"/>
    </row>
    <row r="6" spans="1:14" s="31" customFormat="1" ht="141.75" customHeight="1">
      <c r="A6" s="1873"/>
      <c r="B6" s="1860"/>
      <c r="C6" s="539" t="s">
        <v>115</v>
      </c>
      <c r="D6" s="539" t="s">
        <v>116</v>
      </c>
      <c r="E6" s="539" t="s">
        <v>117</v>
      </c>
      <c r="F6" s="539" t="s">
        <v>118</v>
      </c>
      <c r="G6" s="539" t="s">
        <v>115</v>
      </c>
      <c r="H6" s="539" t="s">
        <v>116</v>
      </c>
      <c r="I6" s="539" t="s">
        <v>117</v>
      </c>
      <c r="J6" s="539" t="s">
        <v>118</v>
      </c>
      <c r="K6" s="539" t="s">
        <v>115</v>
      </c>
      <c r="L6" s="539" t="s">
        <v>116</v>
      </c>
      <c r="M6" s="539" t="s">
        <v>117</v>
      </c>
      <c r="N6" s="539" t="s">
        <v>118</v>
      </c>
    </row>
    <row r="7" spans="1:14" s="53" customFormat="1" ht="13.5" customHeight="1">
      <c r="A7" s="8">
        <v>1</v>
      </c>
      <c r="B7" s="8">
        <v>2</v>
      </c>
      <c r="C7" s="54">
        <v>3</v>
      </c>
      <c r="D7" s="54">
        <v>4</v>
      </c>
      <c r="E7" s="54">
        <v>5</v>
      </c>
      <c r="F7" s="54">
        <v>6</v>
      </c>
      <c r="G7" s="54">
        <v>7</v>
      </c>
      <c r="H7" s="54">
        <v>8</v>
      </c>
      <c r="I7" s="54">
        <v>9</v>
      </c>
      <c r="J7" s="54">
        <v>10</v>
      </c>
      <c r="K7" s="54">
        <v>11</v>
      </c>
      <c r="L7" s="54">
        <v>12</v>
      </c>
      <c r="M7" s="54">
        <v>13</v>
      </c>
      <c r="N7" s="54">
        <v>14</v>
      </c>
    </row>
    <row r="8" spans="1:14" s="77" customFormat="1" ht="30" customHeight="1">
      <c r="A8" s="123" t="s">
        <v>4</v>
      </c>
      <c r="B8" s="116" t="s">
        <v>119</v>
      </c>
      <c r="C8" s="118">
        <f t="shared" ref="C8:E8" si="0">C9+C10+C15</f>
        <v>145</v>
      </c>
      <c r="D8" s="118"/>
      <c r="E8" s="118">
        <f t="shared" si="0"/>
        <v>461.95</v>
      </c>
      <c r="F8" s="118"/>
      <c r="G8" s="118">
        <f t="shared" ref="G8:M8" si="1">G9+G10+G15</f>
        <v>145</v>
      </c>
      <c r="H8" s="118"/>
      <c r="I8" s="118">
        <f t="shared" si="1"/>
        <v>280.93400000000003</v>
      </c>
      <c r="J8" s="118"/>
      <c r="K8" s="118">
        <f t="shared" si="1"/>
        <v>145</v>
      </c>
      <c r="L8" s="118"/>
      <c r="M8" s="118">
        <f t="shared" si="1"/>
        <v>181.01599999999999</v>
      </c>
      <c r="N8" s="118"/>
    </row>
    <row r="9" spans="1:14" s="78" customFormat="1" ht="14.25">
      <c r="A9" s="86"/>
      <c r="B9" s="121" t="s">
        <v>120</v>
      </c>
      <c r="C9" s="122">
        <v>145</v>
      </c>
      <c r="D9" s="120"/>
      <c r="E9" s="122">
        <v>461.95</v>
      </c>
      <c r="F9" s="120"/>
      <c r="G9" s="122">
        <v>145</v>
      </c>
      <c r="H9" s="120"/>
      <c r="I9" s="120">
        <v>280.93400000000003</v>
      </c>
      <c r="J9" s="120"/>
      <c r="K9" s="122">
        <v>145</v>
      </c>
      <c r="L9" s="120"/>
      <c r="M9" s="120">
        <v>181.01599999999999</v>
      </c>
      <c r="N9" s="120"/>
    </row>
    <row r="10" spans="1:14" s="78" customFormat="1" ht="15" customHeight="1">
      <c r="A10" s="86"/>
      <c r="B10" s="121" t="s">
        <v>121</v>
      </c>
      <c r="C10" s="120"/>
      <c r="D10" s="120"/>
      <c r="E10" s="122"/>
      <c r="F10" s="120"/>
      <c r="G10" s="120"/>
      <c r="H10" s="120"/>
      <c r="I10" s="120"/>
      <c r="J10" s="120"/>
      <c r="K10" s="120"/>
      <c r="L10" s="120"/>
      <c r="M10" s="120"/>
      <c r="N10" s="120"/>
    </row>
    <row r="11" spans="1:14" s="541" customFormat="1" ht="15" customHeight="1">
      <c r="A11" s="55"/>
      <c r="B11" s="57" t="s">
        <v>122</v>
      </c>
      <c r="C11" s="50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</row>
    <row r="12" spans="1:14" s="108" customFormat="1" ht="15" customHeight="1">
      <c r="A12" s="295"/>
      <c r="B12" s="296" t="s">
        <v>123</v>
      </c>
      <c r="C12" s="89"/>
      <c r="D12" s="89"/>
      <c r="E12" s="297"/>
      <c r="F12" s="89"/>
      <c r="G12" s="89"/>
      <c r="H12" s="89"/>
      <c r="I12" s="89"/>
      <c r="J12" s="89"/>
      <c r="K12" s="89"/>
      <c r="L12" s="89"/>
      <c r="M12" s="89"/>
      <c r="N12" s="89"/>
    </row>
    <row r="13" spans="1:14" s="541" customFormat="1" ht="15" customHeight="1">
      <c r="A13" s="55"/>
      <c r="B13" s="57" t="s">
        <v>124</v>
      </c>
      <c r="C13" s="50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</row>
    <row r="14" spans="1:14" s="541" customFormat="1" ht="15" customHeight="1">
      <c r="A14" s="55"/>
      <c r="B14" s="57" t="s">
        <v>125</v>
      </c>
      <c r="C14" s="50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</row>
    <row r="15" spans="1:14" s="294" customFormat="1" ht="15">
      <c r="A15" s="292"/>
      <c r="B15" s="293" t="s">
        <v>126</v>
      </c>
      <c r="C15" s="52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</row>
    <row r="16" spans="1:14" s="77" customFormat="1" ht="29.25" customHeight="1">
      <c r="A16" s="115"/>
      <c r="B16" s="116" t="s">
        <v>127</v>
      </c>
      <c r="C16" s="117">
        <f t="shared" ref="C16:G16" si="2">C17</f>
        <v>117.05</v>
      </c>
      <c r="D16" s="117"/>
      <c r="E16" s="117">
        <f t="shared" si="2"/>
        <v>393.45</v>
      </c>
      <c r="F16" s="117"/>
      <c r="G16" s="117">
        <f t="shared" si="2"/>
        <v>117.05</v>
      </c>
      <c r="H16" s="117"/>
      <c r="I16" s="117">
        <f t="shared" ref="I16:M16" si="3">I17</f>
        <v>233.75899999999999</v>
      </c>
      <c r="J16" s="117"/>
      <c r="K16" s="117">
        <f t="shared" si="3"/>
        <v>117.05</v>
      </c>
      <c r="L16" s="117"/>
      <c r="M16" s="117">
        <f t="shared" si="3"/>
        <v>159.691</v>
      </c>
      <c r="N16" s="117"/>
    </row>
    <row r="17" spans="1:14" s="541" customFormat="1" ht="15">
      <c r="A17" s="55"/>
      <c r="B17" s="57" t="s">
        <v>120</v>
      </c>
      <c r="C17" s="50">
        <v>117.05</v>
      </c>
      <c r="D17" s="114"/>
      <c r="E17" s="50">
        <v>393.45</v>
      </c>
      <c r="F17" s="50"/>
      <c r="G17" s="50">
        <v>117.05</v>
      </c>
      <c r="H17" s="114"/>
      <c r="I17" s="50">
        <v>233.75899999999999</v>
      </c>
      <c r="J17" s="50"/>
      <c r="K17" s="50">
        <v>117.05</v>
      </c>
      <c r="L17" s="114"/>
      <c r="M17" s="50">
        <v>159.691</v>
      </c>
      <c r="N17" s="50"/>
    </row>
    <row r="18" spans="1:14" s="541" customFormat="1" ht="15" customHeight="1">
      <c r="A18" s="55"/>
      <c r="B18" s="57" t="s">
        <v>121</v>
      </c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</row>
    <row r="19" spans="1:14" s="541" customFormat="1" ht="15" customHeight="1">
      <c r="A19" s="55"/>
      <c r="B19" s="57" t="s">
        <v>122</v>
      </c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</row>
    <row r="20" spans="1:14" s="541" customFormat="1" ht="15" customHeight="1">
      <c r="A20" s="55"/>
      <c r="B20" s="57" t="s">
        <v>123</v>
      </c>
      <c r="C20" s="50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</row>
    <row r="21" spans="1:14" s="541" customFormat="1" ht="15" customHeight="1">
      <c r="A21" s="55"/>
      <c r="B21" s="57" t="s">
        <v>124</v>
      </c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</row>
    <row r="22" spans="1:14" s="541" customFormat="1" ht="15" customHeight="1">
      <c r="A22" s="55"/>
      <c r="B22" s="57" t="s">
        <v>125</v>
      </c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</row>
    <row r="23" spans="1:14" s="541" customFormat="1" ht="15" customHeight="1">
      <c r="A23" s="55"/>
      <c r="B23" s="56" t="s">
        <v>126</v>
      </c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</row>
    <row r="24" spans="1:14" ht="9" customHeight="1"/>
    <row r="25" spans="1:14" ht="13.5" customHeight="1">
      <c r="A25" s="26" t="s">
        <v>88</v>
      </c>
    </row>
    <row r="26" spans="1:14" s="541" customFormat="1" ht="29.25" customHeight="1">
      <c r="A26" s="45" t="s">
        <v>89</v>
      </c>
      <c r="B26" s="1842" t="s">
        <v>128</v>
      </c>
      <c r="C26" s="1842"/>
      <c r="D26" s="1842"/>
      <c r="E26" s="1842"/>
      <c r="F26" s="1842"/>
      <c r="G26" s="1842"/>
      <c r="H26" s="1842"/>
      <c r="I26" s="1842"/>
      <c r="J26" s="1842"/>
    </row>
    <row r="27" spans="1:14" s="541" customFormat="1" ht="15">
      <c r="A27" s="45" t="s">
        <v>91</v>
      </c>
      <c r="B27" s="541" t="s">
        <v>129</v>
      </c>
    </row>
  </sheetData>
  <mergeCells count="7">
    <mergeCell ref="B26:J26"/>
    <mergeCell ref="A3:N3"/>
    <mergeCell ref="A5:A6"/>
    <mergeCell ref="B5:B6"/>
    <mergeCell ref="C5:F5"/>
    <mergeCell ref="G5:J5"/>
    <mergeCell ref="K5:N5"/>
  </mergeCells>
  <pageMargins left="0.78740157480314965" right="0.22" top="0.78740157480314965" bottom="0.39370078740157483" header="0.19685039370078741" footer="0.19685039370078741"/>
  <pageSetup paperSize="9" scale="6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39997558519241921"/>
  </sheetPr>
  <dimension ref="A1:BN290"/>
  <sheetViews>
    <sheetView view="pageBreakPreview" zoomScaleNormal="100" zoomScaleSheetLayoutView="100" workbookViewId="0">
      <pane xSplit="2" ySplit="19" topLeftCell="C263" activePane="bottomRight" state="frozen"/>
      <selection pane="topRight" activeCell="C1" sqref="C1"/>
      <selection pane="bottomLeft" activeCell="A20" sqref="A20"/>
      <selection pane="bottomRight" activeCell="R2" sqref="R2"/>
    </sheetView>
  </sheetViews>
  <sheetFormatPr defaultRowHeight="12.75" outlineLevelRow="1"/>
  <cols>
    <col min="1" max="1" width="8.140625" style="126" customWidth="1"/>
    <col min="2" max="2" width="39.28515625" style="128" customWidth="1"/>
    <col min="3" max="3" width="13.28515625" style="126" customWidth="1"/>
    <col min="4" max="4" width="10.7109375" style="128" hidden="1" customWidth="1"/>
    <col min="5" max="5" width="9.7109375" style="128" hidden="1" customWidth="1"/>
    <col min="6" max="6" width="11.7109375" style="128" customWidth="1"/>
    <col min="7" max="10" width="12.140625" style="128" customWidth="1"/>
    <col min="11" max="11" width="14.85546875" style="128" customWidth="1"/>
    <col min="12" max="12" width="11.85546875" style="128" customWidth="1"/>
    <col min="13" max="13" width="10.5703125" style="128" customWidth="1"/>
    <col min="14" max="14" width="11" style="128" customWidth="1"/>
    <col min="15" max="15" width="11.7109375" style="128" customWidth="1"/>
    <col min="16" max="17" width="11" style="128" customWidth="1"/>
    <col min="18" max="18" width="12.140625" style="128" customWidth="1"/>
    <col min="19" max="16384" width="9.140625" style="128"/>
  </cols>
  <sheetData>
    <row r="1" spans="1:17" s="125" customFormat="1" ht="15">
      <c r="A1" s="74" t="s">
        <v>1860</v>
      </c>
      <c r="B1" s="666"/>
      <c r="C1" s="124"/>
    </row>
    <row r="2" spans="1:17" ht="15.75">
      <c r="A2" s="617" t="s">
        <v>1221</v>
      </c>
      <c r="B2" s="127"/>
      <c r="M2" s="1633"/>
      <c r="N2" s="1634"/>
      <c r="O2" s="1634"/>
      <c r="P2" s="1883" t="s">
        <v>794</v>
      </c>
      <c r="Q2" s="1884"/>
    </row>
    <row r="3" spans="1:17" ht="18.75" customHeight="1">
      <c r="A3" s="1890" t="s">
        <v>1222</v>
      </c>
      <c r="B3" s="1890"/>
      <c r="C3" s="1890"/>
      <c r="D3" s="1890"/>
      <c r="E3" s="1890"/>
      <c r="F3" s="1890"/>
      <c r="G3" s="1890"/>
      <c r="H3" s="1890"/>
      <c r="I3" s="1890"/>
      <c r="J3" s="1890"/>
      <c r="K3" s="1890"/>
      <c r="L3" s="1890"/>
    </row>
    <row r="4" spans="1:17" ht="15.75">
      <c r="A4" s="129"/>
      <c r="B4" s="127"/>
    </row>
    <row r="5" spans="1:17" s="130" customFormat="1" ht="12.75" customHeight="1">
      <c r="A5" s="1891" t="s">
        <v>789</v>
      </c>
      <c r="B5" s="1891" t="s">
        <v>1</v>
      </c>
      <c r="C5" s="1893" t="s">
        <v>2</v>
      </c>
      <c r="D5" s="1881" t="s">
        <v>790</v>
      </c>
      <c r="E5" s="1895" t="s">
        <v>1132</v>
      </c>
      <c r="F5" s="1881" t="s">
        <v>1133</v>
      </c>
      <c r="G5" s="1881" t="s">
        <v>1690</v>
      </c>
      <c r="H5" s="1881" t="s">
        <v>1698</v>
      </c>
      <c r="I5" s="1881" t="s">
        <v>1827</v>
      </c>
      <c r="J5" s="1881" t="s">
        <v>1880</v>
      </c>
      <c r="K5" s="1881" t="s">
        <v>1861</v>
      </c>
      <c r="L5" s="1881" t="s">
        <v>1862</v>
      </c>
      <c r="M5" s="1882" t="s">
        <v>791</v>
      </c>
      <c r="N5" s="1882"/>
      <c r="O5" s="1881" t="s">
        <v>1863</v>
      </c>
      <c r="P5" s="1882" t="s">
        <v>791</v>
      </c>
      <c r="Q5" s="1882"/>
    </row>
    <row r="6" spans="1:17" s="132" customFormat="1" ht="45" customHeight="1">
      <c r="A6" s="1892"/>
      <c r="B6" s="1892">
        <f>+A6+1</f>
        <v>1</v>
      </c>
      <c r="C6" s="1894">
        <f>B6+1</f>
        <v>2</v>
      </c>
      <c r="D6" s="1881"/>
      <c r="E6" s="1896"/>
      <c r="F6" s="1881"/>
      <c r="G6" s="1881"/>
      <c r="H6" s="1881"/>
      <c r="I6" s="1881"/>
      <c r="J6" s="1881"/>
      <c r="K6" s="1881"/>
      <c r="L6" s="1881"/>
      <c r="M6" s="131" t="s">
        <v>792</v>
      </c>
      <c r="N6" s="131" t="s">
        <v>793</v>
      </c>
      <c r="O6" s="1881"/>
      <c r="P6" s="131" t="s">
        <v>792</v>
      </c>
      <c r="Q6" s="131" t="s">
        <v>793</v>
      </c>
    </row>
    <row r="7" spans="1:17" s="132" customFormat="1" ht="15.75" customHeight="1">
      <c r="A7" s="309">
        <v>1</v>
      </c>
      <c r="B7" s="309">
        <v>2</v>
      </c>
      <c r="C7" s="309">
        <v>3</v>
      </c>
      <c r="D7" s="309">
        <v>4</v>
      </c>
      <c r="E7" s="309">
        <v>5</v>
      </c>
      <c r="F7" s="309">
        <v>4</v>
      </c>
      <c r="G7" s="309">
        <v>5</v>
      </c>
      <c r="H7" s="309">
        <v>6</v>
      </c>
      <c r="I7" s="309">
        <v>7</v>
      </c>
      <c r="J7" s="309">
        <v>8</v>
      </c>
      <c r="K7" s="309">
        <v>9</v>
      </c>
      <c r="L7" s="309">
        <v>10</v>
      </c>
      <c r="M7" s="309">
        <v>11</v>
      </c>
      <c r="N7" s="309">
        <v>12</v>
      </c>
      <c r="O7" s="309">
        <v>13</v>
      </c>
      <c r="P7" s="309">
        <v>14</v>
      </c>
      <c r="Q7" s="309">
        <v>15</v>
      </c>
    </row>
    <row r="8" spans="1:17" s="136" customFormat="1" ht="14.25" hidden="1" customHeight="1" outlineLevel="1">
      <c r="A8" s="133">
        <v>1</v>
      </c>
      <c r="B8" s="134" t="s">
        <v>795</v>
      </c>
      <c r="C8" s="133" t="s">
        <v>796</v>
      </c>
      <c r="D8" s="134">
        <v>962.98199999999997</v>
      </c>
      <c r="E8" s="134">
        <v>964.94999999999993</v>
      </c>
      <c r="F8" s="134">
        <v>951.68</v>
      </c>
      <c r="G8" s="134"/>
      <c r="H8" s="134">
        <v>943.71500000000003</v>
      </c>
      <c r="I8" s="134"/>
      <c r="J8" s="134"/>
      <c r="K8" s="134"/>
      <c r="L8" s="134"/>
      <c r="M8" s="134"/>
      <c r="N8" s="134"/>
      <c r="O8" s="134"/>
      <c r="P8" s="134"/>
      <c r="Q8" s="134"/>
    </row>
    <row r="9" spans="1:17" s="136" customFormat="1" ht="12.75" hidden="1" customHeight="1" outlineLevel="1">
      <c r="A9" s="137" t="s">
        <v>23</v>
      </c>
      <c r="B9" s="138" t="s">
        <v>135</v>
      </c>
      <c r="C9" s="133" t="s">
        <v>796</v>
      </c>
      <c r="D9" s="134">
        <v>116.92099999999999</v>
      </c>
      <c r="E9" s="134">
        <f>E10+E12</f>
        <v>111.798</v>
      </c>
      <c r="F9" s="134">
        <f t="shared" ref="F9:N9" si="0">F10+F12</f>
        <v>115.917</v>
      </c>
      <c r="G9" s="135">
        <f t="shared" si="0"/>
        <v>0</v>
      </c>
      <c r="H9" s="135">
        <f t="shared" si="0"/>
        <v>113.834</v>
      </c>
      <c r="I9" s="135">
        <f t="shared" si="0"/>
        <v>0</v>
      </c>
      <c r="J9" s="135"/>
      <c r="K9" s="135"/>
      <c r="L9" s="135">
        <f t="shared" si="0"/>
        <v>0</v>
      </c>
      <c r="M9" s="135">
        <f t="shared" si="0"/>
        <v>0</v>
      </c>
      <c r="N9" s="135">
        <f t="shared" si="0"/>
        <v>0</v>
      </c>
      <c r="O9" s="135">
        <f t="shared" ref="O9:Q9" si="1">O10+O12</f>
        <v>0</v>
      </c>
      <c r="P9" s="135">
        <f t="shared" si="1"/>
        <v>0</v>
      </c>
      <c r="Q9" s="135">
        <f t="shared" si="1"/>
        <v>0</v>
      </c>
    </row>
    <row r="10" spans="1:17" s="136" customFormat="1" ht="12.75" hidden="1" customHeight="1" outlineLevel="1">
      <c r="A10" s="137" t="s">
        <v>24</v>
      </c>
      <c r="B10" s="134" t="s">
        <v>797</v>
      </c>
      <c r="C10" s="133" t="s">
        <v>796</v>
      </c>
      <c r="D10" s="134">
        <v>74.385999999999996</v>
      </c>
      <c r="E10" s="134">
        <v>70.77</v>
      </c>
      <c r="F10" s="134">
        <v>73.236000000000004</v>
      </c>
      <c r="G10" s="134"/>
      <c r="H10" s="134">
        <v>71.903999999999996</v>
      </c>
      <c r="I10" s="134"/>
      <c r="J10" s="134"/>
      <c r="K10" s="134"/>
      <c r="L10" s="134"/>
      <c r="M10" s="134"/>
      <c r="N10" s="134"/>
      <c r="O10" s="134"/>
      <c r="P10" s="134"/>
      <c r="Q10" s="134"/>
    </row>
    <row r="11" spans="1:17" s="136" customFormat="1" ht="12.75" hidden="1" customHeight="1" outlineLevel="1">
      <c r="A11" s="137" t="s">
        <v>25</v>
      </c>
      <c r="B11" s="134" t="s">
        <v>798</v>
      </c>
      <c r="C11" s="141" t="s">
        <v>138</v>
      </c>
      <c r="D11" s="142">
        <v>7.7245472916420033E-2</v>
      </c>
      <c r="E11" s="142">
        <f t="shared" ref="E11:N11" si="2">E10/E8</f>
        <v>7.3340587595212184E-2</v>
      </c>
      <c r="F11" s="142">
        <f t="shared" si="2"/>
        <v>7.6954438466711503E-2</v>
      </c>
      <c r="G11" s="142" t="e">
        <f t="shared" si="2"/>
        <v>#DIV/0!</v>
      </c>
      <c r="H11" s="142">
        <f t="shared" si="2"/>
        <v>7.6192494556089493E-2</v>
      </c>
      <c r="I11" s="142" t="e">
        <f t="shared" si="2"/>
        <v>#DIV/0!</v>
      </c>
      <c r="J11" s="142"/>
      <c r="K11" s="142"/>
      <c r="L11" s="142" t="e">
        <f t="shared" si="2"/>
        <v>#DIV/0!</v>
      </c>
      <c r="M11" s="142" t="e">
        <f t="shared" si="2"/>
        <v>#DIV/0!</v>
      </c>
      <c r="N11" s="142" t="e">
        <f t="shared" si="2"/>
        <v>#DIV/0!</v>
      </c>
      <c r="O11" s="142" t="e">
        <f t="shared" ref="O11:Q11" si="3">O10/O8</f>
        <v>#DIV/0!</v>
      </c>
      <c r="P11" s="142" t="e">
        <f t="shared" si="3"/>
        <v>#DIV/0!</v>
      </c>
      <c r="Q11" s="142" t="e">
        <f t="shared" si="3"/>
        <v>#DIV/0!</v>
      </c>
    </row>
    <row r="12" spans="1:17" s="136" customFormat="1" ht="12.75" hidden="1" customHeight="1" outlineLevel="1">
      <c r="A12" s="137" t="s">
        <v>139</v>
      </c>
      <c r="B12" s="134" t="s">
        <v>799</v>
      </c>
      <c r="C12" s="133" t="s">
        <v>796</v>
      </c>
      <c r="D12" s="134">
        <v>42.534999999999997</v>
      </c>
      <c r="E12" s="134">
        <v>41.027999999999999</v>
      </c>
      <c r="F12" s="134">
        <v>42.680999999999997</v>
      </c>
      <c r="G12" s="134"/>
      <c r="H12" s="134">
        <v>41.93</v>
      </c>
      <c r="I12" s="134"/>
      <c r="J12" s="134"/>
      <c r="K12" s="134"/>
      <c r="L12" s="134"/>
      <c r="M12" s="134"/>
      <c r="N12" s="134"/>
      <c r="O12" s="134"/>
      <c r="P12" s="134"/>
      <c r="Q12" s="134"/>
    </row>
    <row r="13" spans="1:17" s="136" customFormat="1" ht="12.75" hidden="1" customHeight="1" outlineLevel="1">
      <c r="A13" s="137" t="s">
        <v>141</v>
      </c>
      <c r="B13" s="134" t="s">
        <v>800</v>
      </c>
      <c r="C13" s="133" t="s">
        <v>143</v>
      </c>
      <c r="D13" s="143">
        <v>35.263257815991039</v>
      </c>
      <c r="E13" s="143">
        <f t="shared" ref="E13:N13" si="4">E12/E20*1000</f>
        <v>23.448276256219909</v>
      </c>
      <c r="F13" s="143">
        <f t="shared" si="4"/>
        <v>24.310432622150223</v>
      </c>
      <c r="G13" s="143">
        <f t="shared" si="4"/>
        <v>0</v>
      </c>
      <c r="H13" s="143">
        <f t="shared" si="4"/>
        <v>24.016445508787225</v>
      </c>
      <c r="I13" s="143">
        <f t="shared" si="4"/>
        <v>0</v>
      </c>
      <c r="J13" s="143"/>
      <c r="K13" s="143"/>
      <c r="L13" s="143">
        <f t="shared" si="4"/>
        <v>0</v>
      </c>
      <c r="M13" s="143">
        <f t="shared" si="4"/>
        <v>0</v>
      </c>
      <c r="N13" s="143">
        <f t="shared" si="4"/>
        <v>0</v>
      </c>
      <c r="O13" s="143">
        <f t="shared" ref="O13:Q13" si="5">O12/O20*1000</f>
        <v>0</v>
      </c>
      <c r="P13" s="143">
        <f t="shared" si="5"/>
        <v>0</v>
      </c>
      <c r="Q13" s="143">
        <f t="shared" si="5"/>
        <v>0</v>
      </c>
    </row>
    <row r="14" spans="1:17" s="136" customFormat="1" ht="12.75" hidden="1" customHeight="1" outlineLevel="1">
      <c r="A14" s="618">
        <v>3</v>
      </c>
      <c r="B14" s="619" t="s">
        <v>144</v>
      </c>
      <c r="C14" s="620" t="s">
        <v>796</v>
      </c>
      <c r="D14" s="621">
        <v>846.06099999999992</v>
      </c>
      <c r="E14" s="621">
        <f>E8-E9</f>
        <v>853.15199999999993</v>
      </c>
      <c r="F14" s="621">
        <f t="shared" ref="F14:N14" si="6">F8-F9</f>
        <v>835.76299999999992</v>
      </c>
      <c r="G14" s="621">
        <f t="shared" si="6"/>
        <v>0</v>
      </c>
      <c r="H14" s="621">
        <f t="shared" si="6"/>
        <v>829.88100000000009</v>
      </c>
      <c r="I14" s="621">
        <f t="shared" si="6"/>
        <v>0</v>
      </c>
      <c r="J14" s="621"/>
      <c r="K14" s="621"/>
      <c r="L14" s="622">
        <f t="shared" si="6"/>
        <v>0</v>
      </c>
      <c r="M14" s="621">
        <f t="shared" si="6"/>
        <v>0</v>
      </c>
      <c r="N14" s="621">
        <f t="shared" si="6"/>
        <v>0</v>
      </c>
      <c r="O14" s="622">
        <f t="shared" ref="O14:Q14" si="7">O8-O9</f>
        <v>0</v>
      </c>
      <c r="P14" s="621">
        <f t="shared" si="7"/>
        <v>0</v>
      </c>
      <c r="Q14" s="621">
        <f t="shared" si="7"/>
        <v>0</v>
      </c>
    </row>
    <row r="15" spans="1:17" s="136" customFormat="1" ht="25.5" hidden="1" customHeight="1" outlineLevel="1">
      <c r="A15" s="133">
        <v>4</v>
      </c>
      <c r="B15" s="138" t="s">
        <v>801</v>
      </c>
      <c r="C15" s="133" t="s">
        <v>796</v>
      </c>
      <c r="D15" s="135">
        <v>2</v>
      </c>
      <c r="E15" s="135">
        <v>1.8480000000000001</v>
      </c>
      <c r="F15" s="135">
        <v>1.94</v>
      </c>
      <c r="G15" s="135"/>
      <c r="H15" s="135">
        <v>1.94</v>
      </c>
      <c r="I15" s="135"/>
      <c r="J15" s="135"/>
      <c r="K15" s="135"/>
      <c r="L15" s="135"/>
      <c r="M15" s="135"/>
      <c r="N15" s="135"/>
      <c r="O15" s="135"/>
      <c r="P15" s="135"/>
      <c r="Q15" s="135"/>
    </row>
    <row r="16" spans="1:17" s="136" customFormat="1" ht="12.75" hidden="1" customHeight="1" outlineLevel="1">
      <c r="A16" s="137" t="s">
        <v>31</v>
      </c>
      <c r="B16" s="134" t="s">
        <v>802</v>
      </c>
      <c r="C16" s="145" t="s">
        <v>138</v>
      </c>
      <c r="D16" s="142">
        <v>2.3638957474697454E-3</v>
      </c>
      <c r="E16" s="142">
        <f t="shared" ref="E16:N16" si="8">E15/E14</f>
        <v>2.1660852931247891E-3</v>
      </c>
      <c r="F16" s="142">
        <f t="shared" si="8"/>
        <v>2.3212322153529173E-3</v>
      </c>
      <c r="G16" s="142" t="e">
        <f t="shared" si="8"/>
        <v>#DIV/0!</v>
      </c>
      <c r="H16" s="142">
        <f t="shared" si="8"/>
        <v>2.3376845595934836E-3</v>
      </c>
      <c r="I16" s="142" t="e">
        <f t="shared" si="8"/>
        <v>#DIV/0!</v>
      </c>
      <c r="J16" s="142"/>
      <c r="K16" s="142"/>
      <c r="L16" s="142" t="e">
        <f t="shared" si="8"/>
        <v>#DIV/0!</v>
      </c>
      <c r="M16" s="142" t="e">
        <f t="shared" si="8"/>
        <v>#DIV/0!</v>
      </c>
      <c r="N16" s="142" t="e">
        <f t="shared" si="8"/>
        <v>#DIV/0!</v>
      </c>
      <c r="O16" s="142" t="e">
        <f t="shared" ref="O16:Q16" si="9">O15/O14</f>
        <v>#DIV/0!</v>
      </c>
      <c r="P16" s="142" t="e">
        <f t="shared" si="9"/>
        <v>#DIV/0!</v>
      </c>
      <c r="Q16" s="142" t="e">
        <f t="shared" si="9"/>
        <v>#DIV/0!</v>
      </c>
    </row>
    <row r="17" spans="1:18" s="148" customFormat="1" ht="13.5" hidden="1" customHeight="1" outlineLevel="1">
      <c r="A17" s="146">
        <v>5</v>
      </c>
      <c r="B17" s="144" t="s">
        <v>147</v>
      </c>
      <c r="C17" s="146" t="s">
        <v>796</v>
      </c>
      <c r="D17" s="144">
        <v>11.683999999999999</v>
      </c>
      <c r="E17" s="144">
        <v>10.388</v>
      </c>
      <c r="F17" s="144">
        <v>11.87</v>
      </c>
      <c r="G17" s="144"/>
      <c r="H17" s="144">
        <v>11.530000000000001</v>
      </c>
      <c r="I17" s="144"/>
      <c r="J17" s="144"/>
      <c r="K17" s="144"/>
      <c r="L17" s="144"/>
      <c r="M17" s="144"/>
      <c r="N17" s="144"/>
      <c r="O17" s="144"/>
      <c r="P17" s="144"/>
      <c r="Q17" s="144"/>
    </row>
    <row r="18" spans="1:18" s="148" customFormat="1" ht="12.75" hidden="1" customHeight="1" outlineLevel="1">
      <c r="A18" s="137" t="s">
        <v>80</v>
      </c>
      <c r="B18" s="134" t="s">
        <v>802</v>
      </c>
      <c r="C18" s="145" t="s">
        <v>138</v>
      </c>
      <c r="D18" s="142">
        <v>1.3809878956718251E-2</v>
      </c>
      <c r="E18" s="142">
        <f t="shared" ref="E18:N18" si="10">E17/E14</f>
        <v>1.2176024905292376E-2</v>
      </c>
      <c r="F18" s="142">
        <f t="shared" si="10"/>
        <v>1.4202590925896456E-2</v>
      </c>
      <c r="G18" s="142" t="e">
        <f t="shared" si="10"/>
        <v>#DIV/0!</v>
      </c>
      <c r="H18" s="142">
        <f t="shared" si="10"/>
        <v>1.3893558233047871E-2</v>
      </c>
      <c r="I18" s="142" t="e">
        <f t="shared" si="10"/>
        <v>#DIV/0!</v>
      </c>
      <c r="J18" s="142"/>
      <c r="K18" s="142"/>
      <c r="L18" s="142" t="e">
        <f t="shared" si="10"/>
        <v>#DIV/0!</v>
      </c>
      <c r="M18" s="142" t="e">
        <f t="shared" si="10"/>
        <v>#DIV/0!</v>
      </c>
      <c r="N18" s="142" t="e">
        <f t="shared" si="10"/>
        <v>#DIV/0!</v>
      </c>
      <c r="O18" s="142" t="e">
        <f t="shared" ref="O18:Q18" si="11">O17/O14</f>
        <v>#DIV/0!</v>
      </c>
      <c r="P18" s="142" t="e">
        <f t="shared" si="11"/>
        <v>#DIV/0!</v>
      </c>
      <c r="Q18" s="142" t="e">
        <f t="shared" si="11"/>
        <v>#DIV/0!</v>
      </c>
    </row>
    <row r="19" spans="1:18" s="148" customFormat="1" ht="12.75" hidden="1" customHeight="1" outlineLevel="1">
      <c r="A19" s="137" t="s">
        <v>86</v>
      </c>
      <c r="B19" s="144" t="s">
        <v>148</v>
      </c>
      <c r="C19" s="146" t="s">
        <v>796</v>
      </c>
      <c r="D19" s="144">
        <v>832.37699999999995</v>
      </c>
      <c r="E19" s="144">
        <f>E14-E15-E17</f>
        <v>840.91599999999994</v>
      </c>
      <c r="F19" s="144">
        <f t="shared" ref="F19:N19" si="12">F14-F15-F17</f>
        <v>821.95299999999986</v>
      </c>
      <c r="G19" s="144">
        <f t="shared" si="12"/>
        <v>0</v>
      </c>
      <c r="H19" s="144">
        <f t="shared" si="12"/>
        <v>816.41100000000006</v>
      </c>
      <c r="I19" s="144">
        <f t="shared" si="12"/>
        <v>0</v>
      </c>
      <c r="J19" s="144"/>
      <c r="K19" s="144"/>
      <c r="L19" s="144">
        <f t="shared" si="12"/>
        <v>0</v>
      </c>
      <c r="M19" s="144">
        <f t="shared" si="12"/>
        <v>0</v>
      </c>
      <c r="N19" s="144">
        <f t="shared" si="12"/>
        <v>0</v>
      </c>
      <c r="O19" s="144">
        <f t="shared" ref="O19:Q19" si="13">O14-O15-O17</f>
        <v>0</v>
      </c>
      <c r="P19" s="144">
        <f t="shared" si="13"/>
        <v>0</v>
      </c>
      <c r="Q19" s="144">
        <f t="shared" si="13"/>
        <v>0</v>
      </c>
    </row>
    <row r="20" spans="1:18" s="148" customFormat="1" ht="25.5" collapsed="1">
      <c r="A20" s="618">
        <v>7</v>
      </c>
      <c r="B20" s="619" t="s">
        <v>803</v>
      </c>
      <c r="C20" s="620" t="s">
        <v>804</v>
      </c>
      <c r="D20" s="621">
        <f>' 4.4-КТЭЦ_комбинир.'!D20+' 4.4-котельные'!D20</f>
        <v>1761.5920000000001</v>
      </c>
      <c r="E20" s="622">
        <f>' 4.4-КТЭЦ_комбинир.'!E20+' 4.4-котельные'!E20</f>
        <v>1749.7235000000001</v>
      </c>
      <c r="F20" s="621">
        <v>1755.6660000000002</v>
      </c>
      <c r="G20" s="622">
        <v>1670.752</v>
      </c>
      <c r="H20" s="622">
        <v>1745.8869999999999</v>
      </c>
      <c r="I20" s="622">
        <v>1596.2920000000001</v>
      </c>
      <c r="J20" s="622">
        <v>1632.8090000000002</v>
      </c>
      <c r="K20" s="622">
        <v>1618.4250000000002</v>
      </c>
      <c r="L20" s="622">
        <v>1619.421</v>
      </c>
      <c r="M20" s="622">
        <v>981.42399999999998</v>
      </c>
      <c r="N20" s="622">
        <v>637.99699999999996</v>
      </c>
      <c r="O20" s="622">
        <v>1619.421</v>
      </c>
      <c r="P20" s="622">
        <v>981.42399999999998</v>
      </c>
      <c r="Q20" s="622">
        <v>637.99699999999996</v>
      </c>
      <c r="R20" s="667"/>
    </row>
    <row r="21" spans="1:18" s="148" customFormat="1" ht="15.75" customHeight="1">
      <c r="A21" s="146">
        <v>8</v>
      </c>
      <c r="B21" s="144" t="s">
        <v>152</v>
      </c>
      <c r="C21" s="149" t="s">
        <v>804</v>
      </c>
      <c r="D21" s="144">
        <f>' 4.4-КТЭЦ_комбинир.'!D21+' 4.4-котельные'!D21</f>
        <v>47.480999999999973</v>
      </c>
      <c r="E21" s="147">
        <f>' 4.4-КТЭЦ_комбинир.'!E21+' 4.4-котельные'!E21</f>
        <v>47.086599999999997</v>
      </c>
      <c r="F21" s="144">
        <v>50.639000000000003</v>
      </c>
      <c r="G21" s="147">
        <v>46.820699999999995</v>
      </c>
      <c r="H21" s="147">
        <v>47.750000000000398</v>
      </c>
      <c r="I21" s="147">
        <v>48.774000000000001</v>
      </c>
      <c r="J21" s="147">
        <v>46.820999999999984</v>
      </c>
      <c r="K21" s="147">
        <v>46.888999999999996</v>
      </c>
      <c r="L21" s="147">
        <v>47.430999999999997</v>
      </c>
      <c r="M21" s="147">
        <v>27.440999999999999</v>
      </c>
      <c r="N21" s="147">
        <v>19.989999999999998</v>
      </c>
      <c r="O21" s="147">
        <v>47.430999999999997</v>
      </c>
      <c r="P21" s="147">
        <v>27.440999999999999</v>
      </c>
      <c r="Q21" s="147">
        <v>19.989999999999998</v>
      </c>
    </row>
    <row r="22" spans="1:18" s="148" customFormat="1">
      <c r="A22" s="137" t="s">
        <v>153</v>
      </c>
      <c r="B22" s="134" t="s">
        <v>805</v>
      </c>
      <c r="C22" s="146" t="s">
        <v>138</v>
      </c>
      <c r="D22" s="150">
        <f t="shared" ref="D22:N22" si="14">D21/D20</f>
        <v>2.6953460279111149E-2</v>
      </c>
      <c r="E22" s="150">
        <f t="shared" si="14"/>
        <v>2.6910880490546074E-2</v>
      </c>
      <c r="F22" s="150">
        <v>2.8843185435042884E-2</v>
      </c>
      <c r="G22" s="150">
        <v>2.8023728237344617E-2</v>
      </c>
      <c r="H22" s="150">
        <v>2.7349994587278787E-2</v>
      </c>
      <c r="I22" s="150">
        <v>3.055456019324785E-2</v>
      </c>
      <c r="J22" s="150">
        <v>2.8675123667250717E-2</v>
      </c>
      <c r="K22" s="150">
        <v>2.8971994377249479E-2</v>
      </c>
      <c r="L22" s="150">
        <v>2.9288863118361437E-2</v>
      </c>
      <c r="M22" s="150">
        <v>2.7960392246368541E-2</v>
      </c>
      <c r="N22" s="150">
        <v>3.1332435732456421E-2</v>
      </c>
      <c r="O22" s="150">
        <v>2.9288863118361437E-2</v>
      </c>
      <c r="P22" s="150">
        <v>2.7960392246368541E-2</v>
      </c>
      <c r="Q22" s="150">
        <v>3.1332435732456421E-2</v>
      </c>
    </row>
    <row r="23" spans="1:18" s="148" customFormat="1" ht="25.5">
      <c r="A23" s="146">
        <v>9</v>
      </c>
      <c r="B23" s="151" t="s">
        <v>77</v>
      </c>
      <c r="C23" s="149" t="s">
        <v>804</v>
      </c>
      <c r="D23" s="144">
        <f t="shared" ref="D23:I23" si="15">D20-D21</f>
        <v>1714.1110000000001</v>
      </c>
      <c r="E23" s="147">
        <f t="shared" si="15"/>
        <v>1702.6369</v>
      </c>
      <c r="F23" s="144">
        <v>1705.0270000000003</v>
      </c>
      <c r="G23" s="147">
        <v>1623.9313</v>
      </c>
      <c r="H23" s="147">
        <v>1698.1369999999995</v>
      </c>
      <c r="I23" s="147">
        <v>1547.518</v>
      </c>
      <c r="J23" s="147">
        <v>1585.9880000000003</v>
      </c>
      <c r="K23" s="147">
        <v>1571.5360000000003</v>
      </c>
      <c r="L23" s="135">
        <v>1571.9899999999998</v>
      </c>
      <c r="M23" s="147">
        <v>953.98299999999995</v>
      </c>
      <c r="N23" s="147">
        <v>618.00699999999995</v>
      </c>
      <c r="O23" s="135">
        <v>1571.9899999999998</v>
      </c>
      <c r="P23" s="147">
        <v>953.98299999999995</v>
      </c>
      <c r="Q23" s="147">
        <v>618.00699999999995</v>
      </c>
    </row>
    <row r="24" spans="1:18" s="148" customFormat="1" ht="12.75" hidden="1" customHeight="1">
      <c r="A24" s="146">
        <v>10</v>
      </c>
      <c r="B24" s="144" t="s">
        <v>144</v>
      </c>
      <c r="C24" s="133" t="s">
        <v>796</v>
      </c>
      <c r="D24" s="144"/>
      <c r="E24" s="144"/>
      <c r="F24" s="144"/>
      <c r="G24" s="147"/>
      <c r="H24" s="147"/>
      <c r="I24" s="147"/>
      <c r="J24" s="147"/>
      <c r="K24" s="147"/>
      <c r="L24" s="147"/>
      <c r="M24" s="147"/>
      <c r="N24" s="147"/>
      <c r="O24" s="147"/>
      <c r="P24" s="147"/>
      <c r="Q24" s="147"/>
    </row>
    <row r="25" spans="1:18" s="148" customFormat="1" ht="12.75" hidden="1" customHeight="1">
      <c r="A25" s="146"/>
      <c r="B25" s="144"/>
      <c r="C25" s="133"/>
      <c r="D25" s="144"/>
      <c r="E25" s="144"/>
      <c r="F25" s="144"/>
      <c r="G25" s="147"/>
      <c r="H25" s="147"/>
      <c r="I25" s="147"/>
      <c r="J25" s="147"/>
      <c r="K25" s="147"/>
      <c r="L25" s="147"/>
      <c r="M25" s="147"/>
      <c r="N25" s="147"/>
      <c r="O25" s="147"/>
      <c r="P25" s="147"/>
      <c r="Q25" s="147"/>
    </row>
    <row r="26" spans="1:18" s="148" customFormat="1" ht="12.75" hidden="1" customHeight="1">
      <c r="A26" s="146"/>
      <c r="B26" s="144"/>
      <c r="C26" s="133"/>
      <c r="D26" s="144"/>
      <c r="E26" s="144"/>
      <c r="F26" s="144"/>
      <c r="G26" s="147"/>
      <c r="H26" s="147"/>
      <c r="I26" s="147"/>
      <c r="J26" s="147"/>
      <c r="K26" s="147"/>
      <c r="L26" s="147"/>
      <c r="M26" s="147"/>
      <c r="N26" s="147"/>
      <c r="O26" s="147"/>
      <c r="P26" s="147"/>
      <c r="Q26" s="147"/>
    </row>
    <row r="27" spans="1:18" s="148" customFormat="1" ht="12.75" hidden="1" customHeight="1">
      <c r="A27" s="146"/>
      <c r="B27" s="144"/>
      <c r="C27" s="133"/>
      <c r="D27" s="144"/>
      <c r="E27" s="144"/>
      <c r="F27" s="144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147"/>
    </row>
    <row r="28" spans="1:18" s="148" customFormat="1" ht="12.75" hidden="1" customHeight="1">
      <c r="A28" s="146"/>
      <c r="B28" s="144"/>
      <c r="C28" s="133"/>
      <c r="D28" s="144"/>
      <c r="E28" s="144"/>
      <c r="F28" s="144"/>
      <c r="G28" s="147"/>
      <c r="H28" s="147"/>
      <c r="I28" s="147"/>
      <c r="J28" s="147"/>
      <c r="K28" s="147"/>
      <c r="L28" s="147"/>
      <c r="M28" s="147"/>
      <c r="N28" s="147"/>
      <c r="O28" s="147"/>
      <c r="P28" s="147"/>
      <c r="Q28" s="147"/>
    </row>
    <row r="29" spans="1:18" s="148" customFormat="1" ht="12.75" hidden="1" customHeight="1">
      <c r="A29" s="146"/>
      <c r="B29" s="144"/>
      <c r="C29" s="133"/>
      <c r="D29" s="144"/>
      <c r="E29" s="144"/>
      <c r="F29" s="144"/>
      <c r="G29" s="147"/>
      <c r="H29" s="147"/>
      <c r="I29" s="147"/>
      <c r="J29" s="147"/>
      <c r="K29" s="147"/>
      <c r="L29" s="147"/>
      <c r="M29" s="147"/>
      <c r="N29" s="147"/>
      <c r="O29" s="147"/>
      <c r="P29" s="147"/>
      <c r="Q29" s="147"/>
    </row>
    <row r="30" spans="1:18" s="148" customFormat="1" ht="12.75" hidden="1" customHeight="1">
      <c r="A30" s="146"/>
      <c r="B30" s="144"/>
      <c r="C30" s="133"/>
      <c r="D30" s="144"/>
      <c r="E30" s="144"/>
      <c r="F30" s="144"/>
      <c r="G30" s="147"/>
      <c r="H30" s="147"/>
      <c r="I30" s="147"/>
      <c r="J30" s="147"/>
      <c r="K30" s="147"/>
      <c r="L30" s="147"/>
      <c r="M30" s="147"/>
      <c r="N30" s="147"/>
      <c r="O30" s="147"/>
      <c r="P30" s="147"/>
      <c r="Q30" s="147"/>
    </row>
    <row r="31" spans="1:18" s="148" customFormat="1" ht="12.75" hidden="1" customHeight="1">
      <c r="A31" s="146"/>
      <c r="B31" s="144"/>
      <c r="C31" s="133"/>
      <c r="D31" s="144"/>
      <c r="E31" s="144"/>
      <c r="F31" s="144"/>
      <c r="G31" s="147"/>
      <c r="H31" s="147"/>
      <c r="I31" s="147"/>
      <c r="J31" s="147"/>
      <c r="K31" s="147"/>
      <c r="L31" s="147"/>
      <c r="M31" s="147"/>
      <c r="N31" s="147"/>
      <c r="O31" s="147"/>
      <c r="P31" s="147"/>
      <c r="Q31" s="147"/>
    </row>
    <row r="32" spans="1:18" s="148" customFormat="1" ht="12.75" hidden="1" customHeight="1">
      <c r="A32" s="146"/>
      <c r="B32" s="144"/>
      <c r="C32" s="133"/>
      <c r="D32" s="144"/>
      <c r="E32" s="144"/>
      <c r="F32" s="144"/>
      <c r="G32" s="147"/>
      <c r="H32" s="147"/>
      <c r="I32" s="147"/>
      <c r="J32" s="147"/>
      <c r="K32" s="147"/>
      <c r="L32" s="147"/>
      <c r="M32" s="147"/>
      <c r="N32" s="147"/>
      <c r="O32" s="147"/>
      <c r="P32" s="147"/>
      <c r="Q32" s="147"/>
    </row>
    <row r="33" spans="1:25" s="148" customFormat="1" ht="12.75" hidden="1" customHeight="1">
      <c r="A33" s="146"/>
      <c r="B33" s="144"/>
      <c r="C33" s="133"/>
      <c r="D33" s="144"/>
      <c r="E33" s="144"/>
      <c r="F33" s="144"/>
      <c r="G33" s="147"/>
      <c r="H33" s="147"/>
      <c r="I33" s="147"/>
      <c r="J33" s="147"/>
      <c r="K33" s="147"/>
      <c r="L33" s="147"/>
      <c r="M33" s="147"/>
      <c r="N33" s="147"/>
      <c r="O33" s="147"/>
      <c r="P33" s="147"/>
      <c r="Q33" s="147"/>
    </row>
    <row r="34" spans="1:25" s="148" customFormat="1" ht="12.75" hidden="1" customHeight="1">
      <c r="A34" s="146"/>
      <c r="B34" s="144"/>
      <c r="C34" s="133"/>
      <c r="D34" s="144"/>
      <c r="E34" s="144"/>
      <c r="F34" s="144"/>
      <c r="G34" s="147"/>
      <c r="H34" s="147"/>
      <c r="I34" s="147"/>
      <c r="J34" s="147"/>
      <c r="K34" s="147"/>
      <c r="L34" s="147"/>
      <c r="M34" s="147"/>
      <c r="N34" s="147"/>
      <c r="O34" s="147"/>
      <c r="P34" s="147"/>
      <c r="Q34" s="147"/>
    </row>
    <row r="35" spans="1:25" s="148" customFormat="1" ht="12.75" hidden="1" customHeight="1">
      <c r="A35" s="146"/>
      <c r="B35" s="144"/>
      <c r="C35" s="133"/>
      <c r="D35" s="144"/>
      <c r="E35" s="144"/>
      <c r="F35" s="144"/>
      <c r="G35" s="147"/>
      <c r="H35" s="147"/>
      <c r="I35" s="147"/>
      <c r="J35" s="147"/>
      <c r="K35" s="147"/>
      <c r="L35" s="147"/>
      <c r="M35" s="147"/>
      <c r="N35" s="147"/>
      <c r="O35" s="147"/>
      <c r="P35" s="147"/>
      <c r="Q35" s="147"/>
    </row>
    <row r="36" spans="1:25" s="148" customFormat="1" ht="25.5" hidden="1" customHeight="1">
      <c r="A36" s="146">
        <v>11</v>
      </c>
      <c r="B36" s="151" t="s">
        <v>158</v>
      </c>
      <c r="C36" s="146" t="s">
        <v>159</v>
      </c>
      <c r="D36" s="139"/>
      <c r="E36" s="139"/>
      <c r="F36" s="139"/>
      <c r="G36" s="147"/>
      <c r="H36" s="147"/>
      <c r="I36" s="147"/>
      <c r="J36" s="147"/>
      <c r="K36" s="147"/>
      <c r="L36" s="147"/>
      <c r="M36" s="147"/>
      <c r="N36" s="147"/>
      <c r="O36" s="147"/>
      <c r="P36" s="147"/>
      <c r="Q36" s="147"/>
    </row>
    <row r="37" spans="1:25" s="148" customFormat="1" hidden="1">
      <c r="A37" s="146"/>
      <c r="B37" s="151"/>
      <c r="C37" s="146"/>
      <c r="D37" s="139"/>
      <c r="E37" s="139"/>
      <c r="F37" s="139"/>
      <c r="G37" s="147"/>
      <c r="H37" s="147"/>
      <c r="I37" s="147"/>
      <c r="J37" s="147"/>
      <c r="K37" s="147"/>
      <c r="L37" s="147"/>
      <c r="M37" s="147"/>
      <c r="N37" s="147"/>
      <c r="O37" s="147"/>
      <c r="P37" s="147"/>
      <c r="Q37" s="147"/>
    </row>
    <row r="38" spans="1:25" s="148" customFormat="1" hidden="1">
      <c r="A38" s="146"/>
      <c r="B38" s="151"/>
      <c r="C38" s="146"/>
      <c r="D38" s="139"/>
      <c r="E38" s="139"/>
      <c r="F38" s="139"/>
      <c r="G38" s="147"/>
      <c r="H38" s="147"/>
      <c r="I38" s="147"/>
      <c r="J38" s="147"/>
      <c r="K38" s="147"/>
      <c r="L38" s="147"/>
      <c r="M38" s="147"/>
      <c r="N38" s="147"/>
      <c r="O38" s="147"/>
      <c r="P38" s="147"/>
      <c r="Q38" s="147"/>
    </row>
    <row r="39" spans="1:25" s="148" customFormat="1" hidden="1">
      <c r="A39" s="146"/>
      <c r="B39" s="151"/>
      <c r="C39" s="146"/>
      <c r="D39" s="139"/>
      <c r="E39" s="139"/>
      <c r="F39" s="139"/>
      <c r="G39" s="147"/>
      <c r="H39" s="147"/>
      <c r="I39" s="147"/>
      <c r="J39" s="147"/>
      <c r="K39" s="147"/>
      <c r="L39" s="147"/>
      <c r="M39" s="147"/>
      <c r="N39" s="147"/>
      <c r="O39" s="147"/>
      <c r="P39" s="147"/>
      <c r="Q39" s="147"/>
    </row>
    <row r="40" spans="1:25" s="148" customFormat="1" hidden="1">
      <c r="A40" s="146"/>
      <c r="B40" s="151"/>
      <c r="C40" s="146"/>
      <c r="D40" s="139"/>
      <c r="E40" s="139"/>
      <c r="F40" s="139"/>
      <c r="G40" s="147"/>
      <c r="H40" s="147"/>
      <c r="I40" s="147"/>
      <c r="J40" s="147"/>
      <c r="K40" s="147"/>
      <c r="L40" s="147"/>
      <c r="M40" s="147"/>
      <c r="N40" s="147"/>
      <c r="O40" s="147"/>
      <c r="P40" s="147"/>
      <c r="Q40" s="147"/>
    </row>
    <row r="41" spans="1:25" s="148" customFormat="1" hidden="1">
      <c r="A41" s="146"/>
      <c r="B41" s="151"/>
      <c r="C41" s="146"/>
      <c r="D41" s="139"/>
      <c r="E41" s="139"/>
      <c r="F41" s="139"/>
      <c r="G41" s="147"/>
      <c r="H41" s="147"/>
      <c r="I41" s="147"/>
      <c r="J41" s="147"/>
      <c r="K41" s="147"/>
      <c r="L41" s="147"/>
      <c r="M41" s="147"/>
      <c r="N41" s="147"/>
      <c r="O41" s="147"/>
      <c r="P41" s="147"/>
      <c r="Q41" s="147"/>
    </row>
    <row r="42" spans="1:25" s="148" customFormat="1" hidden="1">
      <c r="A42" s="146"/>
      <c r="B42" s="151"/>
      <c r="C42" s="146"/>
      <c r="D42" s="139"/>
      <c r="E42" s="139"/>
      <c r="F42" s="139"/>
      <c r="G42" s="147"/>
      <c r="H42" s="147"/>
      <c r="I42" s="147"/>
      <c r="J42" s="147"/>
      <c r="K42" s="147"/>
      <c r="L42" s="147"/>
      <c r="M42" s="147"/>
      <c r="N42" s="147"/>
      <c r="O42" s="147"/>
      <c r="P42" s="147"/>
      <c r="Q42" s="147"/>
    </row>
    <row r="43" spans="1:25" s="148" customFormat="1" hidden="1">
      <c r="A43" s="146"/>
      <c r="B43" s="151"/>
      <c r="C43" s="146"/>
      <c r="D43" s="139"/>
      <c r="E43" s="139"/>
      <c r="F43" s="139"/>
      <c r="G43" s="147"/>
      <c r="H43" s="147"/>
      <c r="I43" s="147"/>
      <c r="J43" s="147"/>
      <c r="K43" s="147"/>
      <c r="L43" s="147"/>
      <c r="M43" s="147"/>
      <c r="N43" s="147"/>
      <c r="O43" s="147"/>
      <c r="P43" s="147"/>
      <c r="Q43" s="147"/>
    </row>
    <row r="44" spans="1:25" s="148" customFormat="1" hidden="1">
      <c r="A44" s="146"/>
      <c r="B44" s="151"/>
      <c r="C44" s="146"/>
      <c r="D44" s="139"/>
      <c r="E44" s="139"/>
      <c r="F44" s="139"/>
      <c r="G44" s="147"/>
      <c r="H44" s="147"/>
      <c r="I44" s="147"/>
      <c r="J44" s="147"/>
      <c r="K44" s="147"/>
      <c r="L44" s="147"/>
      <c r="M44" s="147"/>
      <c r="N44" s="147"/>
      <c r="O44" s="147"/>
      <c r="P44" s="147"/>
      <c r="Q44" s="147"/>
    </row>
    <row r="45" spans="1:25" s="148" customFormat="1" hidden="1">
      <c r="A45" s="146"/>
      <c r="B45" s="151"/>
      <c r="C45" s="146"/>
      <c r="D45" s="139"/>
      <c r="E45" s="139"/>
      <c r="F45" s="139"/>
      <c r="G45" s="147"/>
      <c r="H45" s="147"/>
      <c r="I45" s="147"/>
      <c r="J45" s="147"/>
      <c r="K45" s="147"/>
      <c r="L45" s="147"/>
      <c r="M45" s="147"/>
      <c r="N45" s="147"/>
      <c r="O45" s="147"/>
      <c r="P45" s="147"/>
      <c r="Q45" s="147"/>
    </row>
    <row r="46" spans="1:25" s="148" customFormat="1" hidden="1">
      <c r="A46" s="146"/>
      <c r="B46" s="151"/>
      <c r="C46" s="146"/>
      <c r="D46" s="139"/>
      <c r="E46" s="139"/>
      <c r="F46" s="139"/>
      <c r="G46" s="147"/>
      <c r="H46" s="147"/>
      <c r="I46" s="147"/>
      <c r="J46" s="147"/>
      <c r="K46" s="147"/>
      <c r="L46" s="147"/>
      <c r="M46" s="147"/>
      <c r="N46" s="147"/>
      <c r="O46" s="147"/>
      <c r="P46" s="147"/>
      <c r="Q46" s="147"/>
    </row>
    <row r="47" spans="1:25" s="148" customFormat="1" hidden="1">
      <c r="A47" s="146"/>
      <c r="B47" s="151"/>
      <c r="C47" s="146"/>
      <c r="D47" s="139"/>
      <c r="E47" s="139"/>
      <c r="F47" s="139"/>
      <c r="G47" s="147"/>
      <c r="H47" s="147"/>
      <c r="I47" s="147"/>
      <c r="J47" s="147"/>
      <c r="K47" s="147"/>
      <c r="L47" s="147"/>
      <c r="M47" s="147"/>
      <c r="N47" s="147"/>
      <c r="O47" s="147"/>
      <c r="P47" s="147"/>
      <c r="Q47" s="147"/>
    </row>
    <row r="48" spans="1:25" s="136" customFormat="1" ht="25.5" hidden="1" customHeight="1">
      <c r="A48" s="146">
        <v>12</v>
      </c>
      <c r="B48" s="138" t="s">
        <v>806</v>
      </c>
      <c r="C48" s="145" t="s">
        <v>807</v>
      </c>
      <c r="D48" s="134"/>
      <c r="E48" s="134"/>
      <c r="F48" s="134"/>
      <c r="G48" s="135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Y48" s="667"/>
    </row>
    <row r="49" spans="1:25" s="136" customFormat="1" hidden="1">
      <c r="A49" s="146"/>
      <c r="B49" s="138"/>
      <c r="C49" s="145"/>
      <c r="D49" s="134"/>
      <c r="E49" s="134"/>
      <c r="F49" s="134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Y49" s="667"/>
    </row>
    <row r="50" spans="1:25" s="136" customFormat="1" hidden="1">
      <c r="A50" s="146"/>
      <c r="B50" s="138"/>
      <c r="C50" s="145"/>
      <c r="D50" s="134"/>
      <c r="E50" s="134"/>
      <c r="F50" s="134"/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Y50" s="667"/>
    </row>
    <row r="51" spans="1:25" s="136" customFormat="1" hidden="1">
      <c r="A51" s="146"/>
      <c r="B51" s="138"/>
      <c r="C51" s="145"/>
      <c r="D51" s="134"/>
      <c r="E51" s="134"/>
      <c r="F51" s="134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Y51" s="667"/>
    </row>
    <row r="52" spans="1:25" s="136" customFormat="1" hidden="1">
      <c r="A52" s="146"/>
      <c r="B52" s="138"/>
      <c r="C52" s="145"/>
      <c r="D52" s="134"/>
      <c r="E52" s="134"/>
      <c r="F52" s="134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Y52" s="667"/>
    </row>
    <row r="53" spans="1:25" s="136" customFormat="1" hidden="1">
      <c r="A53" s="146"/>
      <c r="B53" s="138"/>
      <c r="C53" s="145"/>
      <c r="D53" s="134"/>
      <c r="E53" s="134"/>
      <c r="F53" s="134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Y53" s="667"/>
    </row>
    <row r="54" spans="1:25" s="136" customFormat="1" hidden="1">
      <c r="A54" s="146"/>
      <c r="B54" s="138"/>
      <c r="C54" s="145"/>
      <c r="D54" s="134"/>
      <c r="E54" s="134"/>
      <c r="F54" s="134"/>
      <c r="G54" s="135"/>
      <c r="H54" s="135"/>
      <c r="I54" s="135"/>
      <c r="J54" s="135"/>
      <c r="K54" s="135"/>
      <c r="L54" s="135"/>
      <c r="M54" s="135"/>
      <c r="N54" s="135"/>
      <c r="O54" s="135"/>
      <c r="P54" s="135"/>
      <c r="Q54" s="135"/>
      <c r="Y54" s="667"/>
    </row>
    <row r="55" spans="1:25" s="136" customFormat="1" hidden="1">
      <c r="A55" s="146"/>
      <c r="B55" s="138"/>
      <c r="C55" s="145"/>
      <c r="D55" s="134"/>
      <c r="E55" s="134"/>
      <c r="F55" s="134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Y55" s="667"/>
    </row>
    <row r="56" spans="1:25" s="136" customFormat="1" hidden="1">
      <c r="A56" s="146"/>
      <c r="B56" s="138"/>
      <c r="C56" s="145"/>
      <c r="D56" s="134"/>
      <c r="E56" s="134"/>
      <c r="F56" s="134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Y56" s="667"/>
    </row>
    <row r="57" spans="1:25" s="136" customFormat="1" hidden="1">
      <c r="A57" s="146"/>
      <c r="B57" s="138"/>
      <c r="C57" s="145"/>
      <c r="D57" s="134"/>
      <c r="E57" s="134"/>
      <c r="F57" s="134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Y57" s="667"/>
    </row>
    <row r="58" spans="1:25" s="136" customFormat="1" hidden="1">
      <c r="A58" s="146"/>
      <c r="B58" s="138"/>
      <c r="C58" s="145"/>
      <c r="D58" s="134"/>
      <c r="E58" s="134"/>
      <c r="F58" s="134"/>
      <c r="G58" s="135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Y58" s="667"/>
    </row>
    <row r="59" spans="1:25" s="136" customFormat="1" hidden="1">
      <c r="A59" s="146"/>
      <c r="B59" s="138"/>
      <c r="C59" s="145"/>
      <c r="D59" s="134"/>
      <c r="E59" s="134"/>
      <c r="F59" s="134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Y59" s="667"/>
    </row>
    <row r="60" spans="1:25" s="136" customFormat="1" ht="25.5">
      <c r="A60" s="146">
        <v>13</v>
      </c>
      <c r="B60" s="138" t="s">
        <v>803</v>
      </c>
      <c r="C60" s="145" t="s">
        <v>804</v>
      </c>
      <c r="D60" s="134">
        <f t="shared" ref="D60:N60" si="16">D61+D62+D63</f>
        <v>1761.5920000000001</v>
      </c>
      <c r="E60" s="135">
        <f t="shared" si="16"/>
        <v>1749.7235000000001</v>
      </c>
      <c r="F60" s="134">
        <v>1755.6660000000002</v>
      </c>
      <c r="G60" s="135">
        <v>1670.752</v>
      </c>
      <c r="H60" s="135">
        <v>1745.8869999999999</v>
      </c>
      <c r="I60" s="135">
        <v>1596.2920000000001</v>
      </c>
      <c r="J60" s="135">
        <v>497.60900000000009</v>
      </c>
      <c r="K60" s="135">
        <v>1618.4249999999997</v>
      </c>
      <c r="L60" s="135">
        <v>1619.421</v>
      </c>
      <c r="M60" s="135">
        <v>981.42399999999998</v>
      </c>
      <c r="N60" s="135">
        <v>637.99699999999996</v>
      </c>
      <c r="O60" s="135">
        <v>1619.421</v>
      </c>
      <c r="P60" s="135">
        <v>981.42399999999998</v>
      </c>
      <c r="Q60" s="135">
        <v>637.99699999999996</v>
      </c>
    </row>
    <row r="61" spans="1:25" s="136" customFormat="1">
      <c r="A61" s="146"/>
      <c r="B61" s="706" t="s">
        <v>1236</v>
      </c>
      <c r="C61" s="145" t="s">
        <v>804</v>
      </c>
      <c r="D61" s="134">
        <f>' 4.4-КТЭЦ_комбинир.'!D61</f>
        <v>378.149</v>
      </c>
      <c r="E61" s="134">
        <f>' 4.4-КТЭЦ_комбинир.'!E61</f>
        <v>364.57100000000003</v>
      </c>
      <c r="F61" s="134">
        <v>374.76</v>
      </c>
      <c r="G61" s="135">
        <v>356.85300000000001</v>
      </c>
      <c r="H61" s="135">
        <v>371.46288867440069</v>
      </c>
      <c r="I61" s="135">
        <v>351.56900000000002</v>
      </c>
      <c r="J61" s="135">
        <v>0</v>
      </c>
      <c r="K61" s="135">
        <v>349.07799999999997</v>
      </c>
      <c r="L61" s="135">
        <v>349.07799999999997</v>
      </c>
      <c r="M61" s="135">
        <v>211.66300000000001</v>
      </c>
      <c r="N61" s="135">
        <v>137.41499999999999</v>
      </c>
      <c r="O61" s="135">
        <v>349.07799999999997</v>
      </c>
      <c r="P61" s="135">
        <v>211.66300000000001</v>
      </c>
      <c r="Q61" s="135">
        <v>137.41499999999999</v>
      </c>
    </row>
    <row r="62" spans="1:25" s="136" customFormat="1">
      <c r="A62" s="146"/>
      <c r="B62" s="706" t="s">
        <v>1237</v>
      </c>
      <c r="C62" s="145" t="s">
        <v>804</v>
      </c>
      <c r="D62" s="134">
        <f>' 4.4-КТЭЦ_комбинир.'!D62</f>
        <v>828.06399999999996</v>
      </c>
      <c r="E62" s="134">
        <f>' 4.4-КТЭЦ_комбинир.'!E62</f>
        <v>820.00699999999995</v>
      </c>
      <c r="F62" s="134">
        <v>818.66</v>
      </c>
      <c r="G62" s="135">
        <v>802.90499999999997</v>
      </c>
      <c r="H62" s="135">
        <v>813.11511132559929</v>
      </c>
      <c r="I62" s="135">
        <v>785.63900000000001</v>
      </c>
      <c r="J62" s="135">
        <v>0</v>
      </c>
      <c r="K62" s="135">
        <v>786.12199999999996</v>
      </c>
      <c r="L62" s="135">
        <v>786.12200000000007</v>
      </c>
      <c r="M62" s="135">
        <v>480.233</v>
      </c>
      <c r="N62" s="135">
        <v>305.88900000000001</v>
      </c>
      <c r="O62" s="135">
        <v>786.12200000000007</v>
      </c>
      <c r="P62" s="135">
        <v>480.233</v>
      </c>
      <c r="Q62" s="135">
        <v>305.88900000000001</v>
      </c>
    </row>
    <row r="63" spans="1:25" s="136" customFormat="1">
      <c r="A63" s="146"/>
      <c r="B63" s="706" t="s">
        <v>1241</v>
      </c>
      <c r="C63" s="145" t="s">
        <v>804</v>
      </c>
      <c r="D63" s="134">
        <f>' 4.4-котельные'!D60</f>
        <v>555.37900000000002</v>
      </c>
      <c r="E63" s="134">
        <f>' 4.4-котельные'!E60</f>
        <v>565.14549999999997</v>
      </c>
      <c r="F63" s="134">
        <v>562.24599999999998</v>
      </c>
      <c r="G63" s="135">
        <v>510.99399999999997</v>
      </c>
      <c r="H63" s="135">
        <v>561.30899999999997</v>
      </c>
      <c r="I63" s="135">
        <v>459.084</v>
      </c>
      <c r="J63" s="135">
        <v>497.60900000000009</v>
      </c>
      <c r="K63" s="135">
        <v>483.22500000000002</v>
      </c>
      <c r="L63" s="135">
        <v>484.221</v>
      </c>
      <c r="M63" s="135">
        <v>289.52800000000002</v>
      </c>
      <c r="N63" s="135">
        <v>194.69299999999998</v>
      </c>
      <c r="O63" s="135">
        <v>484.221</v>
      </c>
      <c r="P63" s="135">
        <v>289.52800000000002</v>
      </c>
      <c r="Q63" s="135">
        <v>194.69299999999998</v>
      </c>
    </row>
    <row r="64" spans="1:25" s="136" customFormat="1">
      <c r="A64" s="146"/>
      <c r="B64" s="623" t="s">
        <v>1200</v>
      </c>
      <c r="C64" s="145" t="s">
        <v>804</v>
      </c>
      <c r="D64" s="674">
        <f>' 4.4-КТЭЦ_комбинир.'!D64+' 4.4-котельные'!D64</f>
        <v>0</v>
      </c>
      <c r="E64" s="674">
        <f>' 4.4-КТЭЦ_комбинир.'!E64+' 4.4-котельные'!E64</f>
        <v>0</v>
      </c>
      <c r="F64" s="674">
        <v>0</v>
      </c>
      <c r="G64" s="1297">
        <v>0</v>
      </c>
      <c r="H64" s="1297">
        <v>0</v>
      </c>
      <c r="I64" s="1297">
        <v>19.756</v>
      </c>
      <c r="J64" s="1297">
        <v>0</v>
      </c>
      <c r="K64" s="1297">
        <v>23.920999999999999</v>
      </c>
      <c r="L64" s="1297">
        <v>24.711999999999996</v>
      </c>
      <c r="M64" s="1297">
        <v>15.626999999999999</v>
      </c>
      <c r="N64" s="1297">
        <v>9.0849999999999991</v>
      </c>
      <c r="O64" s="1297">
        <v>24.711999999999996</v>
      </c>
      <c r="P64" s="1297">
        <v>15.626999999999999</v>
      </c>
      <c r="Q64" s="1297">
        <v>9.0849999999999991</v>
      </c>
    </row>
    <row r="65" spans="1:17" s="136" customFormat="1">
      <c r="A65" s="146"/>
      <c r="B65" s="623" t="s">
        <v>1201</v>
      </c>
      <c r="C65" s="145" t="s">
        <v>804</v>
      </c>
      <c r="D65" s="674">
        <f>' 4.4-КТЭЦ_комбинир.'!D65+' 4.4-котельные'!D65</f>
        <v>0</v>
      </c>
      <c r="E65" s="674">
        <f>' 4.4-КТЭЦ_комбинир.'!E65+' 4.4-котельные'!E65</f>
        <v>0</v>
      </c>
      <c r="F65" s="674">
        <v>0</v>
      </c>
      <c r="G65" s="1297">
        <v>2.7600000000000002</v>
      </c>
      <c r="H65" s="1297">
        <v>0</v>
      </c>
      <c r="I65" s="1297">
        <v>364.49299999999999</v>
      </c>
      <c r="J65" s="1297">
        <v>18.475999999999999</v>
      </c>
      <c r="K65" s="1297">
        <v>439.81600000000003</v>
      </c>
      <c r="L65" s="1297">
        <v>439.40299999999996</v>
      </c>
      <c r="M65" s="1297">
        <v>270.99099999999999</v>
      </c>
      <c r="N65" s="1297">
        <v>168.41200000000001</v>
      </c>
      <c r="O65" s="1297">
        <v>439.40299999999996</v>
      </c>
      <c r="P65" s="1297">
        <v>270.99099999999999</v>
      </c>
      <c r="Q65" s="1297">
        <v>168.41200000000001</v>
      </c>
    </row>
    <row r="66" spans="1:17" s="136" customFormat="1" hidden="1">
      <c r="A66" s="146"/>
      <c r="B66" s="623" t="s">
        <v>1224</v>
      </c>
      <c r="C66" s="145" t="s">
        <v>804</v>
      </c>
      <c r="D66" s="674">
        <f>' 4.4-КТЭЦ_комбинир.'!D66</f>
        <v>0</v>
      </c>
      <c r="E66" s="674">
        <f>' 4.4-КТЭЦ_комбинир.'!E66</f>
        <v>0</v>
      </c>
      <c r="F66" s="674">
        <v>0</v>
      </c>
      <c r="G66" s="1297">
        <v>0.54</v>
      </c>
      <c r="H66" s="1297">
        <v>0</v>
      </c>
      <c r="I66" s="1297">
        <v>3.1640000000000001</v>
      </c>
      <c r="J66" s="1297">
        <v>18.475999999999999</v>
      </c>
      <c r="K66" s="1297">
        <v>67.582999999999998</v>
      </c>
      <c r="L66" s="1297">
        <v>68.7</v>
      </c>
      <c r="M66" s="1297">
        <v>49.241</v>
      </c>
      <c r="N66" s="1297">
        <v>19.459</v>
      </c>
      <c r="O66" s="1297">
        <v>68.7</v>
      </c>
      <c r="P66" s="1297">
        <v>49.241</v>
      </c>
      <c r="Q66" s="1297">
        <v>19.459</v>
      </c>
    </row>
    <row r="67" spans="1:17" s="136" customFormat="1" hidden="1">
      <c r="A67" s="146"/>
      <c r="B67" s="623" t="s">
        <v>1234</v>
      </c>
      <c r="C67" s="145" t="s">
        <v>804</v>
      </c>
      <c r="D67" s="674">
        <f>' 4.4-КТЭЦ_комбинир.'!D67</f>
        <v>0</v>
      </c>
      <c r="E67" s="674">
        <f>' 4.4-КТЭЦ_комбинир.'!E67</f>
        <v>0</v>
      </c>
      <c r="F67" s="674">
        <v>0</v>
      </c>
      <c r="G67" s="1297">
        <v>2.2200000000000002</v>
      </c>
      <c r="H67" s="1297">
        <v>0</v>
      </c>
      <c r="I67" s="1297">
        <v>1.1240000000000001</v>
      </c>
      <c r="J67" s="1297">
        <v>0</v>
      </c>
      <c r="K67" s="1297">
        <v>0</v>
      </c>
      <c r="L67" s="1297">
        <v>0</v>
      </c>
      <c r="M67" s="1297">
        <v>0</v>
      </c>
      <c r="N67" s="1297">
        <v>0</v>
      </c>
      <c r="O67" s="1297">
        <v>0</v>
      </c>
      <c r="P67" s="1297">
        <v>0</v>
      </c>
      <c r="Q67" s="1297">
        <v>0</v>
      </c>
    </row>
    <row r="68" spans="1:17" s="136" customFormat="1" hidden="1">
      <c r="A68" s="146"/>
      <c r="B68" s="623" t="s">
        <v>1242</v>
      </c>
      <c r="C68" s="145" t="s">
        <v>804</v>
      </c>
      <c r="D68" s="674">
        <f>' 4.4-котельные'!D65</f>
        <v>0</v>
      </c>
      <c r="E68" s="674">
        <f>' 4.4-котельные'!E65</f>
        <v>0</v>
      </c>
      <c r="F68" s="674">
        <v>0</v>
      </c>
      <c r="G68" s="1297">
        <v>0</v>
      </c>
      <c r="H68" s="1297">
        <v>0</v>
      </c>
      <c r="I68" s="1297">
        <v>360.20499999999998</v>
      </c>
      <c r="J68" s="1297">
        <v>0</v>
      </c>
      <c r="K68" s="1297">
        <v>372.233</v>
      </c>
      <c r="L68" s="1297">
        <v>370.70299999999997</v>
      </c>
      <c r="M68" s="1297">
        <v>221.75</v>
      </c>
      <c r="N68" s="1297">
        <v>148.953</v>
      </c>
      <c r="O68" s="1297">
        <v>370.70299999999997</v>
      </c>
      <c r="P68" s="1297">
        <v>221.75</v>
      </c>
      <c r="Q68" s="1297">
        <v>148.953</v>
      </c>
    </row>
    <row r="69" spans="1:17" s="136" customFormat="1">
      <c r="A69" s="146"/>
      <c r="B69" s="623" t="s">
        <v>1202</v>
      </c>
      <c r="C69" s="145" t="s">
        <v>804</v>
      </c>
      <c r="D69" s="674">
        <f>' 4.4-КТЭЦ_комбинир.'!D69+' 4.4-котельные'!D69</f>
        <v>0</v>
      </c>
      <c r="E69" s="674">
        <f>' 4.4-КТЭЦ_комбинир.'!E69+' 4.4-котельные'!E69</f>
        <v>0</v>
      </c>
      <c r="F69" s="674">
        <v>0</v>
      </c>
      <c r="G69" s="1297">
        <v>1156.998</v>
      </c>
      <c r="H69" s="1297">
        <v>0</v>
      </c>
      <c r="I69" s="1297">
        <v>1212.0430000000001</v>
      </c>
      <c r="J69" s="1297">
        <v>1160.3400000000001</v>
      </c>
      <c r="K69" s="1297">
        <v>1152.0419999999999</v>
      </c>
      <c r="L69" s="1297">
        <v>1149.942</v>
      </c>
      <c r="M69" s="1297">
        <v>692.00099999999998</v>
      </c>
      <c r="N69" s="1297">
        <v>457.94100000000003</v>
      </c>
      <c r="O69" s="1297">
        <v>1149.942</v>
      </c>
      <c r="P69" s="1297">
        <v>692.00099999999998</v>
      </c>
      <c r="Q69" s="1297">
        <v>457.94100000000003</v>
      </c>
    </row>
    <row r="70" spans="1:17" s="136" customFormat="1" hidden="1">
      <c r="A70" s="146"/>
      <c r="B70" s="623" t="s">
        <v>1224</v>
      </c>
      <c r="C70" s="145" t="s">
        <v>804</v>
      </c>
      <c r="D70" s="674">
        <f>' 4.4-КТЭЦ_комбинир.'!D70</f>
        <v>0</v>
      </c>
      <c r="E70" s="674">
        <f>' 4.4-КТЭЦ_комбинир.'!E70</f>
        <v>0</v>
      </c>
      <c r="F70" s="674">
        <v>0</v>
      </c>
      <c r="G70" s="1297">
        <v>356.31299999999999</v>
      </c>
      <c r="H70" s="1297">
        <v>0</v>
      </c>
      <c r="I70" s="1297">
        <v>348.40499999999997</v>
      </c>
      <c r="J70" s="1297">
        <v>351.178</v>
      </c>
      <c r="K70" s="1297">
        <v>281.495</v>
      </c>
      <c r="L70" s="1297">
        <v>280.37799999999999</v>
      </c>
      <c r="M70" s="1297">
        <v>162.422</v>
      </c>
      <c r="N70" s="1297">
        <v>117.956</v>
      </c>
      <c r="O70" s="1297">
        <v>280.37799999999999</v>
      </c>
      <c r="P70" s="1297">
        <v>162.422</v>
      </c>
      <c r="Q70" s="1297">
        <v>117.956</v>
      </c>
    </row>
    <row r="71" spans="1:17" s="136" customFormat="1" hidden="1">
      <c r="A71" s="146"/>
      <c r="B71" s="623" t="s">
        <v>1234</v>
      </c>
      <c r="C71" s="145" t="s">
        <v>804</v>
      </c>
      <c r="D71" s="674">
        <f>' 4.4-КТЭЦ_комбинир.'!D71</f>
        <v>0</v>
      </c>
      <c r="E71" s="674">
        <f>' 4.4-КТЭЦ_комбинир.'!E71</f>
        <v>0</v>
      </c>
      <c r="F71" s="674">
        <v>0</v>
      </c>
      <c r="G71" s="1297">
        <v>800.68499999999995</v>
      </c>
      <c r="H71" s="1297">
        <v>0</v>
      </c>
      <c r="I71" s="1297">
        <v>784.51499999999999</v>
      </c>
      <c r="J71" s="1297">
        <v>809.16200000000003</v>
      </c>
      <c r="K71" s="1297">
        <v>786.12199999999996</v>
      </c>
      <c r="L71" s="1297">
        <v>786.12200000000007</v>
      </c>
      <c r="M71" s="1297">
        <v>480.233</v>
      </c>
      <c r="N71" s="1297">
        <v>305.88900000000001</v>
      </c>
      <c r="O71" s="1297">
        <v>786.12200000000007</v>
      </c>
      <c r="P71" s="1297">
        <v>480.233</v>
      </c>
      <c r="Q71" s="1297">
        <v>305.88900000000001</v>
      </c>
    </row>
    <row r="72" spans="1:17" s="136" customFormat="1" hidden="1">
      <c r="A72" s="146"/>
      <c r="B72" s="623" t="s">
        <v>1242</v>
      </c>
      <c r="C72" s="145" t="s">
        <v>804</v>
      </c>
      <c r="D72" s="674">
        <f>' 4.4-котельные'!D69</f>
        <v>0</v>
      </c>
      <c r="E72" s="674">
        <f>' 4.4-котельные'!E69</f>
        <v>0</v>
      </c>
      <c r="F72" s="674">
        <v>0</v>
      </c>
      <c r="G72" s="1297">
        <v>0</v>
      </c>
      <c r="H72" s="1297">
        <v>0</v>
      </c>
      <c r="I72" s="1297">
        <v>79.123000000000005</v>
      </c>
      <c r="J72" s="1297">
        <v>0</v>
      </c>
      <c r="K72" s="1297">
        <v>84.424999999999997</v>
      </c>
      <c r="L72" s="1297">
        <v>83.441999999999993</v>
      </c>
      <c r="M72" s="1297">
        <v>49.345999999999997</v>
      </c>
      <c r="N72" s="1297">
        <v>34.095999999999997</v>
      </c>
      <c r="O72" s="1297">
        <v>83.441999999999993</v>
      </c>
      <c r="P72" s="1297">
        <v>49.345999999999997</v>
      </c>
      <c r="Q72" s="1297">
        <v>34.095999999999997</v>
      </c>
    </row>
    <row r="73" spans="1:17" s="136" customFormat="1">
      <c r="A73" s="146"/>
      <c r="B73" s="623" t="s">
        <v>1203</v>
      </c>
      <c r="C73" s="145" t="s">
        <v>804</v>
      </c>
      <c r="D73" s="674">
        <f>' 4.4-КТЭЦ_комбинир.'!D73</f>
        <v>0</v>
      </c>
      <c r="E73" s="674">
        <f>' 4.4-КТЭЦ_комбинир.'!E73</f>
        <v>0</v>
      </c>
      <c r="F73" s="674">
        <v>0</v>
      </c>
      <c r="G73" s="1297">
        <v>0</v>
      </c>
      <c r="H73" s="1297">
        <v>0</v>
      </c>
      <c r="I73" s="1297">
        <v>0</v>
      </c>
      <c r="J73" s="1297">
        <v>0</v>
      </c>
      <c r="K73" s="1297">
        <v>0</v>
      </c>
      <c r="L73" s="1297">
        <v>0</v>
      </c>
      <c r="M73" s="1297">
        <v>0</v>
      </c>
      <c r="N73" s="1297">
        <v>0</v>
      </c>
      <c r="O73" s="1297">
        <v>0</v>
      </c>
      <c r="P73" s="1297">
        <v>0</v>
      </c>
      <c r="Q73" s="1297">
        <v>0</v>
      </c>
    </row>
    <row r="74" spans="1:17" s="136" customFormat="1" ht="25.5">
      <c r="A74" s="146">
        <v>14</v>
      </c>
      <c r="B74" s="138" t="s">
        <v>1204</v>
      </c>
      <c r="C74" s="141" t="s">
        <v>166</v>
      </c>
      <c r="D74" s="143">
        <f t="shared" ref="D74:N74" si="17">D88/D60*1000</f>
        <v>150.86751075163829</v>
      </c>
      <c r="E74" s="143">
        <f t="shared" si="17"/>
        <v>148.78465083197432</v>
      </c>
      <c r="F74" s="143">
        <v>151.61425920419941</v>
      </c>
      <c r="G74" s="143">
        <v>153.50735847749999</v>
      </c>
      <c r="H74" s="143">
        <v>158.46128359947687</v>
      </c>
      <c r="I74" s="143">
        <v>154.15244266086657</v>
      </c>
      <c r="J74" s="143">
        <v>0</v>
      </c>
      <c r="K74" s="143">
        <v>155.81753865640982</v>
      </c>
      <c r="L74" s="143">
        <v>157.82863134416561</v>
      </c>
      <c r="M74" s="143">
        <v>155.80116239260505</v>
      </c>
      <c r="N74" s="143">
        <v>160.94746527021289</v>
      </c>
      <c r="O74" s="143">
        <v>157.82863134416561</v>
      </c>
      <c r="P74" s="143">
        <v>155.80116239260505</v>
      </c>
      <c r="Q74" s="143">
        <v>160.94746527021289</v>
      </c>
    </row>
    <row r="75" spans="1:17" s="136" customFormat="1">
      <c r="A75" s="146"/>
      <c r="B75" s="706" t="s">
        <v>1236</v>
      </c>
      <c r="C75" s="141" t="s">
        <v>166</v>
      </c>
      <c r="D75" s="143">
        <f t="shared" ref="D75:N77" si="18">D89/D61*1000</f>
        <v>130.69735553974755</v>
      </c>
      <c r="E75" s="143">
        <f t="shared" si="18"/>
        <v>130.58636040716348</v>
      </c>
      <c r="F75" s="143">
        <v>129.4</v>
      </c>
      <c r="G75" s="143">
        <v>133.44710567096254</v>
      </c>
      <c r="H75" s="143">
        <v>128.85293625539703</v>
      </c>
      <c r="I75" s="143">
        <v>131.22601822117423</v>
      </c>
      <c r="J75" s="143" t="e">
        <v>#DIV/0!</v>
      </c>
      <c r="K75" s="143">
        <v>133.39998510361585</v>
      </c>
      <c r="L75" s="143">
        <v>132.4746904703247</v>
      </c>
      <c r="M75" s="143">
        <v>128.99751019308997</v>
      </c>
      <c r="N75" s="143">
        <v>137.8306589528072</v>
      </c>
      <c r="O75" s="143">
        <v>132.4746904703247</v>
      </c>
      <c r="P75" s="143">
        <v>128.99751019308994</v>
      </c>
      <c r="Q75" s="143">
        <v>137.83065895280723</v>
      </c>
    </row>
    <row r="76" spans="1:17" s="136" customFormat="1">
      <c r="A76" s="146"/>
      <c r="B76" s="706" t="s">
        <v>1237</v>
      </c>
      <c r="C76" s="141" t="s">
        <v>166</v>
      </c>
      <c r="D76" s="143">
        <f t="shared" si="18"/>
        <v>134.4</v>
      </c>
      <c r="E76" s="143">
        <f t="shared" si="18"/>
        <v>133.27203304362038</v>
      </c>
      <c r="F76" s="143">
        <v>134.80000000000001</v>
      </c>
      <c r="G76" s="143">
        <v>134.24626823845912</v>
      </c>
      <c r="H76" s="143">
        <v>135.23582859598204</v>
      </c>
      <c r="I76" s="143">
        <v>133.39459980983634</v>
      </c>
      <c r="J76" s="143" t="e">
        <v>#DIV/0!</v>
      </c>
      <c r="K76" s="143">
        <v>134.20054393592852</v>
      </c>
      <c r="L76" s="143">
        <v>135.91274636761213</v>
      </c>
      <c r="M76" s="143">
        <v>133.94539733837533</v>
      </c>
      <c r="N76" s="143">
        <v>139.00140246952324</v>
      </c>
      <c r="O76" s="143">
        <v>135.91274636761213</v>
      </c>
      <c r="P76" s="143">
        <v>133.94539733837533</v>
      </c>
      <c r="Q76" s="143">
        <v>139.00140246952324</v>
      </c>
    </row>
    <row r="77" spans="1:17" s="136" customFormat="1">
      <c r="A77" s="146"/>
      <c r="B77" s="706" t="s">
        <v>1241</v>
      </c>
      <c r="C77" s="141" t="s">
        <v>166</v>
      </c>
      <c r="D77" s="143">
        <f t="shared" si="18"/>
        <v>189.1537130500073</v>
      </c>
      <c r="E77" s="143">
        <f t="shared" si="18"/>
        <v>183.03251109669989</v>
      </c>
      <c r="F77" s="143">
        <v>190.90042436940413</v>
      </c>
      <c r="G77" s="143">
        <v>197.7806514186077</v>
      </c>
      <c r="H77" s="143">
        <v>211.70000000000002</v>
      </c>
      <c r="I77" s="143">
        <v>207.2329050892647</v>
      </c>
      <c r="J77" s="143">
        <v>0</v>
      </c>
      <c r="K77" s="143">
        <v>207.1788504319934</v>
      </c>
      <c r="L77" s="143">
        <v>211.6863993920131</v>
      </c>
      <c r="M77" s="143">
        <v>211.64792351689647</v>
      </c>
      <c r="N77" s="143">
        <v>211.7436168737448</v>
      </c>
      <c r="O77" s="143">
        <v>211.6863993920131</v>
      </c>
      <c r="P77" s="143">
        <v>211.64792351689647</v>
      </c>
      <c r="Q77" s="143">
        <v>211.7436168737448</v>
      </c>
    </row>
    <row r="78" spans="1:17" s="136" customFormat="1" hidden="1" outlineLevel="1">
      <c r="A78" s="146"/>
      <c r="B78" s="623" t="s">
        <v>1200</v>
      </c>
      <c r="C78" s="141" t="s">
        <v>166</v>
      </c>
      <c r="D78" s="675" t="e">
        <f>D92/D64*1000</f>
        <v>#DIV/0!</v>
      </c>
      <c r="E78" s="675" t="e">
        <f t="shared" ref="E78:N78" si="19">E92/E64*1000</f>
        <v>#DIV/0!</v>
      </c>
      <c r="F78" s="675" t="e">
        <v>#DIV/0!</v>
      </c>
      <c r="G78" s="675" t="e">
        <v>#DIV/0!</v>
      </c>
      <c r="H78" s="675"/>
      <c r="I78" s="675"/>
      <c r="J78" s="675"/>
      <c r="K78" s="675"/>
      <c r="L78" s="675">
        <v>281.56361281968276</v>
      </c>
      <c r="M78" s="675">
        <v>281.49996800409548</v>
      </c>
      <c r="N78" s="675">
        <v>281.67308750687954</v>
      </c>
      <c r="O78" s="675">
        <v>281.56361281968276</v>
      </c>
      <c r="P78" s="675">
        <v>281.49996800409548</v>
      </c>
      <c r="Q78" s="675">
        <v>281.67308750687954</v>
      </c>
    </row>
    <row r="79" spans="1:17" s="136" customFormat="1" hidden="1" outlineLevel="1">
      <c r="A79" s="146"/>
      <c r="B79" s="623" t="s">
        <v>1201</v>
      </c>
      <c r="C79" s="141" t="s">
        <v>166</v>
      </c>
      <c r="D79" s="675" t="e">
        <f>D93/D65*1000</f>
        <v>#DIV/0!</v>
      </c>
      <c r="E79" s="675" t="e">
        <f t="shared" ref="E79:N79" si="20">E93/E65*1000</f>
        <v>#DIV/0!</v>
      </c>
      <c r="F79" s="675" t="e">
        <v>#DIV/0!</v>
      </c>
      <c r="G79" s="675">
        <v>28535.149637681163</v>
      </c>
      <c r="H79" s="675"/>
      <c r="I79" s="675"/>
      <c r="J79" s="675"/>
      <c r="K79" s="675"/>
      <c r="L79" s="675">
        <v>201.15702441722064</v>
      </c>
      <c r="M79" s="675">
        <v>198.2206051123469</v>
      </c>
      <c r="N79" s="675">
        <v>205.8820036576966</v>
      </c>
      <c r="O79" s="675">
        <v>201.15702441722064</v>
      </c>
      <c r="P79" s="675">
        <v>198.2206051123469</v>
      </c>
      <c r="Q79" s="675">
        <v>205.8820036576966</v>
      </c>
    </row>
    <row r="80" spans="1:17" s="136" customFormat="1" hidden="1" outlineLevel="1">
      <c r="A80" s="146"/>
      <c r="B80" s="623" t="s">
        <v>1224</v>
      </c>
      <c r="C80" s="141" t="s">
        <v>166</v>
      </c>
      <c r="D80" s="675" t="e">
        <f t="shared" ref="D80:N82" si="21">D94/D66*1000</f>
        <v>#DIV/0!</v>
      </c>
      <c r="E80" s="675" t="e">
        <f t="shared" si="21"/>
        <v>#DIV/0!</v>
      </c>
      <c r="F80" s="675" t="e">
        <v>#DIV/0!</v>
      </c>
      <c r="G80" s="675">
        <v>133.33333333333331</v>
      </c>
      <c r="H80" s="675"/>
      <c r="I80" s="675"/>
      <c r="J80" s="675"/>
      <c r="K80" s="675"/>
      <c r="L80" s="675">
        <v>131.49927219796214</v>
      </c>
      <c r="M80" s="675">
        <v>128.99819256310798</v>
      </c>
      <c r="N80" s="675">
        <v>137.82825427822601</v>
      </c>
      <c r="O80" s="675">
        <v>131.49927219796214</v>
      </c>
      <c r="P80" s="675">
        <v>128.99819256310798</v>
      </c>
      <c r="Q80" s="675">
        <v>137.82825427822601</v>
      </c>
    </row>
    <row r="81" spans="1:19" s="136" customFormat="1" hidden="1" outlineLevel="1">
      <c r="A81" s="146"/>
      <c r="B81" s="623" t="s">
        <v>1234</v>
      </c>
      <c r="C81" s="141" t="s">
        <v>166</v>
      </c>
      <c r="D81" s="675" t="e">
        <f t="shared" si="21"/>
        <v>#DIV/0!</v>
      </c>
      <c r="E81" s="675" t="e">
        <f t="shared" si="21"/>
        <v>#DIV/0!</v>
      </c>
      <c r="F81" s="675" t="e">
        <v>#DIV/0!</v>
      </c>
      <c r="G81" s="675">
        <v>134.23423423423424</v>
      </c>
      <c r="H81" s="675"/>
      <c r="I81" s="675"/>
      <c r="J81" s="675"/>
      <c r="K81" s="675"/>
      <c r="L81" s="675" t="e">
        <v>#DIV/0!</v>
      </c>
      <c r="M81" s="675" t="e">
        <v>#DIV/0!</v>
      </c>
      <c r="N81" s="675" t="e">
        <v>#DIV/0!</v>
      </c>
      <c r="O81" s="675" t="e">
        <v>#DIV/0!</v>
      </c>
      <c r="P81" s="675" t="e">
        <v>#DIV/0!</v>
      </c>
      <c r="Q81" s="675" t="e">
        <v>#DIV/0!</v>
      </c>
    </row>
    <row r="82" spans="1:19" s="136" customFormat="1" hidden="1" outlineLevel="1">
      <c r="A82" s="146"/>
      <c r="B82" s="623" t="s">
        <v>1242</v>
      </c>
      <c r="C82" s="141" t="s">
        <v>166</v>
      </c>
      <c r="D82" s="675" t="e">
        <f t="shared" si="21"/>
        <v>#DIV/0!</v>
      </c>
      <c r="E82" s="675" t="e">
        <f t="shared" si="21"/>
        <v>#DIV/0!</v>
      </c>
      <c r="F82" s="675" t="e">
        <v>#DIV/0!</v>
      </c>
      <c r="G82" s="675" t="e">
        <v>#DIV/0!</v>
      </c>
      <c r="H82" s="675"/>
      <c r="I82" s="675"/>
      <c r="J82" s="675"/>
      <c r="K82" s="675"/>
      <c r="L82" s="675">
        <v>214.06624710347634</v>
      </c>
      <c r="M82" s="675">
        <v>213.59188275084554</v>
      </c>
      <c r="N82" s="675">
        <v>214.77244499942935</v>
      </c>
      <c r="O82" s="675">
        <v>214.06624710347634</v>
      </c>
      <c r="P82" s="675">
        <v>213.59188275084554</v>
      </c>
      <c r="Q82" s="675">
        <v>214.77244499942935</v>
      </c>
    </row>
    <row r="83" spans="1:19" s="136" customFormat="1" hidden="1" outlineLevel="1">
      <c r="A83" s="146"/>
      <c r="B83" s="623" t="s">
        <v>1202</v>
      </c>
      <c r="C83" s="141" t="s">
        <v>166</v>
      </c>
      <c r="D83" s="675" t="e">
        <f t="shared" ref="D83:N83" si="22">D97/D69*1000</f>
        <v>#DIV/0!</v>
      </c>
      <c r="E83" s="675" t="e">
        <f t="shared" si="22"/>
        <v>#DIV/0!</v>
      </c>
      <c r="F83" s="675" t="e">
        <v>#DIV/0!</v>
      </c>
      <c r="G83" s="675">
        <v>147.37689537146997</v>
      </c>
      <c r="H83" s="675"/>
      <c r="I83" s="675"/>
      <c r="J83" s="675"/>
      <c r="K83" s="675"/>
      <c r="L83" s="675">
        <v>138.59307686822464</v>
      </c>
      <c r="M83" s="675">
        <v>136.32494750730129</v>
      </c>
      <c r="N83" s="675">
        <v>142.02047862060834</v>
      </c>
      <c r="O83" s="675">
        <v>138.59307686822464</v>
      </c>
      <c r="P83" s="675">
        <v>136.32494750730129</v>
      </c>
      <c r="Q83" s="675">
        <v>142.02047862060834</v>
      </c>
    </row>
    <row r="84" spans="1:19" s="136" customFormat="1" hidden="1" outlineLevel="1">
      <c r="A84" s="146"/>
      <c r="B84" s="623" t="s">
        <v>1224</v>
      </c>
      <c r="C84" s="141" t="s">
        <v>166</v>
      </c>
      <c r="D84" s="675" t="e">
        <f t="shared" ref="D84:N84" si="23">D98/D70*1000</f>
        <v>#DIV/0!</v>
      </c>
      <c r="E84" s="675" t="e">
        <f t="shared" si="23"/>
        <v>#DIV/0!</v>
      </c>
      <c r="F84" s="675" t="e">
        <v>#DIV/0!</v>
      </c>
      <c r="G84" s="675">
        <v>133.44727809538242</v>
      </c>
      <c r="H84" s="675"/>
      <c r="I84" s="675"/>
      <c r="J84" s="675"/>
      <c r="K84" s="675"/>
      <c r="L84" s="675">
        <v>132.71369365642099</v>
      </c>
      <c r="M84" s="675">
        <v>128.99730332097869</v>
      </c>
      <c r="N84" s="675">
        <v>137.83105564786868</v>
      </c>
      <c r="O84" s="675">
        <v>132.71369365642099</v>
      </c>
      <c r="P84" s="675">
        <v>128.99730332097869</v>
      </c>
      <c r="Q84" s="675">
        <v>137.83105564786868</v>
      </c>
    </row>
    <row r="85" spans="1:19" s="136" customFormat="1" hidden="1" outlineLevel="1">
      <c r="A85" s="146"/>
      <c r="B85" s="623" t="s">
        <v>1234</v>
      </c>
      <c r="C85" s="141" t="s">
        <v>166</v>
      </c>
      <c r="D85" s="675" t="e">
        <f t="shared" ref="D85:N85" si="24">D99/D71*1000</f>
        <v>#DIV/0!</v>
      </c>
      <c r="E85" s="675" t="e">
        <f t="shared" si="24"/>
        <v>#DIV/0!</v>
      </c>
      <c r="F85" s="675" t="e">
        <v>#DIV/0!</v>
      </c>
      <c r="G85" s="675">
        <v>134.24630160425139</v>
      </c>
      <c r="H85" s="675"/>
      <c r="I85" s="675"/>
      <c r="J85" s="675"/>
      <c r="K85" s="675"/>
      <c r="L85" s="675">
        <v>135.91274636761213</v>
      </c>
      <c r="M85" s="675">
        <v>133.94539733837533</v>
      </c>
      <c r="N85" s="675">
        <v>139.00140246952324</v>
      </c>
      <c r="O85" s="675">
        <v>135.91274636761213</v>
      </c>
      <c r="P85" s="675">
        <v>133.94539733837533</v>
      </c>
      <c r="Q85" s="675">
        <v>139.00140246952324</v>
      </c>
    </row>
    <row r="86" spans="1:19" s="136" customFormat="1" hidden="1" outlineLevel="1">
      <c r="A86" s="146"/>
      <c r="B86" s="623" t="s">
        <v>1242</v>
      </c>
      <c r="C86" s="141" t="s">
        <v>166</v>
      </c>
      <c r="D86" s="675" t="e">
        <f t="shared" ref="D86:N86" si="25">D100/D72*1000</f>
        <v>#DIV/0!</v>
      </c>
      <c r="E86" s="675" t="e">
        <f t="shared" si="25"/>
        <v>#DIV/0!</v>
      </c>
      <c r="F86" s="675" t="e">
        <v>#DIV/0!</v>
      </c>
      <c r="G86" s="675" t="e">
        <v>#DIV/0!</v>
      </c>
      <c r="H86" s="675"/>
      <c r="I86" s="675"/>
      <c r="J86" s="675"/>
      <c r="K86" s="675"/>
      <c r="L86" s="675">
        <v>183.60058483737208</v>
      </c>
      <c r="M86" s="675">
        <v>183.60150772099058</v>
      </c>
      <c r="N86" s="675">
        <v>183.59924917878931</v>
      </c>
      <c r="O86" s="675">
        <v>183.60058483737208</v>
      </c>
      <c r="P86" s="675">
        <v>183.60150772099058</v>
      </c>
      <c r="Q86" s="675">
        <v>183.59924917878931</v>
      </c>
    </row>
    <row r="87" spans="1:19" s="136" customFormat="1" hidden="1" outlineLevel="1">
      <c r="A87" s="146"/>
      <c r="B87" s="623" t="s">
        <v>1203</v>
      </c>
      <c r="C87" s="141" t="s">
        <v>166</v>
      </c>
      <c r="D87" s="675" t="e">
        <f t="shared" ref="D87:N87" si="26">D101/D73*1000</f>
        <v>#DIV/0!</v>
      </c>
      <c r="E87" s="675" t="e">
        <f t="shared" si="26"/>
        <v>#DIV/0!</v>
      </c>
      <c r="F87" s="675" t="e">
        <v>#DIV/0!</v>
      </c>
      <c r="G87" s="675" t="e">
        <v>#DIV/0!</v>
      </c>
      <c r="H87" s="675"/>
      <c r="I87" s="675"/>
      <c r="J87" s="675"/>
      <c r="K87" s="675"/>
      <c r="L87" s="675" t="e">
        <v>#DIV/0!</v>
      </c>
      <c r="M87" s="675" t="e">
        <v>#DIV/0!</v>
      </c>
      <c r="N87" s="675" t="e">
        <v>#DIV/0!</v>
      </c>
      <c r="O87" s="675" t="e">
        <v>#DIV/0!</v>
      </c>
      <c r="P87" s="675" t="e">
        <v>#DIV/0!</v>
      </c>
      <c r="Q87" s="675" t="e">
        <v>#DIV/0!</v>
      </c>
    </row>
    <row r="88" spans="1:19" s="136" customFormat="1" ht="26.25" collapsed="1">
      <c r="A88" s="618">
        <v>15</v>
      </c>
      <c r="B88" s="619" t="s">
        <v>168</v>
      </c>
      <c r="C88" s="624" t="s">
        <v>807</v>
      </c>
      <c r="D88" s="622">
        <f>D92+D93+D97+D101</f>
        <v>265.767</v>
      </c>
      <c r="E88" s="622">
        <f t="shared" ref="E88:N88" si="27">E92+E93+E97+E101</f>
        <v>260.33199999999999</v>
      </c>
      <c r="F88" s="622">
        <v>266.18399999999997</v>
      </c>
      <c r="G88" s="622">
        <v>256.47272619100005</v>
      </c>
      <c r="H88" s="622">
        <v>276.65549503963985</v>
      </c>
      <c r="I88" s="622">
        <v>246.07231100000001</v>
      </c>
      <c r="J88" s="622">
        <v>0</v>
      </c>
      <c r="K88" s="622">
        <v>252.179</v>
      </c>
      <c r="L88" s="622">
        <v>255.59100000000001</v>
      </c>
      <c r="M88" s="622">
        <v>152.90700000000001</v>
      </c>
      <c r="N88" s="622">
        <v>102.68400000000001</v>
      </c>
      <c r="O88" s="622">
        <v>255.59100000000001</v>
      </c>
      <c r="P88" s="622">
        <v>152.90700000000001</v>
      </c>
      <c r="Q88" s="622">
        <v>102.68400000000001</v>
      </c>
      <c r="S88" s="668"/>
    </row>
    <row r="89" spans="1:19" s="136" customFormat="1" ht="15" customHeight="1">
      <c r="A89" s="153"/>
      <c r="B89" s="706" t="s">
        <v>1236</v>
      </c>
      <c r="C89" s="145" t="s">
        <v>807</v>
      </c>
      <c r="D89" s="708">
        <f>' 4.4-КТЭЦ_комбинир.'!D89</f>
        <v>49.423074299999996</v>
      </c>
      <c r="E89" s="708">
        <f>' 4.4-КТЭЦ_комбинир.'!E89</f>
        <v>47.608000000000004</v>
      </c>
      <c r="F89" s="708">
        <v>48.493944000000006</v>
      </c>
      <c r="G89" s="708">
        <v>47.621000000000002</v>
      </c>
      <c r="H89" s="708">
        <v>47.864083915608198</v>
      </c>
      <c r="I89" s="708">
        <v>46.134999999999998</v>
      </c>
      <c r="J89" s="708">
        <v>0</v>
      </c>
      <c r="K89" s="708">
        <v>46.567000000000007</v>
      </c>
      <c r="L89" s="708">
        <v>46.244</v>
      </c>
      <c r="M89" s="708">
        <v>27.304000000000002</v>
      </c>
      <c r="N89" s="708">
        <v>18.939999999999998</v>
      </c>
      <c r="O89" s="708">
        <v>46.244</v>
      </c>
      <c r="P89" s="708">
        <v>27.303999999999998</v>
      </c>
      <c r="Q89" s="708">
        <v>18.940000000000001</v>
      </c>
      <c r="S89" s="668"/>
    </row>
    <row r="90" spans="1:19" s="136" customFormat="1" ht="15.75">
      <c r="A90" s="153"/>
      <c r="B90" s="706" t="s">
        <v>1237</v>
      </c>
      <c r="C90" s="145" t="s">
        <v>807</v>
      </c>
      <c r="D90" s="708">
        <f>' 4.4-КТЭЦ_комбинир.'!D90</f>
        <v>111.2918016</v>
      </c>
      <c r="E90" s="708">
        <f>' 4.4-КТЭЦ_комбинир.'!E90</f>
        <v>109.28400000000001</v>
      </c>
      <c r="F90" s="708">
        <v>110.355368</v>
      </c>
      <c r="G90" s="708">
        <v>107.78700000000001</v>
      </c>
      <c r="H90" s="708">
        <v>109.96229582403161</v>
      </c>
      <c r="I90" s="708">
        <v>104.80000000000001</v>
      </c>
      <c r="J90" s="708">
        <v>0</v>
      </c>
      <c r="K90" s="708">
        <v>105.498</v>
      </c>
      <c r="L90" s="708">
        <v>106.84399999999999</v>
      </c>
      <c r="M90" s="708">
        <v>64.325000000000003</v>
      </c>
      <c r="N90" s="708">
        <v>42.518999999999998</v>
      </c>
      <c r="O90" s="708">
        <v>106.84399999999999</v>
      </c>
      <c r="P90" s="708">
        <v>64.325000000000003</v>
      </c>
      <c r="Q90" s="708">
        <v>42.518999999999998</v>
      </c>
      <c r="S90" s="668"/>
    </row>
    <row r="91" spans="1:19" s="136" customFormat="1" ht="15.75">
      <c r="A91" s="153"/>
      <c r="B91" s="706" t="s">
        <v>1241</v>
      </c>
      <c r="C91" s="145" t="s">
        <v>807</v>
      </c>
      <c r="D91" s="708">
        <f>' 4.4-котельные'!D88</f>
        <v>105.05200000000001</v>
      </c>
      <c r="E91" s="708">
        <f>' 4.4-котельные'!E88</f>
        <v>103.44</v>
      </c>
      <c r="F91" s="708">
        <v>107.333</v>
      </c>
      <c r="G91" s="708">
        <v>101.06472619100002</v>
      </c>
      <c r="H91" s="708">
        <v>118.82911530000001</v>
      </c>
      <c r="I91" s="708">
        <v>95.137310999999997</v>
      </c>
      <c r="J91" s="708">
        <v>0</v>
      </c>
      <c r="K91" s="708">
        <v>100.114</v>
      </c>
      <c r="L91" s="708">
        <v>102.50299999999999</v>
      </c>
      <c r="M91" s="708">
        <v>61.277999999999999</v>
      </c>
      <c r="N91" s="708">
        <v>41.224999999999994</v>
      </c>
      <c r="O91" s="708">
        <v>102.50299999999999</v>
      </c>
      <c r="P91" s="708">
        <v>61.277999999999999</v>
      </c>
      <c r="Q91" s="708">
        <v>41.224999999999994</v>
      </c>
      <c r="S91" s="668"/>
    </row>
    <row r="92" spans="1:19" s="136" customFormat="1" ht="15.75">
      <c r="A92" s="153"/>
      <c r="B92" s="623" t="s">
        <v>1200</v>
      </c>
      <c r="C92" s="145" t="s">
        <v>807</v>
      </c>
      <c r="D92" s="147">
        <f>' 4.4-КТЭЦ_комбинир.'!D92+' 4.4-котельные'!D92</f>
        <v>10.199</v>
      </c>
      <c r="E92" s="147">
        <f>' 4.4-КТЭЦ_комбинир.'!E92+' 4.4-котельные'!E92</f>
        <v>8.1460000000000008</v>
      </c>
      <c r="F92" s="147">
        <v>8.0139999999999993</v>
      </c>
      <c r="G92" s="147">
        <v>7.2009400000000001</v>
      </c>
      <c r="H92" s="147">
        <v>6.7059999999999995</v>
      </c>
      <c r="I92" s="147">
        <v>6.1570600000000004</v>
      </c>
      <c r="J92" s="147">
        <v>0</v>
      </c>
      <c r="K92" s="147">
        <v>6.3070000000000004</v>
      </c>
      <c r="L92" s="147">
        <v>6.9580000000000002</v>
      </c>
      <c r="M92" s="147">
        <v>4.399</v>
      </c>
      <c r="N92" s="147">
        <v>2.5590000000000002</v>
      </c>
      <c r="O92" s="147">
        <v>6.9580000000000002</v>
      </c>
      <c r="P92" s="147">
        <v>4.399</v>
      </c>
      <c r="Q92" s="147">
        <v>2.5590000000000002</v>
      </c>
      <c r="S92" s="668"/>
    </row>
    <row r="93" spans="1:19" s="136" customFormat="1" ht="15.75">
      <c r="A93" s="153"/>
      <c r="B93" s="623" t="s">
        <v>1201</v>
      </c>
      <c r="C93" s="145" t="s">
        <v>807</v>
      </c>
      <c r="D93" s="147">
        <f>' 4.4-КТЭЦ_комбинир.'!D93+' 4.4-котельные'!D93</f>
        <v>85.962000000000003</v>
      </c>
      <c r="E93" s="147">
        <f>' 4.4-КТЭЦ_комбинир.'!E93+' 4.4-котельные'!E93</f>
        <v>91.364000000000004</v>
      </c>
      <c r="F93" s="147">
        <v>86.760999999999996</v>
      </c>
      <c r="G93" s="147">
        <v>78.757013000000015</v>
      </c>
      <c r="H93" s="147">
        <v>101.63511530000001</v>
      </c>
      <c r="I93" s="147">
        <v>74.984251</v>
      </c>
      <c r="J93" s="147">
        <v>0</v>
      </c>
      <c r="K93" s="147">
        <v>86.831000000000003</v>
      </c>
      <c r="L93" s="147">
        <v>88.388999999999996</v>
      </c>
      <c r="M93" s="147">
        <v>53.715999999999994</v>
      </c>
      <c r="N93" s="147">
        <v>34.673000000000002</v>
      </c>
      <c r="O93" s="147">
        <v>88.388999999999996</v>
      </c>
      <c r="P93" s="147">
        <v>53.715999999999994</v>
      </c>
      <c r="Q93" s="147">
        <v>34.673000000000002</v>
      </c>
      <c r="S93" s="668"/>
    </row>
    <row r="94" spans="1:19" s="136" customFormat="1" ht="15.75">
      <c r="A94" s="153"/>
      <c r="B94" s="623" t="s">
        <v>1224</v>
      </c>
      <c r="C94" s="145" t="s">
        <v>807</v>
      </c>
      <c r="D94" s="147">
        <f>' 4.4-КТЭЦ_комбинир.'!D94</f>
        <v>2.476</v>
      </c>
      <c r="E94" s="147">
        <f>' 4.4-КТЭЦ_комбинир.'!E94</f>
        <v>0.70299999999999996</v>
      </c>
      <c r="F94" s="147">
        <v>2.46</v>
      </c>
      <c r="G94" s="147">
        <v>7.1999999999999995E-2</v>
      </c>
      <c r="H94" s="147">
        <v>2.3809999999999998</v>
      </c>
      <c r="I94" s="147">
        <v>0.42199999999999999</v>
      </c>
      <c r="J94" s="147">
        <v>0</v>
      </c>
      <c r="K94" s="147">
        <v>9.0530000000000008</v>
      </c>
      <c r="L94" s="147">
        <v>9.0340000000000007</v>
      </c>
      <c r="M94" s="147">
        <v>6.3520000000000003</v>
      </c>
      <c r="N94" s="147">
        <v>2.6819999999999999</v>
      </c>
      <c r="O94" s="147">
        <v>9.0340000000000007</v>
      </c>
      <c r="P94" s="147">
        <v>6.3520000000000003</v>
      </c>
      <c r="Q94" s="147">
        <v>2.6819999999999999</v>
      </c>
      <c r="S94" s="668"/>
    </row>
    <row r="95" spans="1:19" s="136" customFormat="1" ht="15.75">
      <c r="A95" s="153"/>
      <c r="B95" s="623" t="s">
        <v>1234</v>
      </c>
      <c r="C95" s="145" t="s">
        <v>807</v>
      </c>
      <c r="D95" s="147">
        <f>' 4.4-КТЭЦ_комбинир.'!D95</f>
        <v>0</v>
      </c>
      <c r="E95" s="147">
        <f>' 4.4-КТЭЦ_комбинир.'!E95</f>
        <v>0.71199999999999997</v>
      </c>
      <c r="F95" s="147">
        <v>0</v>
      </c>
      <c r="G95" s="147">
        <v>0.29799999999999999</v>
      </c>
      <c r="H95" s="147">
        <v>0</v>
      </c>
      <c r="I95" s="147">
        <v>0.15</v>
      </c>
      <c r="J95" s="147">
        <v>0</v>
      </c>
      <c r="K95" s="147">
        <v>0</v>
      </c>
      <c r="L95" s="147">
        <v>0</v>
      </c>
      <c r="M95" s="147">
        <v>0</v>
      </c>
      <c r="N95" s="147">
        <v>0</v>
      </c>
      <c r="O95" s="147">
        <v>0</v>
      </c>
      <c r="P95" s="147">
        <v>0</v>
      </c>
      <c r="Q95" s="147">
        <v>0</v>
      </c>
      <c r="S95" s="668"/>
    </row>
    <row r="96" spans="1:19" s="136" customFormat="1" ht="15.75">
      <c r="A96" s="153"/>
      <c r="B96" s="623" t="s">
        <v>1242</v>
      </c>
      <c r="C96" s="145" t="s">
        <v>807</v>
      </c>
      <c r="D96" s="147">
        <f>' 4.4-котельные'!D93</f>
        <v>83.486000000000004</v>
      </c>
      <c r="E96" s="147">
        <f>' 4.4-котельные'!E93</f>
        <v>89.948999999999998</v>
      </c>
      <c r="F96" s="147">
        <v>84.301000000000002</v>
      </c>
      <c r="G96" s="147">
        <v>78.38701300000001</v>
      </c>
      <c r="H96" s="147">
        <v>99.254115300000009</v>
      </c>
      <c r="I96" s="147">
        <v>74.412250999999998</v>
      </c>
      <c r="J96" s="147">
        <v>0</v>
      </c>
      <c r="K96" s="147">
        <v>77.778000000000006</v>
      </c>
      <c r="L96" s="147">
        <v>79.35499999999999</v>
      </c>
      <c r="M96" s="147">
        <v>47.363999999999997</v>
      </c>
      <c r="N96" s="147">
        <v>31.991</v>
      </c>
      <c r="O96" s="147">
        <v>79.35499999999999</v>
      </c>
      <c r="P96" s="147">
        <v>47.363999999999997</v>
      </c>
      <c r="Q96" s="147">
        <v>31.991</v>
      </c>
      <c r="S96" s="668"/>
    </row>
    <row r="97" spans="1:19" s="136" customFormat="1" ht="15.75">
      <c r="A97" s="153"/>
      <c r="B97" s="623" t="s">
        <v>1202</v>
      </c>
      <c r="C97" s="145" t="s">
        <v>807</v>
      </c>
      <c r="D97" s="147">
        <f>' 4.4-КТЭЦ_комбинир.'!D97+' 4.4-котельные'!D97</f>
        <v>169.60599999999999</v>
      </c>
      <c r="E97" s="147">
        <f>' 4.4-КТЭЦ_комбинир.'!E97+' 4.4-котельные'!E97</f>
        <v>160.822</v>
      </c>
      <c r="F97" s="147">
        <v>171.40899999999999</v>
      </c>
      <c r="G97" s="147">
        <v>170.51477319100002</v>
      </c>
      <c r="H97" s="147">
        <v>168.3143797396398</v>
      </c>
      <c r="I97" s="147">
        <v>164.93100000000001</v>
      </c>
      <c r="J97" s="147">
        <v>0</v>
      </c>
      <c r="K97" s="147">
        <v>158.61199999999999</v>
      </c>
      <c r="L97" s="147">
        <v>159.374</v>
      </c>
      <c r="M97" s="147">
        <v>94.337000000000003</v>
      </c>
      <c r="N97" s="147">
        <v>65.037000000000006</v>
      </c>
      <c r="O97" s="147">
        <v>159.374</v>
      </c>
      <c r="P97" s="147">
        <v>94.337000000000003</v>
      </c>
      <c r="Q97" s="147">
        <v>65.037000000000006</v>
      </c>
      <c r="S97" s="668"/>
    </row>
    <row r="98" spans="1:19" s="136" customFormat="1" ht="15.75">
      <c r="A98" s="153"/>
      <c r="B98" s="623" t="s">
        <v>1224</v>
      </c>
      <c r="C98" s="145" t="s">
        <v>807</v>
      </c>
      <c r="D98" s="147">
        <f>' 4.4-КТЭЦ_комбинир.'!D98</f>
        <v>46.947000000000003</v>
      </c>
      <c r="E98" s="147">
        <f>' 4.4-КТЭЦ_комбинир.'!E98</f>
        <v>46.905000000000001</v>
      </c>
      <c r="F98" s="147">
        <v>46.036999999999999</v>
      </c>
      <c r="G98" s="147">
        <v>47.548999999999999</v>
      </c>
      <c r="H98" s="147">
        <v>45.483083915608198</v>
      </c>
      <c r="I98" s="147">
        <v>45.713000000000001</v>
      </c>
      <c r="J98" s="147">
        <v>0</v>
      </c>
      <c r="K98" s="147">
        <v>37.514000000000003</v>
      </c>
      <c r="L98" s="147">
        <v>37.21</v>
      </c>
      <c r="M98" s="147">
        <v>20.952000000000002</v>
      </c>
      <c r="N98" s="147">
        <v>16.257999999999999</v>
      </c>
      <c r="O98" s="147">
        <v>37.21</v>
      </c>
      <c r="P98" s="147">
        <v>20.952000000000002</v>
      </c>
      <c r="Q98" s="147">
        <v>16.257999999999999</v>
      </c>
      <c r="S98" s="668"/>
    </row>
    <row r="99" spans="1:19" s="136" customFormat="1" ht="15.75">
      <c r="A99" s="153"/>
      <c r="B99" s="623" t="s">
        <v>1234</v>
      </c>
      <c r="C99" s="145" t="s">
        <v>807</v>
      </c>
      <c r="D99" s="147">
        <f>' 4.4-КТЭЦ_комбинир.'!D99</f>
        <v>111.292</v>
      </c>
      <c r="E99" s="147">
        <f>' 4.4-КТЭЦ_комбинир.'!E99</f>
        <v>108.572</v>
      </c>
      <c r="F99" s="147">
        <v>110.354</v>
      </c>
      <c r="G99" s="147">
        <v>107.489</v>
      </c>
      <c r="H99" s="147">
        <v>109.96229582403161</v>
      </c>
      <c r="I99" s="147">
        <v>104.65</v>
      </c>
      <c r="J99" s="147">
        <v>0</v>
      </c>
      <c r="K99" s="147">
        <v>105.498</v>
      </c>
      <c r="L99" s="147">
        <v>106.84399999999999</v>
      </c>
      <c r="M99" s="147">
        <v>64.325000000000003</v>
      </c>
      <c r="N99" s="147">
        <v>42.518999999999998</v>
      </c>
      <c r="O99" s="147">
        <v>106.84399999999999</v>
      </c>
      <c r="P99" s="147">
        <v>64.325000000000003</v>
      </c>
      <c r="Q99" s="147">
        <v>42.518999999999998</v>
      </c>
      <c r="S99" s="668"/>
    </row>
    <row r="100" spans="1:19" s="136" customFormat="1" ht="15.75">
      <c r="A100" s="153"/>
      <c r="B100" s="623" t="s">
        <v>1242</v>
      </c>
      <c r="C100" s="145" t="s">
        <v>807</v>
      </c>
      <c r="D100" s="147">
        <f>' 4.4-котельные'!D97</f>
        <v>11.367000000000001</v>
      </c>
      <c r="E100" s="147">
        <f>' 4.4-котельные'!E97</f>
        <v>5.3449999999999998</v>
      </c>
      <c r="F100" s="147">
        <v>15.018000000000001</v>
      </c>
      <c r="G100" s="147">
        <v>15.476773191000001</v>
      </c>
      <c r="H100" s="147">
        <v>12.869</v>
      </c>
      <c r="I100" s="147">
        <v>14.568</v>
      </c>
      <c r="J100" s="147">
        <v>0</v>
      </c>
      <c r="K100" s="147">
        <v>15.6</v>
      </c>
      <c r="L100" s="147">
        <v>15.32</v>
      </c>
      <c r="M100" s="147">
        <v>9.06</v>
      </c>
      <c r="N100" s="147">
        <v>6.26</v>
      </c>
      <c r="O100" s="147">
        <v>15.32</v>
      </c>
      <c r="P100" s="147">
        <v>9.06</v>
      </c>
      <c r="Q100" s="147">
        <v>6.26</v>
      </c>
      <c r="S100" s="668"/>
    </row>
    <row r="101" spans="1:19" s="136" customFormat="1" ht="15.75">
      <c r="A101" s="153"/>
      <c r="B101" s="623" t="s">
        <v>1203</v>
      </c>
      <c r="C101" s="145" t="s">
        <v>807</v>
      </c>
      <c r="D101" s="147">
        <f>' 4.4-КТЭЦ_комбинир.'!D101</f>
        <v>0</v>
      </c>
      <c r="E101" s="147">
        <f>' 4.4-КТЭЦ_комбинир.'!E101+' 4.4-котельные'!E101</f>
        <v>0</v>
      </c>
      <c r="F101" s="147">
        <v>0</v>
      </c>
      <c r="G101" s="147">
        <v>0</v>
      </c>
      <c r="H101" s="147">
        <v>0</v>
      </c>
      <c r="I101" s="147">
        <v>0</v>
      </c>
      <c r="J101" s="147">
        <v>0</v>
      </c>
      <c r="K101" s="147">
        <v>0.42899999999999999</v>
      </c>
      <c r="L101" s="147">
        <v>0.87</v>
      </c>
      <c r="M101" s="147">
        <v>0.45500000000000002</v>
      </c>
      <c r="N101" s="147">
        <v>0.41499999999999998</v>
      </c>
      <c r="O101" s="147">
        <v>0.87</v>
      </c>
      <c r="P101" s="147">
        <v>0.45500000000000002</v>
      </c>
      <c r="Q101" s="147">
        <v>0.41499999999999998</v>
      </c>
      <c r="S101" s="668"/>
    </row>
    <row r="102" spans="1:19" s="136" customFormat="1" ht="15" customHeight="1">
      <c r="A102" s="146">
        <v>16</v>
      </c>
      <c r="B102" s="625" t="s">
        <v>808</v>
      </c>
      <c r="C102" s="145" t="s">
        <v>807</v>
      </c>
      <c r="D102" s="625">
        <f>D88</f>
        <v>265.767</v>
      </c>
      <c r="E102" s="625">
        <f t="shared" ref="E102:N102" si="28">E88</f>
        <v>260.33199999999999</v>
      </c>
      <c r="F102" s="625">
        <v>266.18399999999997</v>
      </c>
      <c r="G102" s="625">
        <v>256.47272619100005</v>
      </c>
      <c r="H102" s="626">
        <v>276.65549503963985</v>
      </c>
      <c r="I102" s="625">
        <v>246.07231100000001</v>
      </c>
      <c r="J102" s="625">
        <v>0</v>
      </c>
      <c r="K102" s="625">
        <v>252.179</v>
      </c>
      <c r="L102" s="625">
        <v>255.59100000000001</v>
      </c>
      <c r="M102" s="625">
        <v>152.90700000000001</v>
      </c>
      <c r="N102" s="625">
        <v>102.68400000000001</v>
      </c>
      <c r="O102" s="625">
        <v>255.59100000000001</v>
      </c>
      <c r="P102" s="625">
        <v>152.90700000000001</v>
      </c>
      <c r="Q102" s="625">
        <v>102.68400000000001</v>
      </c>
    </row>
    <row r="103" spans="1:19" s="136" customFormat="1" ht="25.5">
      <c r="A103" s="133">
        <v>17</v>
      </c>
      <c r="B103" s="138" t="s">
        <v>809</v>
      </c>
      <c r="C103" s="133" t="s">
        <v>138</v>
      </c>
      <c r="D103" s="627">
        <f t="shared" ref="D103:N103" si="29">D88/D102</f>
        <v>1</v>
      </c>
      <c r="E103" s="627">
        <f t="shared" si="29"/>
        <v>1</v>
      </c>
      <c r="F103" s="627">
        <v>1</v>
      </c>
      <c r="G103" s="627">
        <v>1</v>
      </c>
      <c r="H103" s="627">
        <v>1</v>
      </c>
      <c r="I103" s="627">
        <v>1</v>
      </c>
      <c r="J103" s="627" t="e">
        <v>#DIV/0!</v>
      </c>
      <c r="K103" s="627">
        <v>1</v>
      </c>
      <c r="L103" s="627">
        <v>1</v>
      </c>
      <c r="M103" s="627">
        <v>1</v>
      </c>
      <c r="N103" s="627">
        <v>1</v>
      </c>
      <c r="O103" s="627">
        <v>1</v>
      </c>
      <c r="P103" s="627">
        <v>1</v>
      </c>
      <c r="Q103" s="627">
        <v>1</v>
      </c>
    </row>
    <row r="104" spans="1:19" s="136" customFormat="1" ht="14.25" customHeight="1">
      <c r="A104" s="628">
        <v>18</v>
      </c>
      <c r="B104" s="629" t="s">
        <v>174</v>
      </c>
      <c r="C104" s="628" t="s">
        <v>807</v>
      </c>
      <c r="D104" s="630">
        <f>D105+D107+D111+D118</f>
        <v>552.34900000000005</v>
      </c>
      <c r="E104" s="630">
        <f>E105+E107+E111+E118</f>
        <v>544.7399999999999</v>
      </c>
      <c r="F104" s="630">
        <v>549.18899999999996</v>
      </c>
      <c r="G104" s="630">
        <v>537.09572619100004</v>
      </c>
      <c r="H104" s="630">
        <v>557.37783783963994</v>
      </c>
      <c r="I104" s="630">
        <v>538.24631099999999</v>
      </c>
      <c r="J104" s="630">
        <v>0</v>
      </c>
      <c r="K104" s="630">
        <v>532.04200000000003</v>
      </c>
      <c r="L104" s="631">
        <v>539.24099999999999</v>
      </c>
      <c r="M104" s="630">
        <v>295.18099999999998</v>
      </c>
      <c r="N104" s="630">
        <v>244.05999999999997</v>
      </c>
      <c r="O104" s="631">
        <v>539.24099999999999</v>
      </c>
      <c r="P104" s="630">
        <v>295.18099999999998</v>
      </c>
      <c r="Q104" s="630">
        <v>244.05999999999997</v>
      </c>
    </row>
    <row r="105" spans="1:19" s="148" customFormat="1" ht="14.25" customHeight="1">
      <c r="A105" s="152" t="s">
        <v>175</v>
      </c>
      <c r="B105" s="632" t="s">
        <v>1205</v>
      </c>
      <c r="C105" s="153" t="s">
        <v>807</v>
      </c>
      <c r="D105" s="633">
        <f>' 4.4-котельные'!D105</f>
        <v>10.199</v>
      </c>
      <c r="E105" s="633">
        <f>' 4.4-котельные'!E105</f>
        <v>8.1460000000000008</v>
      </c>
      <c r="F105" s="633">
        <v>8.0139999999999993</v>
      </c>
      <c r="G105" s="633">
        <v>7.2009400000000001</v>
      </c>
      <c r="H105" s="633">
        <v>6.7059999999999995</v>
      </c>
      <c r="I105" s="633">
        <v>6.1570600000000004</v>
      </c>
      <c r="J105" s="633">
        <v>0</v>
      </c>
      <c r="K105" s="633">
        <v>6.3070000000000004</v>
      </c>
      <c r="L105" s="633">
        <v>6.9580000000000002</v>
      </c>
      <c r="M105" s="633">
        <v>4.399</v>
      </c>
      <c r="N105" s="633">
        <v>2.5590000000000002</v>
      </c>
      <c r="O105" s="633">
        <v>6.9580000000000002</v>
      </c>
      <c r="P105" s="633">
        <v>4.399</v>
      </c>
      <c r="Q105" s="633">
        <v>2.5590000000000002</v>
      </c>
    </row>
    <row r="106" spans="1:19" s="148" customFormat="1" ht="14.25" hidden="1" customHeight="1">
      <c r="A106" s="152"/>
      <c r="B106" s="632"/>
      <c r="C106" s="153"/>
      <c r="D106" s="633"/>
      <c r="E106" s="633"/>
      <c r="F106" s="633"/>
      <c r="G106" s="633"/>
      <c r="H106" s="633"/>
      <c r="I106" s="633"/>
      <c r="J106" s="633"/>
      <c r="K106" s="633"/>
      <c r="L106" s="634"/>
      <c r="M106" s="633"/>
      <c r="N106" s="633"/>
      <c r="O106" s="634"/>
      <c r="P106" s="633"/>
      <c r="Q106" s="633"/>
    </row>
    <row r="107" spans="1:19" s="669" customFormat="1">
      <c r="A107" s="152" t="s">
        <v>177</v>
      </c>
      <c r="B107" s="634" t="s">
        <v>810</v>
      </c>
      <c r="C107" s="153" t="s">
        <v>807</v>
      </c>
      <c r="D107" s="633">
        <f>D108+D109+D110</f>
        <v>89.921999999999997</v>
      </c>
      <c r="E107" s="633">
        <f t="shared" ref="E107:F107" si="30">E108+E109+E110</f>
        <v>95.36</v>
      </c>
      <c r="F107" s="633">
        <v>90.795000000000002</v>
      </c>
      <c r="G107" s="633">
        <v>79.885013000000015</v>
      </c>
      <c r="H107" s="633">
        <v>105.60311530000001</v>
      </c>
      <c r="I107" s="633">
        <v>76.218250999999995</v>
      </c>
      <c r="J107" s="633">
        <v>0</v>
      </c>
      <c r="K107" s="633">
        <v>97.979000000000013</v>
      </c>
      <c r="L107" s="633">
        <v>99.626000000000005</v>
      </c>
      <c r="M107" s="633">
        <v>60.885999999999996</v>
      </c>
      <c r="N107" s="633">
        <v>38.74</v>
      </c>
      <c r="O107" s="633">
        <v>99.626000000000005</v>
      </c>
      <c r="P107" s="633">
        <v>60.885999999999996</v>
      </c>
      <c r="Q107" s="633">
        <v>38.74</v>
      </c>
    </row>
    <row r="108" spans="1:19" s="669" customFormat="1">
      <c r="A108" s="152"/>
      <c r="B108" s="623" t="s">
        <v>1224</v>
      </c>
      <c r="C108" s="133" t="s">
        <v>807</v>
      </c>
      <c r="D108" s="147">
        <f>' 4.4-КТЭЦ_комбинир.'!D108</f>
        <v>6.4359999999999999</v>
      </c>
      <c r="E108" s="147">
        <f>' 4.4-КТЭЦ_комбинир.'!E108</f>
        <v>2.1339999999999999</v>
      </c>
      <c r="F108" s="147">
        <v>6.4939999999999998</v>
      </c>
      <c r="G108" s="147">
        <v>0.32600000000000001</v>
      </c>
      <c r="H108" s="147">
        <v>6.3490000000000002</v>
      </c>
      <c r="I108" s="147">
        <v>0.92799999999999994</v>
      </c>
      <c r="J108" s="147">
        <v>0</v>
      </c>
      <c r="K108" s="147">
        <v>20.201000000000001</v>
      </c>
      <c r="L108" s="147">
        <v>20.271000000000001</v>
      </c>
      <c r="M108" s="147">
        <v>13.522</v>
      </c>
      <c r="N108" s="147">
        <v>6.7490000000000006</v>
      </c>
      <c r="O108" s="147">
        <v>20.271000000000001</v>
      </c>
      <c r="P108" s="147">
        <v>13.522</v>
      </c>
      <c r="Q108" s="147">
        <v>6.7490000000000006</v>
      </c>
    </row>
    <row r="109" spans="1:19" s="669" customFormat="1">
      <c r="A109" s="152"/>
      <c r="B109" s="623" t="s">
        <v>1234</v>
      </c>
      <c r="C109" s="133" t="s">
        <v>807</v>
      </c>
      <c r="D109" s="147">
        <f>' 4.4-КТЭЦ_комбинир.'!D109</f>
        <v>0</v>
      </c>
      <c r="E109" s="147">
        <f>' 4.4-КТЭЦ_комбинир.'!E109</f>
        <v>3.2770000000000001</v>
      </c>
      <c r="F109" s="147">
        <v>0</v>
      </c>
      <c r="G109" s="147">
        <v>1.1719999999999999</v>
      </c>
      <c r="H109" s="147">
        <v>0</v>
      </c>
      <c r="I109" s="147">
        <v>0.878</v>
      </c>
      <c r="J109" s="147">
        <v>0</v>
      </c>
      <c r="K109" s="147">
        <v>0</v>
      </c>
      <c r="L109" s="147">
        <v>0</v>
      </c>
      <c r="M109" s="147">
        <v>0</v>
      </c>
      <c r="N109" s="147">
        <v>0</v>
      </c>
      <c r="O109" s="147">
        <v>0</v>
      </c>
      <c r="P109" s="147">
        <v>0</v>
      </c>
      <c r="Q109" s="147">
        <v>0</v>
      </c>
    </row>
    <row r="110" spans="1:19" s="669" customFormat="1">
      <c r="A110" s="152"/>
      <c r="B110" s="623" t="s">
        <v>1242</v>
      </c>
      <c r="C110" s="133" t="s">
        <v>807</v>
      </c>
      <c r="D110" s="147">
        <f>' 4.4-котельные'!D107</f>
        <v>83.486000000000004</v>
      </c>
      <c r="E110" s="147">
        <f>' 4.4-котельные'!E107</f>
        <v>89.948999999999998</v>
      </c>
      <c r="F110" s="147">
        <v>84.301000000000002</v>
      </c>
      <c r="G110" s="147">
        <v>78.38701300000001</v>
      </c>
      <c r="H110" s="147">
        <v>99.254115300000009</v>
      </c>
      <c r="I110" s="147">
        <v>74.412250999999998</v>
      </c>
      <c r="J110" s="147">
        <v>0</v>
      </c>
      <c r="K110" s="147">
        <v>77.778000000000006</v>
      </c>
      <c r="L110" s="147">
        <v>79.35499999999999</v>
      </c>
      <c r="M110" s="147">
        <v>47.363999999999997</v>
      </c>
      <c r="N110" s="147">
        <v>31.991</v>
      </c>
      <c r="O110" s="147">
        <v>79.35499999999999</v>
      </c>
      <c r="P110" s="147">
        <v>47.363999999999997</v>
      </c>
      <c r="Q110" s="147">
        <v>31.991</v>
      </c>
    </row>
    <row r="111" spans="1:19" s="667" customFormat="1">
      <c r="A111" s="152" t="s">
        <v>179</v>
      </c>
      <c r="B111" s="634" t="s">
        <v>811</v>
      </c>
      <c r="C111" s="153" t="s">
        <v>807</v>
      </c>
      <c r="D111" s="633">
        <f>D112+D113+D114</f>
        <v>452.07600000000002</v>
      </c>
      <c r="E111" s="633">
        <f t="shared" ref="E111:F111" si="31">E112+E113+E114</f>
        <v>441.12599999999998</v>
      </c>
      <c r="F111" s="633">
        <v>450.23</v>
      </c>
      <c r="G111" s="633">
        <v>449.91877319100001</v>
      </c>
      <c r="H111" s="633">
        <v>444.91586653963986</v>
      </c>
      <c r="I111" s="633">
        <v>455.75699999999995</v>
      </c>
      <c r="J111" s="633">
        <v>0</v>
      </c>
      <c r="K111" s="633">
        <v>427.60599999999999</v>
      </c>
      <c r="L111" s="633">
        <v>432.50399999999996</v>
      </c>
      <c r="M111" s="633">
        <v>229.81899999999999</v>
      </c>
      <c r="N111" s="633">
        <v>202.68499999999997</v>
      </c>
      <c r="O111" s="633">
        <v>432.50399999999996</v>
      </c>
      <c r="P111" s="633">
        <v>229.81899999999999</v>
      </c>
      <c r="Q111" s="633">
        <v>202.68499999999997</v>
      </c>
    </row>
    <row r="112" spans="1:19" s="667" customFormat="1">
      <c r="A112" s="152"/>
      <c r="B112" s="623" t="s">
        <v>1224</v>
      </c>
      <c r="C112" s="133" t="s">
        <v>807</v>
      </c>
      <c r="D112" s="147">
        <f>' 4.4-КТЭЦ_комбинир.'!D112</f>
        <v>121.721</v>
      </c>
      <c r="E112" s="147">
        <f>' 4.4-КТЭЦ_комбинир.'!E112</f>
        <v>128.17400000000001</v>
      </c>
      <c r="F112" s="147">
        <v>121.636</v>
      </c>
      <c r="G112" s="147">
        <v>126.89500000000001</v>
      </c>
      <c r="H112" s="147">
        <v>120.5235707156082</v>
      </c>
      <c r="I112" s="147">
        <v>128.46799999999999</v>
      </c>
      <c r="J112" s="147">
        <v>0</v>
      </c>
      <c r="K112" s="147">
        <v>105.86099999999999</v>
      </c>
      <c r="L112" s="147">
        <v>108.45599999999999</v>
      </c>
      <c r="M112" s="147">
        <v>50.362000000000002</v>
      </c>
      <c r="N112" s="147">
        <v>58.093999999999994</v>
      </c>
      <c r="O112" s="147">
        <v>108.45599999999999</v>
      </c>
      <c r="P112" s="147">
        <v>50.362000000000002</v>
      </c>
      <c r="Q112" s="147">
        <v>58.093999999999994</v>
      </c>
    </row>
    <row r="113" spans="1:22" s="667" customFormat="1">
      <c r="A113" s="152"/>
      <c r="B113" s="623" t="s">
        <v>1234</v>
      </c>
      <c r="C113" s="133" t="s">
        <v>807</v>
      </c>
      <c r="D113" s="147">
        <f>' 4.4-КТЭЦ_комбинир.'!D113</f>
        <v>318.988</v>
      </c>
      <c r="E113" s="147">
        <f>' 4.4-КТЭЦ_комбинир.'!E113</f>
        <v>307.60699999999997</v>
      </c>
      <c r="F113" s="147">
        <v>313.57600000000002</v>
      </c>
      <c r="G113" s="147">
        <v>307.54700000000003</v>
      </c>
      <c r="H113" s="147">
        <v>311.52329582403161</v>
      </c>
      <c r="I113" s="147">
        <v>312.721</v>
      </c>
      <c r="J113" s="147">
        <v>0</v>
      </c>
      <c r="K113" s="147">
        <v>306.14499999999998</v>
      </c>
      <c r="L113" s="147">
        <v>308.72799999999995</v>
      </c>
      <c r="M113" s="147">
        <v>170.39699999999999</v>
      </c>
      <c r="N113" s="147">
        <v>138.33099999999999</v>
      </c>
      <c r="O113" s="147">
        <v>308.72799999999995</v>
      </c>
      <c r="P113" s="147">
        <v>170.39699999999999</v>
      </c>
      <c r="Q113" s="147">
        <v>138.33099999999999</v>
      </c>
    </row>
    <row r="114" spans="1:22" s="667" customFormat="1">
      <c r="A114" s="152"/>
      <c r="B114" s="623" t="s">
        <v>1242</v>
      </c>
      <c r="C114" s="133" t="s">
        <v>807</v>
      </c>
      <c r="D114" s="147">
        <f>' 4.4-котельные'!D111</f>
        <v>11.367000000000001</v>
      </c>
      <c r="E114" s="147">
        <f>' 4.4-котельные'!E111</f>
        <v>5.3449999999999998</v>
      </c>
      <c r="F114" s="147">
        <v>15.018000000000001</v>
      </c>
      <c r="G114" s="147">
        <v>15.476773191000001</v>
      </c>
      <c r="H114" s="147">
        <v>12.869</v>
      </c>
      <c r="I114" s="147">
        <v>14.568</v>
      </c>
      <c r="J114" s="147">
        <v>0</v>
      </c>
      <c r="K114" s="147">
        <v>15.6</v>
      </c>
      <c r="L114" s="147">
        <v>15.32</v>
      </c>
      <c r="M114" s="147">
        <v>9.06</v>
      </c>
      <c r="N114" s="147">
        <v>6.26</v>
      </c>
      <c r="O114" s="147">
        <v>15.32</v>
      </c>
      <c r="P114" s="147">
        <v>9.06</v>
      </c>
      <c r="Q114" s="147">
        <v>6.26</v>
      </c>
    </row>
    <row r="115" spans="1:22" s="148" customFormat="1">
      <c r="A115" s="152" t="s">
        <v>181</v>
      </c>
      <c r="B115" s="154" t="s">
        <v>812</v>
      </c>
      <c r="C115" s="133" t="s">
        <v>807</v>
      </c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</row>
    <row r="116" spans="1:22" s="148" customFormat="1">
      <c r="A116" s="152" t="s">
        <v>183</v>
      </c>
      <c r="B116" s="154" t="s">
        <v>813</v>
      </c>
      <c r="C116" s="133" t="s">
        <v>807</v>
      </c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</row>
    <row r="117" spans="1:22" s="148" customFormat="1">
      <c r="A117" s="152" t="s">
        <v>185</v>
      </c>
      <c r="B117" s="154" t="s">
        <v>814</v>
      </c>
      <c r="C117" s="133" t="s">
        <v>807</v>
      </c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V117" s="148" t="s">
        <v>815</v>
      </c>
    </row>
    <row r="118" spans="1:22" s="148" customFormat="1">
      <c r="A118" s="152" t="s">
        <v>187</v>
      </c>
      <c r="B118" s="636" t="s">
        <v>1206</v>
      </c>
      <c r="C118" s="133" t="s">
        <v>807</v>
      </c>
      <c r="D118" s="633">
        <f>' 4.4-КТЭЦ_комбинир.'!D118</f>
        <v>0.152</v>
      </c>
      <c r="E118" s="633">
        <f>' 4.4-КТЭЦ_комбинир.'!E118</f>
        <v>0.108</v>
      </c>
      <c r="F118" s="633">
        <v>0.15</v>
      </c>
      <c r="G118" s="633">
        <v>9.0999999999999998E-2</v>
      </c>
      <c r="H118" s="633">
        <v>0.15285599999999999</v>
      </c>
      <c r="I118" s="633">
        <v>0.114</v>
      </c>
      <c r="J118" s="633">
        <v>0</v>
      </c>
      <c r="K118" s="633">
        <v>0.15</v>
      </c>
      <c r="L118" s="633">
        <v>0.153</v>
      </c>
      <c r="M118" s="633">
        <v>7.6999999999999999E-2</v>
      </c>
      <c r="N118" s="633">
        <v>7.5999999999999998E-2</v>
      </c>
      <c r="O118" s="633">
        <v>0.153</v>
      </c>
      <c r="P118" s="633">
        <v>7.6999999999999999E-2</v>
      </c>
      <c r="Q118" s="633">
        <v>7.5999999999999998E-2</v>
      </c>
    </row>
    <row r="119" spans="1:22" s="148" customFormat="1">
      <c r="A119" s="152"/>
      <c r="B119" s="144"/>
      <c r="C119" s="133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</row>
    <row r="120" spans="1:22" s="148" customFormat="1">
      <c r="A120" s="152" t="s">
        <v>189</v>
      </c>
      <c r="B120" s="144" t="s">
        <v>816</v>
      </c>
      <c r="C120" s="133" t="s">
        <v>807</v>
      </c>
      <c r="D120" s="144">
        <f t="shared" ref="D120:L120" si="32">D88</f>
        <v>265.767</v>
      </c>
      <c r="E120" s="144">
        <f t="shared" si="32"/>
        <v>260.33199999999999</v>
      </c>
      <c r="F120" s="144">
        <v>266.18399999999997</v>
      </c>
      <c r="G120" s="147">
        <v>256.47272619100005</v>
      </c>
      <c r="H120" s="147">
        <v>276.65549503963985</v>
      </c>
      <c r="I120" s="147">
        <v>246.07231100000001</v>
      </c>
      <c r="J120" s="147">
        <v>0</v>
      </c>
      <c r="K120" s="147">
        <v>252.179</v>
      </c>
      <c r="L120" s="147">
        <v>255.59100000000001</v>
      </c>
      <c r="M120" s="147">
        <v>152.90700000000001</v>
      </c>
      <c r="N120" s="147">
        <v>102.68400000000001</v>
      </c>
      <c r="O120" s="147">
        <v>255.59100000000001</v>
      </c>
      <c r="P120" s="147">
        <v>152.90700000000001</v>
      </c>
      <c r="Q120" s="147">
        <v>102.68400000000001</v>
      </c>
    </row>
    <row r="121" spans="1:22" s="669" customFormat="1" ht="14.25" customHeight="1">
      <c r="A121" s="637">
        <v>19</v>
      </c>
      <c r="B121" s="638" t="s">
        <v>191</v>
      </c>
      <c r="C121" s="637" t="s">
        <v>138</v>
      </c>
      <c r="D121" s="639">
        <f t="shared" ref="D121:N121" si="33">D122+D124+D125+D129</f>
        <v>1</v>
      </c>
      <c r="E121" s="639">
        <f t="shared" si="33"/>
        <v>1.0000000000000002</v>
      </c>
      <c r="F121" s="639">
        <v>1.0000000000000002</v>
      </c>
      <c r="G121" s="639">
        <v>1</v>
      </c>
      <c r="H121" s="639">
        <v>1</v>
      </c>
      <c r="I121" s="639">
        <v>1</v>
      </c>
      <c r="J121" s="639" t="e">
        <v>#DIV/0!</v>
      </c>
      <c r="K121" s="639">
        <v>1</v>
      </c>
      <c r="L121" s="639">
        <v>1</v>
      </c>
      <c r="M121" s="639">
        <v>1</v>
      </c>
      <c r="N121" s="639">
        <v>1</v>
      </c>
      <c r="O121" s="639">
        <v>1</v>
      </c>
      <c r="P121" s="639">
        <v>1</v>
      </c>
      <c r="Q121" s="639">
        <v>1</v>
      </c>
    </row>
    <row r="122" spans="1:22" s="148" customFormat="1">
      <c r="A122" s="152" t="s">
        <v>192</v>
      </c>
      <c r="B122" s="632" t="s">
        <v>1205</v>
      </c>
      <c r="C122" s="146" t="s">
        <v>138</v>
      </c>
      <c r="D122" s="640">
        <f t="shared" ref="D122:N122" si="34">D105/D104</f>
        <v>1.8464774988277338E-2</v>
      </c>
      <c r="E122" s="640">
        <f t="shared" si="34"/>
        <v>1.4953922972427217E-2</v>
      </c>
      <c r="F122" s="640">
        <v>1.4592426286761023E-2</v>
      </c>
      <c r="G122" s="640">
        <v>1.3407181716130855E-2</v>
      </c>
      <c r="H122" s="640">
        <v>1.2031335917466718E-2</v>
      </c>
      <c r="I122" s="640">
        <v>1.1439112306335901E-2</v>
      </c>
      <c r="J122" s="640" t="e">
        <v>#DIV/0!</v>
      </c>
      <c r="K122" s="640">
        <v>1.1854327289950794E-2</v>
      </c>
      <c r="L122" s="641">
        <v>1.290332152043335E-2</v>
      </c>
      <c r="M122" s="640">
        <v>1.4902720703568319E-2</v>
      </c>
      <c r="N122" s="640">
        <v>1.0485126608211097E-2</v>
      </c>
      <c r="O122" s="641">
        <v>1.290332152043335E-2</v>
      </c>
      <c r="P122" s="640">
        <v>1.4902720703568319E-2</v>
      </c>
      <c r="Q122" s="640">
        <v>1.0485126608211097E-2</v>
      </c>
    </row>
    <row r="123" spans="1:22" s="148" customFormat="1" hidden="1">
      <c r="A123" s="152"/>
      <c r="B123" s="144"/>
      <c r="C123" s="146"/>
      <c r="D123" s="640"/>
      <c r="E123" s="640"/>
      <c r="F123" s="640"/>
      <c r="G123" s="640"/>
      <c r="H123" s="640"/>
      <c r="I123" s="640"/>
      <c r="J123" s="640"/>
      <c r="K123" s="640"/>
      <c r="L123" s="641"/>
      <c r="M123" s="640"/>
      <c r="N123" s="640"/>
      <c r="O123" s="641"/>
      <c r="P123" s="640"/>
      <c r="Q123" s="640"/>
    </row>
    <row r="124" spans="1:22" s="148" customFormat="1">
      <c r="A124" s="152" t="s">
        <v>193</v>
      </c>
      <c r="B124" s="634" t="s">
        <v>810</v>
      </c>
      <c r="C124" s="155" t="s">
        <v>138</v>
      </c>
      <c r="D124" s="640">
        <f t="shared" ref="D124:N124" si="35">D107/D104</f>
        <v>0.16279924468044657</v>
      </c>
      <c r="E124" s="640">
        <f t="shared" si="35"/>
        <v>0.17505599001358449</v>
      </c>
      <c r="F124" s="640">
        <v>0.16532559829129864</v>
      </c>
      <c r="G124" s="640">
        <v>0.14873514925641318</v>
      </c>
      <c r="H124" s="640">
        <v>0.18946414466228292</v>
      </c>
      <c r="I124" s="640">
        <v>0.14160478101260968</v>
      </c>
      <c r="J124" s="640" t="e">
        <v>#DIV/0!</v>
      </c>
      <c r="K124" s="640">
        <v>0.18415651395942428</v>
      </c>
      <c r="L124" s="641">
        <v>0.18475227217514989</v>
      </c>
      <c r="M124" s="640">
        <v>0.20626666350476486</v>
      </c>
      <c r="N124" s="640">
        <v>0.15873145947717776</v>
      </c>
      <c r="O124" s="641">
        <v>0.18475227217514989</v>
      </c>
      <c r="P124" s="640">
        <v>0.20626666350476486</v>
      </c>
      <c r="Q124" s="640">
        <v>0.15873145947717776</v>
      </c>
    </row>
    <row r="125" spans="1:22" s="148" customFormat="1">
      <c r="A125" s="152" t="s">
        <v>194</v>
      </c>
      <c r="B125" s="144" t="s">
        <v>1217</v>
      </c>
      <c r="C125" s="146" t="s">
        <v>818</v>
      </c>
      <c r="D125" s="640">
        <f t="shared" ref="D125:N125" si="36">D111/D104</f>
        <v>0.81846079199926136</v>
      </c>
      <c r="E125" s="640">
        <f t="shared" si="36"/>
        <v>0.80979182729375498</v>
      </c>
      <c r="F125" s="640">
        <v>0.81980884540659049</v>
      </c>
      <c r="G125" s="640">
        <v>0.83768823926742908</v>
      </c>
      <c r="H125" s="640">
        <v>0.79823027816122849</v>
      </c>
      <c r="I125" s="640">
        <v>0.84674430773757769</v>
      </c>
      <c r="J125" s="640" t="e">
        <v>#DIV/0!</v>
      </c>
      <c r="K125" s="640">
        <v>0.80370722612124601</v>
      </c>
      <c r="L125" s="641">
        <v>0.80206067416980531</v>
      </c>
      <c r="M125" s="640">
        <v>0.77856975889369573</v>
      </c>
      <c r="N125" s="640">
        <v>0.83047201507825941</v>
      </c>
      <c r="O125" s="641">
        <v>0.80206067416980531</v>
      </c>
      <c r="P125" s="640">
        <v>0.77856975889369573</v>
      </c>
      <c r="Q125" s="640">
        <v>0.83047201507825941</v>
      </c>
    </row>
    <row r="126" spans="1:22" s="148" customFormat="1">
      <c r="A126" s="152" t="s">
        <v>195</v>
      </c>
      <c r="B126" s="144" t="s">
        <v>819</v>
      </c>
      <c r="C126" s="146" t="s">
        <v>818</v>
      </c>
      <c r="D126" s="640"/>
      <c r="E126" s="640"/>
      <c r="F126" s="640"/>
      <c r="G126" s="640"/>
      <c r="H126" s="640"/>
      <c r="I126" s="640"/>
      <c r="J126" s="640"/>
      <c r="K126" s="640"/>
      <c r="L126" s="641"/>
      <c r="M126" s="640"/>
      <c r="N126" s="640"/>
      <c r="O126" s="641"/>
      <c r="P126" s="640"/>
      <c r="Q126" s="640"/>
    </row>
    <row r="127" spans="1:22" s="148" customFormat="1">
      <c r="A127" s="152" t="s">
        <v>196</v>
      </c>
      <c r="B127" s="144" t="s">
        <v>820</v>
      </c>
      <c r="C127" s="146" t="s">
        <v>818</v>
      </c>
      <c r="D127" s="640"/>
      <c r="E127" s="640"/>
      <c r="F127" s="640"/>
      <c r="G127" s="640"/>
      <c r="H127" s="640"/>
      <c r="I127" s="640"/>
      <c r="J127" s="640"/>
      <c r="K127" s="640"/>
      <c r="L127" s="641"/>
      <c r="M127" s="640"/>
      <c r="N127" s="640"/>
      <c r="O127" s="641"/>
      <c r="P127" s="640"/>
      <c r="Q127" s="640"/>
    </row>
    <row r="128" spans="1:22" s="136" customFormat="1">
      <c r="A128" s="152" t="s">
        <v>197</v>
      </c>
      <c r="B128" s="144" t="s">
        <v>821</v>
      </c>
      <c r="C128" s="146" t="s">
        <v>818</v>
      </c>
      <c r="D128" s="642"/>
      <c r="E128" s="642"/>
      <c r="F128" s="642"/>
      <c r="G128" s="642"/>
      <c r="H128" s="642"/>
      <c r="I128" s="642"/>
      <c r="J128" s="642"/>
      <c r="K128" s="642"/>
      <c r="L128" s="627"/>
      <c r="M128" s="642"/>
      <c r="N128" s="642"/>
      <c r="O128" s="627"/>
      <c r="P128" s="642"/>
      <c r="Q128" s="642"/>
    </row>
    <row r="129" spans="1:22" s="136" customFormat="1" ht="14.25" customHeight="1">
      <c r="A129" s="152" t="s">
        <v>198</v>
      </c>
      <c r="B129" s="636" t="s">
        <v>1218</v>
      </c>
      <c r="C129" s="141" t="s">
        <v>138</v>
      </c>
      <c r="D129" s="150">
        <f t="shared" ref="D129:N129" si="37">D118/D104</f>
        <v>2.7518833201472257E-4</v>
      </c>
      <c r="E129" s="150">
        <f t="shared" si="37"/>
        <v>1.9825972023350592E-4</v>
      </c>
      <c r="F129" s="150">
        <v>2.7313001534990685E-4</v>
      </c>
      <c r="G129" s="150">
        <v>1.6942976002687257E-4</v>
      </c>
      <c r="H129" s="150">
        <v>2.7424125902181516E-4</v>
      </c>
      <c r="I129" s="150">
        <v>2.1179894347664189E-4</v>
      </c>
      <c r="J129" s="150" t="e">
        <v>#DIV/0!</v>
      </c>
      <c r="K129" s="150">
        <v>2.8193262937888357E-4</v>
      </c>
      <c r="L129" s="150">
        <v>2.8373213461142604E-4</v>
      </c>
      <c r="M129" s="150">
        <v>2.6085689797107538E-4</v>
      </c>
      <c r="N129" s="150">
        <v>3.1139883635171683E-4</v>
      </c>
      <c r="O129" s="150">
        <v>2.8373213461142604E-4</v>
      </c>
      <c r="P129" s="150">
        <v>2.6085689797107538E-4</v>
      </c>
      <c r="Q129" s="150">
        <v>3.1139883635171683E-4</v>
      </c>
    </row>
    <row r="130" spans="1:22" s="136" customFormat="1" ht="16.5" customHeight="1">
      <c r="A130" s="637">
        <v>20</v>
      </c>
      <c r="B130" s="638" t="s">
        <v>200</v>
      </c>
      <c r="C130" s="643"/>
      <c r="D130" s="644"/>
      <c r="E130" s="644"/>
      <c r="F130" s="644"/>
      <c r="G130" s="644"/>
      <c r="H130" s="644"/>
      <c r="I130" s="644"/>
      <c r="J130" s="644"/>
      <c r="K130" s="644"/>
      <c r="L130" s="644"/>
      <c r="M130" s="644"/>
      <c r="N130" s="644"/>
      <c r="O130" s="644"/>
      <c r="P130" s="644"/>
      <c r="Q130" s="644"/>
    </row>
    <row r="131" spans="1:22" s="136" customFormat="1">
      <c r="A131" s="152" t="s">
        <v>201</v>
      </c>
      <c r="B131" s="634" t="s">
        <v>1205</v>
      </c>
      <c r="C131" s="133"/>
      <c r="D131" s="134">
        <v>0.68</v>
      </c>
      <c r="E131" s="140">
        <f>E105/E140</f>
        <v>0.73453561767357989</v>
      </c>
      <c r="F131" s="134">
        <v>0.68</v>
      </c>
      <c r="G131" s="140">
        <v>0.74</v>
      </c>
      <c r="H131" s="140">
        <v>0.71</v>
      </c>
      <c r="I131" s="140">
        <v>0.72</v>
      </c>
      <c r="J131" s="140">
        <v>0.68</v>
      </c>
      <c r="K131" s="140">
        <v>0.71</v>
      </c>
      <c r="L131" s="140">
        <v>0.68</v>
      </c>
      <c r="M131" s="140">
        <v>0.68</v>
      </c>
      <c r="N131" s="140">
        <v>0.68</v>
      </c>
      <c r="O131" s="140">
        <v>0.68</v>
      </c>
      <c r="P131" s="140">
        <v>0.68</v>
      </c>
      <c r="Q131" s="140">
        <v>0.68</v>
      </c>
    </row>
    <row r="132" spans="1:22" s="136" customFormat="1" hidden="1">
      <c r="A132" s="152"/>
      <c r="B132" s="634"/>
      <c r="C132" s="133"/>
      <c r="D132" s="134"/>
      <c r="E132" s="140" t="e">
        <f t="shared" ref="E132:E133" si="38">E106/E141</f>
        <v>#DIV/0!</v>
      </c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</row>
    <row r="133" spans="1:22" s="136" customFormat="1">
      <c r="A133" s="152" t="s">
        <v>202</v>
      </c>
      <c r="B133" s="634" t="s">
        <v>810</v>
      </c>
      <c r="C133" s="133"/>
      <c r="D133" s="134">
        <v>1.37</v>
      </c>
      <c r="E133" s="140">
        <f t="shared" si="38"/>
        <v>1.4659492697924674</v>
      </c>
      <c r="F133" s="134">
        <v>1.37</v>
      </c>
      <c r="G133" s="140">
        <v>1.37</v>
      </c>
      <c r="H133" s="140">
        <v>1.37</v>
      </c>
      <c r="I133" s="140">
        <v>1.41</v>
      </c>
      <c r="J133" s="140">
        <v>0</v>
      </c>
      <c r="K133" s="140">
        <v>1.37</v>
      </c>
      <c r="L133" s="140">
        <v>1.37</v>
      </c>
      <c r="M133" s="140">
        <v>1.37</v>
      </c>
      <c r="N133" s="140">
        <v>1.37</v>
      </c>
      <c r="O133" s="140">
        <v>1.37</v>
      </c>
      <c r="P133" s="140">
        <v>1.37</v>
      </c>
      <c r="Q133" s="140">
        <v>1.37</v>
      </c>
    </row>
    <row r="134" spans="1:22" s="667" customFormat="1">
      <c r="A134" s="152" t="s">
        <v>203</v>
      </c>
      <c r="B134" s="634" t="s">
        <v>811</v>
      </c>
      <c r="C134" s="645"/>
      <c r="D134" s="144">
        <v>1.129</v>
      </c>
      <c r="E134" s="140">
        <f>E111/E146</f>
        <v>3.3034237958303376</v>
      </c>
      <c r="F134" s="144">
        <v>1.129</v>
      </c>
      <c r="G134" s="917">
        <v>1.21</v>
      </c>
      <c r="H134" s="147">
        <v>1.1285714285714286</v>
      </c>
      <c r="I134" s="917">
        <v>1.204541831922215</v>
      </c>
      <c r="J134" s="917">
        <v>0</v>
      </c>
      <c r="K134" s="917">
        <v>1.129</v>
      </c>
      <c r="L134" s="917">
        <v>1.129</v>
      </c>
      <c r="M134" s="917">
        <v>1.129</v>
      </c>
      <c r="N134" s="917">
        <v>1.129</v>
      </c>
      <c r="O134" s="917">
        <v>1.129</v>
      </c>
      <c r="P134" s="917">
        <v>1.129</v>
      </c>
      <c r="Q134" s="917">
        <v>1.129</v>
      </c>
    </row>
    <row r="135" spans="1:22" s="136" customFormat="1">
      <c r="A135" s="152" t="s">
        <v>204</v>
      </c>
      <c r="B135" s="154" t="s">
        <v>812</v>
      </c>
      <c r="C135" s="133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</row>
    <row r="136" spans="1:22" s="136" customFormat="1">
      <c r="A136" s="152" t="s">
        <v>205</v>
      </c>
      <c r="B136" s="154" t="s">
        <v>813</v>
      </c>
      <c r="C136" s="145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</row>
    <row r="137" spans="1:22" s="136" customFormat="1">
      <c r="A137" s="152" t="s">
        <v>206</v>
      </c>
      <c r="B137" s="154" t="s">
        <v>814</v>
      </c>
      <c r="C137" s="145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</row>
    <row r="138" spans="1:22" s="136" customFormat="1" ht="14.25" customHeight="1">
      <c r="A138" s="152" t="s">
        <v>207</v>
      </c>
      <c r="B138" s="636" t="s">
        <v>1206</v>
      </c>
      <c r="C138" s="153"/>
      <c r="D138" s="134">
        <v>1.45</v>
      </c>
      <c r="E138" s="134">
        <v>1.45</v>
      </c>
      <c r="F138" s="134">
        <v>1.45</v>
      </c>
      <c r="G138" s="917">
        <v>1.45</v>
      </c>
      <c r="H138" s="917">
        <v>1.45</v>
      </c>
      <c r="I138" s="917">
        <v>1.45</v>
      </c>
      <c r="J138" s="917">
        <v>0</v>
      </c>
      <c r="K138" s="917">
        <v>1.45</v>
      </c>
      <c r="L138" s="917">
        <v>1.45</v>
      </c>
      <c r="M138" s="917">
        <v>1.45</v>
      </c>
      <c r="N138" s="917">
        <v>1.45</v>
      </c>
      <c r="O138" s="917">
        <v>1.45</v>
      </c>
      <c r="P138" s="917">
        <v>1.45</v>
      </c>
      <c r="Q138" s="917">
        <v>1.45</v>
      </c>
    </row>
    <row r="139" spans="1:22" s="136" customFormat="1" ht="16.5" customHeight="1">
      <c r="A139" s="637">
        <v>21</v>
      </c>
      <c r="B139" s="646" t="s">
        <v>209</v>
      </c>
      <c r="C139" s="647"/>
      <c r="D139" s="648"/>
      <c r="E139" s="648"/>
      <c r="F139" s="648"/>
      <c r="G139" s="648"/>
      <c r="H139" s="648"/>
      <c r="I139" s="648"/>
      <c r="J139" s="648"/>
      <c r="K139" s="648"/>
      <c r="L139" s="648"/>
      <c r="M139" s="648"/>
      <c r="N139" s="648"/>
      <c r="O139" s="648"/>
      <c r="P139" s="648"/>
      <c r="Q139" s="648"/>
      <c r="R139" s="670"/>
      <c r="V139" s="136" t="s">
        <v>815</v>
      </c>
    </row>
    <row r="140" spans="1:22" s="667" customFormat="1">
      <c r="A140" s="635" t="s">
        <v>210</v>
      </c>
      <c r="B140" s="634" t="s">
        <v>1207</v>
      </c>
      <c r="C140" s="649" t="s">
        <v>822</v>
      </c>
      <c r="D140" s="147">
        <f>ROUND(D105/D131,3)</f>
        <v>14.999000000000001</v>
      </c>
      <c r="E140" s="147">
        <v>11.09</v>
      </c>
      <c r="F140" s="147">
        <v>11.785</v>
      </c>
      <c r="G140" s="147">
        <v>9.7309999999999999</v>
      </c>
      <c r="H140" s="147">
        <v>9.4450000000000003</v>
      </c>
      <c r="I140" s="147">
        <v>8.7394639999999999</v>
      </c>
      <c r="J140" s="147">
        <v>10.140845070422536</v>
      </c>
      <c r="K140" s="147">
        <v>8.8849999999999998</v>
      </c>
      <c r="L140" s="147">
        <v>10.231999999999999</v>
      </c>
      <c r="M140" s="147">
        <v>6.4690000000000003</v>
      </c>
      <c r="N140" s="147">
        <v>3.7629999999999999</v>
      </c>
      <c r="O140" s="147">
        <v>10.231999999999999</v>
      </c>
      <c r="P140" s="147">
        <v>6.4690000000000003</v>
      </c>
      <c r="Q140" s="147">
        <v>3.7629999999999999</v>
      </c>
      <c r="R140" s="671">
        <f>SUM(D140:N140)</f>
        <v>105.27930907042254</v>
      </c>
    </row>
    <row r="141" spans="1:22" s="136" customFormat="1" hidden="1">
      <c r="A141" s="152"/>
      <c r="B141" s="144"/>
      <c r="C141" s="141"/>
      <c r="D141" s="144"/>
      <c r="E141" s="144"/>
      <c r="F141" s="144"/>
      <c r="G141" s="144"/>
      <c r="H141" s="144"/>
      <c r="I141" s="144"/>
      <c r="J141" s="144"/>
      <c r="K141" s="144"/>
      <c r="L141" s="147"/>
      <c r="M141" s="144"/>
      <c r="N141" s="144"/>
      <c r="O141" s="147"/>
      <c r="P141" s="144"/>
      <c r="Q141" s="144"/>
      <c r="R141" s="671"/>
    </row>
    <row r="142" spans="1:22" s="667" customFormat="1">
      <c r="A142" s="635" t="s">
        <v>212</v>
      </c>
      <c r="B142" s="634" t="s">
        <v>810</v>
      </c>
      <c r="C142" s="649" t="s">
        <v>822</v>
      </c>
      <c r="D142" s="147">
        <f>D143+D144+D145</f>
        <v>65.637</v>
      </c>
      <c r="E142" s="147">
        <f>E143+E144+E145</f>
        <v>65.05</v>
      </c>
      <c r="F142" s="147">
        <v>66.272999999999996</v>
      </c>
      <c r="G142" s="147">
        <v>56.936</v>
      </c>
      <c r="H142" s="147">
        <v>77.083000000000013</v>
      </c>
      <c r="I142" s="147">
        <v>54.201110999999997</v>
      </c>
      <c r="J142" s="147">
        <v>60.235599416058477</v>
      </c>
      <c r="K142" s="147">
        <v>70.701000000000008</v>
      </c>
      <c r="L142" s="147">
        <v>72.718999999999994</v>
      </c>
      <c r="M142" s="147">
        <v>44.442</v>
      </c>
      <c r="N142" s="147">
        <v>28.277000000000001</v>
      </c>
      <c r="O142" s="147">
        <v>72.718999999999994</v>
      </c>
      <c r="P142" s="147">
        <v>44.442</v>
      </c>
      <c r="Q142" s="147">
        <v>28.277000000000001</v>
      </c>
      <c r="R142" s="671">
        <f>SUM(D142:N142)</f>
        <v>661.55471041605847</v>
      </c>
    </row>
    <row r="143" spans="1:22" s="667" customFormat="1">
      <c r="A143" s="635"/>
      <c r="B143" s="623" t="s">
        <v>1224</v>
      </c>
      <c r="C143" s="149" t="s">
        <v>822</v>
      </c>
      <c r="D143" s="147">
        <f>ROUND(D108/D133,3)</f>
        <v>4.6980000000000004</v>
      </c>
      <c r="E143" s="147">
        <v>0.497</v>
      </c>
      <c r="F143" s="147">
        <v>4.74</v>
      </c>
      <c r="G143" s="147">
        <v>0.23100000000000001</v>
      </c>
      <c r="H143" s="147">
        <v>4.6350000000000007</v>
      </c>
      <c r="I143" s="147">
        <v>0.65900000000000003</v>
      </c>
      <c r="J143" s="147">
        <v>0</v>
      </c>
      <c r="K143" s="147">
        <v>14.744999999999999</v>
      </c>
      <c r="L143" s="147">
        <v>14.795999999999999</v>
      </c>
      <c r="M143" s="147">
        <v>9.8699999999999992</v>
      </c>
      <c r="N143" s="147">
        <v>4.9260000000000002</v>
      </c>
      <c r="O143" s="147">
        <v>14.795999999999999</v>
      </c>
      <c r="P143" s="147">
        <v>9.8699999999999992</v>
      </c>
      <c r="Q143" s="147">
        <v>4.9260000000000002</v>
      </c>
      <c r="R143" s="671"/>
    </row>
    <row r="144" spans="1:22" s="667" customFormat="1">
      <c r="A144" s="635"/>
      <c r="B144" s="623" t="s">
        <v>1234</v>
      </c>
      <c r="C144" s="149" t="s">
        <v>822</v>
      </c>
      <c r="D144" s="147">
        <f>ROUND(D109/D133,3)</f>
        <v>0</v>
      </c>
      <c r="E144" s="147">
        <v>0.505</v>
      </c>
      <c r="F144" s="147">
        <v>0</v>
      </c>
      <c r="G144" s="147">
        <v>0.83399999999999996</v>
      </c>
      <c r="H144" s="147">
        <v>0</v>
      </c>
      <c r="I144" s="147">
        <v>0.62</v>
      </c>
      <c r="J144" s="147">
        <v>0</v>
      </c>
      <c r="K144" s="147">
        <v>0</v>
      </c>
      <c r="L144" s="147">
        <v>0</v>
      </c>
      <c r="M144" s="147">
        <v>0</v>
      </c>
      <c r="N144" s="147">
        <v>0</v>
      </c>
      <c r="O144" s="147">
        <v>0</v>
      </c>
      <c r="P144" s="147">
        <v>0</v>
      </c>
      <c r="Q144" s="147">
        <v>0</v>
      </c>
      <c r="R144" s="671"/>
    </row>
    <row r="145" spans="1:18" s="667" customFormat="1">
      <c r="A145" s="635"/>
      <c r="B145" s="623" t="s">
        <v>1242</v>
      </c>
      <c r="C145" s="149" t="s">
        <v>822</v>
      </c>
      <c r="D145" s="147">
        <f>ROUND(D110/D133,3)</f>
        <v>60.939</v>
      </c>
      <c r="E145" s="147">
        <v>64.048000000000002</v>
      </c>
      <c r="F145" s="147">
        <v>61.533999999999999</v>
      </c>
      <c r="G145" s="147">
        <v>55.871000000000002</v>
      </c>
      <c r="H145" s="147">
        <v>72.448000000000008</v>
      </c>
      <c r="I145" s="147">
        <v>52.922111000000001</v>
      </c>
      <c r="J145" s="147">
        <v>60.235599416058477</v>
      </c>
      <c r="K145" s="147">
        <v>55.956000000000003</v>
      </c>
      <c r="L145" s="147">
        <v>57.923000000000002</v>
      </c>
      <c r="M145" s="147">
        <v>34.572000000000003</v>
      </c>
      <c r="N145" s="147">
        <v>23.350999999999999</v>
      </c>
      <c r="O145" s="147">
        <v>57.923000000000002</v>
      </c>
      <c r="P145" s="147">
        <v>34.572000000000003</v>
      </c>
      <c r="Q145" s="147">
        <v>23.350999999999999</v>
      </c>
      <c r="R145" s="671"/>
    </row>
    <row r="146" spans="1:18" s="667" customFormat="1">
      <c r="A146" s="635" t="s">
        <v>213</v>
      </c>
      <c r="B146" s="634" t="s">
        <v>811</v>
      </c>
      <c r="C146" s="153" t="s">
        <v>823</v>
      </c>
      <c r="D146" s="147">
        <f>D147+D148+D149</f>
        <v>400.42099999999999</v>
      </c>
      <c r="E146" s="147">
        <f t="shared" ref="E146" si="39">E147+E148+E149</f>
        <v>133.536</v>
      </c>
      <c r="F146" s="147">
        <v>398.84399999999999</v>
      </c>
      <c r="G146" s="147">
        <v>372.84252300000003</v>
      </c>
      <c r="H146" s="147">
        <v>394.23099999999999</v>
      </c>
      <c r="I146" s="147">
        <v>378.44128300000006</v>
      </c>
      <c r="J146" s="147">
        <v>377.08530804711131</v>
      </c>
      <c r="K146" s="147">
        <v>378.91699999999997</v>
      </c>
      <c r="L146" s="147">
        <v>383.08599999999996</v>
      </c>
      <c r="M146" s="147">
        <v>203.56</v>
      </c>
      <c r="N146" s="147">
        <v>179.52599999999998</v>
      </c>
      <c r="O146" s="147">
        <v>383.08599999999996</v>
      </c>
      <c r="P146" s="147">
        <v>203.56</v>
      </c>
      <c r="Q146" s="147">
        <v>179.52599999999998</v>
      </c>
      <c r="R146" s="671">
        <f>SUM(D146:N146)</f>
        <v>3600.4901140471106</v>
      </c>
    </row>
    <row r="147" spans="1:18" s="667" customFormat="1">
      <c r="A147" s="635"/>
      <c r="B147" s="623" t="s">
        <v>1224</v>
      </c>
      <c r="C147" s="133" t="s">
        <v>823</v>
      </c>
      <c r="D147" s="147">
        <f>ROUND(D112/D134,3)</f>
        <v>107.813</v>
      </c>
      <c r="E147" s="147">
        <v>38.945</v>
      </c>
      <c r="F147" s="147">
        <v>107.738</v>
      </c>
      <c r="G147" s="147">
        <v>105.13112</v>
      </c>
      <c r="H147" s="147">
        <v>106.79400000000001</v>
      </c>
      <c r="I147" s="147">
        <v>106.65266699999999</v>
      </c>
      <c r="J147" s="147">
        <v>91.884453155000074</v>
      </c>
      <c r="K147" s="147">
        <v>101.72199999999999</v>
      </c>
      <c r="L147" s="147">
        <v>96.063999999999993</v>
      </c>
      <c r="M147" s="147">
        <v>44.607999999999997</v>
      </c>
      <c r="N147" s="147">
        <v>51.456000000000003</v>
      </c>
      <c r="O147" s="147">
        <v>96.063999999999993</v>
      </c>
      <c r="P147" s="147">
        <v>44.607999999999997</v>
      </c>
      <c r="Q147" s="147">
        <v>51.456000000000003</v>
      </c>
      <c r="R147" s="671"/>
    </row>
    <row r="148" spans="1:18" s="667" customFormat="1">
      <c r="A148" s="635"/>
      <c r="B148" s="623" t="s">
        <v>1234</v>
      </c>
      <c r="C148" s="133" t="s">
        <v>823</v>
      </c>
      <c r="D148" s="147">
        <f>ROUND(D113/D134,3)</f>
        <v>282.54000000000002</v>
      </c>
      <c r="E148" s="147">
        <f>90.171</f>
        <v>90.171000000000006</v>
      </c>
      <c r="F148" s="147">
        <v>277.74700000000001</v>
      </c>
      <c r="G148" s="147">
        <v>254.88889</v>
      </c>
      <c r="H148" s="147">
        <v>276.03399999999999</v>
      </c>
      <c r="I148" s="147">
        <v>259.66621300000003</v>
      </c>
      <c r="J148" s="147">
        <v>271.38331724817857</v>
      </c>
      <c r="K148" s="147">
        <v>263.37700000000001</v>
      </c>
      <c r="L148" s="147">
        <v>273.452</v>
      </c>
      <c r="M148" s="147">
        <v>150.92699999999999</v>
      </c>
      <c r="N148" s="147">
        <v>122.52500000000001</v>
      </c>
      <c r="O148" s="147">
        <v>273.452</v>
      </c>
      <c r="P148" s="147">
        <v>150.92699999999999</v>
      </c>
      <c r="Q148" s="147">
        <v>122.52500000000001</v>
      </c>
      <c r="R148" s="671"/>
    </row>
    <row r="149" spans="1:18" s="667" customFormat="1">
      <c r="A149" s="635"/>
      <c r="B149" s="623" t="s">
        <v>1242</v>
      </c>
      <c r="C149" s="133" t="s">
        <v>823</v>
      </c>
      <c r="D149" s="147">
        <f>ROUND(D114/D134,3)</f>
        <v>10.068</v>
      </c>
      <c r="E149" s="147">
        <v>4.42</v>
      </c>
      <c r="F149" s="147">
        <v>13.359</v>
      </c>
      <c r="G149" s="147">
        <v>12.822513000000001</v>
      </c>
      <c r="H149" s="147">
        <v>11.403</v>
      </c>
      <c r="I149" s="147">
        <v>12.122403</v>
      </c>
      <c r="J149" s="147">
        <v>13.817537643932685</v>
      </c>
      <c r="K149" s="147">
        <v>13.818</v>
      </c>
      <c r="L149" s="147">
        <v>13.57</v>
      </c>
      <c r="M149" s="147">
        <v>8.0250000000000004</v>
      </c>
      <c r="N149" s="147">
        <v>5.5449999999999999</v>
      </c>
      <c r="O149" s="147">
        <v>13.57</v>
      </c>
      <c r="P149" s="147">
        <v>8.0250000000000004</v>
      </c>
      <c r="Q149" s="147">
        <v>5.5449999999999999</v>
      </c>
      <c r="R149" s="671"/>
    </row>
    <row r="150" spans="1:18" s="136" customFormat="1">
      <c r="A150" s="152" t="s">
        <v>215</v>
      </c>
      <c r="B150" s="154" t="s">
        <v>812</v>
      </c>
      <c r="C150" s="133" t="s">
        <v>823</v>
      </c>
      <c r="D150" s="144"/>
      <c r="E150" s="144"/>
      <c r="F150" s="144"/>
      <c r="G150" s="144"/>
      <c r="H150" s="144"/>
      <c r="I150" s="144"/>
      <c r="J150" s="144"/>
      <c r="K150" s="144"/>
      <c r="L150" s="147"/>
      <c r="M150" s="144"/>
      <c r="N150" s="144"/>
      <c r="O150" s="147"/>
      <c r="P150" s="144"/>
      <c r="Q150" s="144"/>
      <c r="R150" s="671"/>
    </row>
    <row r="151" spans="1:18" s="136" customFormat="1">
      <c r="A151" s="152" t="s">
        <v>216</v>
      </c>
      <c r="B151" s="154" t="s">
        <v>813</v>
      </c>
      <c r="C151" s="133" t="s">
        <v>823</v>
      </c>
      <c r="D151" s="144"/>
      <c r="E151" s="144"/>
      <c r="F151" s="144"/>
      <c r="G151" s="144"/>
      <c r="H151" s="144"/>
      <c r="I151" s="144"/>
      <c r="J151" s="144"/>
      <c r="K151" s="144"/>
      <c r="L151" s="147"/>
      <c r="M151" s="144"/>
      <c r="N151" s="144"/>
      <c r="O151" s="147"/>
      <c r="P151" s="144"/>
      <c r="Q151" s="144"/>
      <c r="R151" s="671"/>
    </row>
    <row r="152" spans="1:18" s="136" customFormat="1">
      <c r="A152" s="152" t="s">
        <v>217</v>
      </c>
      <c r="B152" s="154" t="s">
        <v>814</v>
      </c>
      <c r="C152" s="133" t="s">
        <v>823</v>
      </c>
      <c r="D152" s="144"/>
      <c r="E152" s="144"/>
      <c r="F152" s="144"/>
      <c r="G152" s="144"/>
      <c r="H152" s="144"/>
      <c r="I152" s="144"/>
      <c r="J152" s="144"/>
      <c r="K152" s="144"/>
      <c r="L152" s="147"/>
      <c r="M152" s="144"/>
      <c r="N152" s="144"/>
      <c r="O152" s="147"/>
      <c r="P152" s="144"/>
      <c r="Q152" s="144"/>
      <c r="R152" s="671"/>
    </row>
    <row r="153" spans="1:18" s="667" customFormat="1">
      <c r="A153" s="635" t="s">
        <v>218</v>
      </c>
      <c r="B153" s="636" t="s">
        <v>1206</v>
      </c>
      <c r="C153" s="649" t="s">
        <v>822</v>
      </c>
      <c r="D153" s="147">
        <f>ROUND(D118/D138,3)</f>
        <v>0.105</v>
      </c>
      <c r="E153" s="147">
        <v>4.42</v>
      </c>
      <c r="F153" s="147">
        <v>0.16</v>
      </c>
      <c r="G153" s="147">
        <v>6.3E-2</v>
      </c>
      <c r="H153" s="147">
        <v>0.106</v>
      </c>
      <c r="I153" s="147">
        <v>7.9000000000000001E-2</v>
      </c>
      <c r="J153" s="147" t="e">
        <v>#DIV/0!</v>
      </c>
      <c r="K153" s="147">
        <v>0.10299999999999999</v>
      </c>
      <c r="L153" s="147">
        <v>0.105</v>
      </c>
      <c r="M153" s="147">
        <v>5.2999999999999999E-2</v>
      </c>
      <c r="N153" s="147">
        <v>5.1999999999999998E-2</v>
      </c>
      <c r="O153" s="147">
        <v>0.105</v>
      </c>
      <c r="P153" s="147">
        <v>5.2999999999999999E-2</v>
      </c>
      <c r="Q153" s="147">
        <v>5.1999999999999998E-2</v>
      </c>
      <c r="R153" s="671" t="e">
        <f>SUM(D153:N153)</f>
        <v>#DIV/0!</v>
      </c>
    </row>
    <row r="154" spans="1:18" s="136" customFormat="1" ht="15.75" customHeight="1" outlineLevel="1">
      <c r="A154" s="637">
        <v>22</v>
      </c>
      <c r="B154" s="646" t="s">
        <v>220</v>
      </c>
      <c r="C154" s="637"/>
      <c r="D154" s="644"/>
      <c r="E154" s="644"/>
      <c r="F154" s="644"/>
      <c r="G154" s="644"/>
      <c r="H154" s="644"/>
      <c r="I154" s="644"/>
      <c r="J154" s="644"/>
      <c r="K154" s="644"/>
      <c r="L154" s="644"/>
      <c r="M154" s="644"/>
      <c r="N154" s="644"/>
      <c r="O154" s="644"/>
      <c r="P154" s="644"/>
      <c r="Q154" s="644"/>
    </row>
    <row r="155" spans="1:18" s="136" customFormat="1" outlineLevel="1">
      <c r="A155" s="152" t="s">
        <v>221</v>
      </c>
      <c r="B155" s="144" t="s">
        <v>1205</v>
      </c>
      <c r="C155" s="141" t="s">
        <v>138</v>
      </c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</row>
    <row r="156" spans="1:18" s="136" customFormat="1" hidden="1" outlineLevel="1">
      <c r="A156" s="133"/>
      <c r="B156" s="144"/>
      <c r="C156" s="141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</row>
    <row r="157" spans="1:18" s="136" customFormat="1" outlineLevel="1">
      <c r="A157" s="152" t="s">
        <v>222</v>
      </c>
      <c r="B157" s="144" t="s">
        <v>810</v>
      </c>
      <c r="C157" s="141" t="s">
        <v>138</v>
      </c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</row>
    <row r="158" spans="1:18" s="136" customFormat="1" outlineLevel="1">
      <c r="A158" s="152" t="s">
        <v>223</v>
      </c>
      <c r="B158" s="144" t="s">
        <v>811</v>
      </c>
      <c r="C158" s="141" t="s">
        <v>138</v>
      </c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</row>
    <row r="159" spans="1:18" s="136" customFormat="1" outlineLevel="1">
      <c r="A159" s="152" t="s">
        <v>224</v>
      </c>
      <c r="B159" s="154" t="s">
        <v>812</v>
      </c>
      <c r="C159" s="141" t="s">
        <v>138</v>
      </c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</row>
    <row r="160" spans="1:18" s="136" customFormat="1" outlineLevel="1">
      <c r="A160" s="152" t="s">
        <v>225</v>
      </c>
      <c r="B160" s="154" t="s">
        <v>813</v>
      </c>
      <c r="C160" s="141" t="s">
        <v>138</v>
      </c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</row>
    <row r="161" spans="1:18" s="136" customFormat="1" outlineLevel="1">
      <c r="A161" s="152" t="s">
        <v>226</v>
      </c>
      <c r="B161" s="154" t="s">
        <v>814</v>
      </c>
      <c r="C161" s="141" t="s">
        <v>138</v>
      </c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</row>
    <row r="162" spans="1:18" s="136" customFormat="1" outlineLevel="1">
      <c r="A162" s="152" t="s">
        <v>227</v>
      </c>
      <c r="B162" s="144" t="s">
        <v>824</v>
      </c>
      <c r="C162" s="141" t="s">
        <v>138</v>
      </c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</row>
    <row r="163" spans="1:18" s="136" customFormat="1" ht="15.75" customHeight="1" outlineLevel="1">
      <c r="A163" s="650" t="s">
        <v>228</v>
      </c>
      <c r="B163" s="638" t="s">
        <v>229</v>
      </c>
      <c r="C163" s="643"/>
      <c r="D163" s="644"/>
      <c r="E163" s="644"/>
      <c r="F163" s="644"/>
      <c r="G163" s="644"/>
      <c r="H163" s="644"/>
      <c r="I163" s="644"/>
      <c r="J163" s="644"/>
      <c r="K163" s="644"/>
      <c r="L163" s="644"/>
      <c r="M163" s="644"/>
      <c r="N163" s="644"/>
      <c r="O163" s="644"/>
      <c r="P163" s="644"/>
      <c r="Q163" s="644"/>
    </row>
    <row r="164" spans="1:18" s="667" customFormat="1" ht="15.75" customHeight="1" outlineLevel="1">
      <c r="A164" s="152" t="s">
        <v>230</v>
      </c>
      <c r="B164" s="651" t="s">
        <v>1205</v>
      </c>
      <c r="C164" s="649" t="s">
        <v>231</v>
      </c>
      <c r="D164" s="653">
        <f>' 4.4-котельные'!D164</f>
        <v>4426.389919619005</v>
      </c>
      <c r="E164" s="653">
        <f>' 4.4-котельные'!E164</f>
        <v>4558.4390126898916</v>
      </c>
      <c r="F164" s="653">
        <v>4662.6551412987228</v>
      </c>
      <c r="G164" s="653">
        <v>4571.8900000000003</v>
      </c>
      <c r="H164" s="653">
        <v>4829.2933810378508</v>
      </c>
      <c r="I164" s="653">
        <v>4655.5212173195059</v>
      </c>
      <c r="J164" s="653">
        <v>4940.5611306092751</v>
      </c>
      <c r="K164" s="653">
        <v>4924.53</v>
      </c>
      <c r="L164" s="653">
        <v>5489.513291634089</v>
      </c>
      <c r="M164" s="653">
        <v>5455.2</v>
      </c>
      <c r="N164" s="653">
        <v>5548.55</v>
      </c>
      <c r="O164" s="653">
        <v>5904.3197810789679</v>
      </c>
      <c r="P164" s="653">
        <v>5882.74</v>
      </c>
      <c r="Q164" s="653">
        <v>5941.52</v>
      </c>
      <c r="R164" s="1887"/>
    </row>
    <row r="165" spans="1:18" s="136" customFormat="1" ht="12.75" hidden="1" customHeight="1" outlineLevel="1">
      <c r="A165" s="152"/>
      <c r="B165" s="654"/>
      <c r="C165" s="141"/>
      <c r="D165" s="653"/>
      <c r="E165" s="653"/>
      <c r="F165" s="653"/>
      <c r="G165" s="653"/>
      <c r="H165" s="653"/>
      <c r="I165" s="653"/>
      <c r="J165" s="653"/>
      <c r="K165" s="653"/>
      <c r="L165" s="653"/>
      <c r="M165" s="653"/>
      <c r="N165" s="653"/>
      <c r="O165" s="653"/>
      <c r="P165" s="653"/>
      <c r="Q165" s="653"/>
      <c r="R165" s="1888"/>
    </row>
    <row r="166" spans="1:18" s="667" customFormat="1" outlineLevel="1">
      <c r="A166" s="152" t="s">
        <v>232</v>
      </c>
      <c r="B166" s="651" t="s">
        <v>810</v>
      </c>
      <c r="C166" s="649" t="s">
        <v>231</v>
      </c>
      <c r="D166" s="653">
        <f>D181/D142</f>
        <v>15840.425101487674</v>
      </c>
      <c r="E166" s="653">
        <f t="shared" ref="E166:N166" si="40">E181/E142</f>
        <v>17476.439894569172</v>
      </c>
      <c r="F166" s="653">
        <v>16605.380615997114</v>
      </c>
      <c r="G166" s="653">
        <v>16601.024822432202</v>
      </c>
      <c r="H166" s="653">
        <v>18497.419999999998</v>
      </c>
      <c r="I166" s="653">
        <v>16592.26164847433</v>
      </c>
      <c r="J166" s="653">
        <v>17350.028265998219</v>
      </c>
      <c r="K166" s="653">
        <v>16922.089576950821</v>
      </c>
      <c r="L166" s="653">
        <v>17920.19033801345</v>
      </c>
      <c r="M166" s="653">
        <v>17807.142702848654</v>
      </c>
      <c r="N166" s="653">
        <v>18097.863464653248</v>
      </c>
      <c r="O166" s="653">
        <v>18538.793513112123</v>
      </c>
      <c r="P166" s="653">
        <v>18482.751401377078</v>
      </c>
      <c r="Q166" s="653">
        <v>18626.872995720903</v>
      </c>
      <c r="R166" s="1888"/>
    </row>
    <row r="167" spans="1:18" s="667" customFormat="1" outlineLevel="1">
      <c r="A167" s="152"/>
      <c r="B167" s="623" t="s">
        <v>1224</v>
      </c>
      <c r="C167" s="149" t="s">
        <v>231</v>
      </c>
      <c r="D167" s="653">
        <f>' 4.4-КТЭЦ_комбинир.'!D167</f>
        <v>15652.669125810649</v>
      </c>
      <c r="E167" s="653">
        <f>' 4.4-КТЭЦ_комбинир.'!E167</f>
        <v>15992.465509933776</v>
      </c>
      <c r="F167" s="653">
        <v>16302.877388895005</v>
      </c>
      <c r="G167" s="653">
        <v>16309.610043290044</v>
      </c>
      <c r="H167" s="653">
        <v>16660.336808944659</v>
      </c>
      <c r="I167" s="653">
        <v>16509.490182094083</v>
      </c>
      <c r="J167" s="653">
        <v>18897.192631391426</v>
      </c>
      <c r="K167" s="653">
        <v>16523.66</v>
      </c>
      <c r="L167" s="653">
        <v>17500.608272506084</v>
      </c>
      <c r="M167" s="653">
        <v>17420.240000000002</v>
      </c>
      <c r="N167" s="653">
        <v>17661.53</v>
      </c>
      <c r="O167" s="653">
        <v>18087.185725871859</v>
      </c>
      <c r="P167" s="653">
        <v>18052.13</v>
      </c>
      <c r="Q167" s="653">
        <v>18157.259999999998</v>
      </c>
      <c r="R167" s="1888"/>
    </row>
    <row r="168" spans="1:18" s="667" customFormat="1" outlineLevel="1">
      <c r="A168" s="152"/>
      <c r="B168" s="623" t="s">
        <v>1234</v>
      </c>
      <c r="C168" s="149" t="s">
        <v>231</v>
      </c>
      <c r="D168" s="653">
        <f>' 4.4-КТЭЦ_комбинир.'!D168</f>
        <v>15652.669125810649</v>
      </c>
      <c r="E168" s="653">
        <f>' 4.4-КТЭЦ_комбинир.'!E168</f>
        <v>15559.09920292977</v>
      </c>
      <c r="F168" s="653">
        <v>16302.877388895005</v>
      </c>
      <c r="G168" s="653">
        <v>16209.387733812951</v>
      </c>
      <c r="H168" s="653">
        <v>16660.336808944659</v>
      </c>
      <c r="I168" s="653">
        <v>16843.75</v>
      </c>
      <c r="J168" s="653">
        <v>18897.192631391426</v>
      </c>
      <c r="K168" s="653">
        <v>0</v>
      </c>
      <c r="L168" s="653">
        <v>0</v>
      </c>
      <c r="M168" s="653">
        <v>0</v>
      </c>
      <c r="N168" s="653">
        <v>0</v>
      </c>
      <c r="O168" s="653">
        <v>0</v>
      </c>
      <c r="P168" s="653">
        <v>0</v>
      </c>
      <c r="Q168" s="653">
        <v>0</v>
      </c>
      <c r="R168" s="1888"/>
    </row>
    <row r="169" spans="1:18" s="667" customFormat="1" outlineLevel="1">
      <c r="A169" s="152"/>
      <c r="B169" s="623" t="s">
        <v>1242</v>
      </c>
      <c r="C169" s="149" t="s">
        <v>231</v>
      </c>
      <c r="D169" s="653">
        <f>' 4.4-котельные'!D166</f>
        <v>15854.916274196952</v>
      </c>
      <c r="E169" s="653">
        <f>' 4.4-котельные'!E166</f>
        <v>16809.020156315957</v>
      </c>
      <c r="F169" s="653">
        <v>16628.580005372958</v>
      </c>
      <c r="G169" s="653">
        <v>16608.075745914695</v>
      </c>
      <c r="H169" s="653">
        <v>17875.293279118028</v>
      </c>
      <c r="I169" s="653">
        <v>16590.346090880616</v>
      </c>
      <c r="J169" s="653">
        <v>17350.028265998219</v>
      </c>
      <c r="K169" s="653">
        <v>17027.079999999998</v>
      </c>
      <c r="L169" s="653">
        <v>18027.381178461059</v>
      </c>
      <c r="M169" s="653">
        <v>17917.599999999999</v>
      </c>
      <c r="N169" s="653">
        <v>18189.91</v>
      </c>
      <c r="O169" s="653">
        <v>18654.161559311498</v>
      </c>
      <c r="P169" s="653">
        <v>18605.689999999999</v>
      </c>
      <c r="Q169" s="653">
        <v>18725.940000000002</v>
      </c>
      <c r="R169" s="1888"/>
    </row>
    <row r="170" spans="1:18" s="667" customFormat="1" ht="15.75" outlineLevel="1">
      <c r="A170" s="152" t="s">
        <v>233</v>
      </c>
      <c r="B170" s="651" t="s">
        <v>811</v>
      </c>
      <c r="C170" s="649" t="s">
        <v>1208</v>
      </c>
      <c r="D170" s="653">
        <f>D185/D146</f>
        <v>5541.2555175017651</v>
      </c>
      <c r="E170" s="653">
        <f t="shared" ref="E170:N170" si="41">E185/E146</f>
        <v>15641.375292199862</v>
      </c>
      <c r="F170" s="653">
        <v>5759.5669193719868</v>
      </c>
      <c r="G170" s="653">
        <v>6113.0376766332511</v>
      </c>
      <c r="H170" s="653">
        <v>5957.6838084478641</v>
      </c>
      <c r="I170" s="653">
        <v>6313.0450160977543</v>
      </c>
      <c r="J170" s="653">
        <v>6258.4213796259946</v>
      </c>
      <c r="K170" s="653">
        <v>6257.380874175612</v>
      </c>
      <c r="L170" s="653">
        <v>6483.1599385777617</v>
      </c>
      <c r="M170" s="653">
        <v>6391.6161311161331</v>
      </c>
      <c r="N170" s="653">
        <v>6586.9591512092966</v>
      </c>
      <c r="O170" s="653">
        <v>6679.4732561356996</v>
      </c>
      <c r="P170" s="653">
        <v>6587.2435832187075</v>
      </c>
      <c r="Q170" s="653">
        <v>6784.0501542952006</v>
      </c>
      <c r="R170" s="1888"/>
    </row>
    <row r="171" spans="1:18" s="667" customFormat="1" ht="15.75" outlineLevel="1">
      <c r="A171" s="152"/>
      <c r="B171" s="623" t="s">
        <v>1224</v>
      </c>
      <c r="C171" s="149" t="s">
        <v>825</v>
      </c>
      <c r="D171" s="653">
        <f>' 4.4-КТЭЦ_комбинир.'!D171</f>
        <v>5555.902720155108</v>
      </c>
      <c r="E171" s="653">
        <f>' 4.4-КТЭЦ_комбинир.'!E171</f>
        <v>5744.7401425867192</v>
      </c>
      <c r="F171" s="653">
        <v>5757.2600000000011</v>
      </c>
      <c r="G171" s="653">
        <v>6107.4351134088565</v>
      </c>
      <c r="H171" s="653">
        <v>5971.8555822754088</v>
      </c>
      <c r="I171" s="653">
        <v>6328.4008393025942</v>
      </c>
      <c r="J171" s="653">
        <v>6268.6571166011672</v>
      </c>
      <c r="K171" s="653">
        <v>6256.56</v>
      </c>
      <c r="L171" s="653">
        <v>6495.1074283810794</v>
      </c>
      <c r="M171" s="653">
        <v>6390.34</v>
      </c>
      <c r="N171" s="653">
        <v>6585.93</v>
      </c>
      <c r="O171" s="653">
        <v>6691.4869253830784</v>
      </c>
      <c r="P171" s="653">
        <v>6585.93</v>
      </c>
      <c r="Q171" s="653">
        <v>6783</v>
      </c>
      <c r="R171" s="1888"/>
    </row>
    <row r="172" spans="1:18" s="667" customFormat="1" ht="15.75" outlineLevel="1">
      <c r="A172" s="152"/>
      <c r="B172" s="623" t="s">
        <v>1234</v>
      </c>
      <c r="C172" s="149" t="s">
        <v>825</v>
      </c>
      <c r="D172" s="653">
        <f>' 4.4-КТЭЦ_комбинир.'!D172</f>
        <v>5530.4336683511619</v>
      </c>
      <c r="E172" s="653">
        <f>' 4.4-КТЭЦ_комбинир.'!E172</f>
        <v>5682.3064507659128</v>
      </c>
      <c r="F172" s="653">
        <v>5757.2600000000011</v>
      </c>
      <c r="G172" s="653">
        <v>6105.5660208650133</v>
      </c>
      <c r="H172" s="653">
        <v>5953.0305102420725</v>
      </c>
      <c r="I172" s="653">
        <v>6306.3840557960066</v>
      </c>
      <c r="J172" s="653">
        <v>6253.9619119217377</v>
      </c>
      <c r="K172" s="653">
        <v>6256.56</v>
      </c>
      <c r="L172" s="653">
        <v>6477.9778535172536</v>
      </c>
      <c r="M172" s="653">
        <v>6390.34</v>
      </c>
      <c r="N172" s="653">
        <v>6585.93</v>
      </c>
      <c r="O172" s="653">
        <v>6674.2316750288901</v>
      </c>
      <c r="P172" s="653">
        <v>6585.93</v>
      </c>
      <c r="Q172" s="653">
        <v>6783</v>
      </c>
      <c r="R172" s="1888"/>
    </row>
    <row r="173" spans="1:18" s="667" customFormat="1" ht="15.75" outlineLevel="1">
      <c r="A173" s="152"/>
      <c r="B173" s="623" t="s">
        <v>1242</v>
      </c>
      <c r="C173" s="149" t="s">
        <v>825</v>
      </c>
      <c r="D173" s="653">
        <f>' 4.4-котельные'!D170</f>
        <v>5688.0022794551687</v>
      </c>
      <c r="E173" s="653">
        <f>' 4.4-котельные'!E170</f>
        <v>6145.73</v>
      </c>
      <c r="F173" s="653">
        <v>5786.1100000000006</v>
      </c>
      <c r="G173" s="653">
        <v>6307.4961101618692</v>
      </c>
      <c r="H173" s="653">
        <v>5937.6020845856347</v>
      </c>
      <c r="I173" s="653">
        <v>6320.7074273970265</v>
      </c>
      <c r="J173" s="653">
        <v>6277.9415033333344</v>
      </c>
      <c r="K173" s="653">
        <v>6279.07</v>
      </c>
      <c r="L173" s="653">
        <v>6503.0223028739865</v>
      </c>
      <c r="M173" s="653">
        <v>6422.71</v>
      </c>
      <c r="N173" s="653">
        <v>6619.25</v>
      </c>
      <c r="O173" s="653">
        <v>6700.0195283714074</v>
      </c>
      <c r="P173" s="653">
        <v>6619.25</v>
      </c>
      <c r="Q173" s="653">
        <v>6817</v>
      </c>
      <c r="R173" s="1888"/>
    </row>
    <row r="174" spans="1:18" s="136" customFormat="1" ht="15.75" outlineLevel="1">
      <c r="A174" s="152" t="s">
        <v>234</v>
      </c>
      <c r="B174" s="655" t="s">
        <v>812</v>
      </c>
      <c r="C174" s="141" t="s">
        <v>825</v>
      </c>
      <c r="D174" s="653"/>
      <c r="E174" s="653"/>
      <c r="F174" s="653"/>
      <c r="G174" s="653"/>
      <c r="H174" s="653"/>
      <c r="I174" s="653"/>
      <c r="J174" s="653"/>
      <c r="K174" s="653"/>
      <c r="L174" s="653"/>
      <c r="M174" s="653"/>
      <c r="N174" s="653"/>
      <c r="O174" s="653"/>
      <c r="P174" s="653"/>
      <c r="Q174" s="653"/>
      <c r="R174" s="1888"/>
    </row>
    <row r="175" spans="1:18" s="136" customFormat="1" ht="15.75" outlineLevel="1">
      <c r="A175" s="152" t="s">
        <v>235</v>
      </c>
      <c r="B175" s="655" t="s">
        <v>813</v>
      </c>
      <c r="C175" s="141" t="s">
        <v>825</v>
      </c>
      <c r="D175" s="653"/>
      <c r="E175" s="653"/>
      <c r="F175" s="653"/>
      <c r="G175" s="653"/>
      <c r="H175" s="653"/>
      <c r="I175" s="653"/>
      <c r="J175" s="653"/>
      <c r="K175" s="653"/>
      <c r="L175" s="653"/>
      <c r="M175" s="653"/>
      <c r="N175" s="653"/>
      <c r="O175" s="653"/>
      <c r="P175" s="653"/>
      <c r="Q175" s="653"/>
      <c r="R175" s="1888"/>
    </row>
    <row r="176" spans="1:18" s="136" customFormat="1" ht="15.75" outlineLevel="1">
      <c r="A176" s="152" t="s">
        <v>236</v>
      </c>
      <c r="B176" s="655" t="s">
        <v>814</v>
      </c>
      <c r="C176" s="141" t="s">
        <v>825</v>
      </c>
      <c r="D176" s="653"/>
      <c r="E176" s="653"/>
      <c r="F176" s="653"/>
      <c r="G176" s="653"/>
      <c r="H176" s="653"/>
      <c r="I176" s="653"/>
      <c r="J176" s="653"/>
      <c r="K176" s="653"/>
      <c r="L176" s="653"/>
      <c r="M176" s="653"/>
      <c r="N176" s="653"/>
      <c r="O176" s="653"/>
      <c r="P176" s="653"/>
      <c r="Q176" s="653"/>
      <c r="R176" s="1888"/>
    </row>
    <row r="177" spans="1:18" s="667" customFormat="1" ht="16.5" customHeight="1" outlineLevel="1">
      <c r="A177" s="635" t="s">
        <v>237</v>
      </c>
      <c r="B177" s="651" t="s">
        <v>1219</v>
      </c>
      <c r="C177" s="649" t="s">
        <v>231</v>
      </c>
      <c r="D177" s="653">
        <f>' 4.4-КТЭЦ_комбинир.'!D177</f>
        <v>24648.059979363683</v>
      </c>
      <c r="E177" s="653">
        <f>' 4.4-КТЭЦ_комбинир.'!E177</f>
        <v>25552.005293538692</v>
      </c>
      <c r="F177" s="653">
        <v>27824.148619385032</v>
      </c>
      <c r="G177" s="653">
        <v>26332.44</v>
      </c>
      <c r="H177" s="653">
        <v>28462.258825052832</v>
      </c>
      <c r="I177" s="653">
        <v>29833.883513637054</v>
      </c>
      <c r="J177" s="653">
        <v>31554.444097072028</v>
      </c>
      <c r="K177" s="653">
        <v>32559.94</v>
      </c>
      <c r="L177" s="653">
        <v>34876.190476190481</v>
      </c>
      <c r="M177" s="653">
        <v>34202.07</v>
      </c>
      <c r="N177" s="653">
        <v>35548.31</v>
      </c>
      <c r="O177" s="653">
        <v>37209.523809523809</v>
      </c>
      <c r="P177" s="653">
        <v>36726.699999999997</v>
      </c>
      <c r="Q177" s="653">
        <v>37693.409999999996</v>
      </c>
      <c r="R177" s="1889"/>
    </row>
    <row r="178" spans="1:18" s="136" customFormat="1" ht="16.5" customHeight="1" outlineLevel="1">
      <c r="A178" s="650" t="s">
        <v>238</v>
      </c>
      <c r="B178" s="638" t="s">
        <v>239</v>
      </c>
      <c r="C178" s="643" t="s">
        <v>826</v>
      </c>
      <c r="D178" s="656">
        <f>D179+D181+D185+D192-1</f>
        <v>3327525.5266621197</v>
      </c>
      <c r="E178" s="656">
        <f>E179+E181+E185+E192</f>
        <v>3278003.3478816561</v>
      </c>
      <c r="F178" s="656">
        <v>3455490.0272719795</v>
      </c>
      <c r="G178" s="656">
        <v>3270540.3451499995</v>
      </c>
      <c r="H178" s="656">
        <v>3769583.2295025699</v>
      </c>
      <c r="I178" s="656">
        <v>3331472.5077563673</v>
      </c>
      <c r="J178" s="656" t="e">
        <v>#DIV/0!</v>
      </c>
      <c r="K178" s="656">
        <v>3614544.7667500004</v>
      </c>
      <c r="L178" s="656">
        <v>3846576.2337000002</v>
      </c>
      <c r="M178" s="656">
        <v>2129564.8141600001</v>
      </c>
      <c r="N178" s="656">
        <v>1717011.4195400001</v>
      </c>
      <c r="O178" s="656">
        <v>3971255.1745200008</v>
      </c>
      <c r="P178" s="656">
        <v>2202311.7017399999</v>
      </c>
      <c r="Q178" s="656">
        <v>1768943.47278</v>
      </c>
    </row>
    <row r="179" spans="1:18" s="136" customFormat="1" outlineLevel="1">
      <c r="A179" s="152" t="s">
        <v>241</v>
      </c>
      <c r="B179" s="634" t="s">
        <v>1207</v>
      </c>
      <c r="C179" s="141" t="s">
        <v>826</v>
      </c>
      <c r="D179" s="272">
        <f>' 4.4-котельные'!D179</f>
        <v>66389.422404365454</v>
      </c>
      <c r="E179" s="272">
        <f>' 4.4-котельные'!E179</f>
        <v>50553.088650730897</v>
      </c>
      <c r="F179" s="272">
        <v>54951.390840205451</v>
      </c>
      <c r="G179" s="272">
        <v>44489.061590000005</v>
      </c>
      <c r="H179" s="272">
        <v>45612.675983902504</v>
      </c>
      <c r="I179" s="272">
        <v>40686.76008</v>
      </c>
      <c r="J179" s="272">
        <v>50101.464986460262</v>
      </c>
      <c r="K179" s="272">
        <v>43754.449049999996</v>
      </c>
      <c r="L179" s="272">
        <v>56168.882450000005</v>
      </c>
      <c r="M179" s="272">
        <v>35289.688800000004</v>
      </c>
      <c r="N179" s="272">
        <v>20879.193650000001</v>
      </c>
      <c r="O179" s="272">
        <v>60413.384819999999</v>
      </c>
      <c r="P179" s="272">
        <v>38055.445059999998</v>
      </c>
      <c r="Q179" s="272">
        <v>22357.939760000001</v>
      </c>
      <c r="R179" s="672">
        <f>M247+N247-L247</f>
        <v>0</v>
      </c>
    </row>
    <row r="180" spans="1:18" s="136" customFormat="1" hidden="1" outlineLevel="1">
      <c r="A180" s="152"/>
      <c r="B180" s="144"/>
      <c r="C180" s="141"/>
      <c r="D180" s="272"/>
      <c r="E180" s="272"/>
      <c r="F180" s="272"/>
      <c r="G180" s="272"/>
      <c r="H180" s="272"/>
      <c r="I180" s="272"/>
      <c r="J180" s="272"/>
      <c r="K180" s="272"/>
      <c r="L180" s="134"/>
      <c r="M180" s="272"/>
      <c r="N180" s="272"/>
      <c r="O180" s="134"/>
      <c r="P180" s="272"/>
      <c r="Q180" s="272"/>
      <c r="R180" s="672">
        <f>M248+N248-L248</f>
        <v>0</v>
      </c>
    </row>
    <row r="181" spans="1:18" s="136" customFormat="1" outlineLevel="1">
      <c r="A181" s="152" t="s">
        <v>242</v>
      </c>
      <c r="B181" s="634" t="s">
        <v>810</v>
      </c>
      <c r="C181" s="141" t="s">
        <v>826</v>
      </c>
      <c r="D181" s="272">
        <f t="shared" ref="D181:F181" si="42">D182+D183+D184</f>
        <v>1039717.9823863464</v>
      </c>
      <c r="E181" s="272">
        <f t="shared" si="42"/>
        <v>1136842.4151417245</v>
      </c>
      <c r="F181" s="272">
        <v>1100489.0522939765</v>
      </c>
      <c r="G181" s="272">
        <v>945195.9492899999</v>
      </c>
      <c r="H181" s="272">
        <v>1372249.9085950016</v>
      </c>
      <c r="I181" s="272">
        <v>899319.01535000012</v>
      </c>
      <c r="J181" s="272">
        <v>1045089.3524879604</v>
      </c>
      <c r="K181" s="272">
        <v>1196408.65518</v>
      </c>
      <c r="L181" s="272">
        <v>1303138.32119</v>
      </c>
      <c r="M181" s="272">
        <v>791385.03599999996</v>
      </c>
      <c r="N181" s="272">
        <v>511753.28518999997</v>
      </c>
      <c r="O181" s="272">
        <v>1348122.5254800003</v>
      </c>
      <c r="P181" s="272">
        <v>821410.43778000004</v>
      </c>
      <c r="Q181" s="272">
        <v>526712.08770000003</v>
      </c>
      <c r="R181" s="672">
        <f>M249+N249-L249</f>
        <v>0</v>
      </c>
    </row>
    <row r="182" spans="1:18" s="136" customFormat="1" outlineLevel="1">
      <c r="A182" s="152"/>
      <c r="B182" s="623" t="s">
        <v>1224</v>
      </c>
      <c r="C182" s="141" t="s">
        <v>826</v>
      </c>
      <c r="D182" s="272">
        <f>' 4.4-КТЭЦ_комбинир.'!D182</f>
        <v>73536.239553058433</v>
      </c>
      <c r="E182" s="272">
        <f>' 4.4-КТЭЦ_комбинир.'!E182</f>
        <v>24148.622920000002</v>
      </c>
      <c r="F182" s="272">
        <v>77275.638823362329</v>
      </c>
      <c r="G182" s="272">
        <v>3767.5199200000002</v>
      </c>
      <c r="H182" s="272">
        <v>77220.66110945851</v>
      </c>
      <c r="I182" s="272">
        <v>10879.754000000001</v>
      </c>
      <c r="J182" s="272">
        <v>0</v>
      </c>
      <c r="K182" s="272">
        <v>243641.36669999998</v>
      </c>
      <c r="L182" s="272">
        <v>258938.46557999999</v>
      </c>
      <c r="M182" s="272">
        <v>171937.76879999999</v>
      </c>
      <c r="N182" s="272">
        <v>87000.696779999998</v>
      </c>
      <c r="O182" s="272">
        <v>267617.18585999997</v>
      </c>
      <c r="P182" s="272">
        <v>178174.52309999999</v>
      </c>
      <c r="Q182" s="272">
        <v>89442.662759999992</v>
      </c>
      <c r="R182" s="672"/>
    </row>
    <row r="183" spans="1:18" s="136" customFormat="1" outlineLevel="1">
      <c r="A183" s="152"/>
      <c r="B183" s="623" t="s">
        <v>1234</v>
      </c>
      <c r="C183" s="141" t="s">
        <v>826</v>
      </c>
      <c r="D183" s="272">
        <f>' 4.4-КТЭЦ_комбинир.'!D183</f>
        <v>0</v>
      </c>
      <c r="E183" s="272">
        <f>' 4.4-КТЭЦ_комбинир.'!E183</f>
        <v>36112.669249999992</v>
      </c>
      <c r="F183" s="272">
        <v>0</v>
      </c>
      <c r="G183" s="272">
        <v>13518.629370000001</v>
      </c>
      <c r="H183" s="272">
        <v>0</v>
      </c>
      <c r="I183" s="272">
        <v>10443.124</v>
      </c>
      <c r="J183" s="272">
        <v>0</v>
      </c>
      <c r="K183" s="272">
        <v>0</v>
      </c>
      <c r="L183" s="272">
        <v>0</v>
      </c>
      <c r="M183" s="272">
        <v>0</v>
      </c>
      <c r="N183" s="272">
        <v>0</v>
      </c>
      <c r="O183" s="272">
        <v>0</v>
      </c>
      <c r="P183" s="272">
        <v>0</v>
      </c>
      <c r="Q183" s="272">
        <v>0</v>
      </c>
      <c r="R183" s="672"/>
    </row>
    <row r="184" spans="1:18" s="136" customFormat="1" outlineLevel="1">
      <c r="A184" s="152"/>
      <c r="B184" s="623" t="s">
        <v>1242</v>
      </c>
      <c r="C184" s="141" t="s">
        <v>826</v>
      </c>
      <c r="D184" s="272">
        <f>' 4.4-котельные'!D181</f>
        <v>966181.74283328804</v>
      </c>
      <c r="E184" s="272">
        <f>' 4.4-котельные'!E181</f>
        <v>1076581.1229717245</v>
      </c>
      <c r="F184" s="272">
        <v>1023213.4134706142</v>
      </c>
      <c r="G184" s="272">
        <v>927909.79999999993</v>
      </c>
      <c r="H184" s="272">
        <v>1295029.2474855431</v>
      </c>
      <c r="I184" s="272">
        <v>877996.13735000009</v>
      </c>
      <c r="J184" s="272">
        <v>1045089.3524879604</v>
      </c>
      <c r="K184" s="272">
        <v>952767.28847999999</v>
      </c>
      <c r="L184" s="272">
        <v>1044199.85561</v>
      </c>
      <c r="M184" s="272">
        <v>619447.2672</v>
      </c>
      <c r="N184" s="272">
        <v>424752.58840999997</v>
      </c>
      <c r="O184" s="272">
        <v>1080505.3396200002</v>
      </c>
      <c r="P184" s="272">
        <v>643235.91468000005</v>
      </c>
      <c r="Q184" s="272">
        <v>437269.42494000006</v>
      </c>
      <c r="R184" s="672"/>
    </row>
    <row r="185" spans="1:18" s="136" customFormat="1" outlineLevel="1">
      <c r="A185" s="152" t="s">
        <v>243</v>
      </c>
      <c r="B185" s="634" t="s">
        <v>811</v>
      </c>
      <c r="C185" s="141" t="s">
        <v>826</v>
      </c>
      <c r="D185" s="272">
        <f t="shared" ref="D185:F185" si="43">D186+D187+D188</f>
        <v>2218835.0755735743</v>
      </c>
      <c r="E185" s="272">
        <f t="shared" si="43"/>
        <v>2088686.6910192007</v>
      </c>
      <c r="F185" s="272">
        <v>2297172.6968300007</v>
      </c>
      <c r="G185" s="272">
        <v>2279200.3905499997</v>
      </c>
      <c r="H185" s="272">
        <v>2348703.64548821</v>
      </c>
      <c r="I185" s="272">
        <v>2389116.85552879</v>
      </c>
      <c r="J185" s="272">
        <v>2359958.7538248957</v>
      </c>
      <c r="K185" s="272">
        <v>2371027.9887000001</v>
      </c>
      <c r="L185" s="272">
        <v>2483607.8082300001</v>
      </c>
      <c r="M185" s="272">
        <v>1301077.37965</v>
      </c>
      <c r="N185" s="272">
        <v>1182530.4285800001</v>
      </c>
      <c r="O185" s="272">
        <v>2558812.6918000001</v>
      </c>
      <c r="P185" s="272">
        <v>1340899.3038000001</v>
      </c>
      <c r="Q185" s="272">
        <v>1217913.388</v>
      </c>
      <c r="R185" s="672">
        <f>M250+N250-L250</f>
        <v>0</v>
      </c>
    </row>
    <row r="186" spans="1:18" s="136" customFormat="1" outlineLevel="1">
      <c r="A186" s="152"/>
      <c r="B186" s="623" t="s">
        <v>1224</v>
      </c>
      <c r="C186" s="141" t="s">
        <v>826</v>
      </c>
      <c r="D186" s="272">
        <f>' 4.4-КТЭЦ_комбинир.'!D186</f>
        <v>598998.53996808268</v>
      </c>
      <c r="E186" s="272">
        <f>' 4.4-КТЭЦ_комбинир.'!E186</f>
        <v>610579.70605482953</v>
      </c>
      <c r="F186" s="272">
        <v>620509.72554000013</v>
      </c>
      <c r="G186" s="272">
        <v>642081.49380000005</v>
      </c>
      <c r="H186" s="272">
        <v>637758.34505352005</v>
      </c>
      <c r="I186" s="272">
        <v>674942.82735666004</v>
      </c>
      <c r="J186" s="272">
        <v>575992.13117509778</v>
      </c>
      <c r="K186" s="272">
        <v>636429.79631999996</v>
      </c>
      <c r="L186" s="272">
        <v>623945.90079999994</v>
      </c>
      <c r="M186" s="272">
        <v>285060.28671999997</v>
      </c>
      <c r="N186" s="272">
        <v>338885.61408000003</v>
      </c>
      <c r="O186" s="272">
        <v>642811.21344000008</v>
      </c>
      <c r="P186" s="272">
        <v>293785.16544000001</v>
      </c>
      <c r="Q186" s="272">
        <v>349026.04800000001</v>
      </c>
      <c r="R186" s="672"/>
    </row>
    <row r="187" spans="1:18" s="136" customFormat="1" outlineLevel="1">
      <c r="A187" s="152"/>
      <c r="B187" s="623" t="s">
        <v>1234</v>
      </c>
      <c r="C187" s="141" t="s">
        <v>826</v>
      </c>
      <c r="D187" s="272">
        <f>' 4.4-КТЭЦ_комбинир.'!D187</f>
        <v>1562569.7286559374</v>
      </c>
      <c r="E187" s="272">
        <f>' 4.4-КТЭЦ_комбинир.'!E187</f>
        <v>1450942.8583643711</v>
      </c>
      <c r="F187" s="272">
        <v>1599667.2055200005</v>
      </c>
      <c r="G187" s="272">
        <v>1556240.94588</v>
      </c>
      <c r="H187" s="272">
        <v>1643238.8238641601</v>
      </c>
      <c r="I187" s="272">
        <v>1637551.8654921299</v>
      </c>
      <c r="J187" s="272">
        <v>1697220.9296010823</v>
      </c>
      <c r="K187" s="272">
        <v>1647834.0031200002</v>
      </c>
      <c r="L187" s="272">
        <v>1771415.9184300001</v>
      </c>
      <c r="M187" s="272">
        <v>964474.84517999995</v>
      </c>
      <c r="N187" s="272">
        <v>806941.07325000002</v>
      </c>
      <c r="O187" s="272">
        <v>1825081.7321100002</v>
      </c>
      <c r="P187" s="272">
        <v>993994.65711000003</v>
      </c>
      <c r="Q187" s="272">
        <v>831087.07500000007</v>
      </c>
      <c r="R187" s="672"/>
    </row>
    <row r="188" spans="1:18" s="136" customFormat="1" outlineLevel="1">
      <c r="A188" s="152"/>
      <c r="B188" s="623" t="s">
        <v>1242</v>
      </c>
      <c r="C188" s="141" t="s">
        <v>826</v>
      </c>
      <c r="D188" s="272">
        <f>' 4.4-котельные'!D185</f>
        <v>57266.806949554637</v>
      </c>
      <c r="E188" s="272">
        <f>' 4.4-котельные'!E185</f>
        <v>27164.126599999996</v>
      </c>
      <c r="F188" s="272">
        <v>76995.765770000013</v>
      </c>
      <c r="G188" s="272">
        <v>80877.950870000001</v>
      </c>
      <c r="H188" s="272">
        <v>67706.476570529994</v>
      </c>
      <c r="I188" s="272">
        <v>76622.162679999994</v>
      </c>
      <c r="J188" s="272">
        <v>86745.693048715693</v>
      </c>
      <c r="K188" s="272">
        <v>86764.189259999999</v>
      </c>
      <c r="L188" s="272">
        <v>88245.989000000001</v>
      </c>
      <c r="M188" s="272">
        <v>51542.247750000002</v>
      </c>
      <c r="N188" s="272">
        <v>36703.741249999999</v>
      </c>
      <c r="O188" s="272">
        <v>90919.746249999997</v>
      </c>
      <c r="P188" s="272">
        <v>53119.481250000004</v>
      </c>
      <c r="Q188" s="272">
        <v>37800.264999999999</v>
      </c>
      <c r="R188" s="672"/>
    </row>
    <row r="189" spans="1:18" s="136" customFormat="1" outlineLevel="1">
      <c r="A189" s="152" t="s">
        <v>244</v>
      </c>
      <c r="B189" s="154" t="s">
        <v>812</v>
      </c>
      <c r="C189" s="141" t="s">
        <v>826</v>
      </c>
      <c r="D189" s="272"/>
      <c r="E189" s="272"/>
      <c r="F189" s="272"/>
      <c r="G189" s="272"/>
      <c r="H189" s="272"/>
      <c r="I189" s="272"/>
      <c r="J189" s="272"/>
      <c r="K189" s="272"/>
      <c r="L189" s="134"/>
      <c r="M189" s="272"/>
      <c r="N189" s="272"/>
      <c r="O189" s="134"/>
      <c r="P189" s="272"/>
      <c r="Q189" s="272"/>
      <c r="R189" s="672">
        <f t="shared" ref="R189:R192" si="44">M251+N251-L251</f>
        <v>0</v>
      </c>
    </row>
    <row r="190" spans="1:18" s="136" customFormat="1" outlineLevel="1">
      <c r="A190" s="152" t="s">
        <v>245</v>
      </c>
      <c r="B190" s="154" t="s">
        <v>813</v>
      </c>
      <c r="C190" s="141" t="s">
        <v>826</v>
      </c>
      <c r="D190" s="272"/>
      <c r="E190" s="272"/>
      <c r="F190" s="272"/>
      <c r="G190" s="272"/>
      <c r="H190" s="272"/>
      <c r="I190" s="272"/>
      <c r="J190" s="272"/>
      <c r="K190" s="272"/>
      <c r="L190" s="134"/>
      <c r="M190" s="272"/>
      <c r="N190" s="272"/>
      <c r="O190" s="134"/>
      <c r="P190" s="272"/>
      <c r="Q190" s="272"/>
      <c r="R190" s="672">
        <f t="shared" si="44"/>
        <v>0</v>
      </c>
    </row>
    <row r="191" spans="1:18" s="136" customFormat="1" outlineLevel="1">
      <c r="A191" s="152" t="s">
        <v>246</v>
      </c>
      <c r="B191" s="154" t="s">
        <v>814</v>
      </c>
      <c r="C191" s="141" t="s">
        <v>826</v>
      </c>
      <c r="D191" s="272"/>
      <c r="E191" s="272"/>
      <c r="F191" s="272"/>
      <c r="G191" s="272"/>
      <c r="H191" s="272"/>
      <c r="I191" s="272"/>
      <c r="J191" s="272"/>
      <c r="K191" s="272"/>
      <c r="L191" s="134"/>
      <c r="M191" s="272"/>
      <c r="N191" s="272"/>
      <c r="O191" s="134"/>
      <c r="P191" s="272"/>
      <c r="Q191" s="272"/>
      <c r="R191" s="672">
        <f t="shared" si="44"/>
        <v>0</v>
      </c>
    </row>
    <row r="192" spans="1:18" s="136" customFormat="1" outlineLevel="1">
      <c r="A192" s="152" t="s">
        <v>247</v>
      </c>
      <c r="B192" s="651" t="s">
        <v>1219</v>
      </c>
      <c r="C192" s="141" t="s">
        <v>826</v>
      </c>
      <c r="D192" s="272">
        <f>' 4.4-КТЭЦ_комбинир.'!D192</f>
        <v>2584.0462978331866</v>
      </c>
      <c r="E192" s="272">
        <f>' 4.4-КТЭЦ_комбинир.'!E192</f>
        <v>1921.1530700000001</v>
      </c>
      <c r="F192" s="272">
        <v>2877.8873077966582</v>
      </c>
      <c r="G192" s="272">
        <v>1654.94372</v>
      </c>
      <c r="H192" s="272">
        <v>3016.9994354556002</v>
      </c>
      <c r="I192" s="272">
        <v>2349.8767975773271</v>
      </c>
      <c r="J192" s="272" t="e">
        <v>#DIV/0!</v>
      </c>
      <c r="K192" s="272">
        <v>3353.6738199999995</v>
      </c>
      <c r="L192" s="272">
        <v>3661.2218299999995</v>
      </c>
      <c r="M192" s="272">
        <v>1812.7097099999999</v>
      </c>
      <c r="N192" s="272">
        <v>1848.5121199999999</v>
      </c>
      <c r="O192" s="272">
        <v>3906.5724199999995</v>
      </c>
      <c r="P192" s="272">
        <v>1946.5150999999998</v>
      </c>
      <c r="Q192" s="272">
        <v>1960.0573199999997</v>
      </c>
      <c r="R192" s="672">
        <f t="shared" si="44"/>
        <v>0</v>
      </c>
    </row>
    <row r="193" spans="1:17" s="136" customFormat="1" outlineLevel="1">
      <c r="A193" s="152" t="s">
        <v>248</v>
      </c>
      <c r="B193" s="144" t="s">
        <v>827</v>
      </c>
      <c r="C193" s="141" t="s">
        <v>826</v>
      </c>
      <c r="D193" s="272">
        <f>D194</f>
        <v>1887952.653961075</v>
      </c>
      <c r="E193" s="272">
        <f t="shared" ref="E193:Q193" si="45">E194</f>
        <v>1900049.109172455</v>
      </c>
      <c r="F193" s="272">
        <v>1982242.7960294168</v>
      </c>
      <c r="G193" s="272">
        <v>1873788.6436111466</v>
      </c>
      <c r="H193" s="272">
        <v>2254056.362027769</v>
      </c>
      <c r="I193" s="272">
        <v>1787015.7826361977</v>
      </c>
      <c r="J193" s="272" t="e">
        <v>#DIV/0!</v>
      </c>
      <c r="K193" s="272">
        <v>2017682.6291947893</v>
      </c>
      <c r="L193" s="272">
        <v>2156454.5996246529</v>
      </c>
      <c r="M193" s="272">
        <v>1283813.9158555288</v>
      </c>
      <c r="N193" s="272">
        <v>872640.68376912386</v>
      </c>
      <c r="O193" s="272">
        <v>2228781.8035481591</v>
      </c>
      <c r="P193" s="272">
        <v>1329753.5253821202</v>
      </c>
      <c r="Q193" s="272">
        <v>899028.27816603892</v>
      </c>
    </row>
    <row r="194" spans="1:17" s="136" customFormat="1" ht="38.25" outlineLevel="1">
      <c r="A194" s="650" t="s">
        <v>249</v>
      </c>
      <c r="B194" s="657" t="s">
        <v>828</v>
      </c>
      <c r="C194" s="643" t="s">
        <v>826</v>
      </c>
      <c r="D194" s="658">
        <f>D195+D197+D201+D208</f>
        <v>1887952.653961075</v>
      </c>
      <c r="E194" s="658">
        <f t="shared" ref="E194:N194" si="46">E195+E197+E201+E208</f>
        <v>1900049.109172455</v>
      </c>
      <c r="F194" s="658">
        <v>1982242.7960294168</v>
      </c>
      <c r="G194" s="658">
        <v>1873788.6436111466</v>
      </c>
      <c r="H194" s="658">
        <v>2254056.362027769</v>
      </c>
      <c r="I194" s="658">
        <v>1787015.7826361977</v>
      </c>
      <c r="J194" s="658" t="e">
        <v>#DIV/0!</v>
      </c>
      <c r="K194" s="658">
        <v>2017682.6291947893</v>
      </c>
      <c r="L194" s="658">
        <v>2156454.5996246529</v>
      </c>
      <c r="M194" s="658">
        <v>1283813.9158555288</v>
      </c>
      <c r="N194" s="658">
        <v>872640.68376912386</v>
      </c>
      <c r="O194" s="658">
        <v>2228781.8035481591</v>
      </c>
      <c r="P194" s="658">
        <v>1329753.5253821202</v>
      </c>
      <c r="Q194" s="658">
        <v>899028.27816603892</v>
      </c>
    </row>
    <row r="195" spans="1:17" s="136" customFormat="1" outlineLevel="1">
      <c r="A195" s="152" t="s">
        <v>251</v>
      </c>
      <c r="B195" s="144" t="s">
        <v>1205</v>
      </c>
      <c r="C195" s="141" t="s">
        <v>826</v>
      </c>
      <c r="D195" s="659">
        <f>' 4.4-КТЭЦ_комбинир.'!D195+' 4.4-котельные'!D195</f>
        <v>66389.422404365454</v>
      </c>
      <c r="E195" s="659">
        <f>' 4.4-КТЭЦ_комбинир.'!E195+' 4.4-котельные'!E195</f>
        <v>50553.088650730897</v>
      </c>
      <c r="F195" s="659">
        <v>54951.390840205451</v>
      </c>
      <c r="G195" s="659">
        <v>44489.061590000005</v>
      </c>
      <c r="H195" s="659">
        <v>45612.675983902504</v>
      </c>
      <c r="I195" s="659">
        <v>40686.76008</v>
      </c>
      <c r="J195" s="659">
        <v>50101.464986460262</v>
      </c>
      <c r="K195" s="659">
        <v>43754.449049999996</v>
      </c>
      <c r="L195" s="659">
        <v>56168.882450000005</v>
      </c>
      <c r="M195" s="659">
        <v>35289.688800000004</v>
      </c>
      <c r="N195" s="659">
        <v>20879.193650000001</v>
      </c>
      <c r="O195" s="659">
        <v>60413.384819999999</v>
      </c>
      <c r="P195" s="659">
        <v>38055.445059999998</v>
      </c>
      <c r="Q195" s="659">
        <v>22357.939760000001</v>
      </c>
    </row>
    <row r="196" spans="1:17" s="136" customFormat="1" hidden="1" outlineLevel="1">
      <c r="A196" s="152"/>
      <c r="B196" s="144"/>
      <c r="C196" s="141"/>
      <c r="D196" s="659"/>
      <c r="E196" s="659"/>
      <c r="F196" s="659"/>
      <c r="G196" s="659"/>
      <c r="H196" s="659"/>
      <c r="I196" s="659"/>
      <c r="J196" s="659"/>
      <c r="K196" s="659"/>
      <c r="L196" s="659">
        <v>0</v>
      </c>
      <c r="M196" s="659"/>
      <c r="N196" s="659"/>
      <c r="O196" s="659">
        <v>0</v>
      </c>
      <c r="P196" s="659"/>
      <c r="Q196" s="659"/>
    </row>
    <row r="197" spans="1:17" s="136" customFormat="1" outlineLevel="1">
      <c r="A197" s="152" t="s">
        <v>252</v>
      </c>
      <c r="B197" s="144" t="s">
        <v>810</v>
      </c>
      <c r="C197" s="141" t="s">
        <v>826</v>
      </c>
      <c r="D197" s="659">
        <f>' 4.4-КТЭЦ_комбинир.'!D197+' 4.4-котельные'!D197</f>
        <v>994470.80031905964</v>
      </c>
      <c r="E197" s="659">
        <f>' 4.4-КТЭЦ_комбинир.'!E197+' 4.4-котельные'!E197</f>
        <v>1092485.1947217244</v>
      </c>
      <c r="F197" s="659">
        <v>1052488.1933076081</v>
      </c>
      <c r="G197" s="659">
        <v>932366.6311511466</v>
      </c>
      <c r="H197" s="659">
        <v>1323972.1371726566</v>
      </c>
      <c r="I197" s="659">
        <v>884709.16384421545</v>
      </c>
      <c r="J197" s="659" t="e">
        <v>#DIV/0!</v>
      </c>
      <c r="K197" s="659">
        <v>1061955.1162026278</v>
      </c>
      <c r="L197" s="659">
        <v>1159544.0803837227</v>
      </c>
      <c r="M197" s="659">
        <v>700216.14638248179</v>
      </c>
      <c r="N197" s="659">
        <v>459327.93400124082</v>
      </c>
      <c r="O197" s="659">
        <v>1199749.7929630657</v>
      </c>
      <c r="P197" s="659">
        <v>726934.5495413139</v>
      </c>
      <c r="Q197" s="659">
        <v>472815.24342175189</v>
      </c>
    </row>
    <row r="198" spans="1:17" s="136" customFormat="1" outlineLevel="1">
      <c r="A198" s="152"/>
      <c r="B198" s="623" t="s">
        <v>1224</v>
      </c>
      <c r="C198" s="141" t="s">
        <v>826</v>
      </c>
      <c r="D198" s="659">
        <f>' 4.4-КТЭЦ_комбинир.'!D198</f>
        <v>28289.057485771653</v>
      </c>
      <c r="E198" s="659">
        <f>' 4.4-КТЭЦ_комбинир.'!E198</f>
        <v>8046.7267499999998</v>
      </c>
      <c r="F198" s="659">
        <v>29274.779836993948</v>
      </c>
      <c r="G198" s="659">
        <v>832.83115114672557</v>
      </c>
      <c r="H198" s="659">
        <v>28942.889687113529</v>
      </c>
      <c r="I198" s="659">
        <v>4921.1381963430513</v>
      </c>
      <c r="J198" s="659" t="e">
        <v>#DIV/0!</v>
      </c>
      <c r="K198" s="659">
        <v>109187.82772262773</v>
      </c>
      <c r="L198" s="659">
        <v>115344.22477372261</v>
      </c>
      <c r="M198" s="659">
        <v>80768.879182481745</v>
      </c>
      <c r="N198" s="659">
        <v>34575.345591240868</v>
      </c>
      <c r="O198" s="659">
        <v>119244.45334306569</v>
      </c>
      <c r="P198" s="659">
        <v>83698.634861313869</v>
      </c>
      <c r="Q198" s="659">
        <v>35545.818481751819</v>
      </c>
    </row>
    <row r="199" spans="1:17" s="136" customFormat="1" outlineLevel="1">
      <c r="A199" s="152"/>
      <c r="B199" s="623" t="s">
        <v>1234</v>
      </c>
      <c r="C199" s="141" t="s">
        <v>826</v>
      </c>
      <c r="D199" s="659">
        <f>' 4.4-КТЭЦ_комбинир.'!D199</f>
        <v>0</v>
      </c>
      <c r="E199" s="659">
        <f>' 4.4-КТЭЦ_комбинир.'!E199</f>
        <v>7857.3450000000003</v>
      </c>
      <c r="F199" s="659">
        <v>0</v>
      </c>
      <c r="G199" s="659">
        <v>3624</v>
      </c>
      <c r="H199" s="659">
        <v>0</v>
      </c>
      <c r="I199" s="659">
        <v>1791.8882978723404</v>
      </c>
      <c r="J199" s="659" t="e">
        <v>#DIV/0!</v>
      </c>
      <c r="K199" s="659">
        <v>0</v>
      </c>
      <c r="L199" s="659">
        <v>0</v>
      </c>
      <c r="M199" s="659">
        <v>0</v>
      </c>
      <c r="N199" s="659">
        <v>0</v>
      </c>
      <c r="O199" s="659">
        <v>0</v>
      </c>
      <c r="P199" s="659">
        <v>0</v>
      </c>
      <c r="Q199" s="659">
        <v>0</v>
      </c>
    </row>
    <row r="200" spans="1:17" s="136" customFormat="1" outlineLevel="1">
      <c r="A200" s="152"/>
      <c r="B200" s="623" t="s">
        <v>1242</v>
      </c>
      <c r="C200" s="141" t="s">
        <v>826</v>
      </c>
      <c r="D200" s="659">
        <f>' 4.4-котельные'!D197</f>
        <v>966181.74283328804</v>
      </c>
      <c r="E200" s="659">
        <f>' 4.4-котельные'!E197</f>
        <v>1076581.1229717245</v>
      </c>
      <c r="F200" s="659">
        <v>1023213.4134706142</v>
      </c>
      <c r="G200" s="659">
        <v>927909.79999999993</v>
      </c>
      <c r="H200" s="659">
        <v>1295029.2474855431</v>
      </c>
      <c r="I200" s="659">
        <v>877996.13735000009</v>
      </c>
      <c r="J200" s="659">
        <v>1045089.3524879604</v>
      </c>
      <c r="K200" s="659">
        <v>952767.28847999999</v>
      </c>
      <c r="L200" s="659">
        <v>1044199.85561</v>
      </c>
      <c r="M200" s="659">
        <v>619447.2672</v>
      </c>
      <c r="N200" s="659">
        <v>424752.58840999997</v>
      </c>
      <c r="O200" s="659">
        <v>1080505.3396200002</v>
      </c>
      <c r="P200" s="659">
        <v>643235.91468000005</v>
      </c>
      <c r="Q200" s="659">
        <v>437269.42494000006</v>
      </c>
    </row>
    <row r="201" spans="1:17" s="136" customFormat="1" outlineLevel="1">
      <c r="A201" s="152" t="s">
        <v>253</v>
      </c>
      <c r="B201" s="144" t="s">
        <v>811</v>
      </c>
      <c r="C201" s="141" t="s">
        <v>826</v>
      </c>
      <c r="D201" s="659">
        <f t="shared" ref="D201:F201" si="47">D202+D203+D204</f>
        <v>827092.43123764975</v>
      </c>
      <c r="E201" s="659">
        <f t="shared" si="47"/>
        <v>757010.82579999988</v>
      </c>
      <c r="F201" s="659">
        <v>874804.21188160335</v>
      </c>
      <c r="G201" s="659">
        <v>896932.95087000006</v>
      </c>
      <c r="H201" s="659">
        <v>884471.54887121008</v>
      </c>
      <c r="I201" s="659">
        <v>861619.85871198215</v>
      </c>
      <c r="J201" s="659" t="e">
        <v>#DIV/0!</v>
      </c>
      <c r="K201" s="659">
        <v>899798.34490216139</v>
      </c>
      <c r="L201" s="659">
        <v>913799.78155093011</v>
      </c>
      <c r="M201" s="659">
        <v>534225.174393047</v>
      </c>
      <c r="N201" s="659">
        <v>379574.60715788312</v>
      </c>
      <c r="O201" s="659">
        <v>941506.7645050931</v>
      </c>
      <c r="P201" s="659">
        <v>550575.94946080609</v>
      </c>
      <c r="Q201" s="659">
        <v>390930.81504428701</v>
      </c>
    </row>
    <row r="202" spans="1:17" s="136" customFormat="1" outlineLevel="1">
      <c r="A202" s="152"/>
      <c r="B202" s="623" t="s">
        <v>1224</v>
      </c>
      <c r="C202" s="141" t="s">
        <v>826</v>
      </c>
      <c r="D202" s="659">
        <f>' 4.4-КТЭЦ_комбинир.'!D202</f>
        <v>228475.08414802648</v>
      </c>
      <c r="E202" s="659">
        <f>' 4.4-КТЭЦ_комбинир.'!E202</f>
        <v>220528.81161999999</v>
      </c>
      <c r="F202" s="659">
        <v>234851.6028520815</v>
      </c>
      <c r="G202" s="659">
        <v>247222</v>
      </c>
      <c r="H202" s="659">
        <v>238992.11497080003</v>
      </c>
      <c r="I202" s="659">
        <v>238595.16102521613</v>
      </c>
      <c r="J202" s="659" t="e">
        <v>#DIV/0!</v>
      </c>
      <c r="K202" s="659">
        <v>238731.6925066431</v>
      </c>
      <c r="L202" s="659">
        <v>213431.7569707706</v>
      </c>
      <c r="M202" s="659">
        <v>118592.03160318868</v>
      </c>
      <c r="N202" s="659">
        <v>94839.725367581923</v>
      </c>
      <c r="O202" s="659">
        <v>219899.39713020372</v>
      </c>
      <c r="P202" s="659">
        <v>122221.79394154121</v>
      </c>
      <c r="Q202" s="659">
        <v>97677.603188662528</v>
      </c>
    </row>
    <row r="203" spans="1:17" s="136" customFormat="1" outlineLevel="1">
      <c r="A203" s="152"/>
      <c r="B203" s="623" t="s">
        <v>1234</v>
      </c>
      <c r="C203" s="141" t="s">
        <v>826</v>
      </c>
      <c r="D203" s="659">
        <f>' 4.4-КТЭЦ_комбинир.'!D203</f>
        <v>541350.54014006862</v>
      </c>
      <c r="E203" s="659">
        <f>' 4.4-КТЭЦ_комбинир.'!E203</f>
        <v>509317.88757999998</v>
      </c>
      <c r="F203" s="659">
        <v>562956.84325952176</v>
      </c>
      <c r="G203" s="659">
        <v>568833</v>
      </c>
      <c r="H203" s="659">
        <v>577772.9573298801</v>
      </c>
      <c r="I203" s="659">
        <v>546402.53500676609</v>
      </c>
      <c r="J203" s="659" t="e">
        <v>#DIV/0!</v>
      </c>
      <c r="K203" s="659">
        <v>574302.46313551825</v>
      </c>
      <c r="L203" s="659">
        <v>612122.0355801594</v>
      </c>
      <c r="M203" s="659">
        <v>364090.8950398583</v>
      </c>
      <c r="N203" s="659">
        <v>248031.14054030116</v>
      </c>
      <c r="O203" s="659">
        <v>630687.62112488924</v>
      </c>
      <c r="P203" s="659">
        <v>375234.67426926485</v>
      </c>
      <c r="Q203" s="659">
        <v>255452.94685562444</v>
      </c>
    </row>
    <row r="204" spans="1:17" s="136" customFormat="1" outlineLevel="1">
      <c r="A204" s="152"/>
      <c r="B204" s="623" t="s">
        <v>1242</v>
      </c>
      <c r="C204" s="141" t="s">
        <v>826</v>
      </c>
      <c r="D204" s="659">
        <f>' 4.4-котельные'!D201</f>
        <v>57266.806949554637</v>
      </c>
      <c r="E204" s="659">
        <f>' 4.4-котельные'!E201</f>
        <v>27164.126599999996</v>
      </c>
      <c r="F204" s="659">
        <v>76995.765770000013</v>
      </c>
      <c r="G204" s="659">
        <v>80877.950870000001</v>
      </c>
      <c r="H204" s="659">
        <v>67706.476570529994</v>
      </c>
      <c r="I204" s="659">
        <v>76622.162679999994</v>
      </c>
      <c r="J204" s="659">
        <v>86745.693048715693</v>
      </c>
      <c r="K204" s="659">
        <v>86764.189259999999</v>
      </c>
      <c r="L204" s="659">
        <v>88245.989000000001</v>
      </c>
      <c r="M204" s="659">
        <v>51542.247750000002</v>
      </c>
      <c r="N204" s="659">
        <v>36703.741249999999</v>
      </c>
      <c r="O204" s="659">
        <v>90919.746249999997</v>
      </c>
      <c r="P204" s="659">
        <v>53119.481250000004</v>
      </c>
      <c r="Q204" s="659">
        <v>37800.264999999999</v>
      </c>
    </row>
    <row r="205" spans="1:17" s="136" customFormat="1" outlineLevel="1">
      <c r="A205" s="152" t="s">
        <v>254</v>
      </c>
      <c r="B205" s="154" t="s">
        <v>812</v>
      </c>
      <c r="C205" s="141" t="s">
        <v>826</v>
      </c>
      <c r="D205" s="659"/>
      <c r="E205" s="659"/>
      <c r="F205" s="659"/>
      <c r="G205" s="659"/>
      <c r="H205" s="659"/>
      <c r="I205" s="659"/>
      <c r="J205" s="659"/>
      <c r="K205" s="659"/>
      <c r="L205" s="659"/>
      <c r="M205" s="659"/>
      <c r="N205" s="659"/>
      <c r="O205" s="659"/>
      <c r="P205" s="659"/>
      <c r="Q205" s="659"/>
    </row>
    <row r="206" spans="1:17" s="136" customFormat="1" outlineLevel="1">
      <c r="A206" s="152" t="s">
        <v>255</v>
      </c>
      <c r="B206" s="154" t="s">
        <v>813</v>
      </c>
      <c r="C206" s="141" t="s">
        <v>826</v>
      </c>
      <c r="D206" s="659"/>
      <c r="E206" s="659"/>
      <c r="F206" s="659"/>
      <c r="G206" s="659"/>
      <c r="H206" s="659"/>
      <c r="I206" s="659"/>
      <c r="J206" s="659"/>
      <c r="K206" s="659"/>
      <c r="L206" s="659"/>
      <c r="M206" s="659"/>
      <c r="N206" s="659"/>
      <c r="O206" s="659"/>
      <c r="P206" s="659"/>
      <c r="Q206" s="659"/>
    </row>
    <row r="207" spans="1:17" s="136" customFormat="1" outlineLevel="1">
      <c r="A207" s="152" t="s">
        <v>256</v>
      </c>
      <c r="B207" s="154" t="s">
        <v>814</v>
      </c>
      <c r="C207" s="141" t="s">
        <v>826</v>
      </c>
      <c r="D207" s="659"/>
      <c r="E207" s="659"/>
      <c r="F207" s="659"/>
      <c r="G207" s="659"/>
      <c r="H207" s="659"/>
      <c r="I207" s="659"/>
      <c r="J207" s="659"/>
      <c r="K207" s="659"/>
      <c r="L207" s="659"/>
      <c r="M207" s="659"/>
      <c r="N207" s="659"/>
      <c r="O207" s="659"/>
      <c r="P207" s="659"/>
      <c r="Q207" s="659"/>
    </row>
    <row r="208" spans="1:17" s="136" customFormat="1" outlineLevel="1">
      <c r="A208" s="152" t="s">
        <v>1212</v>
      </c>
      <c r="B208" s="144" t="s">
        <v>824</v>
      </c>
      <c r="C208" s="141" t="s">
        <v>826</v>
      </c>
      <c r="D208" s="659">
        <f>' 4.4-КТЭЦ_комбинир.'!D208+' 4.4-котельные'!D208</f>
        <v>0</v>
      </c>
      <c r="E208" s="659">
        <f>' 4.4-КТЭЦ_комбинир.'!E208+' 4.4-котельные'!E208</f>
        <v>0</v>
      </c>
      <c r="F208" s="659">
        <v>0</v>
      </c>
      <c r="G208" s="659">
        <v>0</v>
      </c>
      <c r="H208" s="659">
        <v>0</v>
      </c>
      <c r="I208" s="659">
        <v>0</v>
      </c>
      <c r="J208" s="659" t="e">
        <v>#DIV/0!</v>
      </c>
      <c r="K208" s="659">
        <v>12174.71904</v>
      </c>
      <c r="L208" s="659">
        <v>26941.855239999997</v>
      </c>
      <c r="M208" s="659">
        <v>14082.906279999999</v>
      </c>
      <c r="N208" s="659">
        <v>12858.94896</v>
      </c>
      <c r="O208" s="659">
        <v>27111.861259999998</v>
      </c>
      <c r="P208" s="659">
        <v>14187.581319999999</v>
      </c>
      <c r="Q208" s="659">
        <v>12924.279939999999</v>
      </c>
    </row>
    <row r="209" spans="1:17" s="136" customFormat="1" ht="25.5" outlineLevel="1">
      <c r="A209" s="650" t="s">
        <v>257</v>
      </c>
      <c r="B209" s="657" t="s">
        <v>829</v>
      </c>
      <c r="C209" s="643"/>
      <c r="D209" s="638"/>
      <c r="E209" s="638"/>
      <c r="F209" s="638"/>
      <c r="G209" s="638"/>
      <c r="H209" s="638"/>
      <c r="I209" s="638"/>
      <c r="J209" s="638"/>
      <c r="K209" s="638"/>
      <c r="L209" s="638"/>
      <c r="M209" s="638"/>
      <c r="N209" s="638"/>
      <c r="O209" s="638"/>
      <c r="P209" s="638"/>
      <c r="Q209" s="638"/>
    </row>
    <row r="210" spans="1:17" s="136" customFormat="1" outlineLevel="1">
      <c r="A210" s="152" t="s">
        <v>259</v>
      </c>
      <c r="B210" s="144" t="s">
        <v>1205</v>
      </c>
      <c r="C210" s="141" t="s">
        <v>138</v>
      </c>
      <c r="D210" s="134"/>
      <c r="E210" s="134"/>
      <c r="F210" s="134"/>
      <c r="G210" s="134"/>
      <c r="H210" s="134"/>
      <c r="I210" s="134"/>
      <c r="J210" s="134"/>
      <c r="K210" s="134"/>
      <c r="L210" s="134"/>
      <c r="M210" s="134"/>
      <c r="N210" s="134"/>
      <c r="O210" s="134"/>
      <c r="P210" s="134"/>
      <c r="Q210" s="134"/>
    </row>
    <row r="211" spans="1:17" s="136" customFormat="1" hidden="1" outlineLevel="1">
      <c r="A211" s="152"/>
      <c r="B211" s="144"/>
      <c r="C211" s="141"/>
      <c r="D211" s="134"/>
      <c r="E211" s="134"/>
      <c r="F211" s="134"/>
      <c r="G211" s="134"/>
      <c r="H211" s="134"/>
      <c r="I211" s="134"/>
      <c r="J211" s="134"/>
      <c r="K211" s="134"/>
      <c r="L211" s="134"/>
      <c r="M211" s="134"/>
      <c r="N211" s="134"/>
      <c r="O211" s="134"/>
      <c r="P211" s="134"/>
      <c r="Q211" s="134"/>
    </row>
    <row r="212" spans="1:17" s="136" customFormat="1" outlineLevel="1">
      <c r="A212" s="152" t="s">
        <v>260</v>
      </c>
      <c r="B212" s="144" t="s">
        <v>810</v>
      </c>
      <c r="C212" s="141" t="s">
        <v>138</v>
      </c>
      <c r="D212" s="134"/>
      <c r="E212" s="134"/>
      <c r="F212" s="134"/>
      <c r="G212" s="134"/>
      <c r="H212" s="134"/>
      <c r="I212" s="134"/>
      <c r="J212" s="134"/>
      <c r="K212" s="134"/>
      <c r="L212" s="134"/>
      <c r="M212" s="134"/>
      <c r="N212" s="134"/>
      <c r="O212" s="134"/>
      <c r="P212" s="134"/>
      <c r="Q212" s="134"/>
    </row>
    <row r="213" spans="1:17" s="136" customFormat="1" outlineLevel="1">
      <c r="A213" s="152" t="s">
        <v>261</v>
      </c>
      <c r="B213" s="144" t="s">
        <v>811</v>
      </c>
      <c r="C213" s="141" t="s">
        <v>138</v>
      </c>
      <c r="D213" s="134"/>
      <c r="E213" s="134"/>
      <c r="F213" s="134"/>
      <c r="G213" s="134"/>
      <c r="H213" s="134"/>
      <c r="I213" s="134"/>
      <c r="J213" s="134"/>
      <c r="K213" s="134"/>
      <c r="L213" s="134"/>
      <c r="M213" s="134"/>
      <c r="N213" s="134"/>
      <c r="O213" s="134"/>
      <c r="P213" s="134"/>
      <c r="Q213" s="134"/>
    </row>
    <row r="214" spans="1:17" s="136" customFormat="1" outlineLevel="1">
      <c r="A214" s="152" t="s">
        <v>262</v>
      </c>
      <c r="B214" s="154" t="s">
        <v>812</v>
      </c>
      <c r="C214" s="141" t="s">
        <v>138</v>
      </c>
      <c r="D214" s="134"/>
      <c r="E214" s="134"/>
      <c r="F214" s="134"/>
      <c r="G214" s="134"/>
      <c r="H214" s="134"/>
      <c r="I214" s="134"/>
      <c r="J214" s="134"/>
      <c r="K214" s="134"/>
      <c r="L214" s="134"/>
      <c r="M214" s="134"/>
      <c r="N214" s="134"/>
      <c r="O214" s="134"/>
      <c r="P214" s="134"/>
      <c r="Q214" s="134"/>
    </row>
    <row r="215" spans="1:17" s="136" customFormat="1" outlineLevel="1">
      <c r="A215" s="152" t="s">
        <v>263</v>
      </c>
      <c r="B215" s="154" t="s">
        <v>813</v>
      </c>
      <c r="C215" s="141" t="s">
        <v>138</v>
      </c>
      <c r="D215" s="134"/>
      <c r="E215" s="134"/>
      <c r="F215" s="134"/>
      <c r="G215" s="134"/>
      <c r="H215" s="134"/>
      <c r="I215" s="134"/>
      <c r="J215" s="134"/>
      <c r="K215" s="134"/>
      <c r="L215" s="134"/>
      <c r="M215" s="134"/>
      <c r="N215" s="134"/>
      <c r="O215" s="134"/>
      <c r="P215" s="134"/>
      <c r="Q215" s="134"/>
    </row>
    <row r="216" spans="1:17" s="136" customFormat="1" outlineLevel="1">
      <c r="A216" s="152" t="s">
        <v>264</v>
      </c>
      <c r="B216" s="154" t="s">
        <v>814</v>
      </c>
      <c r="C216" s="141" t="s">
        <v>138</v>
      </c>
      <c r="D216" s="134"/>
      <c r="E216" s="134"/>
      <c r="F216" s="134"/>
      <c r="G216" s="134"/>
      <c r="H216" s="134"/>
      <c r="I216" s="134"/>
      <c r="J216" s="134"/>
      <c r="K216" s="134"/>
      <c r="L216" s="134"/>
      <c r="M216" s="134"/>
      <c r="N216" s="134"/>
      <c r="O216" s="134"/>
      <c r="P216" s="134"/>
      <c r="Q216" s="134"/>
    </row>
    <row r="217" spans="1:17" s="136" customFormat="1" outlineLevel="1">
      <c r="A217" s="152" t="s">
        <v>265</v>
      </c>
      <c r="B217" s="144" t="s">
        <v>1220</v>
      </c>
      <c r="C217" s="141" t="s">
        <v>138</v>
      </c>
      <c r="D217" s="134"/>
      <c r="E217" s="134"/>
      <c r="F217" s="134"/>
      <c r="G217" s="134"/>
      <c r="H217" s="134"/>
      <c r="I217" s="134"/>
      <c r="J217" s="134"/>
      <c r="K217" s="134"/>
      <c r="L217" s="134"/>
      <c r="M217" s="134"/>
      <c r="N217" s="134"/>
      <c r="O217" s="134"/>
      <c r="P217" s="134"/>
      <c r="Q217" s="134"/>
    </row>
    <row r="218" spans="1:17" s="136" customFormat="1" ht="15.75" customHeight="1" outlineLevel="1">
      <c r="A218" s="650" t="s">
        <v>266</v>
      </c>
      <c r="B218" s="638" t="s">
        <v>830</v>
      </c>
      <c r="C218" s="643"/>
      <c r="D218" s="644"/>
      <c r="E218" s="644"/>
      <c r="F218" s="644"/>
      <c r="G218" s="644"/>
      <c r="H218" s="644"/>
      <c r="I218" s="644"/>
      <c r="J218" s="644"/>
      <c r="K218" s="644"/>
      <c r="L218" s="644"/>
      <c r="M218" s="644"/>
      <c r="N218" s="644"/>
      <c r="O218" s="644"/>
      <c r="P218" s="644"/>
      <c r="Q218" s="644"/>
    </row>
    <row r="219" spans="1:17" s="136" customFormat="1" outlineLevel="1">
      <c r="A219" s="152" t="s">
        <v>268</v>
      </c>
      <c r="B219" s="144" t="s">
        <v>1205</v>
      </c>
      <c r="C219" s="141" t="s">
        <v>231</v>
      </c>
      <c r="D219" s="134"/>
      <c r="E219" s="134"/>
      <c r="F219" s="273"/>
      <c r="G219" s="134"/>
      <c r="H219" s="134"/>
      <c r="I219" s="134"/>
      <c r="J219" s="134"/>
      <c r="K219" s="134"/>
      <c r="L219" s="134"/>
      <c r="M219" s="134"/>
      <c r="N219" s="134"/>
      <c r="O219" s="134"/>
      <c r="P219" s="134"/>
      <c r="Q219" s="134"/>
    </row>
    <row r="220" spans="1:17" s="136" customFormat="1" hidden="1" outlineLevel="1">
      <c r="A220" s="152"/>
      <c r="B220" s="144"/>
      <c r="C220" s="141"/>
      <c r="D220" s="134"/>
      <c r="E220" s="134"/>
      <c r="F220" s="273"/>
      <c r="G220" s="134"/>
      <c r="H220" s="134"/>
      <c r="I220" s="134"/>
      <c r="J220" s="134"/>
      <c r="K220" s="134"/>
      <c r="L220" s="134"/>
      <c r="M220" s="134"/>
      <c r="N220" s="134"/>
      <c r="O220" s="134"/>
      <c r="P220" s="134"/>
      <c r="Q220" s="134"/>
    </row>
    <row r="221" spans="1:17" s="136" customFormat="1" outlineLevel="1">
      <c r="A221" s="152" t="s">
        <v>269</v>
      </c>
      <c r="B221" s="144" t="s">
        <v>810</v>
      </c>
      <c r="C221" s="141" t="s">
        <v>231</v>
      </c>
      <c r="D221" s="134"/>
      <c r="E221" s="134"/>
      <c r="F221" s="273"/>
      <c r="G221" s="134"/>
      <c r="H221" s="134"/>
      <c r="I221" s="134"/>
      <c r="J221" s="134"/>
      <c r="K221" s="134"/>
      <c r="L221" s="134"/>
      <c r="M221" s="134"/>
      <c r="N221" s="134"/>
      <c r="O221" s="134"/>
      <c r="P221" s="134"/>
      <c r="Q221" s="134"/>
    </row>
    <row r="222" spans="1:17" s="136" customFormat="1" ht="15.75" outlineLevel="1">
      <c r="A222" s="152" t="s">
        <v>270</v>
      </c>
      <c r="B222" s="144" t="s">
        <v>811</v>
      </c>
      <c r="C222" s="141" t="s">
        <v>825</v>
      </c>
      <c r="D222" s="134"/>
      <c r="E222" s="134"/>
      <c r="F222" s="273"/>
      <c r="G222" s="134"/>
      <c r="H222" s="134"/>
      <c r="I222" s="134"/>
      <c r="J222" s="134"/>
      <c r="K222" s="134"/>
      <c r="L222" s="134"/>
      <c r="M222" s="134"/>
      <c r="N222" s="134"/>
      <c r="O222" s="134"/>
      <c r="P222" s="134"/>
      <c r="Q222" s="134"/>
    </row>
    <row r="223" spans="1:17" s="136" customFormat="1" ht="15.75" outlineLevel="1">
      <c r="A223" s="152" t="s">
        <v>271</v>
      </c>
      <c r="B223" s="154" t="s">
        <v>812</v>
      </c>
      <c r="C223" s="141" t="s">
        <v>825</v>
      </c>
      <c r="D223" s="134"/>
      <c r="E223" s="134"/>
      <c r="F223" s="273"/>
      <c r="G223" s="134"/>
      <c r="H223" s="134"/>
      <c r="I223" s="134"/>
      <c r="J223" s="134"/>
      <c r="K223" s="134"/>
      <c r="L223" s="134"/>
      <c r="M223" s="134"/>
      <c r="N223" s="134"/>
      <c r="O223" s="134"/>
      <c r="P223" s="134"/>
      <c r="Q223" s="134"/>
    </row>
    <row r="224" spans="1:17" s="136" customFormat="1" ht="15.75" outlineLevel="1">
      <c r="A224" s="152" t="s">
        <v>272</v>
      </c>
      <c r="B224" s="154" t="s">
        <v>813</v>
      </c>
      <c r="C224" s="141" t="s">
        <v>825</v>
      </c>
      <c r="D224" s="134"/>
      <c r="E224" s="134"/>
      <c r="F224" s="273"/>
      <c r="G224" s="134"/>
      <c r="H224" s="134"/>
      <c r="I224" s="134"/>
      <c r="J224" s="134"/>
      <c r="K224" s="134"/>
      <c r="L224" s="134"/>
      <c r="M224" s="134"/>
      <c r="N224" s="134"/>
      <c r="O224" s="134"/>
      <c r="P224" s="134"/>
      <c r="Q224" s="134"/>
    </row>
    <row r="225" spans="1:17" s="136" customFormat="1" ht="15.75" outlineLevel="1">
      <c r="A225" s="152" t="s">
        <v>273</v>
      </c>
      <c r="B225" s="154" t="s">
        <v>814</v>
      </c>
      <c r="C225" s="141" t="s">
        <v>825</v>
      </c>
      <c r="D225" s="134"/>
      <c r="E225" s="134"/>
      <c r="F225" s="273"/>
      <c r="G225" s="134"/>
      <c r="H225" s="134"/>
      <c r="I225" s="134"/>
      <c r="J225" s="134"/>
      <c r="K225" s="134"/>
      <c r="L225" s="134"/>
      <c r="M225" s="134"/>
      <c r="N225" s="134"/>
      <c r="O225" s="134"/>
      <c r="P225" s="134"/>
      <c r="Q225" s="134"/>
    </row>
    <row r="226" spans="1:17" s="136" customFormat="1" outlineLevel="1">
      <c r="A226" s="152" t="s">
        <v>274</v>
      </c>
      <c r="B226" s="144" t="s">
        <v>1220</v>
      </c>
      <c r="C226" s="141" t="s">
        <v>231</v>
      </c>
      <c r="D226" s="134"/>
      <c r="E226" s="134"/>
      <c r="F226" s="273"/>
      <c r="G226" s="134"/>
      <c r="H226" s="134"/>
      <c r="I226" s="134"/>
      <c r="J226" s="134"/>
      <c r="K226" s="134"/>
      <c r="L226" s="134"/>
      <c r="M226" s="134"/>
      <c r="N226" s="134"/>
      <c r="O226" s="134"/>
      <c r="P226" s="134"/>
      <c r="Q226" s="134"/>
    </row>
    <row r="227" spans="1:17" s="136" customFormat="1" ht="17.25" customHeight="1" outlineLevel="1">
      <c r="A227" s="650" t="s">
        <v>275</v>
      </c>
      <c r="B227" s="638" t="s">
        <v>276</v>
      </c>
      <c r="C227" s="643" t="s">
        <v>826</v>
      </c>
      <c r="D227" s="656">
        <f>D228+D230+D231+D235</f>
        <v>0</v>
      </c>
      <c r="E227" s="656">
        <f t="shared" ref="E227:N227" si="48">E228+E230+E231+E235</f>
        <v>0</v>
      </c>
      <c r="F227" s="656">
        <v>0</v>
      </c>
      <c r="G227" s="656">
        <v>0</v>
      </c>
      <c r="H227" s="656">
        <v>0</v>
      </c>
      <c r="I227" s="656">
        <v>0</v>
      </c>
      <c r="J227" s="656" t="e">
        <v>#DIV/0!</v>
      </c>
      <c r="K227" s="656">
        <v>0</v>
      </c>
      <c r="L227" s="656">
        <v>0</v>
      </c>
      <c r="M227" s="656">
        <v>0</v>
      </c>
      <c r="N227" s="656">
        <v>0</v>
      </c>
      <c r="O227" s="656">
        <v>0</v>
      </c>
      <c r="P227" s="656">
        <v>0</v>
      </c>
      <c r="Q227" s="656">
        <v>0</v>
      </c>
    </row>
    <row r="228" spans="1:17" s="136" customFormat="1" outlineLevel="1">
      <c r="A228" s="152" t="s">
        <v>277</v>
      </c>
      <c r="B228" s="144" t="s">
        <v>1205</v>
      </c>
      <c r="C228" s="141" t="s">
        <v>826</v>
      </c>
      <c r="D228" s="652">
        <f t="shared" ref="D228:G228" si="49">D219*D140</f>
        <v>0</v>
      </c>
      <c r="E228" s="652">
        <f t="shared" si="49"/>
        <v>0</v>
      </c>
      <c r="F228" s="652">
        <v>0</v>
      </c>
      <c r="G228" s="652">
        <v>0</v>
      </c>
      <c r="H228" s="652">
        <v>0</v>
      </c>
      <c r="I228" s="652">
        <v>0</v>
      </c>
      <c r="J228" s="652">
        <v>0</v>
      </c>
      <c r="K228" s="652">
        <v>0</v>
      </c>
      <c r="L228" s="273">
        <v>0</v>
      </c>
      <c r="M228" s="652">
        <v>0</v>
      </c>
      <c r="N228" s="652">
        <v>0</v>
      </c>
      <c r="O228" s="273">
        <v>0</v>
      </c>
      <c r="P228" s="652">
        <v>0</v>
      </c>
      <c r="Q228" s="652">
        <v>0</v>
      </c>
    </row>
    <row r="229" spans="1:17" s="136" customFormat="1" hidden="1" outlineLevel="1">
      <c r="A229" s="152"/>
      <c r="B229" s="144"/>
      <c r="C229" s="141"/>
      <c r="D229" s="652"/>
      <c r="E229" s="652"/>
      <c r="F229" s="652"/>
      <c r="G229" s="652"/>
      <c r="H229" s="652"/>
      <c r="I229" s="652"/>
      <c r="J229" s="652"/>
      <c r="K229" s="652"/>
      <c r="L229" s="134"/>
      <c r="M229" s="652"/>
      <c r="N229" s="652"/>
      <c r="O229" s="134"/>
      <c r="P229" s="652"/>
      <c r="Q229" s="652"/>
    </row>
    <row r="230" spans="1:17" s="136" customFormat="1" outlineLevel="1">
      <c r="A230" s="152" t="s">
        <v>278</v>
      </c>
      <c r="B230" s="144" t="s">
        <v>810</v>
      </c>
      <c r="C230" s="141" t="s">
        <v>826</v>
      </c>
      <c r="D230" s="652">
        <f t="shared" ref="D230:G230" si="50">D221*D142</f>
        <v>0</v>
      </c>
      <c r="E230" s="652">
        <f t="shared" si="50"/>
        <v>0</v>
      </c>
      <c r="F230" s="652">
        <v>0</v>
      </c>
      <c r="G230" s="652">
        <v>0</v>
      </c>
      <c r="H230" s="652">
        <v>0</v>
      </c>
      <c r="I230" s="652">
        <v>0</v>
      </c>
      <c r="J230" s="652">
        <v>0</v>
      </c>
      <c r="K230" s="652">
        <v>0</v>
      </c>
      <c r="L230" s="273">
        <v>0</v>
      </c>
      <c r="M230" s="652">
        <v>0</v>
      </c>
      <c r="N230" s="652">
        <v>0</v>
      </c>
      <c r="O230" s="273">
        <v>0</v>
      </c>
      <c r="P230" s="652">
        <v>0</v>
      </c>
      <c r="Q230" s="652">
        <v>0</v>
      </c>
    </row>
    <row r="231" spans="1:17" s="136" customFormat="1" outlineLevel="1">
      <c r="A231" s="152" t="s">
        <v>279</v>
      </c>
      <c r="B231" s="144" t="s">
        <v>811</v>
      </c>
      <c r="C231" s="141" t="s">
        <v>826</v>
      </c>
      <c r="D231" s="652"/>
      <c r="E231" s="652"/>
      <c r="F231" s="652"/>
      <c r="G231" s="652"/>
      <c r="H231" s="652"/>
      <c r="I231" s="652"/>
      <c r="J231" s="652"/>
      <c r="K231" s="652"/>
      <c r="L231" s="134"/>
      <c r="M231" s="652"/>
      <c r="N231" s="652"/>
      <c r="O231" s="134"/>
      <c r="P231" s="652"/>
      <c r="Q231" s="652"/>
    </row>
    <row r="232" spans="1:17" s="136" customFormat="1" outlineLevel="1">
      <c r="A232" s="152" t="s">
        <v>280</v>
      </c>
      <c r="B232" s="154" t="s">
        <v>812</v>
      </c>
      <c r="C232" s="141" t="s">
        <v>826</v>
      </c>
      <c r="D232" s="652"/>
      <c r="E232" s="652"/>
      <c r="F232" s="652"/>
      <c r="G232" s="652"/>
      <c r="H232" s="652"/>
      <c r="I232" s="652"/>
      <c r="J232" s="652"/>
      <c r="K232" s="652"/>
      <c r="L232" s="134"/>
      <c r="M232" s="652"/>
      <c r="N232" s="652"/>
      <c r="O232" s="134"/>
      <c r="P232" s="652"/>
      <c r="Q232" s="652"/>
    </row>
    <row r="233" spans="1:17" s="136" customFormat="1" outlineLevel="1">
      <c r="A233" s="152" t="s">
        <v>281</v>
      </c>
      <c r="B233" s="154" t="s">
        <v>813</v>
      </c>
      <c r="C233" s="141" t="s">
        <v>826</v>
      </c>
      <c r="D233" s="652"/>
      <c r="E233" s="652"/>
      <c r="F233" s="652"/>
      <c r="G233" s="652"/>
      <c r="H233" s="652"/>
      <c r="I233" s="652"/>
      <c r="J233" s="652"/>
      <c r="K233" s="652"/>
      <c r="L233" s="134"/>
      <c r="M233" s="652"/>
      <c r="N233" s="652"/>
      <c r="O233" s="134"/>
      <c r="P233" s="652"/>
      <c r="Q233" s="652"/>
    </row>
    <row r="234" spans="1:17" s="136" customFormat="1" outlineLevel="1">
      <c r="A234" s="152" t="s">
        <v>282</v>
      </c>
      <c r="B234" s="154" t="s">
        <v>814</v>
      </c>
      <c r="C234" s="141" t="s">
        <v>826</v>
      </c>
      <c r="D234" s="652"/>
      <c r="E234" s="652"/>
      <c r="F234" s="652"/>
      <c r="G234" s="652"/>
      <c r="H234" s="652"/>
      <c r="I234" s="652"/>
      <c r="J234" s="652"/>
      <c r="K234" s="652"/>
      <c r="L234" s="134"/>
      <c r="M234" s="652"/>
      <c r="N234" s="652"/>
      <c r="O234" s="134"/>
      <c r="P234" s="652"/>
      <c r="Q234" s="652"/>
    </row>
    <row r="235" spans="1:17" s="136" customFormat="1" outlineLevel="1">
      <c r="A235" s="152" t="s">
        <v>283</v>
      </c>
      <c r="B235" s="144" t="s">
        <v>1214</v>
      </c>
      <c r="C235" s="141" t="s">
        <v>826</v>
      </c>
      <c r="D235" s="652">
        <f>D226*D153</f>
        <v>0</v>
      </c>
      <c r="E235" s="652">
        <f t="shared" ref="E235:G235" si="51">E226*E153</f>
        <v>0</v>
      </c>
      <c r="F235" s="652">
        <v>0</v>
      </c>
      <c r="G235" s="652">
        <v>0</v>
      </c>
      <c r="H235" s="652">
        <v>0</v>
      </c>
      <c r="I235" s="652">
        <v>0</v>
      </c>
      <c r="J235" s="652" t="e">
        <v>#DIV/0!</v>
      </c>
      <c r="K235" s="652">
        <v>0</v>
      </c>
      <c r="L235" s="273">
        <v>0</v>
      </c>
      <c r="M235" s="652">
        <v>0</v>
      </c>
      <c r="N235" s="652">
        <v>0</v>
      </c>
      <c r="O235" s="273">
        <v>0</v>
      </c>
      <c r="P235" s="652">
        <v>0</v>
      </c>
      <c r="Q235" s="652">
        <v>0</v>
      </c>
    </row>
    <row r="236" spans="1:17" s="136" customFormat="1" outlineLevel="1">
      <c r="A236" s="152" t="s">
        <v>284</v>
      </c>
      <c r="B236" s="144" t="s">
        <v>140</v>
      </c>
      <c r="C236" s="141" t="s">
        <v>826</v>
      </c>
      <c r="D236" s="652">
        <f>D227</f>
        <v>0</v>
      </c>
      <c r="E236" s="652">
        <f t="shared" ref="E236:G236" si="52">E227</f>
        <v>0</v>
      </c>
      <c r="F236" s="652">
        <v>0</v>
      </c>
      <c r="G236" s="652">
        <v>0</v>
      </c>
      <c r="H236" s="652">
        <v>0</v>
      </c>
      <c r="I236" s="652">
        <v>0</v>
      </c>
      <c r="J236" s="652" t="e">
        <v>#DIV/0!</v>
      </c>
      <c r="K236" s="652">
        <v>0</v>
      </c>
      <c r="L236" s="273">
        <v>0</v>
      </c>
      <c r="M236" s="652">
        <v>0</v>
      </c>
      <c r="N236" s="652">
        <v>0</v>
      </c>
      <c r="O236" s="273">
        <v>0</v>
      </c>
      <c r="P236" s="652">
        <v>0</v>
      </c>
      <c r="Q236" s="652">
        <v>0</v>
      </c>
    </row>
    <row r="237" spans="1:17" s="136" customFormat="1" ht="25.5" outlineLevel="1">
      <c r="A237" s="650" t="s">
        <v>285</v>
      </c>
      <c r="B237" s="657" t="s">
        <v>286</v>
      </c>
      <c r="C237" s="643" t="s">
        <v>826</v>
      </c>
      <c r="D237" s="658">
        <f t="shared" ref="D237:N237" si="53">SUM(D238:D245)</f>
        <v>0</v>
      </c>
      <c r="E237" s="658">
        <f t="shared" si="53"/>
        <v>0</v>
      </c>
      <c r="F237" s="658">
        <v>0</v>
      </c>
      <c r="G237" s="658">
        <v>0</v>
      </c>
      <c r="H237" s="658">
        <v>0</v>
      </c>
      <c r="I237" s="658">
        <v>0</v>
      </c>
      <c r="J237" s="658" t="e">
        <v>#DIV/0!</v>
      </c>
      <c r="K237" s="658">
        <v>0</v>
      </c>
      <c r="L237" s="658">
        <v>0</v>
      </c>
      <c r="M237" s="658">
        <v>0</v>
      </c>
      <c r="N237" s="658">
        <v>0</v>
      </c>
      <c r="O237" s="658">
        <v>0</v>
      </c>
      <c r="P237" s="658">
        <v>0</v>
      </c>
      <c r="Q237" s="658">
        <v>0</v>
      </c>
    </row>
    <row r="238" spans="1:17" s="136" customFormat="1" outlineLevel="1">
      <c r="A238" s="152" t="s">
        <v>287</v>
      </c>
      <c r="B238" s="144" t="s">
        <v>1207</v>
      </c>
      <c r="C238" s="141" t="s">
        <v>826</v>
      </c>
      <c r="D238" s="272">
        <f>D228</f>
        <v>0</v>
      </c>
      <c r="E238" s="272">
        <f t="shared" ref="E238:N238" si="54">E228</f>
        <v>0</v>
      </c>
      <c r="F238" s="272">
        <v>0</v>
      </c>
      <c r="G238" s="272">
        <v>0</v>
      </c>
      <c r="H238" s="272">
        <v>0</v>
      </c>
      <c r="I238" s="272">
        <v>0</v>
      </c>
      <c r="J238" s="272">
        <v>0</v>
      </c>
      <c r="K238" s="272">
        <v>0</v>
      </c>
      <c r="L238" s="272">
        <v>0</v>
      </c>
      <c r="M238" s="272">
        <v>0</v>
      </c>
      <c r="N238" s="272">
        <v>0</v>
      </c>
      <c r="O238" s="272">
        <v>0</v>
      </c>
      <c r="P238" s="272">
        <v>0</v>
      </c>
      <c r="Q238" s="272">
        <v>0</v>
      </c>
    </row>
    <row r="239" spans="1:17" s="136" customFormat="1" hidden="1" outlineLevel="1">
      <c r="A239" s="152"/>
      <c r="B239" s="144"/>
      <c r="C239" s="141" t="s">
        <v>826</v>
      </c>
      <c r="D239" s="272"/>
      <c r="E239" s="272"/>
      <c r="F239" s="272"/>
      <c r="G239" s="272"/>
      <c r="H239" s="272"/>
      <c r="I239" s="272"/>
      <c r="J239" s="272"/>
      <c r="K239" s="272"/>
      <c r="L239" s="272"/>
      <c r="M239" s="272"/>
      <c r="N239" s="272"/>
      <c r="O239" s="272"/>
      <c r="P239" s="272"/>
      <c r="Q239" s="272"/>
    </row>
    <row r="240" spans="1:17" s="136" customFormat="1" outlineLevel="1">
      <c r="A240" s="152" t="s">
        <v>288</v>
      </c>
      <c r="B240" s="144" t="s">
        <v>810</v>
      </c>
      <c r="C240" s="141" t="s">
        <v>826</v>
      </c>
      <c r="D240" s="272">
        <f t="shared" ref="D240:N245" si="55">D230</f>
        <v>0</v>
      </c>
      <c r="E240" s="272">
        <f t="shared" si="55"/>
        <v>0</v>
      </c>
      <c r="F240" s="272">
        <v>0</v>
      </c>
      <c r="G240" s="272">
        <v>0</v>
      </c>
      <c r="H240" s="272">
        <v>0</v>
      </c>
      <c r="I240" s="272">
        <v>0</v>
      </c>
      <c r="J240" s="272">
        <v>0</v>
      </c>
      <c r="K240" s="272">
        <v>0</v>
      </c>
      <c r="L240" s="272">
        <v>0</v>
      </c>
      <c r="M240" s="272">
        <v>0</v>
      </c>
      <c r="N240" s="272">
        <v>0</v>
      </c>
      <c r="O240" s="272">
        <v>0</v>
      </c>
      <c r="P240" s="272">
        <v>0</v>
      </c>
      <c r="Q240" s="272">
        <v>0</v>
      </c>
    </row>
    <row r="241" spans="1:18" s="136" customFormat="1" outlineLevel="1">
      <c r="A241" s="152" t="s">
        <v>289</v>
      </c>
      <c r="B241" s="144" t="s">
        <v>811</v>
      </c>
      <c r="C241" s="141" t="s">
        <v>826</v>
      </c>
      <c r="D241" s="272">
        <f t="shared" si="55"/>
        <v>0</v>
      </c>
      <c r="E241" s="272">
        <f t="shared" si="55"/>
        <v>0</v>
      </c>
      <c r="F241" s="272">
        <v>0</v>
      </c>
      <c r="G241" s="272">
        <v>0</v>
      </c>
      <c r="H241" s="272">
        <v>0</v>
      </c>
      <c r="I241" s="272">
        <v>0</v>
      </c>
      <c r="J241" s="272">
        <v>0</v>
      </c>
      <c r="K241" s="272">
        <v>0</v>
      </c>
      <c r="L241" s="272">
        <v>0</v>
      </c>
      <c r="M241" s="272">
        <v>0</v>
      </c>
      <c r="N241" s="272">
        <v>0</v>
      </c>
      <c r="O241" s="272">
        <v>0</v>
      </c>
      <c r="P241" s="272">
        <v>0</v>
      </c>
      <c r="Q241" s="272">
        <v>0</v>
      </c>
    </row>
    <row r="242" spans="1:18" s="136" customFormat="1" outlineLevel="1">
      <c r="A242" s="152" t="s">
        <v>290</v>
      </c>
      <c r="B242" s="154" t="s">
        <v>812</v>
      </c>
      <c r="C242" s="141" t="s">
        <v>826</v>
      </c>
      <c r="D242" s="272"/>
      <c r="E242" s="272"/>
      <c r="F242" s="272"/>
      <c r="G242" s="272"/>
      <c r="H242" s="272"/>
      <c r="I242" s="272"/>
      <c r="J242" s="272"/>
      <c r="K242" s="272"/>
      <c r="L242" s="272"/>
      <c r="M242" s="272"/>
      <c r="N242" s="272"/>
      <c r="O242" s="272"/>
      <c r="P242" s="272"/>
      <c r="Q242" s="272"/>
    </row>
    <row r="243" spans="1:18" s="136" customFormat="1" outlineLevel="1">
      <c r="A243" s="152" t="s">
        <v>291</v>
      </c>
      <c r="B243" s="154" t="s">
        <v>813</v>
      </c>
      <c r="C243" s="141" t="s">
        <v>826</v>
      </c>
      <c r="D243" s="272"/>
      <c r="E243" s="272"/>
      <c r="F243" s="272"/>
      <c r="G243" s="272"/>
      <c r="H243" s="272"/>
      <c r="I243" s="272"/>
      <c r="J243" s="272"/>
      <c r="K243" s="272"/>
      <c r="L243" s="272"/>
      <c r="M243" s="272"/>
      <c r="N243" s="272"/>
      <c r="O243" s="272"/>
      <c r="P243" s="272"/>
      <c r="Q243" s="272"/>
    </row>
    <row r="244" spans="1:18" s="136" customFormat="1" outlineLevel="1">
      <c r="A244" s="152" t="s">
        <v>292</v>
      </c>
      <c r="B244" s="154" t="s">
        <v>814</v>
      </c>
      <c r="C244" s="141" t="s">
        <v>826</v>
      </c>
      <c r="D244" s="272"/>
      <c r="E244" s="272"/>
      <c r="F244" s="272"/>
      <c r="G244" s="272"/>
      <c r="H244" s="272"/>
      <c r="I244" s="272"/>
      <c r="J244" s="272"/>
      <c r="K244" s="272"/>
      <c r="L244" s="272"/>
      <c r="M244" s="272"/>
      <c r="N244" s="272"/>
      <c r="O244" s="272"/>
      <c r="P244" s="272"/>
      <c r="Q244" s="272"/>
    </row>
    <row r="245" spans="1:18" s="136" customFormat="1" outlineLevel="1">
      <c r="A245" s="152" t="s">
        <v>293</v>
      </c>
      <c r="B245" s="144" t="s">
        <v>1214</v>
      </c>
      <c r="C245" s="141" t="s">
        <v>826</v>
      </c>
      <c r="D245" s="272">
        <f t="shared" si="55"/>
        <v>0</v>
      </c>
      <c r="E245" s="272">
        <f t="shared" si="55"/>
        <v>0</v>
      </c>
      <c r="F245" s="272">
        <v>0</v>
      </c>
      <c r="G245" s="272">
        <v>0</v>
      </c>
      <c r="H245" s="272">
        <v>0</v>
      </c>
      <c r="I245" s="272">
        <v>0</v>
      </c>
      <c r="J245" s="272" t="e">
        <v>#DIV/0!</v>
      </c>
      <c r="K245" s="272">
        <v>0</v>
      </c>
      <c r="L245" s="272">
        <v>0</v>
      </c>
      <c r="M245" s="272">
        <v>0</v>
      </c>
      <c r="N245" s="272">
        <v>0</v>
      </c>
      <c r="O245" s="272">
        <v>0</v>
      </c>
      <c r="P245" s="272">
        <v>0</v>
      </c>
      <c r="Q245" s="272">
        <v>0</v>
      </c>
    </row>
    <row r="246" spans="1:18" s="136" customFormat="1" ht="25.5" customHeight="1">
      <c r="A246" s="650" t="s">
        <v>831</v>
      </c>
      <c r="B246" s="660" t="s">
        <v>295</v>
      </c>
      <c r="C246" s="643" t="s">
        <v>826</v>
      </c>
      <c r="D246" s="658">
        <f t="shared" ref="D246:N246" si="56">SUM(D247:D254)</f>
        <v>1887952.4312376496</v>
      </c>
      <c r="E246" s="658">
        <f t="shared" si="56"/>
        <v>1900048.8257999998</v>
      </c>
      <c r="F246" s="658">
        <v>1982242.2118816033</v>
      </c>
      <c r="G246" s="658">
        <v>1873788.9508700001</v>
      </c>
      <c r="H246" s="658">
        <v>2254056.5488712098</v>
      </c>
      <c r="I246" s="658">
        <v>1787015.8587119821</v>
      </c>
      <c r="J246" s="658" t="e">
        <v>#DIV/0!</v>
      </c>
      <c r="K246" s="658">
        <v>2017682.3449021615</v>
      </c>
      <c r="L246" s="658">
        <v>2156454.7815509299</v>
      </c>
      <c r="M246" s="658">
        <v>1283814.1743930471</v>
      </c>
      <c r="N246" s="658">
        <v>872640.60715788312</v>
      </c>
      <c r="O246" s="658">
        <v>2228781.764505093</v>
      </c>
      <c r="P246" s="658">
        <v>1329753.9494608061</v>
      </c>
      <c r="Q246" s="658">
        <v>899027.81504428701</v>
      </c>
      <c r="R246" s="672" t="e">
        <f>SUM(D246:N246)-R247-R249-R250-R254</f>
        <v>#DIV/0!</v>
      </c>
    </row>
    <row r="247" spans="1:18" s="136" customFormat="1">
      <c r="A247" s="152" t="s">
        <v>296</v>
      </c>
      <c r="B247" s="144" t="s">
        <v>1205</v>
      </c>
      <c r="C247" s="141" t="s">
        <v>826</v>
      </c>
      <c r="D247" s="659">
        <f>ROUND(D228+D195,0)</f>
        <v>66389</v>
      </c>
      <c r="E247" s="659">
        <f t="shared" ref="E247:G247" si="57">ROUND(E228+E195,0)</f>
        <v>50553</v>
      </c>
      <c r="F247" s="659">
        <v>54951</v>
      </c>
      <c r="G247" s="659">
        <v>44489</v>
      </c>
      <c r="H247" s="659">
        <v>45613</v>
      </c>
      <c r="I247" s="659">
        <v>40687</v>
      </c>
      <c r="J247" s="659">
        <v>50101</v>
      </c>
      <c r="K247" s="659">
        <v>43754</v>
      </c>
      <c r="L247" s="659">
        <v>56169</v>
      </c>
      <c r="M247" s="659">
        <v>35290</v>
      </c>
      <c r="N247" s="659">
        <v>20879</v>
      </c>
      <c r="O247" s="659">
        <v>60413</v>
      </c>
      <c r="P247" s="659">
        <v>38055</v>
      </c>
      <c r="Q247" s="659">
        <v>22358</v>
      </c>
      <c r="R247" s="672">
        <f>SUM(D247:N247)</f>
        <v>508875</v>
      </c>
    </row>
    <row r="248" spans="1:18" s="136" customFormat="1" hidden="1">
      <c r="A248" s="152"/>
      <c r="B248" s="144"/>
      <c r="C248" s="141" t="s">
        <v>826</v>
      </c>
      <c r="D248" s="659"/>
      <c r="E248" s="659"/>
      <c r="F248" s="659"/>
      <c r="G248" s="659"/>
      <c r="H248" s="659"/>
      <c r="I248" s="659"/>
      <c r="J248" s="659"/>
      <c r="K248" s="659"/>
      <c r="L248" s="659"/>
      <c r="M248" s="659"/>
      <c r="N248" s="659"/>
      <c r="O248" s="659"/>
      <c r="P248" s="659"/>
      <c r="Q248" s="659"/>
      <c r="R248" s="672"/>
    </row>
    <row r="249" spans="1:18" s="136" customFormat="1">
      <c r="A249" s="152" t="s">
        <v>297</v>
      </c>
      <c r="B249" s="144" t="s">
        <v>810</v>
      </c>
      <c r="C249" s="141" t="s">
        <v>826</v>
      </c>
      <c r="D249" s="659">
        <f>ROUND(D230+D197,0)</f>
        <v>994471</v>
      </c>
      <c r="E249" s="659">
        <f t="shared" ref="E249:G249" si="58">ROUND(E230+E197,0)</f>
        <v>1092485</v>
      </c>
      <c r="F249" s="659">
        <v>1052488</v>
      </c>
      <c r="G249" s="659">
        <v>932367</v>
      </c>
      <c r="H249" s="659">
        <v>1323972</v>
      </c>
      <c r="I249" s="659">
        <v>884709</v>
      </c>
      <c r="J249" s="659" t="e">
        <v>#DIV/0!</v>
      </c>
      <c r="K249" s="659">
        <v>1061955</v>
      </c>
      <c r="L249" s="659">
        <v>1159544</v>
      </c>
      <c r="M249" s="659">
        <v>700216</v>
      </c>
      <c r="N249" s="659">
        <v>459328</v>
      </c>
      <c r="O249" s="659">
        <v>1199750</v>
      </c>
      <c r="P249" s="659">
        <v>726935</v>
      </c>
      <c r="Q249" s="659">
        <v>472815</v>
      </c>
      <c r="R249" s="672" t="e">
        <f>SUM(D249:N249)</f>
        <v>#DIV/0!</v>
      </c>
    </row>
    <row r="250" spans="1:18" s="136" customFormat="1">
      <c r="A250" s="152" t="s">
        <v>298</v>
      </c>
      <c r="B250" s="144" t="s">
        <v>811</v>
      </c>
      <c r="C250" s="141" t="s">
        <v>826</v>
      </c>
      <c r="D250" s="659">
        <f t="shared" ref="D250:G250" si="59">D231+D201</f>
        <v>827092.43123764975</v>
      </c>
      <c r="E250" s="659">
        <f t="shared" si="59"/>
        <v>757010.82579999988</v>
      </c>
      <c r="F250" s="659">
        <v>874804.21188160335</v>
      </c>
      <c r="G250" s="659">
        <v>896932.95087000006</v>
      </c>
      <c r="H250" s="659">
        <v>884471.54887121008</v>
      </c>
      <c r="I250" s="659">
        <v>861619.85871198215</v>
      </c>
      <c r="J250" s="659" t="e">
        <v>#DIV/0!</v>
      </c>
      <c r="K250" s="659">
        <v>899798.34490216139</v>
      </c>
      <c r="L250" s="659">
        <v>913799.78155093011</v>
      </c>
      <c r="M250" s="659">
        <v>534225.174393047</v>
      </c>
      <c r="N250" s="659">
        <v>379574.60715788312</v>
      </c>
      <c r="O250" s="659">
        <v>941506.7645050931</v>
      </c>
      <c r="P250" s="659">
        <v>550575.94946080609</v>
      </c>
      <c r="Q250" s="659">
        <v>390930.81504428701</v>
      </c>
      <c r="R250" s="672" t="e">
        <f>SUM(D250:N250)</f>
        <v>#DIV/0!</v>
      </c>
    </row>
    <row r="251" spans="1:18" s="136" customFormat="1">
      <c r="A251" s="152" t="s">
        <v>299</v>
      </c>
      <c r="B251" s="154" t="s">
        <v>812</v>
      </c>
      <c r="C251" s="141" t="s">
        <v>826</v>
      </c>
      <c r="D251" s="659"/>
      <c r="E251" s="659"/>
      <c r="F251" s="659"/>
      <c r="G251" s="659"/>
      <c r="H251" s="659"/>
      <c r="I251" s="659"/>
      <c r="J251" s="659"/>
      <c r="K251" s="659"/>
      <c r="L251" s="659"/>
      <c r="M251" s="659"/>
      <c r="N251" s="659"/>
      <c r="O251" s="659"/>
      <c r="P251" s="659"/>
      <c r="Q251" s="659"/>
      <c r="R251" s="672"/>
    </row>
    <row r="252" spans="1:18" s="136" customFormat="1">
      <c r="A252" s="152" t="s">
        <v>300</v>
      </c>
      <c r="B252" s="154" t="s">
        <v>813</v>
      </c>
      <c r="C252" s="141" t="s">
        <v>826</v>
      </c>
      <c r="D252" s="659"/>
      <c r="E252" s="659"/>
      <c r="F252" s="659"/>
      <c r="G252" s="659"/>
      <c r="H252" s="659"/>
      <c r="I252" s="659"/>
      <c r="J252" s="659"/>
      <c r="K252" s="659"/>
      <c r="L252" s="659"/>
      <c r="M252" s="659"/>
      <c r="N252" s="659"/>
      <c r="O252" s="659"/>
      <c r="P252" s="659"/>
      <c r="Q252" s="659"/>
      <c r="R252" s="672"/>
    </row>
    <row r="253" spans="1:18" s="136" customFormat="1">
      <c r="A253" s="152" t="s">
        <v>301</v>
      </c>
      <c r="B253" s="154" t="s">
        <v>814</v>
      </c>
      <c r="C253" s="141" t="s">
        <v>826</v>
      </c>
      <c r="D253" s="659"/>
      <c r="E253" s="659"/>
      <c r="F253" s="659"/>
      <c r="G253" s="659"/>
      <c r="H253" s="659"/>
      <c r="I253" s="659"/>
      <c r="J253" s="659"/>
      <c r="K253" s="659"/>
      <c r="L253" s="659"/>
      <c r="M253" s="659"/>
      <c r="N253" s="659"/>
      <c r="O253" s="659"/>
      <c r="P253" s="659"/>
      <c r="Q253" s="659"/>
      <c r="R253" s="672"/>
    </row>
    <row r="254" spans="1:18" s="136" customFormat="1">
      <c r="A254" s="152" t="s">
        <v>302</v>
      </c>
      <c r="B254" s="636" t="s">
        <v>1206</v>
      </c>
      <c r="C254" s="141" t="s">
        <v>826</v>
      </c>
      <c r="D254" s="659">
        <f>ROUND(D236+D208,0)</f>
        <v>0</v>
      </c>
      <c r="E254" s="659">
        <f t="shared" ref="E254:G254" si="60">ROUND(E236+E208,0)</f>
        <v>0</v>
      </c>
      <c r="F254" s="659">
        <v>0</v>
      </c>
      <c r="G254" s="659">
        <v>0</v>
      </c>
      <c r="H254" s="659">
        <v>0</v>
      </c>
      <c r="I254" s="659">
        <v>0</v>
      </c>
      <c r="J254" s="659" t="e">
        <v>#DIV/0!</v>
      </c>
      <c r="K254" s="659">
        <v>12175</v>
      </c>
      <c r="L254" s="659">
        <v>26942</v>
      </c>
      <c r="M254" s="659">
        <v>14083</v>
      </c>
      <c r="N254" s="659">
        <v>12859</v>
      </c>
      <c r="O254" s="659">
        <v>27112</v>
      </c>
      <c r="P254" s="659">
        <v>14188</v>
      </c>
      <c r="Q254" s="659">
        <v>12924</v>
      </c>
      <c r="R254" s="672" t="e">
        <f>SUM(D254:N254)</f>
        <v>#DIV/0!</v>
      </c>
    </row>
    <row r="255" spans="1:18" s="136" customFormat="1">
      <c r="A255" s="152"/>
      <c r="B255" s="144"/>
      <c r="C255" s="141"/>
      <c r="D255" s="659"/>
      <c r="E255" s="659"/>
      <c r="F255" s="659"/>
      <c r="G255" s="659"/>
      <c r="H255" s="659"/>
      <c r="I255" s="659"/>
      <c r="J255" s="659"/>
      <c r="K255" s="659"/>
      <c r="L255" s="659"/>
      <c r="M255" s="659"/>
      <c r="N255" s="659"/>
      <c r="O255" s="659"/>
      <c r="P255" s="659"/>
      <c r="Q255" s="659"/>
    </row>
    <row r="256" spans="1:18" s="136" customFormat="1">
      <c r="A256" s="152" t="s">
        <v>303</v>
      </c>
      <c r="B256" s="144" t="s">
        <v>948</v>
      </c>
      <c r="C256" s="141" t="s">
        <v>826</v>
      </c>
      <c r="D256" s="659">
        <f>D246</f>
        <v>1887952.4312376496</v>
      </c>
      <c r="E256" s="659">
        <f t="shared" ref="E256:N256" si="61">E246</f>
        <v>1900048.8257999998</v>
      </c>
      <c r="F256" s="659">
        <v>1982242.2118816033</v>
      </c>
      <c r="G256" s="659">
        <v>1873788.9508700001</v>
      </c>
      <c r="H256" s="659">
        <v>2254056.5488712098</v>
      </c>
      <c r="I256" s="659">
        <v>1787015.8587119821</v>
      </c>
      <c r="J256" s="659" t="e">
        <v>#DIV/0!</v>
      </c>
      <c r="K256" s="659">
        <v>2017682.3449021615</v>
      </c>
      <c r="L256" s="659">
        <v>2156454.7815509299</v>
      </c>
      <c r="M256" s="659">
        <v>1283814.1743930471</v>
      </c>
      <c r="N256" s="659">
        <v>872640.60715788312</v>
      </c>
      <c r="O256" s="659">
        <v>2228781.764505093</v>
      </c>
      <c r="P256" s="659">
        <v>1329753.9494608061</v>
      </c>
      <c r="Q256" s="659">
        <v>899027.81504428701</v>
      </c>
    </row>
    <row r="257" spans="1:17" s="136" customFormat="1" ht="18.75" customHeight="1">
      <c r="A257" s="650" t="s">
        <v>304</v>
      </c>
      <c r="B257" s="646" t="s">
        <v>832</v>
      </c>
      <c r="C257" s="643" t="s">
        <v>306</v>
      </c>
      <c r="D257" s="733">
        <f t="shared" ref="D257:N257" si="62">ROUND(D246/D104,2)</f>
        <v>3418.04</v>
      </c>
      <c r="E257" s="733">
        <f t="shared" si="62"/>
        <v>3487.99</v>
      </c>
      <c r="F257" s="733">
        <v>3609.4100000000003</v>
      </c>
      <c r="G257" s="733">
        <v>3488.74</v>
      </c>
      <c r="H257" s="733">
        <v>4044.04</v>
      </c>
      <c r="I257" s="733">
        <v>3320.07</v>
      </c>
      <c r="J257" s="733" t="e">
        <v>#DIV/0!</v>
      </c>
      <c r="K257" s="733">
        <v>3792.34</v>
      </c>
      <c r="L257" s="733">
        <v>3999.06</v>
      </c>
      <c r="M257" s="733">
        <v>4349.24</v>
      </c>
      <c r="N257" s="733">
        <v>3575.52</v>
      </c>
      <c r="O257" s="733">
        <v>4133.18</v>
      </c>
      <c r="P257" s="733">
        <v>4504.88</v>
      </c>
      <c r="Q257" s="733">
        <v>3683.63</v>
      </c>
    </row>
    <row r="258" spans="1:17" s="136" customFormat="1">
      <c r="A258" s="152" t="s">
        <v>307</v>
      </c>
      <c r="B258" s="634" t="s">
        <v>1207</v>
      </c>
      <c r="C258" s="141" t="s">
        <v>306</v>
      </c>
      <c r="D258" s="652">
        <f t="shared" ref="D258:L258" si="63">ROUND(D247/D105,2)</f>
        <v>6509.36</v>
      </c>
      <c r="E258" s="652">
        <f t="shared" si="63"/>
        <v>6205.87</v>
      </c>
      <c r="F258" s="652">
        <v>6856.88</v>
      </c>
      <c r="G258" s="652">
        <v>6178.22</v>
      </c>
      <c r="H258" s="652">
        <v>6801.82</v>
      </c>
      <c r="I258" s="652">
        <v>6608.19</v>
      </c>
      <c r="J258" s="652" t="e">
        <v>#DIV/0!</v>
      </c>
      <c r="K258" s="652">
        <v>6937.37</v>
      </c>
      <c r="L258" s="652">
        <v>8072.58</v>
      </c>
      <c r="M258" s="652">
        <v>8022.28</v>
      </c>
      <c r="N258" s="652">
        <v>8159.05</v>
      </c>
      <c r="O258" s="652">
        <v>8682.52</v>
      </c>
      <c r="P258" s="652">
        <v>8650.83</v>
      </c>
      <c r="Q258" s="652">
        <v>8737.01</v>
      </c>
    </row>
    <row r="259" spans="1:17" s="136" customFormat="1" hidden="1">
      <c r="A259" s="152"/>
      <c r="B259" s="144"/>
      <c r="C259" s="141"/>
      <c r="D259" s="662"/>
      <c r="E259" s="662"/>
      <c r="F259" s="662"/>
      <c r="G259" s="662"/>
      <c r="H259" s="662"/>
      <c r="I259" s="662"/>
      <c r="J259" s="662"/>
      <c r="K259" s="662"/>
      <c r="L259" s="662"/>
      <c r="M259" s="662"/>
      <c r="N259" s="662"/>
      <c r="O259" s="662"/>
      <c r="P259" s="662"/>
      <c r="Q259" s="662"/>
    </row>
    <row r="260" spans="1:17" s="136" customFormat="1">
      <c r="A260" s="152" t="s">
        <v>308</v>
      </c>
      <c r="B260" s="634" t="s">
        <v>810</v>
      </c>
      <c r="C260" s="141" t="s">
        <v>306</v>
      </c>
      <c r="D260" s="662">
        <f t="shared" ref="D260:L260" si="64">ROUND(D249/D107,2)</f>
        <v>11059.26</v>
      </c>
      <c r="E260" s="662">
        <f t="shared" si="64"/>
        <v>11456.43</v>
      </c>
      <c r="F260" s="662">
        <v>11591.92</v>
      </c>
      <c r="G260" s="662">
        <v>11671.36</v>
      </c>
      <c r="H260" s="662">
        <v>12537.24</v>
      </c>
      <c r="I260" s="662">
        <v>11607.57</v>
      </c>
      <c r="J260" s="662" t="e">
        <v>#DIV/0!</v>
      </c>
      <c r="K260" s="662">
        <v>10838.6</v>
      </c>
      <c r="L260" s="662">
        <v>11638.97</v>
      </c>
      <c r="M260" s="662">
        <v>11500.44</v>
      </c>
      <c r="N260" s="662">
        <v>11856.69</v>
      </c>
      <c r="O260" s="662">
        <v>12042.54</v>
      </c>
      <c r="P260" s="662">
        <v>11939.28</v>
      </c>
      <c r="Q260" s="662">
        <v>12204.83</v>
      </c>
    </row>
    <row r="261" spans="1:17" s="136" customFormat="1">
      <c r="A261" s="152" t="s">
        <v>309</v>
      </c>
      <c r="B261" s="634" t="s">
        <v>811</v>
      </c>
      <c r="C261" s="141" t="s">
        <v>306</v>
      </c>
      <c r="D261" s="652">
        <f t="shared" ref="D261:M261" si="65">ROUND(D250/D111,2)</f>
        <v>1829.54</v>
      </c>
      <c r="E261" s="652">
        <f t="shared" si="65"/>
        <v>1716.09</v>
      </c>
      <c r="F261" s="652">
        <v>1943.02</v>
      </c>
      <c r="G261" s="662">
        <v>1993.54</v>
      </c>
      <c r="H261" s="662">
        <v>1987.95</v>
      </c>
      <c r="I261" s="662">
        <v>1890.52</v>
      </c>
      <c r="J261" s="662" t="e">
        <v>#DIV/0!</v>
      </c>
      <c r="K261" s="662">
        <v>2104.27</v>
      </c>
      <c r="L261" s="662">
        <v>2112.81</v>
      </c>
      <c r="M261" s="662">
        <v>2324.5500000000002</v>
      </c>
      <c r="N261" s="662">
        <v>1872.73</v>
      </c>
      <c r="O261" s="662">
        <v>2176.87</v>
      </c>
      <c r="P261" s="662">
        <v>2395.69</v>
      </c>
      <c r="Q261" s="662">
        <v>1928.76</v>
      </c>
    </row>
    <row r="262" spans="1:17" s="136" customFormat="1">
      <c r="A262" s="152" t="s">
        <v>310</v>
      </c>
      <c r="B262" s="154" t="s">
        <v>812</v>
      </c>
      <c r="C262" s="141" t="s">
        <v>306</v>
      </c>
      <c r="D262" s="652"/>
      <c r="E262" s="652"/>
      <c r="F262" s="652"/>
      <c r="G262" s="662"/>
      <c r="H262" s="662"/>
      <c r="I262" s="662"/>
      <c r="J262" s="662"/>
      <c r="K262" s="662"/>
      <c r="L262" s="662"/>
      <c r="M262" s="662"/>
      <c r="N262" s="662"/>
      <c r="O262" s="662"/>
      <c r="P262" s="662"/>
      <c r="Q262" s="662"/>
    </row>
    <row r="263" spans="1:17" s="136" customFormat="1">
      <c r="A263" s="152" t="s">
        <v>311</v>
      </c>
      <c r="B263" s="154" t="s">
        <v>813</v>
      </c>
      <c r="C263" s="141" t="s">
        <v>306</v>
      </c>
      <c r="D263" s="652"/>
      <c r="E263" s="652"/>
      <c r="F263" s="652"/>
      <c r="G263" s="662"/>
      <c r="H263" s="662"/>
      <c r="I263" s="662"/>
      <c r="J263" s="662"/>
      <c r="K263" s="662"/>
      <c r="L263" s="662"/>
      <c r="M263" s="662"/>
      <c r="N263" s="662"/>
      <c r="O263" s="662"/>
      <c r="P263" s="662"/>
      <c r="Q263" s="662"/>
    </row>
    <row r="264" spans="1:17" s="136" customFormat="1">
      <c r="A264" s="152" t="s">
        <v>312</v>
      </c>
      <c r="B264" s="154" t="s">
        <v>814</v>
      </c>
      <c r="C264" s="141" t="s">
        <v>306</v>
      </c>
      <c r="D264" s="652"/>
      <c r="E264" s="652"/>
      <c r="F264" s="652"/>
      <c r="G264" s="662"/>
      <c r="H264" s="662"/>
      <c r="I264" s="662"/>
      <c r="J264" s="662"/>
      <c r="K264" s="662"/>
      <c r="L264" s="662"/>
      <c r="M264" s="662"/>
      <c r="N264" s="662"/>
      <c r="O264" s="662"/>
      <c r="P264" s="662"/>
      <c r="Q264" s="662"/>
    </row>
    <row r="265" spans="1:17" s="136" customFormat="1">
      <c r="A265" s="152" t="s">
        <v>313</v>
      </c>
      <c r="B265" s="636" t="s">
        <v>1206</v>
      </c>
      <c r="C265" s="141" t="s">
        <v>306</v>
      </c>
      <c r="D265" s="652">
        <f t="shared" ref="D265:N265" si="66">ROUND(D254/D118,2)</f>
        <v>0</v>
      </c>
      <c r="E265" s="652">
        <f t="shared" si="66"/>
        <v>0</v>
      </c>
      <c r="F265" s="652">
        <v>0</v>
      </c>
      <c r="G265" s="662">
        <v>0</v>
      </c>
      <c r="H265" s="662">
        <v>0</v>
      </c>
      <c r="I265" s="662">
        <v>0</v>
      </c>
      <c r="J265" s="662" t="e">
        <v>#DIV/0!</v>
      </c>
      <c r="K265" s="662">
        <v>81166.67</v>
      </c>
      <c r="L265" s="662">
        <v>176091.5</v>
      </c>
      <c r="M265" s="662">
        <v>182896.1</v>
      </c>
      <c r="N265" s="662">
        <v>169197.37</v>
      </c>
      <c r="O265" s="662">
        <v>177202.61</v>
      </c>
      <c r="P265" s="662">
        <v>184259.74</v>
      </c>
      <c r="Q265" s="662">
        <v>170052.63</v>
      </c>
    </row>
    <row r="266" spans="1:17" s="136" customFormat="1">
      <c r="A266" s="152"/>
      <c r="B266" s="144"/>
      <c r="C266" s="141"/>
      <c r="D266" s="661"/>
      <c r="E266" s="661"/>
      <c r="F266" s="661"/>
      <c r="G266" s="661"/>
      <c r="H266" s="661"/>
      <c r="I266" s="661"/>
      <c r="J266" s="661"/>
      <c r="K266" s="661"/>
      <c r="L266" s="661"/>
      <c r="M266" s="661"/>
      <c r="N266" s="661"/>
      <c r="O266" s="661"/>
      <c r="P266" s="661"/>
      <c r="Q266" s="661"/>
    </row>
    <row r="267" spans="1:17" s="136" customFormat="1">
      <c r="A267" s="152" t="s">
        <v>314</v>
      </c>
      <c r="B267" s="144" t="s">
        <v>140</v>
      </c>
      <c r="C267" s="141" t="s">
        <v>306</v>
      </c>
      <c r="D267" s="652">
        <f>ROUND(D256/D120,2)</f>
        <v>7103.79</v>
      </c>
      <c r="E267" s="652">
        <f t="shared" ref="E267:N267" si="67">ROUND(E256/E120,2)</f>
        <v>7298.56</v>
      </c>
      <c r="F267" s="652">
        <v>7446.9000000000005</v>
      </c>
      <c r="G267" s="652">
        <v>7306</v>
      </c>
      <c r="H267" s="652">
        <v>8147.52</v>
      </c>
      <c r="I267" s="652">
        <v>7262.16</v>
      </c>
      <c r="J267" s="652" t="e">
        <v>#DIV/0!</v>
      </c>
      <c r="K267" s="652">
        <v>8000.99</v>
      </c>
      <c r="L267" s="652">
        <v>8437.1299999999992</v>
      </c>
      <c r="M267" s="652">
        <v>8396.0499999999993</v>
      </c>
      <c r="N267" s="652">
        <v>8498.31</v>
      </c>
      <c r="O267" s="652">
        <v>8720.11</v>
      </c>
      <c r="P267" s="652">
        <v>8696.49</v>
      </c>
      <c r="Q267" s="652">
        <v>8755.2900000000009</v>
      </c>
    </row>
    <row r="268" spans="1:17" s="136" customFormat="1" ht="17.25" customHeight="1">
      <c r="A268" s="650" t="s">
        <v>315</v>
      </c>
      <c r="B268" s="646" t="s">
        <v>316</v>
      </c>
      <c r="C268" s="643" t="s">
        <v>231</v>
      </c>
      <c r="D268" s="637"/>
      <c r="E268" s="637"/>
      <c r="F268" s="637"/>
      <c r="G268" s="637"/>
      <c r="H268" s="637"/>
      <c r="I268" s="637"/>
      <c r="J268" s="637"/>
      <c r="K268" s="637"/>
      <c r="L268" s="637"/>
      <c r="M268" s="637"/>
      <c r="N268" s="637"/>
      <c r="O268" s="637"/>
      <c r="P268" s="637"/>
      <c r="Q268" s="637"/>
    </row>
    <row r="269" spans="1:17" s="136" customFormat="1">
      <c r="A269" s="152" t="s">
        <v>317</v>
      </c>
      <c r="B269" s="634" t="s">
        <v>1207</v>
      </c>
      <c r="C269" s="141" t="s">
        <v>231</v>
      </c>
      <c r="D269" s="652">
        <f>D164+D219</f>
        <v>4426.389919619005</v>
      </c>
      <c r="E269" s="652">
        <f>E164+E219</f>
        <v>4558.4390126898916</v>
      </c>
      <c r="F269" s="652">
        <v>4662.6551412987228</v>
      </c>
      <c r="G269" s="652">
        <v>4571.8900000000003</v>
      </c>
      <c r="H269" s="652">
        <v>4829.2933810378508</v>
      </c>
      <c r="I269" s="652">
        <v>4655.5212173195059</v>
      </c>
      <c r="J269" s="652">
        <v>4940.5611306092751</v>
      </c>
      <c r="K269" s="652">
        <v>4924.53</v>
      </c>
      <c r="L269" s="652">
        <v>5489.513291634089</v>
      </c>
      <c r="M269" s="652">
        <v>5455.2</v>
      </c>
      <c r="N269" s="652">
        <v>5548.55</v>
      </c>
      <c r="O269" s="652">
        <v>5904.3197810789679</v>
      </c>
      <c r="P269" s="652">
        <v>5882.74</v>
      </c>
      <c r="Q269" s="652">
        <v>5941.52</v>
      </c>
    </row>
    <row r="270" spans="1:17" s="136" customFormat="1" hidden="1">
      <c r="A270" s="152"/>
      <c r="B270" s="144"/>
      <c r="C270" s="141"/>
      <c r="D270" s="652"/>
      <c r="E270" s="652"/>
      <c r="F270" s="652"/>
      <c r="G270" s="652"/>
      <c r="H270" s="652"/>
      <c r="I270" s="652"/>
      <c r="J270" s="652"/>
      <c r="K270" s="652"/>
      <c r="L270" s="652"/>
      <c r="M270" s="652"/>
      <c r="N270" s="652"/>
      <c r="O270" s="652"/>
      <c r="P270" s="652"/>
      <c r="Q270" s="652"/>
    </row>
    <row r="271" spans="1:17" s="136" customFormat="1" ht="12" customHeight="1">
      <c r="A271" s="152" t="s">
        <v>318</v>
      </c>
      <c r="B271" s="663" t="s">
        <v>810</v>
      </c>
      <c r="C271" s="141" t="s">
        <v>231</v>
      </c>
      <c r="D271" s="652">
        <f>D166+D221</f>
        <v>15840.425101487674</v>
      </c>
      <c r="E271" s="652">
        <f>E166+E221</f>
        <v>17476.439894569172</v>
      </c>
      <c r="F271" s="652">
        <v>16605.280615997115</v>
      </c>
      <c r="G271" s="652">
        <v>16601.024822432202</v>
      </c>
      <c r="H271" s="652">
        <v>18497.419999999998</v>
      </c>
      <c r="I271" s="652">
        <v>16592.26164847433</v>
      </c>
      <c r="J271" s="652">
        <v>17350.028265998219</v>
      </c>
      <c r="K271" s="652">
        <v>16922.089576950821</v>
      </c>
      <c r="L271" s="652">
        <v>17920.19033801345</v>
      </c>
      <c r="M271" s="652">
        <v>17807.142702848654</v>
      </c>
      <c r="N271" s="652">
        <v>18097.863464653248</v>
      </c>
      <c r="O271" s="652">
        <v>18538.793513112123</v>
      </c>
      <c r="P271" s="652">
        <v>18482.751401377078</v>
      </c>
      <c r="Q271" s="652">
        <v>18626.872995720903</v>
      </c>
    </row>
    <row r="272" spans="1:17" s="136" customFormat="1" ht="14.25" customHeight="1">
      <c r="A272" s="152" t="s">
        <v>319</v>
      </c>
      <c r="B272" s="663" t="s">
        <v>811</v>
      </c>
      <c r="C272" s="141" t="s">
        <v>825</v>
      </c>
      <c r="D272" s="652">
        <f t="shared" ref="D272:N272" si="68">D170+D222</f>
        <v>5541.2555175017651</v>
      </c>
      <c r="E272" s="652">
        <f t="shared" si="68"/>
        <v>15641.375292199862</v>
      </c>
      <c r="F272" s="652">
        <v>5759.5669193719868</v>
      </c>
      <c r="G272" s="652">
        <v>6113.0376766332511</v>
      </c>
      <c r="H272" s="652">
        <v>5957.6838084478641</v>
      </c>
      <c r="I272" s="652">
        <v>6313.0450160977543</v>
      </c>
      <c r="J272" s="652">
        <v>6258.4213796259946</v>
      </c>
      <c r="K272" s="652">
        <v>6257.380874175612</v>
      </c>
      <c r="L272" s="652">
        <v>6483.1599385777617</v>
      </c>
      <c r="M272" s="652">
        <v>6391.6161311161331</v>
      </c>
      <c r="N272" s="652">
        <v>6586.9591512092966</v>
      </c>
      <c r="O272" s="652">
        <v>6679.4732561356996</v>
      </c>
      <c r="P272" s="652">
        <v>6587.2435832187075</v>
      </c>
      <c r="Q272" s="652">
        <v>6784.0501542952006</v>
      </c>
    </row>
    <row r="273" spans="1:66" s="136" customFormat="1" ht="15" customHeight="1">
      <c r="A273" s="152" t="s">
        <v>320</v>
      </c>
      <c r="B273" s="655" t="s">
        <v>812</v>
      </c>
      <c r="C273" s="146" t="s">
        <v>825</v>
      </c>
      <c r="D273" s="652"/>
      <c r="E273" s="652"/>
      <c r="F273" s="652"/>
      <c r="G273" s="652"/>
      <c r="H273" s="652"/>
      <c r="I273" s="652"/>
      <c r="J273" s="652"/>
      <c r="K273" s="652"/>
      <c r="L273" s="652"/>
      <c r="M273" s="652"/>
      <c r="N273" s="652"/>
      <c r="O273" s="652"/>
      <c r="P273" s="652"/>
      <c r="Q273" s="652"/>
    </row>
    <row r="274" spans="1:66" s="136" customFormat="1" ht="13.5" customHeight="1">
      <c r="A274" s="152" t="s">
        <v>321</v>
      </c>
      <c r="B274" s="655" t="s">
        <v>813</v>
      </c>
      <c r="C274" s="146" t="s">
        <v>825</v>
      </c>
      <c r="D274" s="652"/>
      <c r="E274" s="652"/>
      <c r="F274" s="652"/>
      <c r="G274" s="652"/>
      <c r="H274" s="652"/>
      <c r="I274" s="652"/>
      <c r="J274" s="652"/>
      <c r="K274" s="652"/>
      <c r="L274" s="652"/>
      <c r="M274" s="652"/>
      <c r="N274" s="652"/>
      <c r="O274" s="652"/>
      <c r="P274" s="652"/>
      <c r="Q274" s="652"/>
    </row>
    <row r="275" spans="1:66" s="136" customFormat="1" ht="13.5" customHeight="1">
      <c r="A275" s="152" t="s">
        <v>322</v>
      </c>
      <c r="B275" s="655" t="s">
        <v>814</v>
      </c>
      <c r="C275" s="146" t="s">
        <v>825</v>
      </c>
      <c r="D275" s="652"/>
      <c r="E275" s="652"/>
      <c r="F275" s="652"/>
      <c r="G275" s="652"/>
      <c r="H275" s="652"/>
      <c r="I275" s="652"/>
      <c r="J275" s="652"/>
      <c r="K275" s="652"/>
      <c r="L275" s="652"/>
      <c r="M275" s="652"/>
      <c r="N275" s="652"/>
      <c r="O275" s="652"/>
      <c r="P275" s="652"/>
      <c r="Q275" s="652"/>
    </row>
    <row r="276" spans="1:66" s="136" customFormat="1" ht="12" customHeight="1">
      <c r="A276" s="152" t="s">
        <v>323</v>
      </c>
      <c r="B276" s="664" t="s">
        <v>1206</v>
      </c>
      <c r="C276" s="141" t="s">
        <v>231</v>
      </c>
      <c r="D276" s="652">
        <f>D177+D226</f>
        <v>24648.059979363683</v>
      </c>
      <c r="E276" s="652">
        <f t="shared" ref="E276:N276" si="69">E177+E226</f>
        <v>25552.005293538692</v>
      </c>
      <c r="F276" s="652">
        <v>27824.148619385032</v>
      </c>
      <c r="G276" s="652">
        <v>26332.44</v>
      </c>
      <c r="H276" s="652">
        <v>28462.258825052832</v>
      </c>
      <c r="I276" s="652">
        <v>29833.883513637054</v>
      </c>
      <c r="J276" s="652">
        <v>31554.444097072028</v>
      </c>
      <c r="K276" s="652">
        <v>32559.94</v>
      </c>
      <c r="L276" s="652">
        <v>34876.190476190481</v>
      </c>
      <c r="M276" s="652">
        <v>34202.07</v>
      </c>
      <c r="N276" s="652">
        <v>35548.31</v>
      </c>
      <c r="O276" s="652">
        <v>37209.523809523809</v>
      </c>
      <c r="P276" s="652">
        <v>36726.699999999997</v>
      </c>
      <c r="Q276" s="652">
        <v>37693.409999999996</v>
      </c>
    </row>
    <row r="277" spans="1:66" s="136" customFormat="1" ht="17.25" customHeight="1">
      <c r="A277" s="650" t="s">
        <v>324</v>
      </c>
      <c r="B277" s="646" t="s">
        <v>325</v>
      </c>
      <c r="C277" s="643" t="s">
        <v>326</v>
      </c>
      <c r="D277" s="665"/>
      <c r="E277" s="665"/>
      <c r="F277" s="665"/>
      <c r="G277" s="665"/>
      <c r="H277" s="665"/>
      <c r="I277" s="665"/>
      <c r="J277" s="665"/>
      <c r="K277" s="665"/>
      <c r="L277" s="665"/>
      <c r="M277" s="665"/>
      <c r="N277" s="665"/>
      <c r="O277" s="665"/>
      <c r="P277" s="665"/>
      <c r="Q277" s="665"/>
    </row>
    <row r="278" spans="1:66" s="136" customFormat="1">
      <c r="A278" s="156"/>
      <c r="B278" s="157"/>
      <c r="C278" s="158"/>
    </row>
    <row r="279" spans="1:66" s="136" customFormat="1">
      <c r="A279" s="156"/>
      <c r="B279" s="157"/>
      <c r="C279" s="158"/>
    </row>
    <row r="280" spans="1:66" s="136" customFormat="1" ht="15.75">
      <c r="A280" s="1885"/>
      <c r="B280" s="1886"/>
      <c r="C280" s="1886"/>
      <c r="D280" s="1886"/>
      <c r="E280" s="1886"/>
      <c r="F280" s="1886"/>
      <c r="G280" s="1886"/>
      <c r="H280" s="1886"/>
      <c r="I280" s="1886"/>
      <c r="J280" s="1886"/>
      <c r="K280" s="1886"/>
      <c r="L280" s="1886"/>
      <c r="M280" s="1886"/>
      <c r="N280" s="673"/>
      <c r="O280" s="1635"/>
      <c r="P280" s="1635"/>
      <c r="Q280" s="1635"/>
      <c r="R280" s="673"/>
      <c r="S280" s="673"/>
      <c r="T280" s="673"/>
      <c r="U280" s="673"/>
      <c r="V280" s="673"/>
    </row>
    <row r="281" spans="1:66" s="136" customFormat="1" ht="15.75" customHeight="1">
      <c r="A281" s="156"/>
      <c r="B281" s="157"/>
      <c r="C281" s="158"/>
    </row>
    <row r="282" spans="1:66" s="136" customFormat="1">
      <c r="A282" s="156"/>
      <c r="B282" s="157"/>
      <c r="C282" s="158"/>
    </row>
    <row r="283" spans="1:66" s="136" customFormat="1" ht="18.75" hidden="1">
      <c r="A283" s="156"/>
      <c r="B283" s="159" t="s">
        <v>833</v>
      </c>
      <c r="C283" s="158"/>
      <c r="E283" s="159" t="s">
        <v>834</v>
      </c>
      <c r="F283" s="159"/>
      <c r="G283" s="159"/>
      <c r="H283" s="159"/>
      <c r="I283" s="159"/>
      <c r="J283" s="159"/>
      <c r="K283" s="159"/>
    </row>
    <row r="284" spans="1:66" s="136" customFormat="1">
      <c r="A284" s="156"/>
      <c r="B284" s="157"/>
      <c r="C284" s="158"/>
    </row>
    <row r="285" spans="1:66" s="136" customFormat="1">
      <c r="A285" s="156"/>
      <c r="B285" s="157"/>
      <c r="C285" s="158"/>
    </row>
    <row r="286" spans="1:66" s="136" customFormat="1">
      <c r="A286" s="126"/>
      <c r="B286" s="160"/>
      <c r="C286" s="161"/>
    </row>
    <row r="287" spans="1:66" s="162" customFormat="1" ht="18.75">
      <c r="C287" s="159"/>
      <c r="D287" s="163"/>
      <c r="E287" s="163"/>
      <c r="F287" s="163"/>
      <c r="G287" s="163"/>
      <c r="H287" s="163"/>
      <c r="I287" s="163"/>
      <c r="J287" s="163"/>
      <c r="K287" s="163"/>
      <c r="L287" s="163"/>
      <c r="M287" s="163"/>
      <c r="N287" s="163"/>
      <c r="O287" s="163"/>
      <c r="P287" s="163"/>
      <c r="Q287" s="163"/>
      <c r="R287" s="163"/>
      <c r="S287" s="163"/>
      <c r="T287" s="163"/>
      <c r="U287" s="163"/>
      <c r="V287" s="163"/>
      <c r="W287" s="163"/>
      <c r="X287" s="163"/>
      <c r="Y287" s="163"/>
      <c r="Z287" s="163"/>
      <c r="AA287" s="163"/>
      <c r="AB287" s="163"/>
      <c r="AC287" s="163"/>
      <c r="AD287" s="164"/>
      <c r="AE287" s="164"/>
      <c r="AG287" s="165"/>
      <c r="AH287" s="165"/>
      <c r="AI287" s="165"/>
      <c r="AJ287" s="165"/>
      <c r="AK287" s="165"/>
      <c r="AL287" s="165"/>
      <c r="AM287" s="165"/>
      <c r="AN287" s="165"/>
      <c r="AO287" s="165"/>
      <c r="AP287" s="165"/>
      <c r="AQ287" s="165"/>
      <c r="AR287" s="165"/>
      <c r="AS287" s="165"/>
      <c r="AT287" s="165"/>
      <c r="AU287" s="165"/>
      <c r="AV287" s="165"/>
      <c r="AW287" s="165"/>
      <c r="AX287" s="165"/>
      <c r="AY287" s="165"/>
      <c r="AZ287" s="165"/>
      <c r="BA287" s="165"/>
      <c r="BB287" s="165"/>
      <c r="BC287" s="165"/>
      <c r="BD287" s="165"/>
      <c r="BE287" s="165"/>
      <c r="BF287" s="165"/>
      <c r="BG287" s="165"/>
      <c r="BH287" s="165"/>
      <c r="BI287" s="165"/>
      <c r="BJ287" s="165"/>
      <c r="BK287" s="165"/>
      <c r="BL287" s="165"/>
      <c r="BN287" s="165"/>
    </row>
    <row r="288" spans="1:66" s="136" customFormat="1" ht="18.75">
      <c r="A288" s="166"/>
      <c r="C288" s="161"/>
    </row>
    <row r="289" spans="1:3" s="159" customFormat="1" ht="18.75">
      <c r="A289" s="167"/>
      <c r="C289" s="166"/>
    </row>
    <row r="290" spans="1:3" s="125" customFormat="1" ht="15">
      <c r="A290" s="126"/>
      <c r="B290" s="168"/>
      <c r="C290" s="124"/>
    </row>
  </sheetData>
  <mergeCells count="19">
    <mergeCell ref="P2:Q2"/>
    <mergeCell ref="A280:M280"/>
    <mergeCell ref="R164:R177"/>
    <mergeCell ref="A3:L3"/>
    <mergeCell ref="A5:A6"/>
    <mergeCell ref="B5:B6"/>
    <mergeCell ref="C5:C6"/>
    <mergeCell ref="D5:D6"/>
    <mergeCell ref="E5:E6"/>
    <mergeCell ref="F5:F6"/>
    <mergeCell ref="G5:G6"/>
    <mergeCell ref="L5:L6"/>
    <mergeCell ref="I5:I6"/>
    <mergeCell ref="H5:H6"/>
    <mergeCell ref="J5:J6"/>
    <mergeCell ref="K5:K6"/>
    <mergeCell ref="M5:N5"/>
    <mergeCell ref="O5:O6"/>
    <mergeCell ref="P5:Q5"/>
  </mergeCells>
  <pageMargins left="0.70866141732283472" right="0.70866141732283472" top="0.74803149606299213" bottom="0.74803149606299213" header="0.31496062992125984" footer="0.31496062992125984"/>
  <pageSetup paperSize="9" scale="43" orientation="portrait" r:id="rId1"/>
  <rowBreaks count="1" manualBreakCount="1">
    <brk id="177" max="16" man="1"/>
  </rowBreaks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39997558519241921"/>
  </sheetPr>
  <dimension ref="A1:BN290"/>
  <sheetViews>
    <sheetView view="pageBreakPreview" zoomScaleNormal="100" zoomScaleSheetLayoutView="100" workbookViewId="0">
      <pane xSplit="2" ySplit="7" topLeftCell="C8" activePane="bottomRight" state="frozen"/>
      <selection activeCell="R3" sqref="R3"/>
      <selection pane="topRight" activeCell="R3" sqref="R3"/>
      <selection pane="bottomLeft" activeCell="R3" sqref="R3"/>
      <selection pane="bottomRight" activeCell="R2" sqref="R2"/>
    </sheetView>
  </sheetViews>
  <sheetFormatPr defaultRowHeight="12.75" outlineLevelRow="1"/>
  <cols>
    <col min="1" max="1" width="8.140625" style="126" customWidth="1"/>
    <col min="2" max="2" width="39.140625" style="128" customWidth="1"/>
    <col min="3" max="3" width="13.28515625" style="126" customWidth="1"/>
    <col min="4" max="4" width="10.7109375" style="128" hidden="1" customWidth="1"/>
    <col min="5" max="5" width="9.7109375" style="128" hidden="1" customWidth="1"/>
    <col min="6" max="6" width="11.7109375" style="128" customWidth="1"/>
    <col min="7" max="10" width="12.140625" style="128" customWidth="1"/>
    <col min="11" max="11" width="14.140625" style="128" customWidth="1"/>
    <col min="12" max="12" width="11.85546875" style="128" customWidth="1"/>
    <col min="13" max="13" width="10.5703125" style="128" customWidth="1"/>
    <col min="14" max="14" width="11" style="128" customWidth="1"/>
    <col min="15" max="15" width="11.140625" style="128" customWidth="1"/>
    <col min="16" max="17" width="11" style="128" customWidth="1"/>
    <col min="18" max="18" width="12.140625" style="128" customWidth="1"/>
    <col min="19" max="16384" width="9.140625" style="128"/>
  </cols>
  <sheetData>
    <row r="1" spans="1:17" s="125" customFormat="1" ht="15">
      <c r="A1" s="74" t="s">
        <v>1860</v>
      </c>
      <c r="B1" s="666"/>
      <c r="C1" s="124"/>
    </row>
    <row r="2" spans="1:17" ht="15.75" customHeight="1">
      <c r="A2" s="612" t="str">
        <f>'3.1'!$A$2</f>
        <v>ПКГО - Комбинированная выработка КТЭЦ</v>
      </c>
      <c r="B2" s="127"/>
      <c r="M2" s="1633"/>
      <c r="N2" s="1634"/>
      <c r="O2" s="1634"/>
      <c r="P2" s="1883" t="s">
        <v>794</v>
      </c>
      <c r="Q2" s="1884"/>
    </row>
    <row r="3" spans="1:17" ht="18.75" customHeight="1">
      <c r="A3" s="1890" t="s">
        <v>131</v>
      </c>
      <c r="B3" s="1890"/>
      <c r="C3" s="1890"/>
      <c r="D3" s="1890"/>
      <c r="E3" s="1890"/>
      <c r="F3" s="1890"/>
      <c r="G3" s="1890"/>
      <c r="H3" s="1890"/>
      <c r="I3" s="1890"/>
      <c r="J3" s="1890"/>
      <c r="K3" s="1890"/>
      <c r="L3" s="1890"/>
    </row>
    <row r="4" spans="1:17" ht="15.75">
      <c r="A4" s="129"/>
      <c r="B4" s="127"/>
    </row>
    <row r="5" spans="1:17" s="130" customFormat="1" ht="12.75" customHeight="1">
      <c r="A5" s="1891" t="s">
        <v>789</v>
      </c>
      <c r="B5" s="1891" t="s">
        <v>1</v>
      </c>
      <c r="C5" s="1893" t="s">
        <v>2</v>
      </c>
      <c r="D5" s="1881" t="s">
        <v>1539</v>
      </c>
      <c r="E5" s="1895" t="s">
        <v>1132</v>
      </c>
      <c r="F5" s="1881" t="s">
        <v>1538</v>
      </c>
      <c r="G5" s="1881" t="s">
        <v>1690</v>
      </c>
      <c r="H5" s="1881" t="s">
        <v>1698</v>
      </c>
      <c r="I5" s="1881" t="s">
        <v>1827</v>
      </c>
      <c r="J5" s="1881" t="s">
        <v>1880</v>
      </c>
      <c r="K5" s="1881" t="s">
        <v>1861</v>
      </c>
      <c r="L5" s="1881" t="s">
        <v>1862</v>
      </c>
      <c r="M5" s="1882" t="s">
        <v>791</v>
      </c>
      <c r="N5" s="1882"/>
      <c r="O5" s="1881" t="s">
        <v>1863</v>
      </c>
      <c r="P5" s="1882" t="s">
        <v>791</v>
      </c>
      <c r="Q5" s="1882"/>
    </row>
    <row r="6" spans="1:17" s="132" customFormat="1" ht="61.5" customHeight="1">
      <c r="A6" s="1892"/>
      <c r="B6" s="1892">
        <f>+A6+1</f>
        <v>1</v>
      </c>
      <c r="C6" s="1894">
        <f>B6+1</f>
        <v>2</v>
      </c>
      <c r="D6" s="1881"/>
      <c r="E6" s="1896"/>
      <c r="F6" s="1881"/>
      <c r="G6" s="1881"/>
      <c r="H6" s="1881"/>
      <c r="I6" s="1881"/>
      <c r="J6" s="1881"/>
      <c r="K6" s="1881"/>
      <c r="L6" s="1881"/>
      <c r="M6" s="131" t="s">
        <v>792</v>
      </c>
      <c r="N6" s="131" t="s">
        <v>793</v>
      </c>
      <c r="O6" s="1881"/>
      <c r="P6" s="131" t="s">
        <v>792</v>
      </c>
      <c r="Q6" s="131" t="s">
        <v>793</v>
      </c>
    </row>
    <row r="7" spans="1:17" s="132" customFormat="1" ht="15.75" customHeight="1">
      <c r="A7" s="309">
        <v>1</v>
      </c>
      <c r="B7" s="309">
        <v>2</v>
      </c>
      <c r="C7" s="309">
        <v>3</v>
      </c>
      <c r="D7" s="309">
        <v>4</v>
      </c>
      <c r="E7" s="309">
        <v>5</v>
      </c>
      <c r="F7" s="309">
        <v>4</v>
      </c>
      <c r="G7" s="309">
        <v>5</v>
      </c>
      <c r="H7" s="309">
        <v>6</v>
      </c>
      <c r="I7" s="309">
        <v>7</v>
      </c>
      <c r="J7" s="309">
        <v>8</v>
      </c>
      <c r="K7" s="309">
        <v>9</v>
      </c>
      <c r="L7" s="309">
        <v>10</v>
      </c>
      <c r="M7" s="309">
        <v>11</v>
      </c>
      <c r="N7" s="309">
        <v>12</v>
      </c>
      <c r="O7" s="309">
        <v>13</v>
      </c>
      <c r="P7" s="309">
        <v>14</v>
      </c>
      <c r="Q7" s="309">
        <v>15</v>
      </c>
    </row>
    <row r="8" spans="1:17" s="136" customFormat="1" ht="14.25" customHeight="1" outlineLevel="1">
      <c r="A8" s="133">
        <v>1</v>
      </c>
      <c r="B8" s="134" t="s">
        <v>795</v>
      </c>
      <c r="C8" s="133" t="s">
        <v>796</v>
      </c>
      <c r="D8" s="134">
        <v>962.98199999999997</v>
      </c>
      <c r="E8" s="134">
        <v>964.94999999999993</v>
      </c>
      <c r="F8" s="134">
        <v>951.68</v>
      </c>
      <c r="G8" s="134">
        <v>943.71400000000006</v>
      </c>
      <c r="H8" s="134">
        <v>943.71500000000003</v>
      </c>
      <c r="I8" s="134">
        <v>959.70100000000002</v>
      </c>
      <c r="J8" s="134"/>
      <c r="K8" s="135">
        <v>937.53</v>
      </c>
      <c r="L8" s="134">
        <v>940.45100000000002</v>
      </c>
      <c r="M8" s="134">
        <v>488.87099999999998</v>
      </c>
      <c r="N8" s="135">
        <v>451.58</v>
      </c>
      <c r="O8" s="134">
        <v>940.45100000000002</v>
      </c>
      <c r="P8" s="134">
        <v>488.87099999999998</v>
      </c>
      <c r="Q8" s="135">
        <v>451.58</v>
      </c>
    </row>
    <row r="9" spans="1:17" s="136" customFormat="1" ht="12.75" customHeight="1" outlineLevel="1">
      <c r="A9" s="137" t="s">
        <v>23</v>
      </c>
      <c r="B9" s="138" t="s">
        <v>135</v>
      </c>
      <c r="C9" s="133" t="s">
        <v>796</v>
      </c>
      <c r="D9" s="134">
        <v>116.92099999999999</v>
      </c>
      <c r="E9" s="134">
        <f>E10+E12</f>
        <v>111.798</v>
      </c>
      <c r="F9" s="134">
        <v>115.917</v>
      </c>
      <c r="G9" s="135">
        <v>112.41800000000001</v>
      </c>
      <c r="H9" s="135">
        <v>113.834</v>
      </c>
      <c r="I9" s="135">
        <v>111.31200000000001</v>
      </c>
      <c r="J9" s="135">
        <v>0</v>
      </c>
      <c r="K9" s="135">
        <v>111.66799999999999</v>
      </c>
      <c r="L9" s="135">
        <v>111.69799999999999</v>
      </c>
      <c r="M9" s="135">
        <v>58.801000000000002</v>
      </c>
      <c r="N9" s="135">
        <v>52.896999999999998</v>
      </c>
      <c r="O9" s="135">
        <v>111.69799999999999</v>
      </c>
      <c r="P9" s="135">
        <v>58.801000000000002</v>
      </c>
      <c r="Q9" s="135">
        <v>52.896999999999998</v>
      </c>
    </row>
    <row r="10" spans="1:17" s="136" customFormat="1" ht="12.75" customHeight="1" outlineLevel="1">
      <c r="A10" s="137" t="s">
        <v>24</v>
      </c>
      <c r="B10" s="134" t="s">
        <v>797</v>
      </c>
      <c r="C10" s="133" t="s">
        <v>796</v>
      </c>
      <c r="D10" s="134">
        <v>74.385999999999996</v>
      </c>
      <c r="E10" s="134">
        <v>70.77</v>
      </c>
      <c r="F10" s="134">
        <v>73.236000000000004</v>
      </c>
      <c r="G10" s="134">
        <v>70.893000000000001</v>
      </c>
      <c r="H10" s="134">
        <v>71.903999999999996</v>
      </c>
      <c r="I10" s="134">
        <v>70.989000000000004</v>
      </c>
      <c r="J10" s="134"/>
      <c r="K10" s="134">
        <v>69.745999999999995</v>
      </c>
      <c r="L10" s="134">
        <v>70.933999999999997</v>
      </c>
      <c r="M10" s="134">
        <v>35.292999999999999</v>
      </c>
      <c r="N10" s="134">
        <v>35.640999999999998</v>
      </c>
      <c r="O10" s="134">
        <v>70.933999999999997</v>
      </c>
      <c r="P10" s="134">
        <v>35.292999999999999</v>
      </c>
      <c r="Q10" s="134">
        <v>35.640999999999998</v>
      </c>
    </row>
    <row r="11" spans="1:17" s="136" customFormat="1" ht="12.75" customHeight="1" outlineLevel="1">
      <c r="A11" s="137" t="s">
        <v>25</v>
      </c>
      <c r="B11" s="134" t="s">
        <v>798</v>
      </c>
      <c r="C11" s="141" t="s">
        <v>138</v>
      </c>
      <c r="D11" s="142">
        <v>7.7245472916420033E-2</v>
      </c>
      <c r="E11" s="142">
        <f t="shared" ref="E11:N11" si="0">E10/E8</f>
        <v>7.3340587595212184E-2</v>
      </c>
      <c r="F11" s="142">
        <v>7.6954438466711503E-2</v>
      </c>
      <c r="G11" s="142">
        <v>7.5121276149341845E-2</v>
      </c>
      <c r="H11" s="142">
        <v>7.6192494556089493E-2</v>
      </c>
      <c r="I11" s="142">
        <v>7.3969913545989849E-2</v>
      </c>
      <c r="J11" s="142" t="e">
        <v>#DIV/0!</v>
      </c>
      <c r="K11" s="142">
        <v>7.4393352746045457E-2</v>
      </c>
      <c r="L11" s="142">
        <v>7.5425513928955357E-2</v>
      </c>
      <c r="M11" s="142">
        <v>7.2192868875429306E-2</v>
      </c>
      <c r="N11" s="142">
        <v>7.8925107400682051E-2</v>
      </c>
      <c r="O11" s="142">
        <v>7.5425513928955357E-2</v>
      </c>
      <c r="P11" s="142">
        <v>7.2192868875429306E-2</v>
      </c>
      <c r="Q11" s="142">
        <v>7.8925107400682051E-2</v>
      </c>
    </row>
    <row r="12" spans="1:17" s="136" customFormat="1" ht="12.75" customHeight="1" outlineLevel="1">
      <c r="A12" s="137" t="s">
        <v>139</v>
      </c>
      <c r="B12" s="134" t="s">
        <v>799</v>
      </c>
      <c r="C12" s="133" t="s">
        <v>796</v>
      </c>
      <c r="D12" s="134">
        <v>42.534999999999997</v>
      </c>
      <c r="E12" s="134">
        <v>41.027999999999999</v>
      </c>
      <c r="F12" s="134">
        <v>42.680999999999997</v>
      </c>
      <c r="G12" s="134">
        <v>41.524999999999999</v>
      </c>
      <c r="H12" s="134">
        <v>41.93</v>
      </c>
      <c r="I12" s="134">
        <v>40.323</v>
      </c>
      <c r="J12" s="134"/>
      <c r="K12" s="134">
        <v>41.921999999999997</v>
      </c>
      <c r="L12" s="134">
        <v>40.763999999999996</v>
      </c>
      <c r="M12" s="134">
        <v>23.507999999999999</v>
      </c>
      <c r="N12" s="134">
        <v>17.256</v>
      </c>
      <c r="O12" s="134">
        <v>40.763999999999996</v>
      </c>
      <c r="P12" s="134">
        <v>23.507999999999999</v>
      </c>
      <c r="Q12" s="134">
        <v>17.256</v>
      </c>
    </row>
    <row r="13" spans="1:17" s="136" customFormat="1" ht="12.75" customHeight="1" outlineLevel="1">
      <c r="A13" s="137" t="s">
        <v>141</v>
      </c>
      <c r="B13" s="134" t="s">
        <v>800</v>
      </c>
      <c r="C13" s="133" t="s">
        <v>143</v>
      </c>
      <c r="D13" s="143">
        <v>35.263257815991039</v>
      </c>
      <c r="E13" s="143">
        <f t="shared" ref="E13:N13" si="1">E12/E20*1000</f>
        <v>34.635119004404942</v>
      </c>
      <c r="F13" s="143">
        <v>35.763603760620732</v>
      </c>
      <c r="G13" s="143">
        <v>35.804883432578173</v>
      </c>
      <c r="H13" s="143">
        <v>35.396571606090944</v>
      </c>
      <c r="I13" s="143">
        <v>35.45789336691265</v>
      </c>
      <c r="J13" s="143">
        <v>0</v>
      </c>
      <c r="K13" s="143">
        <v>36.929175475687103</v>
      </c>
      <c r="L13" s="143">
        <v>35.909090909090907</v>
      </c>
      <c r="M13" s="143">
        <v>33.976204516285684</v>
      </c>
      <c r="N13" s="143">
        <v>38.925883817876681</v>
      </c>
      <c r="O13" s="143">
        <v>35.909090909090907</v>
      </c>
      <c r="P13" s="143">
        <v>33.976204516285684</v>
      </c>
      <c r="Q13" s="143">
        <v>38.925883817876681</v>
      </c>
    </row>
    <row r="14" spans="1:17" s="136" customFormat="1" ht="12.75" customHeight="1" outlineLevel="1">
      <c r="A14" s="618">
        <v>3</v>
      </c>
      <c r="B14" s="619" t="s">
        <v>144</v>
      </c>
      <c r="C14" s="620" t="s">
        <v>796</v>
      </c>
      <c r="D14" s="621">
        <v>846.06099999999992</v>
      </c>
      <c r="E14" s="621">
        <f>E8-E9</f>
        <v>853.15199999999993</v>
      </c>
      <c r="F14" s="621">
        <v>835.76299999999992</v>
      </c>
      <c r="G14" s="621">
        <v>831.29600000000005</v>
      </c>
      <c r="H14" s="621">
        <v>829.88100000000009</v>
      </c>
      <c r="I14" s="621">
        <v>848.38900000000001</v>
      </c>
      <c r="J14" s="621">
        <v>0</v>
      </c>
      <c r="K14" s="621">
        <v>825.86199999999997</v>
      </c>
      <c r="L14" s="622">
        <v>828.75300000000004</v>
      </c>
      <c r="M14" s="621">
        <v>430.07</v>
      </c>
      <c r="N14" s="621">
        <v>398.68299999999999</v>
      </c>
      <c r="O14" s="622">
        <v>828.75300000000004</v>
      </c>
      <c r="P14" s="621">
        <v>430.07</v>
      </c>
      <c r="Q14" s="621">
        <v>398.68299999999999</v>
      </c>
    </row>
    <row r="15" spans="1:17" s="136" customFormat="1" ht="25.5" customHeight="1" outlineLevel="1">
      <c r="A15" s="133">
        <v>4</v>
      </c>
      <c r="B15" s="138" t="s">
        <v>801</v>
      </c>
      <c r="C15" s="133" t="s">
        <v>796</v>
      </c>
      <c r="D15" s="135">
        <v>2</v>
      </c>
      <c r="E15" s="135">
        <v>1.8480000000000001</v>
      </c>
      <c r="F15" s="135">
        <v>1.94</v>
      </c>
      <c r="G15" s="135">
        <v>1.6579999999999999</v>
      </c>
      <c r="H15" s="135">
        <v>1.94</v>
      </c>
      <c r="I15" s="135">
        <v>1.8140000000000001</v>
      </c>
      <c r="J15" s="135"/>
      <c r="K15" s="135">
        <v>1.6579999999999999</v>
      </c>
      <c r="L15" s="134">
        <v>1.8140000000000001</v>
      </c>
      <c r="M15" s="135">
        <v>1.04</v>
      </c>
      <c r="N15" s="135">
        <v>0.77400000000000002</v>
      </c>
      <c r="O15" s="134">
        <v>1.8140000000000001</v>
      </c>
      <c r="P15" s="135">
        <v>1.04</v>
      </c>
      <c r="Q15" s="135">
        <v>0.77400000000000002</v>
      </c>
    </row>
    <row r="16" spans="1:17" s="136" customFormat="1" ht="12.75" customHeight="1" outlineLevel="1">
      <c r="A16" s="137" t="s">
        <v>31</v>
      </c>
      <c r="B16" s="134" t="s">
        <v>802</v>
      </c>
      <c r="C16" s="145" t="s">
        <v>138</v>
      </c>
      <c r="D16" s="142">
        <v>2.3638957474697454E-3</v>
      </c>
      <c r="E16" s="142">
        <f t="shared" ref="E16:N16" si="2">E15/E14</f>
        <v>2.1660852931247891E-3</v>
      </c>
      <c r="F16" s="142">
        <v>2.3212322153529173E-3</v>
      </c>
      <c r="G16" s="142">
        <v>1.9944760951574408E-3</v>
      </c>
      <c r="H16" s="142">
        <v>2.3376845595934836E-3</v>
      </c>
      <c r="I16" s="142">
        <v>2.1381701082875898E-3</v>
      </c>
      <c r="J16" s="142" t="e">
        <v>#DIV/0!</v>
      </c>
      <c r="K16" s="142">
        <v>2.0075993325761447E-3</v>
      </c>
      <c r="L16" s="142">
        <v>2.1888306889990142E-3</v>
      </c>
      <c r="M16" s="142">
        <v>2.4182109889087826E-3</v>
      </c>
      <c r="N16" s="142">
        <v>1.94139203326954E-3</v>
      </c>
      <c r="O16" s="142">
        <v>2.1888306889990142E-3</v>
      </c>
      <c r="P16" s="142">
        <v>2.4182109889087826E-3</v>
      </c>
      <c r="Q16" s="142">
        <v>1.94139203326954E-3</v>
      </c>
    </row>
    <row r="17" spans="1:18" s="148" customFormat="1" ht="25.5" outlineLevel="1">
      <c r="A17" s="146">
        <v>5</v>
      </c>
      <c r="B17" s="151" t="s">
        <v>147</v>
      </c>
      <c r="C17" s="146" t="s">
        <v>796</v>
      </c>
      <c r="D17" s="144">
        <v>11.683999999999999</v>
      </c>
      <c r="E17" s="144">
        <v>10.388</v>
      </c>
      <c r="F17" s="144">
        <v>11.87</v>
      </c>
      <c r="G17" s="144">
        <v>9.4090000000000007</v>
      </c>
      <c r="H17" s="144">
        <v>11.530000000000001</v>
      </c>
      <c r="I17" s="144">
        <v>9.5069999999999997</v>
      </c>
      <c r="J17" s="144"/>
      <c r="K17" s="144">
        <v>9.3350000000000009</v>
      </c>
      <c r="L17" s="134">
        <v>9.5069999999999997</v>
      </c>
      <c r="M17" s="144">
        <v>5.0549999999999997</v>
      </c>
      <c r="N17" s="144">
        <v>4.452</v>
      </c>
      <c r="O17" s="134">
        <v>9.5069999999999997</v>
      </c>
      <c r="P17" s="144">
        <v>5.0549999999999997</v>
      </c>
      <c r="Q17" s="144">
        <v>4.452</v>
      </c>
    </row>
    <row r="18" spans="1:18" s="148" customFormat="1" ht="12.75" customHeight="1" outlineLevel="1">
      <c r="A18" s="137" t="s">
        <v>80</v>
      </c>
      <c r="B18" s="134" t="s">
        <v>802</v>
      </c>
      <c r="C18" s="145" t="s">
        <v>138</v>
      </c>
      <c r="D18" s="142">
        <v>1.3809878956718251E-2</v>
      </c>
      <c r="E18" s="142">
        <f t="shared" ref="E18:N18" si="3">E17/E14</f>
        <v>1.2176024905292376E-2</v>
      </c>
      <c r="F18" s="142">
        <v>1.4202590925896456E-2</v>
      </c>
      <c r="G18" s="142">
        <v>1.1318471398875972E-2</v>
      </c>
      <c r="H18" s="142">
        <v>1.3893558233047871E-2</v>
      </c>
      <c r="I18" s="142">
        <v>1.1205944442938322E-2</v>
      </c>
      <c r="J18" s="142" t="e">
        <v>#DIV/0!</v>
      </c>
      <c r="K18" s="142">
        <v>1.1303341236187162E-2</v>
      </c>
      <c r="L18" s="142">
        <v>1.1471451687052716E-2</v>
      </c>
      <c r="M18" s="142">
        <v>1.1753900527821052E-2</v>
      </c>
      <c r="N18" s="142">
        <v>1.1166766578961229E-2</v>
      </c>
      <c r="O18" s="142">
        <v>1.1471451687052716E-2</v>
      </c>
      <c r="P18" s="142">
        <v>1.1753900527821052E-2</v>
      </c>
      <c r="Q18" s="142">
        <v>1.1166766578961229E-2</v>
      </c>
    </row>
    <row r="19" spans="1:18" s="148" customFormat="1" ht="12.75" customHeight="1" outlineLevel="1">
      <c r="A19" s="137" t="s">
        <v>86</v>
      </c>
      <c r="B19" s="144" t="s">
        <v>148</v>
      </c>
      <c r="C19" s="146" t="s">
        <v>796</v>
      </c>
      <c r="D19" s="144">
        <v>832.37699999999995</v>
      </c>
      <c r="E19" s="144">
        <f>E14-E15-E17</f>
        <v>840.91599999999994</v>
      </c>
      <c r="F19" s="144">
        <v>821.95299999999986</v>
      </c>
      <c r="G19" s="144">
        <v>820.22900000000004</v>
      </c>
      <c r="H19" s="144">
        <v>816.41100000000006</v>
      </c>
      <c r="I19" s="144">
        <v>837.0680000000001</v>
      </c>
      <c r="J19" s="144">
        <v>0</v>
      </c>
      <c r="K19" s="144">
        <v>814.86899999999991</v>
      </c>
      <c r="L19" s="144">
        <v>817.43200000000013</v>
      </c>
      <c r="M19" s="144">
        <v>423.97499999999997</v>
      </c>
      <c r="N19" s="144">
        <v>393.45699999999999</v>
      </c>
      <c r="O19" s="144">
        <v>817.43200000000013</v>
      </c>
      <c r="P19" s="144">
        <v>423.97499999999997</v>
      </c>
      <c r="Q19" s="144">
        <v>393.45699999999999</v>
      </c>
    </row>
    <row r="20" spans="1:18" s="720" customFormat="1" ht="25.5">
      <c r="A20" s="714">
        <v>7</v>
      </c>
      <c r="B20" s="715" t="s">
        <v>803</v>
      </c>
      <c r="C20" s="716" t="s">
        <v>804</v>
      </c>
      <c r="D20" s="717">
        <v>1206.213</v>
      </c>
      <c r="E20" s="717">
        <f>'4.1_КТЭЦ'!N10</f>
        <v>1184.578</v>
      </c>
      <c r="F20" s="717">
        <v>1193.42</v>
      </c>
      <c r="G20" s="718">
        <v>1159.758</v>
      </c>
      <c r="H20" s="718">
        <v>1184.578</v>
      </c>
      <c r="I20" s="718">
        <v>1137.2080000000001</v>
      </c>
      <c r="J20" s="718">
        <v>1135.2</v>
      </c>
      <c r="K20" s="718">
        <v>1135.2</v>
      </c>
      <c r="L20" s="718">
        <v>1135.2</v>
      </c>
      <c r="M20" s="718">
        <v>691.89599999999996</v>
      </c>
      <c r="N20" s="718">
        <v>443.30399999999997</v>
      </c>
      <c r="O20" s="718">
        <v>1135.2</v>
      </c>
      <c r="P20" s="718">
        <v>691.89599999999996</v>
      </c>
      <c r="Q20" s="718">
        <v>443.30399999999997</v>
      </c>
      <c r="R20" s="719"/>
    </row>
    <row r="21" spans="1:18" s="148" customFormat="1" ht="15.75" customHeight="1">
      <c r="A21" s="146">
        <v>8</v>
      </c>
      <c r="B21" s="144" t="s">
        <v>152</v>
      </c>
      <c r="C21" s="149" t="s">
        <v>804</v>
      </c>
      <c r="D21" s="144">
        <v>46.500999999999976</v>
      </c>
      <c r="E21" s="144">
        <f>'4.1_КТЭЦ'!N19</f>
        <v>44.25</v>
      </c>
      <c r="F21" s="144">
        <v>47.733000000000004</v>
      </c>
      <c r="G21" s="147">
        <v>43.930999999999997</v>
      </c>
      <c r="H21" s="147">
        <v>44.250000000000398</v>
      </c>
      <c r="I21" s="135">
        <v>45.466999999999999</v>
      </c>
      <c r="J21" s="135">
        <v>43.930999999999983</v>
      </c>
      <c r="K21" s="135">
        <v>43.930999999999997</v>
      </c>
      <c r="L21" s="135">
        <v>43.930999999999997</v>
      </c>
      <c r="M21" s="147">
        <v>25.125999999999998</v>
      </c>
      <c r="N21" s="147">
        <v>18.805</v>
      </c>
      <c r="O21" s="147">
        <v>43.930999999999997</v>
      </c>
      <c r="P21" s="147">
        <v>25.125999999999998</v>
      </c>
      <c r="Q21" s="147">
        <v>18.805</v>
      </c>
    </row>
    <row r="22" spans="1:18" s="148" customFormat="1">
      <c r="A22" s="137" t="s">
        <v>153</v>
      </c>
      <c r="B22" s="134" t="s">
        <v>805</v>
      </c>
      <c r="C22" s="146" t="s">
        <v>138</v>
      </c>
      <c r="D22" s="150">
        <f t="shared" ref="D22:N22" si="4">D21/D20</f>
        <v>3.8551234317653664E-2</v>
      </c>
      <c r="E22" s="150">
        <f t="shared" si="4"/>
        <v>3.7355074971846515E-2</v>
      </c>
      <c r="F22" s="150">
        <v>3.99968158737075E-2</v>
      </c>
      <c r="G22" s="150">
        <v>3.7879454161988964E-2</v>
      </c>
      <c r="H22" s="150">
        <v>3.7355074971846848E-2</v>
      </c>
      <c r="I22" s="150">
        <v>3.9981252330268516E-2</v>
      </c>
      <c r="J22" s="150">
        <v>3.8698907681465805E-2</v>
      </c>
      <c r="K22" s="150">
        <v>3.8698907681465819E-2</v>
      </c>
      <c r="L22" s="150">
        <v>3.8698907681465819E-2</v>
      </c>
      <c r="M22" s="150">
        <v>3.63147062564316E-2</v>
      </c>
      <c r="N22" s="150">
        <v>4.2420099976539803E-2</v>
      </c>
      <c r="O22" s="150">
        <v>3.8698907681465819E-2</v>
      </c>
      <c r="P22" s="150">
        <v>3.63147062564316E-2</v>
      </c>
      <c r="Q22" s="150">
        <v>4.2420099976539803E-2</v>
      </c>
    </row>
    <row r="23" spans="1:18" s="148" customFormat="1" ht="25.5">
      <c r="A23" s="146">
        <v>9</v>
      </c>
      <c r="B23" s="151" t="s">
        <v>77</v>
      </c>
      <c r="C23" s="149" t="s">
        <v>804</v>
      </c>
      <c r="D23" s="144">
        <f t="shared" ref="D23:I23" si="5">D20-D21</f>
        <v>1159.712</v>
      </c>
      <c r="E23" s="144">
        <f t="shared" si="5"/>
        <v>1140.328</v>
      </c>
      <c r="F23" s="144">
        <v>1145.6870000000001</v>
      </c>
      <c r="G23" s="147">
        <v>1115.827</v>
      </c>
      <c r="H23" s="147">
        <v>1140.3279999999995</v>
      </c>
      <c r="I23" s="147">
        <v>1091.741</v>
      </c>
      <c r="J23" s="147">
        <v>1091.269</v>
      </c>
      <c r="K23" s="147">
        <v>1091.269</v>
      </c>
      <c r="L23" s="135">
        <v>1091.269</v>
      </c>
      <c r="M23" s="147">
        <v>666.77</v>
      </c>
      <c r="N23" s="147">
        <v>424.49899999999997</v>
      </c>
      <c r="O23" s="135">
        <v>1091.269</v>
      </c>
      <c r="P23" s="147">
        <v>666.77</v>
      </c>
      <c r="Q23" s="147">
        <v>424.49899999999997</v>
      </c>
    </row>
    <row r="24" spans="1:18" s="725" customFormat="1" ht="12.75" customHeight="1">
      <c r="A24" s="721">
        <v>10</v>
      </c>
      <c r="B24" s="722" t="s">
        <v>1235</v>
      </c>
      <c r="C24" s="723" t="s">
        <v>796</v>
      </c>
      <c r="D24" s="724">
        <f>D14</f>
        <v>846.06099999999992</v>
      </c>
      <c r="E24" s="724">
        <f>SUM(E25:E27)</f>
        <v>853.15199999999993</v>
      </c>
      <c r="F24" s="724">
        <v>835.76299999999992</v>
      </c>
      <c r="G24" s="1296">
        <v>831.29600000000005</v>
      </c>
      <c r="H24" s="1296">
        <v>829.88099999999997</v>
      </c>
      <c r="I24" s="1296">
        <v>848.38900000000001</v>
      </c>
      <c r="J24" s="1296">
        <v>0</v>
      </c>
      <c r="K24" s="1296">
        <v>825.86199999999985</v>
      </c>
      <c r="L24" s="1296">
        <v>828.75299999999993</v>
      </c>
      <c r="M24" s="1296">
        <v>430.06999999999994</v>
      </c>
      <c r="N24" s="1296">
        <v>398.68299999999999</v>
      </c>
      <c r="O24" s="1296">
        <v>828.75299999999993</v>
      </c>
      <c r="P24" s="1296">
        <v>430.06999999999994</v>
      </c>
      <c r="Q24" s="1296">
        <v>398.68299999999999</v>
      </c>
    </row>
    <row r="25" spans="1:18" s="148" customFormat="1" ht="12.75" customHeight="1">
      <c r="A25" s="146"/>
      <c r="B25" s="706" t="s">
        <v>1236</v>
      </c>
      <c r="C25" s="133" t="s">
        <v>796</v>
      </c>
      <c r="D25" s="134">
        <v>187.77500000000001</v>
      </c>
      <c r="E25" s="134">
        <v>210.786</v>
      </c>
      <c r="F25" s="134">
        <v>192.34700000000001</v>
      </c>
      <c r="G25" s="135">
        <v>197.858</v>
      </c>
      <c r="H25" s="135">
        <v>192.18799999999999</v>
      </c>
      <c r="I25" s="134">
        <v>202.35300000000001</v>
      </c>
      <c r="J25" s="135"/>
      <c r="K25" s="134">
        <v>192.57499999999999</v>
      </c>
      <c r="L25" s="135">
        <v>198.66199999999998</v>
      </c>
      <c r="M25" s="135">
        <v>89.510999999999996</v>
      </c>
      <c r="N25" s="134">
        <v>109.151</v>
      </c>
      <c r="O25" s="134">
        <v>198.66199999999998</v>
      </c>
      <c r="P25" s="135">
        <v>89.510999999999996</v>
      </c>
      <c r="Q25" s="134">
        <v>109.151</v>
      </c>
    </row>
    <row r="26" spans="1:18" s="148" customFormat="1" ht="12.75" customHeight="1">
      <c r="A26" s="146"/>
      <c r="B26" s="706" t="s">
        <v>1237</v>
      </c>
      <c r="C26" s="133" t="s">
        <v>796</v>
      </c>
      <c r="D26" s="134">
        <v>657.89</v>
      </c>
      <c r="E26" s="134">
        <v>642.08299999999997</v>
      </c>
      <c r="F26" s="134">
        <v>643.02</v>
      </c>
      <c r="G26" s="135">
        <v>633.20699999999999</v>
      </c>
      <c r="H26" s="135">
        <v>637.29700000000003</v>
      </c>
      <c r="I26" s="135">
        <v>645.74099999999999</v>
      </c>
      <c r="J26" s="135"/>
      <c r="K26" s="134">
        <v>632.89099999999996</v>
      </c>
      <c r="L26" s="134">
        <v>629.69499999999994</v>
      </c>
      <c r="M26" s="134">
        <v>340.36099999999999</v>
      </c>
      <c r="N26" s="134">
        <v>289.334</v>
      </c>
      <c r="O26" s="134">
        <v>629.69499999999994</v>
      </c>
      <c r="P26" s="134">
        <v>340.36099999999999</v>
      </c>
      <c r="Q26" s="134">
        <v>289.334</v>
      </c>
    </row>
    <row r="27" spans="1:18" s="148" customFormat="1" ht="12.75" customHeight="1">
      <c r="A27" s="146"/>
      <c r="B27" s="706" t="s">
        <v>1238</v>
      </c>
      <c r="C27" s="133" t="s">
        <v>796</v>
      </c>
      <c r="D27" s="134">
        <v>0.39600000000000002</v>
      </c>
      <c r="E27" s="134">
        <v>0.28299999999999997</v>
      </c>
      <c r="F27" s="134">
        <v>0.39600000000000002</v>
      </c>
      <c r="G27" s="135">
        <v>0.23100000000000001</v>
      </c>
      <c r="H27" s="135">
        <v>0.39600000000000002</v>
      </c>
      <c r="I27" s="134">
        <v>0.29499999999999998</v>
      </c>
      <c r="J27" s="135"/>
      <c r="K27" s="134">
        <v>0.39600000000000002</v>
      </c>
      <c r="L27" s="134">
        <v>0.39600000000000002</v>
      </c>
      <c r="M27" s="134">
        <v>0.19800000000000001</v>
      </c>
      <c r="N27" s="134">
        <v>0.19800000000000001</v>
      </c>
      <c r="O27" s="134">
        <v>0.39600000000000002</v>
      </c>
      <c r="P27" s="134">
        <v>0.19800000000000001</v>
      </c>
      <c r="Q27" s="134">
        <v>0.19800000000000001</v>
      </c>
    </row>
    <row r="28" spans="1:18" s="148" customFormat="1" ht="12.75" customHeight="1" outlineLevel="1">
      <c r="A28" s="146"/>
      <c r="B28" s="623" t="s">
        <v>1200</v>
      </c>
      <c r="C28" s="133" t="s">
        <v>796</v>
      </c>
      <c r="D28" s="678"/>
      <c r="E28" s="678"/>
      <c r="F28" s="678"/>
      <c r="G28" s="678"/>
      <c r="H28" s="678"/>
      <c r="I28" s="678"/>
      <c r="J28" s="678"/>
      <c r="K28" s="678">
        <v>0</v>
      </c>
      <c r="L28" s="678">
        <v>0</v>
      </c>
      <c r="M28" s="678">
        <v>0</v>
      </c>
      <c r="N28" s="678">
        <v>0</v>
      </c>
      <c r="O28" s="678">
        <v>0</v>
      </c>
      <c r="P28" s="678">
        <v>0</v>
      </c>
      <c r="Q28" s="678">
        <v>0</v>
      </c>
    </row>
    <row r="29" spans="1:18" s="148" customFormat="1" ht="12.75" customHeight="1" outlineLevel="1">
      <c r="A29" s="146"/>
      <c r="B29" s="623" t="s">
        <v>1201</v>
      </c>
      <c r="C29" s="133" t="s">
        <v>796</v>
      </c>
      <c r="D29" s="144"/>
      <c r="E29" s="144">
        <f>E30+E31</f>
        <v>0</v>
      </c>
      <c r="F29" s="144">
        <v>0</v>
      </c>
      <c r="G29" s="144">
        <v>3.3849999999999998</v>
      </c>
      <c r="H29" s="144">
        <v>0</v>
      </c>
      <c r="I29" s="147">
        <v>3.4739999999999998</v>
      </c>
      <c r="J29" s="147">
        <v>0</v>
      </c>
      <c r="K29" s="147">
        <v>30.209</v>
      </c>
      <c r="L29" s="134">
        <v>27.216000000000001</v>
      </c>
      <c r="M29" s="144">
        <v>17.545000000000002</v>
      </c>
      <c r="N29" s="144">
        <v>9.6709999999999994</v>
      </c>
      <c r="O29" s="134">
        <v>27.216000000000001</v>
      </c>
      <c r="P29" s="144">
        <v>17.545000000000002</v>
      </c>
      <c r="Q29" s="144">
        <v>9.6709999999999994</v>
      </c>
    </row>
    <row r="30" spans="1:18" s="148" customFormat="1" ht="12.75" customHeight="1" outlineLevel="1">
      <c r="A30" s="146"/>
      <c r="B30" s="623" t="s">
        <v>1224</v>
      </c>
      <c r="C30" s="133" t="s">
        <v>796</v>
      </c>
      <c r="D30" s="678"/>
      <c r="E30" s="678"/>
      <c r="F30" s="678"/>
      <c r="G30" s="678">
        <v>0.63100000000000001</v>
      </c>
      <c r="H30" s="678"/>
      <c r="I30" s="678">
        <v>1.214</v>
      </c>
      <c r="J30" s="1405"/>
      <c r="K30" s="1405">
        <v>30.209</v>
      </c>
      <c r="L30" s="678">
        <v>27.216000000000001</v>
      </c>
      <c r="M30" s="678">
        <v>17.545000000000002</v>
      </c>
      <c r="N30" s="1405">
        <v>9.6709999999999994</v>
      </c>
      <c r="O30" s="678">
        <v>27.216000000000001</v>
      </c>
      <c r="P30" s="678">
        <v>17.545000000000002</v>
      </c>
      <c r="Q30" s="1405">
        <v>9.6709999999999994</v>
      </c>
    </row>
    <row r="31" spans="1:18" s="148" customFormat="1" ht="12.75" customHeight="1" outlineLevel="1">
      <c r="A31" s="146"/>
      <c r="B31" s="623" t="s">
        <v>1234</v>
      </c>
      <c r="C31" s="133" t="s">
        <v>796</v>
      </c>
      <c r="D31" s="678"/>
      <c r="E31" s="678"/>
      <c r="F31" s="678"/>
      <c r="G31" s="678">
        <v>2.754</v>
      </c>
      <c r="H31" s="678"/>
      <c r="I31" s="1405">
        <v>2.2599999999999998</v>
      </c>
      <c r="J31" s="678">
        <v>0</v>
      </c>
      <c r="K31" s="678">
        <v>0</v>
      </c>
      <c r="L31" s="678">
        <v>0</v>
      </c>
      <c r="M31" s="678">
        <v>0</v>
      </c>
      <c r="N31" s="678">
        <v>0</v>
      </c>
      <c r="O31" s="678">
        <v>0</v>
      </c>
      <c r="P31" s="678">
        <v>0</v>
      </c>
      <c r="Q31" s="678">
        <v>0</v>
      </c>
    </row>
    <row r="32" spans="1:18" s="148" customFormat="1" ht="12.75" customHeight="1" outlineLevel="1">
      <c r="A32" s="146"/>
      <c r="B32" s="623" t="s">
        <v>1202</v>
      </c>
      <c r="C32" s="133" t="s">
        <v>796</v>
      </c>
      <c r="D32" s="144"/>
      <c r="E32" s="144">
        <f>E33+E34</f>
        <v>0</v>
      </c>
      <c r="F32" s="144">
        <v>0</v>
      </c>
      <c r="G32" s="144">
        <v>827.67599999999993</v>
      </c>
      <c r="H32" s="144">
        <v>0</v>
      </c>
      <c r="I32" s="144">
        <v>844.62</v>
      </c>
      <c r="J32" s="144">
        <v>0</v>
      </c>
      <c r="K32" s="144">
        <v>792.57299999999998</v>
      </c>
      <c r="L32" s="144">
        <v>801.14099999999996</v>
      </c>
      <c r="M32" s="144">
        <v>412.327</v>
      </c>
      <c r="N32" s="144">
        <v>388.81400000000002</v>
      </c>
      <c r="O32" s="144">
        <v>801.14099999999996</v>
      </c>
      <c r="P32" s="144">
        <v>412.327</v>
      </c>
      <c r="Q32" s="144">
        <v>388.81400000000002</v>
      </c>
    </row>
    <row r="33" spans="1:25" s="148" customFormat="1" ht="12.75" customHeight="1" outlineLevel="1">
      <c r="A33" s="146"/>
      <c r="B33" s="623" t="s">
        <v>1224</v>
      </c>
      <c r="C33" s="133" t="s">
        <v>796</v>
      </c>
      <c r="D33" s="678"/>
      <c r="E33" s="678"/>
      <c r="F33" s="678"/>
      <c r="G33" s="678">
        <v>197.227</v>
      </c>
      <c r="H33" s="678"/>
      <c r="I33" s="678">
        <v>201.13900000000001</v>
      </c>
      <c r="J33" s="678"/>
      <c r="K33" s="678">
        <v>162.36600000000001</v>
      </c>
      <c r="L33" s="678">
        <v>171.446</v>
      </c>
      <c r="M33" s="678">
        <v>71.965999999999994</v>
      </c>
      <c r="N33" s="678">
        <v>99.48</v>
      </c>
      <c r="O33" s="678">
        <v>171.446</v>
      </c>
      <c r="P33" s="678">
        <v>71.965999999999994</v>
      </c>
      <c r="Q33" s="678">
        <v>99.48</v>
      </c>
    </row>
    <row r="34" spans="1:25" s="148" customFormat="1" ht="12.75" customHeight="1" outlineLevel="1">
      <c r="A34" s="146"/>
      <c r="B34" s="623" t="s">
        <v>1234</v>
      </c>
      <c r="C34" s="133" t="s">
        <v>796</v>
      </c>
      <c r="D34" s="678"/>
      <c r="E34" s="678"/>
      <c r="F34" s="678"/>
      <c r="G34" s="678">
        <v>630.44899999999996</v>
      </c>
      <c r="H34" s="678"/>
      <c r="I34" s="678">
        <v>643.48099999999999</v>
      </c>
      <c r="J34" s="678"/>
      <c r="K34" s="678">
        <v>630.20699999999999</v>
      </c>
      <c r="L34" s="678">
        <v>629.69499999999994</v>
      </c>
      <c r="M34" s="678">
        <v>340.36099999999999</v>
      </c>
      <c r="N34" s="678">
        <v>289.334</v>
      </c>
      <c r="O34" s="678">
        <v>629.69499999999994</v>
      </c>
      <c r="P34" s="678">
        <v>340.36099999999999</v>
      </c>
      <c r="Q34" s="678">
        <v>289.334</v>
      </c>
    </row>
    <row r="35" spans="1:25" s="148" customFormat="1" ht="12.75" customHeight="1" outlineLevel="1">
      <c r="A35" s="146"/>
      <c r="B35" s="623" t="s">
        <v>1203</v>
      </c>
      <c r="C35" s="133" t="s">
        <v>796</v>
      </c>
      <c r="D35" s="678"/>
      <c r="E35" s="678"/>
      <c r="F35" s="678"/>
      <c r="G35" s="678">
        <v>0.23499999999999999</v>
      </c>
      <c r="H35" s="678"/>
      <c r="I35" s="678">
        <v>0.29499999999999998</v>
      </c>
      <c r="J35" s="678"/>
      <c r="K35" s="678">
        <v>0.39600000000000002</v>
      </c>
      <c r="L35" s="678">
        <v>0.39600000000000002</v>
      </c>
      <c r="M35" s="678">
        <v>0.19800000000000001</v>
      </c>
      <c r="N35" s="678">
        <v>0.19800000000000001</v>
      </c>
      <c r="O35" s="678">
        <v>0.39600000000000002</v>
      </c>
      <c r="P35" s="678">
        <v>0.19800000000000001</v>
      </c>
      <c r="Q35" s="678">
        <v>0.19800000000000001</v>
      </c>
    </row>
    <row r="36" spans="1:25" s="725" customFormat="1" ht="25.5" customHeight="1">
      <c r="A36" s="721">
        <v>11</v>
      </c>
      <c r="B36" s="726" t="s">
        <v>158</v>
      </c>
      <c r="C36" s="721" t="s">
        <v>159</v>
      </c>
      <c r="D36" s="727">
        <f t="shared" ref="D36:N39" si="6">D48/D24*1000</f>
        <v>338.72488543970235</v>
      </c>
      <c r="E36" s="727">
        <f t="shared" si="6"/>
        <v>333.36146431116612</v>
      </c>
      <c r="F36" s="727">
        <v>338.61870267049392</v>
      </c>
      <c r="G36" s="727">
        <v>337.57289822157207</v>
      </c>
      <c r="H36" s="727">
        <v>338.26818881261289</v>
      </c>
      <c r="I36" s="727">
        <v>344.386831983913</v>
      </c>
      <c r="J36" s="727" t="e">
        <v>#DIV/0!</v>
      </c>
      <c r="K36" s="727">
        <v>339.39326424995949</v>
      </c>
      <c r="L36" s="727">
        <v>343.3109744399116</v>
      </c>
      <c r="M36" s="727">
        <v>331.8738809961169</v>
      </c>
      <c r="N36" s="727">
        <v>355.64847259602237</v>
      </c>
      <c r="O36" s="727">
        <v>343.3109744399116</v>
      </c>
      <c r="P36" s="727">
        <v>331.8738809961169</v>
      </c>
      <c r="Q36" s="727">
        <v>355.64847259602237</v>
      </c>
    </row>
    <row r="37" spans="1:25" s="148" customFormat="1">
      <c r="A37" s="146"/>
      <c r="B37" s="706" t="s">
        <v>1236</v>
      </c>
      <c r="C37" s="146" t="s">
        <v>159</v>
      </c>
      <c r="D37" s="707">
        <v>419.3</v>
      </c>
      <c r="E37" s="707">
        <f>E49/E25*1000</f>
        <v>392.34104731813306</v>
      </c>
      <c r="F37" s="707">
        <v>414</v>
      </c>
      <c r="G37" s="707">
        <v>402.30872646039086</v>
      </c>
      <c r="H37" s="707">
        <v>411.1</v>
      </c>
      <c r="I37" s="707">
        <v>411.5</v>
      </c>
      <c r="J37" s="707" t="e">
        <v>#DIV/0!</v>
      </c>
      <c r="K37" s="707">
        <v>412.8002077112813</v>
      </c>
      <c r="L37" s="707">
        <v>415.19263875325936</v>
      </c>
      <c r="M37" s="707">
        <v>408.66485683323839</v>
      </c>
      <c r="N37" s="707">
        <v>420.54584932799514</v>
      </c>
      <c r="O37" s="707">
        <v>415.19263875325936</v>
      </c>
      <c r="P37" s="707">
        <v>408.66485683323839</v>
      </c>
      <c r="Q37" s="707">
        <v>420.54584932799514</v>
      </c>
    </row>
    <row r="38" spans="1:25" s="148" customFormat="1">
      <c r="A38" s="146"/>
      <c r="B38" s="706" t="s">
        <v>1237</v>
      </c>
      <c r="C38" s="146" t="s">
        <v>159</v>
      </c>
      <c r="D38" s="707">
        <v>315.7</v>
      </c>
      <c r="E38" s="707">
        <f t="shared" ref="E38:E39" si="7">E50/E26*1000</f>
        <v>313.9780994045941</v>
      </c>
      <c r="F38" s="707">
        <v>316</v>
      </c>
      <c r="G38" s="707">
        <v>317.32435048886066</v>
      </c>
      <c r="H38" s="707">
        <v>316.27482947511129</v>
      </c>
      <c r="I38" s="707">
        <v>323.3</v>
      </c>
      <c r="J38" s="707" t="e">
        <v>#DIV/0!</v>
      </c>
      <c r="K38" s="707">
        <v>317.03247478633762</v>
      </c>
      <c r="L38" s="707">
        <v>320.60600767038017</v>
      </c>
      <c r="M38" s="707">
        <v>311.64557631456012</v>
      </c>
      <c r="N38" s="707">
        <v>331.14670242695291</v>
      </c>
      <c r="O38" s="707">
        <v>320.60600767038017</v>
      </c>
      <c r="P38" s="707">
        <v>311.64557631456012</v>
      </c>
      <c r="Q38" s="707">
        <v>331.14670242695291</v>
      </c>
    </row>
    <row r="39" spans="1:25" s="148" customFormat="1">
      <c r="A39" s="146"/>
      <c r="B39" s="706" t="s">
        <v>1238</v>
      </c>
      <c r="C39" s="146" t="s">
        <v>159</v>
      </c>
      <c r="D39" s="707">
        <v>383.8</v>
      </c>
      <c r="E39" s="707">
        <f t="shared" si="7"/>
        <v>381.62544169611311</v>
      </c>
      <c r="F39" s="707">
        <v>378.8</v>
      </c>
      <c r="G39" s="707">
        <v>393.93939393939394</v>
      </c>
      <c r="H39" s="707">
        <v>385.99999999999994</v>
      </c>
      <c r="I39" s="707">
        <v>386.4</v>
      </c>
      <c r="J39" s="707" t="e">
        <v>#DIV/0!</v>
      </c>
      <c r="K39" s="707">
        <v>378.78787878787875</v>
      </c>
      <c r="L39" s="707">
        <v>386.36363636363637</v>
      </c>
      <c r="M39" s="707">
        <v>388.88888888888886</v>
      </c>
      <c r="N39" s="707">
        <v>383.83838383838383</v>
      </c>
      <c r="O39" s="707">
        <v>386.36363636363637</v>
      </c>
      <c r="P39" s="707">
        <v>388.88888888888886</v>
      </c>
      <c r="Q39" s="707">
        <v>383.83838383838383</v>
      </c>
    </row>
    <row r="40" spans="1:25" s="148" customFormat="1" outlineLevel="1">
      <c r="A40" s="146"/>
      <c r="B40" s="623" t="s">
        <v>1200</v>
      </c>
      <c r="C40" s="146" t="s">
        <v>159</v>
      </c>
      <c r="D40" s="707"/>
      <c r="E40" s="707"/>
      <c r="F40" s="707"/>
      <c r="G40" s="707"/>
      <c r="H40" s="707"/>
      <c r="I40" s="707">
        <v>0</v>
      </c>
      <c r="J40" s="707"/>
      <c r="K40" s="707"/>
      <c r="L40" s="707"/>
      <c r="M40" s="707"/>
      <c r="N40" s="707"/>
      <c r="O40" s="707"/>
      <c r="P40" s="707"/>
      <c r="Q40" s="707"/>
    </row>
    <row r="41" spans="1:25" s="148" customFormat="1" outlineLevel="1">
      <c r="A41" s="146"/>
      <c r="B41" s="623" t="s">
        <v>1201</v>
      </c>
      <c r="C41" s="146" t="s">
        <v>159</v>
      </c>
      <c r="D41" s="707"/>
      <c r="E41" s="707"/>
      <c r="F41" s="707"/>
      <c r="G41" s="707">
        <v>333.2</v>
      </c>
      <c r="H41" s="707"/>
      <c r="I41" s="707">
        <v>355.21013241220493</v>
      </c>
      <c r="J41" s="707"/>
      <c r="K41" s="707">
        <v>369.02909728888739</v>
      </c>
      <c r="L41" s="707">
        <v>412.88212815990596</v>
      </c>
      <c r="M41" s="707">
        <v>408.66343687660299</v>
      </c>
      <c r="N41" s="707">
        <v>420.53562196256854</v>
      </c>
      <c r="O41" s="707">
        <v>412.88212815990596</v>
      </c>
      <c r="P41" s="707">
        <v>408.66343687660299</v>
      </c>
      <c r="Q41" s="707">
        <v>420.53562196256854</v>
      </c>
    </row>
    <row r="42" spans="1:25" s="148" customFormat="1" outlineLevel="1">
      <c r="A42" s="146"/>
      <c r="B42" s="623" t="s">
        <v>1224</v>
      </c>
      <c r="C42" s="146" t="s">
        <v>159</v>
      </c>
      <c r="D42" s="707"/>
      <c r="E42" s="707"/>
      <c r="F42" s="707"/>
      <c r="G42" s="707">
        <v>402.5</v>
      </c>
      <c r="H42" s="707"/>
      <c r="I42" s="707">
        <v>416.80395387149923</v>
      </c>
      <c r="J42" s="707"/>
      <c r="K42" s="707">
        <v>369.02909728888739</v>
      </c>
      <c r="L42" s="707">
        <v>412.88212815990596</v>
      </c>
      <c r="M42" s="707">
        <v>408.66343687660299</v>
      </c>
      <c r="N42" s="707">
        <v>420.53562196256854</v>
      </c>
      <c r="O42" s="707">
        <v>412.88212815990596</v>
      </c>
      <c r="P42" s="707">
        <v>408.66343687660299</v>
      </c>
      <c r="Q42" s="707">
        <v>420.53562196256854</v>
      </c>
    </row>
    <row r="43" spans="1:25" s="148" customFormat="1" outlineLevel="1">
      <c r="A43" s="146"/>
      <c r="B43" s="623" t="s">
        <v>1234</v>
      </c>
      <c r="C43" s="146" t="s">
        <v>159</v>
      </c>
      <c r="D43" s="707"/>
      <c r="E43" s="707"/>
      <c r="F43" s="707"/>
      <c r="G43" s="707">
        <v>317.39999999999998</v>
      </c>
      <c r="H43" s="707"/>
      <c r="I43" s="707">
        <v>322.12389380530976</v>
      </c>
      <c r="J43" s="707"/>
      <c r="K43" s="707" t="e">
        <v>#DIV/0!</v>
      </c>
      <c r="L43" s="707"/>
      <c r="M43" s="707"/>
      <c r="N43" s="707"/>
      <c r="O43" s="707"/>
      <c r="P43" s="707"/>
      <c r="Q43" s="707"/>
    </row>
    <row r="44" spans="1:25" s="148" customFormat="1" outlineLevel="1">
      <c r="A44" s="146"/>
      <c r="B44" s="623" t="s">
        <v>1202</v>
      </c>
      <c r="C44" s="146" t="s">
        <v>159</v>
      </c>
      <c r="D44" s="707"/>
      <c r="E44" s="707"/>
      <c r="F44" s="707"/>
      <c r="G44" s="707">
        <v>337.6</v>
      </c>
      <c r="H44" s="707"/>
      <c r="I44" s="707">
        <v>344.32762662499118</v>
      </c>
      <c r="J44" s="707"/>
      <c r="K44" s="707">
        <v>339.39334294758964</v>
      </c>
      <c r="L44" s="707">
        <v>340.92625393033188</v>
      </c>
      <c r="M44" s="707">
        <v>328.57901616920549</v>
      </c>
      <c r="N44" s="707">
        <v>354.02017417068311</v>
      </c>
      <c r="O44" s="707">
        <v>340.92625393033188</v>
      </c>
      <c r="P44" s="707">
        <v>328.57901616920549</v>
      </c>
      <c r="Q44" s="707">
        <v>354.02017417068311</v>
      </c>
    </row>
    <row r="45" spans="1:25" s="148" customFormat="1" outlineLevel="1">
      <c r="A45" s="146"/>
      <c r="B45" s="623" t="s">
        <v>1224</v>
      </c>
      <c r="C45" s="146" t="s">
        <v>159</v>
      </c>
      <c r="D45" s="707"/>
      <c r="E45" s="707"/>
      <c r="F45" s="707"/>
      <c r="G45" s="707">
        <v>402.3</v>
      </c>
      <c r="H45" s="707"/>
      <c r="I45" s="707">
        <v>411.4318953559478</v>
      </c>
      <c r="J45" s="707"/>
      <c r="K45" s="707">
        <v>420.94404000837602</v>
      </c>
      <c r="L45" s="707">
        <v>415.55941812582387</v>
      </c>
      <c r="M45" s="707">
        <v>408.66520301253371</v>
      </c>
      <c r="N45" s="707">
        <v>420.54684358665054</v>
      </c>
      <c r="O45" s="707">
        <v>415.55941812582387</v>
      </c>
      <c r="P45" s="707">
        <v>408.66520301253371</v>
      </c>
      <c r="Q45" s="707">
        <v>420.54684358665054</v>
      </c>
    </row>
    <row r="46" spans="1:25" s="148" customFormat="1" outlineLevel="1">
      <c r="A46" s="146"/>
      <c r="B46" s="623" t="s">
        <v>1234</v>
      </c>
      <c r="C46" s="146" t="s">
        <v>159</v>
      </c>
      <c r="D46" s="707"/>
      <c r="E46" s="707"/>
      <c r="F46" s="707"/>
      <c r="G46" s="707">
        <v>317.3</v>
      </c>
      <c r="H46" s="707"/>
      <c r="I46" s="707">
        <v>323.35220464939914</v>
      </c>
      <c r="J46" s="707"/>
      <c r="K46" s="707">
        <v>318.38269013197254</v>
      </c>
      <c r="L46" s="707">
        <v>320.60600767038017</v>
      </c>
      <c r="M46" s="707">
        <v>311.64557631456012</v>
      </c>
      <c r="N46" s="707">
        <v>331.14670242695291</v>
      </c>
      <c r="O46" s="707">
        <v>320.60600767038017</v>
      </c>
      <c r="P46" s="707">
        <v>311.64557631456012</v>
      </c>
      <c r="Q46" s="707">
        <v>331.14670242695291</v>
      </c>
    </row>
    <row r="47" spans="1:25" s="148" customFormat="1" outlineLevel="1">
      <c r="A47" s="146"/>
      <c r="B47" s="623" t="s">
        <v>1203</v>
      </c>
      <c r="C47" s="146" t="s">
        <v>159</v>
      </c>
      <c r="D47" s="707"/>
      <c r="E47" s="707"/>
      <c r="F47" s="707"/>
      <c r="G47" s="707">
        <v>385.3</v>
      </c>
      <c r="H47" s="707"/>
      <c r="I47" s="707">
        <v>386.4406779661017</v>
      </c>
      <c r="J47" s="707"/>
      <c r="K47" s="707">
        <v>378.78787878787875</v>
      </c>
      <c r="L47" s="707">
        <v>386.36363636363637</v>
      </c>
      <c r="M47" s="707">
        <v>388.88888888888886</v>
      </c>
      <c r="N47" s="707">
        <v>383.83838383838383</v>
      </c>
      <c r="O47" s="707">
        <v>386.36363636363637</v>
      </c>
      <c r="P47" s="707">
        <v>388.88888888888886</v>
      </c>
      <c r="Q47" s="707">
        <v>383.83838383838383</v>
      </c>
    </row>
    <row r="48" spans="1:25" s="136" customFormat="1" ht="25.5" customHeight="1">
      <c r="A48" s="618">
        <v>12</v>
      </c>
      <c r="B48" s="619" t="s">
        <v>1239</v>
      </c>
      <c r="C48" s="624" t="s">
        <v>807</v>
      </c>
      <c r="D48" s="622">
        <f>SUM(D49:D51)</f>
        <v>286.58191529999999</v>
      </c>
      <c r="E48" s="622">
        <f t="shared" ref="E48:N48" si="8">SUM(E49:E51)</f>
        <v>284.40800000000002</v>
      </c>
      <c r="F48" s="622">
        <v>283.00498279999999</v>
      </c>
      <c r="G48" s="622">
        <v>280.62299999999999</v>
      </c>
      <c r="H48" s="622">
        <v>280.72234279999998</v>
      </c>
      <c r="I48" s="622">
        <v>292.17399999999998</v>
      </c>
      <c r="J48" s="622">
        <v>0</v>
      </c>
      <c r="K48" s="622">
        <v>280.29199999999997</v>
      </c>
      <c r="L48" s="622">
        <v>284.52000000000004</v>
      </c>
      <c r="M48" s="622">
        <v>142.72899999999998</v>
      </c>
      <c r="N48" s="622">
        <v>141.791</v>
      </c>
      <c r="O48" s="622">
        <v>284.52000000000004</v>
      </c>
      <c r="P48" s="622">
        <v>142.72899999999998</v>
      </c>
      <c r="Q48" s="622">
        <v>141.791</v>
      </c>
      <c r="Y48" s="667"/>
    </row>
    <row r="49" spans="1:25" s="136" customFormat="1">
      <c r="A49" s="153"/>
      <c r="B49" s="706" t="s">
        <v>1236</v>
      </c>
      <c r="C49" s="145" t="s">
        <v>807</v>
      </c>
      <c r="D49" s="708">
        <f>D25*D37/1000</f>
        <v>78.734057500000006</v>
      </c>
      <c r="E49" s="708">
        <f>E54+E57</f>
        <v>82.7</v>
      </c>
      <c r="F49" s="708">
        <v>79.630658000000011</v>
      </c>
      <c r="G49" s="708">
        <v>79.600000000000009</v>
      </c>
      <c r="H49" s="708">
        <v>79.0084868</v>
      </c>
      <c r="I49" s="708">
        <v>83.260999999999996</v>
      </c>
      <c r="J49" s="708">
        <v>0</v>
      </c>
      <c r="K49" s="708">
        <v>79.49499999999999</v>
      </c>
      <c r="L49" s="147">
        <v>82.483000000000004</v>
      </c>
      <c r="M49" s="708">
        <v>36.58</v>
      </c>
      <c r="N49" s="708">
        <v>45.902999999999999</v>
      </c>
      <c r="O49" s="147">
        <v>82.483000000000004</v>
      </c>
      <c r="P49" s="708">
        <v>36.58</v>
      </c>
      <c r="Q49" s="708">
        <v>45.902999999999999</v>
      </c>
      <c r="Y49" s="667"/>
    </row>
    <row r="50" spans="1:25" s="136" customFormat="1">
      <c r="A50" s="153"/>
      <c r="B50" s="706" t="s">
        <v>1237</v>
      </c>
      <c r="C50" s="145" t="s">
        <v>807</v>
      </c>
      <c r="D50" s="708">
        <f>D26*D38/1000</f>
        <v>207.69587300000001</v>
      </c>
      <c r="E50" s="708">
        <f>E55+E58</f>
        <v>201.6</v>
      </c>
      <c r="F50" s="708">
        <v>203.22232</v>
      </c>
      <c r="G50" s="708">
        <v>200.93199999999999</v>
      </c>
      <c r="H50" s="708">
        <v>201.56099999999998</v>
      </c>
      <c r="I50" s="708">
        <v>208.79900000000001</v>
      </c>
      <c r="J50" s="708">
        <v>0</v>
      </c>
      <c r="K50" s="708">
        <v>200.64699999999999</v>
      </c>
      <c r="L50" s="147">
        <v>201.88400000000001</v>
      </c>
      <c r="M50" s="708">
        <v>106.072</v>
      </c>
      <c r="N50" s="708">
        <v>95.811999999999998</v>
      </c>
      <c r="O50" s="147">
        <v>201.88400000000001</v>
      </c>
      <c r="P50" s="708">
        <v>106.072</v>
      </c>
      <c r="Q50" s="708">
        <v>95.811999999999998</v>
      </c>
      <c r="Y50" s="667"/>
    </row>
    <row r="51" spans="1:25" s="136" customFormat="1">
      <c r="A51" s="153"/>
      <c r="B51" s="706" t="s">
        <v>1238</v>
      </c>
      <c r="C51" s="145" t="s">
        <v>807</v>
      </c>
      <c r="D51" s="708">
        <f>D27*D39/1000</f>
        <v>0.1519848</v>
      </c>
      <c r="E51" s="708">
        <f>E59</f>
        <v>0.108</v>
      </c>
      <c r="F51" s="708">
        <v>0.15000480000000002</v>
      </c>
      <c r="G51" s="708">
        <v>9.0999999999999998E-2</v>
      </c>
      <c r="H51" s="708">
        <v>0.15285599999999999</v>
      </c>
      <c r="I51" s="708">
        <v>0.114</v>
      </c>
      <c r="J51" s="708">
        <v>0</v>
      </c>
      <c r="K51" s="708">
        <v>0.15</v>
      </c>
      <c r="L51" s="147">
        <v>0.153</v>
      </c>
      <c r="M51" s="708">
        <v>7.6999999999999999E-2</v>
      </c>
      <c r="N51" s="708">
        <v>7.5999999999999998E-2</v>
      </c>
      <c r="O51" s="147">
        <v>0.153</v>
      </c>
      <c r="P51" s="708">
        <v>7.6999999999999999E-2</v>
      </c>
      <c r="Q51" s="708">
        <v>7.5999999999999998E-2</v>
      </c>
      <c r="Y51" s="667"/>
    </row>
    <row r="52" spans="1:25" s="136" customFormat="1">
      <c r="A52" s="146"/>
      <c r="B52" s="623" t="s">
        <v>1200</v>
      </c>
      <c r="C52" s="145" t="s">
        <v>807</v>
      </c>
      <c r="D52" s="147">
        <f>ROUND(D28*D40/1000,3)</f>
        <v>0</v>
      </c>
      <c r="E52" s="147">
        <f t="shared" ref="E52" si="9">ROUND(E28*E40/1000,3)</f>
        <v>0</v>
      </c>
      <c r="F52" s="147">
        <v>0</v>
      </c>
      <c r="G52" s="147">
        <v>0</v>
      </c>
      <c r="H52" s="147">
        <v>0</v>
      </c>
      <c r="I52" s="147"/>
      <c r="J52" s="147">
        <v>0</v>
      </c>
      <c r="K52" s="147"/>
      <c r="L52" s="147"/>
      <c r="M52" s="147"/>
      <c r="N52" s="147"/>
      <c r="O52" s="147"/>
      <c r="P52" s="147"/>
      <c r="Q52" s="147"/>
      <c r="Y52" s="667"/>
    </row>
    <row r="53" spans="1:25" s="136" customFormat="1">
      <c r="A53" s="146"/>
      <c r="B53" s="623" t="s">
        <v>1201</v>
      </c>
      <c r="C53" s="145" t="s">
        <v>807</v>
      </c>
      <c r="D53" s="147">
        <v>3.96</v>
      </c>
      <c r="E53" s="147">
        <f>E54+E55</f>
        <v>3.996</v>
      </c>
      <c r="F53" s="147">
        <v>4.0339999999999998</v>
      </c>
      <c r="G53" s="147">
        <v>1.1280000000000001</v>
      </c>
      <c r="H53" s="147">
        <v>3.968</v>
      </c>
      <c r="I53" s="147">
        <v>1.234</v>
      </c>
      <c r="J53" s="147">
        <v>0</v>
      </c>
      <c r="K53" s="147">
        <v>11.148</v>
      </c>
      <c r="L53" s="147">
        <v>11.237</v>
      </c>
      <c r="M53" s="147">
        <v>7.17</v>
      </c>
      <c r="N53" s="147">
        <v>4.0670000000000002</v>
      </c>
      <c r="O53" s="147">
        <v>11.237</v>
      </c>
      <c r="P53" s="147">
        <v>7.17</v>
      </c>
      <c r="Q53" s="147">
        <v>4.0670000000000002</v>
      </c>
      <c r="Y53" s="667"/>
    </row>
    <row r="54" spans="1:25" s="136" customFormat="1">
      <c r="A54" s="146"/>
      <c r="B54" s="623" t="s">
        <v>1224</v>
      </c>
      <c r="C54" s="145" t="s">
        <v>807</v>
      </c>
      <c r="D54" s="147">
        <v>3.96</v>
      </c>
      <c r="E54" s="147">
        <v>1.431</v>
      </c>
      <c r="F54" s="147">
        <v>4.0339999999999998</v>
      </c>
      <c r="G54" s="147">
        <v>0.254</v>
      </c>
      <c r="H54" s="147">
        <v>3.968</v>
      </c>
      <c r="I54" s="147">
        <v>0.50600000000000001</v>
      </c>
      <c r="J54" s="147"/>
      <c r="K54" s="147">
        <v>11.148</v>
      </c>
      <c r="L54" s="147">
        <v>11.237</v>
      </c>
      <c r="M54" s="147">
        <v>7.17</v>
      </c>
      <c r="N54" s="147">
        <v>4.0670000000000002</v>
      </c>
      <c r="O54" s="147">
        <v>11.237</v>
      </c>
      <c r="P54" s="147">
        <v>7.17</v>
      </c>
      <c r="Q54" s="147">
        <v>4.0670000000000002</v>
      </c>
      <c r="Y54" s="667"/>
    </row>
    <row r="55" spans="1:25" s="136" customFormat="1">
      <c r="A55" s="146"/>
      <c r="B55" s="623" t="s">
        <v>1234</v>
      </c>
      <c r="C55" s="145" t="s">
        <v>807</v>
      </c>
      <c r="D55" s="147">
        <v>0</v>
      </c>
      <c r="E55" s="147">
        <v>2.5649999999999999</v>
      </c>
      <c r="F55" s="147">
        <v>0</v>
      </c>
      <c r="G55" s="147">
        <v>0.874</v>
      </c>
      <c r="H55" s="147">
        <v>0</v>
      </c>
      <c r="I55" s="147">
        <v>0.72799999999999998</v>
      </c>
      <c r="J55" s="147">
        <v>0</v>
      </c>
      <c r="K55" s="147">
        <v>0</v>
      </c>
      <c r="L55" s="147">
        <v>0</v>
      </c>
      <c r="M55" s="147">
        <v>0</v>
      </c>
      <c r="N55" s="147">
        <v>0</v>
      </c>
      <c r="O55" s="147">
        <v>0</v>
      </c>
      <c r="P55" s="147">
        <v>0</v>
      </c>
      <c r="Q55" s="147">
        <v>0</v>
      </c>
      <c r="Y55" s="667"/>
    </row>
    <row r="56" spans="1:25" s="136" customFormat="1">
      <c r="A56" s="146"/>
      <c r="B56" s="623" t="s">
        <v>1202</v>
      </c>
      <c r="C56" s="145" t="s">
        <v>807</v>
      </c>
      <c r="D56" s="147">
        <v>282.47000000000003</v>
      </c>
      <c r="E56" s="147">
        <f>E57+E58</f>
        <v>280.30399999999997</v>
      </c>
      <c r="F56" s="147">
        <v>278.82100000000003</v>
      </c>
      <c r="G56" s="147">
        <v>279.404</v>
      </c>
      <c r="H56" s="147">
        <v>276.60148679999998</v>
      </c>
      <c r="I56" s="147">
        <v>290.82600000000002</v>
      </c>
      <c r="J56" s="147">
        <v>0</v>
      </c>
      <c r="K56" s="147">
        <v>268.99399999999997</v>
      </c>
      <c r="L56" s="147">
        <v>273.13</v>
      </c>
      <c r="M56" s="147">
        <v>135.482</v>
      </c>
      <c r="N56" s="147">
        <v>137.648</v>
      </c>
      <c r="O56" s="147">
        <v>273.13</v>
      </c>
      <c r="P56" s="147">
        <v>135.482</v>
      </c>
      <c r="Q56" s="147">
        <v>137.648</v>
      </c>
      <c r="Y56" s="667"/>
    </row>
    <row r="57" spans="1:25" s="136" customFormat="1">
      <c r="A57" s="146"/>
      <c r="B57" s="623" t="s">
        <v>1224</v>
      </c>
      <c r="C57" s="145" t="s">
        <v>807</v>
      </c>
      <c r="D57" s="147">
        <v>74.774000000000001</v>
      </c>
      <c r="E57" s="147">
        <v>81.269000000000005</v>
      </c>
      <c r="F57" s="147">
        <v>75.599000000000004</v>
      </c>
      <c r="G57" s="147">
        <v>79.346000000000004</v>
      </c>
      <c r="H57" s="147">
        <v>75.040486799999996</v>
      </c>
      <c r="I57" s="147">
        <v>82.754999999999995</v>
      </c>
      <c r="J57" s="147"/>
      <c r="K57" s="147">
        <v>68.346999999999994</v>
      </c>
      <c r="L57" s="147">
        <v>71.245999999999995</v>
      </c>
      <c r="M57" s="147">
        <v>29.41</v>
      </c>
      <c r="N57" s="147">
        <v>41.835999999999999</v>
      </c>
      <c r="O57" s="147">
        <v>71.245999999999995</v>
      </c>
      <c r="P57" s="147">
        <v>29.41</v>
      </c>
      <c r="Q57" s="147">
        <v>41.835999999999999</v>
      </c>
      <c r="Y57" s="667"/>
    </row>
    <row r="58" spans="1:25" s="136" customFormat="1">
      <c r="A58" s="146"/>
      <c r="B58" s="623" t="s">
        <v>1234</v>
      </c>
      <c r="C58" s="145" t="s">
        <v>807</v>
      </c>
      <c r="D58" s="147">
        <v>207.696</v>
      </c>
      <c r="E58" s="147">
        <v>199.035</v>
      </c>
      <c r="F58" s="147">
        <v>203.22200000000001</v>
      </c>
      <c r="G58" s="147">
        <v>200.05799999999999</v>
      </c>
      <c r="H58" s="147">
        <v>201.56099999999998</v>
      </c>
      <c r="I58" s="147">
        <v>208.071</v>
      </c>
      <c r="J58" s="147"/>
      <c r="K58" s="147">
        <v>200.64699999999999</v>
      </c>
      <c r="L58" s="147">
        <v>201.88400000000001</v>
      </c>
      <c r="M58" s="147">
        <v>106.072</v>
      </c>
      <c r="N58" s="147">
        <v>95.811999999999998</v>
      </c>
      <c r="O58" s="147">
        <v>201.88400000000001</v>
      </c>
      <c r="P58" s="147">
        <v>106.072</v>
      </c>
      <c r="Q58" s="147">
        <v>95.811999999999998</v>
      </c>
      <c r="Y58" s="667"/>
    </row>
    <row r="59" spans="1:25" s="136" customFormat="1">
      <c r="A59" s="146"/>
      <c r="B59" s="623" t="s">
        <v>1203</v>
      </c>
      <c r="C59" s="145" t="s">
        <v>807</v>
      </c>
      <c r="D59" s="147">
        <v>0.152</v>
      </c>
      <c r="E59" s="147">
        <v>0.108</v>
      </c>
      <c r="F59" s="147">
        <v>0.15</v>
      </c>
      <c r="G59" s="147">
        <v>9.0999999999999998E-2</v>
      </c>
      <c r="H59" s="147">
        <v>0.15285599999999999</v>
      </c>
      <c r="I59" s="147">
        <v>0.114</v>
      </c>
      <c r="J59" s="147"/>
      <c r="K59" s="147">
        <v>0.15</v>
      </c>
      <c r="L59" s="147">
        <v>0.153</v>
      </c>
      <c r="M59" s="147">
        <v>7.6999999999999999E-2</v>
      </c>
      <c r="N59" s="147">
        <v>7.5999999999999998E-2</v>
      </c>
      <c r="O59" s="147">
        <v>0.153</v>
      </c>
      <c r="P59" s="147">
        <v>7.6999999999999999E-2</v>
      </c>
      <c r="Q59" s="147">
        <v>7.5999999999999998E-2</v>
      </c>
      <c r="Y59" s="667"/>
    </row>
    <row r="60" spans="1:25" s="713" customFormat="1" ht="25.5" customHeight="1">
      <c r="A60" s="709">
        <v>13</v>
      </c>
      <c r="B60" s="710" t="s">
        <v>1240</v>
      </c>
      <c r="C60" s="711" t="s">
        <v>804</v>
      </c>
      <c r="D60" s="712">
        <f>D20</f>
        <v>1206.213</v>
      </c>
      <c r="E60" s="712">
        <f>E61+E62</f>
        <v>1184.578</v>
      </c>
      <c r="F60" s="712">
        <v>1193.42</v>
      </c>
      <c r="G60" s="712">
        <v>1159.758</v>
      </c>
      <c r="H60" s="712">
        <v>1184.578</v>
      </c>
      <c r="I60" s="712">
        <v>1137.2080000000001</v>
      </c>
      <c r="J60" s="712">
        <v>0</v>
      </c>
      <c r="K60" s="712">
        <v>1135.1999999999998</v>
      </c>
      <c r="L60" s="712">
        <v>1135.2</v>
      </c>
      <c r="M60" s="712">
        <v>691.89599999999996</v>
      </c>
      <c r="N60" s="712">
        <v>443.30399999999997</v>
      </c>
      <c r="O60" s="712">
        <v>1135.2</v>
      </c>
      <c r="P60" s="712">
        <v>691.89599999999996</v>
      </c>
      <c r="Q60" s="712">
        <v>443.30399999999997</v>
      </c>
    </row>
    <row r="61" spans="1:25" s="136" customFormat="1">
      <c r="A61" s="146"/>
      <c r="B61" s="706" t="s">
        <v>1236</v>
      </c>
      <c r="C61" s="145" t="s">
        <v>804</v>
      </c>
      <c r="D61" s="134">
        <v>378.149</v>
      </c>
      <c r="E61" s="134">
        <v>364.57100000000003</v>
      </c>
      <c r="F61" s="134">
        <v>374.76</v>
      </c>
      <c r="G61" s="134">
        <v>356.85300000000001</v>
      </c>
      <c r="H61" s="135">
        <v>371.46288867440069</v>
      </c>
      <c r="I61" s="134">
        <v>351.56900000000002</v>
      </c>
      <c r="J61" s="134"/>
      <c r="K61" s="134">
        <v>349.07799999999997</v>
      </c>
      <c r="L61" s="135">
        <v>349.07799999999997</v>
      </c>
      <c r="M61" s="135">
        <v>211.66300000000001</v>
      </c>
      <c r="N61" s="135">
        <v>137.41499999999999</v>
      </c>
      <c r="O61" s="135">
        <v>349.07799999999997</v>
      </c>
      <c r="P61" s="134">
        <v>211.66300000000001</v>
      </c>
      <c r="Q61" s="134">
        <v>137.41499999999999</v>
      </c>
    </row>
    <row r="62" spans="1:25" s="136" customFormat="1">
      <c r="A62" s="146"/>
      <c r="B62" s="706" t="s">
        <v>1237</v>
      </c>
      <c r="C62" s="145" t="s">
        <v>804</v>
      </c>
      <c r="D62" s="134">
        <v>828.06399999999996</v>
      </c>
      <c r="E62" s="134">
        <v>820.00699999999995</v>
      </c>
      <c r="F62" s="134">
        <v>818.66</v>
      </c>
      <c r="G62" s="134">
        <v>802.90499999999997</v>
      </c>
      <c r="H62" s="135">
        <v>813.11511132559929</v>
      </c>
      <c r="I62" s="134">
        <v>785.63900000000001</v>
      </c>
      <c r="J62" s="134"/>
      <c r="K62" s="134">
        <v>786.12199999999996</v>
      </c>
      <c r="L62" s="135">
        <v>786.12200000000007</v>
      </c>
      <c r="M62" s="135">
        <v>480.233</v>
      </c>
      <c r="N62" s="135">
        <v>305.88900000000001</v>
      </c>
      <c r="O62" s="135">
        <v>786.12200000000007</v>
      </c>
      <c r="P62" s="134">
        <v>480.233</v>
      </c>
      <c r="Q62" s="134">
        <v>305.88900000000001</v>
      </c>
    </row>
    <row r="63" spans="1:25" s="136" customFormat="1" hidden="1">
      <c r="A63" s="146"/>
      <c r="B63" s="706" t="s">
        <v>1241</v>
      </c>
      <c r="C63" s="145" t="s">
        <v>804</v>
      </c>
      <c r="D63" s="134"/>
      <c r="E63" s="134">
        <f t="shared" ref="E63:G63" si="10">E68+E72</f>
        <v>0</v>
      </c>
      <c r="F63" s="134">
        <v>0</v>
      </c>
      <c r="G63" s="134">
        <v>0</v>
      </c>
      <c r="H63" s="134"/>
      <c r="I63" s="134"/>
      <c r="J63" s="134"/>
      <c r="K63" s="134"/>
      <c r="L63" s="134"/>
      <c r="M63" s="134"/>
      <c r="N63" s="134"/>
      <c r="O63" s="134"/>
      <c r="P63" s="134"/>
      <c r="Q63" s="134"/>
    </row>
    <row r="64" spans="1:25" s="136" customFormat="1" outlineLevel="1">
      <c r="A64" s="146"/>
      <c r="B64" s="623" t="s">
        <v>1200</v>
      </c>
      <c r="C64" s="145" t="s">
        <v>804</v>
      </c>
      <c r="D64" s="674"/>
      <c r="E64" s="674"/>
      <c r="F64" s="674"/>
      <c r="G64" s="674"/>
      <c r="H64" s="674"/>
      <c r="I64" s="674">
        <v>0</v>
      </c>
      <c r="J64" s="674"/>
      <c r="K64" s="674"/>
      <c r="L64" s="674"/>
      <c r="M64" s="674"/>
      <c r="N64" s="674"/>
      <c r="O64" s="674"/>
      <c r="P64" s="674"/>
      <c r="Q64" s="674"/>
    </row>
    <row r="65" spans="1:19" s="136" customFormat="1" outlineLevel="1">
      <c r="A65" s="146"/>
      <c r="B65" s="623" t="s">
        <v>1201</v>
      </c>
      <c r="C65" s="145" t="s">
        <v>804</v>
      </c>
      <c r="D65" s="144"/>
      <c r="E65" s="144">
        <f>E66+E67</f>
        <v>0</v>
      </c>
      <c r="F65" s="144">
        <v>0</v>
      </c>
      <c r="G65" s="144">
        <v>2.7600000000000002</v>
      </c>
      <c r="H65" s="144">
        <v>0</v>
      </c>
      <c r="I65" s="147">
        <v>4.2880000000000003</v>
      </c>
      <c r="J65" s="144">
        <v>18.475999999999999</v>
      </c>
      <c r="K65" s="144">
        <v>67.582999999999998</v>
      </c>
      <c r="L65" s="147">
        <v>68.7</v>
      </c>
      <c r="M65" s="147">
        <v>49.241</v>
      </c>
      <c r="N65" s="144">
        <v>19.459</v>
      </c>
      <c r="O65" s="147">
        <v>68.7</v>
      </c>
      <c r="P65" s="147">
        <v>49.241</v>
      </c>
      <c r="Q65" s="144">
        <v>19.459</v>
      </c>
    </row>
    <row r="66" spans="1:19" s="136" customFormat="1" outlineLevel="1">
      <c r="A66" s="146"/>
      <c r="B66" s="623" t="s">
        <v>1224</v>
      </c>
      <c r="C66" s="145" t="s">
        <v>804</v>
      </c>
      <c r="D66" s="674"/>
      <c r="E66" s="674"/>
      <c r="F66" s="674"/>
      <c r="G66" s="1297">
        <v>0.54</v>
      </c>
      <c r="H66" s="674"/>
      <c r="I66" s="674">
        <v>3.1640000000000001</v>
      </c>
      <c r="J66" s="674">
        <v>18.475999999999999</v>
      </c>
      <c r="K66" s="674">
        <v>67.582999999999998</v>
      </c>
      <c r="L66" s="1297">
        <v>68.7</v>
      </c>
      <c r="M66" s="1297">
        <v>49.241</v>
      </c>
      <c r="N66" s="674">
        <v>19.459</v>
      </c>
      <c r="O66" s="1297">
        <v>68.7</v>
      </c>
      <c r="P66" s="1297">
        <v>49.241</v>
      </c>
      <c r="Q66" s="674">
        <v>19.459</v>
      </c>
    </row>
    <row r="67" spans="1:19" s="136" customFormat="1" outlineLevel="1">
      <c r="A67" s="146"/>
      <c r="B67" s="623" t="s">
        <v>1234</v>
      </c>
      <c r="C67" s="145" t="s">
        <v>804</v>
      </c>
      <c r="D67" s="674"/>
      <c r="E67" s="674"/>
      <c r="F67" s="674"/>
      <c r="G67" s="1297">
        <v>2.2200000000000002</v>
      </c>
      <c r="H67" s="674"/>
      <c r="I67" s="674">
        <v>1.1240000000000001</v>
      </c>
      <c r="J67" s="674">
        <v>0</v>
      </c>
      <c r="K67" s="674">
        <v>0</v>
      </c>
      <c r="L67" s="674">
        <v>0</v>
      </c>
      <c r="M67" s="674">
        <v>0</v>
      </c>
      <c r="N67" s="674">
        <v>0</v>
      </c>
      <c r="O67" s="674">
        <v>0</v>
      </c>
      <c r="P67" s="674">
        <v>0</v>
      </c>
      <c r="Q67" s="674">
        <v>0</v>
      </c>
    </row>
    <row r="68" spans="1:19" s="136" customFormat="1" hidden="1" outlineLevel="1">
      <c r="A68" s="146"/>
      <c r="B68" s="623" t="s">
        <v>1242</v>
      </c>
      <c r="C68" s="145"/>
      <c r="D68" s="674"/>
      <c r="E68" s="674"/>
      <c r="F68" s="674"/>
      <c r="G68" s="674"/>
      <c r="H68" s="674"/>
      <c r="I68" s="674"/>
      <c r="J68" s="674"/>
      <c r="K68" s="674"/>
      <c r="L68" s="674"/>
      <c r="M68" s="674"/>
      <c r="N68" s="674"/>
      <c r="O68" s="674"/>
      <c r="P68" s="674"/>
      <c r="Q68" s="674"/>
    </row>
    <row r="69" spans="1:19" s="136" customFormat="1" outlineLevel="1">
      <c r="A69" s="146"/>
      <c r="B69" s="623" t="s">
        <v>1202</v>
      </c>
      <c r="C69" s="145" t="s">
        <v>804</v>
      </c>
      <c r="D69" s="144"/>
      <c r="E69" s="144">
        <f>E70+E71</f>
        <v>0</v>
      </c>
      <c r="F69" s="144">
        <v>0</v>
      </c>
      <c r="G69" s="144">
        <v>1156.998</v>
      </c>
      <c r="H69" s="144"/>
      <c r="I69" s="144">
        <v>1132.92</v>
      </c>
      <c r="J69" s="144">
        <v>1160.3400000000001</v>
      </c>
      <c r="K69" s="144">
        <v>1067.617</v>
      </c>
      <c r="L69" s="144">
        <v>1066.5</v>
      </c>
      <c r="M69" s="144">
        <v>642.65499999999997</v>
      </c>
      <c r="N69" s="144">
        <v>423.84500000000003</v>
      </c>
      <c r="O69" s="144">
        <v>1066.5</v>
      </c>
      <c r="P69" s="144">
        <v>642.65499999999997</v>
      </c>
      <c r="Q69" s="144">
        <v>423.84500000000003</v>
      </c>
    </row>
    <row r="70" spans="1:19" s="136" customFormat="1" outlineLevel="1">
      <c r="A70" s="146"/>
      <c r="B70" s="623" t="s">
        <v>1224</v>
      </c>
      <c r="C70" s="145" t="s">
        <v>804</v>
      </c>
      <c r="D70" s="674"/>
      <c r="E70" s="674"/>
      <c r="F70" s="674"/>
      <c r="G70" s="674">
        <v>356.31299999999999</v>
      </c>
      <c r="H70" s="674"/>
      <c r="I70" s="674">
        <v>348.40499999999997</v>
      </c>
      <c r="J70" s="674">
        <v>351.178</v>
      </c>
      <c r="K70" s="674">
        <v>281.495</v>
      </c>
      <c r="L70" s="674">
        <v>280.37799999999999</v>
      </c>
      <c r="M70" s="674">
        <v>162.422</v>
      </c>
      <c r="N70" s="1297">
        <v>117.956</v>
      </c>
      <c r="O70" s="674">
        <v>280.37799999999999</v>
      </c>
      <c r="P70" s="674">
        <v>162.422</v>
      </c>
      <c r="Q70" s="1297">
        <v>117.956</v>
      </c>
    </row>
    <row r="71" spans="1:19" s="136" customFormat="1" outlineLevel="1">
      <c r="A71" s="146"/>
      <c r="B71" s="623" t="s">
        <v>1234</v>
      </c>
      <c r="C71" s="145" t="s">
        <v>804</v>
      </c>
      <c r="D71" s="674"/>
      <c r="E71" s="674"/>
      <c r="F71" s="674"/>
      <c r="G71" s="674">
        <v>800.68499999999995</v>
      </c>
      <c r="H71" s="674"/>
      <c r="I71" s="674">
        <v>784.51499999999999</v>
      </c>
      <c r="J71" s="674">
        <v>809.16200000000003</v>
      </c>
      <c r="K71" s="674">
        <v>786.12199999999996</v>
      </c>
      <c r="L71" s="1297">
        <v>786.12200000000007</v>
      </c>
      <c r="M71" s="674">
        <v>480.233</v>
      </c>
      <c r="N71" s="674">
        <v>305.88900000000001</v>
      </c>
      <c r="O71" s="1297">
        <v>786.12200000000007</v>
      </c>
      <c r="P71" s="674">
        <v>480.233</v>
      </c>
      <c r="Q71" s="674">
        <v>305.88900000000001</v>
      </c>
    </row>
    <row r="72" spans="1:19" s="136" customFormat="1" hidden="1" outlineLevel="1">
      <c r="A72" s="146"/>
      <c r="B72" s="623" t="s">
        <v>1242</v>
      </c>
      <c r="C72" s="145"/>
      <c r="D72" s="674"/>
      <c r="E72" s="674"/>
      <c r="F72" s="674"/>
      <c r="G72" s="674"/>
      <c r="H72" s="674"/>
      <c r="I72" s="674"/>
      <c r="J72" s="674"/>
      <c r="K72" s="674"/>
      <c r="L72" s="674">
        <v>0</v>
      </c>
      <c r="M72" s="674"/>
      <c r="N72" s="674"/>
      <c r="O72" s="674">
        <v>0</v>
      </c>
      <c r="P72" s="674"/>
      <c r="Q72" s="674"/>
    </row>
    <row r="73" spans="1:19" s="136" customFormat="1" outlineLevel="1">
      <c r="A73" s="146"/>
      <c r="B73" s="623" t="s">
        <v>1203</v>
      </c>
      <c r="C73" s="145" t="s">
        <v>804</v>
      </c>
      <c r="D73" s="674"/>
      <c r="E73" s="674"/>
      <c r="F73" s="674"/>
      <c r="G73" s="674"/>
      <c r="H73" s="674"/>
      <c r="I73" s="674"/>
      <c r="J73" s="674"/>
      <c r="K73" s="674"/>
      <c r="L73" s="674"/>
      <c r="M73" s="674"/>
      <c r="N73" s="674"/>
      <c r="O73" s="674"/>
      <c r="P73" s="674"/>
      <c r="Q73" s="674"/>
    </row>
    <row r="74" spans="1:19" s="713" customFormat="1" ht="25.5">
      <c r="A74" s="709">
        <v>14</v>
      </c>
      <c r="B74" s="710" t="s">
        <v>1204</v>
      </c>
      <c r="C74" s="728" t="s">
        <v>166</v>
      </c>
      <c r="D74" s="729">
        <f t="shared" ref="D74:N76" si="11">D88/D60*1000</f>
        <v>133.2392172029318</v>
      </c>
      <c r="E74" s="729">
        <f t="shared" si="11"/>
        <v>132.44547847419079</v>
      </c>
      <c r="F74" s="729">
        <v>133.10428181193544</v>
      </c>
      <c r="G74" s="729">
        <v>134.00036904250715</v>
      </c>
      <c r="H74" s="729">
        <v>133.23426548495735</v>
      </c>
      <c r="I74" s="729">
        <v>132.72418062482851</v>
      </c>
      <c r="J74" s="729" t="e">
        <v>#DIV/0!</v>
      </c>
      <c r="K74" s="729">
        <v>133.95436927413672</v>
      </c>
      <c r="L74" s="729">
        <v>134.85553206483439</v>
      </c>
      <c r="M74" s="729">
        <v>132.43175274896808</v>
      </c>
      <c r="N74" s="729">
        <v>138.6384963817155</v>
      </c>
      <c r="O74" s="729">
        <v>134.85553206483439</v>
      </c>
      <c r="P74" s="729">
        <v>132.43175274896808</v>
      </c>
      <c r="Q74" s="729">
        <v>138.6384963817155</v>
      </c>
      <c r="R74" s="713">
        <f>'4.1_КТЭЦ'!AJ28+228.358+'4.1_КТЭЦ'!AJ19</f>
        <v>1156.463</v>
      </c>
    </row>
    <row r="75" spans="1:19" s="136" customFormat="1">
      <c r="A75" s="146"/>
      <c r="B75" s="706" t="s">
        <v>1236</v>
      </c>
      <c r="C75" s="141" t="s">
        <v>166</v>
      </c>
      <c r="D75" s="675">
        <v>130.69999999999999</v>
      </c>
      <c r="E75" s="675">
        <f t="shared" si="11"/>
        <v>130.58636040716348</v>
      </c>
      <c r="F75" s="675">
        <v>129.4</v>
      </c>
      <c r="G75" s="675">
        <v>133.44710567096254</v>
      </c>
      <c r="H75" s="675">
        <v>128.85293625539703</v>
      </c>
      <c r="I75" s="675">
        <v>131.22601822117423</v>
      </c>
      <c r="J75" s="675" t="e">
        <v>#DIV/0!</v>
      </c>
      <c r="K75" s="675">
        <v>133.39998510361585</v>
      </c>
      <c r="L75" s="675">
        <v>132.4746904703247</v>
      </c>
      <c r="M75" s="675">
        <v>128.99751019308997</v>
      </c>
      <c r="N75" s="675">
        <v>137.8306589528072</v>
      </c>
      <c r="O75" s="675">
        <v>132.4746904703247</v>
      </c>
      <c r="P75" s="675">
        <v>128.99751019308994</v>
      </c>
      <c r="Q75" s="675">
        <v>137.83065895280723</v>
      </c>
      <c r="R75" s="672">
        <f>R74*G74</f>
        <v>154966.46878400494</v>
      </c>
      <c r="S75" s="136" t="s">
        <v>1741</v>
      </c>
    </row>
    <row r="76" spans="1:19" s="136" customFormat="1">
      <c r="A76" s="146"/>
      <c r="B76" s="706" t="s">
        <v>1237</v>
      </c>
      <c r="C76" s="141" t="s">
        <v>166</v>
      </c>
      <c r="D76" s="675">
        <v>134.4</v>
      </c>
      <c r="E76" s="675">
        <f t="shared" si="11"/>
        <v>133.27203304362038</v>
      </c>
      <c r="F76" s="675">
        <v>134.80000000000001</v>
      </c>
      <c r="G76" s="675">
        <v>134.24626823845912</v>
      </c>
      <c r="H76" s="675">
        <v>135.23582859598204</v>
      </c>
      <c r="I76" s="675">
        <v>133.39459980983634</v>
      </c>
      <c r="J76" s="675" t="e">
        <v>#DIV/0!</v>
      </c>
      <c r="K76" s="675">
        <v>134.20054393592852</v>
      </c>
      <c r="L76" s="675">
        <v>135.91274636761213</v>
      </c>
      <c r="M76" s="675">
        <v>133.94539733837533</v>
      </c>
      <c r="N76" s="675">
        <v>139.00140246952324</v>
      </c>
      <c r="O76" s="675">
        <v>135.91274636761213</v>
      </c>
      <c r="P76" s="675">
        <v>133.94539733837533</v>
      </c>
      <c r="Q76" s="675">
        <v>139.00140246952324</v>
      </c>
    </row>
    <row r="77" spans="1:19" s="136" customFormat="1" hidden="1">
      <c r="A77" s="146"/>
      <c r="B77" s="706" t="s">
        <v>1241</v>
      </c>
      <c r="C77" s="141" t="s">
        <v>166</v>
      </c>
      <c r="D77" s="143"/>
      <c r="E77" s="143"/>
      <c r="F77" s="143"/>
      <c r="G77" s="143"/>
      <c r="H77" s="143"/>
      <c r="I77" s="143"/>
      <c r="J77" s="143"/>
      <c r="K77" s="143"/>
      <c r="L77" s="143"/>
      <c r="M77" s="143"/>
      <c r="N77" s="143"/>
      <c r="O77" s="143"/>
      <c r="P77" s="143"/>
      <c r="Q77" s="143"/>
    </row>
    <row r="78" spans="1:19" s="136" customFormat="1" outlineLevel="1">
      <c r="A78" s="146"/>
      <c r="B78" s="623" t="s">
        <v>1200</v>
      </c>
      <c r="C78" s="141" t="s">
        <v>166</v>
      </c>
      <c r="D78" s="675"/>
      <c r="E78" s="675"/>
      <c r="F78" s="675"/>
      <c r="G78" s="675"/>
      <c r="H78" s="675"/>
      <c r="I78" s="675">
        <v>0</v>
      </c>
      <c r="J78" s="675"/>
      <c r="K78" s="675"/>
      <c r="L78" s="675"/>
      <c r="M78" s="675"/>
      <c r="N78" s="675"/>
      <c r="O78" s="675"/>
      <c r="P78" s="675"/>
      <c r="Q78" s="675"/>
    </row>
    <row r="79" spans="1:19" s="136" customFormat="1" outlineLevel="1">
      <c r="A79" s="146"/>
      <c r="B79" s="623" t="s">
        <v>1201</v>
      </c>
      <c r="C79" s="141" t="s">
        <v>166</v>
      </c>
      <c r="D79" s="675"/>
      <c r="E79" s="675"/>
      <c r="F79" s="675"/>
      <c r="G79" s="675">
        <v>134.1</v>
      </c>
      <c r="H79" s="675"/>
      <c r="I79" s="675">
        <v>133.39552238805967</v>
      </c>
      <c r="J79" s="675">
        <v>128.9</v>
      </c>
      <c r="K79" s="675">
        <v>133.95380495094921</v>
      </c>
      <c r="L79" s="675">
        <v>131.49927219796214</v>
      </c>
      <c r="M79" s="675">
        <v>128.99819256310798</v>
      </c>
      <c r="N79" s="675">
        <v>137.82825427822601</v>
      </c>
      <c r="O79" s="675">
        <v>131.49927219796214</v>
      </c>
      <c r="P79" s="675">
        <v>128.99819256310798</v>
      </c>
      <c r="Q79" s="675">
        <v>137.82825427822601</v>
      </c>
    </row>
    <row r="80" spans="1:19" s="136" customFormat="1" outlineLevel="1">
      <c r="A80" s="146"/>
      <c r="B80" s="623" t="s">
        <v>1224</v>
      </c>
      <c r="C80" s="141" t="s">
        <v>166</v>
      </c>
      <c r="D80" s="675"/>
      <c r="E80" s="675"/>
      <c r="F80" s="675"/>
      <c r="G80" s="675">
        <v>133.30000000000001</v>
      </c>
      <c r="H80" s="675"/>
      <c r="I80" s="675">
        <v>133.37547408343866</v>
      </c>
      <c r="J80" s="675">
        <v>128.9</v>
      </c>
      <c r="K80" s="675">
        <v>133.95380495094921</v>
      </c>
      <c r="L80" s="675">
        <v>131.49927219796214</v>
      </c>
      <c r="M80" s="675">
        <v>128.99819256310798</v>
      </c>
      <c r="N80" s="675">
        <v>137.82825427822601</v>
      </c>
      <c r="O80" s="675">
        <v>131.49927219796214</v>
      </c>
      <c r="P80" s="675">
        <v>128.99819256310798</v>
      </c>
      <c r="Q80" s="675">
        <v>137.82825427822601</v>
      </c>
    </row>
    <row r="81" spans="1:19" s="136" customFormat="1" outlineLevel="1">
      <c r="A81" s="146"/>
      <c r="B81" s="623" t="s">
        <v>1234</v>
      </c>
      <c r="C81" s="141" t="s">
        <v>166</v>
      </c>
      <c r="D81" s="675"/>
      <c r="E81" s="675"/>
      <c r="F81" s="675"/>
      <c r="G81" s="675">
        <v>134.19999999999999</v>
      </c>
      <c r="H81" s="675"/>
      <c r="I81" s="675">
        <v>133.45195729537366</v>
      </c>
      <c r="J81" s="675">
        <v>0</v>
      </c>
      <c r="K81" s="675" t="e">
        <v>#DIV/0!</v>
      </c>
      <c r="L81" s="675"/>
      <c r="M81" s="675"/>
      <c r="N81" s="675"/>
      <c r="O81" s="675"/>
      <c r="P81" s="675"/>
      <c r="Q81" s="675"/>
    </row>
    <row r="82" spans="1:19" s="136" customFormat="1" hidden="1" outlineLevel="1">
      <c r="A82" s="146"/>
      <c r="B82" s="623" t="s">
        <v>1242</v>
      </c>
      <c r="C82" s="141" t="s">
        <v>166</v>
      </c>
      <c r="D82" s="675"/>
      <c r="E82" s="675"/>
      <c r="F82" s="675"/>
      <c r="G82" s="675"/>
      <c r="H82" s="675"/>
      <c r="I82" s="675" t="e">
        <v>#DIV/0!</v>
      </c>
      <c r="J82" s="675"/>
      <c r="K82" s="675" t="e">
        <v>#DIV/0!</v>
      </c>
      <c r="L82" s="675"/>
      <c r="M82" s="675"/>
      <c r="N82" s="675"/>
      <c r="O82" s="675"/>
      <c r="P82" s="675"/>
      <c r="Q82" s="675"/>
    </row>
    <row r="83" spans="1:19" s="136" customFormat="1" outlineLevel="1">
      <c r="A83" s="146"/>
      <c r="B83" s="623" t="s">
        <v>1202</v>
      </c>
      <c r="C83" s="141" t="s">
        <v>166</v>
      </c>
      <c r="D83" s="675"/>
      <c r="E83" s="675"/>
      <c r="F83" s="675"/>
      <c r="G83" s="675">
        <v>134</v>
      </c>
      <c r="H83" s="675"/>
      <c r="I83" s="675">
        <v>132.721639656816</v>
      </c>
      <c r="J83" s="675">
        <v>132.80000000000001</v>
      </c>
      <c r="K83" s="675">
        <v>133.95440499729773</v>
      </c>
      <c r="L83" s="675">
        <v>135.07172995780593</v>
      </c>
      <c r="M83" s="675">
        <v>132.69483626518115</v>
      </c>
      <c r="N83" s="675">
        <v>138.6756951243969</v>
      </c>
      <c r="O83" s="675">
        <v>135.07172995780593</v>
      </c>
      <c r="P83" s="675">
        <v>132.69483626518115</v>
      </c>
      <c r="Q83" s="675">
        <v>138.6756951243969</v>
      </c>
    </row>
    <row r="84" spans="1:19" s="136" customFormat="1" outlineLevel="1">
      <c r="A84" s="146"/>
      <c r="B84" s="623" t="s">
        <v>1224</v>
      </c>
      <c r="C84" s="141" t="s">
        <v>166</v>
      </c>
      <c r="D84" s="675"/>
      <c r="E84" s="675"/>
      <c r="F84" s="675"/>
      <c r="G84" s="675">
        <v>133.4</v>
      </c>
      <c r="H84" s="675"/>
      <c r="I84" s="675">
        <v>131.20649818458404</v>
      </c>
      <c r="J84" s="675">
        <v>128.9</v>
      </c>
      <c r="K84" s="675">
        <v>133.26702072860974</v>
      </c>
      <c r="L84" s="675">
        <v>132.71369365642099</v>
      </c>
      <c r="M84" s="675">
        <v>128.99730332097869</v>
      </c>
      <c r="N84" s="675">
        <v>137.83105564786868</v>
      </c>
      <c r="O84" s="675">
        <v>132.71369365642099</v>
      </c>
      <c r="P84" s="675">
        <v>128.99730332097869</v>
      </c>
      <c r="Q84" s="675">
        <v>137.83105564786868</v>
      </c>
    </row>
    <row r="85" spans="1:19" s="136" customFormat="1" outlineLevel="1">
      <c r="A85" s="146"/>
      <c r="B85" s="623" t="s">
        <v>1234</v>
      </c>
      <c r="C85" s="141" t="s">
        <v>166</v>
      </c>
      <c r="D85" s="675"/>
      <c r="E85" s="675"/>
      <c r="F85" s="675"/>
      <c r="G85" s="675">
        <v>134.19999999999999</v>
      </c>
      <c r="H85" s="675"/>
      <c r="I85" s="675">
        <v>133.39451763191272</v>
      </c>
      <c r="J85" s="675">
        <v>134.5</v>
      </c>
      <c r="K85" s="675">
        <v>134.20054393592852</v>
      </c>
      <c r="L85" s="675">
        <v>135.91274636761213</v>
      </c>
      <c r="M85" s="675">
        <v>133.94539733837533</v>
      </c>
      <c r="N85" s="675">
        <v>139.00140246952324</v>
      </c>
      <c r="O85" s="675">
        <v>135.91274636761213</v>
      </c>
      <c r="P85" s="675">
        <v>133.94539733837533</v>
      </c>
      <c r="Q85" s="675">
        <v>139.00140246952324</v>
      </c>
    </row>
    <row r="86" spans="1:19" s="136" customFormat="1" hidden="1" outlineLevel="1">
      <c r="A86" s="146"/>
      <c r="B86" s="623" t="s">
        <v>1242</v>
      </c>
      <c r="C86" s="141" t="s">
        <v>166</v>
      </c>
      <c r="D86" s="675"/>
      <c r="E86" s="675"/>
      <c r="F86" s="675"/>
      <c r="G86" s="675"/>
      <c r="H86" s="675"/>
      <c r="I86" s="675"/>
      <c r="J86" s="675"/>
      <c r="K86" s="675"/>
      <c r="L86" s="675"/>
      <c r="M86" s="675"/>
      <c r="N86" s="675"/>
      <c r="O86" s="675"/>
      <c r="P86" s="675"/>
      <c r="Q86" s="675"/>
    </row>
    <row r="87" spans="1:19" s="136" customFormat="1" outlineLevel="1">
      <c r="A87" s="146"/>
      <c r="B87" s="623" t="s">
        <v>1203</v>
      </c>
      <c r="C87" s="141" t="s">
        <v>166</v>
      </c>
      <c r="D87" s="675"/>
      <c r="E87" s="675"/>
      <c r="F87" s="675"/>
      <c r="G87" s="675"/>
      <c r="H87" s="675"/>
      <c r="I87" s="675"/>
      <c r="J87" s="675"/>
      <c r="K87" s="675"/>
      <c r="L87" s="675"/>
      <c r="M87" s="675"/>
      <c r="N87" s="675"/>
      <c r="O87" s="675"/>
      <c r="P87" s="675"/>
      <c r="Q87" s="675"/>
    </row>
    <row r="88" spans="1:19" s="136" customFormat="1" ht="26.25">
      <c r="A88" s="618">
        <v>15</v>
      </c>
      <c r="B88" s="619" t="s">
        <v>168</v>
      </c>
      <c r="C88" s="624" t="s">
        <v>807</v>
      </c>
      <c r="D88" s="622">
        <f>D89+D90</f>
        <v>160.71487589999998</v>
      </c>
      <c r="E88" s="622">
        <f t="shared" ref="E88:I88" si="12">E89+E90</f>
        <v>156.892</v>
      </c>
      <c r="F88" s="622">
        <v>158.849312</v>
      </c>
      <c r="G88" s="622">
        <v>155.40800000000002</v>
      </c>
      <c r="H88" s="622">
        <v>157.8263797396398</v>
      </c>
      <c r="I88" s="622">
        <v>150.935</v>
      </c>
      <c r="J88" s="622">
        <v>0</v>
      </c>
      <c r="K88" s="622">
        <v>152.065</v>
      </c>
      <c r="L88" s="622">
        <v>153.08799999999999</v>
      </c>
      <c r="M88" s="622">
        <v>91.629000000000005</v>
      </c>
      <c r="N88" s="622">
        <v>61.458999999999996</v>
      </c>
      <c r="O88" s="622">
        <v>153.08799999999999</v>
      </c>
      <c r="P88" s="622">
        <v>91.629000000000005</v>
      </c>
      <c r="Q88" s="622">
        <v>61.459000000000003</v>
      </c>
      <c r="S88" s="668"/>
    </row>
    <row r="89" spans="1:19" s="136" customFormat="1" ht="15" customHeight="1">
      <c r="A89" s="153"/>
      <c r="B89" s="706" t="s">
        <v>1236</v>
      </c>
      <c r="C89" s="145" t="s">
        <v>807</v>
      </c>
      <c r="D89" s="708">
        <f>D61*D75/1000-0.001</f>
        <v>49.423074299999996</v>
      </c>
      <c r="E89" s="708">
        <f>E94+E98</f>
        <v>47.608000000000004</v>
      </c>
      <c r="F89" s="708">
        <v>48.493944000000006</v>
      </c>
      <c r="G89" s="708">
        <v>47.621000000000002</v>
      </c>
      <c r="H89" s="708">
        <v>47.864083915608198</v>
      </c>
      <c r="I89" s="708">
        <v>46.134999999999998</v>
      </c>
      <c r="J89" s="708">
        <v>0</v>
      </c>
      <c r="K89" s="708">
        <v>46.567000000000007</v>
      </c>
      <c r="L89" s="147">
        <v>46.244</v>
      </c>
      <c r="M89" s="708">
        <v>27.304000000000002</v>
      </c>
      <c r="N89" s="708">
        <v>18.939999999999998</v>
      </c>
      <c r="O89" s="147">
        <v>46.244</v>
      </c>
      <c r="P89" s="708">
        <v>27.303999999999998</v>
      </c>
      <c r="Q89" s="708">
        <v>18.940000000000001</v>
      </c>
      <c r="S89" s="668"/>
    </row>
    <row r="90" spans="1:19" s="136" customFormat="1" ht="15.75">
      <c r="A90" s="153"/>
      <c r="B90" s="706" t="s">
        <v>1237</v>
      </c>
      <c r="C90" s="145" t="s">
        <v>807</v>
      </c>
      <c r="D90" s="708">
        <f>D62*D76/1000</f>
        <v>111.2918016</v>
      </c>
      <c r="E90" s="708">
        <f>E95+E99</f>
        <v>109.28400000000001</v>
      </c>
      <c r="F90" s="708">
        <v>110.355368</v>
      </c>
      <c r="G90" s="708">
        <v>107.78700000000001</v>
      </c>
      <c r="H90" s="708">
        <v>109.96229582403161</v>
      </c>
      <c r="I90" s="708">
        <v>104.80000000000001</v>
      </c>
      <c r="J90" s="708">
        <v>0</v>
      </c>
      <c r="K90" s="708">
        <v>105.498</v>
      </c>
      <c r="L90" s="147">
        <v>106.84399999999999</v>
      </c>
      <c r="M90" s="708">
        <v>64.325000000000003</v>
      </c>
      <c r="N90" s="708">
        <v>42.518999999999998</v>
      </c>
      <c r="O90" s="147">
        <v>106.84399999999999</v>
      </c>
      <c r="P90" s="708">
        <v>64.325000000000003</v>
      </c>
      <c r="Q90" s="708">
        <v>42.518999999999998</v>
      </c>
      <c r="S90" s="668"/>
    </row>
    <row r="91" spans="1:19" s="136" customFormat="1" ht="15.75" hidden="1">
      <c r="A91" s="153"/>
      <c r="B91" s="706" t="s">
        <v>1241</v>
      </c>
      <c r="C91" s="145" t="s">
        <v>807</v>
      </c>
      <c r="D91" s="679"/>
      <c r="E91" s="679"/>
      <c r="F91" s="679"/>
      <c r="G91" s="679"/>
      <c r="H91" s="679"/>
      <c r="I91" s="679"/>
      <c r="J91" s="679"/>
      <c r="K91" s="679"/>
      <c r="L91" s="679"/>
      <c r="M91" s="679"/>
      <c r="N91" s="679"/>
      <c r="O91" s="679"/>
      <c r="P91" s="679"/>
      <c r="Q91" s="679"/>
      <c r="S91" s="668"/>
    </row>
    <row r="92" spans="1:19" s="136" customFormat="1" ht="15.75">
      <c r="A92" s="153"/>
      <c r="B92" s="623" t="s">
        <v>1200</v>
      </c>
      <c r="C92" s="145" t="s">
        <v>807</v>
      </c>
      <c r="D92" s="147">
        <f>ROUND(D64*D78/1000,3)</f>
        <v>0</v>
      </c>
      <c r="E92" s="147">
        <f>ROUND(E64*E78/1000,3)</f>
        <v>0</v>
      </c>
      <c r="F92" s="147">
        <v>0</v>
      </c>
      <c r="G92" s="147">
        <v>0</v>
      </c>
      <c r="H92" s="147">
        <v>0</v>
      </c>
      <c r="I92" s="147"/>
      <c r="J92" s="147">
        <v>0</v>
      </c>
      <c r="K92" s="147"/>
      <c r="L92" s="147"/>
      <c r="M92" s="147"/>
      <c r="N92" s="147"/>
      <c r="O92" s="147"/>
      <c r="P92" s="147"/>
      <c r="Q92" s="147"/>
      <c r="S92" s="668"/>
    </row>
    <row r="93" spans="1:19" s="136" customFormat="1" ht="15.75">
      <c r="A93" s="153"/>
      <c r="B93" s="623" t="s">
        <v>1201</v>
      </c>
      <c r="C93" s="145" t="s">
        <v>807</v>
      </c>
      <c r="D93" s="147">
        <v>2.476</v>
      </c>
      <c r="E93" s="147">
        <f>E94+E95</f>
        <v>1.415</v>
      </c>
      <c r="F93" s="147">
        <v>2.46</v>
      </c>
      <c r="G93" s="147">
        <v>0.37</v>
      </c>
      <c r="H93" s="147">
        <v>2.3809999999999998</v>
      </c>
      <c r="I93" s="147">
        <v>0.57199999999999995</v>
      </c>
      <c r="J93" s="147">
        <v>0</v>
      </c>
      <c r="K93" s="147">
        <v>9.0530000000000008</v>
      </c>
      <c r="L93" s="147">
        <v>9.0340000000000007</v>
      </c>
      <c r="M93" s="147">
        <v>6.3520000000000003</v>
      </c>
      <c r="N93" s="147">
        <v>2.6819999999999999</v>
      </c>
      <c r="O93" s="147">
        <v>9.0340000000000007</v>
      </c>
      <c r="P93" s="147">
        <v>6.3520000000000003</v>
      </c>
      <c r="Q93" s="147">
        <v>2.6819999999999999</v>
      </c>
      <c r="S93" s="668"/>
    </row>
    <row r="94" spans="1:19" s="136" customFormat="1" ht="15.75">
      <c r="A94" s="153"/>
      <c r="B94" s="623" t="s">
        <v>1224</v>
      </c>
      <c r="C94" s="145" t="s">
        <v>807</v>
      </c>
      <c r="D94" s="147">
        <v>2.476</v>
      </c>
      <c r="E94" s="147">
        <v>0.70299999999999996</v>
      </c>
      <c r="F94" s="147">
        <v>2.46</v>
      </c>
      <c r="G94" s="147">
        <v>7.1999999999999995E-2</v>
      </c>
      <c r="H94" s="147">
        <v>2.3809999999999998</v>
      </c>
      <c r="I94" s="147">
        <v>0.42199999999999999</v>
      </c>
      <c r="J94" s="147"/>
      <c r="K94" s="147">
        <v>9.0530000000000008</v>
      </c>
      <c r="L94" s="147">
        <v>9.0340000000000007</v>
      </c>
      <c r="M94" s="147">
        <v>6.3520000000000003</v>
      </c>
      <c r="N94" s="147">
        <v>2.6819999999999999</v>
      </c>
      <c r="O94" s="147">
        <v>9.0340000000000007</v>
      </c>
      <c r="P94" s="147">
        <v>6.3520000000000003</v>
      </c>
      <c r="Q94" s="147">
        <v>2.6819999999999999</v>
      </c>
      <c r="S94" s="668"/>
    </row>
    <row r="95" spans="1:19" s="136" customFormat="1" ht="15.75">
      <c r="A95" s="153"/>
      <c r="B95" s="623" t="s">
        <v>1234</v>
      </c>
      <c r="C95" s="145" t="s">
        <v>807</v>
      </c>
      <c r="D95" s="147">
        <v>0</v>
      </c>
      <c r="E95" s="147">
        <v>0.71199999999999997</v>
      </c>
      <c r="F95" s="147">
        <v>0</v>
      </c>
      <c r="G95" s="147">
        <v>0.29799999999999999</v>
      </c>
      <c r="H95" s="147">
        <v>0</v>
      </c>
      <c r="I95" s="147">
        <v>0.15</v>
      </c>
      <c r="J95" s="147">
        <v>0</v>
      </c>
      <c r="K95" s="147">
        <v>0</v>
      </c>
      <c r="L95" s="147">
        <v>0</v>
      </c>
      <c r="M95" s="147">
        <v>0</v>
      </c>
      <c r="N95" s="147">
        <v>0</v>
      </c>
      <c r="O95" s="147">
        <v>0</v>
      </c>
      <c r="P95" s="147">
        <v>0</v>
      </c>
      <c r="Q95" s="147">
        <v>0</v>
      </c>
      <c r="S95" s="668"/>
    </row>
    <row r="96" spans="1:19" s="136" customFormat="1" ht="15.75" hidden="1">
      <c r="A96" s="153"/>
      <c r="B96" s="623" t="s">
        <v>1242</v>
      </c>
      <c r="C96" s="145" t="s">
        <v>807</v>
      </c>
      <c r="D96" s="147"/>
      <c r="E96" s="147"/>
      <c r="F96" s="147"/>
      <c r="G96" s="147"/>
      <c r="H96" s="147"/>
      <c r="I96" s="147"/>
      <c r="J96" s="147"/>
      <c r="K96" s="147"/>
      <c r="L96" s="147">
        <v>181.26400000000001</v>
      </c>
      <c r="M96" s="147"/>
      <c r="N96" s="147"/>
      <c r="O96" s="147">
        <v>181.26400000000001</v>
      </c>
      <c r="P96" s="147"/>
      <c r="Q96" s="147"/>
      <c r="S96" s="668"/>
    </row>
    <row r="97" spans="1:19" s="136" customFormat="1" ht="15.75">
      <c r="A97" s="153"/>
      <c r="B97" s="623" t="s">
        <v>1202</v>
      </c>
      <c r="C97" s="145" t="s">
        <v>807</v>
      </c>
      <c r="D97" s="147">
        <v>158.239</v>
      </c>
      <c r="E97" s="147">
        <f>E98+E99</f>
        <v>155.477</v>
      </c>
      <c r="F97" s="147">
        <v>156.39099999999999</v>
      </c>
      <c r="G97" s="147">
        <v>155.03800000000001</v>
      </c>
      <c r="H97" s="147">
        <v>155.4453797396398</v>
      </c>
      <c r="I97" s="147">
        <v>150.363</v>
      </c>
      <c r="J97" s="147">
        <v>0</v>
      </c>
      <c r="K97" s="147">
        <v>143.012</v>
      </c>
      <c r="L97" s="147">
        <v>144.054</v>
      </c>
      <c r="M97" s="147">
        <v>85.277000000000001</v>
      </c>
      <c r="N97" s="147">
        <v>58.777000000000001</v>
      </c>
      <c r="O97" s="147">
        <v>144.054</v>
      </c>
      <c r="P97" s="147">
        <v>85.277000000000001</v>
      </c>
      <c r="Q97" s="147">
        <v>58.777000000000001</v>
      </c>
      <c r="S97" s="668"/>
    </row>
    <row r="98" spans="1:19" s="136" customFormat="1" ht="15.75">
      <c r="A98" s="153"/>
      <c r="B98" s="623" t="s">
        <v>1224</v>
      </c>
      <c r="C98" s="145" t="s">
        <v>807</v>
      </c>
      <c r="D98" s="147">
        <v>46.947000000000003</v>
      </c>
      <c r="E98" s="147">
        <v>46.905000000000001</v>
      </c>
      <c r="F98" s="147">
        <v>46.036999999999999</v>
      </c>
      <c r="G98" s="147">
        <v>47.548999999999999</v>
      </c>
      <c r="H98" s="147">
        <v>45.483083915608198</v>
      </c>
      <c r="I98" s="147">
        <v>45.713000000000001</v>
      </c>
      <c r="J98" s="147"/>
      <c r="K98" s="147">
        <v>37.514000000000003</v>
      </c>
      <c r="L98" s="147">
        <v>37.21</v>
      </c>
      <c r="M98" s="147">
        <v>20.952000000000002</v>
      </c>
      <c r="N98" s="147">
        <v>16.257999999999999</v>
      </c>
      <c r="O98" s="147">
        <v>37.21</v>
      </c>
      <c r="P98" s="147">
        <v>20.952000000000002</v>
      </c>
      <c r="Q98" s="147">
        <v>16.257999999999999</v>
      </c>
      <c r="S98" s="668"/>
    </row>
    <row r="99" spans="1:19" s="136" customFormat="1" ht="15.75">
      <c r="A99" s="153"/>
      <c r="B99" s="623" t="s">
        <v>1234</v>
      </c>
      <c r="C99" s="145" t="s">
        <v>807</v>
      </c>
      <c r="D99" s="147">
        <v>111.292</v>
      </c>
      <c r="E99" s="147">
        <v>108.572</v>
      </c>
      <c r="F99" s="147">
        <v>110.354</v>
      </c>
      <c r="G99" s="147">
        <v>107.489</v>
      </c>
      <c r="H99" s="147">
        <v>109.96229582403161</v>
      </c>
      <c r="I99" s="147">
        <v>104.65</v>
      </c>
      <c r="J99" s="147"/>
      <c r="K99" s="147">
        <v>105.498</v>
      </c>
      <c r="L99" s="147">
        <v>106.84399999999999</v>
      </c>
      <c r="M99" s="147">
        <v>64.325000000000003</v>
      </c>
      <c r="N99" s="147">
        <v>42.518999999999998</v>
      </c>
      <c r="O99" s="147">
        <v>106.84399999999999</v>
      </c>
      <c r="P99" s="147">
        <v>64.325000000000003</v>
      </c>
      <c r="Q99" s="147">
        <v>42.518999999999998</v>
      </c>
      <c r="S99" s="668"/>
    </row>
    <row r="100" spans="1:19" s="136" customFormat="1" ht="15.75" hidden="1">
      <c r="A100" s="153"/>
      <c r="B100" s="623" t="s">
        <v>1242</v>
      </c>
      <c r="C100" s="145" t="s">
        <v>807</v>
      </c>
      <c r="D100" s="147"/>
      <c r="E100" s="147"/>
      <c r="F100" s="147"/>
      <c r="G100" s="147"/>
      <c r="H100" s="147"/>
      <c r="I100" s="147"/>
      <c r="J100" s="147"/>
      <c r="K100" s="147"/>
      <c r="L100" s="147">
        <v>437.608</v>
      </c>
      <c r="M100" s="147"/>
      <c r="N100" s="147"/>
      <c r="O100" s="147">
        <v>437.608</v>
      </c>
      <c r="P100" s="147"/>
      <c r="Q100" s="147"/>
      <c r="S100" s="668"/>
    </row>
    <row r="101" spans="1:19" s="136" customFormat="1" ht="15.75">
      <c r="A101" s="153"/>
      <c r="B101" s="623" t="s">
        <v>1203</v>
      </c>
      <c r="C101" s="145" t="s">
        <v>807</v>
      </c>
      <c r="D101" s="147">
        <f>ROUND(D73*D87/1000,3)</f>
        <v>0</v>
      </c>
      <c r="E101" s="147">
        <f>ROUND(E73*E87/1000,3)</f>
        <v>0</v>
      </c>
      <c r="F101" s="147">
        <v>0</v>
      </c>
      <c r="G101" s="147">
        <v>0</v>
      </c>
      <c r="H101" s="147">
        <v>0</v>
      </c>
      <c r="I101" s="1688">
        <v>0</v>
      </c>
      <c r="J101" s="147">
        <v>0</v>
      </c>
      <c r="K101" s="1688">
        <v>0</v>
      </c>
      <c r="L101" s="147">
        <v>0</v>
      </c>
      <c r="M101" s="1688">
        <v>0</v>
      </c>
      <c r="N101" s="1688">
        <v>0</v>
      </c>
      <c r="O101" s="147">
        <v>0</v>
      </c>
      <c r="P101" s="1688">
        <v>0</v>
      </c>
      <c r="Q101" s="1688">
        <v>0</v>
      </c>
      <c r="S101" s="668"/>
    </row>
    <row r="102" spans="1:19" s="136" customFormat="1" ht="15" customHeight="1">
      <c r="A102" s="146">
        <v>16</v>
      </c>
      <c r="B102" s="625" t="s">
        <v>808</v>
      </c>
      <c r="C102" s="145" t="s">
        <v>807</v>
      </c>
      <c r="D102" s="626">
        <f>D48+D88</f>
        <v>447.29679119999997</v>
      </c>
      <c r="E102" s="626">
        <f>E48+E88</f>
        <v>441.3</v>
      </c>
      <c r="F102" s="626">
        <v>441.85429479999999</v>
      </c>
      <c r="G102" s="626">
        <v>436.03100000000001</v>
      </c>
      <c r="H102" s="626">
        <v>438.54872253963981</v>
      </c>
      <c r="I102" s="626">
        <v>443.10899999999998</v>
      </c>
      <c r="J102" s="626">
        <v>0</v>
      </c>
      <c r="K102" s="626">
        <v>432.35699999999997</v>
      </c>
      <c r="L102" s="625">
        <v>437.608</v>
      </c>
      <c r="M102" s="626">
        <v>234.358</v>
      </c>
      <c r="N102" s="626">
        <v>203.25</v>
      </c>
      <c r="O102" s="625">
        <v>437.608</v>
      </c>
      <c r="P102" s="626">
        <v>234.358</v>
      </c>
      <c r="Q102" s="626">
        <v>203.25</v>
      </c>
    </row>
    <row r="103" spans="1:19" s="136" customFormat="1" ht="25.5">
      <c r="A103" s="133">
        <v>17</v>
      </c>
      <c r="B103" s="138" t="s">
        <v>809</v>
      </c>
      <c r="C103" s="133" t="s">
        <v>138</v>
      </c>
      <c r="D103" s="627">
        <f t="shared" ref="D103:N103" si="13">D88/D102</f>
        <v>0.35930254600941119</v>
      </c>
      <c r="E103" s="627">
        <f t="shared" si="13"/>
        <v>0.35552232041694992</v>
      </c>
      <c r="F103" s="627">
        <v>0.35950609481322621</v>
      </c>
      <c r="G103" s="627">
        <v>0.35641502553717513</v>
      </c>
      <c r="H103" s="627">
        <v>0.35988334164027602</v>
      </c>
      <c r="I103" s="627">
        <v>0.34062724972862207</v>
      </c>
      <c r="J103" s="627" t="e">
        <v>#DIV/0!</v>
      </c>
      <c r="K103" s="627">
        <v>0.35171166420342448</v>
      </c>
      <c r="L103" s="627">
        <v>0.34982907076653075</v>
      </c>
      <c r="M103" s="627">
        <v>0.39097875899265228</v>
      </c>
      <c r="N103" s="627">
        <v>0.30238130381303813</v>
      </c>
      <c r="O103" s="627">
        <v>0.34982907076653075</v>
      </c>
      <c r="P103" s="627">
        <v>0.39097875899265228</v>
      </c>
      <c r="Q103" s="627">
        <v>0.30238130381303813</v>
      </c>
    </row>
    <row r="104" spans="1:19" s="136" customFormat="1" ht="14.25" customHeight="1">
      <c r="A104" s="628">
        <v>18</v>
      </c>
      <c r="B104" s="629" t="s">
        <v>174</v>
      </c>
      <c r="C104" s="628" t="s">
        <v>807</v>
      </c>
      <c r="D104" s="630">
        <f>D105+D107+D111+D118</f>
        <v>447.29700000000003</v>
      </c>
      <c r="E104" s="630">
        <f>E105+E107+E111+E118</f>
        <v>441.29999999999995</v>
      </c>
      <c r="F104" s="630">
        <v>441.85599999999999</v>
      </c>
      <c r="G104" s="630">
        <v>436.03100000000001</v>
      </c>
      <c r="H104" s="630">
        <v>438.54872253963975</v>
      </c>
      <c r="I104" s="630">
        <v>443.10899999999998</v>
      </c>
      <c r="J104" s="630">
        <v>0</v>
      </c>
      <c r="K104" s="630">
        <v>432.35699999999997</v>
      </c>
      <c r="L104" s="630">
        <v>437.608</v>
      </c>
      <c r="M104" s="630">
        <v>234.358</v>
      </c>
      <c r="N104" s="630">
        <v>203.25</v>
      </c>
      <c r="O104" s="630">
        <v>437.608</v>
      </c>
      <c r="P104" s="630">
        <v>234.358</v>
      </c>
      <c r="Q104" s="630">
        <v>203.25</v>
      </c>
    </row>
    <row r="105" spans="1:19" s="148" customFormat="1" ht="14.25" customHeight="1">
      <c r="A105" s="152" t="s">
        <v>175</v>
      </c>
      <c r="B105" s="632" t="s">
        <v>1205</v>
      </c>
      <c r="C105" s="133" t="s">
        <v>807</v>
      </c>
      <c r="D105" s="633">
        <f>D52+D92</f>
        <v>0</v>
      </c>
      <c r="E105" s="633">
        <f>E52+E92</f>
        <v>0</v>
      </c>
      <c r="F105" s="633">
        <v>0</v>
      </c>
      <c r="G105" s="633">
        <v>0</v>
      </c>
      <c r="H105" s="633">
        <v>0</v>
      </c>
      <c r="I105" s="633">
        <v>0</v>
      </c>
      <c r="J105" s="633">
        <v>0</v>
      </c>
      <c r="K105" s="633">
        <v>0</v>
      </c>
      <c r="L105" s="633">
        <v>0</v>
      </c>
      <c r="M105" s="633">
        <v>0</v>
      </c>
      <c r="N105" s="633">
        <v>0</v>
      </c>
      <c r="O105" s="633">
        <v>0</v>
      </c>
      <c r="P105" s="633">
        <v>0</v>
      </c>
      <c r="Q105" s="633">
        <v>0</v>
      </c>
    </row>
    <row r="106" spans="1:19" s="148" customFormat="1" ht="14.25" hidden="1" customHeight="1">
      <c r="A106" s="152"/>
      <c r="B106" s="632"/>
      <c r="C106" s="133"/>
      <c r="D106" s="633"/>
      <c r="E106" s="633"/>
      <c r="F106" s="633"/>
      <c r="G106" s="633"/>
      <c r="H106" s="633"/>
      <c r="I106" s="633"/>
      <c r="J106" s="633"/>
      <c r="K106" s="633"/>
      <c r="L106" s="633"/>
      <c r="M106" s="633"/>
      <c r="N106" s="633"/>
      <c r="O106" s="633"/>
      <c r="P106" s="633"/>
      <c r="Q106" s="633"/>
    </row>
    <row r="107" spans="1:19" s="669" customFormat="1">
      <c r="A107" s="152" t="s">
        <v>177</v>
      </c>
      <c r="B107" s="634" t="s">
        <v>810</v>
      </c>
      <c r="C107" s="153" t="s">
        <v>807</v>
      </c>
      <c r="D107" s="633">
        <f>D53+D93</f>
        <v>6.4359999999999999</v>
      </c>
      <c r="E107" s="633">
        <f>E53+E93</f>
        <v>5.4109999999999996</v>
      </c>
      <c r="F107" s="633">
        <v>6.4939999999999998</v>
      </c>
      <c r="G107" s="633">
        <v>1.4980000000000002</v>
      </c>
      <c r="H107" s="633">
        <v>6.3490000000000002</v>
      </c>
      <c r="I107" s="633">
        <v>1.806</v>
      </c>
      <c r="J107" s="633">
        <v>0</v>
      </c>
      <c r="K107" s="633">
        <v>20.201000000000001</v>
      </c>
      <c r="L107" s="633">
        <v>20.271000000000001</v>
      </c>
      <c r="M107" s="633">
        <v>13.522</v>
      </c>
      <c r="N107" s="633">
        <v>6.7490000000000006</v>
      </c>
      <c r="O107" s="633">
        <v>20.271000000000001</v>
      </c>
      <c r="P107" s="633">
        <v>13.522</v>
      </c>
      <c r="Q107" s="633">
        <v>6.7490000000000006</v>
      </c>
    </row>
    <row r="108" spans="1:19" s="669" customFormat="1">
      <c r="A108" s="152"/>
      <c r="B108" s="623" t="s">
        <v>1224</v>
      </c>
      <c r="C108" s="133" t="s">
        <v>807</v>
      </c>
      <c r="D108" s="147">
        <f t="shared" ref="D108:N109" si="14">D54+D94</f>
        <v>6.4359999999999999</v>
      </c>
      <c r="E108" s="147">
        <f t="shared" si="14"/>
        <v>2.1339999999999999</v>
      </c>
      <c r="F108" s="147">
        <v>6.4939999999999998</v>
      </c>
      <c r="G108" s="147">
        <v>0.32600000000000001</v>
      </c>
      <c r="H108" s="147">
        <v>6.3490000000000002</v>
      </c>
      <c r="I108" s="147">
        <v>0.92799999999999994</v>
      </c>
      <c r="J108" s="147">
        <v>0</v>
      </c>
      <c r="K108" s="147">
        <v>20.201000000000001</v>
      </c>
      <c r="L108" s="147">
        <v>20.271000000000001</v>
      </c>
      <c r="M108" s="147">
        <v>13.522</v>
      </c>
      <c r="N108" s="147">
        <v>6.7490000000000006</v>
      </c>
      <c r="O108" s="147">
        <v>20.271000000000001</v>
      </c>
      <c r="P108" s="147">
        <v>13.522</v>
      </c>
      <c r="Q108" s="147">
        <v>6.7490000000000006</v>
      </c>
    </row>
    <row r="109" spans="1:19" s="669" customFormat="1">
      <c r="A109" s="152"/>
      <c r="B109" s="623" t="s">
        <v>1234</v>
      </c>
      <c r="C109" s="133" t="s">
        <v>807</v>
      </c>
      <c r="D109" s="147">
        <f t="shared" si="14"/>
        <v>0</v>
      </c>
      <c r="E109" s="147">
        <f t="shared" si="14"/>
        <v>3.2770000000000001</v>
      </c>
      <c r="F109" s="147">
        <v>0</v>
      </c>
      <c r="G109" s="147">
        <v>1.1719999999999999</v>
      </c>
      <c r="H109" s="147">
        <v>0</v>
      </c>
      <c r="I109" s="147">
        <v>0.878</v>
      </c>
      <c r="J109" s="147">
        <v>0</v>
      </c>
      <c r="K109" s="147">
        <v>0</v>
      </c>
      <c r="L109" s="147">
        <v>0</v>
      </c>
      <c r="M109" s="147">
        <v>0</v>
      </c>
      <c r="N109" s="147">
        <v>0</v>
      </c>
      <c r="O109" s="147">
        <v>0</v>
      </c>
      <c r="P109" s="147">
        <v>0</v>
      </c>
      <c r="Q109" s="147">
        <v>0</v>
      </c>
    </row>
    <row r="110" spans="1:19" s="669" customFormat="1" hidden="1">
      <c r="A110" s="152"/>
      <c r="B110" s="623" t="s">
        <v>1242</v>
      </c>
      <c r="C110" s="133" t="s">
        <v>807</v>
      </c>
      <c r="D110" s="633"/>
      <c r="E110" s="633"/>
      <c r="F110" s="633"/>
      <c r="G110" s="633"/>
      <c r="H110" s="633"/>
      <c r="I110" s="633"/>
      <c r="J110" s="633"/>
      <c r="K110" s="633"/>
      <c r="L110" s="633"/>
      <c r="M110" s="633"/>
      <c r="N110" s="633"/>
      <c r="O110" s="633"/>
      <c r="P110" s="633"/>
      <c r="Q110" s="633"/>
    </row>
    <row r="111" spans="1:19" s="667" customFormat="1">
      <c r="A111" s="152" t="s">
        <v>179</v>
      </c>
      <c r="B111" s="634" t="s">
        <v>811</v>
      </c>
      <c r="C111" s="153" t="s">
        <v>807</v>
      </c>
      <c r="D111" s="633">
        <f>D56+D97</f>
        <v>440.70900000000006</v>
      </c>
      <c r="E111" s="633">
        <f>E56+E97</f>
        <v>435.78099999999995</v>
      </c>
      <c r="F111" s="633">
        <v>435.21199999999999</v>
      </c>
      <c r="G111" s="633">
        <v>434.44200000000001</v>
      </c>
      <c r="H111" s="633">
        <v>432.04686653963978</v>
      </c>
      <c r="I111" s="633">
        <v>441.18900000000002</v>
      </c>
      <c r="J111" s="633">
        <v>0</v>
      </c>
      <c r="K111" s="633">
        <v>412.00599999999997</v>
      </c>
      <c r="L111" s="633">
        <v>417.18400000000003</v>
      </c>
      <c r="M111" s="633">
        <v>220.75900000000001</v>
      </c>
      <c r="N111" s="633">
        <v>196.42500000000001</v>
      </c>
      <c r="O111" s="633">
        <v>417.18400000000003</v>
      </c>
      <c r="P111" s="633">
        <v>220.75900000000001</v>
      </c>
      <c r="Q111" s="633">
        <v>196.42500000000001</v>
      </c>
    </row>
    <row r="112" spans="1:19" s="667" customFormat="1">
      <c r="A112" s="152"/>
      <c r="B112" s="623" t="s">
        <v>1224</v>
      </c>
      <c r="C112" s="133" t="s">
        <v>807</v>
      </c>
      <c r="D112" s="147">
        <f>D57+D98</f>
        <v>121.721</v>
      </c>
      <c r="E112" s="147">
        <f t="shared" ref="E112:N112" si="15">E57+E98</f>
        <v>128.17400000000001</v>
      </c>
      <c r="F112" s="147">
        <v>121.636</v>
      </c>
      <c r="G112" s="147">
        <v>126.89500000000001</v>
      </c>
      <c r="H112" s="147">
        <v>120.5235707156082</v>
      </c>
      <c r="I112" s="147">
        <v>128.46799999999999</v>
      </c>
      <c r="J112" s="147">
        <v>0</v>
      </c>
      <c r="K112" s="147">
        <v>105.86099999999999</v>
      </c>
      <c r="L112" s="147">
        <v>108.45599999999999</v>
      </c>
      <c r="M112" s="147">
        <v>50.362000000000002</v>
      </c>
      <c r="N112" s="147">
        <v>58.093999999999994</v>
      </c>
      <c r="O112" s="147">
        <v>108.45599999999999</v>
      </c>
      <c r="P112" s="147">
        <v>50.362000000000002</v>
      </c>
      <c r="Q112" s="147">
        <v>58.093999999999994</v>
      </c>
    </row>
    <row r="113" spans="1:22" s="667" customFormat="1">
      <c r="A113" s="152"/>
      <c r="B113" s="623" t="s">
        <v>1234</v>
      </c>
      <c r="C113" s="133" t="s">
        <v>807</v>
      </c>
      <c r="D113" s="147">
        <f>D58+D99</f>
        <v>318.988</v>
      </c>
      <c r="E113" s="147">
        <f t="shared" ref="E113:N113" si="16">E58+E99</f>
        <v>307.60699999999997</v>
      </c>
      <c r="F113" s="147">
        <v>313.57600000000002</v>
      </c>
      <c r="G113" s="147">
        <v>307.54700000000003</v>
      </c>
      <c r="H113" s="147">
        <v>311.52329582403161</v>
      </c>
      <c r="I113" s="147">
        <v>312.721</v>
      </c>
      <c r="J113" s="147">
        <v>0</v>
      </c>
      <c r="K113" s="147">
        <v>306.14499999999998</v>
      </c>
      <c r="L113" s="147">
        <v>308.72800000000001</v>
      </c>
      <c r="M113" s="147">
        <v>170.39699999999999</v>
      </c>
      <c r="N113" s="147">
        <v>138.33099999999999</v>
      </c>
      <c r="O113" s="147">
        <v>308.72800000000001</v>
      </c>
      <c r="P113" s="147">
        <v>170.39699999999999</v>
      </c>
      <c r="Q113" s="147">
        <v>138.33099999999999</v>
      </c>
    </row>
    <row r="114" spans="1:22" s="667" customFormat="1" hidden="1">
      <c r="A114" s="152"/>
      <c r="B114" s="623" t="s">
        <v>1242</v>
      </c>
      <c r="C114" s="133" t="s">
        <v>807</v>
      </c>
      <c r="D114" s="147"/>
      <c r="E114" s="147"/>
      <c r="F114" s="147"/>
      <c r="G114" s="147"/>
      <c r="H114" s="147"/>
      <c r="I114" s="147"/>
      <c r="J114" s="147"/>
      <c r="K114" s="147"/>
      <c r="L114" s="147"/>
      <c r="M114" s="147"/>
      <c r="N114" s="147"/>
      <c r="O114" s="147"/>
      <c r="P114" s="147"/>
      <c r="Q114" s="147"/>
    </row>
    <row r="115" spans="1:22" s="148" customFormat="1">
      <c r="A115" s="152" t="s">
        <v>181</v>
      </c>
      <c r="B115" s="154" t="s">
        <v>812</v>
      </c>
      <c r="C115" s="133" t="s">
        <v>807</v>
      </c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</row>
    <row r="116" spans="1:22" s="148" customFormat="1">
      <c r="A116" s="152" t="s">
        <v>183</v>
      </c>
      <c r="B116" s="154" t="s">
        <v>813</v>
      </c>
      <c r="C116" s="133" t="s">
        <v>807</v>
      </c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</row>
    <row r="117" spans="1:22" s="148" customFormat="1">
      <c r="A117" s="152" t="s">
        <v>185</v>
      </c>
      <c r="B117" s="154" t="s">
        <v>814</v>
      </c>
      <c r="C117" s="133" t="s">
        <v>807</v>
      </c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V117" s="148" t="s">
        <v>815</v>
      </c>
    </row>
    <row r="118" spans="1:22" s="148" customFormat="1">
      <c r="A118" s="152" t="s">
        <v>187</v>
      </c>
      <c r="B118" s="636" t="s">
        <v>1206</v>
      </c>
      <c r="C118" s="133" t="s">
        <v>807</v>
      </c>
      <c r="D118" s="633">
        <f>D59+D101</f>
        <v>0.152</v>
      </c>
      <c r="E118" s="633">
        <f>E59+E101</f>
        <v>0.108</v>
      </c>
      <c r="F118" s="633">
        <v>0.15</v>
      </c>
      <c r="G118" s="633">
        <v>9.0999999999999998E-2</v>
      </c>
      <c r="H118" s="633">
        <v>0.15285599999999999</v>
      </c>
      <c r="I118" s="633">
        <v>0.114</v>
      </c>
      <c r="J118" s="633">
        <v>0</v>
      </c>
      <c r="K118" s="633">
        <v>0.15</v>
      </c>
      <c r="L118" s="633">
        <v>0.153</v>
      </c>
      <c r="M118" s="633">
        <v>7.6999999999999999E-2</v>
      </c>
      <c r="N118" s="633">
        <v>7.5999999999999998E-2</v>
      </c>
      <c r="O118" s="633">
        <v>0.153</v>
      </c>
      <c r="P118" s="633">
        <v>7.6999999999999999E-2</v>
      </c>
      <c r="Q118" s="633">
        <v>7.5999999999999998E-2</v>
      </c>
    </row>
    <row r="119" spans="1:22" s="148" customFormat="1">
      <c r="A119" s="152"/>
      <c r="B119" s="144"/>
      <c r="C119" s="133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</row>
    <row r="120" spans="1:22" s="148" customFormat="1">
      <c r="A120" s="152" t="s">
        <v>189</v>
      </c>
      <c r="B120" s="144" t="s">
        <v>816</v>
      </c>
      <c r="C120" s="133" t="s">
        <v>807</v>
      </c>
      <c r="D120" s="147">
        <f t="shared" ref="D120:N120" si="17">D88</f>
        <v>160.71487589999998</v>
      </c>
      <c r="E120" s="144">
        <f t="shared" si="17"/>
        <v>156.892</v>
      </c>
      <c r="F120" s="147">
        <v>158.85131200000001</v>
      </c>
      <c r="G120" s="144">
        <v>155.40800000000002</v>
      </c>
      <c r="H120" s="147">
        <v>157.8263797396398</v>
      </c>
      <c r="I120" s="144">
        <v>150.935</v>
      </c>
      <c r="J120" s="144">
        <v>0</v>
      </c>
      <c r="K120" s="144">
        <v>152.065</v>
      </c>
      <c r="L120" s="144">
        <v>153.08799999999999</v>
      </c>
      <c r="M120" s="144">
        <v>91.629000000000005</v>
      </c>
      <c r="N120" s="144">
        <v>61.458999999999996</v>
      </c>
      <c r="O120" s="144">
        <v>153.08799999999999</v>
      </c>
      <c r="P120" s="144">
        <v>91.629000000000005</v>
      </c>
      <c r="Q120" s="144">
        <v>61.459000000000003</v>
      </c>
    </row>
    <row r="121" spans="1:22" s="669" customFormat="1" ht="14.25" customHeight="1">
      <c r="A121" s="637">
        <v>19</v>
      </c>
      <c r="B121" s="638" t="s">
        <v>191</v>
      </c>
      <c r="C121" s="637" t="s">
        <v>138</v>
      </c>
      <c r="D121" s="639">
        <f t="shared" ref="D121:N121" si="18">D122+D124+D125+D129</f>
        <v>1</v>
      </c>
      <c r="E121" s="639">
        <f t="shared" si="18"/>
        <v>1</v>
      </c>
      <c r="F121" s="639">
        <v>1</v>
      </c>
      <c r="G121" s="639">
        <v>1</v>
      </c>
      <c r="H121" s="639">
        <v>1</v>
      </c>
      <c r="I121" s="639">
        <v>1</v>
      </c>
      <c r="J121" s="639" t="e">
        <v>#DIV/0!</v>
      </c>
      <c r="K121" s="639">
        <v>1</v>
      </c>
      <c r="L121" s="639">
        <v>1</v>
      </c>
      <c r="M121" s="639">
        <v>1</v>
      </c>
      <c r="N121" s="639">
        <v>1</v>
      </c>
      <c r="O121" s="639">
        <v>1</v>
      </c>
      <c r="P121" s="639">
        <v>1</v>
      </c>
      <c r="Q121" s="639">
        <v>1</v>
      </c>
    </row>
    <row r="122" spans="1:22" s="148" customFormat="1">
      <c r="A122" s="152" t="s">
        <v>192</v>
      </c>
      <c r="B122" s="632" t="s">
        <v>1205</v>
      </c>
      <c r="C122" s="146" t="s">
        <v>138</v>
      </c>
      <c r="D122" s="640">
        <f t="shared" ref="D122:N122" si="19">D105/D104</f>
        <v>0</v>
      </c>
      <c r="E122" s="640">
        <f t="shared" si="19"/>
        <v>0</v>
      </c>
      <c r="F122" s="640">
        <v>0</v>
      </c>
      <c r="G122" s="640">
        <v>0</v>
      </c>
      <c r="H122" s="640">
        <v>0</v>
      </c>
      <c r="I122" s="640">
        <v>0</v>
      </c>
      <c r="J122" s="640" t="e">
        <v>#DIV/0!</v>
      </c>
      <c r="K122" s="640">
        <v>0</v>
      </c>
      <c r="L122" s="641">
        <v>0</v>
      </c>
      <c r="M122" s="640">
        <v>0</v>
      </c>
      <c r="N122" s="640">
        <v>0</v>
      </c>
      <c r="O122" s="641">
        <v>0</v>
      </c>
      <c r="P122" s="640">
        <v>0</v>
      </c>
      <c r="Q122" s="640">
        <v>0</v>
      </c>
    </row>
    <row r="123" spans="1:22" s="148" customFormat="1" hidden="1">
      <c r="A123" s="152"/>
      <c r="B123" s="144"/>
      <c r="C123" s="146"/>
      <c r="D123" s="640"/>
      <c r="E123" s="640"/>
      <c r="F123" s="640"/>
      <c r="G123" s="640"/>
      <c r="H123" s="640"/>
      <c r="I123" s="640"/>
      <c r="J123" s="640"/>
      <c r="K123" s="640"/>
      <c r="L123" s="641"/>
      <c r="M123" s="640"/>
      <c r="N123" s="640"/>
      <c r="O123" s="641"/>
      <c r="P123" s="640"/>
      <c r="Q123" s="640"/>
    </row>
    <row r="124" spans="1:22" s="148" customFormat="1">
      <c r="A124" s="152" t="s">
        <v>193</v>
      </c>
      <c r="B124" s="634" t="s">
        <v>810</v>
      </c>
      <c r="C124" s="155" t="s">
        <v>138</v>
      </c>
      <c r="D124" s="640">
        <f t="shared" ref="D124:N124" si="20">D107/D104</f>
        <v>1.4388650046836888E-2</v>
      </c>
      <c r="E124" s="640">
        <f t="shared" si="20"/>
        <v>1.2261500113301609E-2</v>
      </c>
      <c r="F124" s="640">
        <v>1.4697095886442642E-2</v>
      </c>
      <c r="G124" s="640">
        <v>3.4355355467845182E-3</v>
      </c>
      <c r="H124" s="640">
        <v>1.4477296760170413E-2</v>
      </c>
      <c r="I124" s="640">
        <v>4.0757465995951338E-3</v>
      </c>
      <c r="J124" s="640" t="e">
        <v>#DIV/0!</v>
      </c>
      <c r="K124" s="640">
        <v>4.672296273681241E-2</v>
      </c>
      <c r="L124" s="641">
        <v>4.6322279300195612E-2</v>
      </c>
      <c r="M124" s="640">
        <v>5.7698051698683209E-2</v>
      </c>
      <c r="N124" s="640">
        <v>3.3205412054120545E-2</v>
      </c>
      <c r="O124" s="641">
        <v>4.6322279300195612E-2</v>
      </c>
      <c r="P124" s="640">
        <v>5.7698051698683209E-2</v>
      </c>
      <c r="Q124" s="640">
        <v>3.3205412054120545E-2</v>
      </c>
    </row>
    <row r="125" spans="1:22" s="148" customFormat="1">
      <c r="A125" s="152" t="s">
        <v>194</v>
      </c>
      <c r="B125" s="144" t="s">
        <v>817</v>
      </c>
      <c r="C125" s="146" t="s">
        <v>818</v>
      </c>
      <c r="D125" s="640">
        <f t="shared" ref="D125:N125" si="21">D111/D104</f>
        <v>0.98527153099618381</v>
      </c>
      <c r="E125" s="640">
        <f t="shared" si="21"/>
        <v>0.98749376841151137</v>
      </c>
      <c r="F125" s="640">
        <v>0.98496342699884121</v>
      </c>
      <c r="G125" s="640">
        <v>0.99635576369570056</v>
      </c>
      <c r="H125" s="640">
        <v>0.98517415359837857</v>
      </c>
      <c r="I125" s="640">
        <v>0.99566698035923451</v>
      </c>
      <c r="J125" s="640" t="e">
        <v>#DIV/0!</v>
      </c>
      <c r="K125" s="640">
        <v>0.95293010174462311</v>
      </c>
      <c r="L125" s="641">
        <v>0.95332809272225372</v>
      </c>
      <c r="M125" s="640">
        <v>0.94197339113663714</v>
      </c>
      <c r="N125" s="640">
        <v>0.96642066420664208</v>
      </c>
      <c r="O125" s="641">
        <v>0.95332809272225372</v>
      </c>
      <c r="P125" s="640">
        <v>0.94197339113663714</v>
      </c>
      <c r="Q125" s="640">
        <v>0.96642066420664208</v>
      </c>
    </row>
    <row r="126" spans="1:22" s="148" customFormat="1">
      <c r="A126" s="152" t="s">
        <v>195</v>
      </c>
      <c r="B126" s="144" t="s">
        <v>819</v>
      </c>
      <c r="C126" s="146" t="s">
        <v>818</v>
      </c>
      <c r="D126" s="640"/>
      <c r="E126" s="640"/>
      <c r="F126" s="640"/>
      <c r="G126" s="640"/>
      <c r="H126" s="640"/>
      <c r="I126" s="640"/>
      <c r="J126" s="640"/>
      <c r="K126" s="640"/>
      <c r="L126" s="641"/>
      <c r="M126" s="640"/>
      <c r="N126" s="640"/>
      <c r="O126" s="641"/>
      <c r="P126" s="640"/>
      <c r="Q126" s="640"/>
    </row>
    <row r="127" spans="1:22" s="148" customFormat="1">
      <c r="A127" s="152" t="s">
        <v>196</v>
      </c>
      <c r="B127" s="144" t="s">
        <v>820</v>
      </c>
      <c r="C127" s="146" t="s">
        <v>818</v>
      </c>
      <c r="D127" s="640"/>
      <c r="E127" s="640"/>
      <c r="F127" s="640"/>
      <c r="G127" s="640"/>
      <c r="H127" s="640"/>
      <c r="I127" s="640"/>
      <c r="J127" s="640"/>
      <c r="K127" s="640"/>
      <c r="L127" s="641"/>
      <c r="M127" s="640"/>
      <c r="N127" s="640"/>
      <c r="O127" s="641"/>
      <c r="P127" s="640"/>
      <c r="Q127" s="640"/>
    </row>
    <row r="128" spans="1:22" s="136" customFormat="1">
      <c r="A128" s="152" t="s">
        <v>197</v>
      </c>
      <c r="B128" s="144" t="s">
        <v>821</v>
      </c>
      <c r="C128" s="146" t="s">
        <v>818</v>
      </c>
      <c r="D128" s="642"/>
      <c r="E128" s="642"/>
      <c r="F128" s="642"/>
      <c r="G128" s="642"/>
      <c r="H128" s="642"/>
      <c r="I128" s="642"/>
      <c r="J128" s="642"/>
      <c r="K128" s="642"/>
      <c r="L128" s="627"/>
      <c r="M128" s="642"/>
      <c r="N128" s="642"/>
      <c r="O128" s="627"/>
      <c r="P128" s="642"/>
      <c r="Q128" s="642"/>
    </row>
    <row r="129" spans="1:22" s="136" customFormat="1" ht="14.25" customHeight="1">
      <c r="A129" s="152" t="s">
        <v>198</v>
      </c>
      <c r="B129" s="636" t="s">
        <v>1206</v>
      </c>
      <c r="C129" s="141" t="s">
        <v>138</v>
      </c>
      <c r="D129" s="640">
        <f t="shared" ref="D129:N129" si="22">D118/D104</f>
        <v>3.3981895697936715E-4</v>
      </c>
      <c r="E129" s="640">
        <f t="shared" si="22"/>
        <v>2.4473147518694766E-4</v>
      </c>
      <c r="F129" s="640">
        <v>3.394771147161066E-4</v>
      </c>
      <c r="G129" s="640">
        <v>2.0870075751494731E-4</v>
      </c>
      <c r="H129" s="640">
        <v>3.48549641451033E-4</v>
      </c>
      <c r="I129" s="640">
        <v>2.5727304117045694E-4</v>
      </c>
      <c r="J129" s="640" t="e">
        <v>#DIV/0!</v>
      </c>
      <c r="K129" s="640">
        <v>3.469355185645196E-4</v>
      </c>
      <c r="L129" s="641">
        <v>3.4962797755068464E-4</v>
      </c>
      <c r="M129" s="640">
        <v>3.2855716467967809E-4</v>
      </c>
      <c r="N129" s="640">
        <v>3.7392373923739235E-4</v>
      </c>
      <c r="O129" s="641">
        <v>3.4962797755068464E-4</v>
      </c>
      <c r="P129" s="640">
        <v>3.2855716467967809E-4</v>
      </c>
      <c r="Q129" s="640">
        <v>3.7392373923739235E-4</v>
      </c>
    </row>
    <row r="130" spans="1:22" s="136" customFormat="1" ht="16.5" customHeight="1">
      <c r="A130" s="637">
        <v>20</v>
      </c>
      <c r="B130" s="638" t="s">
        <v>200</v>
      </c>
      <c r="C130" s="643"/>
      <c r="D130" s="644"/>
      <c r="E130" s="644"/>
      <c r="F130" s="644"/>
      <c r="G130" s="644"/>
      <c r="H130" s="644"/>
      <c r="I130" s="644"/>
      <c r="J130" s="644"/>
      <c r="K130" s="644"/>
      <c r="L130" s="644"/>
      <c r="M130" s="644"/>
      <c r="N130" s="644"/>
      <c r="O130" s="644"/>
      <c r="P130" s="644"/>
      <c r="Q130" s="644"/>
    </row>
    <row r="131" spans="1:22" s="136" customFormat="1">
      <c r="A131" s="152" t="s">
        <v>201</v>
      </c>
      <c r="B131" s="144" t="s">
        <v>1205</v>
      </c>
      <c r="C131" s="133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</row>
    <row r="132" spans="1:22" s="136" customFormat="1" hidden="1">
      <c r="A132" s="152"/>
      <c r="B132" s="144"/>
      <c r="C132" s="133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</row>
    <row r="133" spans="1:22" s="136" customFormat="1">
      <c r="A133" s="152" t="s">
        <v>202</v>
      </c>
      <c r="B133" s="144" t="s">
        <v>810</v>
      </c>
      <c r="C133" s="133"/>
      <c r="D133" s="134">
        <v>1.37</v>
      </c>
      <c r="E133" s="140">
        <v>1.4124249543200207</v>
      </c>
      <c r="F133" s="134">
        <v>1.37</v>
      </c>
      <c r="G133" s="140">
        <v>1.41</v>
      </c>
      <c r="H133" s="140">
        <v>1.37</v>
      </c>
      <c r="I133" s="140">
        <v>1.41</v>
      </c>
      <c r="J133" s="140"/>
      <c r="K133" s="140">
        <v>1.37</v>
      </c>
      <c r="L133" s="134">
        <v>1.37</v>
      </c>
      <c r="M133" s="140">
        <v>1.37</v>
      </c>
      <c r="N133" s="140">
        <v>1.37</v>
      </c>
      <c r="O133" s="134">
        <v>1.37</v>
      </c>
      <c r="P133" s="140">
        <v>1.37</v>
      </c>
      <c r="Q133" s="140">
        <v>1.37</v>
      </c>
    </row>
    <row r="134" spans="1:22" s="667" customFormat="1">
      <c r="A134" s="635" t="s">
        <v>203</v>
      </c>
      <c r="B134" s="634" t="s">
        <v>811</v>
      </c>
      <c r="C134" s="645"/>
      <c r="D134" s="144">
        <v>1.129</v>
      </c>
      <c r="E134" s="917">
        <v>1.205049673605338</v>
      </c>
      <c r="F134" s="144">
        <v>1.129</v>
      </c>
      <c r="G134" s="140">
        <v>1.21</v>
      </c>
      <c r="H134" s="147">
        <v>1.1285714285714286</v>
      </c>
      <c r="I134" s="140">
        <v>1.204541831922215</v>
      </c>
      <c r="J134" s="140"/>
      <c r="K134" s="135">
        <v>1.129</v>
      </c>
      <c r="L134" s="144">
        <v>1.129</v>
      </c>
      <c r="M134" s="144">
        <v>1.129</v>
      </c>
      <c r="N134" s="144">
        <v>1.129</v>
      </c>
      <c r="O134" s="144">
        <v>1.129</v>
      </c>
      <c r="P134" s="144">
        <v>1.129</v>
      </c>
      <c r="Q134" s="144">
        <v>1.129</v>
      </c>
    </row>
    <row r="135" spans="1:22" s="136" customFormat="1">
      <c r="A135" s="152" t="s">
        <v>204</v>
      </c>
      <c r="B135" s="154" t="s">
        <v>812</v>
      </c>
      <c r="C135" s="133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</row>
    <row r="136" spans="1:22" s="136" customFormat="1">
      <c r="A136" s="152" t="s">
        <v>205</v>
      </c>
      <c r="B136" s="154" t="s">
        <v>813</v>
      </c>
      <c r="C136" s="145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</row>
    <row r="137" spans="1:22" s="136" customFormat="1">
      <c r="A137" s="152" t="s">
        <v>206</v>
      </c>
      <c r="B137" s="154" t="s">
        <v>814</v>
      </c>
      <c r="C137" s="145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</row>
    <row r="138" spans="1:22" s="136" customFormat="1" ht="14.25" customHeight="1">
      <c r="A138" s="152" t="s">
        <v>207</v>
      </c>
      <c r="B138" s="636" t="s">
        <v>1206</v>
      </c>
      <c r="C138" s="153"/>
      <c r="D138" s="134">
        <v>1.45</v>
      </c>
      <c r="E138" s="134">
        <v>1.45</v>
      </c>
      <c r="F138" s="134">
        <v>1.45</v>
      </c>
      <c r="G138" s="134">
        <v>1.45</v>
      </c>
      <c r="H138" s="134">
        <v>1.45</v>
      </c>
      <c r="I138" s="134">
        <v>1.45</v>
      </c>
      <c r="J138" s="134"/>
      <c r="K138" s="134">
        <v>1.45</v>
      </c>
      <c r="L138" s="134">
        <v>1.45</v>
      </c>
      <c r="M138" s="134">
        <v>1.45</v>
      </c>
      <c r="N138" s="134">
        <v>1.45</v>
      </c>
      <c r="O138" s="134">
        <v>1.45</v>
      </c>
      <c r="P138" s="134">
        <v>1.45</v>
      </c>
      <c r="Q138" s="134">
        <v>1.45</v>
      </c>
    </row>
    <row r="139" spans="1:22" s="136" customFormat="1" ht="16.5" customHeight="1">
      <c r="A139" s="637">
        <v>21</v>
      </c>
      <c r="B139" s="646" t="s">
        <v>209</v>
      </c>
      <c r="C139" s="647"/>
      <c r="D139" s="648"/>
      <c r="E139" s="648"/>
      <c r="F139" s="648"/>
      <c r="G139" s="648"/>
      <c r="H139" s="648"/>
      <c r="I139" s="648">
        <v>367.67688000000004</v>
      </c>
      <c r="J139" s="648" t="e">
        <v>#DIV/0!</v>
      </c>
      <c r="K139" s="648">
        <v>379.947</v>
      </c>
      <c r="L139" s="648">
        <v>384.41799999999995</v>
      </c>
      <c r="M139" s="648">
        <v>205.458</v>
      </c>
      <c r="N139" s="648">
        <v>178.95899999999997</v>
      </c>
      <c r="O139" s="648">
        <v>384.41799999999995</v>
      </c>
      <c r="P139" s="648">
        <v>205.458</v>
      </c>
      <c r="Q139" s="648">
        <v>178.95899999999997</v>
      </c>
      <c r="R139" s="670" t="e">
        <f>SUM(D139:N139)-R140-R142-R146-R153</f>
        <v>#DIV/0!</v>
      </c>
      <c r="V139" s="136" t="s">
        <v>815</v>
      </c>
    </row>
    <row r="140" spans="1:22" s="667" customFormat="1">
      <c r="A140" s="635" t="s">
        <v>210</v>
      </c>
      <c r="B140" s="634" t="s">
        <v>1207</v>
      </c>
      <c r="C140" s="649" t="s">
        <v>822</v>
      </c>
      <c r="D140" s="147"/>
      <c r="E140" s="147"/>
      <c r="F140" s="147"/>
      <c r="G140" s="147"/>
      <c r="H140" s="147"/>
      <c r="I140" s="147"/>
      <c r="J140" s="147"/>
      <c r="K140" s="147"/>
      <c r="L140" s="147"/>
      <c r="M140" s="147"/>
      <c r="N140" s="147"/>
      <c r="O140" s="147"/>
      <c r="P140" s="147"/>
      <c r="Q140" s="147"/>
      <c r="R140" s="671">
        <f>SUM(D140:N140)</f>
        <v>0</v>
      </c>
    </row>
    <row r="141" spans="1:22" s="136" customFormat="1" hidden="1">
      <c r="A141" s="152"/>
      <c r="B141" s="144"/>
      <c r="C141" s="141"/>
      <c r="D141" s="144"/>
      <c r="E141" s="144"/>
      <c r="F141" s="144"/>
      <c r="G141" s="144"/>
      <c r="H141" s="144"/>
      <c r="I141" s="144"/>
      <c r="J141" s="144"/>
      <c r="K141" s="144"/>
      <c r="L141" s="147"/>
      <c r="M141" s="144"/>
      <c r="N141" s="144"/>
      <c r="O141" s="147"/>
      <c r="P141" s="144"/>
      <c r="Q141" s="144"/>
      <c r="R141" s="671"/>
    </row>
    <row r="142" spans="1:22" s="667" customFormat="1">
      <c r="A142" s="635" t="s">
        <v>212</v>
      </c>
      <c r="B142" s="634" t="s">
        <v>810</v>
      </c>
      <c r="C142" s="649" t="s">
        <v>822</v>
      </c>
      <c r="D142" s="147">
        <f t="shared" ref="D142:F142" si="23">ROUND(D107/D133,3)</f>
        <v>4.6980000000000004</v>
      </c>
      <c r="E142" s="147">
        <f t="shared" si="23"/>
        <v>3.831</v>
      </c>
      <c r="F142" s="147">
        <v>4.74</v>
      </c>
      <c r="G142" s="147">
        <v>1.0649999999999999</v>
      </c>
      <c r="H142" s="147">
        <v>4.6350000000000007</v>
      </c>
      <c r="I142" s="147">
        <v>1.2789999999999999</v>
      </c>
      <c r="J142" s="147">
        <v>0</v>
      </c>
      <c r="K142" s="147">
        <v>14.744999999999999</v>
      </c>
      <c r="L142" s="147">
        <v>14.795999999999999</v>
      </c>
      <c r="M142" s="147">
        <v>9.8699999999999992</v>
      </c>
      <c r="N142" s="147">
        <v>4.9260000000000002</v>
      </c>
      <c r="O142" s="147">
        <v>14.795999999999999</v>
      </c>
      <c r="P142" s="147">
        <v>9.8699999999999992</v>
      </c>
      <c r="Q142" s="147">
        <v>4.9260000000000002</v>
      </c>
      <c r="R142" s="671">
        <f>SUM(D142:N142)</f>
        <v>64.584999999999994</v>
      </c>
    </row>
    <row r="143" spans="1:22" s="667" customFormat="1">
      <c r="A143" s="635"/>
      <c r="B143" s="623" t="s">
        <v>1224</v>
      </c>
      <c r="C143" s="149" t="s">
        <v>822</v>
      </c>
      <c r="D143" s="147">
        <f>ROUND(D108/D133,3)</f>
        <v>4.6980000000000004</v>
      </c>
      <c r="E143" s="147">
        <f>ROUND(E108/E133,3)-0.001</f>
        <v>1.51</v>
      </c>
      <c r="F143" s="147">
        <v>4.74</v>
      </c>
      <c r="G143" s="147">
        <v>0.23100000000000001</v>
      </c>
      <c r="H143" s="147">
        <v>4.6350000000000007</v>
      </c>
      <c r="I143" s="147">
        <v>0.65900000000000003</v>
      </c>
      <c r="J143" s="147">
        <v>0</v>
      </c>
      <c r="K143" s="147">
        <v>14.744999999999999</v>
      </c>
      <c r="L143" s="147">
        <v>14.795999999999999</v>
      </c>
      <c r="M143" s="147">
        <v>9.8699999999999992</v>
      </c>
      <c r="N143" s="147">
        <v>4.9260000000000002</v>
      </c>
      <c r="O143" s="147">
        <v>14.795999999999999</v>
      </c>
      <c r="P143" s="147">
        <v>9.8699999999999992</v>
      </c>
      <c r="Q143" s="147">
        <v>4.9260000000000002</v>
      </c>
      <c r="R143" s="671"/>
    </row>
    <row r="144" spans="1:22" s="667" customFormat="1">
      <c r="A144" s="635"/>
      <c r="B144" s="623" t="s">
        <v>1234</v>
      </c>
      <c r="C144" s="149" t="s">
        <v>822</v>
      </c>
      <c r="D144" s="147">
        <f>ROUND(D109/D133,3)</f>
        <v>0</v>
      </c>
      <c r="E144" s="147">
        <f>ROUND(E109/E133,3)+0.001</f>
        <v>2.3209999999999997</v>
      </c>
      <c r="F144" s="147">
        <v>0</v>
      </c>
      <c r="G144" s="147">
        <v>0.83399999999999996</v>
      </c>
      <c r="H144" s="147">
        <v>0</v>
      </c>
      <c r="I144" s="147">
        <v>0.62</v>
      </c>
      <c r="J144" s="147">
        <v>0</v>
      </c>
      <c r="K144" s="147">
        <v>0</v>
      </c>
      <c r="L144" s="147">
        <v>0</v>
      </c>
      <c r="M144" s="147">
        <v>0</v>
      </c>
      <c r="N144" s="147">
        <v>0</v>
      </c>
      <c r="O144" s="147">
        <v>0</v>
      </c>
      <c r="P144" s="147">
        <v>0</v>
      </c>
      <c r="Q144" s="147">
        <v>0</v>
      </c>
      <c r="R144" s="671"/>
    </row>
    <row r="145" spans="1:18" s="667" customFormat="1" hidden="1">
      <c r="A145" s="635"/>
      <c r="B145" s="623" t="s">
        <v>1242</v>
      </c>
      <c r="C145" s="149" t="s">
        <v>822</v>
      </c>
      <c r="D145" s="147"/>
      <c r="E145" s="147"/>
      <c r="F145" s="147"/>
      <c r="G145" s="147"/>
      <c r="H145" s="147"/>
      <c r="I145" s="147"/>
      <c r="J145" s="147"/>
      <c r="K145" s="147"/>
      <c r="L145" s="147"/>
      <c r="M145" s="147"/>
      <c r="N145" s="147"/>
      <c r="O145" s="147"/>
      <c r="P145" s="147"/>
      <c r="Q145" s="147"/>
      <c r="R145" s="671"/>
    </row>
    <row r="146" spans="1:18" s="667" customFormat="1">
      <c r="A146" s="635" t="s">
        <v>213</v>
      </c>
      <c r="B146" s="634" t="s">
        <v>811</v>
      </c>
      <c r="C146" s="153" t="s">
        <v>823</v>
      </c>
      <c r="D146" s="147">
        <f>D147+D148</f>
        <v>390.35300000000001</v>
      </c>
      <c r="E146" s="147">
        <f t="shared" ref="E146:N146" si="24">E147+E148</f>
        <v>361.62900000000002</v>
      </c>
      <c r="F146" s="147">
        <v>385.63100000000003</v>
      </c>
      <c r="G146" s="147">
        <v>360.02001000000001</v>
      </c>
      <c r="H146" s="147">
        <v>382.82799999999997</v>
      </c>
      <c r="I146" s="147">
        <v>366.31888000000004</v>
      </c>
      <c r="J146" s="147">
        <v>363.26777040317864</v>
      </c>
      <c r="K146" s="147">
        <v>365.09899999999999</v>
      </c>
      <c r="L146" s="147">
        <v>369.51699999999994</v>
      </c>
      <c r="M146" s="147">
        <v>195.535</v>
      </c>
      <c r="N146" s="147">
        <v>173.98099999999999</v>
      </c>
      <c r="O146" s="147">
        <v>369.51699999999994</v>
      </c>
      <c r="P146" s="147">
        <v>195.535</v>
      </c>
      <c r="Q146" s="147">
        <v>173.98099999999999</v>
      </c>
      <c r="R146" s="671">
        <f>SUM(D146:N146)</f>
        <v>3714.1796604031779</v>
      </c>
    </row>
    <row r="147" spans="1:18" s="667" customFormat="1">
      <c r="A147" s="635"/>
      <c r="B147" s="623" t="s">
        <v>1224</v>
      </c>
      <c r="C147" s="133" t="s">
        <v>823</v>
      </c>
      <c r="D147" s="147">
        <f>ROUND(D112/D134,3)</f>
        <v>107.813</v>
      </c>
      <c r="E147" s="147">
        <f>ROUND(E112/E134,3)-0.079</f>
        <v>106.28500000000001</v>
      </c>
      <c r="F147" s="147">
        <v>107.779</v>
      </c>
      <c r="G147" s="147">
        <v>105.13112</v>
      </c>
      <c r="H147" s="147">
        <v>106.79400000000001</v>
      </c>
      <c r="I147" s="147">
        <v>106.65266699999999</v>
      </c>
      <c r="J147" s="147">
        <v>91.884453155000074</v>
      </c>
      <c r="K147" s="147">
        <v>101.72199999999999</v>
      </c>
      <c r="L147" s="147">
        <v>96.063999999999993</v>
      </c>
      <c r="M147" s="147">
        <v>44.607999999999997</v>
      </c>
      <c r="N147" s="147">
        <v>51.456000000000003</v>
      </c>
      <c r="O147" s="147">
        <v>96.063999999999993</v>
      </c>
      <c r="P147" s="147">
        <v>44.607999999999997</v>
      </c>
      <c r="Q147" s="147">
        <v>51.456000000000003</v>
      </c>
      <c r="R147" s="671"/>
    </row>
    <row r="148" spans="1:18" s="667" customFormat="1">
      <c r="A148" s="635"/>
      <c r="B148" s="623" t="s">
        <v>1234</v>
      </c>
      <c r="C148" s="133" t="s">
        <v>823</v>
      </c>
      <c r="D148" s="147">
        <f>ROUND(D113/D134,3)</f>
        <v>282.54000000000002</v>
      </c>
      <c r="E148" s="147">
        <f>ROUND(E113/E134,3)+0.079</f>
        <v>255.34399999999999</v>
      </c>
      <c r="F148" s="147">
        <v>277.85200000000003</v>
      </c>
      <c r="G148" s="147">
        <v>254.88889</v>
      </c>
      <c r="H148" s="147">
        <v>276.03399999999999</v>
      </c>
      <c r="I148" s="147">
        <v>259.66621300000003</v>
      </c>
      <c r="J148" s="147">
        <v>271.38331724817857</v>
      </c>
      <c r="K148" s="147">
        <v>263.37700000000001</v>
      </c>
      <c r="L148" s="147">
        <v>273.45299999999997</v>
      </c>
      <c r="M148" s="147">
        <v>150.92699999999999</v>
      </c>
      <c r="N148" s="147">
        <v>122.52500000000001</v>
      </c>
      <c r="O148" s="147">
        <v>273.45299999999997</v>
      </c>
      <c r="P148" s="147">
        <v>150.92699999999999</v>
      </c>
      <c r="Q148" s="147">
        <v>122.52500000000001</v>
      </c>
      <c r="R148" s="671"/>
    </row>
    <row r="149" spans="1:18" s="667" customFormat="1" hidden="1">
      <c r="A149" s="635"/>
      <c r="B149" s="623" t="s">
        <v>1242</v>
      </c>
      <c r="C149" s="133" t="s">
        <v>823</v>
      </c>
      <c r="D149" s="147"/>
      <c r="E149" s="147"/>
      <c r="F149" s="147"/>
      <c r="G149" s="147"/>
      <c r="H149" s="147"/>
      <c r="I149" s="147">
        <v>7.8756000000000007E-2</v>
      </c>
      <c r="J149" s="147"/>
      <c r="K149" s="147"/>
      <c r="L149" s="147"/>
      <c r="M149" s="147"/>
      <c r="N149" s="147"/>
      <c r="O149" s="147"/>
      <c r="P149" s="147"/>
      <c r="Q149" s="147"/>
      <c r="R149" s="671"/>
    </row>
    <row r="150" spans="1:18" s="136" customFormat="1">
      <c r="A150" s="152" t="s">
        <v>215</v>
      </c>
      <c r="B150" s="154" t="s">
        <v>812</v>
      </c>
      <c r="C150" s="133" t="s">
        <v>823</v>
      </c>
      <c r="D150" s="144"/>
      <c r="E150" s="144"/>
      <c r="F150" s="144"/>
      <c r="G150" s="144"/>
      <c r="H150" s="144"/>
      <c r="I150" s="144"/>
      <c r="J150" s="144"/>
      <c r="K150" s="144"/>
      <c r="L150" s="147"/>
      <c r="M150" s="144"/>
      <c r="N150" s="144"/>
      <c r="O150" s="147"/>
      <c r="P150" s="144"/>
      <c r="Q150" s="144"/>
      <c r="R150" s="671"/>
    </row>
    <row r="151" spans="1:18" s="136" customFormat="1">
      <c r="A151" s="152" t="s">
        <v>216</v>
      </c>
      <c r="B151" s="154" t="s">
        <v>813</v>
      </c>
      <c r="C151" s="133" t="s">
        <v>823</v>
      </c>
      <c r="D151" s="144"/>
      <c r="E151" s="144"/>
      <c r="F151" s="144"/>
      <c r="G151" s="144"/>
      <c r="H151" s="144"/>
      <c r="I151" s="144"/>
      <c r="J151" s="144"/>
      <c r="K151" s="144"/>
      <c r="L151" s="147"/>
      <c r="M151" s="144"/>
      <c r="N151" s="144"/>
      <c r="O151" s="147"/>
      <c r="P151" s="144"/>
      <c r="Q151" s="144"/>
      <c r="R151" s="671"/>
    </row>
    <row r="152" spans="1:18" s="136" customFormat="1">
      <c r="A152" s="152" t="s">
        <v>217</v>
      </c>
      <c r="B152" s="154" t="s">
        <v>814</v>
      </c>
      <c r="C152" s="133" t="s">
        <v>823</v>
      </c>
      <c r="D152" s="144"/>
      <c r="E152" s="144"/>
      <c r="F152" s="144"/>
      <c r="G152" s="144"/>
      <c r="H152" s="144"/>
      <c r="I152" s="144"/>
      <c r="J152" s="144"/>
      <c r="K152" s="144"/>
      <c r="L152" s="147"/>
      <c r="M152" s="144"/>
      <c r="N152" s="144"/>
      <c r="O152" s="147"/>
      <c r="P152" s="144"/>
      <c r="Q152" s="144"/>
      <c r="R152" s="671"/>
    </row>
    <row r="153" spans="1:18" s="667" customFormat="1">
      <c r="A153" s="635" t="s">
        <v>218</v>
      </c>
      <c r="B153" s="636" t="s">
        <v>1206</v>
      </c>
      <c r="C153" s="649" t="s">
        <v>822</v>
      </c>
      <c r="D153" s="147">
        <f>ROUND(D118/D138,3)</f>
        <v>0.105</v>
      </c>
      <c r="E153" s="147">
        <f>ROUND(E118/E138,3)+0.001186</f>
        <v>7.5186000000000003E-2</v>
      </c>
      <c r="F153" s="147">
        <v>0.10299999999999999</v>
      </c>
      <c r="G153" s="147">
        <v>6.3E-2</v>
      </c>
      <c r="H153" s="147">
        <v>0.106</v>
      </c>
      <c r="I153" s="147">
        <v>7.9000000000000001E-2</v>
      </c>
      <c r="J153" s="147" t="e">
        <v>#DIV/0!</v>
      </c>
      <c r="K153" s="147">
        <v>0.10299999999999999</v>
      </c>
      <c r="L153" s="147">
        <v>0.105</v>
      </c>
      <c r="M153" s="147">
        <v>5.2999999999999999E-2</v>
      </c>
      <c r="N153" s="147">
        <v>5.1999999999999998E-2</v>
      </c>
      <c r="O153" s="147">
        <v>0.105</v>
      </c>
      <c r="P153" s="147">
        <v>5.2999999999999999E-2</v>
      </c>
      <c r="Q153" s="147">
        <v>5.1999999999999998E-2</v>
      </c>
      <c r="R153" s="671" t="e">
        <f>SUM(D153:N153)</f>
        <v>#DIV/0!</v>
      </c>
    </row>
    <row r="154" spans="1:18" s="136" customFormat="1" ht="15.75" customHeight="1" outlineLevel="1">
      <c r="A154" s="637">
        <v>22</v>
      </c>
      <c r="B154" s="646" t="s">
        <v>220</v>
      </c>
      <c r="C154" s="637"/>
      <c r="D154" s="644"/>
      <c r="E154" s="644"/>
      <c r="F154" s="644"/>
      <c r="G154" s="644"/>
      <c r="H154" s="644"/>
      <c r="I154" s="644"/>
      <c r="J154" s="644"/>
      <c r="K154" s="644"/>
      <c r="L154" s="644"/>
      <c r="M154" s="644"/>
      <c r="N154" s="644"/>
      <c r="O154" s="644"/>
      <c r="P154" s="644"/>
      <c r="Q154" s="644"/>
    </row>
    <row r="155" spans="1:18" s="136" customFormat="1" outlineLevel="1">
      <c r="A155" s="152" t="s">
        <v>221</v>
      </c>
      <c r="B155" s="144" t="s">
        <v>1205</v>
      </c>
      <c r="C155" s="141" t="s">
        <v>138</v>
      </c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</row>
    <row r="156" spans="1:18" s="136" customFormat="1" outlineLevel="1">
      <c r="A156" s="133"/>
      <c r="B156" s="144"/>
      <c r="C156" s="141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</row>
    <row r="157" spans="1:18" s="136" customFormat="1" outlineLevel="1">
      <c r="A157" s="152" t="s">
        <v>222</v>
      </c>
      <c r="B157" s="144" t="s">
        <v>810</v>
      </c>
      <c r="C157" s="141" t="s">
        <v>138</v>
      </c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</row>
    <row r="158" spans="1:18" s="136" customFormat="1" outlineLevel="1">
      <c r="A158" s="152" t="s">
        <v>223</v>
      </c>
      <c r="B158" s="144" t="s">
        <v>811</v>
      </c>
      <c r="C158" s="141" t="s">
        <v>138</v>
      </c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</row>
    <row r="159" spans="1:18" s="136" customFormat="1" outlineLevel="1">
      <c r="A159" s="152" t="s">
        <v>224</v>
      </c>
      <c r="B159" s="154" t="s">
        <v>812</v>
      </c>
      <c r="C159" s="141" t="s">
        <v>138</v>
      </c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</row>
    <row r="160" spans="1:18" s="136" customFormat="1" outlineLevel="1">
      <c r="A160" s="152" t="s">
        <v>225</v>
      </c>
      <c r="B160" s="154" t="s">
        <v>813</v>
      </c>
      <c r="C160" s="141" t="s">
        <v>138</v>
      </c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</row>
    <row r="161" spans="1:18" s="136" customFormat="1" outlineLevel="1">
      <c r="A161" s="152" t="s">
        <v>226</v>
      </c>
      <c r="B161" s="154" t="s">
        <v>814</v>
      </c>
      <c r="C161" s="141" t="s">
        <v>138</v>
      </c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</row>
    <row r="162" spans="1:18" s="136" customFormat="1" outlineLevel="1">
      <c r="A162" s="152" t="s">
        <v>227</v>
      </c>
      <c r="B162" s="144" t="s">
        <v>824</v>
      </c>
      <c r="C162" s="141" t="s">
        <v>138</v>
      </c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</row>
    <row r="163" spans="1:18" s="136" customFormat="1" ht="15.75" customHeight="1" outlineLevel="1">
      <c r="A163" s="650" t="s">
        <v>228</v>
      </c>
      <c r="B163" s="638" t="s">
        <v>229</v>
      </c>
      <c r="C163" s="643"/>
      <c r="D163" s="644"/>
      <c r="E163" s="644"/>
      <c r="F163" s="644"/>
      <c r="G163" s="644"/>
      <c r="H163" s="644"/>
      <c r="I163" s="644"/>
      <c r="J163" s="644"/>
      <c r="K163" s="644"/>
      <c r="L163" s="644"/>
      <c r="M163" s="644"/>
      <c r="N163" s="644"/>
      <c r="O163" s="644"/>
      <c r="P163" s="644"/>
      <c r="Q163" s="644"/>
    </row>
    <row r="164" spans="1:18" s="667" customFormat="1" ht="15.75" customHeight="1" outlineLevel="1">
      <c r="A164" s="635" t="s">
        <v>230</v>
      </c>
      <c r="B164" s="651" t="s">
        <v>1205</v>
      </c>
      <c r="C164" s="649" t="s">
        <v>231</v>
      </c>
      <c r="D164" s="653"/>
      <c r="E164" s="653"/>
      <c r="F164" s="653"/>
      <c r="G164" s="653"/>
      <c r="H164" s="653"/>
      <c r="I164" s="653"/>
      <c r="J164" s="653"/>
      <c r="K164" s="653"/>
      <c r="L164" s="653"/>
      <c r="M164" s="653"/>
      <c r="N164" s="653"/>
      <c r="O164" s="653"/>
      <c r="P164" s="653"/>
      <c r="Q164" s="653"/>
      <c r="R164" s="1887" t="s">
        <v>1233</v>
      </c>
    </row>
    <row r="165" spans="1:18" s="136" customFormat="1" outlineLevel="1">
      <c r="A165" s="152"/>
      <c r="B165" s="654"/>
      <c r="C165" s="141"/>
      <c r="D165" s="653"/>
      <c r="E165" s="653"/>
      <c r="F165" s="653"/>
      <c r="G165" s="653"/>
      <c r="H165" s="653"/>
      <c r="I165" s="653"/>
      <c r="J165" s="653"/>
      <c r="K165" s="653"/>
      <c r="L165" s="653"/>
      <c r="M165" s="653"/>
      <c r="N165" s="653"/>
      <c r="O165" s="653"/>
      <c r="P165" s="653"/>
      <c r="Q165" s="653"/>
      <c r="R165" s="1888"/>
    </row>
    <row r="166" spans="1:18" s="667" customFormat="1" outlineLevel="1">
      <c r="A166" s="635" t="s">
        <v>232</v>
      </c>
      <c r="B166" s="651" t="s">
        <v>810</v>
      </c>
      <c r="C166" s="649" t="s">
        <v>231</v>
      </c>
      <c r="D166" s="653">
        <f>'4.5 - свод'!R22</f>
        <v>15652.669125810649</v>
      </c>
      <c r="E166" s="653">
        <f>'4.5 - свод'!R35</f>
        <v>15729.911816758027</v>
      </c>
      <c r="F166" s="653">
        <v>16302.877388895005</v>
      </c>
      <c r="G166" s="653">
        <v>16231.126093896715</v>
      </c>
      <c r="H166" s="653">
        <v>16660.336808944659</v>
      </c>
      <c r="I166" s="653">
        <v>16671.499976544175</v>
      </c>
      <c r="J166" s="653">
        <v>16399.787329865503</v>
      </c>
      <c r="K166" s="653">
        <v>16523.66</v>
      </c>
      <c r="L166" s="653">
        <v>17500.608272506084</v>
      </c>
      <c r="M166" s="653">
        <v>17420.240000000002</v>
      </c>
      <c r="N166" s="653">
        <v>17661.53</v>
      </c>
      <c r="O166" s="653">
        <v>18087.185725871859</v>
      </c>
      <c r="P166" s="653">
        <v>18052.13</v>
      </c>
      <c r="Q166" s="653">
        <v>18157.259999999998</v>
      </c>
      <c r="R166" s="1888"/>
    </row>
    <row r="167" spans="1:18" s="667" customFormat="1" outlineLevel="1">
      <c r="A167" s="635"/>
      <c r="B167" s="623" t="s">
        <v>1224</v>
      </c>
      <c r="C167" s="149" t="s">
        <v>231</v>
      </c>
      <c r="D167" s="653">
        <f>'4.5 - свод'!R23</f>
        <v>15652.669125810649</v>
      </c>
      <c r="E167" s="653">
        <f>'4.5 - свод'!R36</f>
        <v>15992.465509933776</v>
      </c>
      <c r="F167" s="653">
        <v>16302.877388895005</v>
      </c>
      <c r="G167" s="653">
        <v>16309.610043290044</v>
      </c>
      <c r="H167" s="653">
        <v>16660.336808944659</v>
      </c>
      <c r="I167" s="653">
        <v>16509.490182094083</v>
      </c>
      <c r="J167" s="653">
        <v>18897.192631391426</v>
      </c>
      <c r="K167" s="653">
        <v>16523.66</v>
      </c>
      <c r="L167" s="653">
        <v>17500.608272506084</v>
      </c>
      <c r="M167" s="653">
        <v>17420.240000000002</v>
      </c>
      <c r="N167" s="653">
        <v>17661.53</v>
      </c>
      <c r="O167" s="653">
        <v>18087.185725871859</v>
      </c>
      <c r="P167" s="653">
        <v>18052.13</v>
      </c>
      <c r="Q167" s="653">
        <v>18157.259999999998</v>
      </c>
      <c r="R167" s="1888"/>
    </row>
    <row r="168" spans="1:18" s="667" customFormat="1" outlineLevel="1">
      <c r="A168" s="635"/>
      <c r="B168" s="623" t="s">
        <v>1234</v>
      </c>
      <c r="C168" s="149" t="s">
        <v>231</v>
      </c>
      <c r="D168" s="653">
        <f>D167</f>
        <v>15652.669125810649</v>
      </c>
      <c r="E168" s="653">
        <f>'4.5 - свод'!R37</f>
        <v>15559.09920292977</v>
      </c>
      <c r="F168" s="653">
        <v>16302.877388895005</v>
      </c>
      <c r="G168" s="653">
        <v>16209.387733812951</v>
      </c>
      <c r="H168" s="653">
        <v>16660.336808944659</v>
      </c>
      <c r="I168" s="653">
        <v>16843.75</v>
      </c>
      <c r="J168" s="653">
        <v>18897.192631391426</v>
      </c>
      <c r="K168" s="653">
        <v>0</v>
      </c>
      <c r="L168" s="653">
        <v>0</v>
      </c>
      <c r="M168" s="653">
        <v>0</v>
      </c>
      <c r="N168" s="653">
        <v>0</v>
      </c>
      <c r="O168" s="653">
        <v>0</v>
      </c>
      <c r="P168" s="653">
        <v>0</v>
      </c>
      <c r="Q168" s="653">
        <v>0</v>
      </c>
      <c r="R168" s="1888"/>
    </row>
    <row r="169" spans="1:18" s="667" customFormat="1" outlineLevel="1">
      <c r="A169" s="635"/>
      <c r="B169" s="623" t="s">
        <v>1242</v>
      </c>
      <c r="C169" s="149" t="s">
        <v>231</v>
      </c>
      <c r="D169" s="653"/>
      <c r="E169" s="653"/>
      <c r="F169" s="653"/>
      <c r="G169" s="653"/>
      <c r="H169" s="653"/>
      <c r="I169" s="653"/>
      <c r="J169" s="653"/>
      <c r="K169" s="653"/>
      <c r="L169" s="653"/>
      <c r="M169" s="653"/>
      <c r="N169" s="653"/>
      <c r="O169" s="653"/>
      <c r="P169" s="653"/>
      <c r="Q169" s="653"/>
      <c r="R169" s="1888"/>
    </row>
    <row r="170" spans="1:18" s="667" customFormat="1" ht="15.75" outlineLevel="1">
      <c r="A170" s="635" t="s">
        <v>233</v>
      </c>
      <c r="B170" s="651" t="s">
        <v>811</v>
      </c>
      <c r="C170" s="649" t="s">
        <v>1208</v>
      </c>
      <c r="D170" s="653">
        <f>'4.5 - свод'!R25</f>
        <v>5537.46805715336</v>
      </c>
      <c r="E170" s="653">
        <f>'4.5 - свод'!R38</f>
        <v>5700.66</v>
      </c>
      <c r="F170" s="653">
        <v>5757.2600000000011</v>
      </c>
      <c r="G170" s="653">
        <v>6106.11</v>
      </c>
      <c r="H170" s="653">
        <v>5958.28</v>
      </c>
      <c r="I170" s="653">
        <v>6312.7929121207189</v>
      </c>
      <c r="J170" s="653">
        <v>6257.6788969008103</v>
      </c>
      <c r="K170" s="653">
        <v>6256.56</v>
      </c>
      <c r="L170" s="653">
        <v>6482.4310719968835</v>
      </c>
      <c r="M170" s="653">
        <v>6390.34</v>
      </c>
      <c r="N170" s="653">
        <v>6585.93</v>
      </c>
      <c r="O170" s="653">
        <v>6678.7175656805121</v>
      </c>
      <c r="P170" s="653">
        <v>6585.93</v>
      </c>
      <c r="Q170" s="653">
        <v>6783</v>
      </c>
      <c r="R170" s="1888"/>
    </row>
    <row r="171" spans="1:18" s="667" customFormat="1" ht="15.75" outlineLevel="1">
      <c r="A171" s="635"/>
      <c r="B171" s="623" t="s">
        <v>1224</v>
      </c>
      <c r="C171" s="149" t="s">
        <v>825</v>
      </c>
      <c r="D171" s="653">
        <f>'4.5 - свод'!R26</f>
        <v>5555.902720155108</v>
      </c>
      <c r="E171" s="653">
        <f>'4.5 - свод'!R39</f>
        <v>5744.7401425867192</v>
      </c>
      <c r="F171" s="653">
        <v>5757.2600000000011</v>
      </c>
      <c r="G171" s="653">
        <v>6107.4351134088565</v>
      </c>
      <c r="H171" s="653">
        <v>5971.8555822754088</v>
      </c>
      <c r="I171" s="653">
        <v>6328.4008393025942</v>
      </c>
      <c r="J171" s="653">
        <v>6268.6571166011672</v>
      </c>
      <c r="K171" s="653">
        <v>6256.56</v>
      </c>
      <c r="L171" s="653">
        <v>6495.1074283810794</v>
      </c>
      <c r="M171" s="653">
        <v>6390.34</v>
      </c>
      <c r="N171" s="653">
        <v>6585.93</v>
      </c>
      <c r="O171" s="653">
        <v>6691.4869253830784</v>
      </c>
      <c r="P171" s="653">
        <v>6585.93</v>
      </c>
      <c r="Q171" s="653">
        <v>6783</v>
      </c>
      <c r="R171" s="1888"/>
    </row>
    <row r="172" spans="1:18" s="667" customFormat="1" ht="15.75" outlineLevel="1">
      <c r="A172" s="635"/>
      <c r="B172" s="623" t="s">
        <v>1234</v>
      </c>
      <c r="C172" s="149" t="s">
        <v>825</v>
      </c>
      <c r="D172" s="653">
        <f>'4.5 - свод'!R27</f>
        <v>5530.4336683511619</v>
      </c>
      <c r="E172" s="653">
        <f>'4.5 - свод'!R40</f>
        <v>5682.3064507659128</v>
      </c>
      <c r="F172" s="653">
        <v>5757.2600000000011</v>
      </c>
      <c r="G172" s="653">
        <v>6105.5660208650133</v>
      </c>
      <c r="H172" s="653">
        <v>5953.0305102420725</v>
      </c>
      <c r="I172" s="653">
        <v>6306.3840557960066</v>
      </c>
      <c r="J172" s="653">
        <v>6253.9619119217377</v>
      </c>
      <c r="K172" s="653">
        <v>6256.56</v>
      </c>
      <c r="L172" s="653">
        <v>6477.9778535172536</v>
      </c>
      <c r="M172" s="653">
        <v>6390.34</v>
      </c>
      <c r="N172" s="653">
        <v>6585.93</v>
      </c>
      <c r="O172" s="653">
        <v>6674.2316750288901</v>
      </c>
      <c r="P172" s="653">
        <v>6585.93</v>
      </c>
      <c r="Q172" s="653">
        <v>6783</v>
      </c>
      <c r="R172" s="1888"/>
    </row>
    <row r="173" spans="1:18" s="667" customFormat="1" ht="15.75" outlineLevel="1">
      <c r="A173" s="635"/>
      <c r="B173" s="623" t="s">
        <v>1242</v>
      </c>
      <c r="C173" s="149" t="s">
        <v>825</v>
      </c>
      <c r="D173" s="653"/>
      <c r="E173" s="653"/>
      <c r="F173" s="653"/>
      <c r="G173" s="653"/>
      <c r="H173" s="653"/>
      <c r="I173" s="653"/>
      <c r="J173" s="653"/>
      <c r="K173" s="653"/>
      <c r="L173" s="653"/>
      <c r="M173" s="653"/>
      <c r="N173" s="653"/>
      <c r="O173" s="653"/>
      <c r="P173" s="653"/>
      <c r="Q173" s="653"/>
      <c r="R173" s="1888"/>
    </row>
    <row r="174" spans="1:18" s="136" customFormat="1" ht="15.75" outlineLevel="1">
      <c r="A174" s="152" t="s">
        <v>234</v>
      </c>
      <c r="B174" s="655" t="s">
        <v>812</v>
      </c>
      <c r="C174" s="141" t="s">
        <v>825</v>
      </c>
      <c r="D174" s="653"/>
      <c r="E174" s="653"/>
      <c r="F174" s="653"/>
      <c r="G174" s="653"/>
      <c r="H174" s="653"/>
      <c r="I174" s="653"/>
      <c r="J174" s="653"/>
      <c r="K174" s="653"/>
      <c r="L174" s="653"/>
      <c r="M174" s="653"/>
      <c r="N174" s="653"/>
      <c r="O174" s="653"/>
      <c r="P174" s="653"/>
      <c r="Q174" s="653"/>
      <c r="R174" s="1888"/>
    </row>
    <row r="175" spans="1:18" s="136" customFormat="1" ht="15.75" outlineLevel="1">
      <c r="A175" s="152" t="s">
        <v>235</v>
      </c>
      <c r="B175" s="655" t="s">
        <v>813</v>
      </c>
      <c r="C175" s="141" t="s">
        <v>825</v>
      </c>
      <c r="D175" s="653"/>
      <c r="E175" s="653"/>
      <c r="F175" s="653"/>
      <c r="G175" s="653"/>
      <c r="H175" s="653"/>
      <c r="I175" s="653"/>
      <c r="J175" s="653"/>
      <c r="K175" s="653"/>
      <c r="L175" s="653"/>
      <c r="M175" s="653"/>
      <c r="N175" s="653"/>
      <c r="O175" s="653"/>
      <c r="P175" s="653"/>
      <c r="Q175" s="653"/>
      <c r="R175" s="1888"/>
    </row>
    <row r="176" spans="1:18" s="136" customFormat="1" ht="15.75" outlineLevel="1">
      <c r="A176" s="152" t="s">
        <v>236</v>
      </c>
      <c r="B176" s="655" t="s">
        <v>814</v>
      </c>
      <c r="C176" s="141" t="s">
        <v>825</v>
      </c>
      <c r="D176" s="653"/>
      <c r="E176" s="653"/>
      <c r="F176" s="653"/>
      <c r="G176" s="653"/>
      <c r="H176" s="653"/>
      <c r="I176" s="653"/>
      <c r="J176" s="653"/>
      <c r="K176" s="653"/>
      <c r="L176" s="653"/>
      <c r="M176" s="653"/>
      <c r="N176" s="653"/>
      <c r="O176" s="653"/>
      <c r="P176" s="653"/>
      <c r="Q176" s="653"/>
      <c r="R176" s="1888"/>
    </row>
    <row r="177" spans="1:18" s="667" customFormat="1" ht="16.5" customHeight="1" outlineLevel="1">
      <c r="A177" s="635" t="s">
        <v>237</v>
      </c>
      <c r="B177" s="651" t="s">
        <v>1209</v>
      </c>
      <c r="C177" s="649" t="s">
        <v>231</v>
      </c>
      <c r="D177" s="653">
        <f>'4.5 - свод'!R28</f>
        <v>24648.059979363683</v>
      </c>
      <c r="E177" s="653">
        <f>'4.5 - свод'!R41</f>
        <v>25552.005293538692</v>
      </c>
      <c r="F177" s="653">
        <v>27824.148619385032</v>
      </c>
      <c r="G177" s="653">
        <v>26332.44</v>
      </c>
      <c r="H177" s="653">
        <v>28462.258825052832</v>
      </c>
      <c r="I177" s="653">
        <v>29833.883513637054</v>
      </c>
      <c r="J177" s="653">
        <v>31554.444097072028</v>
      </c>
      <c r="K177" s="653">
        <v>32559.94</v>
      </c>
      <c r="L177" s="653">
        <v>34876.190476190481</v>
      </c>
      <c r="M177" s="653">
        <v>34202.07</v>
      </c>
      <c r="N177" s="653">
        <v>35548.31</v>
      </c>
      <c r="O177" s="653">
        <v>37209.523809523809</v>
      </c>
      <c r="P177" s="653">
        <v>36726.699999999997</v>
      </c>
      <c r="Q177" s="653">
        <v>37693.409999999996</v>
      </c>
      <c r="R177" s="1889"/>
    </row>
    <row r="178" spans="1:18" s="136" customFormat="1" ht="16.5" customHeight="1" outlineLevel="1">
      <c r="A178" s="650" t="s">
        <v>238</v>
      </c>
      <c r="B178" s="638" t="s">
        <v>239</v>
      </c>
      <c r="C178" s="643" t="s">
        <v>826</v>
      </c>
      <c r="D178" s="656">
        <f>D179+D181+D185+D192</f>
        <v>2237687.5544749117</v>
      </c>
      <c r="E178" s="656">
        <f t="shared" ref="E178:N178" si="25">E179+E181+E185+E192</f>
        <v>2123705.0096592004</v>
      </c>
      <c r="F178" s="656">
        <v>2300330.4571911599</v>
      </c>
      <c r="G178" s="656">
        <v>2217263.5326899998</v>
      </c>
      <c r="H178" s="656">
        <v>2361234.8294625944</v>
      </c>
      <c r="I178" s="656">
        <v>2336167.4181163674</v>
      </c>
      <c r="J178" s="656" t="e">
        <v>#DIV/0!</v>
      </c>
      <c r="K178" s="656">
        <v>2531258.8399600005</v>
      </c>
      <c r="L178" s="656">
        <v>2657963.1653878535</v>
      </c>
      <c r="M178" s="656">
        <v>1423285.61041</v>
      </c>
      <c r="N178" s="656">
        <v>1234675.8962300001</v>
      </c>
      <c r="O178" s="656">
        <v>2739417.4325116752</v>
      </c>
      <c r="P178" s="656">
        <v>1467900.86075</v>
      </c>
      <c r="Q178" s="656">
        <v>1271515.84308</v>
      </c>
    </row>
    <row r="179" spans="1:18" s="136" customFormat="1" outlineLevel="1">
      <c r="A179" s="152" t="s">
        <v>241</v>
      </c>
      <c r="B179" s="634" t="s">
        <v>1205</v>
      </c>
      <c r="C179" s="141" t="s">
        <v>826</v>
      </c>
      <c r="D179" s="272">
        <f>D140*D164</f>
        <v>0</v>
      </c>
      <c r="E179" s="272">
        <f>E140*E164</f>
        <v>0</v>
      </c>
      <c r="F179" s="272">
        <v>0</v>
      </c>
      <c r="G179" s="272">
        <v>0</v>
      </c>
      <c r="H179" s="272">
        <v>0</v>
      </c>
      <c r="I179" s="272">
        <v>0</v>
      </c>
      <c r="J179" s="272">
        <v>0</v>
      </c>
      <c r="K179" s="272">
        <v>0</v>
      </c>
      <c r="L179" s="272">
        <v>0</v>
      </c>
      <c r="M179" s="272">
        <v>0</v>
      </c>
      <c r="N179" s="272">
        <v>0</v>
      </c>
      <c r="O179" s="272">
        <v>0</v>
      </c>
      <c r="P179" s="272">
        <v>0</v>
      </c>
      <c r="Q179" s="272">
        <v>0</v>
      </c>
      <c r="R179" s="672">
        <f>M247+N247-L247</f>
        <v>0</v>
      </c>
    </row>
    <row r="180" spans="1:18" s="136" customFormat="1" outlineLevel="1">
      <c r="A180" s="152"/>
      <c r="B180" s="144"/>
      <c r="C180" s="141"/>
      <c r="D180" s="272"/>
      <c r="E180" s="272"/>
      <c r="F180" s="272"/>
      <c r="G180" s="272"/>
      <c r="H180" s="272"/>
      <c r="I180" s="272"/>
      <c r="J180" s="272"/>
      <c r="K180" s="272"/>
      <c r="L180" s="134"/>
      <c r="M180" s="272"/>
      <c r="N180" s="272"/>
      <c r="O180" s="134"/>
      <c r="P180" s="272"/>
      <c r="Q180" s="272"/>
      <c r="R180" s="672">
        <f>M248+N248-L248</f>
        <v>0</v>
      </c>
    </row>
    <row r="181" spans="1:18" s="136" customFormat="1" outlineLevel="1">
      <c r="A181" s="152" t="s">
        <v>242</v>
      </c>
      <c r="B181" s="634" t="s">
        <v>810</v>
      </c>
      <c r="C181" s="141" t="s">
        <v>826</v>
      </c>
      <c r="D181" s="272">
        <f>D142*D166-3</f>
        <v>73533.239553058433</v>
      </c>
      <c r="E181" s="272">
        <f>E142*E166</f>
        <v>60261.292170000001</v>
      </c>
      <c r="F181" s="272">
        <v>77275.638823362329</v>
      </c>
      <c r="G181" s="272">
        <v>17286.149290000001</v>
      </c>
      <c r="H181" s="272">
        <v>77220.66110945851</v>
      </c>
      <c r="I181" s="272">
        <v>21322.848469999997</v>
      </c>
      <c r="J181" s="272">
        <v>0</v>
      </c>
      <c r="K181" s="272">
        <v>243641.36669999998</v>
      </c>
      <c r="L181" s="272">
        <v>258938.46557999999</v>
      </c>
      <c r="M181" s="272">
        <v>171937.76879999999</v>
      </c>
      <c r="N181" s="272">
        <v>87000.696779999998</v>
      </c>
      <c r="O181" s="272">
        <v>267617.18585999997</v>
      </c>
      <c r="P181" s="272">
        <v>178174.52309999999</v>
      </c>
      <c r="Q181" s="272">
        <v>89442.662759999992</v>
      </c>
      <c r="R181" s="672">
        <f>M249+N249-L249</f>
        <v>0</v>
      </c>
    </row>
    <row r="182" spans="1:18" s="136" customFormat="1" outlineLevel="1">
      <c r="A182" s="152"/>
      <c r="B182" s="623" t="s">
        <v>1224</v>
      </c>
      <c r="C182" s="141" t="s">
        <v>826</v>
      </c>
      <c r="D182" s="272">
        <f>D143*D167</f>
        <v>73536.239553058433</v>
      </c>
      <c r="E182" s="272">
        <f t="shared" ref="E182:N183" si="26">E143*E167</f>
        <v>24148.622920000002</v>
      </c>
      <c r="F182" s="272">
        <v>77275.638823362329</v>
      </c>
      <c r="G182" s="272">
        <v>3767.5199200000002</v>
      </c>
      <c r="H182" s="272">
        <v>77220.66110945851</v>
      </c>
      <c r="I182" s="272">
        <v>10879.754000000001</v>
      </c>
      <c r="J182" s="272">
        <v>0</v>
      </c>
      <c r="K182" s="272">
        <v>243641.36669999998</v>
      </c>
      <c r="L182" s="272">
        <v>258939</v>
      </c>
      <c r="M182" s="272">
        <v>171937.76879999999</v>
      </c>
      <c r="N182" s="272">
        <v>87000.696779999998</v>
      </c>
      <c r="O182" s="272">
        <v>267617</v>
      </c>
      <c r="P182" s="272">
        <v>178174.52309999999</v>
      </c>
      <c r="Q182" s="272">
        <v>89442.662759999992</v>
      </c>
      <c r="R182" s="672"/>
    </row>
    <row r="183" spans="1:18" s="136" customFormat="1" outlineLevel="1">
      <c r="A183" s="152"/>
      <c r="B183" s="623" t="s">
        <v>1234</v>
      </c>
      <c r="C183" s="141" t="s">
        <v>826</v>
      </c>
      <c r="D183" s="272">
        <f>D144*D168</f>
        <v>0</v>
      </c>
      <c r="E183" s="272">
        <f t="shared" si="26"/>
        <v>36112.669249999992</v>
      </c>
      <c r="F183" s="272">
        <v>0</v>
      </c>
      <c r="G183" s="272">
        <v>13518.629370000001</v>
      </c>
      <c r="H183" s="272">
        <v>0</v>
      </c>
      <c r="I183" s="272">
        <v>10443.124</v>
      </c>
      <c r="J183" s="272">
        <v>0</v>
      </c>
      <c r="K183" s="272">
        <v>0</v>
      </c>
      <c r="L183" s="272">
        <v>0</v>
      </c>
      <c r="M183" s="272">
        <v>0</v>
      </c>
      <c r="N183" s="272">
        <v>0</v>
      </c>
      <c r="O183" s="272">
        <v>0</v>
      </c>
      <c r="P183" s="272">
        <v>0</v>
      </c>
      <c r="Q183" s="272">
        <v>0</v>
      </c>
      <c r="R183" s="672"/>
    </row>
    <row r="184" spans="1:18" s="136" customFormat="1" outlineLevel="1">
      <c r="A184" s="152"/>
      <c r="B184" s="623" t="s">
        <v>1242</v>
      </c>
      <c r="C184" s="141" t="s">
        <v>826</v>
      </c>
      <c r="D184" s="272"/>
      <c r="E184" s="272"/>
      <c r="F184" s="272"/>
      <c r="G184" s="272"/>
      <c r="H184" s="272"/>
      <c r="I184" s="272"/>
      <c r="J184" s="272"/>
      <c r="K184" s="272"/>
      <c r="L184" s="272"/>
      <c r="M184" s="272"/>
      <c r="N184" s="272"/>
      <c r="O184" s="272"/>
      <c r="P184" s="272"/>
      <c r="Q184" s="272"/>
      <c r="R184" s="672"/>
    </row>
    <row r="185" spans="1:18" s="136" customFormat="1" outlineLevel="1">
      <c r="A185" s="152" t="s">
        <v>243</v>
      </c>
      <c r="B185" s="634" t="s">
        <v>811</v>
      </c>
      <c r="C185" s="141" t="s">
        <v>826</v>
      </c>
      <c r="D185" s="272">
        <f>D186+D187+2</f>
        <v>2161570.2686240198</v>
      </c>
      <c r="E185" s="272">
        <f>E186+E187</f>
        <v>2061522.5644192006</v>
      </c>
      <c r="F185" s="272">
        <v>2220176.9310600008</v>
      </c>
      <c r="G185" s="272">
        <v>2198322.4396799998</v>
      </c>
      <c r="H185" s="272">
        <v>2280997.1689176802</v>
      </c>
      <c r="I185" s="272">
        <v>2312494.69284879</v>
      </c>
      <c r="J185" s="272">
        <v>2273213.0607761801</v>
      </c>
      <c r="K185" s="272">
        <v>2284263.7994400002</v>
      </c>
      <c r="L185" s="272">
        <v>2395362.4779778533</v>
      </c>
      <c r="M185" s="272">
        <v>1249535.1318999999</v>
      </c>
      <c r="N185" s="272">
        <v>1145826.6873300001</v>
      </c>
      <c r="O185" s="272">
        <v>2467892.674231675</v>
      </c>
      <c r="P185" s="272">
        <v>1287779.8225500002</v>
      </c>
      <c r="Q185" s="272">
        <v>1180113.1230000001</v>
      </c>
      <c r="R185" s="672">
        <f>M250+N250-L250</f>
        <v>0</v>
      </c>
    </row>
    <row r="186" spans="1:18" s="136" customFormat="1" outlineLevel="1">
      <c r="A186" s="152"/>
      <c r="B186" s="623" t="s">
        <v>1224</v>
      </c>
      <c r="C186" s="141" t="s">
        <v>826</v>
      </c>
      <c r="D186" s="272">
        <f>D147*D171</f>
        <v>598998.53996808268</v>
      </c>
      <c r="E186" s="272">
        <f>E147*E171</f>
        <v>610579.70605482953</v>
      </c>
      <c r="F186" s="272">
        <v>620509.72554000013</v>
      </c>
      <c r="G186" s="272">
        <v>642081.49380000005</v>
      </c>
      <c r="H186" s="272">
        <v>637758.34505352005</v>
      </c>
      <c r="I186" s="272">
        <v>674942.82735666004</v>
      </c>
      <c r="J186" s="272">
        <v>575992.13117509778</v>
      </c>
      <c r="K186" s="272">
        <v>636429.79631999996</v>
      </c>
      <c r="L186" s="272">
        <v>623946</v>
      </c>
      <c r="M186" s="272">
        <v>285060.28671999997</v>
      </c>
      <c r="N186" s="272">
        <v>338885.61408000003</v>
      </c>
      <c r="O186" s="272">
        <v>642811</v>
      </c>
      <c r="P186" s="272">
        <v>293785.16544000001</v>
      </c>
      <c r="Q186" s="272">
        <v>349026.04800000001</v>
      </c>
      <c r="R186" s="672"/>
    </row>
    <row r="187" spans="1:18" s="136" customFormat="1" outlineLevel="1">
      <c r="A187" s="152"/>
      <c r="B187" s="623" t="s">
        <v>1234</v>
      </c>
      <c r="C187" s="141" t="s">
        <v>826</v>
      </c>
      <c r="D187" s="272">
        <f>D148*D172+1</f>
        <v>1562569.7286559374</v>
      </c>
      <c r="E187" s="272">
        <f>E148*E172</f>
        <v>1450942.8583643711</v>
      </c>
      <c r="F187" s="272">
        <v>1599667.2055200005</v>
      </c>
      <c r="G187" s="272">
        <v>1556240.94588</v>
      </c>
      <c r="H187" s="272">
        <v>1643238.8238641601</v>
      </c>
      <c r="I187" s="272">
        <v>1637551.8654921299</v>
      </c>
      <c r="J187" s="272">
        <v>1697220.9296010823</v>
      </c>
      <c r="K187" s="272">
        <v>1647834.0031200002</v>
      </c>
      <c r="L187" s="272">
        <v>1771416.4779778535</v>
      </c>
      <c r="M187" s="272">
        <v>964474.84517999995</v>
      </c>
      <c r="N187" s="272">
        <v>806941.07325000002</v>
      </c>
      <c r="O187" s="272">
        <v>1825081.674231675</v>
      </c>
      <c r="P187" s="272">
        <v>993994.65711000003</v>
      </c>
      <c r="Q187" s="272">
        <v>831087.07500000007</v>
      </c>
      <c r="R187" s="672"/>
    </row>
    <row r="188" spans="1:18" s="136" customFormat="1" outlineLevel="1">
      <c r="A188" s="152"/>
      <c r="B188" s="623" t="s">
        <v>1242</v>
      </c>
      <c r="C188" s="141" t="s">
        <v>826</v>
      </c>
      <c r="D188" s="272"/>
      <c r="E188" s="272"/>
      <c r="F188" s="272"/>
      <c r="G188" s="272"/>
      <c r="H188" s="272"/>
      <c r="I188" s="272"/>
      <c r="J188" s="272"/>
      <c r="K188" s="272"/>
      <c r="L188" s="272"/>
      <c r="M188" s="272"/>
      <c r="N188" s="272"/>
      <c r="O188" s="272"/>
      <c r="P188" s="272"/>
      <c r="Q188" s="272"/>
      <c r="R188" s="672"/>
    </row>
    <row r="189" spans="1:18" s="136" customFormat="1" outlineLevel="1">
      <c r="A189" s="152" t="s">
        <v>244</v>
      </c>
      <c r="B189" s="154" t="s">
        <v>812</v>
      </c>
      <c r="C189" s="141" t="s">
        <v>826</v>
      </c>
      <c r="D189" s="272"/>
      <c r="E189" s="272"/>
      <c r="F189" s="272"/>
      <c r="G189" s="272"/>
      <c r="H189" s="272"/>
      <c r="I189" s="272"/>
      <c r="J189" s="272"/>
      <c r="K189" s="272"/>
      <c r="L189" s="134"/>
      <c r="M189" s="272"/>
      <c r="N189" s="272"/>
      <c r="O189" s="134"/>
      <c r="P189" s="272"/>
      <c r="Q189" s="272"/>
      <c r="R189" s="672">
        <f t="shared" ref="R189:R192" si="27">M251+N251-L251</f>
        <v>0</v>
      </c>
    </row>
    <row r="190" spans="1:18" s="136" customFormat="1" outlineLevel="1">
      <c r="A190" s="152" t="s">
        <v>245</v>
      </c>
      <c r="B190" s="154" t="s">
        <v>813</v>
      </c>
      <c r="C190" s="141" t="s">
        <v>826</v>
      </c>
      <c r="D190" s="272"/>
      <c r="E190" s="272"/>
      <c r="F190" s="272"/>
      <c r="G190" s="272"/>
      <c r="H190" s="272"/>
      <c r="I190" s="272"/>
      <c r="J190" s="272"/>
      <c r="K190" s="272"/>
      <c r="L190" s="134"/>
      <c r="M190" s="272"/>
      <c r="N190" s="272"/>
      <c r="O190" s="134"/>
      <c r="P190" s="272"/>
      <c r="Q190" s="272"/>
      <c r="R190" s="672">
        <f t="shared" si="27"/>
        <v>0</v>
      </c>
    </row>
    <row r="191" spans="1:18" s="136" customFormat="1" outlineLevel="1">
      <c r="A191" s="152" t="s">
        <v>246</v>
      </c>
      <c r="B191" s="154" t="s">
        <v>814</v>
      </c>
      <c r="C191" s="141" t="s">
        <v>826</v>
      </c>
      <c r="D191" s="272"/>
      <c r="E191" s="272"/>
      <c r="F191" s="272"/>
      <c r="G191" s="272"/>
      <c r="H191" s="272"/>
      <c r="I191" s="272"/>
      <c r="J191" s="272"/>
      <c r="K191" s="272"/>
      <c r="L191" s="134"/>
      <c r="M191" s="272"/>
      <c r="N191" s="272"/>
      <c r="O191" s="134"/>
      <c r="P191" s="272"/>
      <c r="Q191" s="272"/>
      <c r="R191" s="672">
        <f t="shared" si="27"/>
        <v>0</v>
      </c>
    </row>
    <row r="192" spans="1:18" s="136" customFormat="1" outlineLevel="1">
      <c r="A192" s="152" t="s">
        <v>247</v>
      </c>
      <c r="B192" s="651" t="s">
        <v>1209</v>
      </c>
      <c r="C192" s="141" t="s">
        <v>826</v>
      </c>
      <c r="D192" s="272">
        <f>D153*D177-4</f>
        <v>2584.0462978331866</v>
      </c>
      <c r="E192" s="272">
        <f>E153*E177</f>
        <v>1921.1530700000001</v>
      </c>
      <c r="F192" s="272">
        <v>2877.8873077966582</v>
      </c>
      <c r="G192" s="272">
        <v>1654.94372</v>
      </c>
      <c r="H192" s="272">
        <v>3016.9994354556002</v>
      </c>
      <c r="I192" s="272">
        <v>2349.8767975773271</v>
      </c>
      <c r="J192" s="272" t="e">
        <v>#DIV/0!</v>
      </c>
      <c r="K192" s="272">
        <v>3353.6738199999995</v>
      </c>
      <c r="L192" s="272">
        <v>3662.2218299999995</v>
      </c>
      <c r="M192" s="272">
        <v>1812.7097099999999</v>
      </c>
      <c r="N192" s="272">
        <v>1848.5121199999999</v>
      </c>
      <c r="O192" s="272">
        <v>3906.5724199999995</v>
      </c>
      <c r="P192" s="272">
        <v>1946.5150999999998</v>
      </c>
      <c r="Q192" s="272">
        <v>1960.0573199999997</v>
      </c>
      <c r="R192" s="672">
        <f t="shared" si="27"/>
        <v>-1</v>
      </c>
    </row>
    <row r="193" spans="1:17" s="136" customFormat="1" outlineLevel="1">
      <c r="A193" s="152" t="s">
        <v>248</v>
      </c>
      <c r="B193" s="144" t="s">
        <v>827</v>
      </c>
      <c r="C193" s="141" t="s">
        <v>826</v>
      </c>
      <c r="D193" s="272">
        <f>D194</f>
        <v>798114.68177386676</v>
      </c>
      <c r="E193" s="272">
        <f t="shared" ref="E193:Q193" si="28">E194</f>
        <v>745750.77094999992</v>
      </c>
      <c r="F193" s="272">
        <v>827083.22594859719</v>
      </c>
      <c r="G193" s="272">
        <v>820511.83115114667</v>
      </c>
      <c r="H193" s="272">
        <v>845707.96198779368</v>
      </c>
      <c r="I193" s="272">
        <v>791710.72252619755</v>
      </c>
      <c r="J193" s="272" t="e">
        <v>#DIV/0!</v>
      </c>
      <c r="K193" s="272">
        <v>922221.98336478905</v>
      </c>
      <c r="L193" s="272">
        <v>940898.01732465264</v>
      </c>
      <c r="M193" s="272">
        <v>563451.80582552869</v>
      </c>
      <c r="N193" s="272">
        <v>377446.21149912395</v>
      </c>
      <c r="O193" s="272">
        <v>969831.47159815882</v>
      </c>
      <c r="P193" s="272">
        <v>581155.10307211999</v>
      </c>
      <c r="Q193" s="272">
        <v>388676.36852603883</v>
      </c>
    </row>
    <row r="194" spans="1:17" s="136" customFormat="1" ht="38.25" outlineLevel="1">
      <c r="A194" s="650" t="s">
        <v>249</v>
      </c>
      <c r="B194" s="657" t="s">
        <v>828</v>
      </c>
      <c r="C194" s="643" t="s">
        <v>826</v>
      </c>
      <c r="D194" s="658">
        <f>D195+D197+D201+D208</f>
        <v>798114.68177386676</v>
      </c>
      <c r="E194" s="658">
        <f t="shared" ref="E194:N194" si="29">E195+E197+E201+E208</f>
        <v>745750.77094999992</v>
      </c>
      <c r="F194" s="658">
        <v>827083.22594859719</v>
      </c>
      <c r="G194" s="658">
        <v>820511.83115114667</v>
      </c>
      <c r="H194" s="658">
        <v>845707.96198779368</v>
      </c>
      <c r="I194" s="658">
        <v>791710.72252619755</v>
      </c>
      <c r="J194" s="658" t="e">
        <v>#DIV/0!</v>
      </c>
      <c r="K194" s="658">
        <v>922221.98336478905</v>
      </c>
      <c r="L194" s="658">
        <v>940898.01732465264</v>
      </c>
      <c r="M194" s="658">
        <v>563451.80582552869</v>
      </c>
      <c r="N194" s="658">
        <v>377446.21149912395</v>
      </c>
      <c r="O194" s="658">
        <v>969831.47159815859</v>
      </c>
      <c r="P194" s="658">
        <v>581155.10307211999</v>
      </c>
      <c r="Q194" s="658">
        <v>388676.36852603883</v>
      </c>
    </row>
    <row r="195" spans="1:17" s="136" customFormat="1" outlineLevel="1">
      <c r="A195" s="152" t="s">
        <v>251</v>
      </c>
      <c r="B195" s="144" t="s">
        <v>1207</v>
      </c>
      <c r="C195" s="141" t="s">
        <v>826</v>
      </c>
      <c r="D195" s="659"/>
      <c r="E195" s="659"/>
      <c r="F195" s="659"/>
      <c r="G195" s="659"/>
      <c r="H195" s="659"/>
      <c r="I195" s="659"/>
      <c r="J195" s="659"/>
      <c r="K195" s="659"/>
      <c r="L195" s="659"/>
      <c r="M195" s="659"/>
      <c r="N195" s="659"/>
      <c r="O195" s="659"/>
      <c r="P195" s="659"/>
      <c r="Q195" s="659"/>
    </row>
    <row r="196" spans="1:17" s="136" customFormat="1" outlineLevel="1">
      <c r="A196" s="152"/>
      <c r="B196" s="144"/>
      <c r="C196" s="141"/>
      <c r="D196" s="659"/>
      <c r="E196" s="659"/>
      <c r="F196" s="659"/>
      <c r="G196" s="659"/>
      <c r="H196" s="659"/>
      <c r="I196" s="659"/>
      <c r="J196" s="659"/>
      <c r="K196" s="659"/>
      <c r="L196" s="659">
        <v>0</v>
      </c>
      <c r="M196" s="659"/>
      <c r="N196" s="659"/>
      <c r="O196" s="659">
        <v>0</v>
      </c>
      <c r="P196" s="659"/>
      <c r="Q196" s="659"/>
    </row>
    <row r="197" spans="1:17" s="136" customFormat="1" outlineLevel="1">
      <c r="A197" s="152" t="s">
        <v>252</v>
      </c>
      <c r="B197" s="144" t="s">
        <v>810</v>
      </c>
      <c r="C197" s="141" t="s">
        <v>826</v>
      </c>
      <c r="D197" s="659">
        <f>D198+D199</f>
        <v>28289.057485771653</v>
      </c>
      <c r="E197" s="659">
        <f t="shared" ref="E197" si="30">E198+E199</f>
        <v>15904.071749999999</v>
      </c>
      <c r="F197" s="659">
        <v>29274.779836993948</v>
      </c>
      <c r="G197" s="659">
        <v>4456.8311511467255</v>
      </c>
      <c r="H197" s="659">
        <v>28942.889687113529</v>
      </c>
      <c r="I197" s="659">
        <v>6713.0264942153917</v>
      </c>
      <c r="J197" s="659" t="e">
        <v>#DIV/0!</v>
      </c>
      <c r="K197" s="659">
        <v>109187.82772262773</v>
      </c>
      <c r="L197" s="659">
        <v>115344.22477372261</v>
      </c>
      <c r="M197" s="659">
        <v>80768.879182481745</v>
      </c>
      <c r="N197" s="659">
        <v>34575.345591240868</v>
      </c>
      <c r="O197" s="659">
        <v>119244.45334306569</v>
      </c>
      <c r="P197" s="659">
        <v>83698.634861313869</v>
      </c>
      <c r="Q197" s="659">
        <v>35545.818481751819</v>
      </c>
    </row>
    <row r="198" spans="1:17" s="136" customFormat="1" outlineLevel="1">
      <c r="A198" s="152"/>
      <c r="B198" s="623" t="s">
        <v>1224</v>
      </c>
      <c r="C198" s="141" t="s">
        <v>826</v>
      </c>
      <c r="D198" s="659">
        <f>D94/D133*D167</f>
        <v>28289.057485771653</v>
      </c>
      <c r="E198" s="659">
        <f>4887.91806+3156.80869+2</f>
        <v>8046.7267499999998</v>
      </c>
      <c r="F198" s="659">
        <v>29274.779836993948</v>
      </c>
      <c r="G198" s="659">
        <v>832.83115114672557</v>
      </c>
      <c r="H198" s="659">
        <v>28942.889687113529</v>
      </c>
      <c r="I198" s="659">
        <v>4921.1381963430513</v>
      </c>
      <c r="J198" s="659" t="e">
        <v>#DIV/0!</v>
      </c>
      <c r="K198" s="659">
        <v>109187.82772262773</v>
      </c>
      <c r="L198" s="659">
        <v>115344.22477372261</v>
      </c>
      <c r="M198" s="659">
        <v>80768.879182481745</v>
      </c>
      <c r="N198" s="659">
        <v>34575.345591240868</v>
      </c>
      <c r="O198" s="659">
        <v>119244.45334306569</v>
      </c>
      <c r="P198" s="659">
        <v>83698.634861313869</v>
      </c>
      <c r="Q198" s="659">
        <v>35545.818481751819</v>
      </c>
    </row>
    <row r="199" spans="1:17" s="136" customFormat="1" outlineLevel="1">
      <c r="A199" s="152"/>
      <c r="B199" s="623" t="s">
        <v>1234</v>
      </c>
      <c r="C199" s="141" t="s">
        <v>826</v>
      </c>
      <c r="D199" s="659">
        <f>D95/D133*D168</f>
        <v>0</v>
      </c>
      <c r="E199" s="659">
        <f>1058.019+6799.326</f>
        <v>7857.3450000000003</v>
      </c>
      <c r="F199" s="659">
        <v>0</v>
      </c>
      <c r="G199" s="659">
        <v>3624</v>
      </c>
      <c r="H199" s="659">
        <v>0</v>
      </c>
      <c r="I199" s="659">
        <v>1791.8882978723404</v>
      </c>
      <c r="J199" s="659" t="e">
        <v>#DIV/0!</v>
      </c>
      <c r="K199" s="659">
        <v>0</v>
      </c>
      <c r="L199" s="659">
        <v>0</v>
      </c>
      <c r="M199" s="659">
        <v>0</v>
      </c>
      <c r="N199" s="659">
        <v>0</v>
      </c>
      <c r="O199" s="659">
        <v>0</v>
      </c>
      <c r="P199" s="659">
        <v>0</v>
      </c>
      <c r="Q199" s="659">
        <v>0</v>
      </c>
    </row>
    <row r="200" spans="1:17" s="136" customFormat="1" outlineLevel="1">
      <c r="A200" s="152"/>
      <c r="B200" s="623" t="s">
        <v>1242</v>
      </c>
      <c r="C200" s="141" t="s">
        <v>826</v>
      </c>
      <c r="D200" s="659"/>
      <c r="E200" s="659"/>
      <c r="F200" s="659"/>
      <c r="G200" s="659"/>
      <c r="H200" s="659"/>
      <c r="I200" s="659"/>
      <c r="J200" s="659"/>
      <c r="K200" s="659"/>
      <c r="L200" s="659"/>
      <c r="M200" s="659"/>
      <c r="N200" s="659"/>
      <c r="O200" s="659"/>
      <c r="P200" s="659"/>
      <c r="Q200" s="659"/>
    </row>
    <row r="201" spans="1:17" s="136" customFormat="1" outlineLevel="1">
      <c r="A201" s="152" t="s">
        <v>253</v>
      </c>
      <c r="B201" s="144" t="s">
        <v>811</v>
      </c>
      <c r="C201" s="141" t="s">
        <v>826</v>
      </c>
      <c r="D201" s="659">
        <f>D202+D203</f>
        <v>769825.62428809516</v>
      </c>
      <c r="E201" s="659">
        <f t="shared" ref="E201" si="31">E202+E203</f>
        <v>729846.69919999992</v>
      </c>
      <c r="F201" s="659">
        <v>797808.44611160329</v>
      </c>
      <c r="G201" s="659">
        <v>816055</v>
      </c>
      <c r="H201" s="659">
        <v>816765.0723006801</v>
      </c>
      <c r="I201" s="659">
        <v>784997.6960319822</v>
      </c>
      <c r="J201" s="659" t="e">
        <v>#DIV/0!</v>
      </c>
      <c r="K201" s="659">
        <v>813034.15564216138</v>
      </c>
      <c r="L201" s="659">
        <v>825553.79255093005</v>
      </c>
      <c r="M201" s="659">
        <v>482682.92664304696</v>
      </c>
      <c r="N201" s="659">
        <v>342870.8659078831</v>
      </c>
      <c r="O201" s="659">
        <v>850587.0182550929</v>
      </c>
      <c r="P201" s="659">
        <v>497456.46821080608</v>
      </c>
      <c r="Q201" s="659">
        <v>353130.550044287</v>
      </c>
    </row>
    <row r="202" spans="1:17" s="136" customFormat="1" outlineLevel="1">
      <c r="A202" s="152"/>
      <c r="B202" s="623" t="s">
        <v>1224</v>
      </c>
      <c r="C202" s="141" t="s">
        <v>826</v>
      </c>
      <c r="D202" s="659">
        <f>D98/D134*D171-2555</f>
        <v>228475.08414802648</v>
      </c>
      <c r="E202" s="659">
        <f>165985.92044+54542.89118</f>
        <v>220528.81161999999</v>
      </c>
      <c r="F202" s="659">
        <v>234851.6028520815</v>
      </c>
      <c r="G202" s="659">
        <v>247222</v>
      </c>
      <c r="H202" s="659">
        <v>238992.11497080003</v>
      </c>
      <c r="I202" s="659">
        <v>238595.16102521613</v>
      </c>
      <c r="J202" s="659" t="e">
        <v>#DIV/0!</v>
      </c>
      <c r="K202" s="659">
        <v>238731.6925066431</v>
      </c>
      <c r="L202" s="659">
        <v>213431.7569707706</v>
      </c>
      <c r="M202" s="659">
        <v>118592.03160318868</v>
      </c>
      <c r="N202" s="659">
        <v>94839.725367581923</v>
      </c>
      <c r="O202" s="659">
        <v>219899.39713020372</v>
      </c>
      <c r="P202" s="659">
        <v>122221.79394154121</v>
      </c>
      <c r="Q202" s="659">
        <v>97677.603188662528</v>
      </c>
    </row>
    <row r="203" spans="1:17" s="136" customFormat="1" outlineLevel="1">
      <c r="A203" s="152"/>
      <c r="B203" s="623" t="s">
        <v>1234</v>
      </c>
      <c r="C203" s="141" t="s">
        <v>826</v>
      </c>
      <c r="D203" s="659">
        <f>D99/D134*D172-3816</f>
        <v>541350.54014006862</v>
      </c>
      <c r="E203" s="659">
        <f>369313.59232+140004.29526</f>
        <v>509317.88757999998</v>
      </c>
      <c r="F203" s="659">
        <v>562956.84325952176</v>
      </c>
      <c r="G203" s="659">
        <v>568833</v>
      </c>
      <c r="H203" s="659">
        <v>577772.9573298801</v>
      </c>
      <c r="I203" s="659">
        <v>546402.53500676609</v>
      </c>
      <c r="J203" s="659" t="e">
        <v>#DIV/0!</v>
      </c>
      <c r="K203" s="659">
        <v>574302.46313551825</v>
      </c>
      <c r="L203" s="659">
        <v>612122.0355801594</v>
      </c>
      <c r="M203" s="659">
        <v>364090.8950398583</v>
      </c>
      <c r="N203" s="659">
        <v>248031.14054030116</v>
      </c>
      <c r="O203" s="659">
        <v>630687.62112488924</v>
      </c>
      <c r="P203" s="659">
        <v>375234.67426926485</v>
      </c>
      <c r="Q203" s="659">
        <v>255452.94685562444</v>
      </c>
    </row>
    <row r="204" spans="1:17" s="136" customFormat="1" outlineLevel="1">
      <c r="A204" s="152"/>
      <c r="B204" s="623" t="s">
        <v>1242</v>
      </c>
      <c r="C204" s="141" t="s">
        <v>826</v>
      </c>
      <c r="D204" s="659"/>
      <c r="E204" s="659"/>
      <c r="F204" s="659"/>
      <c r="G204" s="659"/>
      <c r="H204" s="659"/>
      <c r="I204" s="659"/>
      <c r="J204" s="659"/>
      <c r="K204" s="659"/>
      <c r="L204" s="659">
        <v>0</v>
      </c>
      <c r="M204" s="659"/>
      <c r="N204" s="659"/>
      <c r="O204" s="659">
        <v>0</v>
      </c>
      <c r="P204" s="659"/>
      <c r="Q204" s="659"/>
    </row>
    <row r="205" spans="1:17" s="136" customFormat="1" outlineLevel="1">
      <c r="A205" s="152" t="s">
        <v>254</v>
      </c>
      <c r="B205" s="154" t="s">
        <v>812</v>
      </c>
      <c r="C205" s="141" t="s">
        <v>826</v>
      </c>
      <c r="D205" s="659"/>
      <c r="E205" s="659"/>
      <c r="F205" s="659"/>
      <c r="G205" s="659"/>
      <c r="H205" s="659"/>
      <c r="I205" s="659"/>
      <c r="J205" s="659"/>
      <c r="K205" s="659"/>
      <c r="L205" s="659"/>
      <c r="M205" s="659"/>
      <c r="N205" s="659"/>
      <c r="O205" s="659"/>
      <c r="P205" s="659"/>
      <c r="Q205" s="659"/>
    </row>
    <row r="206" spans="1:17" s="136" customFormat="1" outlineLevel="1">
      <c r="A206" s="152" t="s">
        <v>255</v>
      </c>
      <c r="B206" s="154" t="s">
        <v>813</v>
      </c>
      <c r="C206" s="141" t="s">
        <v>826</v>
      </c>
      <c r="D206" s="659"/>
      <c r="E206" s="659"/>
      <c r="F206" s="659"/>
      <c r="G206" s="659"/>
      <c r="H206" s="659"/>
      <c r="I206" s="659"/>
      <c r="J206" s="659"/>
      <c r="K206" s="659"/>
      <c r="L206" s="659"/>
      <c r="M206" s="659"/>
      <c r="N206" s="659"/>
      <c r="O206" s="659"/>
      <c r="P206" s="659"/>
      <c r="Q206" s="659"/>
    </row>
    <row r="207" spans="1:17" s="136" customFormat="1" outlineLevel="1">
      <c r="A207" s="152" t="s">
        <v>256</v>
      </c>
      <c r="B207" s="154" t="s">
        <v>814</v>
      </c>
      <c r="C207" s="141" t="s">
        <v>826</v>
      </c>
      <c r="D207" s="659"/>
      <c r="E207" s="659"/>
      <c r="F207" s="659"/>
      <c r="G207" s="659"/>
      <c r="H207" s="659"/>
      <c r="I207" s="659"/>
      <c r="J207" s="659"/>
      <c r="K207" s="659"/>
      <c r="L207" s="659"/>
      <c r="M207" s="659"/>
      <c r="N207" s="659"/>
      <c r="O207" s="659"/>
      <c r="P207" s="659"/>
      <c r="Q207" s="659"/>
    </row>
    <row r="208" spans="1:17" s="136" customFormat="1" outlineLevel="1">
      <c r="A208" s="152" t="s">
        <v>1212</v>
      </c>
      <c r="B208" s="144" t="s">
        <v>1213</v>
      </c>
      <c r="C208" s="141" t="s">
        <v>826</v>
      </c>
      <c r="D208" s="659">
        <f>D101/D138*D177</f>
        <v>0</v>
      </c>
      <c r="E208" s="659">
        <f t="shared" ref="E208:G208" si="32">E101/E138*E177</f>
        <v>0</v>
      </c>
      <c r="F208" s="659">
        <v>0</v>
      </c>
      <c r="G208" s="659">
        <v>0</v>
      </c>
      <c r="H208" s="659">
        <v>0</v>
      </c>
      <c r="I208" s="659">
        <v>0</v>
      </c>
      <c r="J208" s="659" t="e">
        <v>#DIV/0!</v>
      </c>
      <c r="K208" s="659">
        <v>0</v>
      </c>
      <c r="L208" s="659">
        <v>0</v>
      </c>
      <c r="M208" s="659">
        <v>0</v>
      </c>
      <c r="N208" s="659">
        <v>0</v>
      </c>
      <c r="O208" s="659">
        <v>0</v>
      </c>
      <c r="P208" s="659">
        <v>0</v>
      </c>
      <c r="Q208" s="659">
        <v>0</v>
      </c>
    </row>
    <row r="209" spans="1:17" s="136" customFormat="1" ht="25.5" hidden="1" outlineLevel="1">
      <c r="A209" s="650" t="s">
        <v>257</v>
      </c>
      <c r="B209" s="657" t="s">
        <v>829</v>
      </c>
      <c r="C209" s="643"/>
      <c r="D209" s="638"/>
      <c r="E209" s="638"/>
      <c r="F209" s="638"/>
      <c r="G209" s="638"/>
      <c r="H209" s="638"/>
      <c r="I209" s="638"/>
      <c r="J209" s="638"/>
      <c r="K209" s="638"/>
      <c r="L209" s="638"/>
      <c r="M209" s="638"/>
      <c r="N209" s="638"/>
      <c r="O209" s="638"/>
      <c r="P209" s="638"/>
      <c r="Q209" s="638"/>
    </row>
    <row r="210" spans="1:17" s="136" customFormat="1" hidden="1" outlineLevel="1">
      <c r="A210" s="152" t="s">
        <v>259</v>
      </c>
      <c r="B210" s="144" t="s">
        <v>1205</v>
      </c>
      <c r="C210" s="141" t="s">
        <v>138</v>
      </c>
      <c r="D210" s="134"/>
      <c r="E210" s="134"/>
      <c r="F210" s="134"/>
      <c r="G210" s="134"/>
      <c r="H210" s="134"/>
      <c r="I210" s="134"/>
      <c r="J210" s="134"/>
      <c r="K210" s="134"/>
      <c r="L210" s="134"/>
      <c r="M210" s="134"/>
      <c r="N210" s="134"/>
      <c r="O210" s="134"/>
      <c r="P210" s="134"/>
      <c r="Q210" s="134"/>
    </row>
    <row r="211" spans="1:17" s="136" customFormat="1" hidden="1" outlineLevel="1">
      <c r="A211" s="152"/>
      <c r="B211" s="144"/>
      <c r="C211" s="141"/>
      <c r="D211" s="134"/>
      <c r="E211" s="134"/>
      <c r="F211" s="134"/>
      <c r="G211" s="134"/>
      <c r="H211" s="134"/>
      <c r="I211" s="134"/>
      <c r="J211" s="134"/>
      <c r="K211" s="134"/>
      <c r="L211" s="134"/>
      <c r="M211" s="134"/>
      <c r="N211" s="134"/>
      <c r="O211" s="134"/>
      <c r="P211" s="134"/>
      <c r="Q211" s="134"/>
    </row>
    <row r="212" spans="1:17" s="136" customFormat="1" hidden="1" outlineLevel="1">
      <c r="A212" s="152" t="s">
        <v>260</v>
      </c>
      <c r="B212" s="144" t="s">
        <v>810</v>
      </c>
      <c r="C212" s="141" t="s">
        <v>138</v>
      </c>
      <c r="D212" s="134"/>
      <c r="E212" s="134"/>
      <c r="F212" s="134"/>
      <c r="G212" s="134"/>
      <c r="H212" s="134"/>
      <c r="I212" s="134"/>
      <c r="J212" s="134"/>
      <c r="K212" s="134"/>
      <c r="L212" s="134"/>
      <c r="M212" s="134"/>
      <c r="N212" s="134"/>
      <c r="O212" s="134"/>
      <c r="P212" s="134"/>
      <c r="Q212" s="134"/>
    </row>
    <row r="213" spans="1:17" s="136" customFormat="1" hidden="1" outlineLevel="1">
      <c r="A213" s="152" t="s">
        <v>261</v>
      </c>
      <c r="B213" s="144" t="s">
        <v>811</v>
      </c>
      <c r="C213" s="141" t="s">
        <v>138</v>
      </c>
      <c r="D213" s="134"/>
      <c r="E213" s="134"/>
      <c r="F213" s="134"/>
      <c r="G213" s="134"/>
      <c r="H213" s="134"/>
      <c r="I213" s="134"/>
      <c r="J213" s="134"/>
      <c r="K213" s="134"/>
      <c r="L213" s="134"/>
      <c r="M213" s="134"/>
      <c r="N213" s="134"/>
      <c r="O213" s="134"/>
      <c r="P213" s="134"/>
      <c r="Q213" s="134"/>
    </row>
    <row r="214" spans="1:17" s="136" customFormat="1" hidden="1" outlineLevel="1">
      <c r="A214" s="152" t="s">
        <v>262</v>
      </c>
      <c r="B214" s="154" t="s">
        <v>812</v>
      </c>
      <c r="C214" s="141" t="s">
        <v>138</v>
      </c>
      <c r="D214" s="134"/>
      <c r="E214" s="134"/>
      <c r="F214" s="134"/>
      <c r="G214" s="134"/>
      <c r="H214" s="134"/>
      <c r="I214" s="134"/>
      <c r="J214" s="134"/>
      <c r="K214" s="134"/>
      <c r="L214" s="134"/>
      <c r="M214" s="134"/>
      <c r="N214" s="134"/>
      <c r="O214" s="134"/>
      <c r="P214" s="134"/>
      <c r="Q214" s="134"/>
    </row>
    <row r="215" spans="1:17" s="136" customFormat="1" hidden="1" outlineLevel="1">
      <c r="A215" s="152" t="s">
        <v>263</v>
      </c>
      <c r="B215" s="154" t="s">
        <v>813</v>
      </c>
      <c r="C215" s="141" t="s">
        <v>138</v>
      </c>
      <c r="D215" s="134"/>
      <c r="E215" s="134"/>
      <c r="F215" s="134"/>
      <c r="G215" s="134"/>
      <c r="H215" s="134"/>
      <c r="I215" s="134"/>
      <c r="J215" s="134"/>
      <c r="K215" s="134"/>
      <c r="L215" s="134"/>
      <c r="M215" s="134"/>
      <c r="N215" s="134"/>
      <c r="O215" s="134"/>
      <c r="P215" s="134"/>
      <c r="Q215" s="134"/>
    </row>
    <row r="216" spans="1:17" s="136" customFormat="1" hidden="1" outlineLevel="1">
      <c r="A216" s="152" t="s">
        <v>264</v>
      </c>
      <c r="B216" s="154" t="s">
        <v>814</v>
      </c>
      <c r="C216" s="141" t="s">
        <v>138</v>
      </c>
      <c r="D216" s="134"/>
      <c r="E216" s="134"/>
      <c r="F216" s="134"/>
      <c r="G216" s="134"/>
      <c r="H216" s="134"/>
      <c r="I216" s="134"/>
      <c r="J216" s="134"/>
      <c r="K216" s="134"/>
      <c r="L216" s="134"/>
      <c r="M216" s="134"/>
      <c r="N216" s="134"/>
      <c r="O216" s="134"/>
      <c r="P216" s="134"/>
      <c r="Q216" s="134"/>
    </row>
    <row r="217" spans="1:17" s="136" customFormat="1" hidden="1" outlineLevel="1">
      <c r="A217" s="152" t="s">
        <v>265</v>
      </c>
      <c r="B217" s="144" t="s">
        <v>1214</v>
      </c>
      <c r="C217" s="141" t="s">
        <v>138</v>
      </c>
      <c r="D217" s="134"/>
      <c r="E217" s="134"/>
      <c r="F217" s="134"/>
      <c r="G217" s="134"/>
      <c r="H217" s="134"/>
      <c r="I217" s="134"/>
      <c r="J217" s="134"/>
      <c r="K217" s="134"/>
      <c r="L217" s="134"/>
      <c r="M217" s="134"/>
      <c r="N217" s="134"/>
      <c r="O217" s="134"/>
      <c r="P217" s="134"/>
      <c r="Q217" s="134"/>
    </row>
    <row r="218" spans="1:17" s="136" customFormat="1" ht="15.75" hidden="1" customHeight="1" outlineLevel="1">
      <c r="A218" s="650" t="s">
        <v>266</v>
      </c>
      <c r="B218" s="638" t="s">
        <v>830</v>
      </c>
      <c r="C218" s="643"/>
      <c r="D218" s="644"/>
      <c r="E218" s="644"/>
      <c r="F218" s="644"/>
      <c r="G218" s="644"/>
      <c r="H218" s="644"/>
      <c r="I218" s="644"/>
      <c r="J218" s="644"/>
      <c r="K218" s="644"/>
      <c r="L218" s="644"/>
      <c r="M218" s="644"/>
      <c r="N218" s="644"/>
      <c r="O218" s="644"/>
      <c r="P218" s="644"/>
      <c r="Q218" s="644"/>
    </row>
    <row r="219" spans="1:17" s="136" customFormat="1" hidden="1" outlineLevel="1">
      <c r="A219" s="152" t="s">
        <v>268</v>
      </c>
      <c r="B219" s="144" t="s">
        <v>1205</v>
      </c>
      <c r="C219" s="141" t="s">
        <v>231</v>
      </c>
      <c r="D219" s="134"/>
      <c r="E219" s="134"/>
      <c r="F219" s="273"/>
      <c r="G219" s="134"/>
      <c r="H219" s="134"/>
      <c r="I219" s="134"/>
      <c r="J219" s="134"/>
      <c r="K219" s="134"/>
      <c r="L219" s="134"/>
      <c r="M219" s="134"/>
      <c r="N219" s="134"/>
      <c r="O219" s="134"/>
      <c r="P219" s="134"/>
      <c r="Q219" s="134"/>
    </row>
    <row r="220" spans="1:17" s="136" customFormat="1" hidden="1" outlineLevel="1">
      <c r="A220" s="152"/>
      <c r="B220" s="144"/>
      <c r="C220" s="141"/>
      <c r="D220" s="134"/>
      <c r="E220" s="134"/>
      <c r="F220" s="273"/>
      <c r="G220" s="134"/>
      <c r="H220" s="134"/>
      <c r="I220" s="134"/>
      <c r="J220" s="134"/>
      <c r="K220" s="134"/>
      <c r="L220" s="134"/>
      <c r="M220" s="134"/>
      <c r="N220" s="134"/>
      <c r="O220" s="134"/>
      <c r="P220" s="134"/>
      <c r="Q220" s="134"/>
    </row>
    <row r="221" spans="1:17" s="136" customFormat="1" hidden="1" outlineLevel="1">
      <c r="A221" s="152" t="s">
        <v>269</v>
      </c>
      <c r="B221" s="144" t="s">
        <v>810</v>
      </c>
      <c r="C221" s="141" t="s">
        <v>231</v>
      </c>
      <c r="D221" s="134"/>
      <c r="E221" s="134"/>
      <c r="F221" s="273"/>
      <c r="G221" s="134"/>
      <c r="H221" s="134"/>
      <c r="I221" s="134"/>
      <c r="J221" s="134"/>
      <c r="K221" s="134"/>
      <c r="L221" s="134"/>
      <c r="M221" s="134"/>
      <c r="N221" s="134"/>
      <c r="O221" s="134"/>
      <c r="P221" s="134"/>
      <c r="Q221" s="134"/>
    </row>
    <row r="222" spans="1:17" s="136" customFormat="1" ht="15.75" hidden="1" outlineLevel="1">
      <c r="A222" s="152" t="s">
        <v>270</v>
      </c>
      <c r="B222" s="144" t="s">
        <v>811</v>
      </c>
      <c r="C222" s="141" t="s">
        <v>825</v>
      </c>
      <c r="D222" s="134"/>
      <c r="E222" s="134"/>
      <c r="F222" s="273"/>
      <c r="G222" s="134"/>
      <c r="H222" s="134"/>
      <c r="I222" s="134"/>
      <c r="J222" s="134"/>
      <c r="K222" s="134"/>
      <c r="L222" s="134"/>
      <c r="M222" s="134"/>
      <c r="N222" s="134"/>
      <c r="O222" s="134"/>
      <c r="P222" s="134"/>
      <c r="Q222" s="134"/>
    </row>
    <row r="223" spans="1:17" s="136" customFormat="1" ht="15.75" hidden="1" outlineLevel="1">
      <c r="A223" s="152" t="s">
        <v>271</v>
      </c>
      <c r="B223" s="154" t="s">
        <v>812</v>
      </c>
      <c r="C223" s="141" t="s">
        <v>825</v>
      </c>
      <c r="D223" s="134"/>
      <c r="E223" s="134"/>
      <c r="F223" s="273"/>
      <c r="G223" s="134"/>
      <c r="H223" s="134"/>
      <c r="I223" s="134"/>
      <c r="J223" s="134"/>
      <c r="K223" s="134"/>
      <c r="L223" s="134"/>
      <c r="M223" s="134"/>
      <c r="N223" s="134"/>
      <c r="O223" s="134"/>
      <c r="P223" s="134"/>
      <c r="Q223" s="134"/>
    </row>
    <row r="224" spans="1:17" s="136" customFormat="1" ht="15.75" hidden="1" outlineLevel="1">
      <c r="A224" s="152" t="s">
        <v>272</v>
      </c>
      <c r="B224" s="154" t="s">
        <v>813</v>
      </c>
      <c r="C224" s="141" t="s">
        <v>825</v>
      </c>
      <c r="D224" s="134"/>
      <c r="E224" s="134"/>
      <c r="F224" s="273"/>
      <c r="G224" s="134"/>
      <c r="H224" s="134"/>
      <c r="I224" s="134"/>
      <c r="J224" s="134"/>
      <c r="K224" s="134"/>
      <c r="L224" s="134"/>
      <c r="M224" s="134"/>
      <c r="N224" s="134"/>
      <c r="O224" s="134"/>
      <c r="P224" s="134"/>
      <c r="Q224" s="134"/>
    </row>
    <row r="225" spans="1:17" s="136" customFormat="1" ht="15.75" hidden="1" outlineLevel="1">
      <c r="A225" s="152" t="s">
        <v>273</v>
      </c>
      <c r="B225" s="154" t="s">
        <v>814</v>
      </c>
      <c r="C225" s="141" t="s">
        <v>825</v>
      </c>
      <c r="D225" s="134"/>
      <c r="E225" s="134"/>
      <c r="F225" s="273"/>
      <c r="G225" s="134"/>
      <c r="H225" s="134"/>
      <c r="I225" s="134"/>
      <c r="J225" s="134"/>
      <c r="K225" s="134"/>
      <c r="L225" s="134"/>
      <c r="M225" s="134"/>
      <c r="N225" s="134"/>
      <c r="O225" s="134"/>
      <c r="P225" s="134"/>
      <c r="Q225" s="134"/>
    </row>
    <row r="226" spans="1:17" s="136" customFormat="1" hidden="1" outlineLevel="1">
      <c r="A226" s="152" t="s">
        <v>274</v>
      </c>
      <c r="B226" s="144" t="s">
        <v>1214</v>
      </c>
      <c r="C226" s="141" t="s">
        <v>231</v>
      </c>
      <c r="D226" s="134"/>
      <c r="E226" s="134"/>
      <c r="F226" s="273"/>
      <c r="G226" s="134"/>
      <c r="H226" s="134"/>
      <c r="I226" s="134"/>
      <c r="J226" s="134"/>
      <c r="K226" s="134"/>
      <c r="L226" s="134"/>
      <c r="M226" s="134"/>
      <c r="N226" s="134"/>
      <c r="O226" s="134"/>
      <c r="P226" s="134"/>
      <c r="Q226" s="134"/>
    </row>
    <row r="227" spans="1:17" s="136" customFormat="1" ht="17.25" hidden="1" customHeight="1" outlineLevel="1">
      <c r="A227" s="650" t="s">
        <v>275</v>
      </c>
      <c r="B227" s="638" t="s">
        <v>276</v>
      </c>
      <c r="C227" s="643" t="s">
        <v>826</v>
      </c>
      <c r="D227" s="644"/>
      <c r="E227" s="644"/>
      <c r="F227" s="644"/>
      <c r="G227" s="644"/>
      <c r="H227" s="644"/>
      <c r="I227" s="644"/>
      <c r="J227" s="644"/>
      <c r="K227" s="644"/>
      <c r="L227" s="644"/>
      <c r="M227" s="644"/>
      <c r="N227" s="644"/>
      <c r="O227" s="644"/>
      <c r="P227" s="644"/>
      <c r="Q227" s="644"/>
    </row>
    <row r="228" spans="1:17" s="136" customFormat="1" hidden="1" outlineLevel="1">
      <c r="A228" s="152" t="s">
        <v>277</v>
      </c>
      <c r="B228" s="144" t="s">
        <v>1205</v>
      </c>
      <c r="C228" s="141" t="s">
        <v>826</v>
      </c>
      <c r="D228" s="652">
        <f t="shared" ref="D228:E228" si="33">D219*D140</f>
        <v>0</v>
      </c>
      <c r="E228" s="652">
        <f t="shared" si="33"/>
        <v>0</v>
      </c>
      <c r="F228" s="652">
        <v>0</v>
      </c>
      <c r="G228" s="652">
        <v>0</v>
      </c>
      <c r="H228" s="652"/>
      <c r="I228" s="652">
        <v>0</v>
      </c>
      <c r="J228" s="652">
        <v>0</v>
      </c>
      <c r="K228" s="652">
        <v>0</v>
      </c>
      <c r="L228" s="273">
        <v>0</v>
      </c>
      <c r="M228" s="652">
        <v>0</v>
      </c>
      <c r="N228" s="652">
        <v>0</v>
      </c>
      <c r="O228" s="273">
        <v>0</v>
      </c>
      <c r="P228" s="652">
        <v>0</v>
      </c>
      <c r="Q228" s="652">
        <v>0</v>
      </c>
    </row>
    <row r="229" spans="1:17" s="136" customFormat="1" hidden="1" outlineLevel="1">
      <c r="A229" s="152"/>
      <c r="B229" s="144"/>
      <c r="C229" s="141"/>
      <c r="D229" s="652"/>
      <c r="E229" s="652"/>
      <c r="F229" s="652"/>
      <c r="G229" s="652"/>
      <c r="H229" s="652"/>
      <c r="I229" s="652"/>
      <c r="J229" s="652"/>
      <c r="K229" s="652"/>
      <c r="L229" s="134"/>
      <c r="M229" s="652"/>
      <c r="N229" s="652"/>
      <c r="O229" s="134"/>
      <c r="P229" s="652"/>
      <c r="Q229" s="652"/>
    </row>
    <row r="230" spans="1:17" s="136" customFormat="1" hidden="1" outlineLevel="1">
      <c r="A230" s="152" t="s">
        <v>278</v>
      </c>
      <c r="B230" s="144" t="s">
        <v>810</v>
      </c>
      <c r="C230" s="141" t="s">
        <v>826</v>
      </c>
      <c r="D230" s="652">
        <f t="shared" ref="D230:E230" si="34">D221*D142</f>
        <v>0</v>
      </c>
      <c r="E230" s="652">
        <f t="shared" si="34"/>
        <v>0</v>
      </c>
      <c r="F230" s="652">
        <v>0</v>
      </c>
      <c r="G230" s="652">
        <v>0</v>
      </c>
      <c r="H230" s="652"/>
      <c r="I230" s="652">
        <v>0</v>
      </c>
      <c r="J230" s="652">
        <v>0</v>
      </c>
      <c r="K230" s="652">
        <v>0</v>
      </c>
      <c r="L230" s="273">
        <v>0</v>
      </c>
      <c r="M230" s="652">
        <v>0</v>
      </c>
      <c r="N230" s="652">
        <v>0</v>
      </c>
      <c r="O230" s="273">
        <v>0</v>
      </c>
      <c r="P230" s="652">
        <v>0</v>
      </c>
      <c r="Q230" s="652">
        <v>0</v>
      </c>
    </row>
    <row r="231" spans="1:17" s="136" customFormat="1" hidden="1" outlineLevel="1">
      <c r="A231" s="152" t="s">
        <v>279</v>
      </c>
      <c r="B231" s="144" t="s">
        <v>811</v>
      </c>
      <c r="C231" s="141" t="s">
        <v>826</v>
      </c>
      <c r="D231" s="652"/>
      <c r="E231" s="652"/>
      <c r="F231" s="652"/>
      <c r="G231" s="652"/>
      <c r="H231" s="652"/>
      <c r="I231" s="652"/>
      <c r="J231" s="652"/>
      <c r="K231" s="652"/>
      <c r="L231" s="134"/>
      <c r="M231" s="652"/>
      <c r="N231" s="652"/>
      <c r="O231" s="134"/>
      <c r="P231" s="652"/>
      <c r="Q231" s="652"/>
    </row>
    <row r="232" spans="1:17" s="136" customFormat="1" hidden="1" outlineLevel="1">
      <c r="A232" s="152" t="s">
        <v>280</v>
      </c>
      <c r="B232" s="154" t="s">
        <v>812</v>
      </c>
      <c r="C232" s="141" t="s">
        <v>826</v>
      </c>
      <c r="D232" s="652"/>
      <c r="E232" s="652"/>
      <c r="F232" s="652"/>
      <c r="G232" s="652"/>
      <c r="H232" s="652"/>
      <c r="I232" s="652"/>
      <c r="J232" s="652"/>
      <c r="K232" s="652"/>
      <c r="L232" s="134"/>
      <c r="M232" s="652"/>
      <c r="N232" s="652"/>
      <c r="O232" s="134"/>
      <c r="P232" s="652"/>
      <c r="Q232" s="652"/>
    </row>
    <row r="233" spans="1:17" s="136" customFormat="1" hidden="1" outlineLevel="1">
      <c r="A233" s="152" t="s">
        <v>281</v>
      </c>
      <c r="B233" s="154" t="s">
        <v>813</v>
      </c>
      <c r="C233" s="141" t="s">
        <v>826</v>
      </c>
      <c r="D233" s="652"/>
      <c r="E233" s="652"/>
      <c r="F233" s="652"/>
      <c r="G233" s="652"/>
      <c r="H233" s="652"/>
      <c r="I233" s="652"/>
      <c r="J233" s="652"/>
      <c r="K233" s="652"/>
      <c r="L233" s="134"/>
      <c r="M233" s="652"/>
      <c r="N233" s="652"/>
      <c r="O233" s="134"/>
      <c r="P233" s="652"/>
      <c r="Q233" s="652"/>
    </row>
    <row r="234" spans="1:17" s="136" customFormat="1" hidden="1" outlineLevel="1">
      <c r="A234" s="152" t="s">
        <v>282</v>
      </c>
      <c r="B234" s="154" t="s">
        <v>814</v>
      </c>
      <c r="C234" s="141" t="s">
        <v>826</v>
      </c>
      <c r="D234" s="652"/>
      <c r="E234" s="652"/>
      <c r="F234" s="652"/>
      <c r="G234" s="652"/>
      <c r="H234" s="652"/>
      <c r="I234" s="652"/>
      <c r="J234" s="652"/>
      <c r="K234" s="652"/>
      <c r="L234" s="134"/>
      <c r="M234" s="652"/>
      <c r="N234" s="652"/>
      <c r="O234" s="134"/>
      <c r="P234" s="652"/>
      <c r="Q234" s="652"/>
    </row>
    <row r="235" spans="1:17" s="136" customFormat="1" hidden="1" outlineLevel="1">
      <c r="A235" s="152" t="s">
        <v>283</v>
      </c>
      <c r="B235" s="144" t="s">
        <v>1214</v>
      </c>
      <c r="C235" s="141" t="s">
        <v>826</v>
      </c>
      <c r="D235" s="652">
        <f>D226*D153</f>
        <v>0</v>
      </c>
      <c r="E235" s="652">
        <f t="shared" ref="E235:N235" si="35">E226*E153</f>
        <v>0</v>
      </c>
      <c r="F235" s="652">
        <v>0</v>
      </c>
      <c r="G235" s="652">
        <v>0</v>
      </c>
      <c r="H235" s="652"/>
      <c r="I235" s="652">
        <v>0</v>
      </c>
      <c r="J235" s="652" t="e">
        <v>#DIV/0!</v>
      </c>
      <c r="K235" s="652">
        <v>0</v>
      </c>
      <c r="L235" s="273">
        <v>0</v>
      </c>
      <c r="M235" s="652">
        <v>0</v>
      </c>
      <c r="N235" s="652">
        <v>0</v>
      </c>
      <c r="O235" s="273">
        <v>0</v>
      </c>
      <c r="P235" s="652">
        <v>0</v>
      </c>
      <c r="Q235" s="652">
        <v>0</v>
      </c>
    </row>
    <row r="236" spans="1:17" s="136" customFormat="1" hidden="1" outlineLevel="1">
      <c r="A236" s="152" t="s">
        <v>284</v>
      </c>
      <c r="B236" s="144" t="s">
        <v>140</v>
      </c>
      <c r="C236" s="141" t="s">
        <v>826</v>
      </c>
      <c r="D236" s="652">
        <f>D237</f>
        <v>0</v>
      </c>
      <c r="E236" s="652">
        <f t="shared" ref="E236:Q236" si="36">E237</f>
        <v>0</v>
      </c>
      <c r="F236" s="652">
        <v>0</v>
      </c>
      <c r="G236" s="652">
        <v>0</v>
      </c>
      <c r="H236" s="652"/>
      <c r="I236" s="652">
        <v>0</v>
      </c>
      <c r="J236" s="652">
        <v>0</v>
      </c>
      <c r="K236" s="652">
        <v>0</v>
      </c>
      <c r="L236" s="652">
        <v>0</v>
      </c>
      <c r="M236" s="652">
        <v>0</v>
      </c>
      <c r="N236" s="652">
        <v>0</v>
      </c>
      <c r="O236" s="652">
        <v>0</v>
      </c>
      <c r="P236" s="652">
        <v>0</v>
      </c>
      <c r="Q236" s="652">
        <v>0</v>
      </c>
    </row>
    <row r="237" spans="1:17" s="136" customFormat="1" ht="25.5" hidden="1" outlineLevel="1">
      <c r="A237" s="650" t="s">
        <v>285</v>
      </c>
      <c r="B237" s="657" t="s">
        <v>286</v>
      </c>
      <c r="C237" s="643" t="s">
        <v>826</v>
      </c>
      <c r="D237" s="658">
        <f t="shared" ref="D237:N237" si="37">SUM(D238:D245)</f>
        <v>0</v>
      </c>
      <c r="E237" s="658">
        <f t="shared" si="37"/>
        <v>0</v>
      </c>
      <c r="F237" s="658">
        <v>0</v>
      </c>
      <c r="G237" s="658">
        <v>0</v>
      </c>
      <c r="H237" s="658"/>
      <c r="I237" s="658"/>
      <c r="J237" s="658"/>
      <c r="K237" s="658">
        <v>0</v>
      </c>
      <c r="L237" s="658">
        <v>0</v>
      </c>
      <c r="M237" s="658">
        <v>0</v>
      </c>
      <c r="N237" s="658">
        <v>0</v>
      </c>
      <c r="O237" s="658">
        <v>0</v>
      </c>
      <c r="P237" s="658">
        <v>0</v>
      </c>
      <c r="Q237" s="658">
        <v>0</v>
      </c>
    </row>
    <row r="238" spans="1:17" s="136" customFormat="1" hidden="1" outlineLevel="1">
      <c r="A238" s="152" t="s">
        <v>287</v>
      </c>
      <c r="B238" s="144" t="s">
        <v>1205</v>
      </c>
      <c r="C238" s="141" t="s">
        <v>826</v>
      </c>
      <c r="D238" s="272"/>
      <c r="E238" s="272"/>
      <c r="F238" s="272"/>
      <c r="G238" s="272"/>
      <c r="H238" s="272"/>
      <c r="I238" s="272"/>
      <c r="J238" s="272"/>
      <c r="K238" s="272"/>
      <c r="L238" s="273"/>
      <c r="M238" s="272"/>
      <c r="N238" s="272"/>
      <c r="O238" s="273"/>
      <c r="P238" s="272"/>
      <c r="Q238" s="272"/>
    </row>
    <row r="239" spans="1:17" s="136" customFormat="1" hidden="1" outlineLevel="1">
      <c r="A239" s="152"/>
      <c r="B239" s="144"/>
      <c r="C239" s="141" t="s">
        <v>826</v>
      </c>
      <c r="D239" s="272"/>
      <c r="E239" s="272"/>
      <c r="F239" s="272"/>
      <c r="G239" s="272"/>
      <c r="H239" s="272"/>
      <c r="I239" s="272"/>
      <c r="J239" s="272"/>
      <c r="K239" s="272"/>
      <c r="L239" s="273">
        <v>0</v>
      </c>
      <c r="M239" s="272"/>
      <c r="N239" s="272"/>
      <c r="O239" s="273">
        <v>0</v>
      </c>
      <c r="P239" s="272"/>
      <c r="Q239" s="272"/>
    </row>
    <row r="240" spans="1:17" s="136" customFormat="1" hidden="1" outlineLevel="1">
      <c r="A240" s="152" t="s">
        <v>288</v>
      </c>
      <c r="B240" s="144" t="s">
        <v>810</v>
      </c>
      <c r="C240" s="141" t="s">
        <v>826</v>
      </c>
      <c r="D240" s="272">
        <f>D93/D133*D221</f>
        <v>0</v>
      </c>
      <c r="E240" s="272">
        <f t="shared" ref="E240:G240" si="38">E93/E133*E221</f>
        <v>0</v>
      </c>
      <c r="F240" s="272">
        <v>0</v>
      </c>
      <c r="G240" s="272">
        <v>0</v>
      </c>
      <c r="H240" s="272"/>
      <c r="I240" s="272"/>
      <c r="J240" s="272"/>
      <c r="K240" s="272">
        <v>0</v>
      </c>
      <c r="L240" s="273">
        <v>0</v>
      </c>
      <c r="M240" s="272">
        <v>0</v>
      </c>
      <c r="N240" s="272">
        <v>0</v>
      </c>
      <c r="O240" s="273">
        <v>0</v>
      </c>
      <c r="P240" s="272">
        <v>0</v>
      </c>
      <c r="Q240" s="272">
        <v>0</v>
      </c>
    </row>
    <row r="241" spans="1:18" s="136" customFormat="1" hidden="1" outlineLevel="1">
      <c r="A241" s="152" t="s">
        <v>289</v>
      </c>
      <c r="B241" s="144" t="s">
        <v>811</v>
      </c>
      <c r="C241" s="141" t="s">
        <v>826</v>
      </c>
      <c r="D241" s="272">
        <f>D97/D134*D222</f>
        <v>0</v>
      </c>
      <c r="E241" s="272">
        <f t="shared" ref="E241:G241" si="39">E97/E134*E222</f>
        <v>0</v>
      </c>
      <c r="F241" s="272">
        <v>0</v>
      </c>
      <c r="G241" s="272">
        <v>0</v>
      </c>
      <c r="H241" s="272"/>
      <c r="I241" s="272"/>
      <c r="J241" s="272"/>
      <c r="K241" s="272">
        <v>0</v>
      </c>
      <c r="L241" s="273">
        <v>0</v>
      </c>
      <c r="M241" s="272">
        <v>0</v>
      </c>
      <c r="N241" s="272">
        <v>0</v>
      </c>
      <c r="O241" s="273">
        <v>0</v>
      </c>
      <c r="P241" s="272">
        <v>0</v>
      </c>
      <c r="Q241" s="272">
        <v>0</v>
      </c>
    </row>
    <row r="242" spans="1:18" s="136" customFormat="1" hidden="1" outlineLevel="1">
      <c r="A242" s="152" t="s">
        <v>290</v>
      </c>
      <c r="B242" s="154" t="s">
        <v>812</v>
      </c>
      <c r="C242" s="141" t="s">
        <v>826</v>
      </c>
      <c r="D242" s="272"/>
      <c r="E242" s="272"/>
      <c r="F242" s="272"/>
      <c r="G242" s="272"/>
      <c r="H242" s="272"/>
      <c r="I242" s="272"/>
      <c r="J242" s="272"/>
      <c r="K242" s="272"/>
      <c r="L242" s="272"/>
      <c r="M242" s="272"/>
      <c r="N242" s="272"/>
      <c r="O242" s="272"/>
      <c r="P242" s="272"/>
      <c r="Q242" s="272"/>
    </row>
    <row r="243" spans="1:18" s="136" customFormat="1" hidden="1" outlineLevel="1">
      <c r="A243" s="152" t="s">
        <v>291</v>
      </c>
      <c r="B243" s="154" t="s">
        <v>813</v>
      </c>
      <c r="C243" s="141" t="s">
        <v>826</v>
      </c>
      <c r="D243" s="272"/>
      <c r="E243" s="272"/>
      <c r="F243" s="272"/>
      <c r="G243" s="272"/>
      <c r="H243" s="272"/>
      <c r="I243" s="272"/>
      <c r="J243" s="272"/>
      <c r="K243" s="272"/>
      <c r="L243" s="272"/>
      <c r="M243" s="272"/>
      <c r="N243" s="272"/>
      <c r="O243" s="272"/>
      <c r="P243" s="272"/>
      <c r="Q243" s="272"/>
    </row>
    <row r="244" spans="1:18" s="136" customFormat="1" hidden="1" outlineLevel="1">
      <c r="A244" s="152" t="s">
        <v>292</v>
      </c>
      <c r="B244" s="154" t="s">
        <v>814</v>
      </c>
      <c r="C244" s="141" t="s">
        <v>826</v>
      </c>
      <c r="D244" s="272"/>
      <c r="E244" s="272"/>
      <c r="F244" s="272"/>
      <c r="G244" s="272"/>
      <c r="H244" s="272"/>
      <c r="I244" s="272"/>
      <c r="J244" s="272"/>
      <c r="K244" s="272"/>
      <c r="L244" s="272"/>
      <c r="M244" s="272"/>
      <c r="N244" s="272"/>
      <c r="O244" s="272"/>
      <c r="P244" s="272"/>
      <c r="Q244" s="272"/>
    </row>
    <row r="245" spans="1:18" s="136" customFormat="1" hidden="1" outlineLevel="1">
      <c r="A245" s="152" t="s">
        <v>293</v>
      </c>
      <c r="B245" s="144" t="s">
        <v>1214</v>
      </c>
      <c r="C245" s="141" t="s">
        <v>826</v>
      </c>
      <c r="D245" s="272">
        <f>D101/D138*D226</f>
        <v>0</v>
      </c>
      <c r="E245" s="272">
        <f t="shared" ref="E245:G245" si="40">E101/E138*E226</f>
        <v>0</v>
      </c>
      <c r="F245" s="272">
        <v>0</v>
      </c>
      <c r="G245" s="272">
        <v>0</v>
      </c>
      <c r="H245" s="272"/>
      <c r="I245" s="272"/>
      <c r="J245" s="272"/>
      <c r="K245" s="272">
        <v>0</v>
      </c>
      <c r="L245" s="273">
        <v>0</v>
      </c>
      <c r="M245" s="272">
        <v>0</v>
      </c>
      <c r="N245" s="272">
        <v>0</v>
      </c>
      <c r="O245" s="273">
        <v>0</v>
      </c>
      <c r="P245" s="272">
        <v>0</v>
      </c>
      <c r="Q245" s="272">
        <v>0</v>
      </c>
    </row>
    <row r="246" spans="1:18" s="136" customFormat="1" ht="25.5" customHeight="1" collapsed="1">
      <c r="A246" s="650" t="s">
        <v>831</v>
      </c>
      <c r="B246" s="660" t="s">
        <v>295</v>
      </c>
      <c r="C246" s="643" t="s">
        <v>826</v>
      </c>
      <c r="D246" s="658">
        <f t="shared" ref="D246:N246" si="41">SUM(D247:D254)</f>
        <v>2237687.5544749117</v>
      </c>
      <c r="E246" s="658">
        <f t="shared" si="41"/>
        <v>2123705.0096592004</v>
      </c>
      <c r="F246" s="658">
        <v>2300330.4571911599</v>
      </c>
      <c r="G246" s="658">
        <v>2217263.5326899998</v>
      </c>
      <c r="H246" s="658">
        <v>2361234.8294625944</v>
      </c>
      <c r="I246" s="658">
        <v>2336167.4181163674</v>
      </c>
      <c r="J246" s="658" t="e">
        <v>#DIV/0!</v>
      </c>
      <c r="K246" s="658">
        <v>2531258.8399600005</v>
      </c>
      <c r="L246" s="658">
        <v>2657962.5066400003</v>
      </c>
      <c r="M246" s="658">
        <v>1423285.61041</v>
      </c>
      <c r="N246" s="658">
        <v>1234675.8962300001</v>
      </c>
      <c r="O246" s="658">
        <v>2739416.7038300005</v>
      </c>
      <c r="P246" s="658">
        <v>1467900.86075</v>
      </c>
      <c r="Q246" s="658">
        <v>1271515.84308</v>
      </c>
      <c r="R246" s="672" t="e">
        <f>SUM(D246:N246)-R247-R249-R250-R254</f>
        <v>#DIV/0!</v>
      </c>
    </row>
    <row r="247" spans="1:18" s="136" customFormat="1">
      <c r="A247" s="152" t="s">
        <v>296</v>
      </c>
      <c r="B247" s="144" t="s">
        <v>1207</v>
      </c>
      <c r="C247" s="141" t="s">
        <v>826</v>
      </c>
      <c r="D247" s="659">
        <f>D195+D228</f>
        <v>0</v>
      </c>
      <c r="E247" s="659">
        <f t="shared" ref="E247:I247" si="42">E195+E228</f>
        <v>0</v>
      </c>
      <c r="F247" s="659">
        <v>0</v>
      </c>
      <c r="G247" s="659">
        <v>0</v>
      </c>
      <c r="H247" s="659">
        <v>0</v>
      </c>
      <c r="I247" s="659">
        <v>0</v>
      </c>
      <c r="J247" s="659">
        <v>0</v>
      </c>
      <c r="K247" s="659">
        <v>0</v>
      </c>
      <c r="L247" s="659">
        <v>0</v>
      </c>
      <c r="M247" s="659">
        <v>0</v>
      </c>
      <c r="N247" s="659">
        <v>0</v>
      </c>
      <c r="O247" s="659">
        <v>0</v>
      </c>
      <c r="P247" s="659">
        <v>0</v>
      </c>
      <c r="Q247" s="659">
        <v>0</v>
      </c>
      <c r="R247" s="672">
        <f>SUM(D247:N247)</f>
        <v>0</v>
      </c>
    </row>
    <row r="248" spans="1:18" s="136" customFormat="1" hidden="1">
      <c r="A248" s="152"/>
      <c r="B248" s="144"/>
      <c r="C248" s="141" t="s">
        <v>826</v>
      </c>
      <c r="D248" s="659"/>
      <c r="E248" s="659"/>
      <c r="F248" s="659"/>
      <c r="G248" s="659"/>
      <c r="H248" s="659"/>
      <c r="I248" s="659"/>
      <c r="J248" s="659"/>
      <c r="K248" s="659"/>
      <c r="L248" s="659"/>
      <c r="M248" s="659"/>
      <c r="N248" s="659"/>
      <c r="O248" s="659"/>
      <c r="P248" s="659"/>
      <c r="Q248" s="659"/>
      <c r="R248" s="672"/>
    </row>
    <row r="249" spans="1:18" s="136" customFormat="1">
      <c r="A249" s="152" t="s">
        <v>297</v>
      </c>
      <c r="B249" s="144" t="s">
        <v>810</v>
      </c>
      <c r="C249" s="141" t="s">
        <v>826</v>
      </c>
      <c r="D249" s="659">
        <f>D181+D230</f>
        <v>73533.239553058433</v>
      </c>
      <c r="E249" s="659">
        <f t="shared" ref="E249:G249" si="43">E181+E230</f>
        <v>60261.292170000001</v>
      </c>
      <c r="F249" s="659">
        <v>77275.638823362329</v>
      </c>
      <c r="G249" s="659">
        <v>17286.149290000001</v>
      </c>
      <c r="H249" s="659">
        <v>77220.66110945851</v>
      </c>
      <c r="I249" s="659">
        <v>21322.848469999997</v>
      </c>
      <c r="J249" s="659">
        <v>0</v>
      </c>
      <c r="K249" s="659">
        <v>243641.36669999998</v>
      </c>
      <c r="L249" s="659">
        <v>258938.46557999999</v>
      </c>
      <c r="M249" s="659">
        <v>171937.76879999999</v>
      </c>
      <c r="N249" s="659">
        <v>87000.696779999998</v>
      </c>
      <c r="O249" s="659">
        <v>267617.18585999997</v>
      </c>
      <c r="P249" s="659">
        <v>178174.52309999999</v>
      </c>
      <c r="Q249" s="659">
        <v>89442.662759999992</v>
      </c>
      <c r="R249" s="672">
        <f>SUM(D249:N249)</f>
        <v>1088418.127275879</v>
      </c>
    </row>
    <row r="250" spans="1:18" s="136" customFormat="1">
      <c r="A250" s="152" t="s">
        <v>298</v>
      </c>
      <c r="B250" s="144" t="s">
        <v>811</v>
      </c>
      <c r="C250" s="141" t="s">
        <v>826</v>
      </c>
      <c r="D250" s="659">
        <f>D185+D231</f>
        <v>2161570.2686240198</v>
      </c>
      <c r="E250" s="659">
        <f t="shared" ref="E250:G250" si="44">E185+E231</f>
        <v>2061522.5644192006</v>
      </c>
      <c r="F250" s="659">
        <v>2220176.9310600008</v>
      </c>
      <c r="G250" s="659">
        <v>2198322.4396799998</v>
      </c>
      <c r="H250" s="659">
        <v>2280997.1689176802</v>
      </c>
      <c r="I250" s="659">
        <v>2312494.69284879</v>
      </c>
      <c r="J250" s="659">
        <v>2273213.0607761801</v>
      </c>
      <c r="K250" s="659">
        <v>2284263.7994400002</v>
      </c>
      <c r="L250" s="659">
        <v>2395361.81923</v>
      </c>
      <c r="M250" s="659">
        <v>1249535.1318999999</v>
      </c>
      <c r="N250" s="659">
        <v>1145826.6873300001</v>
      </c>
      <c r="O250" s="659">
        <v>2467892.9455500003</v>
      </c>
      <c r="P250" s="659">
        <v>1287779.8225500002</v>
      </c>
      <c r="Q250" s="659">
        <v>1180113.1230000001</v>
      </c>
      <c r="R250" s="672">
        <f>SUM(D250:N250)</f>
        <v>22583284.564225875</v>
      </c>
    </row>
    <row r="251" spans="1:18" s="136" customFormat="1">
      <c r="A251" s="152" t="s">
        <v>299</v>
      </c>
      <c r="B251" s="154" t="s">
        <v>812</v>
      </c>
      <c r="C251" s="141" t="s">
        <v>826</v>
      </c>
      <c r="D251" s="659"/>
      <c r="E251" s="659"/>
      <c r="F251" s="659"/>
      <c r="G251" s="659"/>
      <c r="H251" s="659"/>
      <c r="I251" s="659"/>
      <c r="J251" s="659"/>
      <c r="K251" s="659"/>
      <c r="L251" s="659"/>
      <c r="M251" s="659"/>
      <c r="N251" s="659"/>
      <c r="O251" s="659"/>
      <c r="P251" s="659"/>
      <c r="Q251" s="659"/>
      <c r="R251" s="672"/>
    </row>
    <row r="252" spans="1:18" s="136" customFormat="1">
      <c r="A252" s="152" t="s">
        <v>300</v>
      </c>
      <c r="B252" s="154" t="s">
        <v>813</v>
      </c>
      <c r="C252" s="141" t="s">
        <v>826</v>
      </c>
      <c r="D252" s="659"/>
      <c r="E252" s="659"/>
      <c r="F252" s="659"/>
      <c r="G252" s="659"/>
      <c r="H252" s="659"/>
      <c r="I252" s="659"/>
      <c r="J252" s="659"/>
      <c r="K252" s="659"/>
      <c r="L252" s="659"/>
      <c r="M252" s="659"/>
      <c r="N252" s="659"/>
      <c r="O252" s="659"/>
      <c r="P252" s="659"/>
      <c r="Q252" s="659"/>
      <c r="R252" s="672"/>
    </row>
    <row r="253" spans="1:18" s="136" customFormat="1">
      <c r="A253" s="152" t="s">
        <v>301</v>
      </c>
      <c r="B253" s="154" t="s">
        <v>814</v>
      </c>
      <c r="C253" s="141" t="s">
        <v>826</v>
      </c>
      <c r="D253" s="659"/>
      <c r="E253" s="659"/>
      <c r="F253" s="659"/>
      <c r="G253" s="659"/>
      <c r="H253" s="659"/>
      <c r="I253" s="659"/>
      <c r="J253" s="659"/>
      <c r="K253" s="659"/>
      <c r="L253" s="659"/>
      <c r="M253" s="659"/>
      <c r="N253" s="659"/>
      <c r="O253" s="659"/>
      <c r="P253" s="659"/>
      <c r="Q253" s="659"/>
      <c r="R253" s="672"/>
    </row>
    <row r="254" spans="1:18" s="136" customFormat="1">
      <c r="A254" s="152" t="s">
        <v>302</v>
      </c>
      <c r="B254" s="636" t="s">
        <v>1215</v>
      </c>
      <c r="C254" s="141" t="s">
        <v>826</v>
      </c>
      <c r="D254" s="659">
        <f>D192+D235</f>
        <v>2584.0462978331866</v>
      </c>
      <c r="E254" s="659">
        <f t="shared" ref="E254:G254" si="45">E192+E235</f>
        <v>1921.1530700000001</v>
      </c>
      <c r="F254" s="659">
        <v>2877.8873077966582</v>
      </c>
      <c r="G254" s="659">
        <v>1654.94372</v>
      </c>
      <c r="H254" s="659">
        <v>3016.9994354556002</v>
      </c>
      <c r="I254" s="659">
        <v>2349.8767975773271</v>
      </c>
      <c r="J254" s="659" t="e">
        <v>#DIV/0!</v>
      </c>
      <c r="K254" s="659">
        <v>3353.6738199999995</v>
      </c>
      <c r="L254" s="659">
        <v>3662.2218299999995</v>
      </c>
      <c r="M254" s="659">
        <v>1812.7097099999999</v>
      </c>
      <c r="N254" s="659">
        <v>1848.5121199999999</v>
      </c>
      <c r="O254" s="659">
        <v>3906.5724199999995</v>
      </c>
      <c r="P254" s="659">
        <v>1946.5150999999998</v>
      </c>
      <c r="Q254" s="659">
        <v>1960.0573199999997</v>
      </c>
      <c r="R254" s="672" t="e">
        <f>SUM(D254:N254)</f>
        <v>#DIV/0!</v>
      </c>
    </row>
    <row r="255" spans="1:18" s="136" customFormat="1">
      <c r="A255" s="152"/>
      <c r="B255" s="144"/>
      <c r="C255" s="141"/>
      <c r="D255" s="659"/>
      <c r="E255" s="659"/>
      <c r="F255" s="659"/>
      <c r="G255" s="659"/>
      <c r="H255" s="659"/>
      <c r="I255" s="659"/>
      <c r="J255" s="659"/>
      <c r="K255" s="659"/>
      <c r="L255" s="659"/>
      <c r="M255" s="659"/>
      <c r="N255" s="659"/>
      <c r="O255" s="659"/>
      <c r="P255" s="659"/>
      <c r="Q255" s="659"/>
    </row>
    <row r="256" spans="1:18" s="136" customFormat="1">
      <c r="A256" s="152" t="s">
        <v>303</v>
      </c>
      <c r="B256" s="144" t="s">
        <v>948</v>
      </c>
      <c r="C256" s="141" t="s">
        <v>826</v>
      </c>
      <c r="D256" s="659">
        <f>D193+D236</f>
        <v>798114.68177386676</v>
      </c>
      <c r="E256" s="659">
        <f t="shared" ref="E256:G256" si="46">E193+E236</f>
        <v>745750.77094999992</v>
      </c>
      <c r="F256" s="659">
        <v>827083.22594859719</v>
      </c>
      <c r="G256" s="659">
        <v>820511.83115114667</v>
      </c>
      <c r="H256" s="659">
        <v>845707.96198779368</v>
      </c>
      <c r="I256" s="659">
        <v>791710.72252619755</v>
      </c>
      <c r="J256" s="659" t="e">
        <v>#DIV/0!</v>
      </c>
      <c r="K256" s="659">
        <v>922221.98336478905</v>
      </c>
      <c r="L256" s="659">
        <v>940898.01732465264</v>
      </c>
      <c r="M256" s="659">
        <v>563451.80582552869</v>
      </c>
      <c r="N256" s="659">
        <v>377446.21149912395</v>
      </c>
      <c r="O256" s="659">
        <v>969831.47159815882</v>
      </c>
      <c r="P256" s="659">
        <v>581155.10307211999</v>
      </c>
      <c r="Q256" s="659">
        <v>388676.36852603883</v>
      </c>
    </row>
    <row r="257" spans="1:18" s="136" customFormat="1" ht="18.75" customHeight="1">
      <c r="A257" s="650" t="s">
        <v>304</v>
      </c>
      <c r="B257" s="646" t="s">
        <v>832</v>
      </c>
      <c r="C257" s="643" t="s">
        <v>306</v>
      </c>
      <c r="D257" s="733">
        <f t="shared" ref="D257:N257" si="47">ROUND(D246/D104,2)</f>
        <v>5002.6899999999996</v>
      </c>
      <c r="E257" s="733">
        <f t="shared" si="47"/>
        <v>4812.38</v>
      </c>
      <c r="F257" s="733">
        <v>5206.0600000000004</v>
      </c>
      <c r="G257" s="733">
        <v>5085.1099999999997</v>
      </c>
      <c r="H257" s="733">
        <v>5384.2</v>
      </c>
      <c r="I257" s="733">
        <v>5272.22</v>
      </c>
      <c r="J257" s="733" t="e">
        <v>#DIV/0!</v>
      </c>
      <c r="K257" s="733">
        <v>5854.56</v>
      </c>
      <c r="L257" s="733">
        <v>6073.84</v>
      </c>
      <c r="M257" s="733">
        <v>6073.13</v>
      </c>
      <c r="N257" s="733">
        <v>6074.67</v>
      </c>
      <c r="O257" s="733">
        <v>6259.98</v>
      </c>
      <c r="P257" s="733">
        <v>6263.5</v>
      </c>
      <c r="Q257" s="733">
        <v>6255.92</v>
      </c>
      <c r="R257" s="672">
        <f>(G257-F257)*R75/1000</f>
        <v>-18743.194399425509</v>
      </c>
    </row>
    <row r="258" spans="1:18" s="136" customFormat="1">
      <c r="A258" s="152" t="s">
        <v>307</v>
      </c>
      <c r="B258" s="634" t="s">
        <v>1207</v>
      </c>
      <c r="C258" s="141" t="s">
        <v>306</v>
      </c>
      <c r="D258" s="652"/>
      <c r="E258" s="652"/>
      <c r="F258" s="652"/>
      <c r="G258" s="652"/>
      <c r="H258" s="652"/>
      <c r="I258" s="652"/>
      <c r="J258" s="652"/>
      <c r="K258" s="652"/>
      <c r="L258" s="652"/>
      <c r="M258" s="652"/>
      <c r="N258" s="652"/>
      <c r="O258" s="652"/>
      <c r="P258" s="652"/>
      <c r="Q258" s="652"/>
    </row>
    <row r="259" spans="1:18" s="136" customFormat="1" hidden="1">
      <c r="A259" s="152"/>
      <c r="B259" s="144"/>
      <c r="C259" s="141"/>
      <c r="D259" s="652"/>
      <c r="E259" s="652"/>
      <c r="F259" s="652"/>
      <c r="G259" s="662"/>
      <c r="H259" s="662"/>
      <c r="I259" s="662"/>
      <c r="J259" s="662"/>
      <c r="K259" s="662"/>
      <c r="L259" s="662"/>
      <c r="M259" s="662"/>
      <c r="N259" s="662"/>
      <c r="O259" s="662"/>
      <c r="P259" s="662"/>
      <c r="Q259" s="662"/>
    </row>
    <row r="260" spans="1:18" s="136" customFormat="1">
      <c r="A260" s="152" t="s">
        <v>308</v>
      </c>
      <c r="B260" s="634" t="s">
        <v>810</v>
      </c>
      <c r="C260" s="141" t="s">
        <v>306</v>
      </c>
      <c r="D260" s="652">
        <f>ROUND(D249/D107,2)+0.01</f>
        <v>11425.31</v>
      </c>
      <c r="E260" s="652">
        <f>ROUND(E249/E107,2)</f>
        <v>11136.81</v>
      </c>
      <c r="F260" s="652">
        <v>11899.910000000002</v>
      </c>
      <c r="G260" s="652">
        <v>11539.49</v>
      </c>
      <c r="H260" s="652">
        <v>12162.65</v>
      </c>
      <c r="I260" s="652">
        <v>11823.758848612892</v>
      </c>
      <c r="J260" s="652" t="e">
        <v>#DIV/0!</v>
      </c>
      <c r="K260" s="652">
        <v>12061.065693430655</v>
      </c>
      <c r="L260" s="652">
        <v>12773.84</v>
      </c>
      <c r="M260" s="652">
        <v>12715.41</v>
      </c>
      <c r="N260" s="652">
        <v>12890.9</v>
      </c>
      <c r="O260" s="652">
        <v>13201.97</v>
      </c>
      <c r="P260" s="652">
        <v>13176.64</v>
      </c>
      <c r="Q260" s="652">
        <v>13252.73</v>
      </c>
    </row>
    <row r="261" spans="1:18" s="136" customFormat="1">
      <c r="A261" s="152" t="s">
        <v>309</v>
      </c>
      <c r="B261" s="634" t="s">
        <v>811</v>
      </c>
      <c r="C261" s="141" t="s">
        <v>306</v>
      </c>
      <c r="D261" s="652">
        <f t="shared" ref="D261" si="48">ROUND(D250/D111,2)</f>
        <v>4904.76</v>
      </c>
      <c r="E261" s="652">
        <f t="shared" ref="E261:N261" si="49">ROUND(E250/E111,2)</f>
        <v>4730.6400000000003</v>
      </c>
      <c r="F261" s="652">
        <v>5101.37</v>
      </c>
      <c r="G261" s="652">
        <v>5060.1099999999997</v>
      </c>
      <c r="H261" s="652">
        <v>5279.51</v>
      </c>
      <c r="I261" s="652">
        <v>5241.51</v>
      </c>
      <c r="J261" s="652" t="e">
        <v>#DIV/0!</v>
      </c>
      <c r="K261" s="652">
        <v>5541.68</v>
      </c>
      <c r="L261" s="652">
        <v>5741.74</v>
      </c>
      <c r="M261" s="652">
        <v>5660.18</v>
      </c>
      <c r="N261" s="652">
        <v>5833.41</v>
      </c>
      <c r="O261" s="652">
        <v>5915.6</v>
      </c>
      <c r="P261" s="652">
        <v>5833.42</v>
      </c>
      <c r="Q261" s="652">
        <v>6007.96</v>
      </c>
    </row>
    <row r="262" spans="1:18" s="136" customFormat="1">
      <c r="A262" s="152" t="s">
        <v>310</v>
      </c>
      <c r="B262" s="154" t="s">
        <v>812</v>
      </c>
      <c r="C262" s="141" t="s">
        <v>306</v>
      </c>
      <c r="D262" s="652"/>
      <c r="E262" s="652"/>
      <c r="F262" s="652"/>
      <c r="G262" s="662"/>
      <c r="H262" s="662"/>
      <c r="I262" s="662"/>
      <c r="J262" s="662"/>
      <c r="K262" s="662"/>
      <c r="L262" s="662"/>
      <c r="M262" s="662"/>
      <c r="N262" s="662"/>
      <c r="O262" s="662"/>
      <c r="P262" s="662"/>
      <c r="Q262" s="662"/>
    </row>
    <row r="263" spans="1:18" s="136" customFormat="1">
      <c r="A263" s="152" t="s">
        <v>311</v>
      </c>
      <c r="B263" s="154" t="s">
        <v>813</v>
      </c>
      <c r="C263" s="141" t="s">
        <v>306</v>
      </c>
      <c r="D263" s="652"/>
      <c r="E263" s="652"/>
      <c r="F263" s="652"/>
      <c r="G263" s="662"/>
      <c r="H263" s="662"/>
      <c r="I263" s="662"/>
      <c r="J263" s="662"/>
      <c r="K263" s="662"/>
      <c r="L263" s="662"/>
      <c r="M263" s="662"/>
      <c r="N263" s="662"/>
      <c r="O263" s="662"/>
      <c r="P263" s="662"/>
      <c r="Q263" s="662"/>
    </row>
    <row r="264" spans="1:18" s="136" customFormat="1">
      <c r="A264" s="152" t="s">
        <v>312</v>
      </c>
      <c r="B264" s="154" t="s">
        <v>814</v>
      </c>
      <c r="C264" s="141" t="s">
        <v>306</v>
      </c>
      <c r="D264" s="652"/>
      <c r="E264" s="652"/>
      <c r="F264" s="652"/>
      <c r="G264" s="662"/>
      <c r="H264" s="662"/>
      <c r="I264" s="662"/>
      <c r="J264" s="662"/>
      <c r="K264" s="662"/>
      <c r="L264" s="662"/>
      <c r="M264" s="662"/>
      <c r="N264" s="662"/>
      <c r="O264" s="662"/>
      <c r="P264" s="662"/>
      <c r="Q264" s="662"/>
    </row>
    <row r="265" spans="1:18" s="136" customFormat="1">
      <c r="A265" s="152" t="s">
        <v>313</v>
      </c>
      <c r="B265" s="636" t="s">
        <v>1216</v>
      </c>
      <c r="C265" s="141" t="s">
        <v>306</v>
      </c>
      <c r="D265" s="652">
        <f>ROUND(D254/D118,2)-1.64</f>
        <v>16998.66</v>
      </c>
      <c r="E265" s="652">
        <f t="shared" ref="E265:N265" si="50">ROUND(E254/E118,2)</f>
        <v>17788.45</v>
      </c>
      <c r="F265" s="652">
        <v>19189.099999999999</v>
      </c>
      <c r="G265" s="652">
        <v>18186.739999999998</v>
      </c>
      <c r="H265" s="652">
        <v>19737.53</v>
      </c>
      <c r="I265" s="652">
        <v>20575.092078370384</v>
      </c>
      <c r="J265" s="652" t="e">
        <v>#DIV/0!</v>
      </c>
      <c r="K265" s="652">
        <v>22455.131034482758</v>
      </c>
      <c r="L265" s="652">
        <v>23936.09</v>
      </c>
      <c r="M265" s="652">
        <v>23541.68</v>
      </c>
      <c r="N265" s="652">
        <v>24322.53</v>
      </c>
      <c r="O265" s="652">
        <v>25533.15</v>
      </c>
      <c r="P265" s="652">
        <v>25279.42</v>
      </c>
      <c r="Q265" s="652">
        <v>25790.23</v>
      </c>
    </row>
    <row r="266" spans="1:18" s="136" customFormat="1">
      <c r="A266" s="152"/>
      <c r="B266" s="144"/>
      <c r="C266" s="141"/>
      <c r="D266" s="661"/>
      <c r="E266" s="661"/>
      <c r="F266" s="661"/>
      <c r="G266" s="661"/>
      <c r="H266" s="661"/>
      <c r="I266" s="661"/>
      <c r="J266" s="661"/>
      <c r="K266" s="661"/>
      <c r="L266" s="661"/>
      <c r="M266" s="661"/>
      <c r="N266" s="661"/>
      <c r="O266" s="661"/>
      <c r="P266" s="661"/>
      <c r="Q266" s="661"/>
    </row>
    <row r="267" spans="1:18" s="136" customFormat="1">
      <c r="A267" s="152" t="s">
        <v>314</v>
      </c>
      <c r="B267" s="144" t="s">
        <v>140</v>
      </c>
      <c r="C267" s="141" t="s">
        <v>306</v>
      </c>
      <c r="D267" s="734">
        <f>ROUND(D256/D120,2)</f>
        <v>4966.03</v>
      </c>
      <c r="E267" s="734">
        <f t="shared" ref="E267:N267" si="51">ROUND(E256/E120,2)</f>
        <v>4753.2700000000004</v>
      </c>
      <c r="F267" s="734">
        <v>5206.6499999999996</v>
      </c>
      <c r="G267" s="734">
        <v>5279.73</v>
      </c>
      <c r="H267" s="734">
        <v>5358.47</v>
      </c>
      <c r="I267" s="734">
        <v>5245.38</v>
      </c>
      <c r="J267" s="734" t="e">
        <v>#DIV/0!</v>
      </c>
      <c r="K267" s="734">
        <v>6064.66</v>
      </c>
      <c r="L267" s="734">
        <v>6146.13</v>
      </c>
      <c r="M267" s="734">
        <v>6149.27</v>
      </c>
      <c r="N267" s="734">
        <v>6141.43</v>
      </c>
      <c r="O267" s="734">
        <v>6335.12</v>
      </c>
      <c r="P267" s="734">
        <v>6342.48</v>
      </c>
      <c r="Q267" s="734">
        <v>6324.16</v>
      </c>
    </row>
    <row r="268" spans="1:18" s="136" customFormat="1" ht="17.25" customHeight="1">
      <c r="A268" s="650" t="s">
        <v>315</v>
      </c>
      <c r="B268" s="646" t="s">
        <v>316</v>
      </c>
      <c r="C268" s="643" t="s">
        <v>231</v>
      </c>
      <c r="D268" s="637"/>
      <c r="E268" s="637"/>
      <c r="F268" s="637"/>
      <c r="G268" s="637"/>
      <c r="H268" s="637"/>
      <c r="I268" s="637"/>
      <c r="J268" s="637"/>
      <c r="K268" s="637"/>
      <c r="L268" s="637"/>
      <c r="M268" s="637"/>
      <c r="N268" s="637"/>
      <c r="O268" s="637"/>
      <c r="P268" s="637"/>
      <c r="Q268" s="637"/>
    </row>
    <row r="269" spans="1:18" s="136" customFormat="1">
      <c r="A269" s="152" t="s">
        <v>317</v>
      </c>
      <c r="B269" s="634" t="s">
        <v>1207</v>
      </c>
      <c r="C269" s="141" t="s">
        <v>231</v>
      </c>
      <c r="D269" s="652">
        <f>D164+D219</f>
        <v>0</v>
      </c>
      <c r="E269" s="652">
        <f>E164+E219</f>
        <v>0</v>
      </c>
      <c r="F269" s="652">
        <v>0</v>
      </c>
      <c r="G269" s="652">
        <v>0</v>
      </c>
      <c r="H269" s="652">
        <v>0</v>
      </c>
      <c r="I269" s="652">
        <v>0</v>
      </c>
      <c r="J269" s="652">
        <v>0</v>
      </c>
      <c r="K269" s="652">
        <v>0</v>
      </c>
      <c r="L269" s="652">
        <v>0</v>
      </c>
      <c r="M269" s="652">
        <v>0</v>
      </c>
      <c r="N269" s="652">
        <v>0</v>
      </c>
      <c r="O269" s="652">
        <v>0</v>
      </c>
      <c r="P269" s="652">
        <v>0</v>
      </c>
      <c r="Q269" s="652">
        <v>0</v>
      </c>
    </row>
    <row r="270" spans="1:18" s="136" customFormat="1" hidden="1">
      <c r="A270" s="152"/>
      <c r="B270" s="144"/>
      <c r="C270" s="141"/>
      <c r="D270" s="652"/>
      <c r="E270" s="652"/>
      <c r="F270" s="652"/>
      <c r="G270" s="652"/>
      <c r="H270" s="652"/>
      <c r="I270" s="652"/>
      <c r="J270" s="652"/>
      <c r="K270" s="652"/>
      <c r="L270" s="652"/>
      <c r="M270" s="652"/>
      <c r="N270" s="652"/>
      <c r="O270" s="652"/>
      <c r="P270" s="652"/>
      <c r="Q270" s="652"/>
    </row>
    <row r="271" spans="1:18" s="136" customFormat="1" ht="12" customHeight="1">
      <c r="A271" s="152" t="s">
        <v>318</v>
      </c>
      <c r="B271" s="663" t="s">
        <v>810</v>
      </c>
      <c r="C271" s="141" t="s">
        <v>231</v>
      </c>
      <c r="D271" s="652">
        <f t="shared" ref="D271:M271" si="52">D166+D221</f>
        <v>15652.669125810649</v>
      </c>
      <c r="E271" s="652">
        <f t="shared" si="52"/>
        <v>15729.911816758027</v>
      </c>
      <c r="F271" s="652">
        <v>16302.877388895005</v>
      </c>
      <c r="G271" s="652">
        <v>16231.126093896715</v>
      </c>
      <c r="H271" s="652">
        <v>16660.336808944659</v>
      </c>
      <c r="I271" s="652">
        <v>16671.499976544175</v>
      </c>
      <c r="J271" s="652">
        <v>16399.787329865503</v>
      </c>
      <c r="K271" s="652">
        <v>16523.66</v>
      </c>
      <c r="L271" s="652">
        <v>17500.568272506083</v>
      </c>
      <c r="M271" s="652">
        <v>17420.240000000002</v>
      </c>
      <c r="N271" s="652">
        <v>17661.53</v>
      </c>
      <c r="O271" s="652">
        <v>18087.125725871858</v>
      </c>
      <c r="P271" s="652">
        <v>18052.13</v>
      </c>
      <c r="Q271" s="652">
        <v>18157.25</v>
      </c>
    </row>
    <row r="272" spans="1:18" s="136" customFormat="1" ht="14.25" customHeight="1">
      <c r="A272" s="152" t="s">
        <v>319</v>
      </c>
      <c r="B272" s="663" t="s">
        <v>811</v>
      </c>
      <c r="C272" s="141" t="s">
        <v>825</v>
      </c>
      <c r="D272" s="652">
        <f t="shared" ref="D272:N272" si="53">D170+D222</f>
        <v>5537.46805715336</v>
      </c>
      <c r="E272" s="652">
        <f t="shared" si="53"/>
        <v>5700.66</v>
      </c>
      <c r="F272" s="652">
        <v>5757.2600000000011</v>
      </c>
      <c r="G272" s="652">
        <v>6106.11</v>
      </c>
      <c r="H272" s="652">
        <v>5958.28</v>
      </c>
      <c r="I272" s="652">
        <v>6312.7929121207189</v>
      </c>
      <c r="J272" s="652">
        <v>6257.6788969008103</v>
      </c>
      <c r="K272" s="652">
        <v>6256.56</v>
      </c>
      <c r="L272" s="652">
        <v>6482.4310719968835</v>
      </c>
      <c r="M272" s="652">
        <v>6390.34</v>
      </c>
      <c r="N272" s="652">
        <v>6585.93</v>
      </c>
      <c r="O272" s="652">
        <v>6678.7175656805121</v>
      </c>
      <c r="P272" s="652">
        <v>6585.93</v>
      </c>
      <c r="Q272" s="652">
        <v>6783</v>
      </c>
    </row>
    <row r="273" spans="1:66" s="136" customFormat="1" ht="15" customHeight="1">
      <c r="A273" s="152" t="s">
        <v>320</v>
      </c>
      <c r="B273" s="655" t="s">
        <v>812</v>
      </c>
      <c r="C273" s="146" t="s">
        <v>825</v>
      </c>
      <c r="D273" s="652"/>
      <c r="E273" s="652"/>
      <c r="F273" s="652"/>
      <c r="G273" s="652"/>
      <c r="H273" s="652"/>
      <c r="I273" s="652"/>
      <c r="J273" s="652"/>
      <c r="K273" s="652"/>
      <c r="L273" s="652"/>
      <c r="M273" s="652"/>
      <c r="N273" s="652"/>
      <c r="O273" s="652"/>
      <c r="P273" s="652"/>
      <c r="Q273" s="652"/>
    </row>
    <row r="274" spans="1:66" s="136" customFormat="1" ht="13.5" customHeight="1">
      <c r="A274" s="152" t="s">
        <v>321</v>
      </c>
      <c r="B274" s="655" t="s">
        <v>813</v>
      </c>
      <c r="C274" s="146" t="s">
        <v>825</v>
      </c>
      <c r="D274" s="652"/>
      <c r="E274" s="652"/>
      <c r="F274" s="652"/>
      <c r="G274" s="652"/>
      <c r="H274" s="652"/>
      <c r="I274" s="652"/>
      <c r="J274" s="652"/>
      <c r="K274" s="652"/>
      <c r="L274" s="652"/>
      <c r="M274" s="652"/>
      <c r="N274" s="652"/>
      <c r="O274" s="652"/>
      <c r="P274" s="652"/>
      <c r="Q274" s="652"/>
    </row>
    <row r="275" spans="1:66" s="136" customFormat="1" ht="13.5" customHeight="1">
      <c r="A275" s="152" t="s">
        <v>322</v>
      </c>
      <c r="B275" s="655" t="s">
        <v>814</v>
      </c>
      <c r="C275" s="146" t="s">
        <v>825</v>
      </c>
      <c r="D275" s="652"/>
      <c r="E275" s="652"/>
      <c r="F275" s="652"/>
      <c r="G275" s="652"/>
      <c r="H275" s="652"/>
      <c r="I275" s="652"/>
      <c r="J275" s="652"/>
      <c r="K275" s="652"/>
      <c r="L275" s="652"/>
      <c r="M275" s="652"/>
      <c r="N275" s="652"/>
      <c r="O275" s="652"/>
      <c r="P275" s="652"/>
      <c r="Q275" s="652"/>
    </row>
    <row r="276" spans="1:66" s="136" customFormat="1" ht="12" customHeight="1">
      <c r="A276" s="152" t="s">
        <v>323</v>
      </c>
      <c r="B276" s="664" t="s">
        <v>1206</v>
      </c>
      <c r="C276" s="141" t="s">
        <v>231</v>
      </c>
      <c r="D276" s="652">
        <f>D177+D226</f>
        <v>24648.059979363683</v>
      </c>
      <c r="E276" s="652">
        <f t="shared" ref="E276:N276" si="54">E177+E226</f>
        <v>25552.005293538692</v>
      </c>
      <c r="F276" s="652">
        <v>27824.148619385032</v>
      </c>
      <c r="G276" s="652">
        <v>26332.44</v>
      </c>
      <c r="H276" s="652">
        <v>28462.258825052832</v>
      </c>
      <c r="I276" s="652">
        <v>29833.883513637054</v>
      </c>
      <c r="J276" s="652">
        <v>31554.444097072028</v>
      </c>
      <c r="K276" s="652">
        <v>32559.94</v>
      </c>
      <c r="L276" s="652">
        <v>34876.190476190481</v>
      </c>
      <c r="M276" s="652">
        <v>34202.07</v>
      </c>
      <c r="N276" s="652">
        <v>35548.31</v>
      </c>
      <c r="O276" s="652">
        <v>37209.523809523809</v>
      </c>
      <c r="P276" s="652">
        <v>36726.699999999997</v>
      </c>
      <c r="Q276" s="652">
        <v>37693.409999999996</v>
      </c>
    </row>
    <row r="277" spans="1:66" s="136" customFormat="1" ht="17.25" customHeight="1">
      <c r="A277" s="650" t="s">
        <v>324</v>
      </c>
      <c r="B277" s="646" t="s">
        <v>325</v>
      </c>
      <c r="C277" s="643" t="s">
        <v>326</v>
      </c>
      <c r="D277" s="665"/>
      <c r="E277" s="665"/>
      <c r="F277" s="665"/>
      <c r="G277" s="665"/>
      <c r="H277" s="665"/>
      <c r="I277" s="665"/>
      <c r="J277" s="665"/>
      <c r="K277" s="665"/>
      <c r="L277" s="665"/>
      <c r="M277" s="665"/>
      <c r="N277" s="665"/>
      <c r="O277" s="665"/>
      <c r="P277" s="665"/>
      <c r="Q277" s="665"/>
    </row>
    <row r="278" spans="1:66" s="136" customFormat="1">
      <c r="A278" s="156"/>
      <c r="B278" s="157"/>
      <c r="C278" s="158"/>
    </row>
    <row r="279" spans="1:66" s="136" customFormat="1">
      <c r="A279" s="156"/>
      <c r="B279" s="157"/>
      <c r="C279" s="158"/>
    </row>
    <row r="280" spans="1:66" s="136" customFormat="1" ht="15.75">
      <c r="A280" s="1885"/>
      <c r="B280" s="1886"/>
      <c r="C280" s="1886"/>
      <c r="D280" s="1886"/>
      <c r="E280" s="1886"/>
      <c r="F280" s="1886"/>
      <c r="G280" s="1886"/>
      <c r="H280" s="1886"/>
      <c r="I280" s="1886"/>
      <c r="J280" s="1886"/>
      <c r="K280" s="1886"/>
      <c r="L280" s="1886"/>
      <c r="M280" s="1886"/>
      <c r="N280" s="439"/>
      <c r="O280" s="1635"/>
      <c r="P280" s="1635"/>
      <c r="Q280" s="1635"/>
      <c r="R280" s="439"/>
      <c r="S280" s="439"/>
      <c r="T280" s="439"/>
      <c r="U280" s="439"/>
      <c r="V280" s="439"/>
    </row>
    <row r="281" spans="1:66" s="136" customFormat="1" ht="15.75" customHeight="1">
      <c r="A281" s="156"/>
      <c r="B281" s="157"/>
      <c r="C281" s="158"/>
    </row>
    <row r="282" spans="1:66" s="136" customFormat="1">
      <c r="A282" s="156"/>
      <c r="B282" s="157"/>
      <c r="C282" s="158"/>
    </row>
    <row r="283" spans="1:66" s="136" customFormat="1" ht="18.75" hidden="1">
      <c r="A283" s="156"/>
      <c r="B283" s="159" t="s">
        <v>833</v>
      </c>
      <c r="C283" s="158"/>
      <c r="E283" s="159" t="s">
        <v>834</v>
      </c>
      <c r="F283" s="159"/>
      <c r="G283" s="159"/>
      <c r="H283" s="159"/>
      <c r="I283" s="159"/>
      <c r="J283" s="159"/>
      <c r="K283" s="159"/>
    </row>
    <row r="284" spans="1:66" s="136" customFormat="1">
      <c r="A284" s="156"/>
      <c r="B284" s="157"/>
      <c r="C284" s="158"/>
    </row>
    <row r="285" spans="1:66" s="136" customFormat="1">
      <c r="A285" s="156"/>
      <c r="B285" s="157"/>
      <c r="C285" s="158"/>
    </row>
    <row r="286" spans="1:66" s="136" customFormat="1">
      <c r="A286" s="126"/>
      <c r="B286" s="160"/>
      <c r="C286" s="161"/>
    </row>
    <row r="287" spans="1:66" s="162" customFormat="1" ht="18.75">
      <c r="C287" s="159"/>
      <c r="D287" s="163"/>
      <c r="E287" s="163"/>
      <c r="F287" s="163"/>
      <c r="G287" s="163"/>
      <c r="H287" s="163"/>
      <c r="I287" s="163"/>
      <c r="J287" s="163"/>
      <c r="K287" s="163"/>
      <c r="L287" s="163"/>
      <c r="M287" s="163"/>
      <c r="N287" s="163"/>
      <c r="O287" s="163"/>
      <c r="P287" s="163"/>
      <c r="Q287" s="163"/>
      <c r="R287" s="163"/>
      <c r="S287" s="163"/>
      <c r="T287" s="163"/>
      <c r="U287" s="163"/>
      <c r="V287" s="163"/>
      <c r="W287" s="163"/>
      <c r="X287" s="163"/>
      <c r="Y287" s="163"/>
      <c r="Z287" s="163"/>
      <c r="AA287" s="163"/>
      <c r="AB287" s="163"/>
      <c r="AC287" s="163"/>
      <c r="AD287" s="164"/>
      <c r="AE287" s="164"/>
      <c r="AG287" s="165"/>
      <c r="AH287" s="165"/>
      <c r="AI287" s="165"/>
      <c r="AJ287" s="165"/>
      <c r="AK287" s="165"/>
      <c r="AL287" s="165"/>
      <c r="AM287" s="165"/>
      <c r="AN287" s="165"/>
      <c r="AO287" s="165"/>
      <c r="AP287" s="165"/>
      <c r="AQ287" s="165"/>
      <c r="AR287" s="165"/>
      <c r="AS287" s="165"/>
      <c r="AT287" s="165"/>
      <c r="AU287" s="165"/>
      <c r="AV287" s="165"/>
      <c r="AW287" s="165"/>
      <c r="AX287" s="165"/>
      <c r="AY287" s="165"/>
      <c r="AZ287" s="165"/>
      <c r="BA287" s="165"/>
      <c r="BB287" s="165"/>
      <c r="BC287" s="165"/>
      <c r="BD287" s="165"/>
      <c r="BE287" s="165"/>
      <c r="BF287" s="165"/>
      <c r="BG287" s="165"/>
      <c r="BH287" s="165"/>
      <c r="BI287" s="165"/>
      <c r="BJ287" s="165"/>
      <c r="BK287" s="165"/>
      <c r="BL287" s="165"/>
      <c r="BN287" s="165"/>
    </row>
    <row r="288" spans="1:66" s="136" customFormat="1" ht="18.75">
      <c r="A288" s="166"/>
      <c r="C288" s="161"/>
    </row>
    <row r="289" spans="1:3" s="159" customFormat="1" ht="18.75">
      <c r="A289" s="167"/>
      <c r="C289" s="166"/>
    </row>
    <row r="290" spans="1:3" s="125" customFormat="1" ht="15">
      <c r="A290" s="126"/>
      <c r="B290" s="168"/>
      <c r="C290" s="124"/>
    </row>
  </sheetData>
  <mergeCells count="19">
    <mergeCell ref="A280:M280"/>
    <mergeCell ref="A3:L3"/>
    <mergeCell ref="A5:A6"/>
    <mergeCell ref="B5:B6"/>
    <mergeCell ref="C5:C6"/>
    <mergeCell ref="D5:D6"/>
    <mergeCell ref="E5:E6"/>
    <mergeCell ref="F5:F6"/>
    <mergeCell ref="G5:G6"/>
    <mergeCell ref="L5:L6"/>
    <mergeCell ref="I5:I6"/>
    <mergeCell ref="H5:H6"/>
    <mergeCell ref="J5:J6"/>
    <mergeCell ref="K5:K6"/>
    <mergeCell ref="O5:O6"/>
    <mergeCell ref="P5:Q5"/>
    <mergeCell ref="P2:Q2"/>
    <mergeCell ref="R164:R177"/>
    <mergeCell ref="M5:N5"/>
  </mergeCells>
  <pageMargins left="0.70866141732283472" right="0.70866141732283472" top="0.74803149606299213" bottom="0.74803149606299213" header="0.31496062992125984" footer="0.31496062992125984"/>
  <pageSetup paperSize="9" scale="44" orientation="portrait" r:id="rId1"/>
  <rowBreaks count="1" manualBreakCount="1">
    <brk id="129" max="16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FF"/>
    <pageSetUpPr fitToPage="1"/>
  </sheetPr>
  <dimension ref="A1:O45"/>
  <sheetViews>
    <sheetView showGridLines="0" tabSelected="1" view="pageBreakPreview" zoomScale="84" zoomScaleNormal="100" zoomScaleSheetLayoutView="84" workbookViewId="0">
      <pane xSplit="3" ySplit="7" topLeftCell="D8" activePane="bottomRight" state="frozen"/>
      <selection pane="topRight" activeCell="H1" sqref="H1"/>
      <selection pane="bottomLeft" activeCell="A8" sqref="A8"/>
      <selection pane="bottomRight" activeCell="Q3" sqref="Q3"/>
    </sheetView>
  </sheetViews>
  <sheetFormatPr defaultColWidth="8" defaultRowHeight="15"/>
  <cols>
    <col min="1" max="1" width="7.42578125" style="350" customWidth="1"/>
    <col min="2" max="2" width="38.28515625" style="352" customWidth="1"/>
    <col min="3" max="3" width="11.140625" style="351" customWidth="1"/>
    <col min="4" max="6" width="10.28515625" style="350" customWidth="1"/>
    <col min="7" max="7" width="11.28515625" style="350" customWidth="1"/>
    <col min="8" max="8" width="10" style="350" customWidth="1"/>
    <col min="9" max="9" width="17" style="350" customWidth="1"/>
    <col min="10" max="10" width="13.28515625" style="350" customWidth="1"/>
    <col min="11" max="11" width="11" style="350" customWidth="1"/>
    <col min="12" max="12" width="10.7109375" style="350" customWidth="1"/>
    <col min="13" max="13" width="12.7109375" style="350" customWidth="1"/>
    <col min="14" max="14" width="10.5703125" style="350" customWidth="1"/>
    <col min="15" max="15" width="11" style="350" customWidth="1"/>
    <col min="16" max="16384" width="8" style="350"/>
  </cols>
  <sheetData>
    <row r="1" spans="1:15" ht="15" customHeight="1">
      <c r="A1" s="74" t="s">
        <v>1860</v>
      </c>
      <c r="B1" s="362"/>
      <c r="C1" s="361"/>
      <c r="D1" s="355"/>
      <c r="E1" s="355"/>
      <c r="F1" s="355"/>
      <c r="G1" s="355"/>
      <c r="H1" s="355"/>
      <c r="I1" s="355"/>
      <c r="J1" s="355"/>
      <c r="K1" s="355"/>
      <c r="L1" s="355"/>
    </row>
    <row r="2" spans="1:15">
      <c r="A2" s="105" t="str">
        <f>'3.1'!$A$2</f>
        <v>ПКГО - Комбинированная выработка КТЭЦ</v>
      </c>
      <c r="B2" s="362"/>
      <c r="C2" s="361"/>
      <c r="D2" s="355"/>
      <c r="E2" s="355"/>
      <c r="F2" s="355"/>
      <c r="G2" s="355"/>
      <c r="H2" s="355"/>
      <c r="I2" s="355"/>
      <c r="J2" s="382"/>
      <c r="K2" s="355"/>
      <c r="L2" s="532"/>
      <c r="O2" s="532" t="s">
        <v>1017</v>
      </c>
    </row>
    <row r="3" spans="1:15" ht="16.5" customHeight="1">
      <c r="B3" s="382"/>
      <c r="C3" s="382"/>
      <c r="D3" s="355"/>
      <c r="E3" s="355"/>
      <c r="F3" s="355"/>
      <c r="G3" s="355"/>
      <c r="H3" s="355"/>
      <c r="I3" s="355"/>
      <c r="J3" s="355"/>
      <c r="K3" s="355"/>
      <c r="L3" s="355"/>
    </row>
    <row r="4" spans="1:15" ht="16.5" customHeight="1">
      <c r="A4" s="381"/>
      <c r="B4" s="1822" t="s">
        <v>1016</v>
      </c>
      <c r="C4" s="1822"/>
      <c r="D4" s="1822"/>
      <c r="E4" s="1822"/>
      <c r="F4" s="1822"/>
      <c r="G4" s="1822"/>
      <c r="H4" s="1570"/>
      <c r="I4" s="1618"/>
      <c r="J4" s="380"/>
      <c r="K4" s="380"/>
      <c r="L4" s="355"/>
    </row>
    <row r="5" spans="1:15">
      <c r="A5" s="379"/>
      <c r="B5" s="378"/>
      <c r="C5" s="378"/>
      <c r="D5" s="355"/>
      <c r="E5" s="355"/>
      <c r="F5" s="355"/>
      <c r="G5" s="355"/>
      <c r="H5" s="355"/>
      <c r="I5" s="355"/>
      <c r="J5" s="355"/>
      <c r="K5" s="355"/>
      <c r="L5" s="355"/>
    </row>
    <row r="6" spans="1:15" s="377" customFormat="1" ht="28.5" customHeight="1">
      <c r="A6" s="1816" t="s">
        <v>789</v>
      </c>
      <c r="B6" s="1818" t="s">
        <v>1</v>
      </c>
      <c r="C6" s="1818" t="s">
        <v>2</v>
      </c>
      <c r="D6" s="1820" t="s">
        <v>1133</v>
      </c>
      <c r="E6" s="1823" t="s">
        <v>1690</v>
      </c>
      <c r="F6" s="1820" t="s">
        <v>1717</v>
      </c>
      <c r="G6" s="1820" t="s">
        <v>1827</v>
      </c>
      <c r="H6" s="1820" t="s">
        <v>1879</v>
      </c>
      <c r="I6" s="1824" t="s">
        <v>1861</v>
      </c>
      <c r="J6" s="1824" t="s">
        <v>1862</v>
      </c>
      <c r="K6" s="1826" t="s">
        <v>791</v>
      </c>
      <c r="L6" s="1826"/>
      <c r="M6" s="1824" t="s">
        <v>1863</v>
      </c>
      <c r="N6" s="1826" t="s">
        <v>791</v>
      </c>
      <c r="O6" s="1826"/>
    </row>
    <row r="7" spans="1:15" s="377" customFormat="1" ht="39" customHeight="1">
      <c r="A7" s="1817"/>
      <c r="B7" s="1819"/>
      <c r="C7" s="1819"/>
      <c r="D7" s="1821"/>
      <c r="E7" s="1823"/>
      <c r="F7" s="1821"/>
      <c r="G7" s="1821"/>
      <c r="H7" s="1821"/>
      <c r="I7" s="1825"/>
      <c r="J7" s="1825"/>
      <c r="K7" s="1638" t="s">
        <v>792</v>
      </c>
      <c r="L7" s="1638" t="s">
        <v>793</v>
      </c>
      <c r="M7" s="1825"/>
      <c r="N7" s="1638" t="s">
        <v>792</v>
      </c>
      <c r="O7" s="1638" t="s">
        <v>793</v>
      </c>
    </row>
    <row r="8" spans="1:15">
      <c r="A8" s="1580">
        <v>1</v>
      </c>
      <c r="B8" s="1581">
        <v>2</v>
      </c>
      <c r="C8" s="1582">
        <v>3</v>
      </c>
      <c r="D8" s="1581">
        <v>4</v>
      </c>
      <c r="E8" s="1582">
        <v>5</v>
      </c>
      <c r="F8" s="1581">
        <v>6</v>
      </c>
      <c r="G8" s="1582">
        <v>7</v>
      </c>
      <c r="H8" s="1581">
        <v>8</v>
      </c>
      <c r="I8" s="1582">
        <v>9</v>
      </c>
      <c r="J8" s="1582">
        <v>10</v>
      </c>
      <c r="K8" s="1581">
        <v>11</v>
      </c>
      <c r="L8" s="1582">
        <v>12</v>
      </c>
      <c r="M8" s="1582">
        <v>13</v>
      </c>
      <c r="N8" s="1581">
        <v>14</v>
      </c>
      <c r="O8" s="1581">
        <v>15</v>
      </c>
    </row>
    <row r="9" spans="1:15" ht="30">
      <c r="A9" s="368" t="s">
        <v>4</v>
      </c>
      <c r="B9" s="372" t="s">
        <v>1015</v>
      </c>
      <c r="C9" s="366" t="s">
        <v>1010</v>
      </c>
      <c r="D9" s="735">
        <v>233.76952999999997</v>
      </c>
      <c r="E9" s="735">
        <f t="shared" ref="E9" si="0">E10+E16</f>
        <v>223.321</v>
      </c>
      <c r="F9" s="735"/>
      <c r="G9" s="1681">
        <v>204994.97</v>
      </c>
      <c r="H9" s="735"/>
      <c r="I9" s="1681">
        <v>204994.97</v>
      </c>
      <c r="J9" s="1681">
        <v>204994.97</v>
      </c>
      <c r="K9" s="1681">
        <v>204994.97</v>
      </c>
      <c r="L9" s="1681">
        <v>204994.97</v>
      </c>
      <c r="M9" s="1681">
        <v>204994.97</v>
      </c>
      <c r="N9" s="1681">
        <v>204994.97</v>
      </c>
      <c r="O9" s="1681">
        <v>204994.97</v>
      </c>
    </row>
    <row r="10" spans="1:15">
      <c r="A10" s="368" t="s">
        <v>5</v>
      </c>
      <c r="B10" s="376" t="s">
        <v>38</v>
      </c>
      <c r="C10" s="366" t="s">
        <v>1010</v>
      </c>
      <c r="D10" s="735">
        <v>102.76384000000002</v>
      </c>
      <c r="E10" s="735">
        <f>SUM(E11:E15)</f>
        <v>124.95699999999999</v>
      </c>
      <c r="F10" s="735"/>
      <c r="G10" s="1681">
        <v>108723.66</v>
      </c>
      <c r="H10" s="735"/>
      <c r="I10" s="1681">
        <v>108723.66</v>
      </c>
      <c r="J10" s="1681">
        <v>108723.66</v>
      </c>
      <c r="K10" s="1681">
        <v>108723.66</v>
      </c>
      <c r="L10" s="1681">
        <v>108723.66</v>
      </c>
      <c r="M10" s="1681">
        <v>108723.66</v>
      </c>
      <c r="N10" s="1681">
        <v>108723.66</v>
      </c>
      <c r="O10" s="1681">
        <v>108723.66</v>
      </c>
    </row>
    <row r="11" spans="1:15">
      <c r="A11" s="368" t="s">
        <v>6</v>
      </c>
      <c r="B11" s="369" t="s">
        <v>1014</v>
      </c>
      <c r="C11" s="366" t="s">
        <v>1010</v>
      </c>
      <c r="D11" s="735">
        <v>71.036000000000001</v>
      </c>
      <c r="E11" s="735">
        <v>98.888999999999996</v>
      </c>
      <c r="F11" s="735"/>
      <c r="G11" s="1681">
        <v>82079.88</v>
      </c>
      <c r="H11" s="533"/>
      <c r="I11" s="1681">
        <v>82079.88</v>
      </c>
      <c r="J11" s="1681">
        <v>82079.88</v>
      </c>
      <c r="K11" s="1681">
        <v>82079.88</v>
      </c>
      <c r="L11" s="1681">
        <v>82079.88</v>
      </c>
      <c r="M11" s="1681">
        <v>82079.88</v>
      </c>
      <c r="N11" s="1681">
        <v>82079.88</v>
      </c>
      <c r="O11" s="1681">
        <v>82079.88</v>
      </c>
    </row>
    <row r="12" spans="1:15">
      <c r="A12" s="368" t="s">
        <v>7</v>
      </c>
      <c r="B12" s="369" t="s">
        <v>1013</v>
      </c>
      <c r="C12" s="366" t="s">
        <v>1010</v>
      </c>
      <c r="D12" s="735">
        <v>10.914</v>
      </c>
      <c r="E12" s="735">
        <v>10.643000000000001</v>
      </c>
      <c r="F12" s="735"/>
      <c r="G12" s="1681">
        <v>10406.600000000002</v>
      </c>
      <c r="H12" s="533"/>
      <c r="I12" s="1681">
        <v>10406.600000000002</v>
      </c>
      <c r="J12" s="1681">
        <v>10406.600000000002</v>
      </c>
      <c r="K12" s="1681">
        <v>10406.600000000002</v>
      </c>
      <c r="L12" s="1681">
        <v>10406.600000000002</v>
      </c>
      <c r="M12" s="1681">
        <v>10406.600000000002</v>
      </c>
      <c r="N12" s="1681">
        <v>10406.600000000002</v>
      </c>
      <c r="O12" s="1681">
        <v>10406.600000000002</v>
      </c>
    </row>
    <row r="13" spans="1:15">
      <c r="A13" s="368" t="s">
        <v>8</v>
      </c>
      <c r="B13" s="369" t="s">
        <v>1012</v>
      </c>
      <c r="C13" s="366" t="s">
        <v>1010</v>
      </c>
      <c r="D13" s="735">
        <v>9.9118700000000004</v>
      </c>
      <c r="E13" s="735">
        <v>4.5419999999999998</v>
      </c>
      <c r="F13" s="735"/>
      <c r="G13" s="1681">
        <v>5256.31</v>
      </c>
      <c r="H13" s="533"/>
      <c r="I13" s="1681">
        <v>5256.31</v>
      </c>
      <c r="J13" s="1681">
        <v>5256.31</v>
      </c>
      <c r="K13" s="1681">
        <v>5256.31</v>
      </c>
      <c r="L13" s="1681">
        <v>5256.31</v>
      </c>
      <c r="M13" s="1681">
        <v>5256.31</v>
      </c>
      <c r="N13" s="1681">
        <v>5256.31</v>
      </c>
      <c r="O13" s="1681">
        <v>5256.31</v>
      </c>
    </row>
    <row r="14" spans="1:15">
      <c r="A14" s="368" t="s">
        <v>9</v>
      </c>
      <c r="B14" s="369" t="s">
        <v>1011</v>
      </c>
      <c r="C14" s="366" t="s">
        <v>1010</v>
      </c>
      <c r="D14" s="735">
        <v>2.8039700000000001</v>
      </c>
      <c r="E14" s="735">
        <v>2.8029999999999999</v>
      </c>
      <c r="F14" s="735"/>
      <c r="G14" s="1681">
        <v>2863.8700000000003</v>
      </c>
      <c r="H14" s="533"/>
      <c r="I14" s="1681">
        <v>2863.8700000000003</v>
      </c>
      <c r="J14" s="1681">
        <v>2863.8700000000003</v>
      </c>
      <c r="K14" s="1681">
        <v>2863.8700000000003</v>
      </c>
      <c r="L14" s="1681">
        <v>2863.8700000000003</v>
      </c>
      <c r="M14" s="1681">
        <v>2863.8700000000003</v>
      </c>
      <c r="N14" s="1681">
        <v>2863.8700000000003</v>
      </c>
      <c r="O14" s="1681">
        <v>2863.8700000000003</v>
      </c>
    </row>
    <row r="15" spans="1:15">
      <c r="A15" s="368" t="s">
        <v>10</v>
      </c>
      <c r="B15" s="369" t="s">
        <v>43</v>
      </c>
      <c r="C15" s="366" t="s">
        <v>1010</v>
      </c>
      <c r="D15" s="735">
        <v>8.0980000000000008</v>
      </c>
      <c r="E15" s="735">
        <v>8.08</v>
      </c>
      <c r="F15" s="735"/>
      <c r="G15" s="1681">
        <v>8117</v>
      </c>
      <c r="H15" s="533"/>
      <c r="I15" s="1681">
        <v>8117</v>
      </c>
      <c r="J15" s="1681">
        <v>8117</v>
      </c>
      <c r="K15" s="1681">
        <v>8117</v>
      </c>
      <c r="L15" s="1681">
        <v>8117</v>
      </c>
      <c r="M15" s="1681">
        <v>8117</v>
      </c>
      <c r="N15" s="1681">
        <v>8117</v>
      </c>
      <c r="O15" s="1681">
        <v>8117</v>
      </c>
    </row>
    <row r="16" spans="1:15">
      <c r="A16" s="368" t="s">
        <v>11</v>
      </c>
      <c r="B16" s="375" t="s">
        <v>44</v>
      </c>
      <c r="C16" s="366" t="s">
        <v>1010</v>
      </c>
      <c r="D16" s="735">
        <v>131.00568999999996</v>
      </c>
      <c r="E16" s="735">
        <f t="shared" ref="E16" si="1">E17+E23</f>
        <v>98.364000000000004</v>
      </c>
      <c r="F16" s="735"/>
      <c r="G16" s="1681"/>
      <c r="H16" s="735"/>
      <c r="I16" s="1681"/>
      <c r="J16" s="1681"/>
      <c r="K16" s="1681"/>
      <c r="L16" s="1681"/>
      <c r="M16" s="1681"/>
      <c r="N16" s="1681"/>
      <c r="O16" s="1681"/>
    </row>
    <row r="17" spans="1:15">
      <c r="A17" s="374" t="s">
        <v>12</v>
      </c>
      <c r="B17" s="369" t="s">
        <v>45</v>
      </c>
      <c r="C17" s="366" t="s">
        <v>1010</v>
      </c>
      <c r="D17" s="735">
        <v>131.00568999999996</v>
      </c>
      <c r="E17" s="735">
        <f>SUM(E18:E22)</f>
        <v>98.364000000000004</v>
      </c>
      <c r="F17" s="735"/>
      <c r="G17" s="1681">
        <v>96271.31</v>
      </c>
      <c r="H17" s="735"/>
      <c r="I17" s="1681">
        <v>96271.31</v>
      </c>
      <c r="J17" s="1681">
        <v>96271.31</v>
      </c>
      <c r="K17" s="1681">
        <v>96271.31</v>
      </c>
      <c r="L17" s="1681">
        <v>96271.31</v>
      </c>
      <c r="M17" s="1681">
        <v>96271.31</v>
      </c>
      <c r="N17" s="1681">
        <v>96271.31</v>
      </c>
      <c r="O17" s="1681">
        <v>96271.31</v>
      </c>
    </row>
    <row r="18" spans="1:15">
      <c r="A18" s="374" t="s">
        <v>13</v>
      </c>
      <c r="B18" s="369" t="s">
        <v>1014</v>
      </c>
      <c r="C18" s="366" t="s">
        <v>1010</v>
      </c>
      <c r="D18" s="735">
        <v>113.72093999999996</v>
      </c>
      <c r="E18" s="735">
        <v>90.203000000000003</v>
      </c>
      <c r="F18" s="735"/>
      <c r="G18" s="1681">
        <v>88111.5</v>
      </c>
      <c r="H18" s="533"/>
      <c r="I18" s="1681">
        <v>88111.5</v>
      </c>
      <c r="J18" s="1681">
        <v>88111.5</v>
      </c>
      <c r="K18" s="1681">
        <v>88111.5</v>
      </c>
      <c r="L18" s="1681">
        <v>88111.5</v>
      </c>
      <c r="M18" s="1681">
        <v>88111.5</v>
      </c>
      <c r="N18" s="1681">
        <v>88111.5</v>
      </c>
      <c r="O18" s="1681">
        <v>88111.5</v>
      </c>
    </row>
    <row r="19" spans="1:15">
      <c r="A19" s="374" t="s">
        <v>14</v>
      </c>
      <c r="B19" s="369" t="s">
        <v>1013</v>
      </c>
      <c r="C19" s="366" t="s">
        <v>1010</v>
      </c>
      <c r="D19" s="735">
        <v>10.527449999999998</v>
      </c>
      <c r="E19" s="735">
        <v>4.32</v>
      </c>
      <c r="F19" s="735"/>
      <c r="G19" s="1681">
        <v>3167.5000000000005</v>
      </c>
      <c r="H19" s="533"/>
      <c r="I19" s="1681">
        <v>3167.5000000000005</v>
      </c>
      <c r="J19" s="1681">
        <v>3167.5000000000005</v>
      </c>
      <c r="K19" s="1681">
        <v>3167.5000000000005</v>
      </c>
      <c r="L19" s="1681">
        <v>3167.5000000000005</v>
      </c>
      <c r="M19" s="1681">
        <v>3167.5000000000005</v>
      </c>
      <c r="N19" s="1681">
        <v>3167.5000000000005</v>
      </c>
      <c r="O19" s="1681">
        <v>3167.5000000000005</v>
      </c>
    </row>
    <row r="20" spans="1:15">
      <c r="A20" s="374" t="s">
        <v>15</v>
      </c>
      <c r="B20" s="369" t="s">
        <v>1012</v>
      </c>
      <c r="C20" s="366" t="s">
        <v>1010</v>
      </c>
      <c r="D20" s="735">
        <v>6.3643999999999998</v>
      </c>
      <c r="E20" s="735">
        <v>3.43</v>
      </c>
      <c r="F20" s="735"/>
      <c r="G20" s="1681">
        <v>4650.3099999999995</v>
      </c>
      <c r="H20" s="533"/>
      <c r="I20" s="1681">
        <v>4650.3099999999995</v>
      </c>
      <c r="J20" s="1681">
        <v>4650.3099999999995</v>
      </c>
      <c r="K20" s="1681">
        <v>4650.3099999999995</v>
      </c>
      <c r="L20" s="1681">
        <v>4650.3099999999995</v>
      </c>
      <c r="M20" s="1681">
        <v>4650.3099999999995</v>
      </c>
      <c r="N20" s="1681">
        <v>4650.3099999999995</v>
      </c>
      <c r="O20" s="1681">
        <v>4650.3099999999995</v>
      </c>
    </row>
    <row r="21" spans="1:15">
      <c r="A21" s="374" t="s">
        <v>16</v>
      </c>
      <c r="B21" s="369" t="s">
        <v>1011</v>
      </c>
      <c r="C21" s="366" t="s">
        <v>1010</v>
      </c>
      <c r="D21" s="735">
        <v>0.34589999999999999</v>
      </c>
      <c r="E21" s="735">
        <v>0.34599999999999997</v>
      </c>
      <c r="F21" s="735"/>
      <c r="G21" s="1681">
        <v>295</v>
      </c>
      <c r="H21" s="533"/>
      <c r="I21" s="1681">
        <v>295</v>
      </c>
      <c r="J21" s="1681">
        <v>295</v>
      </c>
      <c r="K21" s="1681">
        <v>295</v>
      </c>
      <c r="L21" s="1681">
        <v>295</v>
      </c>
      <c r="M21" s="1681">
        <v>295</v>
      </c>
      <c r="N21" s="1681">
        <v>295</v>
      </c>
      <c r="O21" s="1681">
        <v>295</v>
      </c>
    </row>
    <row r="22" spans="1:15">
      <c r="A22" s="374" t="s">
        <v>17</v>
      </c>
      <c r="B22" s="369" t="s">
        <v>43</v>
      </c>
      <c r="C22" s="366" t="s">
        <v>1010</v>
      </c>
      <c r="D22" s="735">
        <v>4.7E-2</v>
      </c>
      <c r="E22" s="735">
        <v>6.5000000000000002E-2</v>
      </c>
      <c r="F22" s="735"/>
      <c r="G22" s="1681">
        <v>47</v>
      </c>
      <c r="H22" s="533"/>
      <c r="I22" s="1681">
        <v>47</v>
      </c>
      <c r="J22" s="1681">
        <v>47</v>
      </c>
      <c r="K22" s="1681">
        <v>47</v>
      </c>
      <c r="L22" s="1681">
        <v>47</v>
      </c>
      <c r="M22" s="1681">
        <v>47</v>
      </c>
      <c r="N22" s="1681">
        <v>47</v>
      </c>
      <c r="O22" s="1681">
        <v>47</v>
      </c>
    </row>
    <row r="23" spans="1:15">
      <c r="A23" s="368" t="s">
        <v>18</v>
      </c>
      <c r="B23" s="369" t="s">
        <v>46</v>
      </c>
      <c r="C23" s="366" t="s">
        <v>1010</v>
      </c>
      <c r="D23" s="735"/>
      <c r="E23" s="735"/>
      <c r="F23" s="735"/>
      <c r="G23" s="1682"/>
      <c r="H23" s="533"/>
      <c r="I23" s="1682"/>
      <c r="J23" s="1683"/>
      <c r="K23" s="1682"/>
      <c r="L23" s="1682"/>
      <c r="M23" s="1683"/>
      <c r="N23" s="1682"/>
      <c r="O23" s="1682"/>
    </row>
    <row r="24" spans="1:15">
      <c r="A24" s="368" t="s">
        <v>19</v>
      </c>
      <c r="B24" s="369" t="s">
        <v>1014</v>
      </c>
      <c r="C24" s="366" t="s">
        <v>1010</v>
      </c>
      <c r="D24" s="735"/>
      <c r="E24" s="735"/>
      <c r="F24" s="735"/>
      <c r="G24" s="1683"/>
      <c r="H24" s="534"/>
      <c r="I24" s="1683"/>
      <c r="J24" s="1683"/>
      <c r="K24" s="1682"/>
      <c r="L24" s="1682"/>
      <c r="M24" s="1683"/>
      <c r="N24" s="1682"/>
      <c r="O24" s="1682"/>
    </row>
    <row r="25" spans="1:15">
      <c r="A25" s="368" t="s">
        <v>20</v>
      </c>
      <c r="B25" s="369" t="s">
        <v>1013</v>
      </c>
      <c r="C25" s="366" t="s">
        <v>1010</v>
      </c>
      <c r="D25" s="735"/>
      <c r="E25" s="735"/>
      <c r="F25" s="735"/>
      <c r="G25" s="1683"/>
      <c r="H25" s="534"/>
      <c r="I25" s="1683"/>
      <c r="J25" s="1683"/>
      <c r="K25" s="1682"/>
      <c r="L25" s="1682"/>
      <c r="M25" s="1683"/>
      <c r="N25" s="1682"/>
      <c r="O25" s="1682"/>
    </row>
    <row r="26" spans="1:15">
      <c r="A26" s="368" t="s">
        <v>21</v>
      </c>
      <c r="B26" s="369" t="s">
        <v>1012</v>
      </c>
      <c r="C26" s="366" t="s">
        <v>1010</v>
      </c>
      <c r="D26" s="735"/>
      <c r="E26" s="735"/>
      <c r="F26" s="735"/>
      <c r="G26" s="1683"/>
      <c r="H26" s="534"/>
      <c r="I26" s="1683"/>
      <c r="J26" s="1683"/>
      <c r="K26" s="1682"/>
      <c r="L26" s="1682"/>
      <c r="M26" s="1683"/>
      <c r="N26" s="1682"/>
      <c r="O26" s="1682"/>
    </row>
    <row r="27" spans="1:15">
      <c r="A27" s="368" t="s">
        <v>22</v>
      </c>
      <c r="B27" s="369" t="s">
        <v>1011</v>
      </c>
      <c r="C27" s="366" t="s">
        <v>1010</v>
      </c>
      <c r="D27" s="735"/>
      <c r="E27" s="735"/>
      <c r="F27" s="735"/>
      <c r="G27" s="1683"/>
      <c r="H27" s="534"/>
      <c r="I27" s="1683"/>
      <c r="J27" s="1683"/>
      <c r="K27" s="1682"/>
      <c r="L27" s="1682"/>
      <c r="M27" s="1683"/>
      <c r="N27" s="1682"/>
      <c r="O27" s="1682"/>
    </row>
    <row r="28" spans="1:15">
      <c r="A28" s="368" t="s">
        <v>3</v>
      </c>
      <c r="B28" s="369" t="s">
        <v>43</v>
      </c>
      <c r="C28" s="366" t="s">
        <v>1010</v>
      </c>
      <c r="D28" s="735"/>
      <c r="E28" s="735"/>
      <c r="F28" s="735"/>
      <c r="G28" s="1683"/>
      <c r="H28" s="534"/>
      <c r="I28" s="1683"/>
      <c r="J28" s="1683"/>
      <c r="K28" s="1682"/>
      <c r="L28" s="1682"/>
      <c r="M28" s="1683"/>
      <c r="N28" s="1682"/>
      <c r="O28" s="1682"/>
    </row>
    <row r="29" spans="1:15" ht="45">
      <c r="A29" s="368" t="s">
        <v>23</v>
      </c>
      <c r="B29" s="372" t="s">
        <v>1009</v>
      </c>
      <c r="C29" s="366"/>
      <c r="D29" s="735"/>
      <c r="E29" s="735"/>
      <c r="F29" s="735"/>
      <c r="G29" s="1683"/>
      <c r="H29" s="534"/>
      <c r="I29" s="1683"/>
      <c r="J29" s="1683"/>
      <c r="K29" s="1682"/>
      <c r="L29" s="1682"/>
      <c r="M29" s="1683"/>
      <c r="N29" s="1682"/>
      <c r="O29" s="1682"/>
    </row>
    <row r="30" spans="1:15">
      <c r="A30" s="368" t="s">
        <v>24</v>
      </c>
      <c r="B30" s="369" t="s">
        <v>1008</v>
      </c>
      <c r="C30" s="366"/>
      <c r="D30" s="735"/>
      <c r="E30" s="735"/>
      <c r="F30" s="735"/>
      <c r="G30" s="1683"/>
      <c r="H30" s="534"/>
      <c r="I30" s="1683"/>
      <c r="J30" s="1683"/>
      <c r="K30" s="1682"/>
      <c r="L30" s="1682"/>
      <c r="M30" s="1683"/>
      <c r="N30" s="1682"/>
      <c r="O30" s="1682"/>
    </row>
    <row r="31" spans="1:15" ht="30">
      <c r="A31" s="368" t="s">
        <v>25</v>
      </c>
      <c r="B31" s="370" t="s">
        <v>1007</v>
      </c>
      <c r="C31" s="366" t="s">
        <v>53</v>
      </c>
      <c r="D31" s="736">
        <v>577</v>
      </c>
      <c r="E31" s="736">
        <f t="shared" ref="E31" si="2">217+360</f>
        <v>577</v>
      </c>
      <c r="F31" s="736"/>
      <c r="G31" s="1683">
        <v>577</v>
      </c>
      <c r="H31" s="736"/>
      <c r="I31" s="1683">
        <v>577</v>
      </c>
      <c r="J31" s="1683">
        <v>577</v>
      </c>
      <c r="K31" s="1685">
        <v>577</v>
      </c>
      <c r="L31" s="1685">
        <v>577</v>
      </c>
      <c r="M31" s="1683">
        <v>577</v>
      </c>
      <c r="N31" s="1685">
        <v>577</v>
      </c>
      <c r="O31" s="1685">
        <v>577</v>
      </c>
    </row>
    <row r="32" spans="1:15">
      <c r="A32" s="368" t="s">
        <v>26</v>
      </c>
      <c r="B32" s="373"/>
      <c r="C32" s="366"/>
      <c r="D32" s="735"/>
      <c r="E32" s="735"/>
      <c r="F32" s="735"/>
      <c r="G32" s="1683"/>
      <c r="H32" s="534"/>
      <c r="I32" s="1683"/>
      <c r="J32" s="1683"/>
      <c r="K32" s="1685"/>
      <c r="L32" s="1685"/>
      <c r="M32" s="1683"/>
      <c r="N32" s="1685"/>
      <c r="O32" s="1685"/>
    </row>
    <row r="33" spans="1:15" ht="45">
      <c r="A33" s="368" t="s">
        <v>27</v>
      </c>
      <c r="B33" s="372" t="s">
        <v>1006</v>
      </c>
      <c r="C33" s="366"/>
      <c r="D33" s="735"/>
      <c r="E33" s="735"/>
      <c r="F33" s="735"/>
      <c r="G33" s="1683"/>
      <c r="H33" s="534"/>
      <c r="I33" s="1683"/>
      <c r="J33" s="1683"/>
      <c r="K33" s="1685"/>
      <c r="L33" s="1685"/>
      <c r="M33" s="1683"/>
      <c r="N33" s="1685"/>
      <c r="O33" s="1685"/>
    </row>
    <row r="34" spans="1:15">
      <c r="A34" s="368" t="s">
        <v>28</v>
      </c>
      <c r="B34" s="369" t="s">
        <v>48</v>
      </c>
      <c r="C34" s="366"/>
      <c r="D34" s="735"/>
      <c r="E34" s="735"/>
      <c r="F34" s="735"/>
      <c r="G34" s="1683"/>
      <c r="H34" s="534"/>
      <c r="I34" s="1683"/>
      <c r="J34" s="1683"/>
      <c r="K34" s="1685"/>
      <c r="L34" s="1685"/>
      <c r="M34" s="1683"/>
      <c r="N34" s="1685"/>
      <c r="O34" s="1685"/>
    </row>
    <row r="35" spans="1:15" ht="30">
      <c r="A35" s="368" t="s">
        <v>29</v>
      </c>
      <c r="B35" s="370" t="s">
        <v>49</v>
      </c>
      <c r="C35" s="366" t="s">
        <v>53</v>
      </c>
      <c r="D35" s="735"/>
      <c r="E35" s="735"/>
      <c r="F35" s="735"/>
      <c r="G35" s="1683"/>
      <c r="H35" s="534"/>
      <c r="I35" s="1683"/>
      <c r="J35" s="1683"/>
      <c r="K35" s="1685"/>
      <c r="L35" s="1685"/>
      <c r="M35" s="1683"/>
      <c r="N35" s="1685"/>
      <c r="O35" s="1685"/>
    </row>
    <row r="36" spans="1:15">
      <c r="A36" s="368" t="s">
        <v>26</v>
      </c>
      <c r="B36" s="371"/>
      <c r="C36" s="366"/>
      <c r="D36" s="735"/>
      <c r="E36" s="735"/>
      <c r="F36" s="735"/>
      <c r="G36" s="1683"/>
      <c r="H36" s="534"/>
      <c r="I36" s="1683"/>
      <c r="J36" s="1683"/>
      <c r="K36" s="1685"/>
      <c r="L36" s="1685"/>
      <c r="M36" s="1683"/>
      <c r="N36" s="1685"/>
      <c r="O36" s="1685"/>
    </row>
    <row r="37" spans="1:15" ht="35.25" customHeight="1">
      <c r="A37" s="368" t="s">
        <v>30</v>
      </c>
      <c r="B37" s="367" t="s">
        <v>54</v>
      </c>
      <c r="C37" s="366" t="s">
        <v>53</v>
      </c>
      <c r="D37" s="735"/>
      <c r="E37" s="735"/>
      <c r="F37" s="735"/>
      <c r="G37" s="1683"/>
      <c r="H37" s="534"/>
      <c r="I37" s="1683"/>
      <c r="J37" s="1683"/>
      <c r="K37" s="1685"/>
      <c r="L37" s="1685"/>
      <c r="M37" s="1683"/>
      <c r="N37" s="1685"/>
      <c r="O37" s="1685"/>
    </row>
    <row r="38" spans="1:15">
      <c r="A38" s="368" t="s">
        <v>31</v>
      </c>
      <c r="B38" s="369" t="s">
        <v>55</v>
      </c>
      <c r="C38" s="366" t="s">
        <v>53</v>
      </c>
      <c r="D38" s="736">
        <v>577</v>
      </c>
      <c r="E38" s="736">
        <f t="shared" ref="E38" si="3">217+360</f>
        <v>577</v>
      </c>
      <c r="F38" s="736"/>
      <c r="G38" s="1683">
        <v>577</v>
      </c>
      <c r="H38" s="736"/>
      <c r="I38" s="1683">
        <v>577</v>
      </c>
      <c r="J38" s="1683">
        <v>577</v>
      </c>
      <c r="K38" s="1685">
        <v>577</v>
      </c>
      <c r="L38" s="1685">
        <v>577</v>
      </c>
      <c r="M38" s="1683">
        <v>577</v>
      </c>
      <c r="N38" s="1685">
        <v>577</v>
      </c>
      <c r="O38" s="1685">
        <v>577</v>
      </c>
    </row>
    <row r="39" spans="1:15">
      <c r="A39" s="368" t="s">
        <v>32</v>
      </c>
      <c r="B39" s="370" t="s">
        <v>1005</v>
      </c>
      <c r="C39" s="366" t="s">
        <v>53</v>
      </c>
      <c r="D39" s="735"/>
      <c r="E39" s="735"/>
      <c r="F39" s="735"/>
      <c r="G39" s="1683"/>
      <c r="H39" s="534"/>
      <c r="I39" s="1683"/>
      <c r="J39" s="1683"/>
      <c r="K39" s="1682"/>
      <c r="L39" s="1682"/>
      <c r="M39" s="1683"/>
      <c r="N39" s="1682"/>
      <c r="O39" s="1682"/>
    </row>
    <row r="40" spans="1:15">
      <c r="A40" s="368" t="s">
        <v>33</v>
      </c>
      <c r="B40" s="369" t="s">
        <v>1004</v>
      </c>
      <c r="C40" s="366" t="s">
        <v>53</v>
      </c>
      <c r="D40" s="735"/>
      <c r="E40" s="735"/>
      <c r="F40" s="735"/>
      <c r="G40" s="1683"/>
      <c r="H40" s="534"/>
      <c r="I40" s="1683"/>
      <c r="J40" s="1683"/>
      <c r="K40" s="1682"/>
      <c r="L40" s="1682"/>
      <c r="M40" s="1683"/>
      <c r="N40" s="1682"/>
      <c r="O40" s="1682"/>
    </row>
    <row r="41" spans="1:15">
      <c r="A41" s="368" t="s">
        <v>34</v>
      </c>
      <c r="B41" s="367" t="s">
        <v>1003</v>
      </c>
      <c r="C41" s="366" t="s">
        <v>53</v>
      </c>
      <c r="D41" s="735"/>
      <c r="E41" s="735"/>
      <c r="F41" s="735"/>
      <c r="G41" s="1684"/>
      <c r="H41" s="365"/>
      <c r="I41" s="1684"/>
      <c r="J41" s="365"/>
      <c r="K41" s="364"/>
      <c r="L41" s="364"/>
      <c r="M41" s="365"/>
      <c r="N41" s="364"/>
      <c r="O41" s="364"/>
    </row>
    <row r="42" spans="1:15">
      <c r="A42" s="363"/>
      <c r="B42" s="362"/>
      <c r="C42" s="361"/>
      <c r="D42" s="353"/>
      <c r="E42" s="353"/>
      <c r="F42" s="353"/>
      <c r="G42" s="353"/>
      <c r="H42" s="353"/>
      <c r="I42" s="353"/>
      <c r="J42" s="353"/>
      <c r="K42" s="353"/>
      <c r="L42" s="353"/>
    </row>
    <row r="43" spans="1:15">
      <c r="B43" s="362"/>
      <c r="C43" s="361"/>
      <c r="D43" s="353"/>
      <c r="E43" s="353"/>
      <c r="F43" s="353"/>
      <c r="G43" s="353"/>
      <c r="H43" s="353"/>
      <c r="I43" s="353"/>
      <c r="J43" s="353"/>
      <c r="K43" s="353"/>
      <c r="L43" s="353"/>
    </row>
    <row r="44" spans="1:15" s="357" customFormat="1" ht="21" hidden="1">
      <c r="B44" s="359" t="s">
        <v>833</v>
      </c>
      <c r="C44" s="360"/>
      <c r="D44" s="359"/>
      <c r="E44" s="359"/>
      <c r="F44" s="359"/>
      <c r="G44" s="358"/>
      <c r="H44" s="358"/>
      <c r="I44" s="358"/>
      <c r="J44" s="358"/>
      <c r="K44" s="358"/>
      <c r="L44" s="358"/>
    </row>
    <row r="45" spans="1:15">
      <c r="A45" s="242"/>
      <c r="B45" s="356"/>
      <c r="C45" s="354"/>
      <c r="D45" s="354"/>
      <c r="E45" s="354"/>
      <c r="F45" s="354"/>
      <c r="G45" s="354"/>
      <c r="H45" s="354"/>
      <c r="I45" s="354"/>
      <c r="J45" s="355"/>
      <c r="K45" s="354"/>
      <c r="L45" s="353"/>
    </row>
  </sheetData>
  <mergeCells count="14">
    <mergeCell ref="M6:M7"/>
    <mergeCell ref="N6:O6"/>
    <mergeCell ref="H6:H7"/>
    <mergeCell ref="K6:L6"/>
    <mergeCell ref="J6:J7"/>
    <mergeCell ref="I6:I7"/>
    <mergeCell ref="A6:A7"/>
    <mergeCell ref="B6:B7"/>
    <mergeCell ref="C6:C7"/>
    <mergeCell ref="F6:F7"/>
    <mergeCell ref="B4:G4"/>
    <mergeCell ref="G6:G7"/>
    <mergeCell ref="D6:D7"/>
    <mergeCell ref="E6:E7"/>
  </mergeCells>
  <pageMargins left="0.47244094488188981" right="0.23622047244094491" top="0.43" bottom="0.25" header="0.19685039370078741" footer="0.17"/>
  <pageSetup paperSize="9" scale="50" fitToHeight="2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39997558519241921"/>
  </sheetPr>
  <dimension ref="A1:BN290"/>
  <sheetViews>
    <sheetView view="pageBreakPreview" zoomScaleNormal="100" zoomScaleSheetLayoutView="100" workbookViewId="0">
      <pane xSplit="3" ySplit="19" topLeftCell="D262" activePane="bottomRight" state="frozen"/>
      <selection activeCell="R3" sqref="R3"/>
      <selection pane="topRight" activeCell="R3" sqref="R3"/>
      <selection pane="bottomLeft" activeCell="R3" sqref="R3"/>
      <selection pane="bottomRight" activeCell="R2" sqref="R2"/>
    </sheetView>
  </sheetViews>
  <sheetFormatPr defaultRowHeight="12.75" outlineLevelRow="1"/>
  <cols>
    <col min="1" max="1" width="8.140625" style="126" customWidth="1"/>
    <col min="2" max="2" width="39.28515625" style="128" customWidth="1"/>
    <col min="3" max="3" width="13.28515625" style="126" customWidth="1"/>
    <col min="4" max="4" width="10.7109375" style="128" hidden="1" customWidth="1"/>
    <col min="5" max="5" width="9.7109375" style="128" hidden="1" customWidth="1"/>
    <col min="6" max="6" width="11.7109375" style="128" customWidth="1"/>
    <col min="7" max="10" width="12.140625" style="128" customWidth="1"/>
    <col min="11" max="11" width="14.7109375" style="128" customWidth="1"/>
    <col min="12" max="12" width="11.28515625" style="128" customWidth="1"/>
    <col min="13" max="13" width="10.5703125" style="128" customWidth="1"/>
    <col min="14" max="17" width="11" style="128" customWidth="1"/>
    <col min="18" max="18" width="12.140625" style="128" customWidth="1"/>
    <col min="19" max="16384" width="9.140625" style="128"/>
  </cols>
  <sheetData>
    <row r="1" spans="1:17" s="125" customFormat="1" ht="15">
      <c r="A1" s="74" t="s">
        <v>1860</v>
      </c>
      <c r="B1" s="666"/>
      <c r="C1" s="124"/>
    </row>
    <row r="2" spans="1:17" ht="15.75">
      <c r="A2" s="617" t="str">
        <f>'4.1_котельные'!A2</f>
        <v>ПКГО - выработка котельными</v>
      </c>
      <c r="B2" s="127"/>
      <c r="M2" s="1633"/>
      <c r="N2" s="1634"/>
      <c r="O2" s="1634"/>
      <c r="P2" s="1883" t="s">
        <v>794</v>
      </c>
      <c r="Q2" s="1884"/>
    </row>
    <row r="3" spans="1:17" ht="18.75" customHeight="1">
      <c r="A3" s="1890" t="s">
        <v>131</v>
      </c>
      <c r="B3" s="1890"/>
      <c r="C3" s="1890"/>
      <c r="D3" s="1890"/>
      <c r="E3" s="1890"/>
      <c r="F3" s="1890"/>
      <c r="G3" s="1890"/>
      <c r="H3" s="1890"/>
      <c r="I3" s="1890"/>
      <c r="J3" s="1890"/>
      <c r="K3" s="1890"/>
      <c r="L3" s="1890"/>
    </row>
    <row r="4" spans="1:17" ht="15.75">
      <c r="A4" s="129"/>
      <c r="B4" s="127"/>
    </row>
    <row r="5" spans="1:17" s="130" customFormat="1" ht="12.75" customHeight="1">
      <c r="A5" s="1891" t="s">
        <v>789</v>
      </c>
      <c r="B5" s="1891" t="s">
        <v>1</v>
      </c>
      <c r="C5" s="1893" t="s">
        <v>2</v>
      </c>
      <c r="D5" s="1881" t="s">
        <v>1539</v>
      </c>
      <c r="E5" s="1895" t="s">
        <v>1132</v>
      </c>
      <c r="F5" s="1881" t="s">
        <v>1538</v>
      </c>
      <c r="G5" s="1881" t="s">
        <v>1690</v>
      </c>
      <c r="H5" s="1881" t="s">
        <v>1698</v>
      </c>
      <c r="I5" s="1881" t="s">
        <v>1827</v>
      </c>
      <c r="J5" s="1881" t="s">
        <v>1880</v>
      </c>
      <c r="K5" s="1881" t="s">
        <v>1861</v>
      </c>
      <c r="L5" s="1881" t="s">
        <v>1862</v>
      </c>
      <c r="M5" s="1882" t="s">
        <v>791</v>
      </c>
      <c r="N5" s="1882"/>
      <c r="O5" s="1881" t="s">
        <v>1863</v>
      </c>
      <c r="P5" s="1882" t="s">
        <v>791</v>
      </c>
      <c r="Q5" s="1882"/>
    </row>
    <row r="6" spans="1:17" s="132" customFormat="1" ht="59.25" customHeight="1">
      <c r="A6" s="1892"/>
      <c r="B6" s="1892">
        <f>+A6+1</f>
        <v>1</v>
      </c>
      <c r="C6" s="1894">
        <f>B6+1</f>
        <v>2</v>
      </c>
      <c r="D6" s="1881"/>
      <c r="E6" s="1896"/>
      <c r="F6" s="1881"/>
      <c r="G6" s="1881"/>
      <c r="H6" s="1881"/>
      <c r="I6" s="1881"/>
      <c r="J6" s="1881"/>
      <c r="K6" s="1881"/>
      <c r="L6" s="1881"/>
      <c r="M6" s="131" t="s">
        <v>792</v>
      </c>
      <c r="N6" s="131" t="s">
        <v>793</v>
      </c>
      <c r="O6" s="1881"/>
      <c r="P6" s="131" t="s">
        <v>792</v>
      </c>
      <c r="Q6" s="131" t="s">
        <v>793</v>
      </c>
    </row>
    <row r="7" spans="1:17" s="132" customFormat="1" ht="15.75" customHeight="1">
      <c r="A7" s="309">
        <v>1</v>
      </c>
      <c r="B7" s="309">
        <v>2</v>
      </c>
      <c r="C7" s="309">
        <v>3</v>
      </c>
      <c r="D7" s="309">
        <v>4</v>
      </c>
      <c r="E7" s="309">
        <v>5</v>
      </c>
      <c r="F7" s="309">
        <v>4</v>
      </c>
      <c r="G7" s="309">
        <v>5</v>
      </c>
      <c r="H7" s="309">
        <v>6</v>
      </c>
      <c r="I7" s="309">
        <v>7</v>
      </c>
      <c r="J7" s="309">
        <v>8</v>
      </c>
      <c r="K7" s="309">
        <v>9</v>
      </c>
      <c r="L7" s="309">
        <v>10</v>
      </c>
      <c r="M7" s="309">
        <v>11</v>
      </c>
      <c r="N7" s="309">
        <v>12</v>
      </c>
      <c r="O7" s="309">
        <v>13</v>
      </c>
      <c r="P7" s="309">
        <v>14</v>
      </c>
      <c r="Q7" s="309">
        <v>15</v>
      </c>
    </row>
    <row r="8" spans="1:17" s="136" customFormat="1" ht="14.25" hidden="1" customHeight="1" outlineLevel="1">
      <c r="A8" s="133">
        <v>1</v>
      </c>
      <c r="B8" s="134" t="s">
        <v>795</v>
      </c>
      <c r="C8" s="133" t="s">
        <v>796</v>
      </c>
      <c r="D8" s="134"/>
      <c r="E8" s="134"/>
      <c r="F8" s="134"/>
      <c r="G8" s="134"/>
      <c r="H8" s="134"/>
      <c r="I8" s="134"/>
      <c r="J8" s="134"/>
      <c r="K8" s="134"/>
      <c r="L8" s="134"/>
      <c r="M8" s="135"/>
      <c r="N8" s="135"/>
      <c r="O8" s="134"/>
      <c r="P8" s="135"/>
      <c r="Q8" s="135"/>
    </row>
    <row r="9" spans="1:17" s="136" customFormat="1" ht="12.75" hidden="1" customHeight="1" outlineLevel="1">
      <c r="A9" s="137" t="s">
        <v>23</v>
      </c>
      <c r="B9" s="138" t="s">
        <v>135</v>
      </c>
      <c r="C9" s="133" t="s">
        <v>796</v>
      </c>
      <c r="D9" s="134"/>
      <c r="E9" s="134"/>
      <c r="F9" s="134"/>
      <c r="G9" s="134"/>
      <c r="H9" s="134"/>
      <c r="I9" s="134"/>
      <c r="J9" s="134"/>
      <c r="K9" s="134"/>
      <c r="L9" s="134"/>
      <c r="M9" s="134"/>
      <c r="N9" s="134"/>
      <c r="O9" s="134"/>
      <c r="P9" s="134"/>
      <c r="Q9" s="134"/>
    </row>
    <row r="10" spans="1:17" s="136" customFormat="1" ht="12.75" hidden="1" customHeight="1" outlineLevel="1">
      <c r="A10" s="137" t="s">
        <v>24</v>
      </c>
      <c r="B10" s="134" t="s">
        <v>797</v>
      </c>
      <c r="C10" s="133" t="s">
        <v>796</v>
      </c>
      <c r="D10" s="134"/>
      <c r="E10" s="134"/>
      <c r="F10" s="134"/>
      <c r="G10" s="134"/>
      <c r="H10" s="134"/>
      <c r="I10" s="134"/>
      <c r="J10" s="134"/>
      <c r="K10" s="134"/>
      <c r="L10" s="134"/>
      <c r="M10" s="135"/>
      <c r="N10" s="135"/>
      <c r="O10" s="134"/>
      <c r="P10" s="135"/>
      <c r="Q10" s="135"/>
    </row>
    <row r="11" spans="1:17" s="136" customFormat="1" ht="12.75" hidden="1" customHeight="1" outlineLevel="1">
      <c r="A11" s="137" t="s">
        <v>25</v>
      </c>
      <c r="B11" s="134" t="s">
        <v>798</v>
      </c>
      <c r="C11" s="141" t="s">
        <v>138</v>
      </c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2"/>
      <c r="O11" s="142"/>
      <c r="P11" s="142"/>
      <c r="Q11" s="142"/>
    </row>
    <row r="12" spans="1:17" s="136" customFormat="1" ht="12.75" hidden="1" customHeight="1" outlineLevel="1">
      <c r="A12" s="137" t="s">
        <v>139</v>
      </c>
      <c r="B12" s="134" t="s">
        <v>799</v>
      </c>
      <c r="C12" s="133" t="s">
        <v>796</v>
      </c>
      <c r="D12" s="134"/>
      <c r="E12" s="135"/>
      <c r="F12" s="135"/>
      <c r="G12" s="135"/>
      <c r="H12" s="135"/>
      <c r="I12" s="135"/>
      <c r="J12" s="135"/>
      <c r="K12" s="135"/>
      <c r="L12" s="134"/>
      <c r="M12" s="135"/>
      <c r="N12" s="134"/>
      <c r="O12" s="134"/>
      <c r="P12" s="135"/>
      <c r="Q12" s="134"/>
    </row>
    <row r="13" spans="1:17" s="136" customFormat="1" ht="12.75" hidden="1" customHeight="1" outlineLevel="1">
      <c r="A13" s="137" t="s">
        <v>141</v>
      </c>
      <c r="B13" s="134" t="s">
        <v>800</v>
      </c>
      <c r="C13" s="133" t="s">
        <v>143</v>
      </c>
      <c r="D13" s="143"/>
      <c r="E13" s="143"/>
      <c r="F13" s="143"/>
      <c r="G13" s="143"/>
      <c r="H13" s="143"/>
      <c r="I13" s="143"/>
      <c r="J13" s="143"/>
      <c r="K13" s="143"/>
      <c r="L13" s="143"/>
      <c r="M13" s="143"/>
      <c r="N13" s="143"/>
      <c r="O13" s="143"/>
      <c r="P13" s="143"/>
      <c r="Q13" s="143"/>
    </row>
    <row r="14" spans="1:17" s="136" customFormat="1" ht="12.75" hidden="1" customHeight="1" outlineLevel="1">
      <c r="A14" s="133">
        <v>3</v>
      </c>
      <c r="B14" s="144" t="s">
        <v>144</v>
      </c>
      <c r="C14" s="133" t="s">
        <v>796</v>
      </c>
      <c r="D14" s="134"/>
      <c r="E14" s="134"/>
      <c r="F14" s="134"/>
      <c r="G14" s="134"/>
      <c r="H14" s="134"/>
      <c r="I14" s="134"/>
      <c r="J14" s="134"/>
      <c r="K14" s="134"/>
      <c r="L14" s="134"/>
      <c r="M14" s="134"/>
      <c r="N14" s="134"/>
      <c r="O14" s="134"/>
      <c r="P14" s="134"/>
      <c r="Q14" s="134"/>
    </row>
    <row r="15" spans="1:17" s="136" customFormat="1" ht="25.5" hidden="1" customHeight="1" outlineLevel="1">
      <c r="A15" s="133">
        <v>4</v>
      </c>
      <c r="B15" s="138" t="s">
        <v>801</v>
      </c>
      <c r="C15" s="133" t="s">
        <v>796</v>
      </c>
      <c r="D15" s="135"/>
      <c r="E15" s="135"/>
      <c r="F15" s="135"/>
      <c r="G15" s="135"/>
      <c r="H15" s="135"/>
      <c r="I15" s="135"/>
      <c r="J15" s="135"/>
      <c r="K15" s="135"/>
      <c r="L15" s="135"/>
      <c r="M15" s="135"/>
      <c r="N15" s="135"/>
      <c r="O15" s="135"/>
      <c r="P15" s="135"/>
      <c r="Q15" s="135"/>
    </row>
    <row r="16" spans="1:17" s="136" customFormat="1" ht="12.75" hidden="1" customHeight="1" outlineLevel="1">
      <c r="A16" s="137" t="s">
        <v>31</v>
      </c>
      <c r="B16" s="134" t="s">
        <v>802</v>
      </c>
      <c r="C16" s="145" t="s">
        <v>138</v>
      </c>
      <c r="D16" s="142"/>
      <c r="E16" s="142"/>
      <c r="F16" s="142"/>
      <c r="G16" s="142"/>
      <c r="H16" s="142"/>
      <c r="I16" s="142"/>
      <c r="J16" s="142"/>
      <c r="K16" s="142"/>
      <c r="L16" s="142"/>
      <c r="M16" s="142"/>
      <c r="N16" s="142"/>
      <c r="O16" s="142"/>
      <c r="P16" s="142"/>
      <c r="Q16" s="142"/>
    </row>
    <row r="17" spans="1:18" s="148" customFormat="1" ht="13.5" hidden="1" customHeight="1" outlineLevel="1">
      <c r="A17" s="146">
        <v>5</v>
      </c>
      <c r="B17" s="144" t="s">
        <v>147</v>
      </c>
      <c r="C17" s="146" t="s">
        <v>796</v>
      </c>
      <c r="D17" s="144"/>
      <c r="E17" s="144"/>
      <c r="F17" s="144"/>
      <c r="G17" s="144"/>
      <c r="H17" s="144"/>
      <c r="I17" s="144"/>
      <c r="J17" s="144"/>
      <c r="K17" s="144"/>
      <c r="L17" s="135"/>
      <c r="M17" s="147"/>
      <c r="N17" s="147"/>
      <c r="O17" s="135"/>
      <c r="P17" s="147"/>
      <c r="Q17" s="147"/>
    </row>
    <row r="18" spans="1:18" s="148" customFormat="1" ht="12.75" hidden="1" customHeight="1" outlineLevel="1">
      <c r="A18" s="137" t="s">
        <v>80</v>
      </c>
      <c r="B18" s="134" t="s">
        <v>802</v>
      </c>
      <c r="C18" s="145" t="s">
        <v>138</v>
      </c>
      <c r="D18" s="142"/>
      <c r="E18" s="142"/>
      <c r="F18" s="142"/>
      <c r="G18" s="142"/>
      <c r="H18" s="142"/>
      <c r="I18" s="142"/>
      <c r="J18" s="142"/>
      <c r="K18" s="142"/>
      <c r="L18" s="142"/>
      <c r="M18" s="142"/>
      <c r="N18" s="142"/>
      <c r="O18" s="142"/>
      <c r="P18" s="142"/>
      <c r="Q18" s="142"/>
    </row>
    <row r="19" spans="1:18" s="148" customFormat="1" ht="12.75" hidden="1" customHeight="1" outlineLevel="1">
      <c r="A19" s="137" t="s">
        <v>86</v>
      </c>
      <c r="B19" s="144" t="s">
        <v>148</v>
      </c>
      <c r="C19" s="146" t="s">
        <v>796</v>
      </c>
      <c r="D19" s="144"/>
      <c r="E19" s="144"/>
      <c r="F19" s="144"/>
      <c r="G19" s="144"/>
      <c r="H19" s="144"/>
      <c r="I19" s="144"/>
      <c r="J19" s="144"/>
      <c r="K19" s="144"/>
      <c r="L19" s="134"/>
      <c r="M19" s="144"/>
      <c r="N19" s="144"/>
      <c r="O19" s="134"/>
      <c r="P19" s="144"/>
      <c r="Q19" s="144"/>
    </row>
    <row r="20" spans="1:18" s="720" customFormat="1" ht="25.5" collapsed="1">
      <c r="A20" s="714">
        <v>7</v>
      </c>
      <c r="B20" s="715" t="s">
        <v>803</v>
      </c>
      <c r="C20" s="716" t="s">
        <v>804</v>
      </c>
      <c r="D20" s="717">
        <f>'4.1_котельные'!C10-'4.1_котельные'!C15</f>
        <v>555.37900000000002</v>
      </c>
      <c r="E20" s="718">
        <f>'4.1_котельные'!N10-'4.1_котельные'!N15</f>
        <v>565.14549999999997</v>
      </c>
      <c r="F20" s="717">
        <v>562.24599999999998</v>
      </c>
      <c r="G20" s="718">
        <v>510.99399999999997</v>
      </c>
      <c r="H20" s="718">
        <v>561.30899999999997</v>
      </c>
      <c r="I20" s="718">
        <v>459.084</v>
      </c>
      <c r="J20" s="718">
        <v>497.60900000000009</v>
      </c>
      <c r="K20" s="718">
        <v>483.22500000000002</v>
      </c>
      <c r="L20" s="718">
        <v>484.221</v>
      </c>
      <c r="M20" s="718">
        <v>289.52800000000002</v>
      </c>
      <c r="N20" s="718">
        <v>194.69299999999998</v>
      </c>
      <c r="O20" s="718">
        <v>484.221</v>
      </c>
      <c r="P20" s="718">
        <v>289.52800000000002</v>
      </c>
      <c r="Q20" s="718">
        <v>194.69299999999998</v>
      </c>
      <c r="R20" s="719"/>
    </row>
    <row r="21" spans="1:18" s="148" customFormat="1" ht="15.75" customHeight="1">
      <c r="A21" s="146">
        <v>8</v>
      </c>
      <c r="B21" s="144" t="s">
        <v>152</v>
      </c>
      <c r="C21" s="149" t="s">
        <v>804</v>
      </c>
      <c r="D21" s="144">
        <f>'4.1_котельные'!C19</f>
        <v>0.98</v>
      </c>
      <c r="E21" s="147">
        <f>'4.1_котельные'!N19</f>
        <v>2.8365999999999998</v>
      </c>
      <c r="F21" s="144">
        <v>2.9060000000000001</v>
      </c>
      <c r="G21" s="147">
        <v>2.8896999999999999</v>
      </c>
      <c r="H21" s="147">
        <v>3.5</v>
      </c>
      <c r="I21" s="147">
        <v>3.3069999999999999</v>
      </c>
      <c r="J21" s="147">
        <v>2.8899999999999997</v>
      </c>
      <c r="K21" s="147">
        <v>2.9580000000000002</v>
      </c>
      <c r="L21" s="135">
        <v>3.5</v>
      </c>
      <c r="M21" s="147">
        <v>2.3149999999999999</v>
      </c>
      <c r="N21" s="147">
        <v>1.1850000000000001</v>
      </c>
      <c r="O21" s="135">
        <v>3.5</v>
      </c>
      <c r="P21" s="147">
        <v>2.3149999999999999</v>
      </c>
      <c r="Q21" s="147">
        <v>1.1850000000000001</v>
      </c>
    </row>
    <row r="22" spans="1:18" s="148" customFormat="1">
      <c r="A22" s="137" t="s">
        <v>153</v>
      </c>
      <c r="B22" s="134" t="s">
        <v>805</v>
      </c>
      <c r="C22" s="146" t="s">
        <v>138</v>
      </c>
      <c r="D22" s="150">
        <f t="shared" ref="D22:N22" si="0">D21/D20</f>
        <v>1.7645607774150623E-3</v>
      </c>
      <c r="E22" s="150">
        <f t="shared" si="0"/>
        <v>5.0192384085160366E-3</v>
      </c>
      <c r="F22" s="150">
        <v>5.1685561124489993E-3</v>
      </c>
      <c r="G22" s="150">
        <v>5.6550566151461661E-3</v>
      </c>
      <c r="H22" s="150">
        <v>6.2354246947759614E-3</v>
      </c>
      <c r="I22" s="150">
        <v>7.203474745362504E-3</v>
      </c>
      <c r="J22" s="150">
        <v>5.8077727693831883E-3</v>
      </c>
      <c r="K22" s="150">
        <v>6.1213720316622691E-3</v>
      </c>
      <c r="L22" s="150">
        <v>7.2281045225217411E-3</v>
      </c>
      <c r="M22" s="150">
        <v>7.9957724296095701E-3</v>
      </c>
      <c r="N22" s="150">
        <v>6.0865054213556733E-3</v>
      </c>
      <c r="O22" s="150">
        <v>7.2281045225217411E-3</v>
      </c>
      <c r="P22" s="150">
        <v>7.9957724296095701E-3</v>
      </c>
      <c r="Q22" s="150">
        <v>6.0865054213556733E-3</v>
      </c>
    </row>
    <row r="23" spans="1:18" s="148" customFormat="1" ht="25.5">
      <c r="A23" s="146">
        <v>9</v>
      </c>
      <c r="B23" s="151" t="s">
        <v>77</v>
      </c>
      <c r="C23" s="149" t="s">
        <v>804</v>
      </c>
      <c r="D23" s="144">
        <f t="shared" ref="D23:I23" si="1">D20-D21</f>
        <v>554.399</v>
      </c>
      <c r="E23" s="147">
        <f t="shared" si="1"/>
        <v>562.30889999999999</v>
      </c>
      <c r="F23" s="144">
        <v>559.34</v>
      </c>
      <c r="G23" s="147">
        <v>508.10429999999997</v>
      </c>
      <c r="H23" s="147">
        <v>557.80899999999997</v>
      </c>
      <c r="I23" s="147">
        <v>455.77699999999999</v>
      </c>
      <c r="J23" s="147">
        <v>494.71900000000011</v>
      </c>
      <c r="K23" s="147">
        <v>480.267</v>
      </c>
      <c r="L23" s="135">
        <v>480.721</v>
      </c>
      <c r="M23" s="147">
        <v>287.21300000000002</v>
      </c>
      <c r="N23" s="147">
        <v>193.50799999999998</v>
      </c>
      <c r="O23" s="135">
        <v>480.721</v>
      </c>
      <c r="P23" s="147">
        <v>287.21300000000002</v>
      </c>
      <c r="Q23" s="147">
        <v>193.50799999999998</v>
      </c>
    </row>
    <row r="24" spans="1:18" s="148" customFormat="1" ht="12.75" hidden="1" customHeight="1">
      <c r="A24" s="146">
        <v>10</v>
      </c>
      <c r="B24" s="144" t="s">
        <v>144</v>
      </c>
      <c r="C24" s="133" t="s">
        <v>796</v>
      </c>
      <c r="D24" s="144"/>
      <c r="E24" s="144"/>
      <c r="F24" s="144"/>
      <c r="G24" s="144"/>
      <c r="H24" s="144"/>
      <c r="I24" s="144"/>
      <c r="J24" s="144"/>
      <c r="K24" s="144"/>
      <c r="L24" s="144"/>
      <c r="M24" s="144"/>
      <c r="N24" s="144"/>
      <c r="O24" s="144"/>
      <c r="P24" s="144"/>
      <c r="Q24" s="144"/>
    </row>
    <row r="25" spans="1:18" s="148" customFormat="1" ht="12.75" hidden="1" customHeight="1">
      <c r="A25" s="146"/>
      <c r="B25" s="144"/>
      <c r="C25" s="133"/>
      <c r="D25" s="144"/>
      <c r="E25" s="144"/>
      <c r="F25" s="144"/>
      <c r="G25" s="144"/>
      <c r="H25" s="144"/>
      <c r="I25" s="144"/>
      <c r="J25" s="144"/>
      <c r="K25" s="144"/>
      <c r="L25" s="144"/>
      <c r="M25" s="144"/>
      <c r="N25" s="144"/>
      <c r="O25" s="144"/>
      <c r="P25" s="144"/>
      <c r="Q25" s="144"/>
    </row>
    <row r="26" spans="1:18" s="148" customFormat="1" ht="12.75" hidden="1" customHeight="1">
      <c r="A26" s="146"/>
      <c r="B26" s="144"/>
      <c r="C26" s="133"/>
      <c r="D26" s="144"/>
      <c r="E26" s="144"/>
      <c r="F26" s="144"/>
      <c r="G26" s="144"/>
      <c r="H26" s="144"/>
      <c r="I26" s="144"/>
      <c r="J26" s="144"/>
      <c r="K26" s="144"/>
      <c r="L26" s="144"/>
      <c r="M26" s="144"/>
      <c r="N26" s="144"/>
      <c r="O26" s="144"/>
      <c r="P26" s="144"/>
      <c r="Q26" s="144"/>
    </row>
    <row r="27" spans="1:18" s="148" customFormat="1" ht="12.75" hidden="1" customHeight="1">
      <c r="A27" s="146"/>
      <c r="B27" s="144"/>
      <c r="C27" s="133"/>
      <c r="D27" s="144"/>
      <c r="E27" s="144"/>
      <c r="F27" s="144"/>
      <c r="G27" s="144"/>
      <c r="H27" s="144"/>
      <c r="I27" s="144"/>
      <c r="J27" s="144"/>
      <c r="K27" s="144"/>
      <c r="L27" s="144"/>
      <c r="M27" s="144"/>
      <c r="N27" s="144"/>
      <c r="O27" s="144"/>
      <c r="P27" s="144"/>
      <c r="Q27" s="144"/>
    </row>
    <row r="28" spans="1:18" s="148" customFormat="1" ht="12.75" hidden="1" customHeight="1">
      <c r="A28" s="146"/>
      <c r="B28" s="144"/>
      <c r="C28" s="133"/>
      <c r="D28" s="144"/>
      <c r="E28" s="144"/>
      <c r="F28" s="144"/>
      <c r="G28" s="144"/>
      <c r="H28" s="144"/>
      <c r="I28" s="144"/>
      <c r="J28" s="144"/>
      <c r="K28" s="144"/>
      <c r="L28" s="144"/>
      <c r="M28" s="144"/>
      <c r="N28" s="144"/>
      <c r="O28" s="144"/>
      <c r="P28" s="144"/>
      <c r="Q28" s="144"/>
    </row>
    <row r="29" spans="1:18" s="148" customFormat="1" ht="12.75" hidden="1" customHeight="1">
      <c r="A29" s="146"/>
      <c r="B29" s="144"/>
      <c r="C29" s="133"/>
      <c r="D29" s="144"/>
      <c r="E29" s="144"/>
      <c r="F29" s="144"/>
      <c r="G29" s="144"/>
      <c r="H29" s="144"/>
      <c r="I29" s="144"/>
      <c r="J29" s="144"/>
      <c r="K29" s="144"/>
      <c r="L29" s="144"/>
      <c r="M29" s="144"/>
      <c r="N29" s="144"/>
      <c r="O29" s="144"/>
      <c r="P29" s="144"/>
      <c r="Q29" s="144"/>
    </row>
    <row r="30" spans="1:18" s="148" customFormat="1" ht="12.75" hidden="1" customHeight="1">
      <c r="A30" s="146"/>
      <c r="B30" s="144"/>
      <c r="C30" s="133"/>
      <c r="D30" s="144"/>
      <c r="E30" s="144"/>
      <c r="F30" s="144"/>
      <c r="G30" s="144"/>
      <c r="H30" s="144"/>
      <c r="I30" s="144"/>
      <c r="J30" s="144"/>
      <c r="K30" s="144"/>
      <c r="L30" s="144"/>
      <c r="M30" s="144"/>
      <c r="N30" s="144"/>
      <c r="O30" s="144"/>
      <c r="P30" s="144"/>
      <c r="Q30" s="144"/>
    </row>
    <row r="31" spans="1:18" s="148" customFormat="1" ht="12.75" hidden="1" customHeight="1">
      <c r="A31" s="146"/>
      <c r="B31" s="144"/>
      <c r="C31" s="133"/>
      <c r="D31" s="144"/>
      <c r="E31" s="144"/>
      <c r="F31" s="144"/>
      <c r="G31" s="144"/>
      <c r="H31" s="144"/>
      <c r="I31" s="144"/>
      <c r="J31" s="144"/>
      <c r="K31" s="144"/>
      <c r="L31" s="144"/>
      <c r="M31" s="144"/>
      <c r="N31" s="144"/>
      <c r="O31" s="144"/>
      <c r="P31" s="144"/>
      <c r="Q31" s="144"/>
    </row>
    <row r="32" spans="1:18" s="148" customFormat="1" ht="12.75" hidden="1" customHeight="1">
      <c r="A32" s="146"/>
      <c r="B32" s="144"/>
      <c r="C32" s="133"/>
      <c r="D32" s="144"/>
      <c r="E32" s="144"/>
      <c r="F32" s="144"/>
      <c r="G32" s="144"/>
      <c r="H32" s="144"/>
      <c r="I32" s="144"/>
      <c r="J32" s="144"/>
      <c r="K32" s="144"/>
      <c r="L32" s="144"/>
      <c r="M32" s="144"/>
      <c r="N32" s="144"/>
      <c r="O32" s="144"/>
      <c r="P32" s="144"/>
      <c r="Q32" s="144"/>
    </row>
    <row r="33" spans="1:25" s="148" customFormat="1" ht="12.75" hidden="1" customHeight="1">
      <c r="A33" s="146"/>
      <c r="B33" s="144"/>
      <c r="C33" s="133"/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</row>
    <row r="34" spans="1:25" s="148" customFormat="1" ht="12.75" hidden="1" customHeight="1">
      <c r="A34" s="146"/>
      <c r="B34" s="144"/>
      <c r="C34" s="133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</row>
    <row r="35" spans="1:25" s="148" customFormat="1" ht="12.75" hidden="1" customHeight="1">
      <c r="A35" s="146"/>
      <c r="B35" s="144"/>
      <c r="C35" s="133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</row>
    <row r="36" spans="1:25" s="148" customFormat="1" ht="25.5" hidden="1" customHeight="1">
      <c r="A36" s="146">
        <v>11</v>
      </c>
      <c r="B36" s="151" t="s">
        <v>158</v>
      </c>
      <c r="C36" s="146" t="s">
        <v>159</v>
      </c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</row>
    <row r="37" spans="1:25" s="148" customFormat="1" hidden="1">
      <c r="A37" s="146"/>
      <c r="B37" s="151"/>
      <c r="C37" s="146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</row>
    <row r="38" spans="1:25" s="148" customFormat="1" hidden="1">
      <c r="A38" s="146"/>
      <c r="B38" s="151"/>
      <c r="C38" s="146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</row>
    <row r="39" spans="1:25" s="148" customFormat="1" hidden="1">
      <c r="A39" s="146"/>
      <c r="B39" s="151"/>
      <c r="C39" s="146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</row>
    <row r="40" spans="1:25" s="148" customFormat="1" hidden="1">
      <c r="A40" s="146"/>
      <c r="B40" s="151"/>
      <c r="C40" s="146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</row>
    <row r="41" spans="1:25" s="148" customFormat="1" hidden="1">
      <c r="A41" s="146"/>
      <c r="B41" s="151"/>
      <c r="C41" s="146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</row>
    <row r="42" spans="1:25" s="148" customFormat="1" hidden="1">
      <c r="A42" s="146"/>
      <c r="B42" s="151"/>
      <c r="C42" s="146"/>
      <c r="D42" s="139"/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</row>
    <row r="43" spans="1:25" s="148" customFormat="1" hidden="1">
      <c r="A43" s="146"/>
      <c r="B43" s="151"/>
      <c r="C43" s="146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</row>
    <row r="44" spans="1:25" s="148" customFormat="1" hidden="1">
      <c r="A44" s="146"/>
      <c r="B44" s="151"/>
      <c r="C44" s="146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</row>
    <row r="45" spans="1:25" s="148" customFormat="1" hidden="1">
      <c r="A45" s="146"/>
      <c r="B45" s="151"/>
      <c r="C45" s="146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</row>
    <row r="46" spans="1:25" s="148" customFormat="1" hidden="1">
      <c r="A46" s="146"/>
      <c r="B46" s="151"/>
      <c r="C46" s="146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</row>
    <row r="47" spans="1:25" s="148" customFormat="1" hidden="1">
      <c r="A47" s="146"/>
      <c r="B47" s="151"/>
      <c r="C47" s="146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</row>
    <row r="48" spans="1:25" s="136" customFormat="1" ht="25.5" hidden="1" customHeight="1">
      <c r="A48" s="146">
        <v>12</v>
      </c>
      <c r="B48" s="138" t="s">
        <v>806</v>
      </c>
      <c r="C48" s="145" t="s">
        <v>807</v>
      </c>
      <c r="D48" s="134"/>
      <c r="E48" s="134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Y48" s="667"/>
    </row>
    <row r="49" spans="1:25" s="136" customFormat="1" hidden="1">
      <c r="A49" s="146"/>
      <c r="B49" s="138"/>
      <c r="C49" s="145"/>
      <c r="D49" s="134"/>
      <c r="E49" s="134"/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Y49" s="667"/>
    </row>
    <row r="50" spans="1:25" s="136" customFormat="1" hidden="1">
      <c r="A50" s="146"/>
      <c r="B50" s="138"/>
      <c r="C50" s="145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Y50" s="667"/>
    </row>
    <row r="51" spans="1:25" s="136" customFormat="1" hidden="1">
      <c r="A51" s="146"/>
      <c r="B51" s="138"/>
      <c r="C51" s="145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Y51" s="667"/>
    </row>
    <row r="52" spans="1:25" s="136" customFormat="1" hidden="1">
      <c r="A52" s="146"/>
      <c r="B52" s="138"/>
      <c r="C52" s="145"/>
      <c r="D52" s="134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Y52" s="667"/>
    </row>
    <row r="53" spans="1:25" s="136" customFormat="1" hidden="1">
      <c r="A53" s="146"/>
      <c r="B53" s="138"/>
      <c r="C53" s="145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Y53" s="667"/>
    </row>
    <row r="54" spans="1:25" s="136" customFormat="1" hidden="1">
      <c r="A54" s="146"/>
      <c r="B54" s="138"/>
      <c r="C54" s="145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Y54" s="667"/>
    </row>
    <row r="55" spans="1:25" s="136" customFormat="1" hidden="1">
      <c r="A55" s="146"/>
      <c r="B55" s="138"/>
      <c r="C55" s="145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Y55" s="667"/>
    </row>
    <row r="56" spans="1:25" s="136" customFormat="1" hidden="1">
      <c r="A56" s="146"/>
      <c r="B56" s="138"/>
      <c r="C56" s="145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Y56" s="667"/>
    </row>
    <row r="57" spans="1:25" s="136" customFormat="1" hidden="1">
      <c r="A57" s="146"/>
      <c r="B57" s="138"/>
      <c r="C57" s="145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Y57" s="667"/>
    </row>
    <row r="58" spans="1:25" s="136" customFormat="1" hidden="1">
      <c r="A58" s="146"/>
      <c r="B58" s="138"/>
      <c r="C58" s="145"/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Y58" s="667"/>
    </row>
    <row r="59" spans="1:25" s="136" customFormat="1" hidden="1">
      <c r="A59" s="146"/>
      <c r="B59" s="138"/>
      <c r="C59" s="145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Y59" s="667"/>
    </row>
    <row r="60" spans="1:25" s="713" customFormat="1" ht="25.5">
      <c r="A60" s="709">
        <v>13</v>
      </c>
      <c r="B60" s="710" t="s">
        <v>803</v>
      </c>
      <c r="C60" s="711" t="s">
        <v>804</v>
      </c>
      <c r="D60" s="712">
        <f>D20</f>
        <v>555.37900000000002</v>
      </c>
      <c r="E60" s="920">
        <f>E20</f>
        <v>565.14549999999997</v>
      </c>
      <c r="F60" s="712">
        <v>562.24599999999998</v>
      </c>
      <c r="G60" s="920">
        <v>510.99399999999997</v>
      </c>
      <c r="H60" s="920">
        <v>561.30899999999997</v>
      </c>
      <c r="I60" s="920">
        <v>459.084</v>
      </c>
      <c r="J60" s="920">
        <v>497.60900000000009</v>
      </c>
      <c r="K60" s="920">
        <v>483.22500000000002</v>
      </c>
      <c r="L60" s="920">
        <v>484.221</v>
      </c>
      <c r="M60" s="920">
        <v>289.52800000000002</v>
      </c>
      <c r="N60" s="920">
        <v>194.69299999999998</v>
      </c>
      <c r="O60" s="920">
        <v>484.221</v>
      </c>
      <c r="P60" s="920">
        <v>289.52800000000002</v>
      </c>
      <c r="Q60" s="920">
        <v>194.69299999999998</v>
      </c>
    </row>
    <row r="61" spans="1:25" s="136" customFormat="1" hidden="1">
      <c r="A61" s="146"/>
      <c r="B61" s="138"/>
      <c r="C61" s="145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</row>
    <row r="62" spans="1:25" s="136" customFormat="1" hidden="1">
      <c r="A62" s="146"/>
      <c r="B62" s="138"/>
      <c r="C62" s="145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</row>
    <row r="63" spans="1:25" s="136" customFormat="1" hidden="1">
      <c r="A63" s="146"/>
      <c r="B63" s="138" t="s">
        <v>1241</v>
      </c>
      <c r="C63" s="145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</row>
    <row r="64" spans="1:25" s="136" customFormat="1">
      <c r="A64" s="146"/>
      <c r="B64" s="623" t="s">
        <v>1200</v>
      </c>
      <c r="C64" s="145" t="s">
        <v>804</v>
      </c>
      <c r="D64" s="674"/>
      <c r="E64" s="674"/>
      <c r="F64" s="674"/>
      <c r="G64" s="674"/>
      <c r="H64" s="674"/>
      <c r="I64" s="674">
        <v>19.756</v>
      </c>
      <c r="J64" s="674"/>
      <c r="K64" s="674">
        <v>23.920999999999999</v>
      </c>
      <c r="L64" s="674">
        <v>24.711999999999996</v>
      </c>
      <c r="M64" s="674">
        <v>15.626999999999999</v>
      </c>
      <c r="N64" s="674">
        <v>9.0849999999999991</v>
      </c>
      <c r="O64" s="674">
        <v>24.711999999999996</v>
      </c>
      <c r="P64" s="674">
        <v>15.626999999999999</v>
      </c>
      <c r="Q64" s="674">
        <v>9.0849999999999991</v>
      </c>
    </row>
    <row r="65" spans="1:17" s="136" customFormat="1">
      <c r="A65" s="146"/>
      <c r="B65" s="623" t="s">
        <v>1201</v>
      </c>
      <c r="C65" s="145" t="s">
        <v>804</v>
      </c>
      <c r="D65" s="674"/>
      <c r="E65" s="674"/>
      <c r="F65" s="674"/>
      <c r="G65" s="674"/>
      <c r="H65" s="674"/>
      <c r="I65" s="674">
        <v>360.20499999999998</v>
      </c>
      <c r="J65" s="674"/>
      <c r="K65" s="674">
        <v>372.233</v>
      </c>
      <c r="L65" s="674">
        <v>370.70299999999997</v>
      </c>
      <c r="M65" s="674">
        <v>221.75</v>
      </c>
      <c r="N65" s="674">
        <v>148.953</v>
      </c>
      <c r="O65" s="674">
        <v>370.70299999999997</v>
      </c>
      <c r="P65" s="674">
        <v>221.75</v>
      </c>
      <c r="Q65" s="674">
        <v>148.953</v>
      </c>
    </row>
    <row r="66" spans="1:17" s="136" customFormat="1" hidden="1">
      <c r="A66" s="146"/>
      <c r="B66" s="623"/>
      <c r="C66" s="145"/>
      <c r="D66" s="674"/>
      <c r="E66" s="674"/>
      <c r="F66" s="674"/>
      <c r="G66" s="674"/>
      <c r="H66" s="674"/>
      <c r="I66" s="674"/>
      <c r="J66" s="674"/>
      <c r="K66" s="674"/>
      <c r="L66" s="674"/>
      <c r="M66" s="674"/>
      <c r="N66" s="674"/>
      <c r="O66" s="674"/>
      <c r="P66" s="674"/>
      <c r="Q66" s="674"/>
    </row>
    <row r="67" spans="1:17" s="136" customFormat="1" hidden="1">
      <c r="A67" s="146"/>
      <c r="B67" s="623"/>
      <c r="C67" s="145"/>
      <c r="D67" s="674"/>
      <c r="E67" s="674"/>
      <c r="F67" s="674"/>
      <c r="G67" s="674"/>
      <c r="H67" s="674"/>
      <c r="I67" s="674"/>
      <c r="J67" s="674"/>
      <c r="K67" s="674"/>
      <c r="L67" s="674"/>
      <c r="M67" s="674"/>
      <c r="N67" s="674"/>
      <c r="O67" s="674"/>
      <c r="P67" s="674"/>
      <c r="Q67" s="674"/>
    </row>
    <row r="68" spans="1:17" s="136" customFormat="1" hidden="1">
      <c r="A68" s="146"/>
      <c r="B68" s="623" t="s">
        <v>1242</v>
      </c>
      <c r="C68" s="145"/>
      <c r="D68" s="674"/>
      <c r="E68" s="674"/>
      <c r="F68" s="674"/>
      <c r="G68" s="674"/>
      <c r="H68" s="674"/>
      <c r="I68" s="674"/>
      <c r="J68" s="674"/>
      <c r="K68" s="674"/>
      <c r="L68" s="674"/>
      <c r="M68" s="674"/>
      <c r="N68" s="674"/>
      <c r="O68" s="674"/>
      <c r="P68" s="674"/>
      <c r="Q68" s="674"/>
    </row>
    <row r="69" spans="1:17" s="136" customFormat="1">
      <c r="A69" s="146"/>
      <c r="B69" s="623" t="s">
        <v>1202</v>
      </c>
      <c r="C69" s="145" t="s">
        <v>804</v>
      </c>
      <c r="D69" s="674"/>
      <c r="E69" s="674"/>
      <c r="F69" s="674"/>
      <c r="G69" s="674"/>
      <c r="H69" s="674"/>
      <c r="I69" s="674">
        <v>79.123000000000005</v>
      </c>
      <c r="J69" s="674"/>
      <c r="K69" s="674">
        <v>84.424999999999997</v>
      </c>
      <c r="L69" s="674">
        <v>83.441999999999993</v>
      </c>
      <c r="M69" s="674">
        <v>49.345999999999997</v>
      </c>
      <c r="N69" s="674">
        <v>34.095999999999997</v>
      </c>
      <c r="O69" s="674">
        <v>83.441999999999993</v>
      </c>
      <c r="P69" s="674">
        <v>49.345999999999997</v>
      </c>
      <c r="Q69" s="674">
        <v>34.095999999999997</v>
      </c>
    </row>
    <row r="70" spans="1:17" s="136" customFormat="1" hidden="1">
      <c r="A70" s="146"/>
      <c r="B70" s="623"/>
      <c r="C70" s="145"/>
      <c r="D70" s="674"/>
      <c r="E70" s="674"/>
      <c r="F70" s="674"/>
      <c r="G70" s="674"/>
      <c r="H70" s="674"/>
      <c r="I70" s="674"/>
      <c r="J70" s="674"/>
      <c r="K70" s="674"/>
      <c r="L70" s="674"/>
      <c r="M70" s="674"/>
      <c r="N70" s="674"/>
      <c r="O70" s="674"/>
      <c r="P70" s="674"/>
      <c r="Q70" s="674"/>
    </row>
    <row r="71" spans="1:17" s="136" customFormat="1" hidden="1">
      <c r="A71" s="146"/>
      <c r="B71" s="623"/>
      <c r="C71" s="145"/>
      <c r="D71" s="674"/>
      <c r="E71" s="674"/>
      <c r="F71" s="674"/>
      <c r="G71" s="674"/>
      <c r="H71" s="674"/>
      <c r="I71" s="674"/>
      <c r="J71" s="674"/>
      <c r="K71" s="674"/>
      <c r="L71" s="674"/>
      <c r="M71" s="674"/>
      <c r="N71" s="674"/>
      <c r="O71" s="674"/>
      <c r="P71" s="674"/>
      <c r="Q71" s="674"/>
    </row>
    <row r="72" spans="1:17" s="136" customFormat="1" hidden="1">
      <c r="A72" s="146"/>
      <c r="B72" s="623" t="s">
        <v>1242</v>
      </c>
      <c r="C72" s="145"/>
      <c r="D72" s="674"/>
      <c r="E72" s="674"/>
      <c r="F72" s="674"/>
      <c r="G72" s="674"/>
      <c r="H72" s="674"/>
      <c r="I72" s="674"/>
      <c r="J72" s="674"/>
      <c r="K72" s="674"/>
      <c r="L72" s="674"/>
      <c r="M72" s="674"/>
      <c r="N72" s="674"/>
      <c r="O72" s="674"/>
      <c r="P72" s="674"/>
      <c r="Q72" s="674"/>
    </row>
    <row r="73" spans="1:17" s="136" customFormat="1">
      <c r="A73" s="146"/>
      <c r="B73" s="623" t="s">
        <v>1203</v>
      </c>
      <c r="C73" s="145" t="s">
        <v>804</v>
      </c>
      <c r="D73" s="674"/>
      <c r="E73" s="674"/>
      <c r="F73" s="674"/>
      <c r="G73" s="674"/>
      <c r="H73" s="674"/>
      <c r="I73" s="674">
        <v>0</v>
      </c>
      <c r="J73" s="674"/>
      <c r="K73" s="674">
        <v>2.6459999999999999</v>
      </c>
      <c r="L73" s="674">
        <v>5.3640000000000008</v>
      </c>
      <c r="M73" s="674">
        <v>2.8050000000000002</v>
      </c>
      <c r="N73" s="674">
        <v>2.5590000000000002</v>
      </c>
      <c r="O73" s="674">
        <v>5.3640000000000008</v>
      </c>
      <c r="P73" s="674">
        <v>2.8050000000000002</v>
      </c>
      <c r="Q73" s="674">
        <v>2.5590000000000002</v>
      </c>
    </row>
    <row r="74" spans="1:17" s="713" customFormat="1" ht="25.5">
      <c r="A74" s="709">
        <v>14</v>
      </c>
      <c r="B74" s="710" t="s">
        <v>1204</v>
      </c>
      <c r="C74" s="728" t="s">
        <v>166</v>
      </c>
      <c r="D74" s="729">
        <v>188.5</v>
      </c>
      <c r="E74" s="729">
        <f t="shared" ref="E74:N74" si="2">E88/E60*1000</f>
        <v>183.03251109669989</v>
      </c>
      <c r="F74" s="729">
        <v>190.9</v>
      </c>
      <c r="G74" s="729">
        <v>197.7806514186077</v>
      </c>
      <c r="H74" s="729">
        <v>211.70000000000002</v>
      </c>
      <c r="I74" s="729">
        <v>207.2329050892647</v>
      </c>
      <c r="J74" s="729">
        <v>0</v>
      </c>
      <c r="K74" s="729">
        <v>207.1788504319934</v>
      </c>
      <c r="L74" s="729">
        <v>211.6863993920131</v>
      </c>
      <c r="M74" s="729">
        <v>211.64792351689647</v>
      </c>
      <c r="N74" s="729">
        <v>211.7436168737448</v>
      </c>
      <c r="O74" s="729">
        <v>211.6863993920131</v>
      </c>
      <c r="P74" s="729">
        <v>211.64792351689647</v>
      </c>
      <c r="Q74" s="729">
        <v>211.7436168737448</v>
      </c>
    </row>
    <row r="75" spans="1:17" s="136" customFormat="1" hidden="1">
      <c r="A75" s="146"/>
      <c r="B75" s="138"/>
      <c r="C75" s="141"/>
      <c r="D75" s="143"/>
      <c r="E75" s="143"/>
      <c r="F75" s="143"/>
      <c r="G75" s="143"/>
      <c r="H75" s="143"/>
      <c r="I75" s="143"/>
      <c r="J75" s="143"/>
      <c r="K75" s="143"/>
      <c r="L75" s="143"/>
      <c r="M75" s="143"/>
      <c r="N75" s="143"/>
      <c r="O75" s="143"/>
      <c r="P75" s="143"/>
      <c r="Q75" s="143"/>
    </row>
    <row r="76" spans="1:17" s="136" customFormat="1" hidden="1">
      <c r="A76" s="146"/>
      <c r="B76" s="138"/>
      <c r="C76" s="141"/>
      <c r="D76" s="143"/>
      <c r="E76" s="143"/>
      <c r="F76" s="143"/>
      <c r="G76" s="143"/>
      <c r="H76" s="143"/>
      <c r="I76" s="143"/>
      <c r="J76" s="143"/>
      <c r="K76" s="143"/>
      <c r="L76" s="143"/>
      <c r="M76" s="143"/>
      <c r="N76" s="143"/>
      <c r="O76" s="143"/>
      <c r="P76" s="143"/>
      <c r="Q76" s="143"/>
    </row>
    <row r="77" spans="1:17" s="136" customFormat="1" hidden="1">
      <c r="A77" s="146"/>
      <c r="B77" s="138" t="s">
        <v>1241</v>
      </c>
      <c r="C77" s="141"/>
      <c r="D77" s="143"/>
      <c r="E77" s="143"/>
      <c r="F77" s="143"/>
      <c r="G77" s="143"/>
      <c r="H77" s="143"/>
      <c r="I77" s="143"/>
      <c r="J77" s="143"/>
      <c r="K77" s="143"/>
      <c r="L77" s="143"/>
      <c r="M77" s="143"/>
      <c r="N77" s="143"/>
      <c r="O77" s="143"/>
      <c r="P77" s="143"/>
      <c r="Q77" s="143"/>
    </row>
    <row r="78" spans="1:17" s="136" customFormat="1">
      <c r="A78" s="146"/>
      <c r="B78" s="623" t="s">
        <v>1200</v>
      </c>
      <c r="C78" s="141" t="s">
        <v>166</v>
      </c>
      <c r="D78" s="675">
        <v>248.2</v>
      </c>
      <c r="E78" s="675">
        <v>253.6</v>
      </c>
      <c r="F78" s="675">
        <v>265.39999999999998</v>
      </c>
      <c r="G78" s="675"/>
      <c r="H78" s="675">
        <v>218</v>
      </c>
      <c r="I78" s="675">
        <v>311.65519335897955</v>
      </c>
      <c r="J78" s="675"/>
      <c r="K78" s="675">
        <v>263.65954600560184</v>
      </c>
      <c r="L78" s="675">
        <v>281.56361281968276</v>
      </c>
      <c r="M78" s="675">
        <v>281.49996800409548</v>
      </c>
      <c r="N78" s="675">
        <v>281.67308750687954</v>
      </c>
      <c r="O78" s="675">
        <v>281.56361281968276</v>
      </c>
      <c r="P78" s="675">
        <v>281.49996800409548</v>
      </c>
      <c r="Q78" s="675">
        <v>281.67308750687954</v>
      </c>
    </row>
    <row r="79" spans="1:17" s="136" customFormat="1">
      <c r="A79" s="146"/>
      <c r="B79" s="623" t="s">
        <v>1201</v>
      </c>
      <c r="C79" s="141" t="s">
        <v>166</v>
      </c>
      <c r="D79" s="675">
        <v>181.1</v>
      </c>
      <c r="E79" s="675">
        <v>178.5</v>
      </c>
      <c r="F79" s="675">
        <v>189.1</v>
      </c>
      <c r="G79" s="675"/>
      <c r="H79" s="675">
        <v>197</v>
      </c>
      <c r="I79" s="675">
        <v>206.58305964659013</v>
      </c>
      <c r="J79" s="675"/>
      <c r="K79" s="675">
        <v>208.94977070813175</v>
      </c>
      <c r="L79" s="675">
        <v>214.06624710347634</v>
      </c>
      <c r="M79" s="675">
        <v>213.59188275084554</v>
      </c>
      <c r="N79" s="675">
        <v>214.77244499942935</v>
      </c>
      <c r="O79" s="675">
        <v>214.06624710347634</v>
      </c>
      <c r="P79" s="675">
        <v>213.59188275084554</v>
      </c>
      <c r="Q79" s="675">
        <v>214.77244499942935</v>
      </c>
    </row>
    <row r="80" spans="1:17" s="136" customFormat="1" hidden="1">
      <c r="A80" s="146"/>
      <c r="B80" s="623"/>
      <c r="C80" s="141"/>
      <c r="D80" s="675"/>
      <c r="E80" s="675"/>
      <c r="F80" s="675"/>
      <c r="G80" s="675"/>
      <c r="H80" s="675"/>
      <c r="I80" s="675" t="e">
        <v>#DIV/0!</v>
      </c>
      <c r="J80" s="675"/>
      <c r="K80" s="675" t="e">
        <v>#DIV/0!</v>
      </c>
      <c r="L80" s="675" t="e">
        <v>#DIV/0!</v>
      </c>
      <c r="M80" s="675" t="e">
        <v>#DIV/0!</v>
      </c>
      <c r="N80" s="675" t="e">
        <v>#DIV/0!</v>
      </c>
      <c r="O80" s="675" t="e">
        <v>#DIV/0!</v>
      </c>
      <c r="P80" s="675" t="e">
        <v>#DIV/0!</v>
      </c>
      <c r="Q80" s="675" t="e">
        <v>#DIV/0!</v>
      </c>
    </row>
    <row r="81" spans="1:19" s="136" customFormat="1" hidden="1">
      <c r="A81" s="146"/>
      <c r="B81" s="623"/>
      <c r="C81" s="141"/>
      <c r="D81" s="675"/>
      <c r="E81" s="675"/>
      <c r="F81" s="675"/>
      <c r="G81" s="675"/>
      <c r="H81" s="675"/>
      <c r="I81" s="675" t="e">
        <v>#DIV/0!</v>
      </c>
      <c r="J81" s="675"/>
      <c r="K81" s="675" t="e">
        <v>#DIV/0!</v>
      </c>
      <c r="L81" s="675" t="e">
        <v>#DIV/0!</v>
      </c>
      <c r="M81" s="675" t="e">
        <v>#DIV/0!</v>
      </c>
      <c r="N81" s="675" t="e">
        <v>#DIV/0!</v>
      </c>
      <c r="O81" s="675" t="e">
        <v>#DIV/0!</v>
      </c>
      <c r="P81" s="675" t="e">
        <v>#DIV/0!</v>
      </c>
      <c r="Q81" s="675" t="e">
        <v>#DIV/0!</v>
      </c>
    </row>
    <row r="82" spans="1:19" s="136" customFormat="1" hidden="1">
      <c r="A82" s="146"/>
      <c r="B82" s="623" t="s">
        <v>1242</v>
      </c>
      <c r="C82" s="141"/>
      <c r="D82" s="675"/>
      <c r="E82" s="675"/>
      <c r="F82" s="675"/>
      <c r="G82" s="675"/>
      <c r="H82" s="675"/>
      <c r="I82" s="675" t="e">
        <v>#DIV/0!</v>
      </c>
      <c r="J82" s="675"/>
      <c r="K82" s="675" t="e">
        <v>#DIV/0!</v>
      </c>
      <c r="L82" s="675" t="e">
        <v>#DIV/0!</v>
      </c>
      <c r="M82" s="675" t="e">
        <v>#DIV/0!</v>
      </c>
      <c r="N82" s="675" t="e">
        <v>#DIV/0!</v>
      </c>
      <c r="O82" s="675" t="e">
        <v>#DIV/0!</v>
      </c>
      <c r="P82" s="675" t="e">
        <v>#DIV/0!</v>
      </c>
      <c r="Q82" s="675" t="e">
        <v>#DIV/0!</v>
      </c>
    </row>
    <row r="83" spans="1:19" s="136" customFormat="1">
      <c r="A83" s="146"/>
      <c r="B83" s="623" t="s">
        <v>1202</v>
      </c>
      <c r="C83" s="141" t="s">
        <v>166</v>
      </c>
      <c r="D83" s="675"/>
      <c r="E83" s="675">
        <v>184.2</v>
      </c>
      <c r="F83" s="675">
        <v>178.3</v>
      </c>
      <c r="G83" s="675"/>
      <c r="H83" s="675">
        <v>175.4</v>
      </c>
      <c r="I83" s="675">
        <v>184.11839793738861</v>
      </c>
      <c r="J83" s="675"/>
      <c r="K83" s="675">
        <v>184.77938999111637</v>
      </c>
      <c r="L83" s="675">
        <v>183.60058483737208</v>
      </c>
      <c r="M83" s="675">
        <v>183.60150772099058</v>
      </c>
      <c r="N83" s="675">
        <v>183.59924917878931</v>
      </c>
      <c r="O83" s="675">
        <v>183.60058483737208</v>
      </c>
      <c r="P83" s="675">
        <v>183.60150772099058</v>
      </c>
      <c r="Q83" s="675">
        <v>183.59924917878931</v>
      </c>
    </row>
    <row r="84" spans="1:19" s="136" customFormat="1" hidden="1">
      <c r="A84" s="146"/>
      <c r="B84" s="623"/>
      <c r="C84" s="141"/>
      <c r="D84" s="675"/>
      <c r="E84" s="675"/>
      <c r="F84" s="675"/>
      <c r="G84" s="675"/>
      <c r="H84" s="675"/>
      <c r="I84" s="675" t="e">
        <v>#DIV/0!</v>
      </c>
      <c r="J84" s="675"/>
      <c r="K84" s="675" t="e">
        <v>#DIV/0!</v>
      </c>
      <c r="L84" s="675" t="e">
        <v>#DIV/0!</v>
      </c>
      <c r="M84" s="675" t="e">
        <v>#DIV/0!</v>
      </c>
      <c r="N84" s="675" t="e">
        <v>#DIV/0!</v>
      </c>
      <c r="O84" s="675" t="e">
        <v>#DIV/0!</v>
      </c>
      <c r="P84" s="675" t="e">
        <v>#DIV/0!</v>
      </c>
      <c r="Q84" s="675" t="e">
        <v>#DIV/0!</v>
      </c>
    </row>
    <row r="85" spans="1:19" s="136" customFormat="1" hidden="1">
      <c r="A85" s="146"/>
      <c r="B85" s="623"/>
      <c r="C85" s="141"/>
      <c r="D85" s="675"/>
      <c r="E85" s="675"/>
      <c r="F85" s="675"/>
      <c r="G85" s="675"/>
      <c r="H85" s="675"/>
      <c r="I85" s="675" t="e">
        <v>#DIV/0!</v>
      </c>
      <c r="J85" s="675"/>
      <c r="K85" s="675" t="e">
        <v>#DIV/0!</v>
      </c>
      <c r="L85" s="675" t="e">
        <v>#DIV/0!</v>
      </c>
      <c r="M85" s="675" t="e">
        <v>#DIV/0!</v>
      </c>
      <c r="N85" s="675" t="e">
        <v>#DIV/0!</v>
      </c>
      <c r="O85" s="675" t="e">
        <v>#DIV/0!</v>
      </c>
      <c r="P85" s="675" t="e">
        <v>#DIV/0!</v>
      </c>
      <c r="Q85" s="675" t="e">
        <v>#DIV/0!</v>
      </c>
    </row>
    <row r="86" spans="1:19" s="136" customFormat="1" hidden="1">
      <c r="A86" s="146"/>
      <c r="B86" s="623" t="s">
        <v>1242</v>
      </c>
      <c r="C86" s="141"/>
      <c r="D86" s="675"/>
      <c r="E86" s="675"/>
      <c r="F86" s="675"/>
      <c r="G86" s="675"/>
      <c r="H86" s="675"/>
      <c r="I86" s="675" t="e">
        <v>#DIV/0!</v>
      </c>
      <c r="J86" s="675"/>
      <c r="K86" s="675" t="e">
        <v>#DIV/0!</v>
      </c>
      <c r="L86" s="675" t="e">
        <v>#DIV/0!</v>
      </c>
      <c r="M86" s="675" t="e">
        <v>#DIV/0!</v>
      </c>
      <c r="N86" s="675" t="e">
        <v>#DIV/0!</v>
      </c>
      <c r="O86" s="675" t="e">
        <v>#DIV/0!</v>
      </c>
      <c r="P86" s="675" t="e">
        <v>#DIV/0!</v>
      </c>
      <c r="Q86" s="675" t="e">
        <v>#DIV/0!</v>
      </c>
    </row>
    <row r="87" spans="1:19" s="136" customFormat="1">
      <c r="A87" s="146"/>
      <c r="B87" s="623" t="s">
        <v>1203</v>
      </c>
      <c r="C87" s="141" t="s">
        <v>166</v>
      </c>
      <c r="D87" s="675"/>
      <c r="E87" s="675"/>
      <c r="F87" s="675"/>
      <c r="G87" s="675"/>
      <c r="H87" s="675"/>
      <c r="I87" s="675"/>
      <c r="J87" s="675"/>
      <c r="K87" s="675">
        <v>162.13151927437642</v>
      </c>
      <c r="L87" s="675">
        <v>162.19239373601786</v>
      </c>
      <c r="M87" s="675">
        <v>162.2103386809269</v>
      </c>
      <c r="N87" s="675">
        <v>162.17272372020318</v>
      </c>
      <c r="O87" s="675">
        <v>162.19239373601786</v>
      </c>
      <c r="P87" s="675">
        <v>162.2103386809269</v>
      </c>
      <c r="Q87" s="675">
        <v>162.17272372020318</v>
      </c>
    </row>
    <row r="88" spans="1:19" s="713" customFormat="1" ht="26.25">
      <c r="A88" s="714">
        <v>15</v>
      </c>
      <c r="B88" s="715" t="s">
        <v>168</v>
      </c>
      <c r="C88" s="730" t="s">
        <v>807</v>
      </c>
      <c r="D88" s="718">
        <f t="shared" ref="D88:N88" si="3">D92+D93+D97+D101</f>
        <v>105.05200000000001</v>
      </c>
      <c r="E88" s="718">
        <f t="shared" si="3"/>
        <v>103.44</v>
      </c>
      <c r="F88" s="718">
        <v>107.333</v>
      </c>
      <c r="G88" s="718">
        <v>101.06472619100002</v>
      </c>
      <c r="H88" s="718">
        <v>118.82911530000001</v>
      </c>
      <c r="I88" s="718">
        <v>95.137310999999997</v>
      </c>
      <c r="J88" s="718">
        <v>0</v>
      </c>
      <c r="K88" s="718">
        <v>100.114</v>
      </c>
      <c r="L88" s="718">
        <v>102.50299999999999</v>
      </c>
      <c r="M88" s="718">
        <v>61.277999999999999</v>
      </c>
      <c r="N88" s="718">
        <v>41.224999999999994</v>
      </c>
      <c r="O88" s="718">
        <v>102.50299999999999</v>
      </c>
      <c r="P88" s="718">
        <v>61.277999999999999</v>
      </c>
      <c r="Q88" s="718">
        <v>41.224999999999994</v>
      </c>
      <c r="S88" s="731"/>
    </row>
    <row r="89" spans="1:19" s="136" customFormat="1" ht="15" hidden="1" customHeight="1">
      <c r="A89" s="153"/>
      <c r="B89" s="138"/>
      <c r="C89" s="645"/>
      <c r="D89" s="679"/>
      <c r="E89" s="679"/>
      <c r="F89" s="679"/>
      <c r="G89" s="679"/>
      <c r="H89" s="679"/>
      <c r="I89" s="679"/>
      <c r="J89" s="679"/>
      <c r="K89" s="679"/>
      <c r="L89" s="679"/>
      <c r="M89" s="679"/>
      <c r="N89" s="679"/>
      <c r="O89" s="679"/>
      <c r="P89" s="679"/>
      <c r="Q89" s="679"/>
      <c r="S89" s="668"/>
    </row>
    <row r="90" spans="1:19" s="136" customFormat="1" ht="15.75" hidden="1">
      <c r="A90" s="153"/>
      <c r="B90" s="138"/>
      <c r="C90" s="645"/>
      <c r="D90" s="679"/>
      <c r="E90" s="679"/>
      <c r="F90" s="679"/>
      <c r="G90" s="679"/>
      <c r="H90" s="679"/>
      <c r="I90" s="679"/>
      <c r="J90" s="679"/>
      <c r="K90" s="679"/>
      <c r="L90" s="679"/>
      <c r="M90" s="679"/>
      <c r="N90" s="679"/>
      <c r="O90" s="679"/>
      <c r="P90" s="679"/>
      <c r="Q90" s="679"/>
      <c r="S90" s="668"/>
    </row>
    <row r="91" spans="1:19" s="136" customFormat="1" ht="15.75" hidden="1">
      <c r="A91" s="153"/>
      <c r="B91" s="138" t="s">
        <v>1241</v>
      </c>
      <c r="C91" s="645"/>
      <c r="D91" s="679"/>
      <c r="E91" s="679"/>
      <c r="F91" s="679"/>
      <c r="G91" s="679"/>
      <c r="H91" s="679"/>
      <c r="I91" s="679"/>
      <c r="J91" s="679"/>
      <c r="K91" s="679"/>
      <c r="L91" s="679"/>
      <c r="M91" s="679"/>
      <c r="N91" s="679"/>
      <c r="O91" s="679"/>
      <c r="P91" s="679"/>
      <c r="Q91" s="679"/>
      <c r="S91" s="668"/>
    </row>
    <row r="92" spans="1:19" s="136" customFormat="1" ht="15.75">
      <c r="A92" s="153"/>
      <c r="B92" s="623" t="s">
        <v>1200</v>
      </c>
      <c r="C92" s="145" t="s">
        <v>807</v>
      </c>
      <c r="D92" s="147">
        <v>10.199</v>
      </c>
      <c r="E92" s="147">
        <v>8.1460000000000008</v>
      </c>
      <c r="F92" s="147">
        <v>8.0139999999999993</v>
      </c>
      <c r="G92" s="147">
        <v>7.2009400000000001</v>
      </c>
      <c r="H92" s="147">
        <v>6.7059999999999995</v>
      </c>
      <c r="I92" s="147">
        <v>6.1570600000000004</v>
      </c>
      <c r="J92" s="147"/>
      <c r="K92" s="147">
        <v>6.3070000000000004</v>
      </c>
      <c r="L92" s="147">
        <v>6.9580000000000002</v>
      </c>
      <c r="M92" s="147">
        <v>4.399</v>
      </c>
      <c r="N92" s="147">
        <v>2.5590000000000002</v>
      </c>
      <c r="O92" s="147">
        <v>6.9580000000000002</v>
      </c>
      <c r="P92" s="147">
        <v>4.399</v>
      </c>
      <c r="Q92" s="147">
        <v>2.5590000000000002</v>
      </c>
      <c r="S92" s="668"/>
    </row>
    <row r="93" spans="1:19" s="136" customFormat="1" ht="15.75">
      <c r="A93" s="153"/>
      <c r="B93" s="623" t="s">
        <v>1201</v>
      </c>
      <c r="C93" s="145" t="s">
        <v>807</v>
      </c>
      <c r="D93" s="147">
        <v>83.486000000000004</v>
      </c>
      <c r="E93" s="147">
        <v>89.948999999999998</v>
      </c>
      <c r="F93" s="147">
        <v>84.301000000000002</v>
      </c>
      <c r="G93" s="147">
        <v>78.38701300000001</v>
      </c>
      <c r="H93" s="147">
        <v>99.254115300000009</v>
      </c>
      <c r="I93" s="147">
        <v>74.412250999999998</v>
      </c>
      <c r="J93" s="147"/>
      <c r="K93" s="147">
        <v>77.778000000000006</v>
      </c>
      <c r="L93" s="147">
        <v>79.35499999999999</v>
      </c>
      <c r="M93" s="147">
        <v>47.363999999999997</v>
      </c>
      <c r="N93" s="147">
        <v>31.991</v>
      </c>
      <c r="O93" s="147">
        <v>79.35499999999999</v>
      </c>
      <c r="P93" s="147">
        <v>47.363999999999997</v>
      </c>
      <c r="Q93" s="147">
        <v>31.991</v>
      </c>
      <c r="S93" s="668"/>
    </row>
    <row r="94" spans="1:19" s="136" customFormat="1" ht="15.75" hidden="1">
      <c r="A94" s="153"/>
      <c r="B94" s="623"/>
      <c r="C94" s="145"/>
      <c r="D94" s="147"/>
      <c r="E94" s="147"/>
      <c r="F94" s="147"/>
      <c r="G94" s="147">
        <v>78.38701300000001</v>
      </c>
      <c r="H94" s="147"/>
      <c r="I94" s="147"/>
      <c r="J94" s="147"/>
      <c r="K94" s="147"/>
      <c r="L94" s="147">
        <v>0</v>
      </c>
      <c r="M94" s="147"/>
      <c r="N94" s="147"/>
      <c r="O94" s="147">
        <v>0</v>
      </c>
      <c r="P94" s="147"/>
      <c r="Q94" s="147"/>
      <c r="S94" s="668"/>
    </row>
    <row r="95" spans="1:19" s="136" customFormat="1" ht="15.75" hidden="1">
      <c r="A95" s="153"/>
      <c r="B95" s="623"/>
      <c r="C95" s="145"/>
      <c r="D95" s="147"/>
      <c r="E95" s="147"/>
      <c r="F95" s="147"/>
      <c r="G95" s="147">
        <v>0</v>
      </c>
      <c r="H95" s="147"/>
      <c r="I95" s="147"/>
      <c r="J95" s="147"/>
      <c r="K95" s="147"/>
      <c r="L95" s="147">
        <v>0</v>
      </c>
      <c r="M95" s="147"/>
      <c r="N95" s="147"/>
      <c r="O95" s="147">
        <v>0</v>
      </c>
      <c r="P95" s="147"/>
      <c r="Q95" s="147"/>
      <c r="S95" s="668"/>
    </row>
    <row r="96" spans="1:19" s="136" customFormat="1" ht="15.75" hidden="1">
      <c r="A96" s="153"/>
      <c r="B96" s="623" t="s">
        <v>1242</v>
      </c>
      <c r="C96" s="145"/>
      <c r="D96" s="147"/>
      <c r="E96" s="147"/>
      <c r="F96" s="147"/>
      <c r="G96" s="147">
        <v>0</v>
      </c>
      <c r="H96" s="147"/>
      <c r="I96" s="147"/>
      <c r="J96" s="147"/>
      <c r="K96" s="147"/>
      <c r="L96" s="147">
        <v>0</v>
      </c>
      <c r="M96" s="147"/>
      <c r="N96" s="147"/>
      <c r="O96" s="147">
        <v>0</v>
      </c>
      <c r="P96" s="147"/>
      <c r="Q96" s="147"/>
      <c r="S96" s="668"/>
    </row>
    <row r="97" spans="1:19" s="136" customFormat="1" ht="15.75">
      <c r="A97" s="153"/>
      <c r="B97" s="623" t="s">
        <v>1202</v>
      </c>
      <c r="C97" s="145" t="s">
        <v>807</v>
      </c>
      <c r="D97" s="147">
        <v>11.367000000000001</v>
      </c>
      <c r="E97" s="147">
        <v>5.3449999999999998</v>
      </c>
      <c r="F97" s="147">
        <v>15.018000000000001</v>
      </c>
      <c r="G97" s="147">
        <v>15.476773191000001</v>
      </c>
      <c r="H97" s="147">
        <v>12.869</v>
      </c>
      <c r="I97" s="147">
        <v>14.568</v>
      </c>
      <c r="J97" s="147"/>
      <c r="K97" s="147">
        <v>15.6</v>
      </c>
      <c r="L97" s="147">
        <v>15.32</v>
      </c>
      <c r="M97" s="147">
        <v>9.06</v>
      </c>
      <c r="N97" s="147">
        <v>6.26</v>
      </c>
      <c r="O97" s="147">
        <v>15.32</v>
      </c>
      <c r="P97" s="147">
        <v>9.06</v>
      </c>
      <c r="Q97" s="147">
        <v>6.26</v>
      </c>
      <c r="S97" s="668"/>
    </row>
    <row r="98" spans="1:19" s="136" customFormat="1" ht="15.75" hidden="1">
      <c r="A98" s="153"/>
      <c r="B98" s="623"/>
      <c r="C98" s="145"/>
      <c r="D98" s="147"/>
      <c r="E98" s="147"/>
      <c r="F98" s="147"/>
      <c r="G98" s="147"/>
      <c r="H98" s="147"/>
      <c r="I98" s="147"/>
      <c r="J98" s="147"/>
      <c r="K98" s="147"/>
      <c r="L98" s="147">
        <v>0</v>
      </c>
      <c r="M98" s="147"/>
      <c r="N98" s="147"/>
      <c r="O98" s="147">
        <v>0</v>
      </c>
      <c r="P98" s="147"/>
      <c r="Q98" s="147"/>
      <c r="S98" s="668"/>
    </row>
    <row r="99" spans="1:19" s="136" customFormat="1" ht="15.75" hidden="1">
      <c r="A99" s="153"/>
      <c r="B99" s="623"/>
      <c r="C99" s="145"/>
      <c r="D99" s="147"/>
      <c r="E99" s="147"/>
      <c r="F99" s="147"/>
      <c r="G99" s="147"/>
      <c r="H99" s="147"/>
      <c r="I99" s="147"/>
      <c r="J99" s="147"/>
      <c r="K99" s="147"/>
      <c r="L99" s="147">
        <v>0</v>
      </c>
      <c r="M99" s="147"/>
      <c r="N99" s="147"/>
      <c r="O99" s="147">
        <v>0</v>
      </c>
      <c r="P99" s="147"/>
      <c r="Q99" s="147"/>
      <c r="S99" s="668"/>
    </row>
    <row r="100" spans="1:19" s="136" customFormat="1" ht="15.75" hidden="1">
      <c r="A100" s="153"/>
      <c r="B100" s="623" t="s">
        <v>1242</v>
      </c>
      <c r="C100" s="145"/>
      <c r="D100" s="147"/>
      <c r="E100" s="147"/>
      <c r="F100" s="147"/>
      <c r="G100" s="147"/>
      <c r="H100" s="147"/>
      <c r="I100" s="147"/>
      <c r="J100" s="147"/>
      <c r="K100" s="147"/>
      <c r="L100" s="147">
        <v>0</v>
      </c>
      <c r="M100" s="147"/>
      <c r="N100" s="147"/>
      <c r="O100" s="147">
        <v>0</v>
      </c>
      <c r="P100" s="147"/>
      <c r="Q100" s="147"/>
      <c r="S100" s="668"/>
    </row>
    <row r="101" spans="1:19" s="136" customFormat="1" ht="15.75">
      <c r="A101" s="153"/>
      <c r="B101" s="623" t="s">
        <v>1203</v>
      </c>
      <c r="C101" s="145" t="s">
        <v>807</v>
      </c>
      <c r="D101" s="147">
        <f t="shared" ref="D101:H101" si="4">ROUND(D73*D87/1000,3)</f>
        <v>0</v>
      </c>
      <c r="E101" s="147">
        <f t="shared" si="4"/>
        <v>0</v>
      </c>
      <c r="F101" s="147">
        <v>0</v>
      </c>
      <c r="G101" s="147">
        <v>0</v>
      </c>
      <c r="H101" s="147">
        <v>0</v>
      </c>
      <c r="I101" s="147">
        <v>0</v>
      </c>
      <c r="J101" s="147"/>
      <c r="K101" s="147">
        <v>0.42899999999999999</v>
      </c>
      <c r="L101" s="147">
        <v>0.87</v>
      </c>
      <c r="M101" s="147">
        <v>0.45500000000000002</v>
      </c>
      <c r="N101" s="147">
        <v>0.41499999999999998</v>
      </c>
      <c r="O101" s="147">
        <v>0.87</v>
      </c>
      <c r="P101" s="147">
        <v>0.45500000000000002</v>
      </c>
      <c r="Q101" s="147">
        <v>0.41499999999999998</v>
      </c>
      <c r="S101" s="668"/>
    </row>
    <row r="102" spans="1:19" s="136" customFormat="1" ht="15" customHeight="1">
      <c r="A102" s="146">
        <v>16</v>
      </c>
      <c r="B102" s="625" t="s">
        <v>808</v>
      </c>
      <c r="C102" s="145" t="s">
        <v>807</v>
      </c>
      <c r="D102" s="626">
        <f>D88</f>
        <v>105.05200000000001</v>
      </c>
      <c r="E102" s="625">
        <f t="shared" ref="E102" si="5">E88</f>
        <v>103.44</v>
      </c>
      <c r="F102" s="625">
        <v>107.333</v>
      </c>
      <c r="G102" s="626">
        <v>101.06472619100002</v>
      </c>
      <c r="H102" s="626">
        <v>118.82911530000001</v>
      </c>
      <c r="I102" s="626">
        <v>95.137310999999997</v>
      </c>
      <c r="J102" s="626">
        <v>0</v>
      </c>
      <c r="K102" s="626">
        <v>100.114</v>
      </c>
      <c r="L102" s="626">
        <v>102.50299999999999</v>
      </c>
      <c r="M102" s="626">
        <v>61.277999999999999</v>
      </c>
      <c r="N102" s="626">
        <v>41.224999999999994</v>
      </c>
      <c r="O102" s="626">
        <v>102.50299999999999</v>
      </c>
      <c r="P102" s="626">
        <v>61.277999999999999</v>
      </c>
      <c r="Q102" s="626">
        <v>41.224999999999994</v>
      </c>
    </row>
    <row r="103" spans="1:19" s="136" customFormat="1" ht="25.5">
      <c r="A103" s="133">
        <v>17</v>
      </c>
      <c r="B103" s="138" t="s">
        <v>809</v>
      </c>
      <c r="C103" s="133" t="s">
        <v>138</v>
      </c>
      <c r="D103" s="627">
        <f t="shared" ref="D103:N103" si="6">D88/D102</f>
        <v>1</v>
      </c>
      <c r="E103" s="627">
        <f t="shared" si="6"/>
        <v>1</v>
      </c>
      <c r="F103" s="627">
        <v>1</v>
      </c>
      <c r="G103" s="627">
        <v>1</v>
      </c>
      <c r="H103" s="627">
        <v>1</v>
      </c>
      <c r="I103" s="627">
        <v>1</v>
      </c>
      <c r="J103" s="627" t="e">
        <v>#DIV/0!</v>
      </c>
      <c r="K103" s="627">
        <v>1</v>
      </c>
      <c r="L103" s="627">
        <v>1</v>
      </c>
      <c r="M103" s="627">
        <v>1</v>
      </c>
      <c r="N103" s="627">
        <v>1</v>
      </c>
      <c r="O103" s="627">
        <v>1</v>
      </c>
      <c r="P103" s="627">
        <v>1</v>
      </c>
      <c r="Q103" s="627">
        <v>1</v>
      </c>
    </row>
    <row r="104" spans="1:19" s="136" customFormat="1" ht="14.25" customHeight="1">
      <c r="A104" s="628">
        <v>18</v>
      </c>
      <c r="B104" s="629" t="s">
        <v>174</v>
      </c>
      <c r="C104" s="628" t="s">
        <v>807</v>
      </c>
      <c r="D104" s="630">
        <f>D105+D107+D111+D118</f>
        <v>105.05200000000001</v>
      </c>
      <c r="E104" s="630">
        <f>E105+E107+E111+E118</f>
        <v>103.44</v>
      </c>
      <c r="F104" s="630">
        <v>107.333</v>
      </c>
      <c r="G104" s="630">
        <v>101.06472619100002</v>
      </c>
      <c r="H104" s="630">
        <v>118.82911530000001</v>
      </c>
      <c r="I104" s="630">
        <v>95.137310999999997</v>
      </c>
      <c r="J104" s="630">
        <v>0</v>
      </c>
      <c r="K104" s="630">
        <v>100.114</v>
      </c>
      <c r="L104" s="630">
        <v>102.50299999999999</v>
      </c>
      <c r="M104" s="630">
        <v>61.277999999999999</v>
      </c>
      <c r="N104" s="630">
        <v>41.224999999999994</v>
      </c>
      <c r="O104" s="630">
        <v>102.50299999999999</v>
      </c>
      <c r="P104" s="630">
        <v>61.277999999999999</v>
      </c>
      <c r="Q104" s="630">
        <v>41.224999999999994</v>
      </c>
    </row>
    <row r="105" spans="1:19" s="148" customFormat="1" ht="14.25" customHeight="1">
      <c r="A105" s="152" t="s">
        <v>175</v>
      </c>
      <c r="B105" s="632" t="s">
        <v>1205</v>
      </c>
      <c r="C105" s="153" t="s">
        <v>807</v>
      </c>
      <c r="D105" s="633">
        <f>D92</f>
        <v>10.199</v>
      </c>
      <c r="E105" s="633">
        <f>E92</f>
        <v>8.1460000000000008</v>
      </c>
      <c r="F105" s="633">
        <v>8.0139999999999993</v>
      </c>
      <c r="G105" s="633">
        <v>7.2009400000000001</v>
      </c>
      <c r="H105" s="633">
        <v>6.7059999999999995</v>
      </c>
      <c r="I105" s="633">
        <v>6.1570600000000004</v>
      </c>
      <c r="J105" s="633">
        <v>0</v>
      </c>
      <c r="K105" s="633">
        <v>6.3070000000000004</v>
      </c>
      <c r="L105" s="633">
        <v>6.9580000000000002</v>
      </c>
      <c r="M105" s="633">
        <v>4.399</v>
      </c>
      <c r="N105" s="633">
        <v>2.5590000000000002</v>
      </c>
      <c r="O105" s="633">
        <v>6.9580000000000002</v>
      </c>
      <c r="P105" s="633">
        <v>4.399</v>
      </c>
      <c r="Q105" s="633">
        <v>2.5590000000000002</v>
      </c>
    </row>
    <row r="106" spans="1:19" s="148" customFormat="1" ht="14.25" hidden="1" customHeight="1">
      <c r="A106" s="152"/>
      <c r="B106" s="632"/>
      <c r="C106" s="153"/>
      <c r="D106" s="633"/>
      <c r="E106" s="633"/>
      <c r="F106" s="633"/>
      <c r="G106" s="633"/>
      <c r="H106" s="633"/>
      <c r="I106" s="633"/>
      <c r="J106" s="633"/>
      <c r="K106" s="633"/>
      <c r="L106" s="633"/>
      <c r="M106" s="633"/>
      <c r="N106" s="633"/>
      <c r="O106" s="633"/>
      <c r="P106" s="633"/>
      <c r="Q106" s="633"/>
    </row>
    <row r="107" spans="1:19" s="669" customFormat="1">
      <c r="A107" s="152" t="s">
        <v>177</v>
      </c>
      <c r="B107" s="634" t="s">
        <v>810</v>
      </c>
      <c r="C107" s="153" t="s">
        <v>807</v>
      </c>
      <c r="D107" s="633">
        <f>D93</f>
        <v>83.486000000000004</v>
      </c>
      <c r="E107" s="633">
        <f>E93</f>
        <v>89.948999999999998</v>
      </c>
      <c r="F107" s="633">
        <v>84.301000000000002</v>
      </c>
      <c r="G107" s="633">
        <v>78.38701300000001</v>
      </c>
      <c r="H107" s="633">
        <v>99.254115300000009</v>
      </c>
      <c r="I107" s="633">
        <v>74.412250999999998</v>
      </c>
      <c r="J107" s="633">
        <v>0</v>
      </c>
      <c r="K107" s="633">
        <v>77.778000000000006</v>
      </c>
      <c r="L107" s="633">
        <v>79.35499999999999</v>
      </c>
      <c r="M107" s="633">
        <v>47.363999999999997</v>
      </c>
      <c r="N107" s="633">
        <v>31.991</v>
      </c>
      <c r="O107" s="633">
        <v>79.35499999999999</v>
      </c>
      <c r="P107" s="633">
        <v>47.363999999999997</v>
      </c>
      <c r="Q107" s="633">
        <v>31.991</v>
      </c>
    </row>
    <row r="108" spans="1:19" s="669" customFormat="1" hidden="1">
      <c r="A108" s="152"/>
      <c r="B108" s="623"/>
      <c r="C108" s="133" t="s">
        <v>807</v>
      </c>
      <c r="D108" s="633"/>
      <c r="E108" s="633"/>
      <c r="F108" s="633"/>
      <c r="G108" s="633"/>
      <c r="H108" s="633"/>
      <c r="I108" s="633"/>
      <c r="J108" s="633"/>
      <c r="K108" s="633"/>
      <c r="L108" s="633"/>
      <c r="M108" s="633"/>
      <c r="N108" s="633"/>
      <c r="O108" s="633"/>
      <c r="P108" s="633"/>
      <c r="Q108" s="633"/>
    </row>
    <row r="109" spans="1:19" s="669" customFormat="1" hidden="1">
      <c r="A109" s="152"/>
      <c r="B109" s="623"/>
      <c r="C109" s="133" t="s">
        <v>807</v>
      </c>
      <c r="D109" s="633"/>
      <c r="E109" s="633"/>
      <c r="F109" s="633"/>
      <c r="G109" s="633"/>
      <c r="H109" s="633"/>
      <c r="I109" s="633"/>
      <c r="J109" s="633"/>
      <c r="K109" s="633"/>
      <c r="L109" s="633"/>
      <c r="M109" s="633"/>
      <c r="N109" s="633"/>
      <c r="O109" s="633"/>
      <c r="P109" s="633"/>
      <c r="Q109" s="633"/>
    </row>
    <row r="110" spans="1:19" s="669" customFormat="1" hidden="1">
      <c r="A110" s="152"/>
      <c r="B110" s="623" t="s">
        <v>1242</v>
      </c>
      <c r="C110" s="133" t="s">
        <v>807</v>
      </c>
      <c r="D110" s="633"/>
      <c r="E110" s="633"/>
      <c r="F110" s="633"/>
      <c r="G110" s="633"/>
      <c r="H110" s="633"/>
      <c r="I110" s="633"/>
      <c r="J110" s="633"/>
      <c r="K110" s="633"/>
      <c r="L110" s="633"/>
      <c r="M110" s="633"/>
      <c r="N110" s="633"/>
      <c r="O110" s="633"/>
      <c r="P110" s="633"/>
      <c r="Q110" s="633"/>
    </row>
    <row r="111" spans="1:19" s="667" customFormat="1">
      <c r="A111" s="152" t="s">
        <v>179</v>
      </c>
      <c r="B111" s="634" t="s">
        <v>811</v>
      </c>
      <c r="C111" s="153" t="s">
        <v>807</v>
      </c>
      <c r="D111" s="633">
        <f>D97</f>
        <v>11.367000000000001</v>
      </c>
      <c r="E111" s="633">
        <f>E97</f>
        <v>5.3449999999999998</v>
      </c>
      <c r="F111" s="633">
        <v>15.018000000000001</v>
      </c>
      <c r="G111" s="633">
        <v>15.476773191000001</v>
      </c>
      <c r="H111" s="633">
        <v>12.869</v>
      </c>
      <c r="I111" s="633">
        <v>14.568</v>
      </c>
      <c r="J111" s="633">
        <v>0</v>
      </c>
      <c r="K111" s="633">
        <v>15.6</v>
      </c>
      <c r="L111" s="633">
        <v>15.32</v>
      </c>
      <c r="M111" s="633">
        <v>9.06</v>
      </c>
      <c r="N111" s="633">
        <v>6.26</v>
      </c>
      <c r="O111" s="633">
        <v>15.32</v>
      </c>
      <c r="P111" s="633">
        <v>9.06</v>
      </c>
      <c r="Q111" s="633">
        <v>6.26</v>
      </c>
    </row>
    <row r="112" spans="1:19" s="667" customFormat="1" hidden="1">
      <c r="A112" s="152"/>
      <c r="B112" s="623"/>
      <c r="C112" s="133" t="s">
        <v>807</v>
      </c>
      <c r="D112" s="633"/>
      <c r="E112" s="633"/>
      <c r="F112" s="633"/>
      <c r="G112" s="633"/>
      <c r="H112" s="633"/>
      <c r="I112" s="633"/>
      <c r="J112" s="633"/>
      <c r="K112" s="633"/>
      <c r="L112" s="634"/>
      <c r="M112" s="633"/>
      <c r="N112" s="633"/>
      <c r="O112" s="634"/>
      <c r="P112" s="633"/>
      <c r="Q112" s="633"/>
    </row>
    <row r="113" spans="1:22" s="667" customFormat="1" hidden="1">
      <c r="A113" s="152"/>
      <c r="B113" s="623"/>
      <c r="C113" s="133" t="s">
        <v>807</v>
      </c>
      <c r="D113" s="633"/>
      <c r="E113" s="633"/>
      <c r="F113" s="633"/>
      <c r="G113" s="633"/>
      <c r="H113" s="633"/>
      <c r="I113" s="633"/>
      <c r="J113" s="633"/>
      <c r="K113" s="633"/>
      <c r="L113" s="634"/>
      <c r="M113" s="633"/>
      <c r="N113" s="633"/>
      <c r="O113" s="634"/>
      <c r="P113" s="633"/>
      <c r="Q113" s="633"/>
    </row>
    <row r="114" spans="1:22" s="667" customFormat="1" hidden="1">
      <c r="A114" s="152"/>
      <c r="B114" s="623" t="s">
        <v>1242</v>
      </c>
      <c r="C114" s="133" t="s">
        <v>807</v>
      </c>
      <c r="D114" s="633"/>
      <c r="E114" s="633"/>
      <c r="F114" s="633"/>
      <c r="G114" s="633"/>
      <c r="H114" s="633"/>
      <c r="I114" s="633"/>
      <c r="J114" s="633"/>
      <c r="K114" s="633"/>
      <c r="L114" s="634"/>
      <c r="M114" s="633"/>
      <c r="N114" s="633"/>
      <c r="O114" s="634"/>
      <c r="P114" s="633"/>
      <c r="Q114" s="633"/>
    </row>
    <row r="115" spans="1:22" s="148" customFormat="1">
      <c r="A115" s="152" t="s">
        <v>181</v>
      </c>
      <c r="B115" s="154" t="s">
        <v>812</v>
      </c>
      <c r="C115" s="133" t="s">
        <v>807</v>
      </c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</row>
    <row r="116" spans="1:22" s="148" customFormat="1">
      <c r="A116" s="152" t="s">
        <v>183</v>
      </c>
      <c r="B116" s="154" t="s">
        <v>813</v>
      </c>
      <c r="C116" s="133" t="s">
        <v>807</v>
      </c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</row>
    <row r="117" spans="1:22" s="148" customFormat="1">
      <c r="A117" s="152" t="s">
        <v>185</v>
      </c>
      <c r="B117" s="154" t="s">
        <v>814</v>
      </c>
      <c r="C117" s="133" t="s">
        <v>807</v>
      </c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V117" s="148" t="s">
        <v>815</v>
      </c>
    </row>
    <row r="118" spans="1:22" s="148" customFormat="1">
      <c r="A118" s="152" t="s">
        <v>187</v>
      </c>
      <c r="B118" s="636" t="s">
        <v>1206</v>
      </c>
      <c r="C118" s="133" t="s">
        <v>807</v>
      </c>
      <c r="D118" s="633">
        <f>D101</f>
        <v>0</v>
      </c>
      <c r="E118" s="633">
        <f>ROUND(E73*E87/1000,3)</f>
        <v>0</v>
      </c>
      <c r="F118" s="633">
        <v>0</v>
      </c>
      <c r="G118" s="633">
        <v>0</v>
      </c>
      <c r="H118" s="633">
        <v>0</v>
      </c>
      <c r="I118" s="633">
        <v>0</v>
      </c>
      <c r="J118" s="633">
        <v>0</v>
      </c>
      <c r="K118" s="633">
        <v>0.42899999999999999</v>
      </c>
      <c r="L118" s="633">
        <v>0.87</v>
      </c>
      <c r="M118" s="633">
        <v>0.45500000000000002</v>
      </c>
      <c r="N118" s="633">
        <v>0.41499999999999998</v>
      </c>
      <c r="O118" s="633">
        <v>0.87</v>
      </c>
      <c r="P118" s="633">
        <v>0.45500000000000002</v>
      </c>
      <c r="Q118" s="633">
        <v>0.41499999999999998</v>
      </c>
    </row>
    <row r="119" spans="1:22" s="148" customFormat="1">
      <c r="A119" s="152"/>
      <c r="B119" s="144"/>
      <c r="C119" s="133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</row>
    <row r="120" spans="1:22" s="148" customFormat="1">
      <c r="A120" s="152" t="s">
        <v>189</v>
      </c>
      <c r="B120" s="144" t="s">
        <v>816</v>
      </c>
      <c r="C120" s="133" t="s">
        <v>807</v>
      </c>
      <c r="D120" s="144">
        <f t="shared" ref="D120:N120" si="7">D88</f>
        <v>105.05200000000001</v>
      </c>
      <c r="E120" s="144">
        <f t="shared" si="7"/>
        <v>103.44</v>
      </c>
      <c r="F120" s="144">
        <v>107.333</v>
      </c>
      <c r="G120" s="147">
        <v>101.06472619100002</v>
      </c>
      <c r="H120" s="147">
        <v>118.82911530000001</v>
      </c>
      <c r="I120" s="147">
        <v>95.137310999999997</v>
      </c>
      <c r="J120" s="147">
        <v>0</v>
      </c>
      <c r="K120" s="147">
        <v>100.114</v>
      </c>
      <c r="L120" s="147">
        <v>102.50299999999999</v>
      </c>
      <c r="M120" s="147">
        <v>61.277999999999999</v>
      </c>
      <c r="N120" s="147">
        <v>41.224999999999994</v>
      </c>
      <c r="O120" s="147">
        <v>102.50299999999999</v>
      </c>
      <c r="P120" s="147">
        <v>61.277999999999999</v>
      </c>
      <c r="Q120" s="147">
        <v>41.224999999999994</v>
      </c>
    </row>
    <row r="121" spans="1:22" s="669" customFormat="1" ht="14.25" customHeight="1">
      <c r="A121" s="637">
        <v>19</v>
      </c>
      <c r="B121" s="638" t="s">
        <v>191</v>
      </c>
      <c r="C121" s="637" t="s">
        <v>138</v>
      </c>
      <c r="D121" s="639">
        <f t="shared" ref="D121:N121" si="8">D122+D124+D125+D129</f>
        <v>1</v>
      </c>
      <c r="E121" s="639">
        <f t="shared" si="8"/>
        <v>1</v>
      </c>
      <c r="F121" s="639">
        <v>1</v>
      </c>
      <c r="G121" s="639">
        <v>1</v>
      </c>
      <c r="H121" s="639">
        <v>0.99999999999999989</v>
      </c>
      <c r="I121" s="639">
        <v>1</v>
      </c>
      <c r="J121" s="639" t="e">
        <v>#DIV/0!</v>
      </c>
      <c r="K121" s="639">
        <v>1</v>
      </c>
      <c r="L121" s="639">
        <v>1</v>
      </c>
      <c r="M121" s="639">
        <v>1</v>
      </c>
      <c r="N121" s="639">
        <v>1.0000000000000002</v>
      </c>
      <c r="O121" s="639">
        <v>1</v>
      </c>
      <c r="P121" s="639">
        <v>1</v>
      </c>
      <c r="Q121" s="639">
        <v>1.0000000000000002</v>
      </c>
    </row>
    <row r="122" spans="1:22" s="148" customFormat="1">
      <c r="A122" s="152" t="s">
        <v>192</v>
      </c>
      <c r="B122" s="632" t="s">
        <v>1205</v>
      </c>
      <c r="C122" s="146" t="s">
        <v>138</v>
      </c>
      <c r="D122" s="640">
        <f t="shared" ref="D122:N122" si="9">D105/D104</f>
        <v>9.7085253017553205E-2</v>
      </c>
      <c r="E122" s="640">
        <f t="shared" si="9"/>
        <v>7.8750966744006196E-2</v>
      </c>
      <c r="F122" s="640">
        <v>7.4664828151640217E-2</v>
      </c>
      <c r="G122" s="640">
        <v>7.1250774344266271E-2</v>
      </c>
      <c r="H122" s="640">
        <v>5.643398070472716E-2</v>
      </c>
      <c r="I122" s="640">
        <v>6.4717616414447537E-2</v>
      </c>
      <c r="J122" s="640" t="e">
        <v>#DIV/0!</v>
      </c>
      <c r="K122" s="640">
        <v>6.2998182072437417E-2</v>
      </c>
      <c r="L122" s="641">
        <v>6.7880940070046747E-2</v>
      </c>
      <c r="M122" s="640">
        <v>7.1787590978817845E-2</v>
      </c>
      <c r="N122" s="640">
        <v>6.2073984232868418E-2</v>
      </c>
      <c r="O122" s="641">
        <v>6.7880940070046747E-2</v>
      </c>
      <c r="P122" s="640">
        <v>7.1787590978817845E-2</v>
      </c>
      <c r="Q122" s="640">
        <v>6.2073984232868418E-2</v>
      </c>
    </row>
    <row r="123" spans="1:22" s="148" customFormat="1" hidden="1">
      <c r="A123" s="152"/>
      <c r="B123" s="144"/>
      <c r="C123" s="146"/>
      <c r="D123" s="640"/>
      <c r="E123" s="640"/>
      <c r="F123" s="640"/>
      <c r="G123" s="640"/>
      <c r="H123" s="640"/>
      <c r="I123" s="640"/>
      <c r="J123" s="640"/>
      <c r="K123" s="640"/>
      <c r="L123" s="641"/>
      <c r="M123" s="640"/>
      <c r="N123" s="640"/>
      <c r="O123" s="641"/>
      <c r="P123" s="640"/>
      <c r="Q123" s="640"/>
    </row>
    <row r="124" spans="1:22" s="148" customFormat="1">
      <c r="A124" s="152" t="s">
        <v>193</v>
      </c>
      <c r="B124" s="634" t="s">
        <v>810</v>
      </c>
      <c r="C124" s="155" t="s">
        <v>138</v>
      </c>
      <c r="D124" s="640">
        <f t="shared" ref="D124:N124" si="10">D107/D104</f>
        <v>0.79471119064844076</v>
      </c>
      <c r="E124" s="640">
        <f t="shared" si="10"/>
        <v>0.86957656612529</v>
      </c>
      <c r="F124" s="640">
        <v>0.78541548265677852</v>
      </c>
      <c r="G124" s="640">
        <v>0.77561198604405368</v>
      </c>
      <c r="H124" s="640">
        <v>0.8352676450499501</v>
      </c>
      <c r="I124" s="640">
        <v>0.78215634032372428</v>
      </c>
      <c r="J124" s="640" t="e">
        <v>#DIV/0!</v>
      </c>
      <c r="K124" s="640">
        <v>0.77689434045188488</v>
      </c>
      <c r="L124" s="641">
        <v>0.77417246324497824</v>
      </c>
      <c r="M124" s="640">
        <v>0.77293645353960638</v>
      </c>
      <c r="N124" s="640">
        <v>0.77600970285021231</v>
      </c>
      <c r="O124" s="641">
        <v>0.77417246324497824</v>
      </c>
      <c r="P124" s="640">
        <v>0.77293645353960638</v>
      </c>
      <c r="Q124" s="640">
        <v>0.77600970285021231</v>
      </c>
    </row>
    <row r="125" spans="1:22" s="148" customFormat="1">
      <c r="A125" s="152" t="s">
        <v>194</v>
      </c>
      <c r="B125" s="144" t="s">
        <v>1217</v>
      </c>
      <c r="C125" s="146" t="s">
        <v>818</v>
      </c>
      <c r="D125" s="640">
        <f t="shared" ref="D125:N125" si="11">D111/D104</f>
        <v>0.10820355633400602</v>
      </c>
      <c r="E125" s="640">
        <f t="shared" si="11"/>
        <v>5.1672467130703788E-2</v>
      </c>
      <c r="F125" s="640">
        <v>0.13991968919158135</v>
      </c>
      <c r="G125" s="640">
        <v>0.15313723961167999</v>
      </c>
      <c r="H125" s="640">
        <v>0.10829837424532267</v>
      </c>
      <c r="I125" s="640">
        <v>0.15312604326182816</v>
      </c>
      <c r="J125" s="640" t="e">
        <v>#DIV/0!</v>
      </c>
      <c r="K125" s="640">
        <v>0.15582236250674231</v>
      </c>
      <c r="L125" s="641">
        <v>0.14945904022321299</v>
      </c>
      <c r="M125" s="640">
        <v>0.14785077841966124</v>
      </c>
      <c r="N125" s="640">
        <v>0.15184960582171014</v>
      </c>
      <c r="O125" s="641">
        <v>0.14945904022321299</v>
      </c>
      <c r="P125" s="640">
        <v>0.14785077841966124</v>
      </c>
      <c r="Q125" s="640">
        <v>0.15184960582171014</v>
      </c>
    </row>
    <row r="126" spans="1:22" s="148" customFormat="1">
      <c r="A126" s="152" t="s">
        <v>195</v>
      </c>
      <c r="B126" s="144" t="s">
        <v>819</v>
      </c>
      <c r="C126" s="146" t="s">
        <v>818</v>
      </c>
      <c r="D126" s="640"/>
      <c r="E126" s="640"/>
      <c r="F126" s="640"/>
      <c r="G126" s="640"/>
      <c r="H126" s="640"/>
      <c r="I126" s="640"/>
      <c r="J126" s="640"/>
      <c r="K126" s="640"/>
      <c r="L126" s="641"/>
      <c r="M126" s="640"/>
      <c r="N126" s="640"/>
      <c r="O126" s="641"/>
      <c r="P126" s="640"/>
      <c r="Q126" s="640"/>
    </row>
    <row r="127" spans="1:22" s="148" customFormat="1">
      <c r="A127" s="152" t="s">
        <v>196</v>
      </c>
      <c r="B127" s="144" t="s">
        <v>820</v>
      </c>
      <c r="C127" s="146" t="s">
        <v>818</v>
      </c>
      <c r="D127" s="640"/>
      <c r="E127" s="640"/>
      <c r="F127" s="640"/>
      <c r="G127" s="640"/>
      <c r="H127" s="640"/>
      <c r="I127" s="640"/>
      <c r="J127" s="640"/>
      <c r="K127" s="640"/>
      <c r="L127" s="641"/>
      <c r="M127" s="640"/>
      <c r="N127" s="640"/>
      <c r="O127" s="641"/>
      <c r="P127" s="640"/>
      <c r="Q127" s="640"/>
    </row>
    <row r="128" spans="1:22" s="136" customFormat="1">
      <c r="A128" s="152" t="s">
        <v>197</v>
      </c>
      <c r="B128" s="144" t="s">
        <v>821</v>
      </c>
      <c r="C128" s="146" t="s">
        <v>818</v>
      </c>
      <c r="D128" s="642"/>
      <c r="E128" s="642"/>
      <c r="F128" s="642"/>
      <c r="G128" s="642"/>
      <c r="H128" s="642"/>
      <c r="I128" s="642"/>
      <c r="J128" s="642"/>
      <c r="K128" s="642"/>
      <c r="L128" s="627"/>
      <c r="M128" s="642"/>
      <c r="N128" s="642"/>
      <c r="O128" s="627"/>
      <c r="P128" s="642"/>
      <c r="Q128" s="642"/>
    </row>
    <row r="129" spans="1:22" s="136" customFormat="1" ht="14.25" customHeight="1">
      <c r="A129" s="152" t="s">
        <v>198</v>
      </c>
      <c r="B129" s="636" t="s">
        <v>1218</v>
      </c>
      <c r="C129" s="141" t="s">
        <v>138</v>
      </c>
      <c r="D129" s="640">
        <f t="shared" ref="D129:N129" si="12">D118/D104</f>
        <v>0</v>
      </c>
      <c r="E129" s="640">
        <f t="shared" si="12"/>
        <v>0</v>
      </c>
      <c r="F129" s="640">
        <v>0</v>
      </c>
      <c r="G129" s="640">
        <v>0</v>
      </c>
      <c r="H129" s="640">
        <v>0</v>
      </c>
      <c r="I129" s="640">
        <v>0</v>
      </c>
      <c r="J129" s="640" t="e">
        <v>#DIV/0!</v>
      </c>
      <c r="K129" s="640">
        <v>4.2851149689354133E-3</v>
      </c>
      <c r="L129" s="641">
        <v>8.4875564617620958E-3</v>
      </c>
      <c r="M129" s="640">
        <v>7.425177061914554E-3</v>
      </c>
      <c r="N129" s="640">
        <v>1.0066707095209218E-2</v>
      </c>
      <c r="O129" s="641">
        <v>8.4875564617620958E-3</v>
      </c>
      <c r="P129" s="640">
        <v>7.425177061914554E-3</v>
      </c>
      <c r="Q129" s="640">
        <v>1.0066707095209218E-2</v>
      </c>
    </row>
    <row r="130" spans="1:22" s="136" customFormat="1" ht="16.5" customHeight="1">
      <c r="A130" s="637">
        <v>20</v>
      </c>
      <c r="B130" s="638" t="s">
        <v>200</v>
      </c>
      <c r="C130" s="643"/>
      <c r="D130" s="644"/>
      <c r="E130" s="644"/>
      <c r="F130" s="644"/>
      <c r="G130" s="644"/>
      <c r="H130" s="644"/>
      <c r="I130" s="644"/>
      <c r="J130" s="644"/>
      <c r="K130" s="644"/>
      <c r="L130" s="644"/>
      <c r="M130" s="644"/>
      <c r="N130" s="644"/>
      <c r="O130" s="644"/>
      <c r="P130" s="644"/>
      <c r="Q130" s="644"/>
    </row>
    <row r="131" spans="1:22" s="136" customFormat="1">
      <c r="A131" s="152" t="s">
        <v>201</v>
      </c>
      <c r="B131" s="634" t="s">
        <v>1205</v>
      </c>
      <c r="C131" s="133"/>
      <c r="D131" s="134">
        <v>0.68</v>
      </c>
      <c r="E131" s="140">
        <f>E105/E140</f>
        <v>0.73453561767357989</v>
      </c>
      <c r="F131" s="134">
        <v>0.68</v>
      </c>
      <c r="G131" s="140">
        <v>0.74</v>
      </c>
      <c r="H131" s="140">
        <v>0.71</v>
      </c>
      <c r="I131" s="140">
        <v>0.72</v>
      </c>
      <c r="J131" s="140">
        <v>0.68</v>
      </c>
      <c r="K131" s="140">
        <v>0.71</v>
      </c>
      <c r="L131" s="134">
        <v>0.68</v>
      </c>
      <c r="M131" s="134">
        <v>0.68</v>
      </c>
      <c r="N131" s="134">
        <v>0.68</v>
      </c>
      <c r="O131" s="134">
        <v>0.68</v>
      </c>
      <c r="P131" s="134">
        <v>0.68</v>
      </c>
      <c r="Q131" s="134">
        <v>0.68</v>
      </c>
    </row>
    <row r="132" spans="1:22" s="136" customFormat="1" hidden="1">
      <c r="A132" s="152"/>
      <c r="B132" s="634"/>
      <c r="C132" s="133"/>
      <c r="D132" s="134"/>
      <c r="E132" s="140" t="e">
        <f t="shared" ref="E132:E133" si="13">E106/E141</f>
        <v>#DIV/0!</v>
      </c>
      <c r="F132" s="134"/>
      <c r="G132" s="140">
        <v>0</v>
      </c>
      <c r="H132" s="140"/>
      <c r="I132" s="140">
        <v>0</v>
      </c>
      <c r="J132" s="140"/>
      <c r="K132" s="140">
        <v>0</v>
      </c>
      <c r="L132" s="134"/>
      <c r="M132" s="134"/>
      <c r="N132" s="134"/>
      <c r="O132" s="134"/>
      <c r="P132" s="134"/>
      <c r="Q132" s="134"/>
    </row>
    <row r="133" spans="1:22" s="136" customFormat="1">
      <c r="A133" s="152" t="s">
        <v>202</v>
      </c>
      <c r="B133" s="634" t="s">
        <v>810</v>
      </c>
      <c r="C133" s="133"/>
      <c r="D133" s="134">
        <v>1.37</v>
      </c>
      <c r="E133" s="140">
        <f t="shared" si="13"/>
        <v>1.4043998251311516</v>
      </c>
      <c r="F133" s="134">
        <v>1.37</v>
      </c>
      <c r="G133" s="140">
        <v>1.403</v>
      </c>
      <c r="H133" s="140">
        <v>1.37</v>
      </c>
      <c r="I133" s="140">
        <v>1.41</v>
      </c>
      <c r="J133" s="140">
        <v>1.37</v>
      </c>
      <c r="K133" s="140">
        <v>1.39</v>
      </c>
      <c r="L133" s="134">
        <v>1.37</v>
      </c>
      <c r="M133" s="140">
        <v>1.37</v>
      </c>
      <c r="N133" s="140">
        <v>1.37</v>
      </c>
      <c r="O133" s="134">
        <v>1.37</v>
      </c>
      <c r="P133" s="140">
        <v>1.37</v>
      </c>
      <c r="Q133" s="140">
        <v>1.37</v>
      </c>
    </row>
    <row r="134" spans="1:22" s="667" customFormat="1">
      <c r="A134" s="152" t="s">
        <v>203</v>
      </c>
      <c r="B134" s="634" t="s">
        <v>811</v>
      </c>
      <c r="C134" s="645"/>
      <c r="D134" s="144">
        <v>1.129</v>
      </c>
      <c r="E134" s="140">
        <f>E111/E146</f>
        <v>1.2092760180995474</v>
      </c>
      <c r="F134" s="144">
        <v>1.129</v>
      </c>
      <c r="G134" s="140">
        <v>1.2070000000000001</v>
      </c>
      <c r="H134" s="135">
        <v>1.1285714285714286</v>
      </c>
      <c r="I134" s="140">
        <v>1.21</v>
      </c>
      <c r="J134" s="140">
        <v>1.129</v>
      </c>
      <c r="K134" s="144">
        <v>1.129</v>
      </c>
      <c r="L134" s="144">
        <v>1.129</v>
      </c>
      <c r="M134" s="144">
        <v>1.129</v>
      </c>
      <c r="N134" s="144">
        <v>1.129</v>
      </c>
      <c r="O134" s="144">
        <v>1.129</v>
      </c>
      <c r="P134" s="144">
        <v>1.129</v>
      </c>
      <c r="Q134" s="144">
        <v>1.129</v>
      </c>
    </row>
    <row r="135" spans="1:22" s="136" customFormat="1">
      <c r="A135" s="152" t="s">
        <v>204</v>
      </c>
      <c r="B135" s="154" t="s">
        <v>812</v>
      </c>
      <c r="C135" s="133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</row>
    <row r="136" spans="1:22" s="136" customFormat="1">
      <c r="A136" s="152" t="s">
        <v>205</v>
      </c>
      <c r="B136" s="154" t="s">
        <v>813</v>
      </c>
      <c r="C136" s="145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</row>
    <row r="137" spans="1:22" s="136" customFormat="1">
      <c r="A137" s="152" t="s">
        <v>206</v>
      </c>
      <c r="B137" s="154" t="s">
        <v>814</v>
      </c>
      <c r="C137" s="145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</row>
    <row r="138" spans="1:22" s="136" customFormat="1" ht="14.25" customHeight="1">
      <c r="A138" s="152" t="s">
        <v>207</v>
      </c>
      <c r="B138" s="636" t="s">
        <v>1206</v>
      </c>
      <c r="C138" s="153"/>
      <c r="D138" s="134">
        <v>1.45</v>
      </c>
      <c r="E138" s="134"/>
      <c r="F138" s="134">
        <v>1.45</v>
      </c>
      <c r="G138" s="134"/>
      <c r="H138" s="134"/>
      <c r="I138" s="134">
        <v>1.45</v>
      </c>
      <c r="J138" s="134"/>
      <c r="K138" s="134">
        <v>1.45</v>
      </c>
      <c r="L138" s="134">
        <v>1.45</v>
      </c>
      <c r="M138" s="134">
        <v>1.45</v>
      </c>
      <c r="N138" s="134">
        <v>1.45</v>
      </c>
      <c r="O138" s="134">
        <v>1.45</v>
      </c>
      <c r="P138" s="134">
        <v>1.45</v>
      </c>
      <c r="Q138" s="134">
        <v>1.45</v>
      </c>
    </row>
    <row r="139" spans="1:22" s="136" customFormat="1" ht="16.5" customHeight="1">
      <c r="A139" s="637">
        <v>21</v>
      </c>
      <c r="B139" s="646" t="s">
        <v>209</v>
      </c>
      <c r="C139" s="647"/>
      <c r="D139" s="648"/>
      <c r="E139" s="648"/>
      <c r="F139" s="648"/>
      <c r="G139" s="648"/>
      <c r="H139" s="648"/>
      <c r="I139" s="648"/>
      <c r="J139" s="648"/>
      <c r="K139" s="648"/>
      <c r="L139" s="648"/>
      <c r="M139" s="648"/>
      <c r="N139" s="648"/>
      <c r="O139" s="648"/>
      <c r="P139" s="648"/>
      <c r="Q139" s="648"/>
      <c r="R139" s="670"/>
      <c r="V139" s="136" t="s">
        <v>815</v>
      </c>
    </row>
    <row r="140" spans="1:22" s="667" customFormat="1">
      <c r="A140" s="635" t="s">
        <v>210</v>
      </c>
      <c r="B140" s="634" t="s">
        <v>1207</v>
      </c>
      <c r="C140" s="649" t="s">
        <v>822</v>
      </c>
      <c r="D140" s="147">
        <f>ROUND(D105/D131,3)</f>
        <v>14.999000000000001</v>
      </c>
      <c r="E140" s="147">
        <v>11.09</v>
      </c>
      <c r="F140" s="147">
        <v>11.785</v>
      </c>
      <c r="G140" s="147">
        <v>9.7309999999999999</v>
      </c>
      <c r="H140" s="147">
        <v>9.4450000000000003</v>
      </c>
      <c r="I140" s="147">
        <v>8.7394639999999999</v>
      </c>
      <c r="J140" s="147">
        <v>10.140845070422536</v>
      </c>
      <c r="K140" s="147">
        <v>8.8849999999999998</v>
      </c>
      <c r="L140" s="147">
        <v>10.231999999999999</v>
      </c>
      <c r="M140" s="147">
        <v>6.4690000000000003</v>
      </c>
      <c r="N140" s="147">
        <v>3.7629999999999999</v>
      </c>
      <c r="O140" s="147">
        <v>10.231999999999999</v>
      </c>
      <c r="P140" s="147">
        <v>6.4690000000000003</v>
      </c>
      <c r="Q140" s="147">
        <v>3.7629999999999999</v>
      </c>
      <c r="R140" s="671">
        <f>SUM(D140:N140)</f>
        <v>105.27930907042254</v>
      </c>
    </row>
    <row r="141" spans="1:22" s="136" customFormat="1" hidden="1">
      <c r="A141" s="152"/>
      <c r="B141" s="144"/>
      <c r="C141" s="141"/>
      <c r="D141" s="144"/>
      <c r="E141" s="144"/>
      <c r="F141" s="144"/>
      <c r="G141" s="147">
        <v>55.871000000000002</v>
      </c>
      <c r="H141" s="144" t="e">
        <v>#DIV/0!</v>
      </c>
      <c r="I141" s="144"/>
      <c r="J141" s="144"/>
      <c r="K141" s="147">
        <v>55.956000000000003</v>
      </c>
      <c r="L141" s="147"/>
      <c r="M141" s="144"/>
      <c r="N141" s="144"/>
      <c r="O141" s="147"/>
      <c r="P141" s="144"/>
      <c r="Q141" s="144"/>
      <c r="R141" s="671"/>
    </row>
    <row r="142" spans="1:22" s="667" customFormat="1">
      <c r="A142" s="635" t="s">
        <v>212</v>
      </c>
      <c r="B142" s="634" t="s">
        <v>810</v>
      </c>
      <c r="C142" s="649" t="s">
        <v>822</v>
      </c>
      <c r="D142" s="147">
        <f t="shared" ref="D142" si="14">ROUND(D107/D133,3)</f>
        <v>60.939</v>
      </c>
      <c r="E142" s="147">
        <v>64.048000000000002</v>
      </c>
      <c r="F142" s="147">
        <v>61.533000000000001</v>
      </c>
      <c r="G142" s="147">
        <v>55.871000000000002</v>
      </c>
      <c r="H142" s="147">
        <v>72.448000000000008</v>
      </c>
      <c r="I142" s="147">
        <v>52.922111000000001</v>
      </c>
      <c r="J142" s="147">
        <v>60.235599416058477</v>
      </c>
      <c r="K142" s="147">
        <v>55.956000000000003</v>
      </c>
      <c r="L142" s="147">
        <v>57.923000000000002</v>
      </c>
      <c r="M142" s="147">
        <v>34.572000000000003</v>
      </c>
      <c r="N142" s="147">
        <v>23.350999999999999</v>
      </c>
      <c r="O142" s="147">
        <v>57.923000000000002</v>
      </c>
      <c r="P142" s="147">
        <v>34.572000000000003</v>
      </c>
      <c r="Q142" s="147">
        <v>23.350999999999999</v>
      </c>
      <c r="R142" s="671">
        <f>SUM(D142:N142)</f>
        <v>599.7987104160585</v>
      </c>
    </row>
    <row r="143" spans="1:22" s="667" customFormat="1" hidden="1">
      <c r="A143" s="635"/>
      <c r="B143" s="623"/>
      <c r="C143" s="149" t="s">
        <v>822</v>
      </c>
      <c r="D143" s="147"/>
      <c r="E143" s="147"/>
      <c r="F143" s="147"/>
      <c r="G143" s="147">
        <v>12.822513000000001</v>
      </c>
      <c r="H143" s="147">
        <v>0</v>
      </c>
      <c r="I143" s="147"/>
      <c r="J143" s="147">
        <v>13.817537643932685</v>
      </c>
      <c r="K143" s="147">
        <v>0.29699999999999999</v>
      </c>
      <c r="L143" s="147"/>
      <c r="M143" s="147"/>
      <c r="N143" s="147"/>
      <c r="O143" s="147"/>
      <c r="P143" s="147"/>
      <c r="Q143" s="147"/>
      <c r="R143" s="671"/>
    </row>
    <row r="144" spans="1:22" s="667" customFormat="1" hidden="1">
      <c r="A144" s="635"/>
      <c r="B144" s="623"/>
      <c r="C144" s="149" t="s">
        <v>822</v>
      </c>
      <c r="D144" s="147"/>
      <c r="E144" s="147"/>
      <c r="F144" s="147"/>
      <c r="G144" s="147">
        <v>0</v>
      </c>
      <c r="H144" s="147" t="e">
        <v>#DIV/0!</v>
      </c>
      <c r="I144" s="147"/>
      <c r="J144" s="147">
        <v>0.29586206896551726</v>
      </c>
      <c r="K144" s="147">
        <v>460.12288000000007</v>
      </c>
      <c r="L144" s="147"/>
      <c r="M144" s="147"/>
      <c r="N144" s="147"/>
      <c r="O144" s="147"/>
      <c r="P144" s="147"/>
      <c r="Q144" s="147"/>
      <c r="R144" s="671"/>
    </row>
    <row r="145" spans="1:18" s="667" customFormat="1" hidden="1">
      <c r="A145" s="635"/>
      <c r="B145" s="623" t="s">
        <v>1242</v>
      </c>
      <c r="C145" s="149" t="s">
        <v>822</v>
      </c>
      <c r="D145" s="147"/>
      <c r="E145" s="147"/>
      <c r="F145" s="147"/>
      <c r="G145" s="147">
        <v>439.57252299999999</v>
      </c>
      <c r="H145" s="147" t="e">
        <v>#DIV/0!</v>
      </c>
      <c r="I145" s="147"/>
      <c r="J145" s="147">
        <v>462.60864397212526</v>
      </c>
      <c r="K145" s="147">
        <v>0</v>
      </c>
      <c r="L145" s="147"/>
      <c r="M145" s="147"/>
      <c r="N145" s="147"/>
      <c r="O145" s="147"/>
      <c r="P145" s="147"/>
      <c r="Q145" s="147"/>
      <c r="R145" s="671"/>
    </row>
    <row r="146" spans="1:18" s="667" customFormat="1">
      <c r="A146" s="635" t="s">
        <v>213</v>
      </c>
      <c r="B146" s="634" t="s">
        <v>811</v>
      </c>
      <c r="C146" s="153" t="s">
        <v>823</v>
      </c>
      <c r="D146" s="147">
        <f>ROUND(D111/D134,3)</f>
        <v>10.068</v>
      </c>
      <c r="E146" s="147">
        <v>4.42</v>
      </c>
      <c r="F146" s="147">
        <v>13.307</v>
      </c>
      <c r="G146" s="147">
        <v>12.822513000000001</v>
      </c>
      <c r="H146" s="147">
        <v>11.403</v>
      </c>
      <c r="I146" s="147">
        <v>12.122403</v>
      </c>
      <c r="J146" s="147">
        <v>13.817537643932685</v>
      </c>
      <c r="K146" s="147">
        <v>13.818</v>
      </c>
      <c r="L146" s="147">
        <v>13.57</v>
      </c>
      <c r="M146" s="147">
        <v>8.0250000000000004</v>
      </c>
      <c r="N146" s="147">
        <v>5.5449999999999999</v>
      </c>
      <c r="O146" s="147">
        <v>13.57</v>
      </c>
      <c r="P146" s="147">
        <v>8.0250000000000004</v>
      </c>
      <c r="Q146" s="147">
        <v>5.5449999999999999</v>
      </c>
      <c r="R146" s="671">
        <f>SUM(D146:N146)</f>
        <v>118.91845364393269</v>
      </c>
    </row>
    <row r="147" spans="1:18" s="667" customFormat="1" hidden="1">
      <c r="A147" s="635"/>
      <c r="B147" s="623"/>
      <c r="C147" s="133" t="s">
        <v>823</v>
      </c>
      <c r="D147" s="147"/>
      <c r="E147" s="147"/>
      <c r="F147" s="147"/>
      <c r="G147" s="147"/>
      <c r="H147" s="147"/>
      <c r="I147" s="147"/>
      <c r="J147" s="147"/>
      <c r="K147" s="147"/>
      <c r="L147" s="147"/>
      <c r="M147" s="147"/>
      <c r="N147" s="147"/>
      <c r="O147" s="147"/>
      <c r="P147" s="147"/>
      <c r="Q147" s="147"/>
      <c r="R147" s="671"/>
    </row>
    <row r="148" spans="1:18" s="667" customFormat="1" hidden="1">
      <c r="A148" s="635"/>
      <c r="B148" s="623"/>
      <c r="C148" s="133" t="s">
        <v>823</v>
      </c>
      <c r="D148" s="147"/>
      <c r="E148" s="147"/>
      <c r="F148" s="147"/>
      <c r="G148" s="147"/>
      <c r="H148" s="147"/>
      <c r="I148" s="147"/>
      <c r="J148" s="147"/>
      <c r="K148" s="147"/>
      <c r="L148" s="147"/>
      <c r="M148" s="147"/>
      <c r="N148" s="147"/>
      <c r="O148" s="147"/>
      <c r="P148" s="147"/>
      <c r="Q148" s="147"/>
      <c r="R148" s="671"/>
    </row>
    <row r="149" spans="1:18" s="667" customFormat="1" hidden="1">
      <c r="A149" s="635"/>
      <c r="B149" s="623" t="s">
        <v>1242</v>
      </c>
      <c r="C149" s="133" t="s">
        <v>823</v>
      </c>
      <c r="D149" s="147"/>
      <c r="E149" s="147"/>
      <c r="F149" s="147"/>
      <c r="G149" s="147"/>
      <c r="H149" s="147"/>
      <c r="I149" s="147"/>
      <c r="J149" s="147"/>
      <c r="K149" s="147"/>
      <c r="L149" s="147"/>
      <c r="M149" s="147"/>
      <c r="N149" s="147"/>
      <c r="O149" s="147"/>
      <c r="P149" s="147"/>
      <c r="Q149" s="147"/>
      <c r="R149" s="671"/>
    </row>
    <row r="150" spans="1:18" s="136" customFormat="1">
      <c r="A150" s="152" t="s">
        <v>215</v>
      </c>
      <c r="B150" s="154" t="s">
        <v>812</v>
      </c>
      <c r="C150" s="133" t="s">
        <v>823</v>
      </c>
      <c r="D150" s="144"/>
      <c r="E150" s="144"/>
      <c r="F150" s="144"/>
      <c r="G150" s="144"/>
      <c r="H150" s="144"/>
      <c r="I150" s="144"/>
      <c r="J150" s="144"/>
      <c r="K150" s="144"/>
      <c r="L150" s="147"/>
      <c r="M150" s="144"/>
      <c r="N150" s="144"/>
      <c r="O150" s="147"/>
      <c r="P150" s="144"/>
      <c r="Q150" s="144"/>
      <c r="R150" s="671"/>
    </row>
    <row r="151" spans="1:18" s="136" customFormat="1">
      <c r="A151" s="152" t="s">
        <v>216</v>
      </c>
      <c r="B151" s="154" t="s">
        <v>813</v>
      </c>
      <c r="C151" s="133" t="s">
        <v>823</v>
      </c>
      <c r="D151" s="144"/>
      <c r="E151" s="144"/>
      <c r="F151" s="144"/>
      <c r="G151" s="144"/>
      <c r="H151" s="144"/>
      <c r="I151" s="144"/>
      <c r="J151" s="144"/>
      <c r="K151" s="144"/>
      <c r="L151" s="147"/>
      <c r="M151" s="144"/>
      <c r="N151" s="144"/>
      <c r="O151" s="147"/>
      <c r="P151" s="144"/>
      <c r="Q151" s="144"/>
      <c r="R151" s="671"/>
    </row>
    <row r="152" spans="1:18" s="136" customFormat="1">
      <c r="A152" s="152" t="s">
        <v>217</v>
      </c>
      <c r="B152" s="154" t="s">
        <v>814</v>
      </c>
      <c r="C152" s="133" t="s">
        <v>823</v>
      </c>
      <c r="D152" s="144"/>
      <c r="E152" s="144"/>
      <c r="F152" s="144"/>
      <c r="G152" s="144"/>
      <c r="H152" s="144"/>
      <c r="I152" s="144"/>
      <c r="J152" s="144"/>
      <c r="K152" s="144"/>
      <c r="L152" s="147"/>
      <c r="M152" s="144"/>
      <c r="N152" s="144"/>
      <c r="O152" s="147"/>
      <c r="P152" s="144"/>
      <c r="Q152" s="144"/>
      <c r="R152" s="671"/>
    </row>
    <row r="153" spans="1:18" s="667" customFormat="1">
      <c r="A153" s="635" t="s">
        <v>218</v>
      </c>
      <c r="B153" s="636" t="s">
        <v>1206</v>
      </c>
      <c r="C153" s="649" t="s">
        <v>822</v>
      </c>
      <c r="D153" s="147"/>
      <c r="E153" s="147"/>
      <c r="F153" s="147"/>
      <c r="G153" s="147"/>
      <c r="H153" s="147"/>
      <c r="I153" s="147"/>
      <c r="J153" s="147">
        <v>0.29586206896551726</v>
      </c>
      <c r="K153" s="147">
        <v>0.29699999999999999</v>
      </c>
      <c r="L153" s="147">
        <v>0.6</v>
      </c>
      <c r="M153" s="147">
        <v>0.314</v>
      </c>
      <c r="N153" s="147">
        <v>0.28599999999999998</v>
      </c>
      <c r="O153" s="147">
        <v>0.6</v>
      </c>
      <c r="P153" s="147">
        <v>0.314</v>
      </c>
      <c r="Q153" s="147">
        <v>0.28599999999999998</v>
      </c>
      <c r="R153" s="671">
        <f>SUM(D153:N153)</f>
        <v>1.7928620689655173</v>
      </c>
    </row>
    <row r="154" spans="1:18" s="136" customFormat="1" ht="15.75" customHeight="1" outlineLevel="1">
      <c r="A154" s="637">
        <v>22</v>
      </c>
      <c r="B154" s="646" t="s">
        <v>220</v>
      </c>
      <c r="C154" s="637"/>
      <c r="D154" s="644"/>
      <c r="E154" s="644"/>
      <c r="F154" s="644"/>
      <c r="G154" s="644"/>
      <c r="H154" s="644"/>
      <c r="I154" s="644"/>
      <c r="J154" s="644"/>
      <c r="K154" s="644"/>
      <c r="L154" s="644"/>
      <c r="M154" s="644"/>
      <c r="N154" s="644"/>
      <c r="O154" s="644"/>
      <c r="P154" s="644"/>
      <c r="Q154" s="644"/>
    </row>
    <row r="155" spans="1:18" s="136" customFormat="1" outlineLevel="1">
      <c r="A155" s="152" t="s">
        <v>221</v>
      </c>
      <c r="B155" s="144" t="s">
        <v>1205</v>
      </c>
      <c r="C155" s="141" t="s">
        <v>138</v>
      </c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</row>
    <row r="156" spans="1:18" s="136" customFormat="1" hidden="1" outlineLevel="1">
      <c r="A156" s="133"/>
      <c r="B156" s="144"/>
      <c r="C156" s="141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</row>
    <row r="157" spans="1:18" s="136" customFormat="1" outlineLevel="1">
      <c r="A157" s="152" t="s">
        <v>222</v>
      </c>
      <c r="B157" s="144" t="s">
        <v>810</v>
      </c>
      <c r="C157" s="141" t="s">
        <v>138</v>
      </c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</row>
    <row r="158" spans="1:18" s="136" customFormat="1" outlineLevel="1">
      <c r="A158" s="152" t="s">
        <v>223</v>
      </c>
      <c r="B158" s="144" t="s">
        <v>811</v>
      </c>
      <c r="C158" s="141" t="s">
        <v>138</v>
      </c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</row>
    <row r="159" spans="1:18" s="136" customFormat="1" outlineLevel="1">
      <c r="A159" s="152" t="s">
        <v>224</v>
      </c>
      <c r="B159" s="154" t="s">
        <v>812</v>
      </c>
      <c r="C159" s="141" t="s">
        <v>138</v>
      </c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</row>
    <row r="160" spans="1:18" s="136" customFormat="1" outlineLevel="1">
      <c r="A160" s="152" t="s">
        <v>225</v>
      </c>
      <c r="B160" s="154" t="s">
        <v>813</v>
      </c>
      <c r="C160" s="141" t="s">
        <v>138</v>
      </c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</row>
    <row r="161" spans="1:18" s="136" customFormat="1" outlineLevel="1">
      <c r="A161" s="152" t="s">
        <v>226</v>
      </c>
      <c r="B161" s="154" t="s">
        <v>814</v>
      </c>
      <c r="C161" s="141" t="s">
        <v>138</v>
      </c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</row>
    <row r="162" spans="1:18" s="136" customFormat="1" outlineLevel="1">
      <c r="A162" s="152" t="s">
        <v>227</v>
      </c>
      <c r="B162" s="144" t="s">
        <v>824</v>
      </c>
      <c r="C162" s="141" t="s">
        <v>138</v>
      </c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</row>
    <row r="163" spans="1:18" s="136" customFormat="1" ht="15.75" customHeight="1" outlineLevel="1">
      <c r="A163" s="650" t="s">
        <v>228</v>
      </c>
      <c r="B163" s="638" t="s">
        <v>229</v>
      </c>
      <c r="C163" s="643"/>
      <c r="D163" s="644"/>
      <c r="E163" s="644"/>
      <c r="F163" s="644"/>
      <c r="G163" s="644"/>
      <c r="H163" s="644"/>
      <c r="I163" s="644"/>
      <c r="J163" s="644"/>
      <c r="K163" s="644"/>
      <c r="L163" s="644"/>
      <c r="M163" s="644"/>
      <c r="N163" s="644"/>
      <c r="O163" s="644"/>
      <c r="P163" s="644"/>
      <c r="Q163" s="644"/>
    </row>
    <row r="164" spans="1:18" s="667" customFormat="1" ht="15.75" customHeight="1" outlineLevel="1">
      <c r="A164" s="152" t="s">
        <v>230</v>
      </c>
      <c r="B164" s="651" t="s">
        <v>1205</v>
      </c>
      <c r="C164" s="649" t="s">
        <v>231</v>
      </c>
      <c r="D164" s="653">
        <f>'4.5 - свод'!R29</f>
        <v>4426.389919619005</v>
      </c>
      <c r="E164" s="653">
        <f>'4.5 - свод'!R42</f>
        <v>4558.4390126898916</v>
      </c>
      <c r="F164" s="653">
        <v>4662.6551412987228</v>
      </c>
      <c r="G164" s="653">
        <v>4571.8900000000003</v>
      </c>
      <c r="H164" s="653">
        <v>4829.2933810378508</v>
      </c>
      <c r="I164" s="653">
        <v>4655.5212173195059</v>
      </c>
      <c r="J164" s="653">
        <v>4940.5611306092751</v>
      </c>
      <c r="K164" s="653">
        <v>4924.53</v>
      </c>
      <c r="L164" s="653">
        <v>5489.513291634089</v>
      </c>
      <c r="M164" s="653">
        <v>5455.2</v>
      </c>
      <c r="N164" s="653">
        <v>5548.55</v>
      </c>
      <c r="O164" s="653">
        <v>5904.3197810789679</v>
      </c>
      <c r="P164" s="653">
        <v>5882.74</v>
      </c>
      <c r="Q164" s="653">
        <v>5941.52</v>
      </c>
      <c r="R164" s="1887" t="s">
        <v>1233</v>
      </c>
    </row>
    <row r="165" spans="1:18" s="136" customFormat="1" hidden="1" outlineLevel="1">
      <c r="A165" s="152"/>
      <c r="B165" s="654"/>
      <c r="C165" s="141"/>
      <c r="D165" s="653"/>
      <c r="E165" s="653"/>
      <c r="F165" s="653"/>
      <c r="G165" s="653"/>
      <c r="H165" s="653">
        <v>17875.293279118028</v>
      </c>
      <c r="I165" s="653">
        <v>17027.079999999998</v>
      </c>
      <c r="J165" s="653">
        <v>952767.28847999999</v>
      </c>
      <c r="K165" s="653">
        <v>0</v>
      </c>
      <c r="L165" s="653"/>
      <c r="M165" s="653"/>
      <c r="N165" s="653"/>
      <c r="O165" s="653">
        <v>18654.161559311498</v>
      </c>
      <c r="P165" s="653">
        <v>18605.689999999999</v>
      </c>
      <c r="Q165" s="653">
        <v>18725.940000000002</v>
      </c>
      <c r="R165" s="1888"/>
    </row>
    <row r="166" spans="1:18" s="667" customFormat="1" outlineLevel="1">
      <c r="A166" s="152" t="s">
        <v>232</v>
      </c>
      <c r="B166" s="651" t="s">
        <v>810</v>
      </c>
      <c r="C166" s="649" t="s">
        <v>231</v>
      </c>
      <c r="D166" s="653">
        <f>'4.5 - свод'!R30</f>
        <v>15854.916274196952</v>
      </c>
      <c r="E166" s="653">
        <f>'4.5 - свод'!R43</f>
        <v>16809.020156315957</v>
      </c>
      <c r="F166" s="653">
        <v>16628.580005372958</v>
      </c>
      <c r="G166" s="653">
        <v>16608.075745914695</v>
      </c>
      <c r="H166" s="653">
        <v>17875.293279118028</v>
      </c>
      <c r="I166" s="653">
        <v>16590.346090880616</v>
      </c>
      <c r="J166" s="653">
        <v>17350.028265998219</v>
      </c>
      <c r="K166" s="653">
        <v>17027.079999999998</v>
      </c>
      <c r="L166" s="653">
        <v>18027.381178461059</v>
      </c>
      <c r="M166" s="653">
        <v>17917.599999999999</v>
      </c>
      <c r="N166" s="653">
        <v>18189.91</v>
      </c>
      <c r="O166" s="653">
        <v>18654.161559311498</v>
      </c>
      <c r="P166" s="653">
        <v>18605.689999999999</v>
      </c>
      <c r="Q166" s="653">
        <v>18725.940000000002</v>
      </c>
      <c r="R166" s="1888"/>
    </row>
    <row r="167" spans="1:18" s="667" customFormat="1" hidden="1" outlineLevel="1">
      <c r="A167" s="152"/>
      <c r="B167" s="623"/>
      <c r="C167" s="149" t="s">
        <v>231</v>
      </c>
      <c r="D167" s="653"/>
      <c r="E167" s="653"/>
      <c r="F167" s="653"/>
      <c r="G167" s="653"/>
      <c r="H167" s="653">
        <v>0</v>
      </c>
      <c r="I167" s="653">
        <v>40992.32</v>
      </c>
      <c r="J167" s="653">
        <v>12174.71904</v>
      </c>
      <c r="K167" s="653">
        <v>0</v>
      </c>
      <c r="L167" s="653"/>
      <c r="M167" s="653"/>
      <c r="N167" s="653"/>
      <c r="O167" s="653">
        <v>45186.666666666672</v>
      </c>
      <c r="P167" s="653">
        <v>45183.38</v>
      </c>
      <c r="Q167" s="653">
        <v>45189.79</v>
      </c>
      <c r="R167" s="1888"/>
    </row>
    <row r="168" spans="1:18" s="667" customFormat="1" hidden="1" outlineLevel="1">
      <c r="A168" s="152"/>
      <c r="B168" s="623"/>
      <c r="C168" s="149" t="s">
        <v>231</v>
      </c>
      <c r="D168" s="653"/>
      <c r="E168" s="653"/>
      <c r="F168" s="653"/>
      <c r="G168" s="653"/>
      <c r="H168" s="653">
        <v>7839.17</v>
      </c>
      <c r="I168" s="653">
        <v>7882.07</v>
      </c>
      <c r="J168" s="653">
        <v>3626719.4857900003</v>
      </c>
      <c r="K168" s="653">
        <v>69.849999999999994</v>
      </c>
      <c r="L168" s="653"/>
      <c r="M168" s="653"/>
      <c r="N168" s="653"/>
      <c r="O168" s="653">
        <v>8566.5499999999993</v>
      </c>
      <c r="P168" s="653">
        <v>8697.68</v>
      </c>
      <c r="Q168" s="653">
        <v>8408.84</v>
      </c>
      <c r="R168" s="1888"/>
    </row>
    <row r="169" spans="1:18" s="667" customFormat="1" hidden="1" outlineLevel="1">
      <c r="A169" s="152"/>
      <c r="B169" s="623" t="s">
        <v>1242</v>
      </c>
      <c r="C169" s="149" t="s">
        <v>231</v>
      </c>
      <c r="D169" s="653"/>
      <c r="E169" s="653"/>
      <c r="F169" s="653"/>
      <c r="G169" s="653"/>
      <c r="H169" s="653">
        <v>0</v>
      </c>
      <c r="I169" s="653">
        <v>0</v>
      </c>
      <c r="J169" s="653">
        <v>0</v>
      </c>
      <c r="K169" s="653">
        <v>0</v>
      </c>
      <c r="L169" s="653"/>
      <c r="M169" s="653"/>
      <c r="N169" s="653"/>
      <c r="O169" s="653">
        <v>0</v>
      </c>
      <c r="P169" s="653">
        <v>0</v>
      </c>
      <c r="Q169" s="653">
        <v>0</v>
      </c>
      <c r="R169" s="1888"/>
    </row>
    <row r="170" spans="1:18" s="667" customFormat="1" ht="15.75" outlineLevel="1">
      <c r="A170" s="152" t="s">
        <v>233</v>
      </c>
      <c r="B170" s="651" t="s">
        <v>811</v>
      </c>
      <c r="C170" s="649" t="s">
        <v>1208</v>
      </c>
      <c r="D170" s="653">
        <f>'4.5 - свод'!R31-0.01</f>
        <v>5688.0022794551687</v>
      </c>
      <c r="E170" s="653">
        <f>'4.5 - свод'!R44</f>
        <v>6145.73</v>
      </c>
      <c r="F170" s="653">
        <v>5786.1100000000006</v>
      </c>
      <c r="G170" s="653">
        <v>6307.4961101618692</v>
      </c>
      <c r="H170" s="653">
        <v>5937.6020845856347</v>
      </c>
      <c r="I170" s="653">
        <v>6320.7074273970265</v>
      </c>
      <c r="J170" s="653">
        <v>6277.9415033333344</v>
      </c>
      <c r="K170" s="653">
        <v>6279.07</v>
      </c>
      <c r="L170" s="653">
        <v>6503.0223028739865</v>
      </c>
      <c r="M170" s="653">
        <v>6422.71</v>
      </c>
      <c r="N170" s="653">
        <v>6619.25</v>
      </c>
      <c r="O170" s="653">
        <v>6700.0195283714074</v>
      </c>
      <c r="P170" s="653">
        <v>6619.25</v>
      </c>
      <c r="Q170" s="653">
        <v>6817</v>
      </c>
      <c r="R170" s="1888"/>
    </row>
    <row r="171" spans="1:18" s="667" customFormat="1" ht="15.75" hidden="1" outlineLevel="1">
      <c r="A171" s="152"/>
      <c r="B171" s="623"/>
      <c r="C171" s="149" t="s">
        <v>825</v>
      </c>
      <c r="D171" s="653"/>
      <c r="E171" s="653"/>
      <c r="F171" s="653"/>
      <c r="G171" s="653"/>
      <c r="H171" s="653"/>
      <c r="I171" s="653"/>
      <c r="J171" s="653"/>
      <c r="K171" s="653"/>
      <c r="L171" s="653"/>
      <c r="M171" s="653"/>
      <c r="N171" s="653"/>
      <c r="O171" s="653"/>
      <c r="P171" s="653"/>
      <c r="Q171" s="653"/>
      <c r="R171" s="1888"/>
    </row>
    <row r="172" spans="1:18" s="667" customFormat="1" ht="15.75" hidden="1" outlineLevel="1">
      <c r="A172" s="152"/>
      <c r="B172" s="623"/>
      <c r="C172" s="149" t="s">
        <v>825</v>
      </c>
      <c r="D172" s="653"/>
      <c r="E172" s="653"/>
      <c r="F172" s="653"/>
      <c r="G172" s="653"/>
      <c r="H172" s="653"/>
      <c r="I172" s="653"/>
      <c r="J172" s="653"/>
      <c r="K172" s="653"/>
      <c r="L172" s="653"/>
      <c r="M172" s="653"/>
      <c r="N172" s="653"/>
      <c r="O172" s="653"/>
      <c r="P172" s="653"/>
      <c r="Q172" s="653"/>
      <c r="R172" s="1888"/>
    </row>
    <row r="173" spans="1:18" s="667" customFormat="1" ht="15.75" hidden="1" outlineLevel="1">
      <c r="A173" s="152"/>
      <c r="B173" s="623" t="s">
        <v>1242</v>
      </c>
      <c r="C173" s="149" t="s">
        <v>825</v>
      </c>
      <c r="D173" s="653"/>
      <c r="E173" s="653"/>
      <c r="F173" s="653"/>
      <c r="G173" s="653"/>
      <c r="H173" s="653"/>
      <c r="I173" s="653"/>
      <c r="J173" s="653"/>
      <c r="K173" s="653"/>
      <c r="L173" s="653"/>
      <c r="M173" s="653"/>
      <c r="N173" s="653"/>
      <c r="O173" s="653"/>
      <c r="P173" s="653"/>
      <c r="Q173" s="653"/>
      <c r="R173" s="1888"/>
    </row>
    <row r="174" spans="1:18" s="136" customFormat="1" ht="15.75" outlineLevel="1">
      <c r="A174" s="152" t="s">
        <v>234</v>
      </c>
      <c r="B174" s="655" t="s">
        <v>812</v>
      </c>
      <c r="C174" s="141" t="s">
        <v>825</v>
      </c>
      <c r="D174" s="653"/>
      <c r="E174" s="653"/>
      <c r="F174" s="653"/>
      <c r="G174" s="653"/>
      <c r="H174" s="653"/>
      <c r="I174" s="653"/>
      <c r="J174" s="653"/>
      <c r="K174" s="653"/>
      <c r="L174" s="653"/>
      <c r="M174" s="653"/>
      <c r="N174" s="653"/>
      <c r="O174" s="653"/>
      <c r="P174" s="653"/>
      <c r="Q174" s="653"/>
      <c r="R174" s="1888"/>
    </row>
    <row r="175" spans="1:18" s="136" customFormat="1" ht="15.75" outlineLevel="1">
      <c r="A175" s="152" t="s">
        <v>235</v>
      </c>
      <c r="B175" s="655" t="s">
        <v>813</v>
      </c>
      <c r="C175" s="141" t="s">
        <v>825</v>
      </c>
      <c r="D175" s="653"/>
      <c r="E175" s="653"/>
      <c r="F175" s="653"/>
      <c r="G175" s="653"/>
      <c r="H175" s="653"/>
      <c r="I175" s="653"/>
      <c r="J175" s="653"/>
      <c r="K175" s="653"/>
      <c r="L175" s="653"/>
      <c r="M175" s="653"/>
      <c r="N175" s="653"/>
      <c r="O175" s="653"/>
      <c r="P175" s="653"/>
      <c r="Q175" s="653"/>
      <c r="R175" s="1888"/>
    </row>
    <row r="176" spans="1:18" s="136" customFormat="1" ht="15.75" outlineLevel="1">
      <c r="A176" s="152" t="s">
        <v>236</v>
      </c>
      <c r="B176" s="655" t="s">
        <v>814</v>
      </c>
      <c r="C176" s="141" t="s">
        <v>825</v>
      </c>
      <c r="D176" s="653"/>
      <c r="E176" s="653"/>
      <c r="F176" s="653"/>
      <c r="G176" s="653"/>
      <c r="H176" s="653"/>
      <c r="I176" s="653"/>
      <c r="J176" s="653"/>
      <c r="K176" s="653"/>
      <c r="L176" s="653"/>
      <c r="M176" s="653"/>
      <c r="N176" s="653"/>
      <c r="O176" s="653"/>
      <c r="P176" s="653"/>
      <c r="Q176" s="653"/>
      <c r="R176" s="1888"/>
    </row>
    <row r="177" spans="1:18" s="667" customFormat="1" ht="16.5" customHeight="1" outlineLevel="1">
      <c r="A177" s="635" t="s">
        <v>237</v>
      </c>
      <c r="B177" s="651" t="s">
        <v>1219</v>
      </c>
      <c r="C177" s="649" t="s">
        <v>231</v>
      </c>
      <c r="D177" s="653"/>
      <c r="E177" s="653"/>
      <c r="F177" s="653"/>
      <c r="G177" s="653"/>
      <c r="H177" s="653"/>
      <c r="I177" s="653"/>
      <c r="J177" s="653">
        <v>36127.118644067807</v>
      </c>
      <c r="K177" s="653">
        <v>40992.32</v>
      </c>
      <c r="L177" s="653">
        <v>44903.088266666666</v>
      </c>
      <c r="M177" s="653">
        <v>44850.02</v>
      </c>
      <c r="N177" s="653">
        <v>44961.36</v>
      </c>
      <c r="O177" s="653">
        <v>45186.666666666672</v>
      </c>
      <c r="P177" s="653">
        <v>45183.38</v>
      </c>
      <c r="Q177" s="653">
        <v>45189.79</v>
      </c>
      <c r="R177" s="1889"/>
    </row>
    <row r="178" spans="1:18" s="136" customFormat="1" ht="16.5" customHeight="1" outlineLevel="1">
      <c r="A178" s="650" t="s">
        <v>238</v>
      </c>
      <c r="B178" s="638" t="s">
        <v>239</v>
      </c>
      <c r="C178" s="643" t="s">
        <v>826</v>
      </c>
      <c r="D178" s="656">
        <f>D179+D181+D185+D192</f>
        <v>1089837.9721872082</v>
      </c>
      <c r="E178" s="656">
        <f t="shared" ref="E178:N178" si="15">E179+E181+E185+E192</f>
        <v>1154298.3382224555</v>
      </c>
      <c r="F178" s="656">
        <v>1155160.5700808195</v>
      </c>
      <c r="G178" s="656">
        <v>1053276.8124599999</v>
      </c>
      <c r="H178" s="656">
        <v>1408348.4000399758</v>
      </c>
      <c r="I178" s="656">
        <v>995305.06011000008</v>
      </c>
      <c r="J178" s="656">
        <v>1192625.1545909329</v>
      </c>
      <c r="K178" s="656">
        <v>1095460.6458300001</v>
      </c>
      <c r="L178" s="656">
        <v>1215556.5822999999</v>
      </c>
      <c r="M178" s="656">
        <v>720362.11002999998</v>
      </c>
      <c r="N178" s="656">
        <v>495194.47227000003</v>
      </c>
      <c r="O178" s="656">
        <v>1258950.3319500003</v>
      </c>
      <c r="P178" s="656">
        <v>748598.42230999994</v>
      </c>
      <c r="Q178" s="656">
        <v>510351.90964000003</v>
      </c>
    </row>
    <row r="179" spans="1:18" s="136" customFormat="1" outlineLevel="1">
      <c r="A179" s="152" t="s">
        <v>241</v>
      </c>
      <c r="B179" s="634" t="s">
        <v>1207</v>
      </c>
      <c r="C179" s="141" t="s">
        <v>826</v>
      </c>
      <c r="D179" s="272">
        <f>D140*D164-2</f>
        <v>66389.422404365454</v>
      </c>
      <c r="E179" s="272">
        <f>E140*E164</f>
        <v>50553.088650730897</v>
      </c>
      <c r="F179" s="272">
        <v>54951.390840205451</v>
      </c>
      <c r="G179" s="272">
        <v>44489.061590000005</v>
      </c>
      <c r="H179" s="272">
        <v>45612.675983902504</v>
      </c>
      <c r="I179" s="272">
        <v>40686.76008</v>
      </c>
      <c r="J179" s="272">
        <v>50101.464986460262</v>
      </c>
      <c r="K179" s="272">
        <v>43754.449049999996</v>
      </c>
      <c r="L179" s="272">
        <v>56168.882450000005</v>
      </c>
      <c r="M179" s="272">
        <v>35289.688800000004</v>
      </c>
      <c r="N179" s="272">
        <v>20879.193650000001</v>
      </c>
      <c r="O179" s="272">
        <v>60413.384819999999</v>
      </c>
      <c r="P179" s="272">
        <v>38055.445059999998</v>
      </c>
      <c r="Q179" s="272">
        <v>22357.939760000001</v>
      </c>
      <c r="R179" s="672">
        <f>M247+N247-L247</f>
        <v>0</v>
      </c>
    </row>
    <row r="180" spans="1:18" s="136" customFormat="1" hidden="1" outlineLevel="1">
      <c r="A180" s="152"/>
      <c r="B180" s="144"/>
      <c r="C180" s="141"/>
      <c r="D180" s="272"/>
      <c r="E180" s="272"/>
      <c r="F180" s="272"/>
      <c r="G180" s="272"/>
      <c r="H180" s="272"/>
      <c r="I180" s="272"/>
      <c r="J180" s="272"/>
      <c r="K180" s="272"/>
      <c r="L180" s="134"/>
      <c r="M180" s="272"/>
      <c r="N180" s="272"/>
      <c r="O180" s="134"/>
      <c r="P180" s="272"/>
      <c r="Q180" s="272"/>
      <c r="R180" s="672">
        <f>M248+N248-L248</f>
        <v>0</v>
      </c>
    </row>
    <row r="181" spans="1:18" s="136" customFormat="1" outlineLevel="1">
      <c r="A181" s="152" t="s">
        <v>242</v>
      </c>
      <c r="B181" s="634" t="s">
        <v>810</v>
      </c>
      <c r="C181" s="141" t="s">
        <v>826</v>
      </c>
      <c r="D181" s="272">
        <f>D142*D166-1</f>
        <v>966181.74283328804</v>
      </c>
      <c r="E181" s="272">
        <f>E142*E166-3</f>
        <v>1076581.1229717245</v>
      </c>
      <c r="F181" s="272">
        <v>1023213.4134706142</v>
      </c>
      <c r="G181" s="272">
        <v>927909.79999999993</v>
      </c>
      <c r="H181" s="272">
        <v>1295029.2474855431</v>
      </c>
      <c r="I181" s="272">
        <v>877996.13735000009</v>
      </c>
      <c r="J181" s="272">
        <v>1045089.3524879604</v>
      </c>
      <c r="K181" s="272">
        <v>952767.28847999999</v>
      </c>
      <c r="L181" s="272">
        <v>1044199.85561</v>
      </c>
      <c r="M181" s="272">
        <v>619447.2672</v>
      </c>
      <c r="N181" s="272">
        <v>424752.58840999997</v>
      </c>
      <c r="O181" s="272">
        <v>1080505.3396200002</v>
      </c>
      <c r="P181" s="272">
        <v>643235.91468000005</v>
      </c>
      <c r="Q181" s="272">
        <v>437269.42494000006</v>
      </c>
      <c r="R181" s="672">
        <f>M249+N249-L249</f>
        <v>0</v>
      </c>
    </row>
    <row r="182" spans="1:18" s="136" customFormat="1" hidden="1" outlineLevel="1">
      <c r="A182" s="152"/>
      <c r="B182" s="623"/>
      <c r="C182" s="141" t="s">
        <v>826</v>
      </c>
      <c r="D182" s="272"/>
      <c r="E182" s="272"/>
      <c r="F182" s="272"/>
      <c r="G182" s="272"/>
      <c r="H182" s="272"/>
      <c r="I182" s="272"/>
      <c r="J182" s="272"/>
      <c r="K182" s="272"/>
      <c r="L182" s="272"/>
      <c r="M182" s="272"/>
      <c r="N182" s="272"/>
      <c r="O182" s="272"/>
      <c r="P182" s="272"/>
      <c r="Q182" s="272"/>
      <c r="R182" s="672"/>
    </row>
    <row r="183" spans="1:18" s="136" customFormat="1" hidden="1" outlineLevel="1">
      <c r="A183" s="152"/>
      <c r="B183" s="623"/>
      <c r="C183" s="141" t="s">
        <v>826</v>
      </c>
      <c r="D183" s="272"/>
      <c r="E183" s="272"/>
      <c r="F183" s="272"/>
      <c r="G183" s="272"/>
      <c r="H183" s="272"/>
      <c r="I183" s="272"/>
      <c r="J183" s="272"/>
      <c r="K183" s="272"/>
      <c r="L183" s="272"/>
      <c r="M183" s="272"/>
      <c r="N183" s="272"/>
      <c r="O183" s="272"/>
      <c r="P183" s="272"/>
      <c r="Q183" s="272"/>
      <c r="R183" s="672"/>
    </row>
    <row r="184" spans="1:18" s="136" customFormat="1" hidden="1" outlineLevel="1">
      <c r="A184" s="152"/>
      <c r="B184" s="623" t="s">
        <v>1242</v>
      </c>
      <c r="C184" s="141" t="s">
        <v>826</v>
      </c>
      <c r="D184" s="272"/>
      <c r="E184" s="272"/>
      <c r="F184" s="272"/>
      <c r="G184" s="272"/>
      <c r="H184" s="272"/>
      <c r="I184" s="272"/>
      <c r="J184" s="272"/>
      <c r="K184" s="272"/>
      <c r="L184" s="272"/>
      <c r="M184" s="272"/>
      <c r="N184" s="272"/>
      <c r="O184" s="272"/>
      <c r="P184" s="272"/>
      <c r="Q184" s="272"/>
      <c r="R184" s="672"/>
    </row>
    <row r="185" spans="1:18" s="136" customFormat="1" outlineLevel="1">
      <c r="A185" s="152" t="s">
        <v>243</v>
      </c>
      <c r="B185" s="634" t="s">
        <v>811</v>
      </c>
      <c r="C185" s="141" t="s">
        <v>826</v>
      </c>
      <c r="D185" s="272">
        <f>D146*D170</f>
        <v>57266.806949554637</v>
      </c>
      <c r="E185" s="272">
        <f>E146*E170</f>
        <v>27164.126599999996</v>
      </c>
      <c r="F185" s="272">
        <v>76995.765770000013</v>
      </c>
      <c r="G185" s="272">
        <v>80877.950870000001</v>
      </c>
      <c r="H185" s="272">
        <v>67706.476570529994</v>
      </c>
      <c r="I185" s="272">
        <v>76622.162679999994</v>
      </c>
      <c r="J185" s="272">
        <v>86745.693048715693</v>
      </c>
      <c r="K185" s="272">
        <v>86764.189259999999</v>
      </c>
      <c r="L185" s="272">
        <v>88245.989000000001</v>
      </c>
      <c r="M185" s="272">
        <v>51542.247750000002</v>
      </c>
      <c r="N185" s="272">
        <v>36703.741249999999</v>
      </c>
      <c r="O185" s="272">
        <v>90919.746249999997</v>
      </c>
      <c r="P185" s="272">
        <v>53119.481250000004</v>
      </c>
      <c r="Q185" s="272">
        <v>37800.264999999999</v>
      </c>
      <c r="R185" s="672">
        <f>M250+N250-L250</f>
        <v>0</v>
      </c>
    </row>
    <row r="186" spans="1:18" s="136" customFormat="1" hidden="1" outlineLevel="1">
      <c r="A186" s="152"/>
      <c r="B186" s="623"/>
      <c r="C186" s="141" t="s">
        <v>826</v>
      </c>
      <c r="D186" s="272"/>
      <c r="E186" s="272"/>
      <c r="F186" s="272"/>
      <c r="G186" s="272"/>
      <c r="H186" s="272"/>
      <c r="I186" s="272"/>
      <c r="J186" s="272"/>
      <c r="K186" s="272"/>
      <c r="L186" s="272"/>
      <c r="M186" s="272"/>
      <c r="N186" s="272"/>
      <c r="O186" s="272"/>
      <c r="P186" s="272"/>
      <c r="Q186" s="272"/>
      <c r="R186" s="672"/>
    </row>
    <row r="187" spans="1:18" s="136" customFormat="1" hidden="1" outlineLevel="1">
      <c r="A187" s="152"/>
      <c r="B187" s="623"/>
      <c r="C187" s="141" t="s">
        <v>826</v>
      </c>
      <c r="D187" s="272"/>
      <c r="E187" s="272"/>
      <c r="F187" s="272"/>
      <c r="G187" s="272"/>
      <c r="H187" s="272"/>
      <c r="I187" s="272"/>
      <c r="J187" s="272"/>
      <c r="K187" s="272"/>
      <c r="L187" s="272"/>
      <c r="M187" s="272"/>
      <c r="N187" s="272"/>
      <c r="O187" s="272"/>
      <c r="P187" s="272"/>
      <c r="Q187" s="272"/>
      <c r="R187" s="672"/>
    </row>
    <row r="188" spans="1:18" s="136" customFormat="1" hidden="1" outlineLevel="1">
      <c r="A188" s="152"/>
      <c r="B188" s="623" t="s">
        <v>1242</v>
      </c>
      <c r="C188" s="141" t="s">
        <v>826</v>
      </c>
      <c r="D188" s="272"/>
      <c r="E188" s="272"/>
      <c r="F188" s="272"/>
      <c r="G188" s="272"/>
      <c r="H188" s="272"/>
      <c r="I188" s="272"/>
      <c r="J188" s="272"/>
      <c r="K188" s="272"/>
      <c r="L188" s="272"/>
      <c r="M188" s="272"/>
      <c r="N188" s="272"/>
      <c r="O188" s="272"/>
      <c r="P188" s="272"/>
      <c r="Q188" s="272"/>
      <c r="R188" s="672"/>
    </row>
    <row r="189" spans="1:18" s="136" customFormat="1" outlineLevel="1">
      <c r="A189" s="152" t="s">
        <v>244</v>
      </c>
      <c r="B189" s="154" t="s">
        <v>812</v>
      </c>
      <c r="C189" s="141" t="s">
        <v>826</v>
      </c>
      <c r="D189" s="272"/>
      <c r="E189" s="272"/>
      <c r="F189" s="272"/>
      <c r="G189" s="272"/>
      <c r="H189" s="272"/>
      <c r="I189" s="272"/>
      <c r="J189" s="272"/>
      <c r="K189" s="272"/>
      <c r="L189" s="134"/>
      <c r="M189" s="272"/>
      <c r="N189" s="272"/>
      <c r="O189" s="134"/>
      <c r="P189" s="272"/>
      <c r="Q189" s="272"/>
      <c r="R189" s="672">
        <f t="shared" ref="R189:R192" si="16">M251+N251-L251</f>
        <v>0</v>
      </c>
    </row>
    <row r="190" spans="1:18" s="136" customFormat="1" outlineLevel="1">
      <c r="A190" s="152" t="s">
        <v>245</v>
      </c>
      <c r="B190" s="154" t="s">
        <v>813</v>
      </c>
      <c r="C190" s="141" t="s">
        <v>826</v>
      </c>
      <c r="D190" s="272"/>
      <c r="E190" s="272"/>
      <c r="F190" s="272"/>
      <c r="G190" s="272"/>
      <c r="H190" s="272"/>
      <c r="I190" s="272"/>
      <c r="J190" s="272"/>
      <c r="K190" s="272"/>
      <c r="L190" s="134"/>
      <c r="M190" s="272"/>
      <c r="N190" s="272"/>
      <c r="O190" s="134"/>
      <c r="P190" s="272"/>
      <c r="Q190" s="272"/>
      <c r="R190" s="672">
        <f t="shared" si="16"/>
        <v>0</v>
      </c>
    </row>
    <row r="191" spans="1:18" s="136" customFormat="1" outlineLevel="1">
      <c r="A191" s="152" t="s">
        <v>246</v>
      </c>
      <c r="B191" s="154" t="s">
        <v>814</v>
      </c>
      <c r="C191" s="141" t="s">
        <v>826</v>
      </c>
      <c r="D191" s="272"/>
      <c r="E191" s="272"/>
      <c r="F191" s="272"/>
      <c r="G191" s="272"/>
      <c r="H191" s="272"/>
      <c r="I191" s="272"/>
      <c r="J191" s="272"/>
      <c r="K191" s="272"/>
      <c r="L191" s="134"/>
      <c r="M191" s="272"/>
      <c r="N191" s="272"/>
      <c r="O191" s="134"/>
      <c r="P191" s="272"/>
      <c r="Q191" s="272"/>
      <c r="R191" s="672">
        <f t="shared" si="16"/>
        <v>0</v>
      </c>
    </row>
    <row r="192" spans="1:18" s="136" customFormat="1" outlineLevel="1">
      <c r="A192" s="152" t="s">
        <v>247</v>
      </c>
      <c r="B192" s="651" t="s">
        <v>1219</v>
      </c>
      <c r="C192" s="141" t="s">
        <v>826</v>
      </c>
      <c r="D192" s="272">
        <f>D153*D177</f>
        <v>0</v>
      </c>
      <c r="E192" s="272">
        <f>E153*E177</f>
        <v>0</v>
      </c>
      <c r="F192" s="272">
        <v>0</v>
      </c>
      <c r="G192" s="272">
        <v>0</v>
      </c>
      <c r="H192" s="272">
        <v>0</v>
      </c>
      <c r="I192" s="272">
        <v>0</v>
      </c>
      <c r="J192" s="272">
        <v>10688.644067796613</v>
      </c>
      <c r="K192" s="272">
        <v>12174.71904</v>
      </c>
      <c r="L192" s="272">
        <v>26941.855239999997</v>
      </c>
      <c r="M192" s="272">
        <v>14082.906279999999</v>
      </c>
      <c r="N192" s="272">
        <v>12858.94896</v>
      </c>
      <c r="O192" s="272">
        <v>27111.861259999998</v>
      </c>
      <c r="P192" s="272">
        <v>14187.581319999999</v>
      </c>
      <c r="Q192" s="272">
        <v>12924.279939999999</v>
      </c>
      <c r="R192" s="672">
        <f t="shared" si="16"/>
        <v>0</v>
      </c>
    </row>
    <row r="193" spans="1:17" s="136" customFormat="1" outlineLevel="1">
      <c r="A193" s="152" t="s">
        <v>248</v>
      </c>
      <c r="B193" s="144" t="s">
        <v>827</v>
      </c>
      <c r="C193" s="141" t="s">
        <v>826</v>
      </c>
      <c r="D193" s="272">
        <f>D178</f>
        <v>1089837.9721872082</v>
      </c>
      <c r="E193" s="272">
        <f t="shared" ref="E193:N193" si="17">E178</f>
        <v>1154298.3382224555</v>
      </c>
      <c r="F193" s="272">
        <v>1155160.5700808195</v>
      </c>
      <c r="G193" s="272">
        <v>1053276.8124599999</v>
      </c>
      <c r="H193" s="272">
        <v>1408348.4000399758</v>
      </c>
      <c r="I193" s="272">
        <v>995305.06011000008</v>
      </c>
      <c r="J193" s="272">
        <v>1192625.1545909329</v>
      </c>
      <c r="K193" s="272">
        <v>1095460.6458300001</v>
      </c>
      <c r="L193" s="272">
        <v>1215556.5822999999</v>
      </c>
      <c r="M193" s="272">
        <v>720362.11002999998</v>
      </c>
      <c r="N193" s="272">
        <v>495194.47227000003</v>
      </c>
      <c r="O193" s="272">
        <v>1258950.3319500003</v>
      </c>
      <c r="P193" s="272">
        <v>748598.42230999994</v>
      </c>
      <c r="Q193" s="272">
        <v>510351.90964000003</v>
      </c>
    </row>
    <row r="194" spans="1:17" s="136" customFormat="1" ht="38.25" outlineLevel="1">
      <c r="A194" s="650" t="s">
        <v>249</v>
      </c>
      <c r="B194" s="657" t="s">
        <v>828</v>
      </c>
      <c r="C194" s="643" t="s">
        <v>826</v>
      </c>
      <c r="D194" s="658">
        <f>D195+D197+D201+D208</f>
        <v>1089837.9721872082</v>
      </c>
      <c r="E194" s="658">
        <f t="shared" ref="E194:N194" si="18">E195+E197+E201+E208</f>
        <v>1154298.3382224555</v>
      </c>
      <c r="F194" s="658">
        <v>1155160.5700808195</v>
      </c>
      <c r="G194" s="658">
        <v>1053276.8124599999</v>
      </c>
      <c r="H194" s="658">
        <v>1408348.4000399758</v>
      </c>
      <c r="I194" s="658">
        <v>995305.06011000008</v>
      </c>
      <c r="J194" s="658">
        <v>1192625.1545909329</v>
      </c>
      <c r="K194" s="658">
        <v>1095460.6458300001</v>
      </c>
      <c r="L194" s="658">
        <v>1215556.5822999999</v>
      </c>
      <c r="M194" s="658">
        <v>720362.11002999998</v>
      </c>
      <c r="N194" s="658">
        <v>495194.47227000003</v>
      </c>
      <c r="O194" s="658">
        <v>1258950.3319500003</v>
      </c>
      <c r="P194" s="658">
        <v>748598.42230999994</v>
      </c>
      <c r="Q194" s="658">
        <v>510351.90964000003</v>
      </c>
    </row>
    <row r="195" spans="1:17" s="136" customFormat="1" outlineLevel="1">
      <c r="A195" s="152" t="s">
        <v>251</v>
      </c>
      <c r="B195" s="144" t="s">
        <v>1205</v>
      </c>
      <c r="C195" s="141" t="s">
        <v>826</v>
      </c>
      <c r="D195" s="659">
        <f>D179</f>
        <v>66389.422404365454</v>
      </c>
      <c r="E195" s="659">
        <f t="shared" ref="E195:N195" si="19">E179</f>
        <v>50553.088650730897</v>
      </c>
      <c r="F195" s="659">
        <v>54951.390840205451</v>
      </c>
      <c r="G195" s="659">
        <v>44489.061590000005</v>
      </c>
      <c r="H195" s="659">
        <v>45612.675983902504</v>
      </c>
      <c r="I195" s="659">
        <v>40686.76008</v>
      </c>
      <c r="J195" s="659">
        <v>50101.464986460262</v>
      </c>
      <c r="K195" s="659">
        <v>43754.449049999996</v>
      </c>
      <c r="L195" s="659">
        <v>56168.882450000005</v>
      </c>
      <c r="M195" s="659">
        <v>35289.688800000004</v>
      </c>
      <c r="N195" s="659">
        <v>20879.193650000001</v>
      </c>
      <c r="O195" s="659">
        <v>60413.384819999999</v>
      </c>
      <c r="P195" s="659">
        <v>38055.445059999998</v>
      </c>
      <c r="Q195" s="659">
        <v>22357.939760000001</v>
      </c>
    </row>
    <row r="196" spans="1:17" s="136" customFormat="1" hidden="1" outlineLevel="1">
      <c r="A196" s="152"/>
      <c r="B196" s="144"/>
      <c r="C196" s="141"/>
      <c r="D196" s="659"/>
      <c r="E196" s="659"/>
      <c r="F196" s="659"/>
      <c r="G196" s="659"/>
      <c r="H196" s="659"/>
      <c r="I196" s="659"/>
      <c r="J196" s="659"/>
      <c r="K196" s="659"/>
      <c r="L196" s="659"/>
      <c r="M196" s="659"/>
      <c r="N196" s="659"/>
      <c r="O196" s="659"/>
      <c r="P196" s="659"/>
      <c r="Q196" s="659"/>
    </row>
    <row r="197" spans="1:17" s="136" customFormat="1" outlineLevel="1">
      <c r="A197" s="152" t="s">
        <v>252</v>
      </c>
      <c r="B197" s="144" t="s">
        <v>810</v>
      </c>
      <c r="C197" s="141" t="s">
        <v>826</v>
      </c>
      <c r="D197" s="659">
        <f t="shared" ref="D197:N197" si="20">D181</f>
        <v>966181.74283328804</v>
      </c>
      <c r="E197" s="659">
        <f t="shared" si="20"/>
        <v>1076581.1229717245</v>
      </c>
      <c r="F197" s="659">
        <v>1023213.4134706142</v>
      </c>
      <c r="G197" s="659">
        <v>927909.79999999993</v>
      </c>
      <c r="H197" s="659">
        <v>1295029.2474855431</v>
      </c>
      <c r="I197" s="659">
        <v>877996.13735000009</v>
      </c>
      <c r="J197" s="659">
        <v>1045089.3524879604</v>
      </c>
      <c r="K197" s="659">
        <v>952767.28847999999</v>
      </c>
      <c r="L197" s="659">
        <v>1044199.85561</v>
      </c>
      <c r="M197" s="659">
        <v>619447.2672</v>
      </c>
      <c r="N197" s="659">
        <v>424752.58840999997</v>
      </c>
      <c r="O197" s="659">
        <v>1080505.3396200002</v>
      </c>
      <c r="P197" s="659">
        <v>643235.91468000005</v>
      </c>
      <c r="Q197" s="659">
        <v>437269.42494000006</v>
      </c>
    </row>
    <row r="198" spans="1:17" s="136" customFormat="1" hidden="1" outlineLevel="1">
      <c r="A198" s="152"/>
      <c r="B198" s="623"/>
      <c r="C198" s="141" t="s">
        <v>826</v>
      </c>
      <c r="D198" s="659"/>
      <c r="E198" s="659"/>
      <c r="F198" s="659"/>
      <c r="G198" s="659"/>
      <c r="H198" s="659"/>
      <c r="I198" s="659"/>
      <c r="J198" s="659"/>
      <c r="K198" s="659"/>
      <c r="L198" s="659"/>
      <c r="M198" s="659"/>
      <c r="N198" s="659"/>
      <c r="O198" s="659"/>
      <c r="P198" s="659"/>
      <c r="Q198" s="659"/>
    </row>
    <row r="199" spans="1:17" s="136" customFormat="1" hidden="1" outlineLevel="1">
      <c r="A199" s="152"/>
      <c r="B199" s="623"/>
      <c r="C199" s="141" t="s">
        <v>826</v>
      </c>
      <c r="D199" s="659"/>
      <c r="E199" s="659"/>
      <c r="F199" s="659"/>
      <c r="G199" s="659"/>
      <c r="H199" s="659"/>
      <c r="I199" s="659"/>
      <c r="J199" s="659"/>
      <c r="K199" s="659"/>
      <c r="L199" s="659"/>
      <c r="M199" s="659"/>
      <c r="N199" s="659"/>
      <c r="O199" s="659"/>
      <c r="P199" s="659"/>
      <c r="Q199" s="659"/>
    </row>
    <row r="200" spans="1:17" s="136" customFormat="1" hidden="1" outlineLevel="1">
      <c r="A200" s="152"/>
      <c r="B200" s="623" t="s">
        <v>1242</v>
      </c>
      <c r="C200" s="141" t="s">
        <v>826</v>
      </c>
      <c r="D200" s="659"/>
      <c r="E200" s="659"/>
      <c r="F200" s="659"/>
      <c r="G200" s="659"/>
      <c r="H200" s="659"/>
      <c r="I200" s="659"/>
      <c r="J200" s="659"/>
      <c r="K200" s="659"/>
      <c r="L200" s="659"/>
      <c r="M200" s="659"/>
      <c r="N200" s="659"/>
      <c r="O200" s="659"/>
      <c r="P200" s="659"/>
      <c r="Q200" s="659"/>
    </row>
    <row r="201" spans="1:17" s="136" customFormat="1" outlineLevel="1">
      <c r="A201" s="152" t="s">
        <v>253</v>
      </c>
      <c r="B201" s="144" t="s">
        <v>811</v>
      </c>
      <c r="C201" s="141" t="s">
        <v>826</v>
      </c>
      <c r="D201" s="659">
        <f t="shared" ref="D201:N201" si="21">D185</f>
        <v>57266.806949554637</v>
      </c>
      <c r="E201" s="659">
        <f t="shared" si="21"/>
        <v>27164.126599999996</v>
      </c>
      <c r="F201" s="659">
        <v>76995.765770000013</v>
      </c>
      <c r="G201" s="659">
        <v>80877.950870000001</v>
      </c>
      <c r="H201" s="659">
        <v>67706.476570529994</v>
      </c>
      <c r="I201" s="659">
        <v>76622.162679999994</v>
      </c>
      <c r="J201" s="659">
        <v>86745.693048715693</v>
      </c>
      <c r="K201" s="659">
        <v>86764.189259999999</v>
      </c>
      <c r="L201" s="659">
        <v>88245.989000000001</v>
      </c>
      <c r="M201" s="659">
        <v>51542.247750000002</v>
      </c>
      <c r="N201" s="659">
        <v>36703.741249999999</v>
      </c>
      <c r="O201" s="659">
        <v>90919.746249999997</v>
      </c>
      <c r="P201" s="659">
        <v>53119.481250000004</v>
      </c>
      <c r="Q201" s="659">
        <v>37800.264999999999</v>
      </c>
    </row>
    <row r="202" spans="1:17" s="136" customFormat="1" hidden="1" outlineLevel="1">
      <c r="A202" s="152"/>
      <c r="B202" s="623"/>
      <c r="C202" s="141" t="s">
        <v>826</v>
      </c>
      <c r="D202" s="659"/>
      <c r="E202" s="659"/>
      <c r="F202" s="659"/>
      <c r="G202" s="659"/>
      <c r="H202" s="659"/>
      <c r="I202" s="659"/>
      <c r="J202" s="659"/>
      <c r="K202" s="659"/>
      <c r="L202" s="659"/>
      <c r="M202" s="659"/>
      <c r="N202" s="659"/>
      <c r="O202" s="659"/>
      <c r="P202" s="659"/>
      <c r="Q202" s="659"/>
    </row>
    <row r="203" spans="1:17" s="136" customFormat="1" hidden="1" outlineLevel="1">
      <c r="A203" s="152"/>
      <c r="B203" s="623"/>
      <c r="C203" s="141" t="s">
        <v>826</v>
      </c>
      <c r="D203" s="659"/>
      <c r="E203" s="659"/>
      <c r="F203" s="659"/>
      <c r="G203" s="659"/>
      <c r="H203" s="659"/>
      <c r="I203" s="659"/>
      <c r="J203" s="659"/>
      <c r="K203" s="659"/>
      <c r="L203" s="659"/>
      <c r="M203" s="659"/>
      <c r="N203" s="659"/>
      <c r="O203" s="659"/>
      <c r="P203" s="659"/>
      <c r="Q203" s="659"/>
    </row>
    <row r="204" spans="1:17" s="136" customFormat="1" hidden="1" outlineLevel="1">
      <c r="A204" s="152"/>
      <c r="B204" s="623" t="s">
        <v>1242</v>
      </c>
      <c r="C204" s="141" t="s">
        <v>826</v>
      </c>
      <c r="D204" s="659"/>
      <c r="E204" s="659"/>
      <c r="F204" s="659"/>
      <c r="G204" s="659"/>
      <c r="H204" s="659"/>
      <c r="I204" s="659"/>
      <c r="J204" s="659"/>
      <c r="K204" s="659"/>
      <c r="L204" s="659"/>
      <c r="M204" s="659"/>
      <c r="N204" s="659"/>
      <c r="O204" s="659"/>
      <c r="P204" s="659"/>
      <c r="Q204" s="659"/>
    </row>
    <row r="205" spans="1:17" s="136" customFormat="1" outlineLevel="1">
      <c r="A205" s="152" t="s">
        <v>254</v>
      </c>
      <c r="B205" s="154" t="s">
        <v>812</v>
      </c>
      <c r="C205" s="141" t="s">
        <v>826</v>
      </c>
      <c r="D205" s="659"/>
      <c r="E205" s="659"/>
      <c r="F205" s="659"/>
      <c r="G205" s="659"/>
      <c r="H205" s="659"/>
      <c r="I205" s="659"/>
      <c r="J205" s="659"/>
      <c r="K205" s="659"/>
      <c r="L205" s="659"/>
      <c r="M205" s="659"/>
      <c r="N205" s="659"/>
      <c r="O205" s="659"/>
      <c r="P205" s="659"/>
      <c r="Q205" s="659"/>
    </row>
    <row r="206" spans="1:17" s="136" customFormat="1" outlineLevel="1">
      <c r="A206" s="152" t="s">
        <v>255</v>
      </c>
      <c r="B206" s="154" t="s">
        <v>813</v>
      </c>
      <c r="C206" s="141" t="s">
        <v>826</v>
      </c>
      <c r="D206" s="659"/>
      <c r="E206" s="659"/>
      <c r="F206" s="659"/>
      <c r="G206" s="659"/>
      <c r="H206" s="659"/>
      <c r="I206" s="659"/>
      <c r="J206" s="659"/>
      <c r="K206" s="659"/>
      <c r="L206" s="659"/>
      <c r="M206" s="659"/>
      <c r="N206" s="659"/>
      <c r="O206" s="659"/>
      <c r="P206" s="659"/>
      <c r="Q206" s="659"/>
    </row>
    <row r="207" spans="1:17" s="136" customFormat="1" outlineLevel="1">
      <c r="A207" s="152" t="s">
        <v>256</v>
      </c>
      <c r="B207" s="154" t="s">
        <v>814</v>
      </c>
      <c r="C207" s="141" t="s">
        <v>826</v>
      </c>
      <c r="D207" s="659"/>
      <c r="E207" s="659"/>
      <c r="F207" s="659"/>
      <c r="G207" s="659"/>
      <c r="H207" s="659"/>
      <c r="I207" s="659"/>
      <c r="J207" s="659"/>
      <c r="K207" s="659"/>
      <c r="L207" s="659"/>
      <c r="M207" s="659"/>
      <c r="N207" s="659"/>
      <c r="O207" s="659"/>
      <c r="P207" s="659"/>
      <c r="Q207" s="659"/>
    </row>
    <row r="208" spans="1:17" s="136" customFormat="1" outlineLevel="1">
      <c r="A208" s="152" t="s">
        <v>1212</v>
      </c>
      <c r="B208" s="144" t="s">
        <v>824</v>
      </c>
      <c r="C208" s="141" t="s">
        <v>826</v>
      </c>
      <c r="D208" s="659">
        <f t="shared" ref="D208:N208" si="22">D192</f>
        <v>0</v>
      </c>
      <c r="E208" s="659">
        <f t="shared" si="22"/>
        <v>0</v>
      </c>
      <c r="F208" s="659">
        <v>0</v>
      </c>
      <c r="G208" s="659">
        <v>0</v>
      </c>
      <c r="H208" s="659">
        <v>0</v>
      </c>
      <c r="I208" s="659">
        <v>0</v>
      </c>
      <c r="J208" s="659">
        <v>10688.644067796613</v>
      </c>
      <c r="K208" s="659">
        <v>12174.71904</v>
      </c>
      <c r="L208" s="659">
        <v>26941.855239999997</v>
      </c>
      <c r="M208" s="659">
        <v>14082.906279999999</v>
      </c>
      <c r="N208" s="659">
        <v>12858.94896</v>
      </c>
      <c r="O208" s="659">
        <v>27111.861259999998</v>
      </c>
      <c r="P208" s="659">
        <v>14187.581319999999</v>
      </c>
      <c r="Q208" s="659">
        <v>12924.279939999999</v>
      </c>
    </row>
    <row r="209" spans="1:17" s="136" customFormat="1" ht="25.5" hidden="1" outlineLevel="1">
      <c r="A209" s="650" t="s">
        <v>257</v>
      </c>
      <c r="B209" s="657" t="s">
        <v>829</v>
      </c>
      <c r="C209" s="643"/>
      <c r="D209" s="638"/>
      <c r="E209" s="638"/>
      <c r="F209" s="638"/>
      <c r="G209" s="638"/>
      <c r="H209" s="638"/>
      <c r="I209" s="638"/>
      <c r="J209" s="638"/>
      <c r="K209" s="638"/>
      <c r="L209" s="638"/>
      <c r="M209" s="638"/>
      <c r="N209" s="638"/>
      <c r="O209" s="638"/>
      <c r="P209" s="638"/>
      <c r="Q209" s="638"/>
    </row>
    <row r="210" spans="1:17" s="136" customFormat="1" hidden="1" outlineLevel="1">
      <c r="A210" s="152" t="s">
        <v>259</v>
      </c>
      <c r="B210" s="144" t="s">
        <v>1205</v>
      </c>
      <c r="C210" s="141" t="s">
        <v>138</v>
      </c>
      <c r="D210" s="134"/>
      <c r="E210" s="134"/>
      <c r="F210" s="134"/>
      <c r="G210" s="134"/>
      <c r="H210" s="134"/>
      <c r="I210" s="134"/>
      <c r="J210" s="134"/>
      <c r="K210" s="134"/>
      <c r="L210" s="134"/>
      <c r="M210" s="134"/>
      <c r="N210" s="134"/>
      <c r="O210" s="134"/>
      <c r="P210" s="134"/>
      <c r="Q210" s="134"/>
    </row>
    <row r="211" spans="1:17" s="136" customFormat="1" hidden="1" outlineLevel="1">
      <c r="A211" s="152"/>
      <c r="B211" s="144"/>
      <c r="C211" s="141"/>
      <c r="D211" s="134"/>
      <c r="E211" s="134"/>
      <c r="F211" s="134"/>
      <c r="G211" s="134"/>
      <c r="H211" s="134"/>
      <c r="I211" s="134"/>
      <c r="J211" s="134"/>
      <c r="K211" s="134"/>
      <c r="L211" s="134"/>
      <c r="M211" s="134"/>
      <c r="N211" s="134"/>
      <c r="O211" s="134"/>
      <c r="P211" s="134"/>
      <c r="Q211" s="134"/>
    </row>
    <row r="212" spans="1:17" s="136" customFormat="1" hidden="1" outlineLevel="1">
      <c r="A212" s="152" t="s">
        <v>260</v>
      </c>
      <c r="B212" s="144" t="s">
        <v>810</v>
      </c>
      <c r="C212" s="141" t="s">
        <v>138</v>
      </c>
      <c r="D212" s="134"/>
      <c r="E212" s="134"/>
      <c r="F212" s="134"/>
      <c r="G212" s="134"/>
      <c r="H212" s="134"/>
      <c r="I212" s="134"/>
      <c r="J212" s="134"/>
      <c r="K212" s="134"/>
      <c r="L212" s="134"/>
      <c r="M212" s="134"/>
      <c r="N212" s="134"/>
      <c r="O212" s="134"/>
      <c r="P212" s="134"/>
      <c r="Q212" s="134"/>
    </row>
    <row r="213" spans="1:17" s="136" customFormat="1" hidden="1" outlineLevel="1">
      <c r="A213" s="152" t="s">
        <v>261</v>
      </c>
      <c r="B213" s="144" t="s">
        <v>811</v>
      </c>
      <c r="C213" s="141" t="s">
        <v>138</v>
      </c>
      <c r="D213" s="134"/>
      <c r="E213" s="134"/>
      <c r="F213" s="134"/>
      <c r="G213" s="134"/>
      <c r="H213" s="134"/>
      <c r="I213" s="134"/>
      <c r="J213" s="134"/>
      <c r="K213" s="134"/>
      <c r="L213" s="134"/>
      <c r="M213" s="134"/>
      <c r="N213" s="134"/>
      <c r="O213" s="134"/>
      <c r="P213" s="134"/>
      <c r="Q213" s="134"/>
    </row>
    <row r="214" spans="1:17" s="136" customFormat="1" hidden="1" outlineLevel="1">
      <c r="A214" s="152" t="s">
        <v>262</v>
      </c>
      <c r="B214" s="154" t="s">
        <v>812</v>
      </c>
      <c r="C214" s="141" t="s">
        <v>138</v>
      </c>
      <c r="D214" s="134"/>
      <c r="E214" s="134"/>
      <c r="F214" s="134"/>
      <c r="G214" s="134"/>
      <c r="H214" s="134"/>
      <c r="I214" s="134"/>
      <c r="J214" s="134"/>
      <c r="K214" s="134"/>
      <c r="L214" s="134"/>
      <c r="M214" s="134"/>
      <c r="N214" s="134"/>
      <c r="O214" s="134"/>
      <c r="P214" s="134"/>
      <c r="Q214" s="134"/>
    </row>
    <row r="215" spans="1:17" s="136" customFormat="1" hidden="1" outlineLevel="1">
      <c r="A215" s="152" t="s">
        <v>263</v>
      </c>
      <c r="B215" s="154" t="s">
        <v>813</v>
      </c>
      <c r="C215" s="141" t="s">
        <v>138</v>
      </c>
      <c r="D215" s="134"/>
      <c r="E215" s="134"/>
      <c r="F215" s="134"/>
      <c r="G215" s="134"/>
      <c r="H215" s="134"/>
      <c r="I215" s="134"/>
      <c r="J215" s="134"/>
      <c r="K215" s="134"/>
      <c r="L215" s="134"/>
      <c r="M215" s="134"/>
      <c r="N215" s="134"/>
      <c r="O215" s="134"/>
      <c r="P215" s="134"/>
      <c r="Q215" s="134"/>
    </row>
    <row r="216" spans="1:17" s="136" customFormat="1" hidden="1" outlineLevel="1">
      <c r="A216" s="152" t="s">
        <v>264</v>
      </c>
      <c r="B216" s="154" t="s">
        <v>814</v>
      </c>
      <c r="C216" s="141" t="s">
        <v>138</v>
      </c>
      <c r="D216" s="134"/>
      <c r="E216" s="134"/>
      <c r="F216" s="134"/>
      <c r="G216" s="134"/>
      <c r="H216" s="134"/>
      <c r="I216" s="134"/>
      <c r="J216" s="134"/>
      <c r="K216" s="134"/>
      <c r="L216" s="134"/>
      <c r="M216" s="134"/>
      <c r="N216" s="134"/>
      <c r="O216" s="134"/>
      <c r="P216" s="134"/>
      <c r="Q216" s="134"/>
    </row>
    <row r="217" spans="1:17" s="136" customFormat="1" hidden="1" outlineLevel="1">
      <c r="A217" s="152" t="s">
        <v>265</v>
      </c>
      <c r="B217" s="144" t="s">
        <v>1220</v>
      </c>
      <c r="C217" s="141" t="s">
        <v>138</v>
      </c>
      <c r="D217" s="134"/>
      <c r="E217" s="134"/>
      <c r="F217" s="134"/>
      <c r="G217" s="134"/>
      <c r="H217" s="134"/>
      <c r="I217" s="134"/>
      <c r="J217" s="134"/>
      <c r="K217" s="134"/>
      <c r="L217" s="134"/>
      <c r="M217" s="134"/>
      <c r="N217" s="134"/>
      <c r="O217" s="134"/>
      <c r="P217" s="134"/>
      <c r="Q217" s="134"/>
    </row>
    <row r="218" spans="1:17" s="136" customFormat="1" ht="15.75" hidden="1" customHeight="1" outlineLevel="1">
      <c r="A218" s="650" t="s">
        <v>266</v>
      </c>
      <c r="B218" s="638" t="s">
        <v>830</v>
      </c>
      <c r="C218" s="643"/>
      <c r="D218" s="644"/>
      <c r="E218" s="644"/>
      <c r="F218" s="644"/>
      <c r="G218" s="644"/>
      <c r="H218" s="644"/>
      <c r="I218" s="644"/>
      <c r="J218" s="644"/>
      <c r="K218" s="644"/>
      <c r="L218" s="644"/>
      <c r="M218" s="644"/>
      <c r="N218" s="644"/>
      <c r="O218" s="644"/>
      <c r="P218" s="644"/>
      <c r="Q218" s="644"/>
    </row>
    <row r="219" spans="1:17" s="136" customFormat="1" hidden="1" outlineLevel="1">
      <c r="A219" s="152" t="s">
        <v>268</v>
      </c>
      <c r="B219" s="144" t="s">
        <v>1205</v>
      </c>
      <c r="C219" s="141" t="s">
        <v>231</v>
      </c>
      <c r="D219" s="134"/>
      <c r="E219" s="134"/>
      <c r="F219" s="273"/>
      <c r="G219" s="134"/>
      <c r="H219" s="134"/>
      <c r="I219" s="134"/>
      <c r="J219" s="134"/>
      <c r="K219" s="134"/>
      <c r="L219" s="134"/>
      <c r="M219" s="134"/>
      <c r="N219" s="134"/>
      <c r="O219" s="134"/>
      <c r="P219" s="134"/>
      <c r="Q219" s="134"/>
    </row>
    <row r="220" spans="1:17" s="136" customFormat="1" hidden="1" outlineLevel="1">
      <c r="A220" s="152"/>
      <c r="B220" s="144"/>
      <c r="C220" s="141"/>
      <c r="D220" s="134"/>
      <c r="E220" s="134"/>
      <c r="F220" s="273"/>
      <c r="G220" s="134"/>
      <c r="H220" s="134"/>
      <c r="I220" s="134"/>
      <c r="J220" s="134"/>
      <c r="K220" s="134"/>
      <c r="L220" s="134"/>
      <c r="M220" s="134"/>
      <c r="N220" s="134"/>
      <c r="O220" s="134"/>
      <c r="P220" s="134"/>
      <c r="Q220" s="134"/>
    </row>
    <row r="221" spans="1:17" s="136" customFormat="1" hidden="1" outlineLevel="1">
      <c r="A221" s="152" t="s">
        <v>269</v>
      </c>
      <c r="B221" s="144" t="s">
        <v>810</v>
      </c>
      <c r="C221" s="141" t="s">
        <v>231</v>
      </c>
      <c r="D221" s="134"/>
      <c r="E221" s="134"/>
      <c r="F221" s="273"/>
      <c r="G221" s="134"/>
      <c r="H221" s="134"/>
      <c r="I221" s="134"/>
      <c r="J221" s="134"/>
      <c r="K221" s="134"/>
      <c r="L221" s="134"/>
      <c r="M221" s="134"/>
      <c r="N221" s="134"/>
      <c r="O221" s="134"/>
      <c r="P221" s="134"/>
      <c r="Q221" s="134"/>
    </row>
    <row r="222" spans="1:17" s="136" customFormat="1" ht="15.75" hidden="1" outlineLevel="1">
      <c r="A222" s="152" t="s">
        <v>270</v>
      </c>
      <c r="B222" s="144" t="s">
        <v>811</v>
      </c>
      <c r="C222" s="141" t="s">
        <v>825</v>
      </c>
      <c r="D222" s="134"/>
      <c r="E222" s="134"/>
      <c r="F222" s="273"/>
      <c r="G222" s="134"/>
      <c r="H222" s="134"/>
      <c r="I222" s="134"/>
      <c r="J222" s="134"/>
      <c r="K222" s="134"/>
      <c r="L222" s="134"/>
      <c r="M222" s="134"/>
      <c r="N222" s="134"/>
      <c r="O222" s="134"/>
      <c r="P222" s="134"/>
      <c r="Q222" s="134"/>
    </row>
    <row r="223" spans="1:17" s="136" customFormat="1" ht="15.75" hidden="1" outlineLevel="1">
      <c r="A223" s="152" t="s">
        <v>271</v>
      </c>
      <c r="B223" s="154" t="s">
        <v>812</v>
      </c>
      <c r="C223" s="141" t="s">
        <v>825</v>
      </c>
      <c r="D223" s="134"/>
      <c r="E223" s="134"/>
      <c r="F223" s="273"/>
      <c r="G223" s="134"/>
      <c r="H223" s="134"/>
      <c r="I223" s="134"/>
      <c r="J223" s="134"/>
      <c r="K223" s="134"/>
      <c r="L223" s="134"/>
      <c r="M223" s="134"/>
      <c r="N223" s="134"/>
      <c r="O223" s="134"/>
      <c r="P223" s="134"/>
      <c r="Q223" s="134"/>
    </row>
    <row r="224" spans="1:17" s="136" customFormat="1" ht="15.75" hidden="1" outlineLevel="1">
      <c r="A224" s="152" t="s">
        <v>272</v>
      </c>
      <c r="B224" s="154" t="s">
        <v>813</v>
      </c>
      <c r="C224" s="141" t="s">
        <v>825</v>
      </c>
      <c r="D224" s="134"/>
      <c r="E224" s="134"/>
      <c r="F224" s="273"/>
      <c r="G224" s="134"/>
      <c r="H224" s="134"/>
      <c r="I224" s="134"/>
      <c r="J224" s="134"/>
      <c r="K224" s="134"/>
      <c r="L224" s="134"/>
      <c r="M224" s="134"/>
      <c r="N224" s="134"/>
      <c r="O224" s="134"/>
      <c r="P224" s="134"/>
      <c r="Q224" s="134"/>
    </row>
    <row r="225" spans="1:17" s="136" customFormat="1" ht="15.75" hidden="1" outlineLevel="1">
      <c r="A225" s="152" t="s">
        <v>273</v>
      </c>
      <c r="B225" s="154" t="s">
        <v>814</v>
      </c>
      <c r="C225" s="141" t="s">
        <v>825</v>
      </c>
      <c r="D225" s="134"/>
      <c r="E225" s="134"/>
      <c r="F225" s="273"/>
      <c r="G225" s="134"/>
      <c r="H225" s="134"/>
      <c r="I225" s="134"/>
      <c r="J225" s="134"/>
      <c r="K225" s="134"/>
      <c r="L225" s="134"/>
      <c r="M225" s="134"/>
      <c r="N225" s="134"/>
      <c r="O225" s="134"/>
      <c r="P225" s="134"/>
      <c r="Q225" s="134"/>
    </row>
    <row r="226" spans="1:17" s="136" customFormat="1" hidden="1" outlineLevel="1">
      <c r="A226" s="152" t="s">
        <v>274</v>
      </c>
      <c r="B226" s="144" t="s">
        <v>1220</v>
      </c>
      <c r="C226" s="141" t="s">
        <v>231</v>
      </c>
      <c r="D226" s="134"/>
      <c r="E226" s="134"/>
      <c r="F226" s="273"/>
      <c r="G226" s="134"/>
      <c r="H226" s="134"/>
      <c r="I226" s="134"/>
      <c r="J226" s="134"/>
      <c r="K226" s="134"/>
      <c r="L226" s="134"/>
      <c r="M226" s="134"/>
      <c r="N226" s="134"/>
      <c r="O226" s="134"/>
      <c r="P226" s="134"/>
      <c r="Q226" s="134"/>
    </row>
    <row r="227" spans="1:17" s="136" customFormat="1" ht="17.25" hidden="1" customHeight="1" outlineLevel="1">
      <c r="A227" s="650" t="s">
        <v>275</v>
      </c>
      <c r="B227" s="638" t="s">
        <v>276</v>
      </c>
      <c r="C227" s="643" t="s">
        <v>826</v>
      </c>
      <c r="D227" s="656">
        <f>D228+D230+D231+D235</f>
        <v>0</v>
      </c>
      <c r="E227" s="656">
        <f t="shared" ref="E227:N227" si="23">E228+E230+E231+E235</f>
        <v>0</v>
      </c>
      <c r="F227" s="656">
        <v>0</v>
      </c>
      <c r="G227" s="656">
        <v>0</v>
      </c>
      <c r="H227" s="656"/>
      <c r="I227" s="656"/>
      <c r="J227" s="656"/>
      <c r="K227" s="656"/>
      <c r="L227" s="656">
        <v>0</v>
      </c>
      <c r="M227" s="656">
        <v>0</v>
      </c>
      <c r="N227" s="656">
        <v>0</v>
      </c>
      <c r="O227" s="656">
        <v>0</v>
      </c>
      <c r="P227" s="656">
        <v>0</v>
      </c>
      <c r="Q227" s="656">
        <v>0</v>
      </c>
    </row>
    <row r="228" spans="1:17" s="136" customFormat="1" hidden="1" outlineLevel="1">
      <c r="A228" s="152" t="s">
        <v>277</v>
      </c>
      <c r="B228" s="144" t="s">
        <v>1205</v>
      </c>
      <c r="C228" s="141" t="s">
        <v>826</v>
      </c>
      <c r="D228" s="652">
        <f t="shared" ref="D228" si="24">D219*D140</f>
        <v>0</v>
      </c>
      <c r="E228" s="652">
        <f t="shared" ref="E228:G228" si="25">E219*E140</f>
        <v>0</v>
      </c>
      <c r="F228" s="652">
        <v>0</v>
      </c>
      <c r="G228" s="652">
        <v>0</v>
      </c>
      <c r="H228" s="652"/>
      <c r="I228" s="652"/>
      <c r="J228" s="652"/>
      <c r="K228" s="652"/>
      <c r="L228" s="273">
        <v>0</v>
      </c>
      <c r="M228" s="652">
        <v>0</v>
      </c>
      <c r="N228" s="652">
        <v>0</v>
      </c>
      <c r="O228" s="273">
        <v>0</v>
      </c>
      <c r="P228" s="652">
        <v>0</v>
      </c>
      <c r="Q228" s="652">
        <v>0</v>
      </c>
    </row>
    <row r="229" spans="1:17" s="136" customFormat="1" hidden="1" outlineLevel="1">
      <c r="A229" s="152"/>
      <c r="B229" s="144"/>
      <c r="C229" s="141"/>
      <c r="D229" s="652"/>
      <c r="E229" s="652"/>
      <c r="F229" s="652"/>
      <c r="G229" s="652"/>
      <c r="H229" s="652"/>
      <c r="I229" s="652"/>
      <c r="J229" s="652"/>
      <c r="K229" s="652"/>
      <c r="L229" s="134"/>
      <c r="M229" s="652"/>
      <c r="N229" s="652"/>
      <c r="O229" s="134"/>
      <c r="P229" s="652"/>
      <c r="Q229" s="652"/>
    </row>
    <row r="230" spans="1:17" s="136" customFormat="1" hidden="1" outlineLevel="1">
      <c r="A230" s="152" t="s">
        <v>278</v>
      </c>
      <c r="B230" s="144" t="s">
        <v>810</v>
      </c>
      <c r="C230" s="141" t="s">
        <v>826</v>
      </c>
      <c r="D230" s="652">
        <f t="shared" ref="D230" si="26">D221*D142</f>
        <v>0</v>
      </c>
      <c r="E230" s="652">
        <f t="shared" ref="E230:G230" si="27">E221*E142</f>
        <v>0</v>
      </c>
      <c r="F230" s="652">
        <v>0</v>
      </c>
      <c r="G230" s="652">
        <v>0</v>
      </c>
      <c r="H230" s="652"/>
      <c r="I230" s="652"/>
      <c r="J230" s="652"/>
      <c r="K230" s="652"/>
      <c r="L230" s="273">
        <v>0</v>
      </c>
      <c r="M230" s="652">
        <v>0</v>
      </c>
      <c r="N230" s="652">
        <v>0</v>
      </c>
      <c r="O230" s="273">
        <v>0</v>
      </c>
      <c r="P230" s="652">
        <v>0</v>
      </c>
      <c r="Q230" s="652">
        <v>0</v>
      </c>
    </row>
    <row r="231" spans="1:17" s="136" customFormat="1" hidden="1" outlineLevel="1">
      <c r="A231" s="152" t="s">
        <v>279</v>
      </c>
      <c r="B231" s="144" t="s">
        <v>811</v>
      </c>
      <c r="C231" s="141" t="s">
        <v>826</v>
      </c>
      <c r="D231" s="652"/>
      <c r="E231" s="652"/>
      <c r="F231" s="652"/>
      <c r="G231" s="652"/>
      <c r="H231" s="652"/>
      <c r="I231" s="652"/>
      <c r="J231" s="652"/>
      <c r="K231" s="652"/>
      <c r="L231" s="134"/>
      <c r="M231" s="652"/>
      <c r="N231" s="652"/>
      <c r="O231" s="134"/>
      <c r="P231" s="652"/>
      <c r="Q231" s="652"/>
    </row>
    <row r="232" spans="1:17" s="136" customFormat="1" hidden="1" outlineLevel="1">
      <c r="A232" s="152" t="s">
        <v>280</v>
      </c>
      <c r="B232" s="154" t="s">
        <v>812</v>
      </c>
      <c r="C232" s="141" t="s">
        <v>826</v>
      </c>
      <c r="D232" s="652"/>
      <c r="E232" s="652"/>
      <c r="F232" s="652"/>
      <c r="G232" s="652"/>
      <c r="H232" s="652"/>
      <c r="I232" s="652"/>
      <c r="J232" s="652"/>
      <c r="K232" s="652"/>
      <c r="L232" s="134"/>
      <c r="M232" s="652"/>
      <c r="N232" s="652"/>
      <c r="O232" s="134"/>
      <c r="P232" s="652"/>
      <c r="Q232" s="652"/>
    </row>
    <row r="233" spans="1:17" s="136" customFormat="1" hidden="1" outlineLevel="1">
      <c r="A233" s="152" t="s">
        <v>281</v>
      </c>
      <c r="B233" s="154" t="s">
        <v>813</v>
      </c>
      <c r="C233" s="141" t="s">
        <v>826</v>
      </c>
      <c r="D233" s="652"/>
      <c r="E233" s="652"/>
      <c r="F233" s="652"/>
      <c r="G233" s="652"/>
      <c r="H233" s="652"/>
      <c r="I233" s="652"/>
      <c r="J233" s="652"/>
      <c r="K233" s="652"/>
      <c r="L233" s="134"/>
      <c r="M233" s="652"/>
      <c r="N233" s="652"/>
      <c r="O233" s="134"/>
      <c r="P233" s="652"/>
      <c r="Q233" s="652"/>
    </row>
    <row r="234" spans="1:17" s="136" customFormat="1" hidden="1" outlineLevel="1">
      <c r="A234" s="152" t="s">
        <v>282</v>
      </c>
      <c r="B234" s="154" t="s">
        <v>814</v>
      </c>
      <c r="C234" s="141" t="s">
        <v>826</v>
      </c>
      <c r="D234" s="652"/>
      <c r="E234" s="652"/>
      <c r="F234" s="652"/>
      <c r="G234" s="652"/>
      <c r="H234" s="652"/>
      <c r="I234" s="652"/>
      <c r="J234" s="652"/>
      <c r="K234" s="652"/>
      <c r="L234" s="134"/>
      <c r="M234" s="652"/>
      <c r="N234" s="652"/>
      <c r="O234" s="134"/>
      <c r="P234" s="652"/>
      <c r="Q234" s="652"/>
    </row>
    <row r="235" spans="1:17" s="136" customFormat="1" hidden="1" outlineLevel="1">
      <c r="A235" s="152" t="s">
        <v>283</v>
      </c>
      <c r="B235" s="144" t="s">
        <v>1214</v>
      </c>
      <c r="C235" s="141" t="s">
        <v>826</v>
      </c>
      <c r="D235" s="652">
        <f>D226*D153</f>
        <v>0</v>
      </c>
      <c r="E235" s="652">
        <f t="shared" ref="E235:G235" si="28">E226*E153</f>
        <v>0</v>
      </c>
      <c r="F235" s="652">
        <v>0</v>
      </c>
      <c r="G235" s="652">
        <v>0</v>
      </c>
      <c r="H235" s="652"/>
      <c r="I235" s="652"/>
      <c r="J235" s="652"/>
      <c r="K235" s="652"/>
      <c r="L235" s="273">
        <v>0</v>
      </c>
      <c r="M235" s="652">
        <v>0</v>
      </c>
      <c r="N235" s="652">
        <v>0</v>
      </c>
      <c r="O235" s="273">
        <v>0</v>
      </c>
      <c r="P235" s="652">
        <v>0</v>
      </c>
      <c r="Q235" s="652">
        <v>0</v>
      </c>
    </row>
    <row r="236" spans="1:17" s="136" customFormat="1" hidden="1" outlineLevel="1">
      <c r="A236" s="152" t="s">
        <v>284</v>
      </c>
      <c r="B236" s="144" t="s">
        <v>140</v>
      </c>
      <c r="C236" s="141" t="s">
        <v>826</v>
      </c>
      <c r="D236" s="652">
        <f>D227</f>
        <v>0</v>
      </c>
      <c r="E236" s="652">
        <f t="shared" ref="E236:G236" si="29">E227</f>
        <v>0</v>
      </c>
      <c r="F236" s="652">
        <v>0</v>
      </c>
      <c r="G236" s="652">
        <v>0</v>
      </c>
      <c r="H236" s="652"/>
      <c r="I236" s="652"/>
      <c r="J236" s="652"/>
      <c r="K236" s="652"/>
      <c r="L236" s="273">
        <v>0</v>
      </c>
      <c r="M236" s="652">
        <v>0</v>
      </c>
      <c r="N236" s="652">
        <v>0</v>
      </c>
      <c r="O236" s="273">
        <v>0</v>
      </c>
      <c r="P236" s="652">
        <v>0</v>
      </c>
      <c r="Q236" s="652">
        <v>0</v>
      </c>
    </row>
    <row r="237" spans="1:17" s="136" customFormat="1" ht="25.5" hidden="1" outlineLevel="1">
      <c r="A237" s="650" t="s">
        <v>285</v>
      </c>
      <c r="B237" s="657" t="s">
        <v>286</v>
      </c>
      <c r="C237" s="643" t="s">
        <v>826</v>
      </c>
      <c r="D237" s="658">
        <f t="shared" ref="D237:N237" si="30">SUM(D238:D245)</f>
        <v>0</v>
      </c>
      <c r="E237" s="658">
        <f t="shared" si="30"/>
        <v>0</v>
      </c>
      <c r="F237" s="658">
        <v>0</v>
      </c>
      <c r="G237" s="658">
        <v>0</v>
      </c>
      <c r="H237" s="658"/>
      <c r="I237" s="658"/>
      <c r="J237" s="658"/>
      <c r="K237" s="658"/>
      <c r="L237" s="658">
        <v>0</v>
      </c>
      <c r="M237" s="658">
        <v>0</v>
      </c>
      <c r="N237" s="658">
        <v>0</v>
      </c>
      <c r="O237" s="658">
        <v>0</v>
      </c>
      <c r="P237" s="658">
        <v>0</v>
      </c>
      <c r="Q237" s="658">
        <v>0</v>
      </c>
    </row>
    <row r="238" spans="1:17" s="136" customFormat="1" hidden="1" outlineLevel="1">
      <c r="A238" s="152" t="s">
        <v>287</v>
      </c>
      <c r="B238" s="144" t="s">
        <v>1207</v>
      </c>
      <c r="C238" s="141" t="s">
        <v>826</v>
      </c>
      <c r="D238" s="272">
        <f>D228</f>
        <v>0</v>
      </c>
      <c r="E238" s="272">
        <f t="shared" ref="E238:N238" si="31">E228</f>
        <v>0</v>
      </c>
      <c r="F238" s="272">
        <v>0</v>
      </c>
      <c r="G238" s="272">
        <v>0</v>
      </c>
      <c r="H238" s="272"/>
      <c r="I238" s="272"/>
      <c r="J238" s="272"/>
      <c r="K238" s="272"/>
      <c r="L238" s="272">
        <v>0</v>
      </c>
      <c r="M238" s="272">
        <v>0</v>
      </c>
      <c r="N238" s="272">
        <v>0</v>
      </c>
      <c r="O238" s="272">
        <v>0</v>
      </c>
      <c r="P238" s="272">
        <v>0</v>
      </c>
      <c r="Q238" s="272">
        <v>0</v>
      </c>
    </row>
    <row r="239" spans="1:17" s="136" customFormat="1" hidden="1" outlineLevel="1">
      <c r="A239" s="152"/>
      <c r="B239" s="144"/>
      <c r="C239" s="141" t="s">
        <v>826</v>
      </c>
      <c r="D239" s="272"/>
      <c r="E239" s="272"/>
      <c r="F239" s="272"/>
      <c r="G239" s="272"/>
      <c r="H239" s="272"/>
      <c r="I239" s="272"/>
      <c r="J239" s="272"/>
      <c r="K239" s="272"/>
      <c r="L239" s="272"/>
      <c r="M239" s="272"/>
      <c r="N239" s="272"/>
      <c r="O239" s="272"/>
      <c r="P239" s="272"/>
      <c r="Q239" s="272"/>
    </row>
    <row r="240" spans="1:17" s="136" customFormat="1" hidden="1" outlineLevel="1">
      <c r="A240" s="152" t="s">
        <v>288</v>
      </c>
      <c r="B240" s="144" t="s">
        <v>810</v>
      </c>
      <c r="C240" s="141" t="s">
        <v>826</v>
      </c>
      <c r="D240" s="272">
        <f t="shared" ref="D240:N245" si="32">D230</f>
        <v>0</v>
      </c>
      <c r="E240" s="272">
        <f t="shared" si="32"/>
        <v>0</v>
      </c>
      <c r="F240" s="272">
        <v>0</v>
      </c>
      <c r="G240" s="272">
        <v>0</v>
      </c>
      <c r="H240" s="272"/>
      <c r="I240" s="272"/>
      <c r="J240" s="272"/>
      <c r="K240" s="272"/>
      <c r="L240" s="272">
        <v>0</v>
      </c>
      <c r="M240" s="272">
        <v>0</v>
      </c>
      <c r="N240" s="272">
        <v>0</v>
      </c>
      <c r="O240" s="272">
        <v>0</v>
      </c>
      <c r="P240" s="272">
        <v>0</v>
      </c>
      <c r="Q240" s="272">
        <v>0</v>
      </c>
    </row>
    <row r="241" spans="1:18" s="136" customFormat="1" hidden="1" outlineLevel="1">
      <c r="A241" s="152" t="s">
        <v>289</v>
      </c>
      <c r="B241" s="144" t="s">
        <v>811</v>
      </c>
      <c r="C241" s="141" t="s">
        <v>826</v>
      </c>
      <c r="D241" s="272">
        <f t="shared" si="32"/>
        <v>0</v>
      </c>
      <c r="E241" s="272">
        <f t="shared" si="32"/>
        <v>0</v>
      </c>
      <c r="F241" s="272">
        <v>0</v>
      </c>
      <c r="G241" s="272">
        <v>0</v>
      </c>
      <c r="H241" s="272"/>
      <c r="I241" s="272"/>
      <c r="J241" s="272"/>
      <c r="K241" s="272"/>
      <c r="L241" s="272">
        <v>0</v>
      </c>
      <c r="M241" s="272">
        <v>0</v>
      </c>
      <c r="N241" s="272">
        <v>0</v>
      </c>
      <c r="O241" s="272">
        <v>0</v>
      </c>
      <c r="P241" s="272">
        <v>0</v>
      </c>
      <c r="Q241" s="272">
        <v>0</v>
      </c>
    </row>
    <row r="242" spans="1:18" s="136" customFormat="1" hidden="1" outlineLevel="1">
      <c r="A242" s="152" t="s">
        <v>290</v>
      </c>
      <c r="B242" s="154" t="s">
        <v>812</v>
      </c>
      <c r="C242" s="141" t="s">
        <v>826</v>
      </c>
      <c r="D242" s="272"/>
      <c r="E242" s="272"/>
      <c r="F242" s="272"/>
      <c r="G242" s="272"/>
      <c r="H242" s="272"/>
      <c r="I242" s="272"/>
      <c r="J242" s="272"/>
      <c r="K242" s="272"/>
      <c r="L242" s="272"/>
      <c r="M242" s="272"/>
      <c r="N242" s="272"/>
      <c r="O242" s="272"/>
      <c r="P242" s="272"/>
      <c r="Q242" s="272"/>
    </row>
    <row r="243" spans="1:18" s="136" customFormat="1" hidden="1" outlineLevel="1">
      <c r="A243" s="152" t="s">
        <v>291</v>
      </c>
      <c r="B243" s="154" t="s">
        <v>813</v>
      </c>
      <c r="C243" s="141" t="s">
        <v>826</v>
      </c>
      <c r="D243" s="272"/>
      <c r="E243" s="272"/>
      <c r="F243" s="272"/>
      <c r="G243" s="272"/>
      <c r="H243" s="272"/>
      <c r="I243" s="272"/>
      <c r="J243" s="272"/>
      <c r="K243" s="272"/>
      <c r="L243" s="272"/>
      <c r="M243" s="272"/>
      <c r="N243" s="272"/>
      <c r="O243" s="272"/>
      <c r="P243" s="272"/>
      <c r="Q243" s="272"/>
    </row>
    <row r="244" spans="1:18" s="136" customFormat="1" hidden="1" outlineLevel="1">
      <c r="A244" s="152" t="s">
        <v>292</v>
      </c>
      <c r="B244" s="154" t="s">
        <v>814</v>
      </c>
      <c r="C244" s="141" t="s">
        <v>826</v>
      </c>
      <c r="D244" s="272"/>
      <c r="E244" s="272"/>
      <c r="F244" s="272"/>
      <c r="G244" s="272"/>
      <c r="H244" s="272"/>
      <c r="I244" s="272"/>
      <c r="J244" s="272"/>
      <c r="K244" s="272"/>
      <c r="L244" s="272"/>
      <c r="M244" s="272"/>
      <c r="N244" s="272"/>
      <c r="O244" s="272"/>
      <c r="P244" s="272"/>
      <c r="Q244" s="272"/>
    </row>
    <row r="245" spans="1:18" s="136" customFormat="1" hidden="1" outlineLevel="1">
      <c r="A245" s="152" t="s">
        <v>293</v>
      </c>
      <c r="B245" s="144" t="s">
        <v>1214</v>
      </c>
      <c r="C245" s="141" t="s">
        <v>826</v>
      </c>
      <c r="D245" s="272">
        <f t="shared" si="32"/>
        <v>0</v>
      </c>
      <c r="E245" s="272">
        <f t="shared" si="32"/>
        <v>0</v>
      </c>
      <c r="F245" s="272">
        <v>0</v>
      </c>
      <c r="G245" s="272">
        <v>0</v>
      </c>
      <c r="H245" s="272"/>
      <c r="I245" s="272"/>
      <c r="J245" s="272"/>
      <c r="K245" s="272"/>
      <c r="L245" s="272">
        <v>0</v>
      </c>
      <c r="M245" s="272">
        <v>0</v>
      </c>
      <c r="N245" s="272">
        <v>0</v>
      </c>
      <c r="O245" s="272">
        <v>0</v>
      </c>
      <c r="P245" s="272">
        <v>0</v>
      </c>
      <c r="Q245" s="272">
        <v>0</v>
      </c>
    </row>
    <row r="246" spans="1:18" s="136" customFormat="1" ht="25.5" customHeight="1" collapsed="1">
      <c r="A246" s="650" t="s">
        <v>831</v>
      </c>
      <c r="B246" s="660" t="s">
        <v>295</v>
      </c>
      <c r="C246" s="643" t="s">
        <v>826</v>
      </c>
      <c r="D246" s="658">
        <f t="shared" ref="D246:N246" si="33">SUM(D247:D254)</f>
        <v>1089837.8069495547</v>
      </c>
      <c r="E246" s="658">
        <f t="shared" si="33"/>
        <v>1154298.1266000001</v>
      </c>
      <c r="F246" s="658">
        <v>1155159.7657699999</v>
      </c>
      <c r="G246" s="658">
        <v>1053276.9508700001</v>
      </c>
      <c r="H246" s="658">
        <v>1408348.4765705301</v>
      </c>
      <c r="I246" s="658">
        <v>995305.16267999995</v>
      </c>
      <c r="J246" s="658">
        <v>1192624.6930487156</v>
      </c>
      <c r="K246" s="658">
        <v>1095460.1892599999</v>
      </c>
      <c r="L246" s="658">
        <v>1215556.9890000001</v>
      </c>
      <c r="M246" s="658">
        <v>720362.24774999998</v>
      </c>
      <c r="N246" s="658">
        <v>495194.74125000002</v>
      </c>
      <c r="O246" s="658">
        <v>1258949.7462500001</v>
      </c>
      <c r="P246" s="658">
        <v>748598.48124999995</v>
      </c>
      <c r="Q246" s="658">
        <v>510351.26500000001</v>
      </c>
      <c r="R246" s="672">
        <f>SUM(D246:N246)-R247-R249-R250-R254</f>
        <v>1.1641532182693481E-10</v>
      </c>
    </row>
    <row r="247" spans="1:18" s="136" customFormat="1">
      <c r="A247" s="152" t="s">
        <v>296</v>
      </c>
      <c r="B247" s="144" t="s">
        <v>1205</v>
      </c>
      <c r="C247" s="141" t="s">
        <v>826</v>
      </c>
      <c r="D247" s="659">
        <f>ROUND(D228+D195,0)</f>
        <v>66389</v>
      </c>
      <c r="E247" s="659">
        <f t="shared" ref="E247:G247" si="34">ROUND(E228+E195,0)</f>
        <v>50553</v>
      </c>
      <c r="F247" s="659">
        <v>54951</v>
      </c>
      <c r="G247" s="659">
        <v>44489</v>
      </c>
      <c r="H247" s="659">
        <v>45613</v>
      </c>
      <c r="I247" s="659">
        <v>40687</v>
      </c>
      <c r="J247" s="659">
        <v>50101</v>
      </c>
      <c r="K247" s="659">
        <v>43754</v>
      </c>
      <c r="L247" s="659">
        <v>56169</v>
      </c>
      <c r="M247" s="659">
        <v>35290</v>
      </c>
      <c r="N247" s="659">
        <v>20879</v>
      </c>
      <c r="O247" s="659">
        <v>60413</v>
      </c>
      <c r="P247" s="659">
        <v>38055</v>
      </c>
      <c r="Q247" s="659">
        <v>22358</v>
      </c>
      <c r="R247" s="672">
        <f>SUM(D247:N247)</f>
        <v>508875</v>
      </c>
    </row>
    <row r="248" spans="1:18" s="136" customFormat="1" hidden="1">
      <c r="A248" s="152"/>
      <c r="B248" s="144"/>
      <c r="C248" s="141" t="s">
        <v>826</v>
      </c>
      <c r="D248" s="659"/>
      <c r="E248" s="659"/>
      <c r="F248" s="659"/>
      <c r="G248" s="659"/>
      <c r="H248" s="659"/>
      <c r="I248" s="659"/>
      <c r="J248" s="659"/>
      <c r="K248" s="659"/>
      <c r="L248" s="659"/>
      <c r="M248" s="659"/>
      <c r="N248" s="659"/>
      <c r="O248" s="659"/>
      <c r="P248" s="659"/>
      <c r="Q248" s="659"/>
      <c r="R248" s="672"/>
    </row>
    <row r="249" spans="1:18" s="136" customFormat="1">
      <c r="A249" s="152" t="s">
        <v>297</v>
      </c>
      <c r="B249" s="144" t="s">
        <v>810</v>
      </c>
      <c r="C249" s="141" t="s">
        <v>826</v>
      </c>
      <c r="D249" s="659">
        <f>ROUND(D230+D197,0)</f>
        <v>966182</v>
      </c>
      <c r="E249" s="659">
        <f>ROUND(E230+E197,0)</f>
        <v>1076581</v>
      </c>
      <c r="F249" s="659">
        <v>1023213</v>
      </c>
      <c r="G249" s="659">
        <v>927910</v>
      </c>
      <c r="H249" s="659">
        <v>1295029</v>
      </c>
      <c r="I249" s="659">
        <v>877996</v>
      </c>
      <c r="J249" s="659">
        <v>1045089</v>
      </c>
      <c r="K249" s="659">
        <v>952767</v>
      </c>
      <c r="L249" s="659">
        <v>1044200</v>
      </c>
      <c r="M249" s="659">
        <v>619447</v>
      </c>
      <c r="N249" s="659">
        <v>424753</v>
      </c>
      <c r="O249" s="659">
        <v>1080505</v>
      </c>
      <c r="P249" s="659">
        <v>643236</v>
      </c>
      <c r="Q249" s="659">
        <v>437269</v>
      </c>
      <c r="R249" s="672">
        <f>SUM(D249:N249)</f>
        <v>10253167</v>
      </c>
    </row>
    <row r="250" spans="1:18" s="136" customFormat="1">
      <c r="A250" s="152" t="s">
        <v>298</v>
      </c>
      <c r="B250" s="144" t="s">
        <v>811</v>
      </c>
      <c r="C250" s="141" t="s">
        <v>826</v>
      </c>
      <c r="D250" s="659">
        <f t="shared" ref="D250:G250" si="35">D231+D201</f>
        <v>57266.806949554637</v>
      </c>
      <c r="E250" s="659">
        <f t="shared" si="35"/>
        <v>27164.126599999996</v>
      </c>
      <c r="F250" s="659">
        <v>76995.765770000013</v>
      </c>
      <c r="G250" s="659">
        <v>80877.950870000001</v>
      </c>
      <c r="H250" s="659">
        <v>67706.476570529994</v>
      </c>
      <c r="I250" s="659">
        <v>76622.162679999994</v>
      </c>
      <c r="J250" s="659">
        <v>86745.693048715693</v>
      </c>
      <c r="K250" s="659">
        <v>86764.189259999999</v>
      </c>
      <c r="L250" s="659">
        <v>88245.989000000001</v>
      </c>
      <c r="M250" s="659">
        <v>51542.247750000002</v>
      </c>
      <c r="N250" s="659">
        <v>36703.741249999999</v>
      </c>
      <c r="O250" s="659">
        <v>90919.746249999997</v>
      </c>
      <c r="P250" s="659">
        <v>53119.481250000004</v>
      </c>
      <c r="Q250" s="659">
        <v>37800.264999999999</v>
      </c>
      <c r="R250" s="672">
        <f>SUM(D250:N250)</f>
        <v>736635.14974880021</v>
      </c>
    </row>
    <row r="251" spans="1:18" s="136" customFormat="1">
      <c r="A251" s="152" t="s">
        <v>299</v>
      </c>
      <c r="B251" s="154" t="s">
        <v>812</v>
      </c>
      <c r="C251" s="141" t="s">
        <v>826</v>
      </c>
      <c r="D251" s="659"/>
      <c r="E251" s="659"/>
      <c r="F251" s="659"/>
      <c r="G251" s="659"/>
      <c r="H251" s="659"/>
      <c r="I251" s="659"/>
      <c r="J251" s="659"/>
      <c r="K251" s="659"/>
      <c r="L251" s="659"/>
      <c r="M251" s="659"/>
      <c r="N251" s="659"/>
      <c r="O251" s="659"/>
      <c r="P251" s="659"/>
      <c r="Q251" s="659"/>
      <c r="R251" s="672"/>
    </row>
    <row r="252" spans="1:18" s="136" customFormat="1">
      <c r="A252" s="152" t="s">
        <v>300</v>
      </c>
      <c r="B252" s="154" t="s">
        <v>813</v>
      </c>
      <c r="C252" s="141" t="s">
        <v>826</v>
      </c>
      <c r="D252" s="659"/>
      <c r="E252" s="659"/>
      <c r="F252" s="659"/>
      <c r="G252" s="659"/>
      <c r="H252" s="659"/>
      <c r="I252" s="659"/>
      <c r="J252" s="659"/>
      <c r="K252" s="659"/>
      <c r="L252" s="659"/>
      <c r="M252" s="659"/>
      <c r="N252" s="659"/>
      <c r="O252" s="659"/>
      <c r="P252" s="659"/>
      <c r="Q252" s="659"/>
      <c r="R252" s="672"/>
    </row>
    <row r="253" spans="1:18" s="136" customFormat="1">
      <c r="A253" s="152" t="s">
        <v>301</v>
      </c>
      <c r="B253" s="154" t="s">
        <v>814</v>
      </c>
      <c r="C253" s="141" t="s">
        <v>826</v>
      </c>
      <c r="D253" s="659"/>
      <c r="E253" s="659"/>
      <c r="F253" s="659"/>
      <c r="G253" s="659"/>
      <c r="H253" s="659"/>
      <c r="I253" s="659"/>
      <c r="J253" s="659"/>
      <c r="K253" s="659"/>
      <c r="L253" s="659"/>
      <c r="M253" s="659"/>
      <c r="N253" s="659"/>
      <c r="O253" s="659"/>
      <c r="P253" s="659"/>
      <c r="Q253" s="659"/>
      <c r="R253" s="672"/>
    </row>
    <row r="254" spans="1:18" s="136" customFormat="1">
      <c r="A254" s="152" t="s">
        <v>302</v>
      </c>
      <c r="B254" s="636" t="s">
        <v>1206</v>
      </c>
      <c r="C254" s="141" t="s">
        <v>826</v>
      </c>
      <c r="D254" s="659">
        <f>ROUND(D236+D208,0)</f>
        <v>0</v>
      </c>
      <c r="E254" s="659">
        <f t="shared" ref="E254:I254" si="36">ROUND(E236+E208,0)</f>
        <v>0</v>
      </c>
      <c r="F254" s="659">
        <v>0</v>
      </c>
      <c r="G254" s="659">
        <v>0</v>
      </c>
      <c r="H254" s="659">
        <v>0</v>
      </c>
      <c r="I254" s="659">
        <v>0</v>
      </c>
      <c r="J254" s="659">
        <v>10689</v>
      </c>
      <c r="K254" s="659">
        <v>12175</v>
      </c>
      <c r="L254" s="659">
        <v>26942</v>
      </c>
      <c r="M254" s="659">
        <v>14083</v>
      </c>
      <c r="N254" s="659">
        <v>12859</v>
      </c>
      <c r="O254" s="659">
        <v>27112</v>
      </c>
      <c r="P254" s="659">
        <v>14188</v>
      </c>
      <c r="Q254" s="659">
        <v>12924</v>
      </c>
      <c r="R254" s="672">
        <f>SUM(D254:N254)</f>
        <v>76748</v>
      </c>
    </row>
    <row r="255" spans="1:18" s="136" customFormat="1">
      <c r="A255" s="152"/>
      <c r="B255" s="144"/>
      <c r="C255" s="141"/>
      <c r="D255" s="659"/>
      <c r="E255" s="659"/>
      <c r="F255" s="659"/>
      <c r="G255" s="659"/>
      <c r="H255" s="659"/>
      <c r="I255" s="659"/>
      <c r="J255" s="659"/>
      <c r="K255" s="659"/>
      <c r="L255" s="659"/>
      <c r="M255" s="659"/>
      <c r="N255" s="659"/>
      <c r="O255" s="659"/>
      <c r="P255" s="659"/>
      <c r="Q255" s="659"/>
    </row>
    <row r="256" spans="1:18" s="136" customFormat="1">
      <c r="A256" s="152" t="s">
        <v>303</v>
      </c>
      <c r="B256" s="144" t="s">
        <v>948</v>
      </c>
      <c r="C256" s="141" t="s">
        <v>826</v>
      </c>
      <c r="D256" s="659">
        <f>D246</f>
        <v>1089837.8069495547</v>
      </c>
      <c r="E256" s="659">
        <f t="shared" ref="E256:N256" si="37">E246</f>
        <v>1154298.1266000001</v>
      </c>
      <c r="F256" s="659">
        <v>1155159.7657699999</v>
      </c>
      <c r="G256" s="659">
        <v>1053276.9508700001</v>
      </c>
      <c r="H256" s="659">
        <v>1408348.4765705301</v>
      </c>
      <c r="I256" s="659">
        <v>995305.16267999995</v>
      </c>
      <c r="J256" s="659">
        <v>1192624.6930487156</v>
      </c>
      <c r="K256" s="659">
        <v>1095460.1892599999</v>
      </c>
      <c r="L256" s="659">
        <v>1215556.9890000001</v>
      </c>
      <c r="M256" s="659">
        <v>720362.24774999998</v>
      </c>
      <c r="N256" s="659">
        <v>495194.74125000002</v>
      </c>
      <c r="O256" s="659">
        <v>1258949.7462500001</v>
      </c>
      <c r="P256" s="659">
        <v>748598.48124999995</v>
      </c>
      <c r="Q256" s="659">
        <v>510351.26500000001</v>
      </c>
    </row>
    <row r="257" spans="1:17" s="136" customFormat="1" ht="18.75" customHeight="1">
      <c r="A257" s="650" t="s">
        <v>304</v>
      </c>
      <c r="B257" s="646" t="s">
        <v>832</v>
      </c>
      <c r="C257" s="643" t="s">
        <v>306</v>
      </c>
      <c r="D257" s="733">
        <f t="shared" ref="D257:N257" si="38">ROUND(D246/D104,2)</f>
        <v>10374.27</v>
      </c>
      <c r="E257" s="733">
        <f t="shared" si="38"/>
        <v>11159.11</v>
      </c>
      <c r="F257" s="733">
        <v>10762.39</v>
      </c>
      <c r="G257" s="733">
        <v>10421.81</v>
      </c>
      <c r="H257" s="733">
        <v>11851.88</v>
      </c>
      <c r="I257" s="733">
        <v>10461.780000000001</v>
      </c>
      <c r="J257" s="733" t="e">
        <v>#DIV/0!</v>
      </c>
      <c r="K257" s="733">
        <v>10942.13</v>
      </c>
      <c r="L257" s="733">
        <v>11858.75</v>
      </c>
      <c r="M257" s="733">
        <v>11755.64</v>
      </c>
      <c r="N257" s="733">
        <v>12012</v>
      </c>
      <c r="O257" s="733">
        <v>12282.08</v>
      </c>
      <c r="P257" s="733">
        <v>12216.43</v>
      </c>
      <c r="Q257" s="733">
        <v>12379.65</v>
      </c>
    </row>
    <row r="258" spans="1:17" s="136" customFormat="1">
      <c r="A258" s="152" t="s">
        <v>307</v>
      </c>
      <c r="B258" s="634" t="s">
        <v>1207</v>
      </c>
      <c r="C258" s="141" t="s">
        <v>306</v>
      </c>
      <c r="D258" s="652">
        <f t="shared" ref="D258:M258" si="39">ROUND(D247/D105,2)</f>
        <v>6509.36</v>
      </c>
      <c r="E258" s="652">
        <f t="shared" si="39"/>
        <v>6205.87</v>
      </c>
      <c r="F258" s="652">
        <v>6856.85</v>
      </c>
      <c r="G258" s="652">
        <v>6178.22</v>
      </c>
      <c r="H258" s="652">
        <v>6801.82</v>
      </c>
      <c r="I258" s="652">
        <v>6608.19</v>
      </c>
      <c r="J258" s="652" t="e">
        <v>#DIV/0!</v>
      </c>
      <c r="K258" s="652">
        <v>6937.37</v>
      </c>
      <c r="L258" s="652">
        <v>8072.58</v>
      </c>
      <c r="M258" s="652">
        <v>8022.28</v>
      </c>
      <c r="N258" s="652">
        <v>8159.05</v>
      </c>
      <c r="O258" s="652">
        <v>8682.52</v>
      </c>
      <c r="P258" s="652">
        <v>8650.83</v>
      </c>
      <c r="Q258" s="652">
        <v>8737.01</v>
      </c>
    </row>
    <row r="259" spans="1:17" s="136" customFormat="1" hidden="1">
      <c r="A259" s="152"/>
      <c r="B259" s="144"/>
      <c r="C259" s="141"/>
      <c r="D259" s="652"/>
      <c r="E259" s="652"/>
      <c r="F259" s="652"/>
      <c r="G259" s="662"/>
      <c r="H259" s="662"/>
      <c r="I259" s="662"/>
      <c r="J259" s="662"/>
      <c r="K259" s="662"/>
      <c r="L259" s="662"/>
      <c r="M259" s="662"/>
      <c r="N259" s="662"/>
      <c r="O259" s="662"/>
      <c r="P259" s="662"/>
      <c r="Q259" s="662"/>
    </row>
    <row r="260" spans="1:17" s="136" customFormat="1">
      <c r="A260" s="152" t="s">
        <v>308</v>
      </c>
      <c r="B260" s="634" t="s">
        <v>810</v>
      </c>
      <c r="C260" s="141" t="s">
        <v>306</v>
      </c>
      <c r="D260" s="652">
        <f t="shared" ref="D260:M260" si="40">ROUND(D249/D107,2)</f>
        <v>11572.98</v>
      </c>
      <c r="E260" s="652">
        <f>ROUND(E249/E107,2)+0.04</f>
        <v>11968.830000000002</v>
      </c>
      <c r="F260" s="652">
        <v>12137.61</v>
      </c>
      <c r="G260" s="652">
        <v>11837.55</v>
      </c>
      <c r="H260" s="652">
        <v>13047.61</v>
      </c>
      <c r="I260" s="652">
        <v>11799.08</v>
      </c>
      <c r="J260" s="652" t="e">
        <v>#DIV/0!</v>
      </c>
      <c r="K260" s="652">
        <v>12249.83</v>
      </c>
      <c r="L260" s="652">
        <v>13158.59</v>
      </c>
      <c r="M260" s="652">
        <v>13078.44</v>
      </c>
      <c r="N260" s="652">
        <v>13277.27</v>
      </c>
      <c r="O260" s="652">
        <v>13616.09</v>
      </c>
      <c r="P260" s="652">
        <v>13580.69</v>
      </c>
      <c r="Q260" s="652">
        <v>13668.5</v>
      </c>
    </row>
    <row r="261" spans="1:17" s="136" customFormat="1">
      <c r="A261" s="152" t="s">
        <v>309</v>
      </c>
      <c r="B261" s="634" t="s">
        <v>811</v>
      </c>
      <c r="C261" s="141" t="s">
        <v>306</v>
      </c>
      <c r="D261" s="652">
        <f>ROUND(D250/D111,2)-0.11</f>
        <v>5037.88</v>
      </c>
      <c r="E261" s="652">
        <f t="shared" ref="E261:N261" si="41">ROUND(E250/E111,2)</f>
        <v>5082.16</v>
      </c>
      <c r="F261" s="652">
        <v>5126.8999999999996</v>
      </c>
      <c r="G261" s="652">
        <v>5225.76</v>
      </c>
      <c r="H261" s="652">
        <v>5261.21</v>
      </c>
      <c r="I261" s="652">
        <v>5259.62</v>
      </c>
      <c r="J261" s="652" t="e">
        <v>#DIV/0!</v>
      </c>
      <c r="K261" s="652">
        <v>5561.81</v>
      </c>
      <c r="L261" s="652">
        <v>5760.18</v>
      </c>
      <c r="M261" s="652">
        <v>5688.99</v>
      </c>
      <c r="N261" s="652">
        <v>5863.22</v>
      </c>
      <c r="O261" s="652">
        <v>5934.71</v>
      </c>
      <c r="P261" s="652">
        <v>5863.08</v>
      </c>
      <c r="Q261" s="652">
        <v>6038.38</v>
      </c>
    </row>
    <row r="262" spans="1:17" s="136" customFormat="1">
      <c r="A262" s="152" t="s">
        <v>310</v>
      </c>
      <c r="B262" s="154" t="s">
        <v>812</v>
      </c>
      <c r="C262" s="141" t="s">
        <v>306</v>
      </c>
      <c r="D262" s="652"/>
      <c r="E262" s="652"/>
      <c r="F262" s="652"/>
      <c r="G262" s="662"/>
      <c r="H262" s="662"/>
      <c r="I262" s="662"/>
      <c r="J262" s="662"/>
      <c r="K262" s="662"/>
      <c r="L262" s="662"/>
      <c r="M262" s="662"/>
      <c r="N262" s="662"/>
      <c r="O262" s="662"/>
      <c r="P262" s="662"/>
      <c r="Q262" s="662"/>
    </row>
    <row r="263" spans="1:17" s="136" customFormat="1">
      <c r="A263" s="152" t="s">
        <v>311</v>
      </c>
      <c r="B263" s="154" t="s">
        <v>813</v>
      </c>
      <c r="C263" s="141" t="s">
        <v>306</v>
      </c>
      <c r="D263" s="652"/>
      <c r="E263" s="652"/>
      <c r="F263" s="652"/>
      <c r="G263" s="662"/>
      <c r="H263" s="662"/>
      <c r="I263" s="662"/>
      <c r="J263" s="662"/>
      <c r="K263" s="662"/>
      <c r="L263" s="662"/>
      <c r="M263" s="662"/>
      <c r="N263" s="662"/>
      <c r="O263" s="662"/>
      <c r="P263" s="662"/>
      <c r="Q263" s="662"/>
    </row>
    <row r="264" spans="1:17" s="136" customFormat="1">
      <c r="A264" s="152" t="s">
        <v>312</v>
      </c>
      <c r="B264" s="154" t="s">
        <v>814</v>
      </c>
      <c r="C264" s="141" t="s">
        <v>306</v>
      </c>
      <c r="D264" s="652"/>
      <c r="E264" s="652"/>
      <c r="F264" s="652"/>
      <c r="G264" s="662"/>
      <c r="H264" s="662"/>
      <c r="I264" s="662"/>
      <c r="J264" s="662"/>
      <c r="K264" s="662"/>
      <c r="L264" s="662"/>
      <c r="M264" s="662"/>
      <c r="N264" s="662"/>
      <c r="O264" s="662"/>
      <c r="P264" s="662"/>
      <c r="Q264" s="662"/>
    </row>
    <row r="265" spans="1:17" s="136" customFormat="1">
      <c r="A265" s="152" t="s">
        <v>313</v>
      </c>
      <c r="B265" s="636" t="s">
        <v>1206</v>
      </c>
      <c r="C265" s="141" t="s">
        <v>306</v>
      </c>
      <c r="D265" s="652" t="e">
        <f t="shared" ref="D265:N267" si="42">ROUND(D254/D118,2)</f>
        <v>#DIV/0!</v>
      </c>
      <c r="E265" s="652" t="e">
        <f t="shared" si="42"/>
        <v>#DIV/0!</v>
      </c>
      <c r="F265" s="652" t="e">
        <v>#DIV/0!</v>
      </c>
      <c r="G265" s="662" t="e">
        <v>#DIV/0!</v>
      </c>
      <c r="H265" s="662" t="e">
        <v>#DIV/0!</v>
      </c>
      <c r="I265" s="662" t="e">
        <v>#DIV/0!</v>
      </c>
      <c r="J265" s="662" t="e">
        <v>#DIV/0!</v>
      </c>
      <c r="K265" s="662">
        <v>28379.95</v>
      </c>
      <c r="L265" s="662">
        <v>30967.82</v>
      </c>
      <c r="M265" s="662">
        <v>30951.65</v>
      </c>
      <c r="N265" s="662">
        <v>30985.54</v>
      </c>
      <c r="O265" s="662">
        <v>31163.22</v>
      </c>
      <c r="P265" s="662">
        <v>31182.42</v>
      </c>
      <c r="Q265" s="662">
        <v>31142.17</v>
      </c>
    </row>
    <row r="266" spans="1:17" s="136" customFormat="1">
      <c r="A266" s="152"/>
      <c r="B266" s="144"/>
      <c r="C266" s="141"/>
      <c r="D266" s="661"/>
      <c r="E266" s="661"/>
      <c r="F266" s="661"/>
      <c r="G266" s="661"/>
      <c r="H266" s="661"/>
      <c r="I266" s="661"/>
      <c r="J266" s="661"/>
      <c r="K266" s="661"/>
      <c r="L266" s="661"/>
      <c r="M266" s="661"/>
      <c r="N266" s="661"/>
      <c r="O266" s="661"/>
      <c r="P266" s="661"/>
      <c r="Q266" s="661"/>
    </row>
    <row r="267" spans="1:17" s="136" customFormat="1">
      <c r="A267" s="152" t="s">
        <v>314</v>
      </c>
      <c r="B267" s="144" t="s">
        <v>140</v>
      </c>
      <c r="C267" s="141" t="s">
        <v>306</v>
      </c>
      <c r="D267" s="652">
        <f t="shared" si="42"/>
        <v>10374.27</v>
      </c>
      <c r="E267" s="652">
        <f t="shared" si="42"/>
        <v>11159.11</v>
      </c>
      <c r="F267" s="652">
        <v>10762.39</v>
      </c>
      <c r="G267" s="652">
        <v>10421.81</v>
      </c>
      <c r="H267" s="652">
        <v>11851.88</v>
      </c>
      <c r="I267" s="652">
        <v>10461.780000000001</v>
      </c>
      <c r="J267" s="652" t="e">
        <v>#DIV/0!</v>
      </c>
      <c r="K267" s="652">
        <v>10942.13</v>
      </c>
      <c r="L267" s="652">
        <v>11858.75</v>
      </c>
      <c r="M267" s="652">
        <v>11755.64</v>
      </c>
      <c r="N267" s="652">
        <v>12012</v>
      </c>
      <c r="O267" s="652">
        <v>12282.08</v>
      </c>
      <c r="P267" s="652">
        <v>12216.43</v>
      </c>
      <c r="Q267" s="652">
        <v>12379.65</v>
      </c>
    </row>
    <row r="268" spans="1:17" s="136" customFormat="1" ht="17.25" customHeight="1">
      <c r="A268" s="650" t="s">
        <v>315</v>
      </c>
      <c r="B268" s="646" t="s">
        <v>316</v>
      </c>
      <c r="C268" s="643" t="s">
        <v>231</v>
      </c>
      <c r="D268" s="637"/>
      <c r="E268" s="637"/>
      <c r="F268" s="637"/>
      <c r="G268" s="637"/>
      <c r="H268" s="637"/>
      <c r="I268" s="637"/>
      <c r="J268" s="637"/>
      <c r="K268" s="637"/>
      <c r="L268" s="637"/>
      <c r="M268" s="637"/>
      <c r="N268" s="637"/>
      <c r="O268" s="637"/>
      <c r="P268" s="637"/>
      <c r="Q268" s="637"/>
    </row>
    <row r="269" spans="1:17" s="136" customFormat="1">
      <c r="A269" s="152" t="s">
        <v>317</v>
      </c>
      <c r="B269" s="634" t="s">
        <v>1207</v>
      </c>
      <c r="C269" s="141" t="s">
        <v>231</v>
      </c>
      <c r="D269" s="652">
        <f>D164+D219</f>
        <v>4426.389919619005</v>
      </c>
      <c r="E269" s="652">
        <f>E164+E219</f>
        <v>4558.4390126898916</v>
      </c>
      <c r="F269" s="652">
        <v>4662.6551412987228</v>
      </c>
      <c r="G269" s="652">
        <v>4571.8900000000003</v>
      </c>
      <c r="H269" s="652">
        <v>4829.2933810378508</v>
      </c>
      <c r="I269" s="652">
        <v>4655.5212173195059</v>
      </c>
      <c r="J269" s="652">
        <v>4940.5611306092751</v>
      </c>
      <c r="K269" s="652">
        <v>4924.53</v>
      </c>
      <c r="L269" s="652">
        <v>5489.513291634089</v>
      </c>
      <c r="M269" s="652">
        <v>5455.2</v>
      </c>
      <c r="N269" s="652">
        <v>5548.55</v>
      </c>
      <c r="O269" s="652">
        <v>5904.3197810789679</v>
      </c>
      <c r="P269" s="652">
        <v>5882.74</v>
      </c>
      <c r="Q269" s="652">
        <v>5941.52</v>
      </c>
    </row>
    <row r="270" spans="1:17" s="136" customFormat="1" hidden="1">
      <c r="A270" s="152"/>
      <c r="B270" s="144"/>
      <c r="C270" s="141"/>
      <c r="D270" s="652"/>
      <c r="E270" s="652"/>
      <c r="F270" s="652"/>
      <c r="G270" s="652"/>
      <c r="H270" s="652"/>
      <c r="I270" s="652"/>
      <c r="J270" s="652"/>
      <c r="K270" s="652"/>
      <c r="L270" s="652"/>
      <c r="M270" s="652"/>
      <c r="N270" s="652"/>
      <c r="O270" s="652"/>
      <c r="P270" s="652"/>
      <c r="Q270" s="652"/>
    </row>
    <row r="271" spans="1:17" s="136" customFormat="1" ht="12" customHeight="1">
      <c r="A271" s="152" t="s">
        <v>318</v>
      </c>
      <c r="B271" s="663" t="s">
        <v>810</v>
      </c>
      <c r="C271" s="141" t="s">
        <v>231</v>
      </c>
      <c r="D271" s="652">
        <f t="shared" ref="D271:N271" si="43">D166+D221</f>
        <v>15854.916274196952</v>
      </c>
      <c r="E271" s="652">
        <f t="shared" si="43"/>
        <v>16809.020156315957</v>
      </c>
      <c r="F271" s="652">
        <v>16628.580005372958</v>
      </c>
      <c r="G271" s="652">
        <v>16608.075745914695</v>
      </c>
      <c r="H271" s="652">
        <v>17875.303279118027</v>
      </c>
      <c r="I271" s="652">
        <v>16590.346090880616</v>
      </c>
      <c r="J271" s="652">
        <v>17350.028265998219</v>
      </c>
      <c r="K271" s="652">
        <v>17027.079999999998</v>
      </c>
      <c r="L271" s="652">
        <v>18027.381178461059</v>
      </c>
      <c r="M271" s="652">
        <v>17917.599999999999</v>
      </c>
      <c r="N271" s="652">
        <v>18189.91</v>
      </c>
      <c r="O271" s="652">
        <v>18654.161559311498</v>
      </c>
      <c r="P271" s="652">
        <v>18605.689999999999</v>
      </c>
      <c r="Q271" s="652">
        <v>18725.940000000002</v>
      </c>
    </row>
    <row r="272" spans="1:17" s="136" customFormat="1" ht="14.25" customHeight="1">
      <c r="A272" s="152" t="s">
        <v>319</v>
      </c>
      <c r="B272" s="663" t="s">
        <v>811</v>
      </c>
      <c r="C272" s="141" t="s">
        <v>825</v>
      </c>
      <c r="D272" s="652">
        <f t="shared" ref="D272:N272" si="44">D170+D222</f>
        <v>5688.0022794551687</v>
      </c>
      <c r="E272" s="652">
        <f t="shared" si="44"/>
        <v>6145.73</v>
      </c>
      <c r="F272" s="652">
        <v>5786.1100000000006</v>
      </c>
      <c r="G272" s="652">
        <v>6307.4961101618692</v>
      </c>
      <c r="H272" s="652">
        <v>5937.6020845856347</v>
      </c>
      <c r="I272" s="652">
        <v>6320.7074273970265</v>
      </c>
      <c r="J272" s="652">
        <v>6277.9415033333344</v>
      </c>
      <c r="K272" s="652">
        <v>6279.07</v>
      </c>
      <c r="L272" s="652">
        <v>6503.0223028739865</v>
      </c>
      <c r="M272" s="652">
        <v>6422.71</v>
      </c>
      <c r="N272" s="652">
        <v>6619.25</v>
      </c>
      <c r="O272" s="652">
        <v>6700.0195283714074</v>
      </c>
      <c r="P272" s="652">
        <v>6619.25</v>
      </c>
      <c r="Q272" s="652">
        <v>6817</v>
      </c>
    </row>
    <row r="273" spans="1:66" s="136" customFormat="1" ht="15" customHeight="1">
      <c r="A273" s="152" t="s">
        <v>320</v>
      </c>
      <c r="B273" s="655" t="s">
        <v>812</v>
      </c>
      <c r="C273" s="146" t="s">
        <v>825</v>
      </c>
      <c r="D273" s="652"/>
      <c r="E273" s="652"/>
      <c r="F273" s="652"/>
      <c r="G273" s="652"/>
      <c r="H273" s="652"/>
      <c r="I273" s="652"/>
      <c r="J273" s="652"/>
      <c r="K273" s="652"/>
      <c r="L273" s="652"/>
      <c r="M273" s="652"/>
      <c r="N273" s="652"/>
      <c r="O273" s="652"/>
      <c r="P273" s="652"/>
      <c r="Q273" s="652"/>
    </row>
    <row r="274" spans="1:66" s="136" customFormat="1" ht="13.5" customHeight="1">
      <c r="A274" s="152" t="s">
        <v>321</v>
      </c>
      <c r="B274" s="655" t="s">
        <v>813</v>
      </c>
      <c r="C274" s="146" t="s">
        <v>825</v>
      </c>
      <c r="D274" s="652"/>
      <c r="E274" s="652"/>
      <c r="F274" s="652"/>
      <c r="G274" s="652"/>
      <c r="H274" s="652"/>
      <c r="I274" s="652"/>
      <c r="J274" s="652"/>
      <c r="K274" s="652"/>
      <c r="L274" s="652"/>
      <c r="M274" s="652"/>
      <c r="N274" s="652"/>
      <c r="O274" s="652"/>
      <c r="P274" s="652"/>
      <c r="Q274" s="652"/>
    </row>
    <row r="275" spans="1:66" s="136" customFormat="1" ht="13.5" customHeight="1">
      <c r="A275" s="152" t="s">
        <v>322</v>
      </c>
      <c r="B275" s="655" t="s">
        <v>814</v>
      </c>
      <c r="C275" s="146" t="s">
        <v>825</v>
      </c>
      <c r="D275" s="652"/>
      <c r="E275" s="652"/>
      <c r="F275" s="652"/>
      <c r="G275" s="652"/>
      <c r="H275" s="652"/>
      <c r="I275" s="652"/>
      <c r="J275" s="652"/>
      <c r="K275" s="652"/>
      <c r="L275" s="652"/>
      <c r="M275" s="652"/>
      <c r="N275" s="652"/>
      <c r="O275" s="652"/>
      <c r="P275" s="652"/>
      <c r="Q275" s="652"/>
    </row>
    <row r="276" spans="1:66" s="136" customFormat="1" ht="12" customHeight="1">
      <c r="A276" s="152" t="s">
        <v>323</v>
      </c>
      <c r="B276" s="664" t="s">
        <v>1206</v>
      </c>
      <c r="C276" s="141" t="s">
        <v>231</v>
      </c>
      <c r="D276" s="652">
        <f>D177+D226</f>
        <v>0</v>
      </c>
      <c r="E276" s="652">
        <f t="shared" ref="E276:N276" si="45">E177+E226</f>
        <v>0</v>
      </c>
      <c r="F276" s="652">
        <v>0</v>
      </c>
      <c r="G276" s="652">
        <v>0</v>
      </c>
      <c r="H276" s="652">
        <v>0</v>
      </c>
      <c r="I276" s="652">
        <v>0</v>
      </c>
      <c r="J276" s="652">
        <v>36127.118644067807</v>
      </c>
      <c r="K276" s="652">
        <v>40992.32</v>
      </c>
      <c r="L276" s="652">
        <v>44903.088266666666</v>
      </c>
      <c r="M276" s="652">
        <v>44850.02</v>
      </c>
      <c r="N276" s="652">
        <v>44961.36</v>
      </c>
      <c r="O276" s="652">
        <v>45186.666666666672</v>
      </c>
      <c r="P276" s="652">
        <v>45183.38</v>
      </c>
      <c r="Q276" s="652">
        <v>45189.79</v>
      </c>
    </row>
    <row r="277" spans="1:66" s="136" customFormat="1" ht="17.25" customHeight="1">
      <c r="A277" s="650" t="s">
        <v>324</v>
      </c>
      <c r="B277" s="646" t="s">
        <v>325</v>
      </c>
      <c r="C277" s="643" t="s">
        <v>326</v>
      </c>
      <c r="D277" s="665"/>
      <c r="E277" s="665"/>
      <c r="F277" s="665"/>
      <c r="G277" s="665"/>
      <c r="H277" s="665"/>
      <c r="I277" s="665"/>
      <c r="J277" s="665"/>
      <c r="K277" s="665"/>
      <c r="L277" s="665"/>
      <c r="M277" s="665"/>
      <c r="N277" s="665"/>
      <c r="O277" s="665"/>
      <c r="P277" s="665"/>
      <c r="Q277" s="665"/>
    </row>
    <row r="278" spans="1:66" s="136" customFormat="1">
      <c r="A278" s="156"/>
      <c r="B278" s="157"/>
      <c r="C278" s="158"/>
    </row>
    <row r="279" spans="1:66" s="136" customFormat="1">
      <c r="A279" s="156"/>
      <c r="B279" s="157"/>
      <c r="C279" s="158"/>
    </row>
    <row r="280" spans="1:66" s="136" customFormat="1" ht="15.75">
      <c r="A280" s="1885"/>
      <c r="B280" s="1886"/>
      <c r="C280" s="1886"/>
      <c r="D280" s="1886"/>
      <c r="E280" s="1886"/>
      <c r="F280" s="1886"/>
      <c r="G280" s="1886"/>
      <c r="H280" s="1886"/>
      <c r="I280" s="1886"/>
      <c r="J280" s="1886"/>
      <c r="K280" s="1886"/>
      <c r="L280" s="1886"/>
      <c r="M280" s="1886"/>
      <c r="N280" s="439"/>
      <c r="O280" s="1635"/>
      <c r="P280" s="1635"/>
      <c r="Q280" s="1635"/>
      <c r="R280" s="439"/>
      <c r="S280" s="439"/>
      <c r="T280" s="439"/>
      <c r="U280" s="439"/>
      <c r="V280" s="439"/>
    </row>
    <row r="281" spans="1:66" s="136" customFormat="1" ht="15.75" customHeight="1">
      <c r="A281" s="156"/>
      <c r="B281" s="157"/>
      <c r="C281" s="158"/>
    </row>
    <row r="282" spans="1:66" s="136" customFormat="1">
      <c r="A282" s="156"/>
      <c r="B282" s="157"/>
      <c r="C282" s="158"/>
    </row>
    <row r="283" spans="1:66" s="136" customFormat="1" ht="18.75" hidden="1">
      <c r="A283" s="156"/>
      <c r="B283" s="159" t="s">
        <v>833</v>
      </c>
      <c r="C283" s="158"/>
      <c r="E283" s="159" t="s">
        <v>834</v>
      </c>
      <c r="F283" s="159"/>
      <c r="G283" s="159"/>
      <c r="H283" s="159"/>
      <c r="I283" s="159"/>
      <c r="J283" s="159"/>
      <c r="K283" s="159"/>
    </row>
    <row r="284" spans="1:66" s="136" customFormat="1">
      <c r="A284" s="156"/>
      <c r="B284" s="157"/>
      <c r="C284" s="158"/>
    </row>
    <row r="285" spans="1:66" s="136" customFormat="1">
      <c r="A285" s="156"/>
      <c r="B285" s="157"/>
      <c r="C285" s="158"/>
    </row>
    <row r="286" spans="1:66" s="136" customFormat="1">
      <c r="A286" s="126"/>
      <c r="B286" s="160"/>
      <c r="C286" s="161"/>
    </row>
    <row r="287" spans="1:66" s="162" customFormat="1" ht="18.75">
      <c r="C287" s="159"/>
      <c r="D287" s="163"/>
      <c r="E287" s="163"/>
      <c r="F287" s="163"/>
      <c r="G287" s="163"/>
      <c r="H287" s="163"/>
      <c r="I287" s="163"/>
      <c r="J287" s="163"/>
      <c r="K287" s="163"/>
      <c r="L287" s="163"/>
      <c r="M287" s="163"/>
      <c r="N287" s="163"/>
      <c r="O287" s="163"/>
      <c r="P287" s="163"/>
      <c r="Q287" s="163"/>
      <c r="R287" s="163"/>
      <c r="S287" s="163"/>
      <c r="T287" s="163"/>
      <c r="U287" s="163"/>
      <c r="V287" s="163"/>
      <c r="W287" s="163"/>
      <c r="X287" s="163"/>
      <c r="Y287" s="163"/>
      <c r="Z287" s="163"/>
      <c r="AA287" s="163"/>
      <c r="AB287" s="163"/>
      <c r="AC287" s="163"/>
      <c r="AD287" s="164"/>
      <c r="AE287" s="164"/>
      <c r="AG287" s="165"/>
      <c r="AH287" s="165"/>
      <c r="AI287" s="165"/>
      <c r="AJ287" s="165"/>
      <c r="AK287" s="165"/>
      <c r="AL287" s="165"/>
      <c r="AM287" s="165"/>
      <c r="AN287" s="165"/>
      <c r="AO287" s="165"/>
      <c r="AP287" s="165"/>
      <c r="AQ287" s="165"/>
      <c r="AR287" s="165"/>
      <c r="AS287" s="165"/>
      <c r="AT287" s="165"/>
      <c r="AU287" s="165"/>
      <c r="AV287" s="165"/>
      <c r="AW287" s="165"/>
      <c r="AX287" s="165"/>
      <c r="AY287" s="165"/>
      <c r="AZ287" s="165"/>
      <c r="BA287" s="165"/>
      <c r="BB287" s="165"/>
      <c r="BC287" s="165"/>
      <c r="BD287" s="165"/>
      <c r="BE287" s="165"/>
      <c r="BF287" s="165"/>
      <c r="BG287" s="165"/>
      <c r="BH287" s="165"/>
      <c r="BI287" s="165"/>
      <c r="BJ287" s="165"/>
      <c r="BK287" s="165"/>
      <c r="BL287" s="165"/>
      <c r="BN287" s="165"/>
    </row>
    <row r="288" spans="1:66" s="136" customFormat="1" ht="18.75">
      <c r="A288" s="166"/>
      <c r="C288" s="161"/>
    </row>
    <row r="289" spans="1:3" s="159" customFormat="1" ht="18.75">
      <c r="A289" s="167"/>
      <c r="C289" s="166"/>
    </row>
    <row r="290" spans="1:3" s="125" customFormat="1" ht="15">
      <c r="A290" s="126"/>
      <c r="B290" s="168"/>
      <c r="C290" s="124"/>
    </row>
  </sheetData>
  <mergeCells count="19">
    <mergeCell ref="A280:M280"/>
    <mergeCell ref="A3:L3"/>
    <mergeCell ref="A5:A6"/>
    <mergeCell ref="B5:B6"/>
    <mergeCell ref="C5:C6"/>
    <mergeCell ref="D5:D6"/>
    <mergeCell ref="E5:E6"/>
    <mergeCell ref="F5:F6"/>
    <mergeCell ref="G5:G6"/>
    <mergeCell ref="L5:L6"/>
    <mergeCell ref="I5:I6"/>
    <mergeCell ref="H5:H6"/>
    <mergeCell ref="J5:J6"/>
    <mergeCell ref="K5:K6"/>
    <mergeCell ref="O5:O6"/>
    <mergeCell ref="P5:Q5"/>
    <mergeCell ref="P2:Q2"/>
    <mergeCell ref="R164:R177"/>
    <mergeCell ref="M5:N5"/>
  </mergeCells>
  <pageMargins left="0.70866141732283472" right="0.70866141732283472" top="0.74803149606299213" bottom="0.74803149606299213" header="0.31496062992125984" footer="0.31496062992125984"/>
  <pageSetup paperSize="9" scale="44" orientation="portrait" r:id="rId1"/>
  <rowBreaks count="1" manualBreakCount="1">
    <brk id="245" max="16" man="1"/>
  </rowBreaks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39997558519241921"/>
  </sheetPr>
  <dimension ref="A1:X229"/>
  <sheetViews>
    <sheetView view="pageBreakPreview" zoomScale="90" zoomScaleNormal="100" zoomScaleSheetLayoutView="90" workbookViewId="0">
      <pane xSplit="1" ySplit="6" topLeftCell="B204" activePane="bottomRight" state="frozen"/>
      <selection activeCell="R3" sqref="R3"/>
      <selection pane="topRight" activeCell="R3" sqref="R3"/>
      <selection pane="bottomLeft" activeCell="R3" sqref="R3"/>
      <selection pane="bottomRight" activeCell="Y3" sqref="Y3"/>
    </sheetView>
  </sheetViews>
  <sheetFormatPr defaultColWidth="9.140625" defaultRowHeight="12.75" outlineLevelRow="1"/>
  <cols>
    <col min="1" max="1" width="26.140625" style="172" customWidth="1"/>
    <col min="2" max="2" width="13.42578125" style="172" customWidth="1"/>
    <col min="3" max="3" width="11.28515625" style="172" customWidth="1"/>
    <col min="4" max="4" width="10.28515625" style="172" customWidth="1"/>
    <col min="5" max="5" width="10.42578125" style="172" customWidth="1"/>
    <col min="6" max="6" width="8.85546875" style="172" customWidth="1"/>
    <col min="7" max="7" width="6.42578125" style="172" hidden="1" customWidth="1"/>
    <col min="8" max="9" width="2.85546875" style="172" hidden="1" customWidth="1"/>
    <col min="10" max="10" width="9.140625" style="172" hidden="1" customWidth="1"/>
    <col min="11" max="11" width="11.5703125" style="172" hidden="1" customWidth="1"/>
    <col min="12" max="12" width="11.85546875" style="172" hidden="1" customWidth="1"/>
    <col min="13" max="13" width="8.85546875" style="172" hidden="1" customWidth="1"/>
    <col min="14" max="14" width="10.28515625" style="172" hidden="1" customWidth="1"/>
    <col min="15" max="15" width="10.28515625" style="172" customWidth="1"/>
    <col min="16" max="16" width="11.42578125" style="172" customWidth="1"/>
    <col min="17" max="17" width="8.7109375" style="172" customWidth="1"/>
    <col min="18" max="18" width="9.42578125" style="172" customWidth="1"/>
    <col min="19" max="19" width="10.7109375" style="310" customWidth="1"/>
    <col min="20" max="20" width="8.42578125" style="172" customWidth="1"/>
    <col min="21" max="21" width="10.7109375" style="310" customWidth="1"/>
    <col min="22" max="23" width="10.28515625" style="172" customWidth="1"/>
    <col min="24" max="24" width="11" style="172" customWidth="1"/>
    <col min="25" max="16384" width="9.140625" style="172"/>
  </cols>
  <sheetData>
    <row r="1" spans="1:24" ht="14.25">
      <c r="A1" s="74" t="s">
        <v>765</v>
      </c>
      <c r="V1" s="333"/>
      <c r="W1" s="128" t="s">
        <v>938</v>
      </c>
      <c r="X1" s="332"/>
    </row>
    <row r="2" spans="1:24" ht="15">
      <c r="A2" s="617" t="s">
        <v>1231</v>
      </c>
      <c r="V2" s="333"/>
      <c r="W2" s="128"/>
      <c r="X2" s="332"/>
    </row>
    <row r="3" spans="1:24" ht="18.75">
      <c r="A3" s="1904" t="s">
        <v>835</v>
      </c>
      <c r="B3" s="1904"/>
      <c r="C3" s="1904"/>
      <c r="D3" s="1904"/>
      <c r="E3" s="1904"/>
      <c r="F3" s="1904"/>
      <c r="G3" s="1904"/>
      <c r="H3" s="1904"/>
      <c r="I3" s="1904"/>
      <c r="J3" s="1904"/>
      <c r="K3" s="1904"/>
      <c r="L3" s="1904"/>
      <c r="M3" s="1904"/>
      <c r="N3" s="1904"/>
      <c r="O3" s="1904"/>
      <c r="P3" s="1904"/>
      <c r="Q3" s="1904"/>
      <c r="R3" s="1904"/>
      <c r="S3" s="1904"/>
      <c r="T3" s="1904"/>
      <c r="U3" s="1904"/>
      <c r="V3" s="1904"/>
      <c r="W3" s="1904"/>
      <c r="X3" s="1904"/>
    </row>
    <row r="4" spans="1:24" ht="16.5" thickBot="1">
      <c r="A4" s="169"/>
      <c r="F4" s="1905"/>
      <c r="G4" s="1905"/>
      <c r="H4" s="1905"/>
      <c r="I4" s="1905"/>
      <c r="J4" s="1905"/>
      <c r="K4" s="1905"/>
      <c r="L4" s="1905"/>
      <c r="M4" s="1905"/>
      <c r="N4" s="1905"/>
      <c r="O4" s="1905"/>
      <c r="P4" s="1905"/>
      <c r="Q4" s="1905"/>
      <c r="T4" s="310"/>
    </row>
    <row r="5" spans="1:24" s="322" customFormat="1" ht="14.25" customHeight="1">
      <c r="A5" s="1906" t="s">
        <v>836</v>
      </c>
      <c r="B5" s="1908" t="s">
        <v>957</v>
      </c>
      <c r="C5" s="1910" t="s">
        <v>331</v>
      </c>
      <c r="D5" s="1911"/>
      <c r="E5" s="1912"/>
      <c r="F5" s="1910" t="s">
        <v>332</v>
      </c>
      <c r="G5" s="1911"/>
      <c r="H5" s="1911"/>
      <c r="I5" s="1911"/>
      <c r="J5" s="1911"/>
      <c r="K5" s="1911"/>
      <c r="L5" s="1911"/>
      <c r="M5" s="1911"/>
      <c r="N5" s="1911"/>
      <c r="O5" s="1911"/>
      <c r="P5" s="1912"/>
      <c r="Q5" s="1910" t="s">
        <v>837</v>
      </c>
      <c r="R5" s="1911"/>
      <c r="S5" s="1912"/>
      <c r="T5" s="1910" t="s">
        <v>956</v>
      </c>
      <c r="U5" s="1912"/>
      <c r="V5" s="1910" t="s">
        <v>333</v>
      </c>
      <c r="W5" s="1911"/>
      <c r="X5" s="1913"/>
    </row>
    <row r="6" spans="1:24" s="322" customFormat="1" ht="84" customHeight="1">
      <c r="A6" s="1907"/>
      <c r="B6" s="1909"/>
      <c r="C6" s="324" t="s">
        <v>838</v>
      </c>
      <c r="D6" s="324" t="s">
        <v>955</v>
      </c>
      <c r="E6" s="324" t="s">
        <v>954</v>
      </c>
      <c r="F6" s="324" t="s">
        <v>953</v>
      </c>
      <c r="G6" s="326" t="s">
        <v>839</v>
      </c>
      <c r="H6" s="326" t="s">
        <v>840</v>
      </c>
      <c r="I6" s="326" t="s">
        <v>841</v>
      </c>
      <c r="J6" s="324" t="s">
        <v>842</v>
      </c>
      <c r="K6" s="324" t="s">
        <v>952</v>
      </c>
      <c r="L6" s="324" t="s">
        <v>951</v>
      </c>
      <c r="M6" s="324" t="s">
        <v>340</v>
      </c>
      <c r="N6" s="324" t="s">
        <v>341</v>
      </c>
      <c r="O6" s="324" t="s">
        <v>843</v>
      </c>
      <c r="P6" s="324" t="s">
        <v>950</v>
      </c>
      <c r="Q6" s="324" t="s">
        <v>949</v>
      </c>
      <c r="R6" s="324" t="s">
        <v>844</v>
      </c>
      <c r="S6" s="325" t="s">
        <v>845</v>
      </c>
      <c r="T6" s="324" t="s">
        <v>949</v>
      </c>
      <c r="U6" s="325" t="s">
        <v>845</v>
      </c>
      <c r="V6" s="324" t="s">
        <v>838</v>
      </c>
      <c r="W6" s="324" t="s">
        <v>844</v>
      </c>
      <c r="X6" s="323" t="s">
        <v>845</v>
      </c>
    </row>
    <row r="7" spans="1:24" s="240" customFormat="1" ht="14.25" customHeight="1" thickBot="1">
      <c r="A7" s="331">
        <v>1</v>
      </c>
      <c r="B7" s="329">
        <v>2</v>
      </c>
      <c r="C7" s="329">
        <v>3</v>
      </c>
      <c r="D7" s="329">
        <v>4</v>
      </c>
      <c r="E7" s="329">
        <v>5</v>
      </c>
      <c r="F7" s="329">
        <v>6</v>
      </c>
      <c r="G7" s="329">
        <v>7</v>
      </c>
      <c r="H7" s="329">
        <v>8</v>
      </c>
      <c r="I7" s="329">
        <v>9</v>
      </c>
      <c r="J7" s="329">
        <v>10</v>
      </c>
      <c r="K7" s="329">
        <v>7</v>
      </c>
      <c r="L7" s="329">
        <v>8</v>
      </c>
      <c r="M7" s="329">
        <v>9</v>
      </c>
      <c r="N7" s="329">
        <v>10</v>
      </c>
      <c r="O7" s="329">
        <v>11</v>
      </c>
      <c r="P7" s="330">
        <v>12</v>
      </c>
      <c r="Q7" s="330">
        <v>13</v>
      </c>
      <c r="R7" s="329">
        <v>14</v>
      </c>
      <c r="S7" s="329">
        <v>15</v>
      </c>
      <c r="T7" s="330">
        <v>13</v>
      </c>
      <c r="U7" s="329">
        <v>15</v>
      </c>
      <c r="V7" s="329">
        <v>16</v>
      </c>
      <c r="W7" s="328">
        <v>17</v>
      </c>
      <c r="X7" s="327">
        <f>+W7+1</f>
        <v>18</v>
      </c>
    </row>
    <row r="8" spans="1:24" s="240" customFormat="1" ht="14.25" hidden="1" customHeight="1">
      <c r="A8" s="1900" t="s">
        <v>1232</v>
      </c>
      <c r="B8" s="1901"/>
      <c r="C8" s="1901"/>
      <c r="D8" s="1901"/>
      <c r="E8" s="1901"/>
      <c r="F8" s="1901"/>
      <c r="G8" s="1901"/>
      <c r="H8" s="1901"/>
      <c r="I8" s="1901"/>
      <c r="J8" s="1901"/>
      <c r="K8" s="1901"/>
      <c r="L8" s="1901"/>
      <c r="M8" s="1901"/>
      <c r="N8" s="1901"/>
      <c r="O8" s="1901"/>
      <c r="P8" s="1901"/>
      <c r="Q8" s="1901"/>
      <c r="R8" s="1901"/>
      <c r="S8" s="1901"/>
      <c r="T8" s="1901"/>
      <c r="U8" s="1901"/>
      <c r="V8" s="1901"/>
      <c r="W8" s="1901"/>
      <c r="X8" s="1902"/>
    </row>
    <row r="9" spans="1:24" s="240" customFormat="1" ht="14.25" hidden="1" customHeight="1">
      <c r="A9" s="680" t="s">
        <v>1223</v>
      </c>
      <c r="B9" s="681" t="s">
        <v>346</v>
      </c>
      <c r="C9" s="319">
        <v>35.951212000000019</v>
      </c>
      <c r="D9" s="316">
        <v>15284.193816609015</v>
      </c>
      <c r="E9" s="317">
        <v>549485.29215000011</v>
      </c>
      <c r="F9" s="693">
        <v>154.48597699999999</v>
      </c>
      <c r="G9" s="693">
        <f>'[11]10'!G101</f>
        <v>0</v>
      </c>
      <c r="H9" s="693">
        <f>'[11]10'!H101</f>
        <v>0</v>
      </c>
      <c r="I9" s="693">
        <f>'[11]10'!I101</f>
        <v>0</v>
      </c>
      <c r="J9" s="693"/>
      <c r="K9" s="315"/>
      <c r="L9" s="318"/>
      <c r="M9" s="693"/>
      <c r="N9" s="318"/>
      <c r="O9" s="694">
        <v>16205.2663543695</v>
      </c>
      <c r="P9" s="318">
        <v>2503486.4053000002</v>
      </c>
      <c r="Q9" s="693">
        <v>72.305999999999997</v>
      </c>
      <c r="R9" s="694">
        <v>15830.812019334497</v>
      </c>
      <c r="S9" s="318">
        <v>1144662.6938700001</v>
      </c>
      <c r="T9" s="319">
        <v>89.837802999999994</v>
      </c>
      <c r="U9" s="318">
        <v>1439624.6264</v>
      </c>
      <c r="V9" s="695">
        <v>25.473494000000027</v>
      </c>
      <c r="W9" s="316">
        <v>16608.301207914385</v>
      </c>
      <c r="X9" s="317">
        <v>423071.46117000032</v>
      </c>
    </row>
    <row r="10" spans="1:24" s="240" customFormat="1" ht="14.25" hidden="1" customHeight="1">
      <c r="A10" s="173" t="s">
        <v>1224</v>
      </c>
      <c r="B10" s="170" t="s">
        <v>346</v>
      </c>
      <c r="C10" s="682"/>
      <c r="D10" s="683"/>
      <c r="E10" s="684"/>
      <c r="F10" s="693"/>
      <c r="G10" s="693">
        <f>'[11]10'!G102</f>
        <v>0</v>
      </c>
      <c r="H10" s="693">
        <f>'[11]10'!H102</f>
        <v>0</v>
      </c>
      <c r="I10" s="693">
        <f>'[11]10'!I102</f>
        <v>0</v>
      </c>
      <c r="J10" s="693"/>
      <c r="K10" s="171"/>
      <c r="L10" s="318"/>
      <c r="M10" s="693"/>
      <c r="N10" s="318"/>
      <c r="O10" s="694"/>
      <c r="P10" s="318"/>
      <c r="Q10" s="693">
        <v>70.38</v>
      </c>
      <c r="R10" s="694">
        <v>15814.748096050014</v>
      </c>
      <c r="S10" s="318">
        <v>1113041.9709999999</v>
      </c>
      <c r="T10" s="314"/>
      <c r="U10" s="314"/>
      <c r="V10" s="695">
        <v>25.473494000000027</v>
      </c>
      <c r="W10" s="316">
        <v>16608.301207914385</v>
      </c>
      <c r="X10" s="317">
        <v>423071.46117000032</v>
      </c>
    </row>
    <row r="11" spans="1:24" s="240" customFormat="1" ht="14.25" hidden="1" customHeight="1">
      <c r="A11" s="174" t="s">
        <v>1225</v>
      </c>
      <c r="B11" s="170" t="s">
        <v>346</v>
      </c>
      <c r="C11" s="682"/>
      <c r="D11" s="683"/>
      <c r="E11" s="684"/>
      <c r="F11" s="693"/>
      <c r="G11" s="693">
        <f>'[11]10'!G103</f>
        <v>0</v>
      </c>
      <c r="H11" s="693">
        <f>'[11]10'!H103</f>
        <v>0</v>
      </c>
      <c r="I11" s="693">
        <f>'[11]10'!I103</f>
        <v>0</v>
      </c>
      <c r="J11" s="693"/>
      <c r="K11" s="318"/>
      <c r="L11" s="318"/>
      <c r="M11" s="693"/>
      <c r="N11" s="318"/>
      <c r="O11" s="694"/>
      <c r="P11" s="318"/>
      <c r="Q11" s="693">
        <v>1.9259999999999999</v>
      </c>
      <c r="R11" s="694">
        <v>16417.820872274144</v>
      </c>
      <c r="S11" s="318">
        <v>31620.722999999998</v>
      </c>
      <c r="T11" s="313"/>
      <c r="U11" s="312"/>
      <c r="V11" s="695"/>
      <c r="W11" s="316"/>
      <c r="X11" s="317"/>
    </row>
    <row r="12" spans="1:24" s="240" customFormat="1" ht="14.25" hidden="1" customHeight="1">
      <c r="A12" s="680" t="s">
        <v>1223</v>
      </c>
      <c r="B12" s="685" t="s">
        <v>1226</v>
      </c>
      <c r="C12" s="319"/>
      <c r="D12" s="316"/>
      <c r="E12" s="317"/>
      <c r="F12" s="693">
        <v>298.12900000000002</v>
      </c>
      <c r="G12" s="693">
        <f>'[11]10'!G104</f>
        <v>0</v>
      </c>
      <c r="H12" s="693">
        <f>'[11]10'!H104</f>
        <v>0</v>
      </c>
      <c r="I12" s="693">
        <f>'[11]10'!I104</f>
        <v>0</v>
      </c>
      <c r="J12" s="693"/>
      <c r="K12" s="318"/>
      <c r="L12" s="318"/>
      <c r="M12" s="693"/>
      <c r="N12" s="318"/>
      <c r="O12" s="694">
        <v>4746.8815512747833</v>
      </c>
      <c r="P12" s="318">
        <v>1415183.05</v>
      </c>
      <c r="Q12" s="693">
        <v>298.12900000000002</v>
      </c>
      <c r="R12" s="694">
        <v>4746.8815512747833</v>
      </c>
      <c r="S12" s="318">
        <v>1415183.05</v>
      </c>
      <c r="T12" s="313"/>
      <c r="U12" s="312"/>
      <c r="V12" s="695"/>
      <c r="W12" s="316"/>
      <c r="X12" s="317"/>
    </row>
    <row r="13" spans="1:24" s="240" customFormat="1" ht="14.25" hidden="1" customHeight="1">
      <c r="A13" s="173" t="s">
        <v>1224</v>
      </c>
      <c r="B13" s="170" t="s">
        <v>1226</v>
      </c>
      <c r="C13" s="319"/>
      <c r="D13" s="316"/>
      <c r="E13" s="317"/>
      <c r="F13" s="693">
        <v>28.373999999999999</v>
      </c>
      <c r="G13" s="693">
        <f>'[11]10'!G105</f>
        <v>0</v>
      </c>
      <c r="H13" s="693">
        <f>'[11]10'!H105</f>
        <v>0</v>
      </c>
      <c r="I13" s="693">
        <f>'[11]10'!I105</f>
        <v>0</v>
      </c>
      <c r="J13" s="693"/>
      <c r="K13" s="318"/>
      <c r="L13" s="318"/>
      <c r="M13" s="693"/>
      <c r="N13" s="318"/>
      <c r="O13" s="694">
        <v>4854.6138718545153</v>
      </c>
      <c r="P13" s="318">
        <v>137744.81400000001</v>
      </c>
      <c r="Q13" s="693">
        <v>28.373999999999999</v>
      </c>
      <c r="R13" s="694">
        <v>4854.6138718545153</v>
      </c>
      <c r="S13" s="318">
        <v>137744.81400000001</v>
      </c>
      <c r="T13" s="313"/>
      <c r="U13" s="312"/>
      <c r="V13" s="695"/>
      <c r="W13" s="316"/>
      <c r="X13" s="317"/>
    </row>
    <row r="14" spans="1:24" s="240" customFormat="1" ht="14.25" hidden="1" customHeight="1">
      <c r="A14" s="173" t="s">
        <v>1227</v>
      </c>
      <c r="B14" s="170" t="s">
        <v>1226</v>
      </c>
      <c r="C14" s="319"/>
      <c r="D14" s="316"/>
      <c r="E14" s="317"/>
      <c r="F14" s="693">
        <v>269.755</v>
      </c>
      <c r="G14" s="693">
        <f>'[11]10'!G106</f>
        <v>0</v>
      </c>
      <c r="H14" s="693">
        <f>'[11]10'!H106</f>
        <v>0</v>
      </c>
      <c r="I14" s="693">
        <f>'[11]10'!I106</f>
        <v>0</v>
      </c>
      <c r="J14" s="693"/>
      <c r="K14" s="318"/>
      <c r="L14" s="318"/>
      <c r="M14" s="693"/>
      <c r="N14" s="318"/>
      <c r="O14" s="694">
        <v>4735.5497988915868</v>
      </c>
      <c r="P14" s="318">
        <v>1277438.236</v>
      </c>
      <c r="Q14" s="693">
        <v>269.755</v>
      </c>
      <c r="R14" s="694">
        <v>4735.5497988915868</v>
      </c>
      <c r="S14" s="318">
        <v>1277438.236</v>
      </c>
      <c r="T14" s="313"/>
      <c r="U14" s="312"/>
      <c r="V14" s="695"/>
      <c r="W14" s="316"/>
      <c r="X14" s="317"/>
    </row>
    <row r="15" spans="1:24" s="240" customFormat="1" ht="14.25" hidden="1" customHeight="1">
      <c r="A15" s="689" t="s">
        <v>1228</v>
      </c>
      <c r="B15" s="685" t="s">
        <v>1229</v>
      </c>
      <c r="C15" s="319">
        <v>0.17272600000000002</v>
      </c>
      <c r="D15" s="316">
        <v>21157.884568623136</v>
      </c>
      <c r="E15" s="320">
        <v>3654.5167700000002</v>
      </c>
      <c r="F15" s="693">
        <v>0.28538400000000003</v>
      </c>
      <c r="G15" s="693">
        <f>'[11]10'!G107</f>
        <v>0</v>
      </c>
      <c r="H15" s="693">
        <f>'[11]10'!H107</f>
        <v>0</v>
      </c>
      <c r="I15" s="693">
        <f>'[11]10'!I107</f>
        <v>0</v>
      </c>
      <c r="J15" s="693"/>
      <c r="K15" s="318"/>
      <c r="L15" s="318"/>
      <c r="M15" s="693"/>
      <c r="N15" s="318"/>
      <c r="O15" s="694">
        <v>27769.343134163089</v>
      </c>
      <c r="P15" s="318">
        <v>7924.9262209999997</v>
      </c>
      <c r="Q15" s="693">
        <v>0.27150000000000002</v>
      </c>
      <c r="R15" s="694">
        <v>25440.458968692448</v>
      </c>
      <c r="S15" s="318">
        <v>6907.0846099999999</v>
      </c>
      <c r="T15" s="313"/>
      <c r="U15" s="312"/>
      <c r="V15" s="695">
        <v>0.17163699999999998</v>
      </c>
      <c r="W15" s="316">
        <v>25108.88608516812</v>
      </c>
      <c r="X15" s="317">
        <v>4309.6138810000002</v>
      </c>
    </row>
    <row r="16" spans="1:24" s="240" customFormat="1" ht="14.25" hidden="1" customHeight="1">
      <c r="A16" s="1897" t="s">
        <v>1230</v>
      </c>
      <c r="B16" s="685" t="s">
        <v>1210</v>
      </c>
      <c r="C16" s="319">
        <v>2.3149999999999995</v>
      </c>
      <c r="D16" s="316">
        <v>4029.0142548596141</v>
      </c>
      <c r="E16" s="317">
        <v>9327.1680000000051</v>
      </c>
      <c r="F16" s="693">
        <v>9.8989999999999991</v>
      </c>
      <c r="G16" s="693">
        <f>'[11]10'!G108</f>
        <v>0</v>
      </c>
      <c r="H16" s="693">
        <f>'[11]10'!H108</f>
        <v>0</v>
      </c>
      <c r="I16" s="693">
        <f>'[11]10'!I108</f>
        <v>0</v>
      </c>
      <c r="J16" s="693"/>
      <c r="K16" s="318"/>
      <c r="L16" s="318"/>
      <c r="M16" s="693"/>
      <c r="N16" s="318"/>
      <c r="O16" s="694">
        <v>4673.1468835235883</v>
      </c>
      <c r="P16" s="318">
        <v>46259.481</v>
      </c>
      <c r="Q16" s="693">
        <v>9.5150000000000006</v>
      </c>
      <c r="R16" s="694">
        <v>4545.6071466106141</v>
      </c>
      <c r="S16" s="318">
        <v>43251.451999999997</v>
      </c>
      <c r="T16" s="313"/>
      <c r="U16" s="312"/>
      <c r="V16" s="695">
        <v>2.6230559999999983</v>
      </c>
      <c r="W16" s="316">
        <v>4586.5169939185498</v>
      </c>
      <c r="X16" s="317">
        <v>12030.690920000008</v>
      </c>
    </row>
    <row r="17" spans="1:24" s="240" customFormat="1" ht="14.25" hidden="1" customHeight="1">
      <c r="A17" s="1898"/>
      <c r="B17" s="685" t="s">
        <v>178</v>
      </c>
      <c r="C17" s="319">
        <v>3.179000000000002</v>
      </c>
      <c r="D17" s="316">
        <v>15215.53696130859</v>
      </c>
      <c r="E17" s="317">
        <v>48370.192000000039</v>
      </c>
      <c r="F17" s="693">
        <v>72.193658999999997</v>
      </c>
      <c r="G17" s="693">
        <f>'[11]10'!G109</f>
        <v>0</v>
      </c>
      <c r="H17" s="693">
        <f>'[11]10'!H109</f>
        <v>0</v>
      </c>
      <c r="I17" s="693">
        <f>'[11]10'!I109</f>
        <v>0</v>
      </c>
      <c r="J17" s="693"/>
      <c r="K17" s="318"/>
      <c r="L17" s="318"/>
      <c r="M17" s="693"/>
      <c r="N17" s="318"/>
      <c r="O17" s="694">
        <v>16105.875352986333</v>
      </c>
      <c r="P17" s="318">
        <v>1162742.0731299999</v>
      </c>
      <c r="Q17" s="693">
        <v>71.829469000000003</v>
      </c>
      <c r="R17" s="694">
        <v>16030.358274679715</v>
      </c>
      <c r="S17" s="318">
        <v>1151452.1227500001</v>
      </c>
      <c r="T17" s="313"/>
      <c r="U17" s="312"/>
      <c r="V17" s="695">
        <v>3.4843029999999957</v>
      </c>
      <c r="W17" s="316">
        <v>16872.024623002057</v>
      </c>
      <c r="X17" s="317">
        <v>58787.246009999864</v>
      </c>
    </row>
    <row r="18" spans="1:24" s="240" customFormat="1" ht="14.25" hidden="1" customHeight="1">
      <c r="A18" s="1903"/>
      <c r="B18" s="685" t="s">
        <v>1211</v>
      </c>
      <c r="C18" s="686"/>
      <c r="D18" s="687"/>
      <c r="E18" s="688"/>
      <c r="F18" s="693"/>
      <c r="G18" s="693">
        <f>'[11]10'!G110</f>
        <v>0</v>
      </c>
      <c r="H18" s="693">
        <f>'[11]10'!H110</f>
        <v>0</v>
      </c>
      <c r="I18" s="693">
        <f>'[11]10'!I110</f>
        <v>0</v>
      </c>
      <c r="J18" s="693"/>
      <c r="K18" s="318"/>
      <c r="L18" s="318"/>
      <c r="M18" s="693"/>
      <c r="N18" s="318"/>
      <c r="O18" s="694"/>
      <c r="P18" s="318"/>
      <c r="Q18" s="693"/>
      <c r="R18" s="694"/>
      <c r="S18" s="318"/>
      <c r="T18" s="313"/>
      <c r="U18" s="312"/>
      <c r="V18" s="695"/>
      <c r="W18" s="316"/>
      <c r="X18" s="317"/>
    </row>
    <row r="19" spans="1:24" s="240" customFormat="1" ht="14.25" hidden="1" customHeight="1">
      <c r="A19" s="689"/>
      <c r="B19" s="685"/>
      <c r="C19" s="690"/>
      <c r="D19" s="691"/>
      <c r="E19" s="692"/>
      <c r="F19" s="693"/>
      <c r="G19" s="693">
        <f>'[11]10'!G111</f>
        <v>0</v>
      </c>
      <c r="H19" s="693">
        <f>'[11]10'!H111</f>
        <v>0</v>
      </c>
      <c r="I19" s="693">
        <f>'[11]10'!I111</f>
        <v>0</v>
      </c>
      <c r="J19" s="693"/>
      <c r="K19" s="318"/>
      <c r="L19" s="318"/>
      <c r="M19" s="693"/>
      <c r="N19" s="318"/>
      <c r="O19" s="694"/>
      <c r="P19" s="318"/>
      <c r="Q19" s="693"/>
      <c r="R19" s="694"/>
      <c r="S19" s="318"/>
      <c r="T19" s="313"/>
      <c r="U19" s="312"/>
      <c r="V19" s="695"/>
      <c r="W19" s="316"/>
      <c r="X19" s="317"/>
    </row>
    <row r="20" spans="1:24" s="240" customFormat="1" ht="14.25" hidden="1" customHeight="1" thickBot="1">
      <c r="A20" s="696" t="s">
        <v>435</v>
      </c>
      <c r="B20" s="697"/>
      <c r="C20" s="698">
        <f>C9+C12+C15+C16+C17</f>
        <v>41.617938000000017</v>
      </c>
      <c r="D20" s="701">
        <f>ROUND(E20/C20,2)</f>
        <v>14677.26</v>
      </c>
      <c r="E20" s="700">
        <f>E9+E12+E15+E16+E17</f>
        <v>610837.16892000008</v>
      </c>
      <c r="F20" s="698">
        <f>F9+F12+F15+F16+F17+F18</f>
        <v>534.99302</v>
      </c>
      <c r="G20" s="693">
        <f>'[11]10'!G113</f>
        <v>0</v>
      </c>
      <c r="H20" s="693">
        <f>'[11]10'!H113</f>
        <v>0</v>
      </c>
      <c r="I20" s="693">
        <f>'[11]10'!I113</f>
        <v>0</v>
      </c>
      <c r="J20" s="693"/>
      <c r="K20" s="318"/>
      <c r="L20" s="318"/>
      <c r="M20" s="693"/>
      <c r="N20" s="318"/>
      <c r="O20" s="701">
        <f>ROUND(P20/F20,2)</f>
        <v>9599.3700000000008</v>
      </c>
      <c r="P20" s="700">
        <f>P9+P12+P15+P16+P17+P18</f>
        <v>5135595.9356510006</v>
      </c>
      <c r="Q20" s="698">
        <f>Q9+Q12+Q15+Q16+Q17+Q18</f>
        <v>452.05096900000001</v>
      </c>
      <c r="R20" s="701">
        <f>ROUND(S20/Q20,2)</f>
        <v>8320.8700000000008</v>
      </c>
      <c r="S20" s="700">
        <f>S9+S12+S15+S16+S17+S18</f>
        <v>3761456.4032300003</v>
      </c>
      <c r="T20" s="698">
        <f>T9+T12+T15+T16+T17+T18</f>
        <v>89.837802999999994</v>
      </c>
      <c r="U20" s="700">
        <f>U9+U12+U15+U16+U17+U18</f>
        <v>1439624.6264</v>
      </c>
      <c r="V20" s="698">
        <f>V9+V12+V15+V16+V17</f>
        <v>31.752490000000023</v>
      </c>
      <c r="W20" s="701">
        <f>ROUND(X20/V20,2)</f>
        <v>15690.08</v>
      </c>
      <c r="X20" s="700">
        <f>X9+X12+X15+X16+X17</f>
        <v>498199.01198100025</v>
      </c>
    </row>
    <row r="21" spans="1:24" ht="14.25" hidden="1" customHeight="1" outlineLevel="1">
      <c r="A21" s="1900" t="s">
        <v>1129</v>
      </c>
      <c r="B21" s="1901"/>
      <c r="C21" s="1901"/>
      <c r="D21" s="1901"/>
      <c r="E21" s="1901"/>
      <c r="F21" s="1901"/>
      <c r="G21" s="1901"/>
      <c r="H21" s="1901"/>
      <c r="I21" s="1901"/>
      <c r="J21" s="1901"/>
      <c r="K21" s="1901"/>
      <c r="L21" s="1901"/>
      <c r="M21" s="1901"/>
      <c r="N21" s="1901"/>
      <c r="O21" s="1901"/>
      <c r="P21" s="1901"/>
      <c r="Q21" s="1901"/>
      <c r="R21" s="1901"/>
      <c r="S21" s="1901"/>
      <c r="T21" s="1901"/>
      <c r="U21" s="1901"/>
      <c r="V21" s="1901"/>
      <c r="W21" s="1901"/>
      <c r="X21" s="1902"/>
    </row>
    <row r="22" spans="1:24" hidden="1" outlineLevel="1">
      <c r="A22" s="680" t="s">
        <v>1223</v>
      </c>
      <c r="B22" s="681" t="s">
        <v>346</v>
      </c>
      <c r="C22" s="319">
        <v>30.001212000000024</v>
      </c>
      <c r="D22" s="316">
        <v>15627.390725081361</v>
      </c>
      <c r="E22" s="317">
        <v>468840.66214999999</v>
      </c>
      <c r="F22" s="693">
        <v>4.6978102189781019</v>
      </c>
      <c r="G22" s="693">
        <f>'[11]10'!G114</f>
        <v>0</v>
      </c>
      <c r="H22" s="693">
        <f>'[11]10'!H114</f>
        <v>0</v>
      </c>
      <c r="I22" s="693">
        <f>'[11]10'!I114</f>
        <v>0</v>
      </c>
      <c r="J22" s="693"/>
      <c r="K22" s="315"/>
      <c r="L22" s="318"/>
      <c r="M22" s="693"/>
      <c r="N22" s="318"/>
      <c r="O22" s="694">
        <v>15865.222263890635</v>
      </c>
      <c r="P22" s="318">
        <v>74531.803277664323</v>
      </c>
      <c r="Q22" s="693">
        <v>4.6978102189781019</v>
      </c>
      <c r="R22" s="694">
        <v>15652.669125810649</v>
      </c>
      <c r="S22" s="318">
        <v>73533.2689735163</v>
      </c>
      <c r="T22" s="319"/>
      <c r="U22" s="321"/>
      <c r="V22" s="695">
        <v>30.001212000000027</v>
      </c>
      <c r="W22" s="316">
        <v>15652.669125810649</v>
      </c>
      <c r="X22" s="317">
        <v>469599.04480930039</v>
      </c>
    </row>
    <row r="23" spans="1:24" hidden="1" outlineLevel="1">
      <c r="A23" s="173" t="s">
        <v>1224</v>
      </c>
      <c r="B23" s="170" t="s">
        <v>346</v>
      </c>
      <c r="C23" s="682"/>
      <c r="D23" s="683"/>
      <c r="E23" s="684"/>
      <c r="F23" s="693">
        <v>4.6978102189781019</v>
      </c>
      <c r="G23" s="693">
        <f>'[11]10'!G115</f>
        <v>0</v>
      </c>
      <c r="H23" s="693">
        <f>'[11]10'!H115</f>
        <v>0</v>
      </c>
      <c r="I23" s="693">
        <f>'[11]10'!I115</f>
        <v>0</v>
      </c>
      <c r="J23" s="693"/>
      <c r="K23" s="171"/>
      <c r="L23" s="318"/>
      <c r="M23" s="693"/>
      <c r="N23" s="318"/>
      <c r="O23" s="694">
        <v>15865.222263890635</v>
      </c>
      <c r="P23" s="318">
        <v>74531.803277664323</v>
      </c>
      <c r="Q23" s="693">
        <v>4.6978102189781019</v>
      </c>
      <c r="R23" s="694">
        <v>15652.669125810649</v>
      </c>
      <c r="S23" s="318">
        <v>73533.2689735163</v>
      </c>
      <c r="T23" s="314"/>
      <c r="U23" s="314"/>
      <c r="V23" s="695"/>
      <c r="W23" s="316"/>
      <c r="X23" s="317"/>
    </row>
    <row r="24" spans="1:24" hidden="1">
      <c r="A24" s="174" t="s">
        <v>1225</v>
      </c>
      <c r="B24" s="170" t="s">
        <v>346</v>
      </c>
      <c r="C24" s="682"/>
      <c r="D24" s="683"/>
      <c r="E24" s="684"/>
      <c r="F24" s="693">
        <v>0</v>
      </c>
      <c r="G24" s="693">
        <f>'[11]10'!G116</f>
        <v>0</v>
      </c>
      <c r="H24" s="693">
        <f>'[11]10'!H116</f>
        <v>0</v>
      </c>
      <c r="I24" s="693">
        <f>'[11]10'!I116</f>
        <v>0</v>
      </c>
      <c r="J24" s="693"/>
      <c r="K24" s="318"/>
      <c r="L24" s="318"/>
      <c r="M24" s="693"/>
      <c r="N24" s="318"/>
      <c r="O24" s="694"/>
      <c r="P24" s="318"/>
      <c r="Q24" s="693">
        <v>0</v>
      </c>
      <c r="R24" s="694"/>
      <c r="S24" s="318"/>
      <c r="T24" s="313"/>
      <c r="U24" s="312"/>
      <c r="V24" s="695"/>
      <c r="W24" s="316"/>
      <c r="X24" s="317"/>
    </row>
    <row r="25" spans="1:24" hidden="1">
      <c r="A25" s="680" t="s">
        <v>1223</v>
      </c>
      <c r="B25" s="685" t="s">
        <v>1226</v>
      </c>
      <c r="C25" s="319"/>
      <c r="D25" s="316"/>
      <c r="E25" s="317"/>
      <c r="F25" s="693">
        <v>390.35341009743132</v>
      </c>
      <c r="G25" s="693">
        <f>'[11]10'!G117</f>
        <v>0</v>
      </c>
      <c r="H25" s="693">
        <f>'[11]10'!H117</f>
        <v>0</v>
      </c>
      <c r="I25" s="693">
        <f>'[11]10'!I117</f>
        <v>0</v>
      </c>
      <c r="J25" s="693"/>
      <c r="K25" s="318"/>
      <c r="L25" s="318"/>
      <c r="M25" s="693"/>
      <c r="N25" s="318"/>
      <c r="O25" s="694">
        <v>5537.46805715336</v>
      </c>
      <c r="P25" s="318">
        <v>2161569.5394154117</v>
      </c>
      <c r="Q25" s="693">
        <v>390.35341009743132</v>
      </c>
      <c r="R25" s="694">
        <v>5537.46805715336</v>
      </c>
      <c r="S25" s="318">
        <v>2161569.5394154117</v>
      </c>
      <c r="T25" s="313"/>
      <c r="U25" s="312"/>
      <c r="V25" s="695"/>
      <c r="W25" s="316"/>
      <c r="X25" s="317"/>
    </row>
    <row r="26" spans="1:24" hidden="1">
      <c r="A26" s="173" t="s">
        <v>1224</v>
      </c>
      <c r="B26" s="170" t="s">
        <v>1226</v>
      </c>
      <c r="C26" s="319"/>
      <c r="D26" s="316"/>
      <c r="E26" s="317"/>
      <c r="F26" s="693">
        <v>107.81310894596987</v>
      </c>
      <c r="G26" s="693">
        <f>'[11]10'!G118</f>
        <v>0</v>
      </c>
      <c r="H26" s="693">
        <f>'[11]10'!H118</f>
        <v>0</v>
      </c>
      <c r="I26" s="693">
        <f>'[11]10'!I118</f>
        <v>0</v>
      </c>
      <c r="J26" s="693"/>
      <c r="K26" s="318"/>
      <c r="L26" s="318"/>
      <c r="M26" s="693"/>
      <c r="N26" s="318"/>
      <c r="O26" s="694">
        <v>5555.902720155108</v>
      </c>
      <c r="P26" s="318">
        <v>598999.14526129304</v>
      </c>
      <c r="Q26" s="693">
        <v>107.81310894596987</v>
      </c>
      <c r="R26" s="694">
        <v>5555.902720155108</v>
      </c>
      <c r="S26" s="318">
        <v>598999.14526129304</v>
      </c>
      <c r="T26" s="313"/>
      <c r="U26" s="312"/>
      <c r="V26" s="695"/>
      <c r="W26" s="316"/>
      <c r="X26" s="317"/>
    </row>
    <row r="27" spans="1:24" hidden="1">
      <c r="A27" s="173" t="s">
        <v>1227</v>
      </c>
      <c r="B27" s="170" t="s">
        <v>1226</v>
      </c>
      <c r="C27" s="319"/>
      <c r="D27" s="316"/>
      <c r="E27" s="317"/>
      <c r="F27" s="693">
        <v>282.54030115146145</v>
      </c>
      <c r="G27" s="693">
        <f>'[11]10'!G119</f>
        <v>0</v>
      </c>
      <c r="H27" s="693">
        <f>'[11]10'!H119</f>
        <v>0</v>
      </c>
      <c r="I27" s="693">
        <f>'[11]10'!I119</f>
        <v>0</v>
      </c>
      <c r="J27" s="693"/>
      <c r="K27" s="318"/>
      <c r="L27" s="318"/>
      <c r="M27" s="693"/>
      <c r="N27" s="318"/>
      <c r="O27" s="694">
        <v>5530.4336683511619</v>
      </c>
      <c r="P27" s="318">
        <v>1562570.3941541188</v>
      </c>
      <c r="Q27" s="693">
        <v>282.54030115146145</v>
      </c>
      <c r="R27" s="694">
        <v>5530.4336683511619</v>
      </c>
      <c r="S27" s="318">
        <v>1562570.3941541188</v>
      </c>
      <c r="T27" s="313"/>
      <c r="U27" s="312"/>
      <c r="V27" s="695"/>
      <c r="W27" s="316"/>
      <c r="X27" s="317"/>
    </row>
    <row r="28" spans="1:24" ht="14.25" hidden="1" customHeight="1">
      <c r="A28" s="689" t="s">
        <v>1228</v>
      </c>
      <c r="B28" s="685" t="s">
        <v>1229</v>
      </c>
      <c r="C28" s="319">
        <v>0.19479496551724143</v>
      </c>
      <c r="D28" s="316">
        <v>23755.714130188877</v>
      </c>
      <c r="E28" s="320">
        <v>4627.4935148275872</v>
      </c>
      <c r="F28" s="693">
        <v>0.10482758620689656</v>
      </c>
      <c r="G28" s="693">
        <f>'[11]10'!G120</f>
        <v>0</v>
      </c>
      <c r="H28" s="693">
        <f>'[11]10'!H120</f>
        <v>0</v>
      </c>
      <c r="I28" s="693">
        <f>'[11]10'!I120</f>
        <v>0</v>
      </c>
      <c r="J28" s="693"/>
      <c r="K28" s="318"/>
      <c r="L28" s="318"/>
      <c r="M28" s="693"/>
      <c r="N28" s="318"/>
      <c r="O28" s="694">
        <v>26774.824511160001</v>
      </c>
      <c r="P28" s="318">
        <v>2806.7402246181518</v>
      </c>
      <c r="Q28" s="693">
        <v>0.10482758620689656</v>
      </c>
      <c r="R28" s="694">
        <v>24648.059979363683</v>
      </c>
      <c r="S28" s="318">
        <v>2583.7966323195033</v>
      </c>
      <c r="T28" s="313"/>
      <c r="U28" s="312"/>
      <c r="V28" s="695">
        <v>0.19479496551724143</v>
      </c>
      <c r="W28" s="316">
        <v>24648.059979363683</v>
      </c>
      <c r="X28" s="317">
        <v>4801.3179937470468</v>
      </c>
    </row>
    <row r="29" spans="1:24" ht="14.25" hidden="1" customHeight="1" outlineLevel="1">
      <c r="A29" s="1897" t="s">
        <v>1230</v>
      </c>
      <c r="B29" s="685" t="s">
        <v>1210</v>
      </c>
      <c r="C29" s="319">
        <v>1.1539999999999981</v>
      </c>
      <c r="D29" s="316">
        <v>4621.5468977469836</v>
      </c>
      <c r="E29" s="317">
        <v>5333.2651200000109</v>
      </c>
      <c r="F29" s="693">
        <v>14.998529411764705</v>
      </c>
      <c r="G29" s="693">
        <f>'[11]10'!G121</f>
        <v>0</v>
      </c>
      <c r="H29" s="693">
        <f>'[11]10'!H121</f>
        <v>0</v>
      </c>
      <c r="I29" s="693">
        <f>'[11]10'!I121</f>
        <v>0</v>
      </c>
      <c r="J29" s="693"/>
      <c r="K29" s="318"/>
      <c r="L29" s="318"/>
      <c r="M29" s="693"/>
      <c r="N29" s="318"/>
      <c r="O29" s="694">
        <v>4416.7705757494305</v>
      </c>
      <c r="P29" s="318">
        <v>66245.063385394766</v>
      </c>
      <c r="Q29" s="693">
        <v>14.998529411764705</v>
      </c>
      <c r="R29" s="694">
        <v>4426.389919619005</v>
      </c>
      <c r="S29" s="318">
        <v>66389.339397344462</v>
      </c>
      <c r="T29" s="313"/>
      <c r="U29" s="312"/>
      <c r="V29" s="695">
        <v>1.1539999999999981</v>
      </c>
      <c r="W29" s="316">
        <v>4426.389919619005</v>
      </c>
      <c r="X29" s="317">
        <v>5108.0539672403238</v>
      </c>
    </row>
    <row r="30" spans="1:24" ht="14.25" hidden="1" customHeight="1" outlineLevel="1">
      <c r="A30" s="1898"/>
      <c r="B30" s="685" t="s">
        <v>178</v>
      </c>
      <c r="C30" s="319">
        <v>3.4909999999999997</v>
      </c>
      <c r="D30" s="316">
        <v>15683.208599255244</v>
      </c>
      <c r="E30" s="317">
        <v>54750.081220000051</v>
      </c>
      <c r="F30" s="693">
        <v>60.938947649635033</v>
      </c>
      <c r="G30" s="693">
        <f>'[11]10'!G122</f>
        <v>0</v>
      </c>
      <c r="H30" s="693">
        <f>'[11]10'!H122</f>
        <v>0</v>
      </c>
      <c r="I30" s="693">
        <f>'[11]10'!I122</f>
        <v>0</v>
      </c>
      <c r="J30" s="693"/>
      <c r="K30" s="318"/>
      <c r="L30" s="318"/>
      <c r="M30" s="693"/>
      <c r="N30" s="318"/>
      <c r="O30" s="694">
        <v>15865.222263890635</v>
      </c>
      <c r="P30" s="318">
        <v>966809.94898905559</v>
      </c>
      <c r="Q30" s="693">
        <v>60.938947649635033</v>
      </c>
      <c r="R30" s="694">
        <v>15854.916274196952</v>
      </c>
      <c r="S30" s="318">
        <v>966181.91282263456</v>
      </c>
      <c r="T30" s="313"/>
      <c r="U30" s="312"/>
      <c r="V30" s="695">
        <v>3.4910000000000068</v>
      </c>
      <c r="W30" s="316">
        <v>15854.916274196952</v>
      </c>
      <c r="X30" s="317">
        <v>55349.512713221666</v>
      </c>
    </row>
    <row r="31" spans="1:24" ht="14.25" hidden="1" customHeight="1" outlineLevel="1">
      <c r="A31" s="1903"/>
      <c r="B31" s="685" t="s">
        <v>1211</v>
      </c>
      <c r="C31" s="686"/>
      <c r="D31" s="687"/>
      <c r="E31" s="688"/>
      <c r="F31" s="693">
        <v>10.068044924712135</v>
      </c>
      <c r="G31" s="693">
        <f>'[11]10'!G123</f>
        <v>0</v>
      </c>
      <c r="H31" s="693">
        <f>'[11]10'!H123</f>
        <v>0</v>
      </c>
      <c r="I31" s="693">
        <f>'[11]10'!I123</f>
        <v>0</v>
      </c>
      <c r="J31" s="693"/>
      <c r="K31" s="318"/>
      <c r="L31" s="318"/>
      <c r="M31" s="693"/>
      <c r="N31" s="318"/>
      <c r="O31" s="694">
        <v>5688.0122794551689</v>
      </c>
      <c r="P31" s="318">
        <v>57267.163161868913</v>
      </c>
      <c r="Q31" s="693">
        <v>10.068044924712135</v>
      </c>
      <c r="R31" s="694">
        <v>5688.0122794551689</v>
      </c>
      <c r="S31" s="318">
        <v>57267.163161868913</v>
      </c>
      <c r="T31" s="313"/>
      <c r="U31" s="312"/>
      <c r="V31" s="695"/>
      <c r="W31" s="316"/>
      <c r="X31" s="317"/>
    </row>
    <row r="32" spans="1:24" ht="14.25" hidden="1" customHeight="1">
      <c r="A32" s="689"/>
      <c r="B32" s="685"/>
      <c r="C32" s="690"/>
      <c r="D32" s="691"/>
      <c r="E32" s="692"/>
      <c r="F32" s="693"/>
      <c r="G32" s="693">
        <f>'[11]10'!G124</f>
        <v>0</v>
      </c>
      <c r="H32" s="693">
        <f>'[11]10'!H124</f>
        <v>0</v>
      </c>
      <c r="I32" s="693">
        <f>'[11]10'!I124</f>
        <v>0</v>
      </c>
      <c r="J32" s="693"/>
      <c r="K32" s="318"/>
      <c r="L32" s="318"/>
      <c r="M32" s="693"/>
      <c r="N32" s="318"/>
      <c r="O32" s="694"/>
      <c r="P32" s="318"/>
      <c r="Q32" s="693"/>
      <c r="R32" s="694"/>
      <c r="S32" s="318"/>
      <c r="T32" s="313"/>
      <c r="U32" s="312"/>
      <c r="V32" s="695"/>
      <c r="W32" s="316"/>
      <c r="X32" s="317"/>
    </row>
    <row r="33" spans="1:24" ht="14.25" hidden="1" customHeight="1" thickBot="1">
      <c r="A33" s="696" t="s">
        <v>435</v>
      </c>
      <c r="B33" s="697"/>
      <c r="C33" s="698">
        <f>C22+C25+C28+C29+C30</f>
        <v>34.841006965517266</v>
      </c>
      <c r="D33" s="701">
        <f>ROUND(E33/C33,2)</f>
        <v>15313.89</v>
      </c>
      <c r="E33" s="700">
        <f>E22+E25+E28+E29+E30</f>
        <v>533551.50200482761</v>
      </c>
      <c r="F33" s="698">
        <f>F22+F25+F28+F29+F30+F31</f>
        <v>481.1615698887282</v>
      </c>
      <c r="G33" s="693">
        <f>'[11]10'!G126</f>
        <v>0</v>
      </c>
      <c r="H33" s="693">
        <f>'[11]10'!H126</f>
        <v>0</v>
      </c>
      <c r="I33" s="693">
        <f>'[11]10'!I126</f>
        <v>0</v>
      </c>
      <c r="J33" s="693"/>
      <c r="K33" s="318"/>
      <c r="L33" s="318"/>
      <c r="M33" s="693"/>
      <c r="N33" s="318"/>
      <c r="O33" s="701">
        <f>ROUND(P33/F33,2)</f>
        <v>6919.15</v>
      </c>
      <c r="P33" s="700">
        <f>P22+P25+P28+P29+P30+P31</f>
        <v>3329230.2584540132</v>
      </c>
      <c r="Q33" s="698">
        <f>Q22+Q25+Q28+Q29+Q30+Q31</f>
        <v>481.1615698887282</v>
      </c>
      <c r="R33" s="701">
        <f>ROUND(S33/Q33,2)</f>
        <v>6915.61</v>
      </c>
      <c r="S33" s="700">
        <f>S22+S25+S28+S29+S30+S31</f>
        <v>3327525.0204030951</v>
      </c>
      <c r="T33" s="313"/>
      <c r="U33" s="312"/>
      <c r="V33" s="698">
        <f>V22+V25+V28+V29+V30</f>
        <v>34.841006965517273</v>
      </c>
      <c r="W33" s="699">
        <f>ROUND(X33/V33,2)</f>
        <v>15351.39</v>
      </c>
      <c r="X33" s="700">
        <f>X22+X25+X28+X29+X30</f>
        <v>534857.92948350951</v>
      </c>
    </row>
    <row r="34" spans="1:24" ht="14.25" hidden="1" customHeight="1" outlineLevel="1">
      <c r="A34" s="1900" t="s">
        <v>1130</v>
      </c>
      <c r="B34" s="1901"/>
      <c r="C34" s="1901"/>
      <c r="D34" s="1901"/>
      <c r="E34" s="1901"/>
      <c r="F34" s="1901"/>
      <c r="G34" s="1901"/>
      <c r="H34" s="1901"/>
      <c r="I34" s="1901"/>
      <c r="J34" s="1901"/>
      <c r="K34" s="1901"/>
      <c r="L34" s="1901"/>
      <c r="M34" s="1901"/>
      <c r="N34" s="1901"/>
      <c r="O34" s="1901"/>
      <c r="P34" s="1901"/>
      <c r="Q34" s="1901"/>
      <c r="R34" s="1901"/>
      <c r="S34" s="1901"/>
      <c r="T34" s="1901"/>
      <c r="U34" s="1901"/>
      <c r="V34" s="1901"/>
      <c r="W34" s="1901"/>
      <c r="X34" s="1902"/>
    </row>
    <row r="35" spans="1:24" hidden="1">
      <c r="A35" s="680" t="s">
        <v>1223</v>
      </c>
      <c r="B35" s="681" t="s">
        <v>346</v>
      </c>
      <c r="C35" s="319">
        <f>V9</f>
        <v>25.473494000000027</v>
      </c>
      <c r="D35" s="316">
        <f>W9</f>
        <v>16608.301207914385</v>
      </c>
      <c r="E35" s="317">
        <f>X9</f>
        <v>423071.46117000032</v>
      </c>
      <c r="F35" s="693">
        <v>107.89973500000001</v>
      </c>
      <c r="G35" s="693">
        <f>'[11]10'!G127</f>
        <v>0</v>
      </c>
      <c r="H35" s="693">
        <f>'[11]10'!H127</f>
        <v>0</v>
      </c>
      <c r="I35" s="693">
        <f>'[11]10'!I127</f>
        <v>0</v>
      </c>
      <c r="J35" s="693"/>
      <c r="K35" s="170"/>
      <c r="L35" s="318"/>
      <c r="M35" s="693"/>
      <c r="N35" s="318"/>
      <c r="O35" s="694">
        <f>P35/F35</f>
        <v>16670.184345865167</v>
      </c>
      <c r="P35" s="318">
        <v>1798708.4733200001</v>
      </c>
      <c r="Q35" s="693">
        <f>' 4.4-КТЭЦ_комбинир.'!E142</f>
        <v>3.831</v>
      </c>
      <c r="R35" s="677">
        <f>S35/Q35</f>
        <v>15729.911816758027</v>
      </c>
      <c r="S35" s="676">
        <f>S36+S37</f>
        <v>60261.292170000001</v>
      </c>
      <c r="T35" s="319">
        <v>81.242817000000002</v>
      </c>
      <c r="U35" s="676">
        <v>1347950.82323</v>
      </c>
      <c r="V35" s="319">
        <v>23.436593999999999</v>
      </c>
      <c r="W35" s="316">
        <f>X35/V35</f>
        <v>16676.013517578536</v>
      </c>
      <c r="X35" s="317">
        <v>390828.95834999997</v>
      </c>
    </row>
    <row r="36" spans="1:24" ht="14.25" hidden="1" customHeight="1">
      <c r="A36" s="173" t="s">
        <v>1224</v>
      </c>
      <c r="B36" s="170" t="s">
        <v>346</v>
      </c>
      <c r="C36" s="319">
        <f t="shared" ref="C36:E36" si="0">V10</f>
        <v>25.473494000000027</v>
      </c>
      <c r="D36" s="316">
        <f t="shared" si="0"/>
        <v>16608.301207914385</v>
      </c>
      <c r="E36" s="317">
        <f t="shared" si="0"/>
        <v>423071.46117000032</v>
      </c>
      <c r="F36" s="702"/>
      <c r="G36" s="693">
        <f>'[11]10'!G128</f>
        <v>0</v>
      </c>
      <c r="H36" s="693">
        <f>'[11]10'!H128</f>
        <v>0</v>
      </c>
      <c r="I36" s="693">
        <f>'[11]10'!I128</f>
        <v>0</v>
      </c>
      <c r="J36" s="693"/>
      <c r="K36" s="171"/>
      <c r="L36" s="318"/>
      <c r="M36" s="693"/>
      <c r="N36" s="318"/>
      <c r="O36" s="694"/>
      <c r="P36" s="703"/>
      <c r="Q36" s="702">
        <v>1.51</v>
      </c>
      <c r="R36" s="677">
        <f t="shared" ref="R36:R37" si="1">S36/Q36</f>
        <v>15992.465509933776</v>
      </c>
      <c r="S36" s="918">
        <v>24148.622920000002</v>
      </c>
      <c r="T36" s="314"/>
      <c r="U36" s="314"/>
      <c r="V36" s="695"/>
      <c r="W36" s="316"/>
      <c r="X36" s="704"/>
    </row>
    <row r="37" spans="1:24" ht="14.25" hidden="1" customHeight="1">
      <c r="A37" s="174" t="s">
        <v>1225</v>
      </c>
      <c r="B37" s="170" t="s">
        <v>346</v>
      </c>
      <c r="C37" s="319"/>
      <c r="D37" s="316"/>
      <c r="E37" s="317"/>
      <c r="F37" s="702"/>
      <c r="G37" s="693">
        <f>'[11]10'!G129</f>
        <v>0</v>
      </c>
      <c r="H37" s="693">
        <f>'[11]10'!H129</f>
        <v>0</v>
      </c>
      <c r="I37" s="693">
        <f>'[11]10'!I129</f>
        <v>0</v>
      </c>
      <c r="J37" s="693"/>
      <c r="K37" s="318"/>
      <c r="L37" s="318"/>
      <c r="M37" s="693"/>
      <c r="N37" s="318"/>
      <c r="O37" s="694"/>
      <c r="P37" s="703"/>
      <c r="Q37" s="702">
        <v>2.3210000000000002</v>
      </c>
      <c r="R37" s="677">
        <f t="shared" si="1"/>
        <v>15559.09920292977</v>
      </c>
      <c r="S37" s="918">
        <v>36112.669249999999</v>
      </c>
      <c r="T37" s="313"/>
      <c r="U37" s="312"/>
      <c r="V37" s="695"/>
      <c r="W37" s="316"/>
      <c r="X37" s="704"/>
    </row>
    <row r="38" spans="1:24" ht="14.25" hidden="1" customHeight="1" outlineLevel="1">
      <c r="A38" s="680" t="s">
        <v>1223</v>
      </c>
      <c r="B38" s="685" t="s">
        <v>1226</v>
      </c>
      <c r="C38" s="319"/>
      <c r="D38" s="316"/>
      <c r="E38" s="317"/>
      <c r="F38" s="693">
        <f>F39+F40</f>
        <v>361.629076</v>
      </c>
      <c r="G38" s="693">
        <f>'[11]10'!G130</f>
        <v>0</v>
      </c>
      <c r="H38" s="693">
        <f>'[11]10'!H130</f>
        <v>0</v>
      </c>
      <c r="I38" s="693">
        <f>'[11]10'!I130</f>
        <v>0</v>
      </c>
      <c r="J38" s="693"/>
      <c r="K38" s="318"/>
      <c r="L38" s="318"/>
      <c r="M38" s="693"/>
      <c r="N38" s="318"/>
      <c r="O38" s="694">
        <f>P38/F38</f>
        <v>5700.6560352188053</v>
      </c>
      <c r="P38" s="318">
        <f>P39+P40</f>
        <v>2061522.9746099999</v>
      </c>
      <c r="Q38" s="693">
        <f>' 4.4-КТЭЦ_комбинир.'!E146</f>
        <v>361.62900000000002</v>
      </c>
      <c r="R38" s="677">
        <f>ROUND((E38+P38)/(C38+F38),2)</f>
        <v>5700.66</v>
      </c>
      <c r="S38" s="676">
        <f>ROUND(Q38*R38,0)</f>
        <v>2061524</v>
      </c>
      <c r="T38" s="313"/>
      <c r="U38" s="312"/>
      <c r="V38" s="695"/>
      <c r="W38" s="316"/>
      <c r="X38" s="317"/>
    </row>
    <row r="39" spans="1:24" ht="14.25" hidden="1" customHeight="1" outlineLevel="1">
      <c r="A39" s="173" t="s">
        <v>1224</v>
      </c>
      <c r="B39" s="170" t="s">
        <v>1226</v>
      </c>
      <c r="C39" s="319"/>
      <c r="D39" s="316"/>
      <c r="E39" s="317"/>
      <c r="F39" s="702">
        <v>106.28465300000001</v>
      </c>
      <c r="G39" s="693">
        <f>'[11]10'!G131</f>
        <v>0</v>
      </c>
      <c r="H39" s="693">
        <f>'[11]10'!H131</f>
        <v>0</v>
      </c>
      <c r="I39" s="693">
        <f>'[11]10'!I131</f>
        <v>0</v>
      </c>
      <c r="J39" s="693"/>
      <c r="K39" s="318"/>
      <c r="L39" s="318"/>
      <c r="M39" s="693"/>
      <c r="N39" s="318"/>
      <c r="O39" s="694">
        <f t="shared" ref="O39:O44" si="2">P39/F39</f>
        <v>5744.7401425867192</v>
      </c>
      <c r="P39" s="703">
        <v>610577.71262999997</v>
      </c>
      <c r="Q39" s="702">
        <f>F39</f>
        <v>106.28465300000001</v>
      </c>
      <c r="R39" s="694">
        <f>O39</f>
        <v>5744.7401425867192</v>
      </c>
      <c r="S39" s="676">
        <f>P39</f>
        <v>610577.71262999997</v>
      </c>
      <c r="T39" s="313"/>
      <c r="U39" s="312"/>
      <c r="V39" s="695"/>
      <c r="W39" s="316"/>
      <c r="X39" s="317"/>
    </row>
    <row r="40" spans="1:24" ht="14.25" hidden="1" customHeight="1" outlineLevel="1">
      <c r="A40" s="173" t="s">
        <v>1227</v>
      </c>
      <c r="B40" s="170" t="s">
        <v>1226</v>
      </c>
      <c r="C40" s="319"/>
      <c r="D40" s="316"/>
      <c r="E40" s="317"/>
      <c r="F40" s="702">
        <v>255.34442300000001</v>
      </c>
      <c r="G40" s="693">
        <f>'[11]10'!G132</f>
        <v>0</v>
      </c>
      <c r="H40" s="693">
        <f>'[11]10'!H132</f>
        <v>0</v>
      </c>
      <c r="I40" s="693">
        <f>'[11]10'!I132</f>
        <v>0</v>
      </c>
      <c r="J40" s="693"/>
      <c r="K40" s="318"/>
      <c r="L40" s="318"/>
      <c r="M40" s="693"/>
      <c r="N40" s="318"/>
      <c r="O40" s="694">
        <f t="shared" si="2"/>
        <v>5682.3064507659128</v>
      </c>
      <c r="P40" s="703">
        <v>1450945.26198</v>
      </c>
      <c r="Q40" s="702">
        <f>F40</f>
        <v>255.34442300000001</v>
      </c>
      <c r="R40" s="694">
        <f>O40</f>
        <v>5682.3064507659128</v>
      </c>
      <c r="S40" s="676">
        <f>P40</f>
        <v>1450945.26198</v>
      </c>
      <c r="T40" s="313"/>
      <c r="U40" s="312"/>
      <c r="V40" s="695"/>
      <c r="W40" s="316"/>
      <c r="X40" s="317"/>
    </row>
    <row r="41" spans="1:24" ht="14.25" hidden="1" customHeight="1">
      <c r="A41" s="689" t="s">
        <v>1228</v>
      </c>
      <c r="B41" s="685" t="s">
        <v>1229</v>
      </c>
      <c r="C41" s="319">
        <f>V15</f>
        <v>0.17163699999999998</v>
      </c>
      <c r="D41" s="316">
        <f>W15</f>
        <v>25108.88608516812</v>
      </c>
      <c r="E41" s="317">
        <f>X15</f>
        <v>4309.6138810000002</v>
      </c>
      <c r="F41" s="702">
        <v>0.112057</v>
      </c>
      <c r="G41" s="693">
        <f>'[11]10'!G133</f>
        <v>0</v>
      </c>
      <c r="H41" s="693">
        <f>'[11]10'!H133</f>
        <v>0</v>
      </c>
      <c r="I41" s="693">
        <f>'[11]10'!I133</f>
        <v>0</v>
      </c>
      <c r="J41" s="693"/>
      <c r="K41" s="318"/>
      <c r="L41" s="318"/>
      <c r="M41" s="693"/>
      <c r="N41" s="318"/>
      <c r="O41" s="694">
        <f t="shared" si="2"/>
        <v>26869.172474722684</v>
      </c>
      <c r="P41" s="703">
        <v>3010.8788599999998</v>
      </c>
      <c r="Q41" s="693">
        <v>7.5186000000000003E-2</v>
      </c>
      <c r="R41" s="677">
        <f>S41/Q41</f>
        <v>25552.005293538692</v>
      </c>
      <c r="S41" s="676">
        <v>1921.1530700000001</v>
      </c>
      <c r="T41" s="313"/>
      <c r="U41" s="312"/>
      <c r="V41" s="319">
        <v>0.19761699999999999</v>
      </c>
      <c r="W41" s="316">
        <f>X41/V41</f>
        <v>25909.592798190442</v>
      </c>
      <c r="X41" s="320">
        <v>5120.1760000000004</v>
      </c>
    </row>
    <row r="42" spans="1:24" ht="14.25" hidden="1" customHeight="1">
      <c r="A42" s="1897" t="s">
        <v>1230</v>
      </c>
      <c r="B42" s="685" t="s">
        <v>1210</v>
      </c>
      <c r="C42" s="319">
        <f t="shared" ref="C42:E42" si="3">V16</f>
        <v>2.6230559999999983</v>
      </c>
      <c r="D42" s="316">
        <f t="shared" si="3"/>
        <v>4586.5169939185498</v>
      </c>
      <c r="E42" s="317">
        <f t="shared" si="3"/>
        <v>12030.690920000008</v>
      </c>
      <c r="F42" s="702">
        <v>10.728</v>
      </c>
      <c r="G42" s="693">
        <f>'[11]10'!G134</f>
        <v>0</v>
      </c>
      <c r="H42" s="693">
        <f>'[11]10'!H134</f>
        <v>0</v>
      </c>
      <c r="I42" s="693">
        <f>'[11]10'!I134</f>
        <v>0</v>
      </c>
      <c r="J42" s="693"/>
      <c r="K42" s="318"/>
      <c r="L42" s="318"/>
      <c r="M42" s="693"/>
      <c r="N42" s="318"/>
      <c r="O42" s="694">
        <f t="shared" si="2"/>
        <v>4544.9607848620426</v>
      </c>
      <c r="P42" s="703">
        <v>48758.339299999992</v>
      </c>
      <c r="Q42" s="693">
        <v>11.089930000000001</v>
      </c>
      <c r="R42" s="677">
        <f>S42/Q42</f>
        <v>4558.4390126898916</v>
      </c>
      <c r="S42" s="676">
        <v>50552.769560000008</v>
      </c>
      <c r="T42" s="313"/>
      <c r="U42" s="312"/>
      <c r="V42" s="319">
        <v>2.3372899999999999</v>
      </c>
      <c r="W42" s="316">
        <f>X42/V42</f>
        <v>4509.8239371237632</v>
      </c>
      <c r="X42" s="317">
        <v>10540.766390000001</v>
      </c>
    </row>
    <row r="43" spans="1:24" ht="14.25" hidden="1" customHeight="1" outlineLevel="1">
      <c r="A43" s="1898"/>
      <c r="B43" s="685" t="s">
        <v>178</v>
      </c>
      <c r="C43" s="319">
        <f t="shared" ref="C43:E43" si="4">V17</f>
        <v>3.4843029999999957</v>
      </c>
      <c r="D43" s="316">
        <f t="shared" si="4"/>
        <v>16872.024623002057</v>
      </c>
      <c r="E43" s="317">
        <f t="shared" si="4"/>
        <v>58787.246009999864</v>
      </c>
      <c r="F43" s="702">
        <v>64.436553000000004</v>
      </c>
      <c r="G43" s="693">
        <f>'[11]10'!G135</f>
        <v>0</v>
      </c>
      <c r="H43" s="693">
        <f>'[11]10'!H135</f>
        <v>0</v>
      </c>
      <c r="I43" s="693">
        <f>'[11]10'!I135</f>
        <v>0</v>
      </c>
      <c r="J43" s="693"/>
      <c r="K43" s="318"/>
      <c r="L43" s="318"/>
      <c r="M43" s="693"/>
      <c r="N43" s="318"/>
      <c r="O43" s="694">
        <f t="shared" si="2"/>
        <v>16815.357950634014</v>
      </c>
      <c r="P43" s="703">
        <v>1083523.7038</v>
      </c>
      <c r="Q43" s="693">
        <v>64.047715999999994</v>
      </c>
      <c r="R43" s="677">
        <f>S43/Q43</f>
        <v>16809.020156315957</v>
      </c>
      <c r="S43" s="676">
        <v>1076579.3492099999</v>
      </c>
      <c r="T43" s="313"/>
      <c r="U43" s="312"/>
      <c r="V43" s="319">
        <v>3.2200980000000001</v>
      </c>
      <c r="W43" s="316">
        <f>X43/V43</f>
        <v>16981.530565218822</v>
      </c>
      <c r="X43" s="317">
        <v>54682.192609999998</v>
      </c>
    </row>
    <row r="44" spans="1:24" hidden="1">
      <c r="A44" s="1903"/>
      <c r="B44" s="685" t="s">
        <v>1211</v>
      </c>
      <c r="C44" s="686"/>
      <c r="D44" s="687"/>
      <c r="E44" s="688"/>
      <c r="F44" s="702">
        <v>4.4202450000000004</v>
      </c>
      <c r="G44" s="693">
        <f>'[11]10'!G136</f>
        <v>0</v>
      </c>
      <c r="H44" s="693">
        <f>'[11]10'!H136</f>
        <v>0</v>
      </c>
      <c r="I44" s="693">
        <f>'[11]10'!I136</f>
        <v>0</v>
      </c>
      <c r="J44" s="693"/>
      <c r="K44" s="318"/>
      <c r="L44" s="318"/>
      <c r="M44" s="693"/>
      <c r="N44" s="318"/>
      <c r="O44" s="694">
        <f t="shared" si="2"/>
        <v>6145.7255401001521</v>
      </c>
      <c r="P44" s="703">
        <v>27165.612590000001</v>
      </c>
      <c r="Q44" s="693">
        <f>F44</f>
        <v>4.4202450000000004</v>
      </c>
      <c r="R44" s="677">
        <f t="shared" ref="R44" si="5">ROUND((E44+P44)/(C44+F44),2)</f>
        <v>6145.73</v>
      </c>
      <c r="S44" s="676">
        <f t="shared" ref="S44" si="6">ROUND(Q44*R44,0)</f>
        <v>27166</v>
      </c>
      <c r="T44" s="313"/>
      <c r="U44" s="312"/>
      <c r="V44" s="695"/>
      <c r="W44" s="316"/>
      <c r="X44" s="317"/>
    </row>
    <row r="45" spans="1:24" ht="11.25" hidden="1" customHeight="1">
      <c r="A45" s="689"/>
      <c r="B45" s="685"/>
      <c r="C45" s="690"/>
      <c r="D45" s="691"/>
      <c r="E45" s="692"/>
      <c r="F45" s="693"/>
      <c r="G45" s="693">
        <f>'[11]10'!G137</f>
        <v>0</v>
      </c>
      <c r="H45" s="693">
        <f>'[11]10'!H137</f>
        <v>0</v>
      </c>
      <c r="I45" s="693">
        <f>'[11]10'!I137</f>
        <v>0</v>
      </c>
      <c r="J45" s="693"/>
      <c r="K45" s="318"/>
      <c r="L45" s="318"/>
      <c r="M45" s="693"/>
      <c r="N45" s="318"/>
      <c r="O45" s="694"/>
      <c r="P45" s="318"/>
      <c r="Q45" s="693"/>
      <c r="R45" s="694"/>
      <c r="S45" s="318"/>
      <c r="T45" s="313"/>
      <c r="U45" s="312"/>
      <c r="V45" s="695"/>
      <c r="W45" s="316"/>
      <c r="X45" s="317"/>
    </row>
    <row r="46" spans="1:24" ht="17.25" hidden="1" customHeight="1" thickBot="1">
      <c r="A46" s="696" t="s">
        <v>435</v>
      </c>
      <c r="B46" s="697"/>
      <c r="C46" s="698">
        <f>C35+C38+C41+C42+C43</f>
        <v>31.752490000000023</v>
      </c>
      <c r="D46" s="701">
        <f>ROUND(E46/C46,2)</f>
        <v>15690.08</v>
      </c>
      <c r="E46" s="700">
        <f>E35+E38+E41+E42+E43</f>
        <v>498199.01198100025</v>
      </c>
      <c r="F46" s="698">
        <f>F35+F38+F41+F42+F43+F44</f>
        <v>549.22566600000005</v>
      </c>
      <c r="G46" s="693">
        <f>'[11]10'!G139</f>
        <v>0</v>
      </c>
      <c r="H46" s="693">
        <f>'[11]10'!H139</f>
        <v>0</v>
      </c>
      <c r="I46" s="693">
        <f>'[11]10'!I139</f>
        <v>0</v>
      </c>
      <c r="J46" s="693"/>
      <c r="K46" s="318"/>
      <c r="L46" s="318"/>
      <c r="M46" s="693"/>
      <c r="N46" s="318"/>
      <c r="O46" s="701">
        <f>ROUND(P46/F46,2)</f>
        <v>9145.0400000000009</v>
      </c>
      <c r="P46" s="700">
        <f>P35+P38+P41+P42+P43+P44</f>
        <v>5022689.9824799998</v>
      </c>
      <c r="Q46" s="698">
        <f>Q35+Q38+Q41+Q42+Q43+Q44</f>
        <v>445.09307699999999</v>
      </c>
      <c r="R46" s="701">
        <f>ROUND(S46/Q46,2)</f>
        <v>7364.76</v>
      </c>
      <c r="S46" s="700">
        <f>S35+S38+S41+S42+S43+S44</f>
        <v>3278004.5640099999</v>
      </c>
      <c r="T46" s="313"/>
      <c r="U46" s="312"/>
      <c r="V46" s="698">
        <f>V35+V38+V41+V42+V43</f>
        <v>29.191599</v>
      </c>
      <c r="W46" s="699">
        <f>ROUND(X46/V46,2)</f>
        <v>15798.11</v>
      </c>
      <c r="X46" s="700">
        <f>X35+X38+X41+X42+X43</f>
        <v>461172.09334999998</v>
      </c>
    </row>
    <row r="47" spans="1:24">
      <c r="A47" s="1900" t="s">
        <v>1131</v>
      </c>
      <c r="B47" s="1901"/>
      <c r="C47" s="1901"/>
      <c r="D47" s="1901"/>
      <c r="E47" s="1901"/>
      <c r="F47" s="1901"/>
      <c r="G47" s="1901"/>
      <c r="H47" s="1901"/>
      <c r="I47" s="1901"/>
      <c r="J47" s="1901"/>
      <c r="K47" s="1901"/>
      <c r="L47" s="1901"/>
      <c r="M47" s="1901"/>
      <c r="N47" s="1901"/>
      <c r="O47" s="1901"/>
      <c r="P47" s="1901"/>
      <c r="Q47" s="1901"/>
      <c r="R47" s="1901"/>
      <c r="S47" s="1901"/>
      <c r="T47" s="1901"/>
      <c r="U47" s="1901"/>
      <c r="V47" s="1901"/>
      <c r="W47" s="1901"/>
      <c r="X47" s="1902"/>
    </row>
    <row r="48" spans="1:24">
      <c r="A48" s="680" t="s">
        <v>1223</v>
      </c>
      <c r="B48" s="681" t="s">
        <v>346</v>
      </c>
      <c r="C48" s="319">
        <v>26.511060000000011</v>
      </c>
      <c r="D48" s="316">
        <v>16255.78</v>
      </c>
      <c r="E48" s="317">
        <v>430957.95892680017</v>
      </c>
      <c r="F48" s="693">
        <v>4.74</v>
      </c>
      <c r="G48" s="693">
        <v>0</v>
      </c>
      <c r="H48" s="693">
        <v>0</v>
      </c>
      <c r="I48" s="693">
        <v>0</v>
      </c>
      <c r="J48" s="693"/>
      <c r="K48" s="170"/>
      <c r="L48" s="318"/>
      <c r="M48" s="693"/>
      <c r="N48" s="318"/>
      <c r="O48" s="694">
        <v>16649.169876</v>
      </c>
      <c r="P48" s="318">
        <v>78917.065212240006</v>
      </c>
      <c r="Q48" s="693">
        <v>4.74</v>
      </c>
      <c r="R48" s="694">
        <v>16302.877388895005</v>
      </c>
      <c r="S48" s="318">
        <v>77275.638823362329</v>
      </c>
      <c r="T48" s="319"/>
      <c r="U48" s="321"/>
      <c r="V48" s="695">
        <v>26.511060000000011</v>
      </c>
      <c r="W48" s="316">
        <v>16317.694777790011</v>
      </c>
      <c r="X48" s="317">
        <v>432599.38531567785</v>
      </c>
    </row>
    <row r="49" spans="1:24" ht="14.25" customHeight="1">
      <c r="A49" s="173" t="s">
        <v>1224</v>
      </c>
      <c r="B49" s="170" t="s">
        <v>346</v>
      </c>
      <c r="C49" s="682"/>
      <c r="D49" s="683"/>
      <c r="E49" s="684"/>
      <c r="F49" s="693"/>
      <c r="G49" s="693">
        <v>0</v>
      </c>
      <c r="H49" s="693">
        <v>0</v>
      </c>
      <c r="I49" s="693">
        <v>0</v>
      </c>
      <c r="J49" s="693"/>
      <c r="K49" s="171"/>
      <c r="L49" s="318"/>
      <c r="M49" s="693"/>
      <c r="N49" s="318"/>
      <c r="O49" s="694"/>
      <c r="P49" s="318"/>
      <c r="Q49" s="693"/>
      <c r="R49" s="694">
        <v>16302.877388895005</v>
      </c>
      <c r="S49" s="318"/>
      <c r="T49" s="314"/>
      <c r="U49" s="314"/>
      <c r="V49" s="695"/>
      <c r="W49" s="316"/>
      <c r="X49" s="317"/>
    </row>
    <row r="50" spans="1:24" s="311" customFormat="1" ht="14.25" customHeight="1">
      <c r="A50" s="174" t="s">
        <v>1225</v>
      </c>
      <c r="B50" s="170" t="s">
        <v>346</v>
      </c>
      <c r="C50" s="682"/>
      <c r="D50" s="683"/>
      <c r="E50" s="684"/>
      <c r="F50" s="693"/>
      <c r="G50" s="693">
        <v>0</v>
      </c>
      <c r="H50" s="693">
        <v>0</v>
      </c>
      <c r="I50" s="693">
        <v>0</v>
      </c>
      <c r="J50" s="693"/>
      <c r="K50" s="318"/>
      <c r="L50" s="318"/>
      <c r="M50" s="693"/>
      <c r="N50" s="318"/>
      <c r="O50" s="694"/>
      <c r="P50" s="318"/>
      <c r="Q50" s="693"/>
      <c r="R50" s="694"/>
      <c r="S50" s="318"/>
      <c r="T50" s="313"/>
      <c r="U50" s="312"/>
      <c r="V50" s="695"/>
      <c r="W50" s="316"/>
      <c r="X50" s="317"/>
    </row>
    <row r="51" spans="1:24">
      <c r="A51" s="680" t="s">
        <v>1223</v>
      </c>
      <c r="B51" s="685" t="s">
        <v>1226</v>
      </c>
      <c r="C51" s="319"/>
      <c r="D51" s="316"/>
      <c r="E51" s="317"/>
      <c r="F51" s="693">
        <v>385.63088607594932</v>
      </c>
      <c r="G51" s="693">
        <v>0</v>
      </c>
      <c r="H51" s="693">
        <v>0</v>
      </c>
      <c r="I51" s="693">
        <v>0</v>
      </c>
      <c r="J51" s="693"/>
      <c r="K51" s="318"/>
      <c r="L51" s="318"/>
      <c r="M51" s="693"/>
      <c r="N51" s="318"/>
      <c r="O51" s="694">
        <v>5757.2600000000011</v>
      </c>
      <c r="P51" s="318">
        <v>2220177.2751696203</v>
      </c>
      <c r="Q51" s="693">
        <v>385.63088607594932</v>
      </c>
      <c r="R51" s="694">
        <v>5757.2600000000011</v>
      </c>
      <c r="S51" s="318">
        <v>2220177.2751696203</v>
      </c>
      <c r="T51" s="313"/>
      <c r="U51" s="312"/>
      <c r="V51" s="695"/>
      <c r="W51" s="316"/>
      <c r="X51" s="317"/>
    </row>
    <row r="52" spans="1:24">
      <c r="A52" s="173" t="s">
        <v>1224</v>
      </c>
      <c r="B52" s="170" t="s">
        <v>1226</v>
      </c>
      <c r="C52" s="319"/>
      <c r="D52" s="316"/>
      <c r="E52" s="317"/>
      <c r="F52" s="693">
        <v>107.77873417721517</v>
      </c>
      <c r="G52" s="693">
        <v>0</v>
      </c>
      <c r="H52" s="693">
        <v>0</v>
      </c>
      <c r="I52" s="693">
        <v>0</v>
      </c>
      <c r="J52" s="693"/>
      <c r="K52" s="318"/>
      <c r="L52" s="318"/>
      <c r="M52" s="693"/>
      <c r="N52" s="318"/>
      <c r="O52" s="694">
        <v>5757.2600000000011</v>
      </c>
      <c r="P52" s="318">
        <v>620510.19512911397</v>
      </c>
      <c r="Q52" s="693">
        <v>107.77873417721517</v>
      </c>
      <c r="R52" s="694">
        <v>5757.2600000000011</v>
      </c>
      <c r="S52" s="318">
        <v>620510.19512911397</v>
      </c>
      <c r="T52" s="313"/>
      <c r="U52" s="312"/>
      <c r="V52" s="695"/>
      <c r="W52" s="316"/>
      <c r="X52" s="317"/>
    </row>
    <row r="53" spans="1:24">
      <c r="A53" s="173" t="s">
        <v>1227</v>
      </c>
      <c r="B53" s="170" t="s">
        <v>1226</v>
      </c>
      <c r="C53" s="319"/>
      <c r="D53" s="316"/>
      <c r="E53" s="317"/>
      <c r="F53" s="693">
        <v>277.85215189873418</v>
      </c>
      <c r="G53" s="693">
        <v>0</v>
      </c>
      <c r="H53" s="693">
        <v>0</v>
      </c>
      <c r="I53" s="693">
        <v>0</v>
      </c>
      <c r="J53" s="693"/>
      <c r="K53" s="318"/>
      <c r="L53" s="318"/>
      <c r="M53" s="693"/>
      <c r="N53" s="318"/>
      <c r="O53" s="694">
        <v>5757.2600000000011</v>
      </c>
      <c r="P53" s="318">
        <v>1599667.0800405066</v>
      </c>
      <c r="Q53" s="693">
        <v>277.85215189873418</v>
      </c>
      <c r="R53" s="694">
        <v>5757.2600000000011</v>
      </c>
      <c r="S53" s="318">
        <v>1599667.0800405066</v>
      </c>
      <c r="T53" s="313"/>
      <c r="U53" s="312"/>
      <c r="V53" s="695"/>
      <c r="W53" s="316"/>
      <c r="X53" s="317"/>
    </row>
    <row r="54" spans="1:24">
      <c r="A54" s="689" t="s">
        <v>1228</v>
      </c>
      <c r="B54" s="685" t="s">
        <v>1229</v>
      </c>
      <c r="C54" s="319">
        <v>0.19663699999999998</v>
      </c>
      <c r="D54" s="316">
        <v>26824.419936589322</v>
      </c>
      <c r="E54" s="320">
        <v>5274.6734630711135</v>
      </c>
      <c r="F54" s="693">
        <v>0.10344827586206896</v>
      </c>
      <c r="G54" s="693">
        <v>0</v>
      </c>
      <c r="H54" s="693">
        <v>0</v>
      </c>
      <c r="I54" s="693">
        <v>0</v>
      </c>
      <c r="J54" s="693"/>
      <c r="K54" s="318"/>
      <c r="L54" s="318"/>
      <c r="M54" s="693"/>
      <c r="N54" s="318"/>
      <c r="O54" s="694">
        <v>30263.385595203057</v>
      </c>
      <c r="P54" s="318">
        <v>3130.6950615727301</v>
      </c>
      <c r="Q54" s="693">
        <v>0.10344827586206896</v>
      </c>
      <c r="R54" s="694">
        <v>27824.148619385032</v>
      </c>
      <c r="S54" s="318">
        <v>2878.3602020053481</v>
      </c>
      <c r="T54" s="313"/>
      <c r="U54" s="312"/>
      <c r="V54" s="695">
        <v>0.19663699999999998</v>
      </c>
      <c r="W54" s="316">
        <v>28107.672119888404</v>
      </c>
      <c r="X54" s="317">
        <v>5527.0083226384959</v>
      </c>
    </row>
    <row r="55" spans="1:24">
      <c r="A55" s="1897" t="s">
        <v>1230</v>
      </c>
      <c r="B55" s="685" t="s">
        <v>1210</v>
      </c>
      <c r="C55" s="319">
        <v>0.86405599999999971</v>
      </c>
      <c r="D55" s="316">
        <v>4507.08</v>
      </c>
      <c r="E55" s="317">
        <v>3894.3695164799988</v>
      </c>
      <c r="F55" s="693">
        <v>11.785294117647059</v>
      </c>
      <c r="G55" s="693">
        <v>0</v>
      </c>
      <c r="H55" s="693">
        <v>0</v>
      </c>
      <c r="I55" s="693">
        <v>0</v>
      </c>
      <c r="J55" s="693"/>
      <c r="K55" s="318"/>
      <c r="L55" s="318"/>
      <c r="M55" s="693"/>
      <c r="N55" s="318"/>
      <c r="O55" s="694">
        <v>4674.7433759999994</v>
      </c>
      <c r="P55" s="318">
        <v>55093.225610682348</v>
      </c>
      <c r="Q55" s="693">
        <v>11.785294117647059</v>
      </c>
      <c r="R55" s="694">
        <v>4662.6551412987228</v>
      </c>
      <c r="S55" s="318">
        <v>54950.76220936465</v>
      </c>
      <c r="T55" s="313"/>
      <c r="U55" s="312"/>
      <c r="V55" s="695">
        <v>0.86405599999999971</v>
      </c>
      <c r="W55" s="316">
        <v>4671.9575094643178</v>
      </c>
      <c r="X55" s="317">
        <v>4036.8329177976993</v>
      </c>
    </row>
    <row r="56" spans="1:24">
      <c r="A56" s="1898"/>
      <c r="B56" s="685" t="s">
        <v>178</v>
      </c>
      <c r="C56" s="319">
        <v>3.2523029999999977</v>
      </c>
      <c r="D56" s="316">
        <v>16255.78</v>
      </c>
      <c r="E56" s="317">
        <v>52868.722061339962</v>
      </c>
      <c r="F56" s="693">
        <v>61.533402481751821</v>
      </c>
      <c r="G56" s="693">
        <v>0</v>
      </c>
      <c r="H56" s="693">
        <v>0</v>
      </c>
      <c r="I56" s="693">
        <v>0</v>
      </c>
      <c r="J56" s="693"/>
      <c r="K56" s="318"/>
      <c r="L56" s="318"/>
      <c r="M56" s="693"/>
      <c r="N56" s="318"/>
      <c r="O56" s="694">
        <v>16649.169876</v>
      </c>
      <c r="P56" s="318">
        <v>1024480.070966966</v>
      </c>
      <c r="Q56" s="693">
        <v>61.533402481751821</v>
      </c>
      <c r="R56" s="694">
        <v>16628.580005372958</v>
      </c>
      <c r="S56" s="318">
        <v>1023213.1061706252</v>
      </c>
      <c r="T56" s="313"/>
      <c r="U56" s="312"/>
      <c r="V56" s="695">
        <v>3.2523029999999977</v>
      </c>
      <c r="W56" s="316">
        <v>16645.339274256068</v>
      </c>
      <c r="X56" s="317">
        <v>54135.68685768079</v>
      </c>
    </row>
    <row r="57" spans="1:24">
      <c r="A57" s="1903"/>
      <c r="B57" s="685" t="s">
        <v>1211</v>
      </c>
      <c r="C57" s="686"/>
      <c r="D57" s="687"/>
      <c r="E57" s="688"/>
      <c r="F57" s="693">
        <v>13.307088607594938</v>
      </c>
      <c r="G57" s="693">
        <v>0</v>
      </c>
      <c r="H57" s="693">
        <v>0</v>
      </c>
      <c r="I57" s="693">
        <v>0</v>
      </c>
      <c r="J57" s="693"/>
      <c r="K57" s="318"/>
      <c r="L57" s="318"/>
      <c r="M57" s="693"/>
      <c r="N57" s="318"/>
      <c r="O57" s="694">
        <v>5786.1100000000006</v>
      </c>
      <c r="P57" s="318">
        <v>76996.27846329115</v>
      </c>
      <c r="Q57" s="693">
        <v>13.307088607594938</v>
      </c>
      <c r="R57" s="694">
        <v>5786.1100000000006</v>
      </c>
      <c r="S57" s="318">
        <v>76996.27846329115</v>
      </c>
      <c r="T57" s="313"/>
      <c r="U57" s="312"/>
      <c r="V57" s="695"/>
      <c r="W57" s="316"/>
      <c r="X57" s="317"/>
    </row>
    <row r="58" spans="1:24">
      <c r="A58" s="689"/>
      <c r="B58" s="685"/>
      <c r="C58" s="690"/>
      <c r="D58" s="691"/>
      <c r="E58" s="692"/>
      <c r="F58" s="693"/>
      <c r="G58" s="693">
        <v>0</v>
      </c>
      <c r="H58" s="693">
        <v>0</v>
      </c>
      <c r="I58" s="693">
        <v>0</v>
      </c>
      <c r="J58" s="693"/>
      <c r="K58" s="318"/>
      <c r="L58" s="318"/>
      <c r="M58" s="693"/>
      <c r="N58" s="318"/>
      <c r="O58" s="694"/>
      <c r="P58" s="318"/>
      <c r="Q58" s="693"/>
      <c r="R58" s="694"/>
      <c r="S58" s="318"/>
      <c r="T58" s="313"/>
      <c r="U58" s="312"/>
      <c r="V58" s="695"/>
      <c r="W58" s="316"/>
      <c r="X58" s="317"/>
    </row>
    <row r="59" spans="1:24" ht="13.5" thickBot="1">
      <c r="A59" s="696" t="s">
        <v>435</v>
      </c>
      <c r="B59" s="697"/>
      <c r="C59" s="698">
        <v>30.824056000000006</v>
      </c>
      <c r="D59" s="701">
        <v>15993.86</v>
      </c>
      <c r="E59" s="700">
        <v>492995.72396769124</v>
      </c>
      <c r="F59" s="698">
        <v>477.10011955880526</v>
      </c>
      <c r="G59" s="693">
        <v>0</v>
      </c>
      <c r="H59" s="693">
        <v>0</v>
      </c>
      <c r="I59" s="693">
        <v>0</v>
      </c>
      <c r="J59" s="693"/>
      <c r="K59" s="318"/>
      <c r="L59" s="318"/>
      <c r="M59" s="693"/>
      <c r="N59" s="318"/>
      <c r="O59" s="701">
        <v>7249.62</v>
      </c>
      <c r="P59" s="700">
        <v>3458794.6104843724</v>
      </c>
      <c r="Q59" s="698">
        <v>477.10011955880526</v>
      </c>
      <c r="R59" s="701">
        <v>7242.7</v>
      </c>
      <c r="S59" s="700">
        <v>3455491.4210382691</v>
      </c>
      <c r="T59" s="313"/>
      <c r="U59" s="312"/>
      <c r="V59" s="698">
        <v>30.824056000000006</v>
      </c>
      <c r="W59" s="701">
        <v>16101.03</v>
      </c>
      <c r="X59" s="700">
        <v>496298.91341379483</v>
      </c>
    </row>
    <row r="60" spans="1:24">
      <c r="A60" s="1900" t="s">
        <v>1695</v>
      </c>
      <c r="B60" s="1901"/>
      <c r="C60" s="1901"/>
      <c r="D60" s="1901"/>
      <c r="E60" s="1901"/>
      <c r="F60" s="1901"/>
      <c r="G60" s="1901"/>
      <c r="H60" s="1901"/>
      <c r="I60" s="1901"/>
      <c r="J60" s="1901"/>
      <c r="K60" s="1901"/>
      <c r="L60" s="1901"/>
      <c r="M60" s="1901"/>
      <c r="N60" s="1901"/>
      <c r="O60" s="1901"/>
      <c r="P60" s="1901"/>
      <c r="Q60" s="1901"/>
      <c r="R60" s="1901"/>
      <c r="S60" s="1901"/>
      <c r="T60" s="1901"/>
      <c r="U60" s="1901"/>
      <c r="V60" s="1901"/>
      <c r="W60" s="1901"/>
      <c r="X60" s="1902"/>
    </row>
    <row r="61" spans="1:24">
      <c r="A61" s="680" t="s">
        <v>1223</v>
      </c>
      <c r="B61" s="681" t="s">
        <v>346</v>
      </c>
      <c r="C61" s="319">
        <v>23.436593999999999</v>
      </c>
      <c r="D61" s="316">
        <v>16676.013517578536</v>
      </c>
      <c r="E61" s="317">
        <v>390828.95834999997</v>
      </c>
      <c r="F61" s="702">
        <v>68.712320000000005</v>
      </c>
      <c r="G61" s="693">
        <v>0</v>
      </c>
      <c r="H61" s="693">
        <v>0</v>
      </c>
      <c r="I61" s="693">
        <v>0</v>
      </c>
      <c r="J61" s="693"/>
      <c r="K61" s="170"/>
      <c r="L61" s="318"/>
      <c r="M61" s="693"/>
      <c r="N61" s="318"/>
      <c r="O61" s="694">
        <v>16224.498829176484</v>
      </c>
      <c r="P61" s="703">
        <v>1114822.95539</v>
      </c>
      <c r="Q61" s="702">
        <v>1.0649999999999999</v>
      </c>
      <c r="R61" s="677">
        <v>16231.126093896715</v>
      </c>
      <c r="S61" s="918">
        <v>17286.149290000001</v>
      </c>
      <c r="T61" s="705">
        <v>70.778999999999996</v>
      </c>
      <c r="U61" s="703">
        <v>1149810.1465400001</v>
      </c>
      <c r="V61" s="695">
        <v>20.16657300000001</v>
      </c>
      <c r="W61" s="316">
        <v>16676.753849550922</v>
      </c>
      <c r="X61" s="317">
        <v>336312.97390999983</v>
      </c>
    </row>
    <row r="62" spans="1:24">
      <c r="A62" s="173" t="s">
        <v>1224</v>
      </c>
      <c r="B62" s="170" t="s">
        <v>346</v>
      </c>
      <c r="C62" s="319">
        <v>0</v>
      </c>
      <c r="D62" s="316">
        <v>0</v>
      </c>
      <c r="E62" s="317">
        <v>0</v>
      </c>
      <c r="F62" s="702"/>
      <c r="G62" s="693">
        <v>0</v>
      </c>
      <c r="H62" s="693">
        <v>0</v>
      </c>
      <c r="I62" s="693">
        <v>0</v>
      </c>
      <c r="J62" s="693"/>
      <c r="K62" s="171"/>
      <c r="L62" s="318"/>
      <c r="M62" s="693"/>
      <c r="N62" s="318"/>
      <c r="O62" s="694"/>
      <c r="P62" s="703"/>
      <c r="Q62" s="702">
        <v>0.23100000000000001</v>
      </c>
      <c r="R62" s="694">
        <v>16309.610043290044</v>
      </c>
      <c r="S62" s="918">
        <v>3767.5199200000002</v>
      </c>
      <c r="T62" s="314"/>
      <c r="U62" s="314"/>
      <c r="V62" s="695"/>
      <c r="W62" s="316"/>
      <c r="X62" s="704"/>
    </row>
    <row r="63" spans="1:24">
      <c r="A63" s="174" t="s">
        <v>1225</v>
      </c>
      <c r="B63" s="170" t="s">
        <v>346</v>
      </c>
      <c r="C63" s="319">
        <v>0</v>
      </c>
      <c r="D63" s="316">
        <v>0</v>
      </c>
      <c r="E63" s="317">
        <v>0</v>
      </c>
      <c r="F63" s="702"/>
      <c r="G63" s="693">
        <v>0</v>
      </c>
      <c r="H63" s="693">
        <v>0</v>
      </c>
      <c r="I63" s="693">
        <v>0</v>
      </c>
      <c r="J63" s="693"/>
      <c r="K63" s="318"/>
      <c r="L63" s="318"/>
      <c r="M63" s="693"/>
      <c r="N63" s="318"/>
      <c r="O63" s="694"/>
      <c r="P63" s="703"/>
      <c r="Q63" s="702">
        <v>0.83399999999999996</v>
      </c>
      <c r="R63" s="694">
        <v>16209.387733812951</v>
      </c>
      <c r="S63" s="918">
        <v>13518.629370000001</v>
      </c>
      <c r="T63" s="313"/>
      <c r="U63" s="312"/>
      <c r="V63" s="695"/>
      <c r="W63" s="316"/>
      <c r="X63" s="704"/>
    </row>
    <row r="64" spans="1:24">
      <c r="A64" s="680" t="s">
        <v>1223</v>
      </c>
      <c r="B64" s="685" t="s">
        <v>1226</v>
      </c>
      <c r="C64" s="319"/>
      <c r="D64" s="316"/>
      <c r="E64" s="317"/>
      <c r="F64" s="693">
        <v>360.02001000000001</v>
      </c>
      <c r="G64" s="693">
        <v>0</v>
      </c>
      <c r="H64" s="693">
        <v>0</v>
      </c>
      <c r="I64" s="693">
        <v>0</v>
      </c>
      <c r="J64" s="693"/>
      <c r="K64" s="318"/>
      <c r="L64" s="318"/>
      <c r="M64" s="693"/>
      <c r="N64" s="318"/>
      <c r="O64" s="694">
        <v>6106.1118232844883</v>
      </c>
      <c r="P64" s="318">
        <v>2198322.4396799998</v>
      </c>
      <c r="Q64" s="693">
        <v>360.02001000000001</v>
      </c>
      <c r="R64" s="677">
        <v>6106.11</v>
      </c>
      <c r="S64" s="676">
        <v>2198322.4396799998</v>
      </c>
      <c r="T64" s="313"/>
      <c r="U64" s="312"/>
      <c r="V64" s="695"/>
      <c r="W64" s="316"/>
      <c r="X64" s="317"/>
    </row>
    <row r="65" spans="1:24">
      <c r="A65" s="173" t="s">
        <v>1224</v>
      </c>
      <c r="B65" s="170" t="s">
        <v>1226</v>
      </c>
      <c r="C65" s="319"/>
      <c r="D65" s="316"/>
      <c r="E65" s="317"/>
      <c r="F65" s="702">
        <v>105.13112</v>
      </c>
      <c r="G65" s="693">
        <v>0</v>
      </c>
      <c r="H65" s="693">
        <v>0</v>
      </c>
      <c r="I65" s="693">
        <v>0</v>
      </c>
      <c r="J65" s="693"/>
      <c r="K65" s="318"/>
      <c r="L65" s="318"/>
      <c r="M65" s="693"/>
      <c r="N65" s="318"/>
      <c r="O65" s="694">
        <v>6107.4351134088565</v>
      </c>
      <c r="P65" s="318">
        <v>642081.49380000005</v>
      </c>
      <c r="Q65" s="693">
        <v>105.13112</v>
      </c>
      <c r="R65" s="694">
        <v>6107.4351134088565</v>
      </c>
      <c r="S65" s="918">
        <v>642081.49380000005</v>
      </c>
      <c r="T65" s="313"/>
      <c r="U65" s="312"/>
      <c r="V65" s="695"/>
      <c r="W65" s="316"/>
      <c r="X65" s="317"/>
    </row>
    <row r="66" spans="1:24">
      <c r="A66" s="173" t="s">
        <v>1227</v>
      </c>
      <c r="B66" s="170" t="s">
        <v>1226</v>
      </c>
      <c r="C66" s="319"/>
      <c r="D66" s="316"/>
      <c r="E66" s="317"/>
      <c r="F66" s="702">
        <v>254.88889</v>
      </c>
      <c r="G66" s="693">
        <v>0</v>
      </c>
      <c r="H66" s="693">
        <v>0</v>
      </c>
      <c r="I66" s="693">
        <v>0</v>
      </c>
      <c r="J66" s="693"/>
      <c r="K66" s="318"/>
      <c r="L66" s="318"/>
      <c r="M66" s="693"/>
      <c r="N66" s="318"/>
      <c r="O66" s="694">
        <v>6105.5660208650133</v>
      </c>
      <c r="P66" s="318">
        <v>1556240.94588</v>
      </c>
      <c r="Q66" s="693">
        <v>254.88889</v>
      </c>
      <c r="R66" s="694">
        <v>6105.5660208650133</v>
      </c>
      <c r="S66" s="918">
        <v>1556240.94588</v>
      </c>
      <c r="T66" s="313"/>
      <c r="U66" s="312"/>
      <c r="V66" s="695"/>
      <c r="W66" s="316"/>
      <c r="X66" s="317"/>
    </row>
    <row r="67" spans="1:24">
      <c r="A67" s="689" t="s">
        <v>1228</v>
      </c>
      <c r="B67" s="685" t="s">
        <v>1229</v>
      </c>
      <c r="C67" s="319">
        <v>0.19761699999999999</v>
      </c>
      <c r="D67" s="316">
        <v>25909.592798190442</v>
      </c>
      <c r="E67" s="317">
        <v>5120.1760000000004</v>
      </c>
      <c r="F67" s="702">
        <v>0.12135899999999999</v>
      </c>
      <c r="G67" s="693">
        <v>0</v>
      </c>
      <c r="H67" s="693">
        <v>0</v>
      </c>
      <c r="I67" s="693">
        <v>0</v>
      </c>
      <c r="J67" s="693"/>
      <c r="K67" s="318"/>
      <c r="L67" s="318"/>
      <c r="M67" s="693"/>
      <c r="N67" s="318"/>
      <c r="O67" s="694">
        <v>30583.006204731417</v>
      </c>
      <c r="P67" s="703">
        <v>3711.5230499999998</v>
      </c>
      <c r="Q67" s="693">
        <v>6.3E-2</v>
      </c>
      <c r="R67" s="694">
        <v>26332.44</v>
      </c>
      <c r="S67" s="918">
        <v>1654.99378</v>
      </c>
      <c r="T67" s="313"/>
      <c r="U67" s="312"/>
      <c r="V67" s="695">
        <v>0.24397599999999997</v>
      </c>
      <c r="W67" s="316">
        <v>28055.566674586076</v>
      </c>
      <c r="X67" s="919">
        <v>6849.0932699999994</v>
      </c>
    </row>
    <row r="68" spans="1:24">
      <c r="A68" s="1897" t="s">
        <v>1230</v>
      </c>
      <c r="B68" s="685" t="s">
        <v>1210</v>
      </c>
      <c r="C68" s="319">
        <v>2.3372899999999999</v>
      </c>
      <c r="D68" s="316">
        <v>4509.8239371237632</v>
      </c>
      <c r="E68" s="317">
        <v>10540.766390000001</v>
      </c>
      <c r="F68" s="702">
        <v>9.6460000000000008</v>
      </c>
      <c r="G68" s="693">
        <v>0</v>
      </c>
      <c r="H68" s="693">
        <v>0</v>
      </c>
      <c r="I68" s="693">
        <v>0</v>
      </c>
      <c r="J68" s="693"/>
      <c r="K68" s="318"/>
      <c r="L68" s="318"/>
      <c r="M68" s="693"/>
      <c r="N68" s="318"/>
      <c r="O68" s="694">
        <v>4603.26</v>
      </c>
      <c r="P68" s="703">
        <v>44403.045960000003</v>
      </c>
      <c r="Q68" s="702">
        <v>9.7309999999999999</v>
      </c>
      <c r="R68" s="694">
        <v>4571.8900000000003</v>
      </c>
      <c r="S68" s="918">
        <v>44489.061590000005</v>
      </c>
      <c r="T68" s="313"/>
      <c r="U68" s="312"/>
      <c r="V68" s="695">
        <v>2.2482930000000003</v>
      </c>
      <c r="W68" s="316">
        <v>4641.973755200057</v>
      </c>
      <c r="X68" s="919">
        <v>10436.517100000003</v>
      </c>
    </row>
    <row r="69" spans="1:24">
      <c r="A69" s="1898"/>
      <c r="B69" s="685" t="s">
        <v>178</v>
      </c>
      <c r="C69" s="319">
        <v>3.2200980000000001</v>
      </c>
      <c r="D69" s="316">
        <v>16981.530565218822</v>
      </c>
      <c r="E69" s="317">
        <v>54682.192609999998</v>
      </c>
      <c r="F69" s="702">
        <v>54.975893999999997</v>
      </c>
      <c r="G69" s="693">
        <v>0</v>
      </c>
      <c r="H69" s="693">
        <v>0</v>
      </c>
      <c r="I69" s="693">
        <v>0</v>
      </c>
      <c r="J69" s="693"/>
      <c r="K69" s="318"/>
      <c r="L69" s="318"/>
      <c r="M69" s="693"/>
      <c r="N69" s="318"/>
      <c r="O69" s="694">
        <v>16606.112049037347</v>
      </c>
      <c r="P69" s="703">
        <v>912935.85575999995</v>
      </c>
      <c r="Q69" s="702">
        <v>55.871000000000002</v>
      </c>
      <c r="R69" s="694">
        <v>16608.075745914695</v>
      </c>
      <c r="S69" s="918">
        <v>927909.8</v>
      </c>
      <c r="T69" s="313"/>
      <c r="U69" s="312"/>
      <c r="V69" s="695">
        <v>2.3350979999999946</v>
      </c>
      <c r="W69" s="316">
        <v>17076.800464049058</v>
      </c>
      <c r="X69" s="919">
        <v>39876.00260999993</v>
      </c>
    </row>
    <row r="70" spans="1:24">
      <c r="A70" s="1903"/>
      <c r="B70" s="685" t="s">
        <v>1211</v>
      </c>
      <c r="C70" s="686"/>
      <c r="D70" s="687"/>
      <c r="E70" s="688"/>
      <c r="F70" s="702">
        <v>12.822513000000001</v>
      </c>
      <c r="G70" s="693">
        <v>0</v>
      </c>
      <c r="H70" s="693">
        <v>0</v>
      </c>
      <c r="I70" s="693">
        <v>0</v>
      </c>
      <c r="J70" s="693"/>
      <c r="K70" s="318"/>
      <c r="L70" s="318"/>
      <c r="M70" s="693"/>
      <c r="N70" s="318"/>
      <c r="O70" s="694">
        <v>6307.4961101618692</v>
      </c>
      <c r="P70" s="318">
        <v>80877.950870000001</v>
      </c>
      <c r="Q70" s="693">
        <v>12.822513000000001</v>
      </c>
      <c r="R70" s="694">
        <v>6307.4961101618692</v>
      </c>
      <c r="S70" s="918">
        <v>80877.950870000001</v>
      </c>
      <c r="T70" s="313"/>
      <c r="U70" s="312"/>
      <c r="V70" s="695"/>
      <c r="W70" s="316"/>
      <c r="X70" s="317"/>
    </row>
    <row r="71" spans="1:24">
      <c r="A71" s="689"/>
      <c r="B71" s="685"/>
      <c r="C71" s="690"/>
      <c r="D71" s="691"/>
      <c r="E71" s="692"/>
      <c r="F71" s="693"/>
      <c r="G71" s="693">
        <v>0</v>
      </c>
      <c r="H71" s="693">
        <v>0</v>
      </c>
      <c r="I71" s="693">
        <v>0</v>
      </c>
      <c r="J71" s="693"/>
      <c r="K71" s="318"/>
      <c r="L71" s="318"/>
      <c r="M71" s="693"/>
      <c r="N71" s="318"/>
      <c r="O71" s="694"/>
      <c r="P71" s="318"/>
      <c r="Q71" s="693"/>
      <c r="R71" s="694"/>
      <c r="S71" s="318"/>
      <c r="T71" s="313"/>
      <c r="U71" s="312"/>
      <c r="V71" s="695"/>
      <c r="W71" s="316"/>
      <c r="X71" s="317"/>
    </row>
    <row r="72" spans="1:24" ht="13.5" thickBot="1">
      <c r="A72" s="696" t="s">
        <v>435</v>
      </c>
      <c r="B72" s="697"/>
      <c r="C72" s="698">
        <v>29.191599</v>
      </c>
      <c r="D72" s="701">
        <v>15798.11</v>
      </c>
      <c r="E72" s="700">
        <v>461172.09334999998</v>
      </c>
      <c r="F72" s="698">
        <v>506.29809600000004</v>
      </c>
      <c r="G72" s="693">
        <v>0</v>
      </c>
      <c r="H72" s="693">
        <v>0</v>
      </c>
      <c r="I72" s="693">
        <v>0</v>
      </c>
      <c r="J72" s="693"/>
      <c r="K72" s="318"/>
      <c r="L72" s="318"/>
      <c r="M72" s="693"/>
      <c r="N72" s="318"/>
      <c r="O72" s="701">
        <v>8601.7999999999993</v>
      </c>
      <c r="P72" s="700">
        <v>4355073.7707099989</v>
      </c>
      <c r="Q72" s="698">
        <v>439.57252299999999</v>
      </c>
      <c r="R72" s="701">
        <v>7440.27</v>
      </c>
      <c r="S72" s="700">
        <v>3270540.3952099998</v>
      </c>
      <c r="T72" s="1406">
        <v>70.778999999999996</v>
      </c>
      <c r="U72" s="700">
        <v>1149810.1465400001</v>
      </c>
      <c r="V72" s="698">
        <v>24.993940000000006</v>
      </c>
      <c r="W72" s="701">
        <v>15742.8</v>
      </c>
      <c r="X72" s="700">
        <v>393474.58688999974</v>
      </c>
    </row>
    <row r="73" spans="1:24" ht="18" customHeight="1">
      <c r="A73" s="1900" t="s">
        <v>1696</v>
      </c>
      <c r="B73" s="1901"/>
      <c r="C73" s="1901"/>
      <c r="D73" s="1901"/>
      <c r="E73" s="1901"/>
      <c r="F73" s="1901"/>
      <c r="G73" s="1901"/>
      <c r="H73" s="1901"/>
      <c r="I73" s="1901"/>
      <c r="J73" s="1901"/>
      <c r="K73" s="1901"/>
      <c r="L73" s="1901"/>
      <c r="M73" s="1901"/>
      <c r="N73" s="1901"/>
      <c r="O73" s="1901"/>
      <c r="P73" s="1901"/>
      <c r="Q73" s="1901"/>
      <c r="R73" s="1901"/>
      <c r="S73" s="1901"/>
      <c r="T73" s="1901"/>
      <c r="U73" s="1901"/>
      <c r="V73" s="1901"/>
      <c r="W73" s="1901"/>
      <c r="X73" s="1902"/>
    </row>
    <row r="74" spans="1:24">
      <c r="A74" s="680" t="s">
        <v>1223</v>
      </c>
      <c r="B74" s="681" t="s">
        <v>346</v>
      </c>
      <c r="C74" s="319">
        <v>21.328534000000033</v>
      </c>
      <c r="D74" s="316">
        <v>16534.71989964243</v>
      </c>
      <c r="E74" s="317">
        <v>352661.33556000073</v>
      </c>
      <c r="F74" s="702">
        <v>4.6349999999999998</v>
      </c>
      <c r="G74" s="693">
        <v>0</v>
      </c>
      <c r="H74" s="693">
        <v>0</v>
      </c>
      <c r="I74" s="693">
        <v>0</v>
      </c>
      <c r="J74" s="693"/>
      <c r="K74" s="170"/>
      <c r="L74" s="318"/>
      <c r="M74" s="693"/>
      <c r="N74" s="318"/>
      <c r="O74" s="694">
        <v>17418.010200000001</v>
      </c>
      <c r="P74" s="703">
        <v>80732.477276999998</v>
      </c>
      <c r="Q74" s="693">
        <v>4.6350000000000007</v>
      </c>
      <c r="R74" s="677">
        <v>16660.336808944659</v>
      </c>
      <c r="S74" s="676">
        <v>77220.66110945851</v>
      </c>
      <c r="T74" s="705"/>
      <c r="U74" s="703"/>
      <c r="V74" s="695">
        <v>21.32853400000003</v>
      </c>
      <c r="W74" s="316">
        <v>16699.373324371081</v>
      </c>
      <c r="X74" s="318">
        <v>356173.15172754216</v>
      </c>
    </row>
    <row r="75" spans="1:24">
      <c r="A75" s="173" t="s">
        <v>1224</v>
      </c>
      <c r="B75" s="170" t="s">
        <v>346</v>
      </c>
      <c r="C75" s="319">
        <v>21.328534000000033</v>
      </c>
      <c r="D75" s="316">
        <v>16534.71989964243</v>
      </c>
      <c r="E75" s="317">
        <v>352661.33556000073</v>
      </c>
      <c r="F75" s="702">
        <v>4.6349999999999998</v>
      </c>
      <c r="G75" s="693">
        <v>0</v>
      </c>
      <c r="H75" s="693">
        <v>0</v>
      </c>
      <c r="I75" s="693">
        <v>0</v>
      </c>
      <c r="J75" s="693"/>
      <c r="K75" s="171"/>
      <c r="L75" s="318"/>
      <c r="M75" s="693"/>
      <c r="N75" s="318"/>
      <c r="O75" s="694"/>
      <c r="P75" s="703">
        <v>80732.477276999998</v>
      </c>
      <c r="Q75" s="702">
        <v>4.6350000000000007</v>
      </c>
      <c r="R75" s="694">
        <v>16660.336808944659</v>
      </c>
      <c r="S75" s="918">
        <v>77220.66110945851</v>
      </c>
      <c r="T75" s="314"/>
      <c r="U75" s="314"/>
      <c r="V75" s="695"/>
      <c r="W75" s="316"/>
      <c r="X75" s="704"/>
    </row>
    <row r="76" spans="1:24">
      <c r="A76" s="174" t="s">
        <v>1225</v>
      </c>
      <c r="B76" s="170" t="s">
        <v>346</v>
      </c>
      <c r="C76" s="319">
        <v>0</v>
      </c>
      <c r="D76" s="316">
        <v>0</v>
      </c>
      <c r="E76" s="317">
        <v>0</v>
      </c>
      <c r="F76" s="702"/>
      <c r="G76" s="693">
        <v>0</v>
      </c>
      <c r="H76" s="693">
        <v>0</v>
      </c>
      <c r="I76" s="693">
        <v>0</v>
      </c>
      <c r="J76" s="693"/>
      <c r="K76" s="318"/>
      <c r="L76" s="318"/>
      <c r="M76" s="693"/>
      <c r="N76" s="318"/>
      <c r="O76" s="694"/>
      <c r="P76" s="703"/>
      <c r="Q76" s="702"/>
      <c r="R76" s="694"/>
      <c r="S76" s="676">
        <v>0</v>
      </c>
      <c r="T76" s="313"/>
      <c r="U76" s="312"/>
      <c r="V76" s="695"/>
      <c r="W76" s="316"/>
      <c r="X76" s="704"/>
    </row>
    <row r="77" spans="1:24">
      <c r="A77" s="680" t="s">
        <v>1223</v>
      </c>
      <c r="B77" s="685" t="s">
        <v>1226</v>
      </c>
      <c r="C77" s="319"/>
      <c r="D77" s="316"/>
      <c r="E77" s="317"/>
      <c r="F77" s="693">
        <v>382.82799999999997</v>
      </c>
      <c r="G77" s="693">
        <v>0</v>
      </c>
      <c r="H77" s="693">
        <v>0</v>
      </c>
      <c r="I77" s="693">
        <v>0</v>
      </c>
      <c r="J77" s="693"/>
      <c r="K77" s="318"/>
      <c r="L77" s="318"/>
      <c r="M77" s="693"/>
      <c r="N77" s="318"/>
      <c r="O77" s="694">
        <v>5958.2819671436791</v>
      </c>
      <c r="P77" s="318">
        <v>2280997.1689176802</v>
      </c>
      <c r="Q77" s="702">
        <v>382.82799999999997</v>
      </c>
      <c r="R77" s="677">
        <v>5958.28</v>
      </c>
      <c r="S77" s="676">
        <v>2280997.1689176802</v>
      </c>
      <c r="T77" s="313"/>
      <c r="U77" s="312"/>
      <c r="V77" s="695"/>
      <c r="W77" s="316"/>
      <c r="X77" s="317"/>
    </row>
    <row r="78" spans="1:24">
      <c r="A78" s="173" t="s">
        <v>1224</v>
      </c>
      <c r="B78" s="170" t="s">
        <v>1226</v>
      </c>
      <c r="C78" s="319"/>
      <c r="D78" s="316"/>
      <c r="E78" s="317"/>
      <c r="F78" s="702">
        <v>106.79400000000001</v>
      </c>
      <c r="G78" s="693">
        <v>0</v>
      </c>
      <c r="H78" s="693">
        <v>0</v>
      </c>
      <c r="I78" s="693">
        <v>0</v>
      </c>
      <c r="J78" s="693"/>
      <c r="K78" s="318"/>
      <c r="L78" s="318"/>
      <c r="M78" s="693"/>
      <c r="N78" s="318"/>
      <c r="O78" s="694">
        <v>5971.8555822754088</v>
      </c>
      <c r="P78" s="318">
        <v>637758.34505352005</v>
      </c>
      <c r="Q78" s="702">
        <v>106.79400000000001</v>
      </c>
      <c r="R78" s="694">
        <v>5971.8555822754088</v>
      </c>
      <c r="S78" s="918">
        <v>637758.34505352005</v>
      </c>
      <c r="T78" s="313"/>
      <c r="U78" s="312"/>
      <c r="V78" s="695"/>
      <c r="W78" s="316"/>
      <c r="X78" s="317"/>
    </row>
    <row r="79" spans="1:24">
      <c r="A79" s="173" t="s">
        <v>1227</v>
      </c>
      <c r="B79" s="170" t="s">
        <v>1226</v>
      </c>
      <c r="C79" s="319"/>
      <c r="D79" s="316"/>
      <c r="E79" s="317"/>
      <c r="F79" s="702">
        <v>276.03399999999999</v>
      </c>
      <c r="G79" s="693">
        <v>0</v>
      </c>
      <c r="H79" s="693">
        <v>0</v>
      </c>
      <c r="I79" s="693">
        <v>0</v>
      </c>
      <c r="J79" s="693"/>
      <c r="K79" s="318"/>
      <c r="L79" s="318"/>
      <c r="M79" s="693"/>
      <c r="N79" s="318"/>
      <c r="O79" s="694">
        <v>5953.0305102420725</v>
      </c>
      <c r="P79" s="318">
        <v>1643238.8238641601</v>
      </c>
      <c r="Q79" s="702">
        <v>276.03399999999999</v>
      </c>
      <c r="R79" s="694">
        <v>5953.0305102420725</v>
      </c>
      <c r="S79" s="918">
        <v>1643238.8238641601</v>
      </c>
      <c r="T79" s="313"/>
      <c r="U79" s="312"/>
      <c r="V79" s="695"/>
      <c r="W79" s="316"/>
      <c r="X79" s="317"/>
    </row>
    <row r="80" spans="1:24">
      <c r="A80" s="689" t="s">
        <v>1228</v>
      </c>
      <c r="B80" s="685" t="s">
        <v>1229</v>
      </c>
      <c r="C80" s="319">
        <v>0.21661699999999998</v>
      </c>
      <c r="D80" s="316">
        <v>27898.691427727277</v>
      </c>
      <c r="E80" s="317">
        <v>6043.3308409999991</v>
      </c>
      <c r="F80" s="702">
        <v>0.106</v>
      </c>
      <c r="G80" s="693">
        <v>0</v>
      </c>
      <c r="H80" s="693">
        <v>0</v>
      </c>
      <c r="I80" s="693">
        <v>0</v>
      </c>
      <c r="J80" s="693"/>
      <c r="K80" s="318"/>
      <c r="L80" s="318"/>
      <c r="M80" s="693"/>
      <c r="N80" s="318"/>
      <c r="O80" s="694">
        <v>29939.830508474581</v>
      </c>
      <c r="P80" s="703">
        <v>3173.6220338983053</v>
      </c>
      <c r="Q80" s="702">
        <v>0.106</v>
      </c>
      <c r="R80" s="694">
        <v>28460.918825052831</v>
      </c>
      <c r="S80" s="918">
        <v>3016.8573954556</v>
      </c>
      <c r="T80" s="313"/>
      <c r="U80" s="312"/>
      <c r="V80" s="695">
        <v>0.216617</v>
      </c>
      <c r="W80" s="316">
        <v>28622.386421392159</v>
      </c>
      <c r="X80" s="318">
        <v>6200.0954794427053</v>
      </c>
    </row>
    <row r="81" spans="1:24">
      <c r="A81" s="1897" t="s">
        <v>1230</v>
      </c>
      <c r="B81" s="685" t="s">
        <v>1210</v>
      </c>
      <c r="C81" s="319">
        <v>1.0373859999999961</v>
      </c>
      <c r="D81" s="316">
        <v>4548.1305994104487</v>
      </c>
      <c r="E81" s="317">
        <v>4718.1670099999901</v>
      </c>
      <c r="F81" s="702">
        <v>9.4450000000000003</v>
      </c>
      <c r="G81" s="693">
        <v>0</v>
      </c>
      <c r="H81" s="693">
        <v>0</v>
      </c>
      <c r="I81" s="693">
        <v>0</v>
      </c>
      <c r="J81" s="693"/>
      <c r="K81" s="318"/>
      <c r="L81" s="318"/>
      <c r="M81" s="693"/>
      <c r="N81" s="318"/>
      <c r="O81" s="694">
        <v>4870.5477713075697</v>
      </c>
      <c r="P81" s="703">
        <v>46002.323700000001</v>
      </c>
      <c r="Q81" s="693">
        <v>9.4450000000000003</v>
      </c>
      <c r="R81" s="694">
        <v>4829.2933810378508</v>
      </c>
      <c r="S81" s="918">
        <v>45612.675983902504</v>
      </c>
      <c r="T81" s="313"/>
      <c r="U81" s="312"/>
      <c r="V81" s="695">
        <v>1.0373859999999961</v>
      </c>
      <c r="W81" s="316">
        <v>4923.7159344520805</v>
      </c>
      <c r="X81" s="921">
        <v>5107.8147260974874</v>
      </c>
    </row>
    <row r="82" spans="1:24">
      <c r="A82" s="1898"/>
      <c r="B82" s="685" t="s">
        <v>178</v>
      </c>
      <c r="C82" s="319">
        <v>2.5280980000000142</v>
      </c>
      <c r="D82" s="316">
        <v>16943.17333030601</v>
      </c>
      <c r="E82" s="317">
        <v>42834.002610000207</v>
      </c>
      <c r="F82" s="702">
        <v>72.448000000000008</v>
      </c>
      <c r="G82" s="693">
        <v>0</v>
      </c>
      <c r="H82" s="693">
        <v>0</v>
      </c>
      <c r="I82" s="693">
        <v>0</v>
      </c>
      <c r="J82" s="693"/>
      <c r="K82" s="318"/>
      <c r="L82" s="318"/>
      <c r="M82" s="693"/>
      <c r="N82" s="318"/>
      <c r="O82" s="694">
        <v>17909.482373144874</v>
      </c>
      <c r="P82" s="703">
        <v>1297506.1789696</v>
      </c>
      <c r="Q82" s="693">
        <v>72.448000000000008</v>
      </c>
      <c r="R82" s="694">
        <v>17875.293279118028</v>
      </c>
      <c r="S82" s="918">
        <v>1295029.2474855431</v>
      </c>
      <c r="T82" s="313"/>
      <c r="U82" s="312"/>
      <c r="V82" s="695">
        <v>2.5280980000000142</v>
      </c>
      <c r="W82" s="316">
        <v>17922.964195611454</v>
      </c>
      <c r="X82" s="921">
        <v>45310.934094057186</v>
      </c>
    </row>
    <row r="83" spans="1:24">
      <c r="A83" s="1903"/>
      <c r="B83" s="685" t="s">
        <v>1211</v>
      </c>
      <c r="C83" s="686"/>
      <c r="D83" s="687"/>
      <c r="E83" s="688"/>
      <c r="F83" s="702">
        <v>11.403</v>
      </c>
      <c r="G83" s="693">
        <v>0</v>
      </c>
      <c r="H83" s="693">
        <v>0</v>
      </c>
      <c r="I83" s="693">
        <v>0</v>
      </c>
      <c r="J83" s="693"/>
      <c r="K83" s="318"/>
      <c r="L83" s="318"/>
      <c r="M83" s="693"/>
      <c r="N83" s="318"/>
      <c r="O83" s="694">
        <v>5937.6020845856356</v>
      </c>
      <c r="P83" s="703">
        <v>67706.476570530009</v>
      </c>
      <c r="Q83" s="693">
        <v>11.403</v>
      </c>
      <c r="R83" s="694">
        <v>5937.6020845856347</v>
      </c>
      <c r="S83" s="918">
        <v>67706.476570529994</v>
      </c>
      <c r="T83" s="313"/>
      <c r="U83" s="312"/>
      <c r="V83" s="695"/>
      <c r="W83" s="316"/>
      <c r="X83" s="317"/>
    </row>
    <row r="84" spans="1:24">
      <c r="A84" s="689"/>
      <c r="B84" s="685"/>
      <c r="C84" s="690"/>
      <c r="D84" s="691"/>
      <c r="E84" s="692"/>
      <c r="F84" s="693"/>
      <c r="G84" s="693">
        <v>0</v>
      </c>
      <c r="H84" s="693">
        <v>0</v>
      </c>
      <c r="I84" s="693">
        <v>0</v>
      </c>
      <c r="J84" s="693"/>
      <c r="K84" s="318"/>
      <c r="L84" s="318"/>
      <c r="M84" s="693"/>
      <c r="N84" s="318"/>
      <c r="O84" s="694"/>
      <c r="P84" s="318"/>
      <c r="Q84" s="693"/>
      <c r="R84" s="694"/>
      <c r="S84" s="318"/>
      <c r="T84" s="313"/>
      <c r="U84" s="312"/>
      <c r="V84" s="695"/>
      <c r="W84" s="316"/>
      <c r="X84" s="317"/>
    </row>
    <row r="85" spans="1:24" ht="13.5" thickBot="1">
      <c r="A85" s="696" t="s">
        <v>435</v>
      </c>
      <c r="B85" s="697"/>
      <c r="C85" s="698">
        <v>25.110635000000045</v>
      </c>
      <c r="D85" s="701">
        <v>16178.68</v>
      </c>
      <c r="E85" s="700">
        <v>406256.83602100093</v>
      </c>
      <c r="F85" s="698">
        <v>480.86500000000001</v>
      </c>
      <c r="G85" s="693">
        <v>0</v>
      </c>
      <c r="H85" s="693">
        <v>0</v>
      </c>
      <c r="I85" s="693">
        <v>0</v>
      </c>
      <c r="J85" s="693"/>
      <c r="K85" s="318"/>
      <c r="L85" s="318"/>
      <c r="M85" s="693"/>
      <c r="N85" s="318"/>
      <c r="O85" s="701">
        <v>7852.76</v>
      </c>
      <c r="P85" s="700">
        <v>3776118.2474687081</v>
      </c>
      <c r="Q85" s="698">
        <v>480.86500000000001</v>
      </c>
      <c r="R85" s="701">
        <v>7839.17</v>
      </c>
      <c r="S85" s="700">
        <v>3769583.0874625701</v>
      </c>
      <c r="T85" s="313"/>
      <c r="U85" s="312"/>
      <c r="V85" s="698">
        <v>25.110635000000038</v>
      </c>
      <c r="W85" s="699">
        <v>16438.93</v>
      </c>
      <c r="X85" s="700">
        <v>412791.99602713954</v>
      </c>
    </row>
    <row r="86" spans="1:24">
      <c r="A86" s="1900" t="s">
        <v>1828</v>
      </c>
      <c r="B86" s="1901"/>
      <c r="C86" s="1901"/>
      <c r="D86" s="1901"/>
      <c r="E86" s="1901"/>
      <c r="F86" s="1901"/>
      <c r="G86" s="1901"/>
      <c r="H86" s="1901"/>
      <c r="I86" s="1901"/>
      <c r="J86" s="1901"/>
      <c r="K86" s="1901"/>
      <c r="L86" s="1901"/>
      <c r="M86" s="1901"/>
      <c r="N86" s="1901"/>
      <c r="O86" s="1901"/>
      <c r="P86" s="1901"/>
      <c r="Q86" s="1901"/>
      <c r="R86" s="1901"/>
      <c r="S86" s="1901"/>
      <c r="T86" s="1901"/>
      <c r="U86" s="1901"/>
      <c r="V86" s="1901"/>
      <c r="W86" s="1901"/>
      <c r="X86" s="1902"/>
    </row>
    <row r="87" spans="1:24">
      <c r="A87" s="680" t="s">
        <v>1223</v>
      </c>
      <c r="B87" s="681" t="s">
        <v>346</v>
      </c>
      <c r="C87" s="319">
        <v>20.16657300000001</v>
      </c>
      <c r="D87" s="316">
        <v>16676.753849550922</v>
      </c>
      <c r="E87" s="317">
        <v>336312.97390999983</v>
      </c>
      <c r="F87" s="702">
        <v>73.258786999999998</v>
      </c>
      <c r="G87" s="693">
        <v>0</v>
      </c>
      <c r="H87" s="693">
        <v>0</v>
      </c>
      <c r="I87" s="693">
        <v>0</v>
      </c>
      <c r="J87" s="693"/>
      <c r="K87" s="171"/>
      <c r="L87" s="318"/>
      <c r="M87" s="693"/>
      <c r="N87" s="318"/>
      <c r="O87" s="694">
        <v>16073.450538977666</v>
      </c>
      <c r="P87" s="703">
        <v>1177521.48939</v>
      </c>
      <c r="Q87" s="702">
        <v>1.2789999999999999</v>
      </c>
      <c r="R87" s="694">
        <v>16671.499976544175</v>
      </c>
      <c r="S87" s="918">
        <v>21322.848470000001</v>
      </c>
      <c r="T87" s="1669">
        <v>68.775240999999994</v>
      </c>
      <c r="U87" s="314">
        <v>1107730.6867899999</v>
      </c>
      <c r="V87" s="695">
        <v>23.157921000000023</v>
      </c>
      <c r="W87" s="316">
        <v>16463.960428053953</v>
      </c>
      <c r="X87" s="317">
        <v>381271.09493999998</v>
      </c>
    </row>
    <row r="88" spans="1:24">
      <c r="A88" s="173" t="s">
        <v>1224</v>
      </c>
      <c r="B88" s="170" t="s">
        <v>346</v>
      </c>
      <c r="C88" s="319">
        <v>0</v>
      </c>
      <c r="D88" s="316">
        <v>0</v>
      </c>
      <c r="E88" s="317">
        <v>0</v>
      </c>
      <c r="F88" s="702"/>
      <c r="G88" s="693">
        <v>0</v>
      </c>
      <c r="H88" s="693">
        <v>0</v>
      </c>
      <c r="I88" s="693">
        <v>0</v>
      </c>
      <c r="J88" s="693"/>
      <c r="K88" s="171"/>
      <c r="L88" s="318"/>
      <c r="M88" s="693"/>
      <c r="N88" s="318"/>
      <c r="O88" s="694"/>
      <c r="P88" s="703"/>
      <c r="Q88" s="702"/>
      <c r="R88" s="694" t="e">
        <v>#DIV/0!</v>
      </c>
      <c r="S88" s="918"/>
      <c r="T88" s="314"/>
      <c r="U88" s="314"/>
      <c r="V88" s="695"/>
      <c r="W88" s="316"/>
      <c r="X88" s="704"/>
    </row>
    <row r="89" spans="1:24">
      <c r="A89" s="174" t="s">
        <v>1225</v>
      </c>
      <c r="B89" s="170" t="s">
        <v>346</v>
      </c>
      <c r="C89" s="319">
        <v>0</v>
      </c>
      <c r="D89" s="316">
        <v>0</v>
      </c>
      <c r="E89" s="317">
        <v>0</v>
      </c>
      <c r="F89" s="702"/>
      <c r="G89" s="693">
        <v>0</v>
      </c>
      <c r="H89" s="693">
        <v>0</v>
      </c>
      <c r="I89" s="693">
        <v>0</v>
      </c>
      <c r="J89" s="693"/>
      <c r="K89" s="318"/>
      <c r="L89" s="318"/>
      <c r="M89" s="693"/>
      <c r="N89" s="318"/>
      <c r="O89" s="694"/>
      <c r="P89" s="703"/>
      <c r="Q89" s="702"/>
      <c r="R89" s="694" t="e">
        <v>#DIV/0!</v>
      </c>
      <c r="S89" s="918"/>
      <c r="T89" s="313"/>
      <c r="U89" s="312"/>
      <c r="V89" s="695"/>
      <c r="W89" s="316"/>
      <c r="X89" s="704"/>
    </row>
    <row r="90" spans="1:24">
      <c r="A90" s="680" t="s">
        <v>1223</v>
      </c>
      <c r="B90" s="685" t="s">
        <v>1226</v>
      </c>
      <c r="C90" s="319"/>
      <c r="D90" s="316"/>
      <c r="E90" s="317"/>
      <c r="F90" s="693">
        <v>365.09899999999999</v>
      </c>
      <c r="G90" s="693">
        <v>0</v>
      </c>
      <c r="H90" s="693">
        <v>0</v>
      </c>
      <c r="I90" s="693">
        <v>0</v>
      </c>
      <c r="J90" s="693"/>
      <c r="K90" s="318"/>
      <c r="L90" s="318"/>
      <c r="M90" s="693"/>
      <c r="N90" s="318"/>
      <c r="O90" s="694">
        <v>6333.885409820351</v>
      </c>
      <c r="P90" s="318">
        <v>2312495.2292400002</v>
      </c>
      <c r="Q90" s="693">
        <v>366.31888000000004</v>
      </c>
      <c r="R90" s="694">
        <v>6312.7929121207189</v>
      </c>
      <c r="S90" s="676">
        <v>2312495.2292400002</v>
      </c>
      <c r="T90" s="313"/>
      <c r="U90" s="312"/>
      <c r="V90" s="695"/>
      <c r="W90" s="316"/>
      <c r="X90" s="317"/>
    </row>
    <row r="91" spans="1:24">
      <c r="A91" s="173" t="s">
        <v>1224</v>
      </c>
      <c r="B91" s="170" t="s">
        <v>1226</v>
      </c>
      <c r="C91" s="319"/>
      <c r="D91" s="316"/>
      <c r="E91" s="317"/>
      <c r="F91" s="702">
        <v>106.65266699999999</v>
      </c>
      <c r="G91" s="693">
        <v>0</v>
      </c>
      <c r="H91" s="693">
        <v>0</v>
      </c>
      <c r="I91" s="693">
        <v>0</v>
      </c>
      <c r="J91" s="693"/>
      <c r="K91" s="318"/>
      <c r="L91" s="318"/>
      <c r="M91" s="693"/>
      <c r="N91" s="318"/>
      <c r="O91" s="694">
        <v>6328.4208393025947</v>
      </c>
      <c r="P91" s="318">
        <v>674942.96041000006</v>
      </c>
      <c r="Q91" s="693">
        <v>106.65266699999999</v>
      </c>
      <c r="R91" s="694">
        <v>6328.4008393025942</v>
      </c>
      <c r="S91" s="918">
        <v>674942.96041000006</v>
      </c>
      <c r="T91" s="313"/>
      <c r="U91" s="312"/>
      <c r="V91" s="695"/>
      <c r="W91" s="316"/>
      <c r="X91" s="317"/>
    </row>
    <row r="92" spans="1:24">
      <c r="A92" s="173" t="s">
        <v>1227</v>
      </c>
      <c r="B92" s="170" t="s">
        <v>1226</v>
      </c>
      <c r="C92" s="319"/>
      <c r="D92" s="316"/>
      <c r="E92" s="317"/>
      <c r="F92" s="702">
        <v>259.66621300000003</v>
      </c>
      <c r="G92" s="693">
        <v>0</v>
      </c>
      <c r="H92" s="693">
        <v>0</v>
      </c>
      <c r="I92" s="693">
        <v>0</v>
      </c>
      <c r="J92" s="693"/>
      <c r="K92" s="318"/>
      <c r="L92" s="318"/>
      <c r="M92" s="693"/>
      <c r="N92" s="318"/>
      <c r="O92" s="694">
        <v>6306.3740557960064</v>
      </c>
      <c r="P92" s="318">
        <v>1637552.26883</v>
      </c>
      <c r="Q92" s="693">
        <v>259.66621300000003</v>
      </c>
      <c r="R92" s="694">
        <v>6306.3840557960066</v>
      </c>
      <c r="S92" s="918">
        <v>1637552.26883</v>
      </c>
      <c r="T92" s="313"/>
      <c r="U92" s="312"/>
      <c r="V92" s="695"/>
      <c r="W92" s="316"/>
      <c r="X92" s="317"/>
    </row>
    <row r="93" spans="1:24" ht="15">
      <c r="A93" s="689" t="s">
        <v>1228</v>
      </c>
      <c r="B93" s="685" t="s">
        <v>1229</v>
      </c>
      <c r="C93" s="319">
        <v>0.24397599999999997</v>
      </c>
      <c r="D93" s="1689">
        <v>28067.810686297016</v>
      </c>
      <c r="E93" s="317">
        <v>6847.8721800000003</v>
      </c>
      <c r="F93" s="702">
        <v>0.119187</v>
      </c>
      <c r="G93" s="693">
        <v>0</v>
      </c>
      <c r="H93" s="693">
        <v>0</v>
      </c>
      <c r="I93" s="693">
        <v>0</v>
      </c>
      <c r="J93" s="693"/>
      <c r="K93" s="318"/>
      <c r="L93" s="318"/>
      <c r="M93" s="693"/>
      <c r="N93" s="318"/>
      <c r="O93" s="694">
        <v>34275.745844764948</v>
      </c>
      <c r="P93" s="703">
        <v>4085.2233200000001</v>
      </c>
      <c r="Q93" s="693">
        <v>7.8756000000000007E-2</v>
      </c>
      <c r="R93" s="694">
        <v>29833.883513637054</v>
      </c>
      <c r="S93" s="918">
        <v>2349.5973300000001</v>
      </c>
      <c r="T93" s="313"/>
      <c r="U93" s="312"/>
      <c r="V93" s="695">
        <v>0.26536500000000002</v>
      </c>
      <c r="W93" s="316">
        <v>30173.422342810842</v>
      </c>
      <c r="X93" s="919">
        <v>8006.9702199999992</v>
      </c>
    </row>
    <row r="94" spans="1:24" ht="15">
      <c r="A94" s="1897" t="s">
        <v>1230</v>
      </c>
      <c r="B94" s="685" t="s">
        <v>1210</v>
      </c>
      <c r="C94" s="1695">
        <v>2.614357</v>
      </c>
      <c r="D94" s="1690">
        <v>4631.4205443250476</v>
      </c>
      <c r="E94" s="317">
        <v>12108.18672</v>
      </c>
      <c r="F94" s="702">
        <v>7.75617</v>
      </c>
      <c r="G94" s="693">
        <v>0</v>
      </c>
      <c r="H94" s="693">
        <v>0</v>
      </c>
      <c r="I94" s="693">
        <v>0</v>
      </c>
      <c r="J94" s="693"/>
      <c r="K94" s="318"/>
      <c r="L94" s="318"/>
      <c r="M94" s="693"/>
      <c r="N94" s="318"/>
      <c r="O94" s="694">
        <v>4647.5109403223496</v>
      </c>
      <c r="P94" s="703">
        <v>36046.88493</v>
      </c>
      <c r="Q94" s="702">
        <v>8.7394639999999999</v>
      </c>
      <c r="R94" s="694">
        <v>4655.5212173195059</v>
      </c>
      <c r="S94" s="918">
        <v>40686.76008</v>
      </c>
      <c r="T94" s="313"/>
      <c r="U94" s="312"/>
      <c r="V94" s="695">
        <v>1.6310629999999993</v>
      </c>
      <c r="W94" s="316">
        <v>4578.8001873624753</v>
      </c>
      <c r="X94" s="919">
        <v>7468.311569999998</v>
      </c>
    </row>
    <row r="95" spans="1:24" ht="15">
      <c r="A95" s="1898"/>
      <c r="B95" s="685" t="s">
        <v>178</v>
      </c>
      <c r="C95" s="319">
        <v>2.3350979999999946</v>
      </c>
      <c r="D95" s="1691">
        <v>17076.800464049058</v>
      </c>
      <c r="E95" s="317">
        <v>39876.00260999993</v>
      </c>
      <c r="F95" s="702">
        <v>52.785432</v>
      </c>
      <c r="G95" s="693">
        <v>0</v>
      </c>
      <c r="H95" s="693">
        <v>0</v>
      </c>
      <c r="I95" s="693">
        <v>0</v>
      </c>
      <c r="J95" s="693"/>
      <c r="K95" s="318"/>
      <c r="L95" s="318"/>
      <c r="M95" s="693"/>
      <c r="N95" s="318"/>
      <c r="O95" s="694">
        <v>16585.404737996651</v>
      </c>
      <c r="P95" s="703">
        <v>875467.75399</v>
      </c>
      <c r="Q95" s="702">
        <v>52.922111000000001</v>
      </c>
      <c r="R95" s="694">
        <v>16590.346090880616</v>
      </c>
      <c r="S95" s="918">
        <v>877996.13734999998</v>
      </c>
      <c r="T95" s="313"/>
      <c r="U95" s="312"/>
      <c r="V95" s="695">
        <v>2.1984189999999941</v>
      </c>
      <c r="W95" s="316">
        <v>16986.989049498792</v>
      </c>
      <c r="X95" s="919">
        <v>37347.619249999989</v>
      </c>
    </row>
    <row r="96" spans="1:24">
      <c r="A96" s="1903"/>
      <c r="B96" s="685" t="s">
        <v>1211</v>
      </c>
      <c r="C96" s="686"/>
      <c r="D96" s="687"/>
      <c r="E96" s="688"/>
      <c r="F96" s="702">
        <v>12.122403</v>
      </c>
      <c r="G96" s="693">
        <v>0</v>
      </c>
      <c r="H96" s="693">
        <v>0</v>
      </c>
      <c r="I96" s="693">
        <v>0</v>
      </c>
      <c r="J96" s="693"/>
      <c r="K96" s="318"/>
      <c r="L96" s="318"/>
      <c r="M96" s="693"/>
      <c r="N96" s="318"/>
      <c r="O96" s="694">
        <v>6320.7074273970265</v>
      </c>
      <c r="P96" s="318">
        <v>76622.162679999994</v>
      </c>
      <c r="Q96" s="693">
        <v>12.122403</v>
      </c>
      <c r="R96" s="694">
        <v>6320.7074273970265</v>
      </c>
      <c r="S96" s="918">
        <v>76622.162679999994</v>
      </c>
      <c r="T96" s="313"/>
      <c r="U96" s="312"/>
      <c r="V96" s="695"/>
      <c r="W96" s="316"/>
      <c r="X96" s="317"/>
    </row>
    <row r="97" spans="1:24">
      <c r="A97" s="689"/>
      <c r="B97" s="685"/>
      <c r="C97" s="690"/>
      <c r="D97" s="691"/>
      <c r="E97" s="692"/>
      <c r="F97" s="693"/>
      <c r="G97" s="693">
        <v>0</v>
      </c>
      <c r="H97" s="693">
        <v>0</v>
      </c>
      <c r="I97" s="693">
        <v>0</v>
      </c>
      <c r="J97" s="693"/>
      <c r="K97" s="318"/>
      <c r="L97" s="318"/>
      <c r="M97" s="693"/>
      <c r="N97" s="318"/>
      <c r="O97" s="694"/>
      <c r="P97" s="318"/>
      <c r="Q97" s="693"/>
      <c r="R97" s="694"/>
      <c r="S97" s="318"/>
      <c r="T97" s="313"/>
      <c r="U97" s="312"/>
      <c r="V97" s="695"/>
      <c r="W97" s="316"/>
      <c r="X97" s="317"/>
    </row>
    <row r="98" spans="1:24" ht="13.5" thickBot="1">
      <c r="A98" s="696" t="s">
        <v>435</v>
      </c>
      <c r="B98" s="697"/>
      <c r="C98" s="698">
        <v>25.360004000000004</v>
      </c>
      <c r="D98" s="701">
        <v>15581.43</v>
      </c>
      <c r="E98" s="700">
        <v>395145.03541999974</v>
      </c>
      <c r="F98" s="698">
        <v>511.14097900000002</v>
      </c>
      <c r="G98" s="693">
        <v>0</v>
      </c>
      <c r="H98" s="693">
        <v>0</v>
      </c>
      <c r="I98" s="693">
        <v>0</v>
      </c>
      <c r="J98" s="693"/>
      <c r="K98" s="318"/>
      <c r="L98" s="318"/>
      <c r="M98" s="693"/>
      <c r="N98" s="318"/>
      <c r="O98" s="701">
        <v>8769.09</v>
      </c>
      <c r="P98" s="700">
        <v>4482238.7435499998</v>
      </c>
      <c r="Q98" s="698">
        <v>441.46061400000002</v>
      </c>
      <c r="R98" s="701">
        <v>7546.48</v>
      </c>
      <c r="S98" s="700">
        <v>3331472.7351500001</v>
      </c>
      <c r="T98" s="1406">
        <v>68.775240999999994</v>
      </c>
      <c r="U98" s="700">
        <v>1107730.6867899999</v>
      </c>
      <c r="V98" s="698">
        <v>27.252768000000017</v>
      </c>
      <c r="W98" s="701">
        <v>15928.44</v>
      </c>
      <c r="X98" s="700">
        <v>434093.99598000001</v>
      </c>
    </row>
    <row r="99" spans="1:24">
      <c r="A99" s="1900" t="s">
        <v>1881</v>
      </c>
      <c r="B99" s="1901"/>
      <c r="C99" s="1901"/>
      <c r="D99" s="1901"/>
      <c r="E99" s="1901"/>
      <c r="F99" s="1901"/>
      <c r="G99" s="1901"/>
      <c r="H99" s="1901"/>
      <c r="I99" s="1901"/>
      <c r="J99" s="1901"/>
      <c r="K99" s="1901"/>
      <c r="L99" s="1901"/>
      <c r="M99" s="1901"/>
      <c r="N99" s="1901"/>
      <c r="O99" s="1901"/>
      <c r="P99" s="1901"/>
      <c r="Q99" s="1901"/>
      <c r="R99" s="1901"/>
      <c r="S99" s="1901"/>
      <c r="T99" s="1901"/>
      <c r="U99" s="1901"/>
      <c r="V99" s="1901"/>
      <c r="W99" s="1901"/>
      <c r="X99" s="1902"/>
    </row>
    <row r="100" spans="1:24">
      <c r="A100" s="680" t="s">
        <v>1223</v>
      </c>
      <c r="B100" s="681" t="s">
        <v>346</v>
      </c>
      <c r="C100" s="319">
        <v>20.964573000000016</v>
      </c>
      <c r="D100" s="316">
        <v>16140.051906645087</v>
      </c>
      <c r="E100" s="317">
        <v>338369.29642065038</v>
      </c>
      <c r="F100" s="702">
        <v>14.745255474452556</v>
      </c>
      <c r="G100" s="693">
        <v>0</v>
      </c>
      <c r="H100" s="693">
        <v>0</v>
      </c>
      <c r="I100" s="693">
        <v>0</v>
      </c>
      <c r="J100" s="693"/>
      <c r="K100" s="170"/>
      <c r="L100" s="318"/>
      <c r="M100" s="693"/>
      <c r="N100" s="318"/>
      <c r="O100" s="694">
        <v>16857.376</v>
      </c>
      <c r="P100" s="703">
        <v>248566.31574890512</v>
      </c>
      <c r="Q100" s="702">
        <v>14.745255474452556</v>
      </c>
      <c r="R100" s="677">
        <v>16399.787329865503</v>
      </c>
      <c r="S100" s="918">
        <v>241819.05390555697</v>
      </c>
      <c r="T100" s="705"/>
      <c r="U100" s="703"/>
      <c r="V100" s="695">
        <v>20.964573000000016</v>
      </c>
      <c r="W100" s="316">
        <v>16461.893035646288</v>
      </c>
      <c r="X100" s="317">
        <v>345116.55826399848</v>
      </c>
    </row>
    <row r="101" spans="1:24">
      <c r="A101" s="173" t="s">
        <v>1224</v>
      </c>
      <c r="B101" s="170" t="s">
        <v>346</v>
      </c>
      <c r="C101" s="319"/>
      <c r="D101" s="316"/>
      <c r="E101" s="317"/>
      <c r="F101" s="702"/>
      <c r="G101" s="693">
        <v>0</v>
      </c>
      <c r="H101" s="693">
        <v>0</v>
      </c>
      <c r="I101" s="693">
        <v>0</v>
      </c>
      <c r="J101" s="693"/>
      <c r="K101" s="171"/>
      <c r="L101" s="318"/>
      <c r="M101" s="693"/>
      <c r="N101" s="318"/>
      <c r="O101" s="694"/>
      <c r="P101" s="703"/>
      <c r="Q101" s="702">
        <v>0</v>
      </c>
      <c r="R101" s="694">
        <v>18897.192631391426</v>
      </c>
      <c r="S101" s="918">
        <v>0</v>
      </c>
      <c r="T101" s="314"/>
      <c r="U101" s="314"/>
      <c r="V101" s="695"/>
      <c r="W101" s="316"/>
      <c r="X101" s="704"/>
    </row>
    <row r="102" spans="1:24">
      <c r="A102" s="174" t="s">
        <v>1225</v>
      </c>
      <c r="B102" s="170" t="s">
        <v>346</v>
      </c>
      <c r="C102" s="319"/>
      <c r="D102" s="316"/>
      <c r="E102" s="317"/>
      <c r="F102" s="702"/>
      <c r="G102" s="693">
        <v>0</v>
      </c>
      <c r="H102" s="693">
        <v>0</v>
      </c>
      <c r="I102" s="693">
        <v>0</v>
      </c>
      <c r="J102" s="693"/>
      <c r="K102" s="318"/>
      <c r="L102" s="318"/>
      <c r="M102" s="693"/>
      <c r="N102" s="318"/>
      <c r="O102" s="694"/>
      <c r="P102" s="703"/>
      <c r="Q102" s="702">
        <v>0</v>
      </c>
      <c r="R102" s="694">
        <v>18897.192631391426</v>
      </c>
      <c r="S102" s="918">
        <v>0</v>
      </c>
      <c r="T102" s="313"/>
      <c r="U102" s="312"/>
      <c r="V102" s="695"/>
      <c r="W102" s="316"/>
      <c r="X102" s="704"/>
    </row>
    <row r="103" spans="1:24">
      <c r="A103" s="680" t="s">
        <v>1223</v>
      </c>
      <c r="B103" s="685" t="s">
        <v>1226</v>
      </c>
      <c r="C103" s="319"/>
      <c r="D103" s="316"/>
      <c r="E103" s="317"/>
      <c r="F103" s="693">
        <v>363.2677704031787</v>
      </c>
      <c r="G103" s="693">
        <v>0</v>
      </c>
      <c r="H103" s="693">
        <v>0</v>
      </c>
      <c r="I103" s="693">
        <v>0</v>
      </c>
      <c r="J103" s="693"/>
      <c r="K103" s="318"/>
      <c r="L103" s="318"/>
      <c r="M103" s="693"/>
      <c r="N103" s="318"/>
      <c r="O103" s="694">
        <v>6257.6788969008103</v>
      </c>
      <c r="P103" s="318">
        <v>2273213.0607761801</v>
      </c>
      <c r="Q103" s="693">
        <v>363.2677704031787</v>
      </c>
      <c r="R103" s="677">
        <v>6257.6788969008103</v>
      </c>
      <c r="S103" s="676">
        <v>2273213.0607761801</v>
      </c>
      <c r="T103" s="313"/>
      <c r="U103" s="312"/>
      <c r="V103" s="695"/>
      <c r="W103" s="316"/>
      <c r="X103" s="317"/>
    </row>
    <row r="104" spans="1:24">
      <c r="A104" s="173" t="s">
        <v>1224</v>
      </c>
      <c r="B104" s="170" t="s">
        <v>1226</v>
      </c>
      <c r="C104" s="319"/>
      <c r="D104" s="316"/>
      <c r="E104" s="317"/>
      <c r="F104" s="702">
        <v>91.884453155000074</v>
      </c>
      <c r="G104" s="693">
        <v>0</v>
      </c>
      <c r="H104" s="693">
        <v>0</v>
      </c>
      <c r="I104" s="693">
        <v>0</v>
      </c>
      <c r="J104" s="693"/>
      <c r="K104" s="318"/>
      <c r="L104" s="318"/>
      <c r="M104" s="693"/>
      <c r="N104" s="318"/>
      <c r="O104" s="694">
        <v>6268.6571166011672</v>
      </c>
      <c r="P104" s="318">
        <v>575992.13117509778</v>
      </c>
      <c r="Q104" s="693">
        <v>91.884453155000074</v>
      </c>
      <c r="R104" s="694">
        <v>6268.6571166011672</v>
      </c>
      <c r="S104" s="918">
        <v>575992.13117509778</v>
      </c>
      <c r="T104" s="313"/>
      <c r="U104" s="312"/>
      <c r="V104" s="695"/>
      <c r="W104" s="316"/>
      <c r="X104" s="317"/>
    </row>
    <row r="105" spans="1:24">
      <c r="A105" s="173" t="s">
        <v>1227</v>
      </c>
      <c r="B105" s="170" t="s">
        <v>1226</v>
      </c>
      <c r="C105" s="319"/>
      <c r="D105" s="316"/>
      <c r="E105" s="317"/>
      <c r="F105" s="702">
        <v>271.38331724817857</v>
      </c>
      <c r="G105" s="693">
        <v>0</v>
      </c>
      <c r="H105" s="693">
        <v>0</v>
      </c>
      <c r="I105" s="693">
        <v>0</v>
      </c>
      <c r="J105" s="693"/>
      <c r="K105" s="318"/>
      <c r="L105" s="318"/>
      <c r="M105" s="693"/>
      <c r="N105" s="318"/>
      <c r="O105" s="694">
        <v>6253.9619119217377</v>
      </c>
      <c r="P105" s="318">
        <v>1697220.9296010823</v>
      </c>
      <c r="Q105" s="693">
        <v>271.38331724817857</v>
      </c>
      <c r="R105" s="694">
        <v>6253.9619119217377</v>
      </c>
      <c r="S105" s="918">
        <v>1697220.9296010823</v>
      </c>
      <c r="T105" s="313"/>
      <c r="U105" s="312"/>
      <c r="V105" s="695"/>
      <c r="W105" s="316"/>
      <c r="X105" s="317"/>
    </row>
    <row r="106" spans="1:24">
      <c r="A106" s="689" t="s">
        <v>1228</v>
      </c>
      <c r="B106" s="685" t="s">
        <v>1229</v>
      </c>
      <c r="C106" s="319">
        <v>0.26112599999999997</v>
      </c>
      <c r="D106" s="316">
        <v>30122.662402971273</v>
      </c>
      <c r="E106" s="317">
        <v>7865.8103426382759</v>
      </c>
      <c r="F106" s="702">
        <v>0.10577389511486085</v>
      </c>
      <c r="G106" s="693">
        <v>0</v>
      </c>
      <c r="H106" s="693">
        <v>0</v>
      </c>
      <c r="I106" s="693">
        <v>0</v>
      </c>
      <c r="J106" s="693"/>
      <c r="K106" s="318"/>
      <c r="L106" s="318"/>
      <c r="M106" s="693"/>
      <c r="N106" s="318"/>
      <c r="O106" s="694">
        <v>36127.118644067807</v>
      </c>
      <c r="P106" s="703">
        <v>3821.3060582597618</v>
      </c>
      <c r="Q106" s="693">
        <v>0.10577389511486085</v>
      </c>
      <c r="R106" s="1407">
        <v>31554.444097072028</v>
      </c>
      <c r="S106" s="918">
        <v>3337.6364603314369</v>
      </c>
      <c r="T106" s="313"/>
      <c r="U106" s="312"/>
      <c r="V106" s="695">
        <v>0.26112599999999997</v>
      </c>
      <c r="W106" s="316">
        <v>31974.908437178226</v>
      </c>
      <c r="X106" s="919">
        <v>8349.4799405665999</v>
      </c>
    </row>
    <row r="107" spans="1:24">
      <c r="A107" s="1897" t="s">
        <v>1230</v>
      </c>
      <c r="B107" s="685" t="s">
        <v>1210</v>
      </c>
      <c r="C107" s="319">
        <v>1.9120030000000021</v>
      </c>
      <c r="D107" s="316">
        <v>4676.7400588805958</v>
      </c>
      <c r="E107" s="317">
        <v>8941.9410227998851</v>
      </c>
      <c r="F107" s="702">
        <v>10.140845070422536</v>
      </c>
      <c r="G107" s="693">
        <v>0</v>
      </c>
      <c r="H107" s="693">
        <v>0</v>
      </c>
      <c r="I107" s="693">
        <v>0</v>
      </c>
      <c r="J107" s="693"/>
      <c r="K107" s="318"/>
      <c r="L107" s="318"/>
      <c r="M107" s="693"/>
      <c r="N107" s="318"/>
      <c r="O107" s="694">
        <v>5021.5878781307756</v>
      </c>
      <c r="P107" s="703">
        <v>50923.14467963604</v>
      </c>
      <c r="Q107" s="702">
        <v>10.140845070422536</v>
      </c>
      <c r="R107" s="694">
        <v>4940.5611306092751</v>
      </c>
      <c r="S107" s="918">
        <v>50101.464986460254</v>
      </c>
      <c r="T107" s="313"/>
      <c r="U107" s="312"/>
      <c r="V107" s="695">
        <v>1.9120030000000021</v>
      </c>
      <c r="W107" s="316">
        <v>5106.4881780915957</v>
      </c>
      <c r="X107" s="919">
        <v>9763.6207159756759</v>
      </c>
    </row>
    <row r="108" spans="1:24">
      <c r="A108" s="1898"/>
      <c r="B108" s="685" t="s">
        <v>178</v>
      </c>
      <c r="C108" s="319">
        <v>2.1699999999999946</v>
      </c>
      <c r="D108" s="316">
        <v>16527.407360868045</v>
      </c>
      <c r="E108" s="317">
        <v>35864.473973083564</v>
      </c>
      <c r="F108" s="702">
        <v>60.235599416058477</v>
      </c>
      <c r="G108" s="693">
        <v>0</v>
      </c>
      <c r="H108" s="693">
        <v>0</v>
      </c>
      <c r="I108" s="693">
        <v>0</v>
      </c>
      <c r="J108" s="693"/>
      <c r="K108" s="318"/>
      <c r="L108" s="318"/>
      <c r="M108" s="693"/>
      <c r="N108" s="318"/>
      <c r="O108" s="694">
        <v>17381.265921759765</v>
      </c>
      <c r="P108" s="703">
        <v>1046970.9714071096</v>
      </c>
      <c r="Q108" s="702">
        <v>60.235599416058477</v>
      </c>
      <c r="R108" s="694">
        <v>17350.028265998219</v>
      </c>
      <c r="S108" s="918">
        <v>1045089.3524879604</v>
      </c>
      <c r="T108" s="313"/>
      <c r="U108" s="312"/>
      <c r="V108" s="695">
        <v>2.1699999999999946</v>
      </c>
      <c r="W108" s="316">
        <v>17394.51285356353</v>
      </c>
      <c r="X108" s="919">
        <v>37746.092892232766</v>
      </c>
    </row>
    <row r="109" spans="1:24">
      <c r="A109" s="1898"/>
      <c r="B109" s="685" t="s">
        <v>1211</v>
      </c>
      <c r="C109" s="686"/>
      <c r="D109" s="687"/>
      <c r="E109" s="688"/>
      <c r="F109" s="702">
        <v>13.817537643932685</v>
      </c>
      <c r="G109" s="693">
        <v>0</v>
      </c>
      <c r="H109" s="693">
        <v>0</v>
      </c>
      <c r="I109" s="693">
        <v>0</v>
      </c>
      <c r="J109" s="693"/>
      <c r="K109" s="318"/>
      <c r="L109" s="318"/>
      <c r="M109" s="693"/>
      <c r="N109" s="318"/>
      <c r="O109" s="694">
        <v>6277.9415033333344</v>
      </c>
      <c r="P109" s="318">
        <v>86745.693048715693</v>
      </c>
      <c r="Q109" s="693">
        <v>13.817537643932685</v>
      </c>
      <c r="R109" s="694">
        <v>6277.9415033333344</v>
      </c>
      <c r="S109" s="918">
        <v>86745.693048715693</v>
      </c>
      <c r="T109" s="313"/>
      <c r="U109" s="312"/>
      <c r="V109" s="695"/>
      <c r="W109" s="316"/>
      <c r="X109" s="317"/>
    </row>
    <row r="110" spans="1:24">
      <c r="A110" s="1899"/>
      <c r="B110" s="685" t="s">
        <v>1888</v>
      </c>
      <c r="C110" s="690"/>
      <c r="D110" s="691"/>
      <c r="E110" s="1669"/>
      <c r="F110" s="702">
        <v>0.29586206896551726</v>
      </c>
      <c r="G110" s="693">
        <v>0</v>
      </c>
      <c r="H110" s="693">
        <v>0</v>
      </c>
      <c r="I110" s="693">
        <v>0</v>
      </c>
      <c r="J110" s="693"/>
      <c r="K110" s="318"/>
      <c r="L110" s="318"/>
      <c r="M110" s="693"/>
      <c r="N110" s="318"/>
      <c r="O110" s="694">
        <v>36127.118644067807</v>
      </c>
      <c r="P110" s="318">
        <v>10688.644067796613</v>
      </c>
      <c r="Q110" s="693">
        <v>0.29586206896551726</v>
      </c>
      <c r="R110" s="694">
        <v>36127.118644067807</v>
      </c>
      <c r="S110" s="318">
        <v>10688.644067796613</v>
      </c>
      <c r="T110" s="313"/>
      <c r="U110" s="312"/>
      <c r="V110" s="695"/>
      <c r="W110" s="316"/>
      <c r="X110" s="317"/>
    </row>
    <row r="111" spans="1:24" ht="13.5" thickBot="1">
      <c r="A111" s="696" t="s">
        <v>435</v>
      </c>
      <c r="B111" s="697"/>
      <c r="C111" s="698">
        <v>25.307702000000013</v>
      </c>
      <c r="D111" s="701">
        <v>15451.48</v>
      </c>
      <c r="E111" s="700">
        <v>391041.52175917209</v>
      </c>
      <c r="F111" s="698">
        <v>462.60864397212526</v>
      </c>
      <c r="G111" s="693">
        <v>0</v>
      </c>
      <c r="H111" s="693">
        <v>0</v>
      </c>
      <c r="I111" s="693">
        <v>0</v>
      </c>
      <c r="J111" s="693"/>
      <c r="K111" s="318"/>
      <c r="L111" s="318"/>
      <c r="M111" s="693"/>
      <c r="N111" s="318"/>
      <c r="O111" s="701">
        <v>8043.36</v>
      </c>
      <c r="P111" s="700">
        <v>3720929.1357866027</v>
      </c>
      <c r="Q111" s="698">
        <v>462.60864397212526</v>
      </c>
      <c r="R111" s="701">
        <v>8021.89</v>
      </c>
      <c r="S111" s="700">
        <v>3710994.905733001</v>
      </c>
      <c r="T111" s="1406">
        <v>0</v>
      </c>
      <c r="U111" s="700">
        <v>0</v>
      </c>
      <c r="V111" s="698">
        <v>25.307702000000013</v>
      </c>
      <c r="W111" s="701">
        <v>15844.02</v>
      </c>
      <c r="X111" s="700">
        <v>400975.75181277352</v>
      </c>
    </row>
    <row r="112" spans="1:24" ht="13.5" thickBot="1">
      <c r="A112" s="1593"/>
      <c r="B112" s="1594"/>
      <c r="C112" s="1595"/>
      <c r="D112" s="1596"/>
      <c r="E112" s="1597"/>
      <c r="F112" s="1595"/>
      <c r="G112" s="1598"/>
      <c r="H112" s="1598"/>
      <c r="I112" s="1598"/>
      <c r="J112" s="1598"/>
      <c r="K112" s="1599"/>
      <c r="L112" s="1599"/>
      <c r="M112" s="1598"/>
      <c r="N112" s="1599"/>
      <c r="O112" s="1596"/>
      <c r="P112" s="1597"/>
      <c r="Q112" s="1595"/>
      <c r="R112" s="1596"/>
      <c r="S112" s="1597"/>
      <c r="T112" s="1600"/>
      <c r="U112" s="1601"/>
      <c r="V112" s="1595"/>
      <c r="W112" s="1602"/>
      <c r="X112" s="1597"/>
    </row>
    <row r="113" spans="1:24" ht="17.25" customHeight="1">
      <c r="A113" s="1900" t="s">
        <v>1861</v>
      </c>
      <c r="B113" s="1901"/>
      <c r="C113" s="1901"/>
      <c r="D113" s="1901"/>
      <c r="E113" s="1901"/>
      <c r="F113" s="1901"/>
      <c r="G113" s="1901"/>
      <c r="H113" s="1901"/>
      <c r="I113" s="1901"/>
      <c r="J113" s="1901"/>
      <c r="K113" s="1901"/>
      <c r="L113" s="1901"/>
      <c r="M113" s="1901"/>
      <c r="N113" s="1901"/>
      <c r="O113" s="1901"/>
      <c r="P113" s="1901"/>
      <c r="Q113" s="1901"/>
      <c r="R113" s="1901"/>
      <c r="S113" s="1901"/>
      <c r="T113" s="1901"/>
      <c r="U113" s="1901"/>
      <c r="V113" s="1901"/>
      <c r="W113" s="1901"/>
      <c r="X113" s="1902"/>
    </row>
    <row r="114" spans="1:24">
      <c r="A114" s="680" t="s">
        <v>1223</v>
      </c>
      <c r="B114" s="681" t="s">
        <v>346</v>
      </c>
      <c r="C114" s="319">
        <v>23.157921000000023</v>
      </c>
      <c r="D114" s="316">
        <v>16463.960428053953</v>
      </c>
      <c r="E114" s="317">
        <v>381271.09493999998</v>
      </c>
      <c r="F114" s="702">
        <v>84.594999999999999</v>
      </c>
      <c r="G114" s="693"/>
      <c r="H114" s="693"/>
      <c r="I114" s="693"/>
      <c r="J114" s="693"/>
      <c r="K114" s="170"/>
      <c r="L114" s="318"/>
      <c r="M114" s="693"/>
      <c r="N114" s="318"/>
      <c r="O114" s="1407">
        <v>16540</v>
      </c>
      <c r="P114" s="318">
        <v>1399201.3</v>
      </c>
      <c r="Q114" s="693">
        <v>14.744999999999999</v>
      </c>
      <c r="R114" s="694">
        <v>16523.66</v>
      </c>
      <c r="S114" s="318">
        <v>243641.36669999998</v>
      </c>
      <c r="T114" s="705">
        <v>69.849999999999994</v>
      </c>
      <c r="U114" s="703">
        <v>1154177.6509999998</v>
      </c>
      <c r="V114" s="695">
        <v>23.157921000000016</v>
      </c>
      <c r="W114" s="316">
        <v>16523.649823315314</v>
      </c>
      <c r="X114" s="921">
        <v>382653.37724000029</v>
      </c>
    </row>
    <row r="115" spans="1:24">
      <c r="A115" s="173" t="s">
        <v>1224</v>
      </c>
      <c r="B115" s="170" t="s">
        <v>346</v>
      </c>
      <c r="C115" s="319">
        <v>0</v>
      </c>
      <c r="D115" s="316">
        <v>0</v>
      </c>
      <c r="E115" s="317">
        <v>0</v>
      </c>
      <c r="F115" s="702"/>
      <c r="G115" s="693">
        <v>0</v>
      </c>
      <c r="H115" s="693">
        <v>0</v>
      </c>
      <c r="I115" s="693">
        <v>0</v>
      </c>
      <c r="J115" s="693"/>
      <c r="K115" s="171"/>
      <c r="L115" s="318"/>
      <c r="M115" s="693"/>
      <c r="N115" s="318"/>
      <c r="O115" s="694"/>
      <c r="P115" s="703"/>
      <c r="Q115" s="702">
        <v>14.744999999999999</v>
      </c>
      <c r="R115" s="694">
        <v>16523.66</v>
      </c>
      <c r="S115" s="676">
        <v>243641.36669999998</v>
      </c>
      <c r="T115" s="314"/>
      <c r="U115" s="314"/>
      <c r="V115" s="695"/>
      <c r="W115" s="316"/>
      <c r="X115" s="704"/>
    </row>
    <row r="116" spans="1:24">
      <c r="A116" s="174" t="s">
        <v>1225</v>
      </c>
      <c r="B116" s="170" t="s">
        <v>346</v>
      </c>
      <c r="C116" s="319">
        <v>0</v>
      </c>
      <c r="D116" s="316">
        <v>0</v>
      </c>
      <c r="E116" s="317">
        <v>0</v>
      </c>
      <c r="F116" s="702"/>
      <c r="G116" s="693">
        <v>0</v>
      </c>
      <c r="H116" s="693">
        <v>0</v>
      </c>
      <c r="I116" s="693">
        <v>0</v>
      </c>
      <c r="J116" s="693"/>
      <c r="K116" s="318"/>
      <c r="L116" s="318"/>
      <c r="M116" s="693"/>
      <c r="N116" s="318"/>
      <c r="O116" s="694"/>
      <c r="P116" s="703"/>
      <c r="Q116" s="702"/>
      <c r="R116" s="694"/>
      <c r="S116" s="676">
        <v>0</v>
      </c>
      <c r="T116" s="313"/>
      <c r="U116" s="312"/>
      <c r="V116" s="695"/>
      <c r="W116" s="316"/>
      <c r="X116" s="704"/>
    </row>
    <row r="117" spans="1:24">
      <c r="A117" s="680" t="s">
        <v>1223</v>
      </c>
      <c r="B117" s="685" t="s">
        <v>1226</v>
      </c>
      <c r="C117" s="319"/>
      <c r="D117" s="316"/>
      <c r="E117" s="317"/>
      <c r="F117" s="693">
        <v>365.09899999999999</v>
      </c>
      <c r="G117" s="693"/>
      <c r="H117" s="693"/>
      <c r="I117" s="693"/>
      <c r="J117" s="693"/>
      <c r="K117" s="318"/>
      <c r="L117" s="318"/>
      <c r="M117" s="693"/>
      <c r="N117" s="318"/>
      <c r="O117" s="694">
        <v>6256.56</v>
      </c>
      <c r="P117" s="318">
        <v>2284263.7994400002</v>
      </c>
      <c r="Q117" s="702">
        <v>366.31888000000004</v>
      </c>
      <c r="R117" s="677">
        <v>6256.56</v>
      </c>
      <c r="S117" s="676">
        <v>2284263.7994400002</v>
      </c>
      <c r="T117" s="313"/>
      <c r="U117" s="312"/>
      <c r="V117" s="695"/>
      <c r="W117" s="316"/>
      <c r="X117" s="317"/>
    </row>
    <row r="118" spans="1:24">
      <c r="A118" s="173" t="s">
        <v>1224</v>
      </c>
      <c r="B118" s="170" t="s">
        <v>1226</v>
      </c>
      <c r="C118" s="319"/>
      <c r="D118" s="316"/>
      <c r="E118" s="317"/>
      <c r="F118" s="702">
        <v>101.72199999999999</v>
      </c>
      <c r="G118" s="693">
        <v>0</v>
      </c>
      <c r="H118" s="693">
        <v>0</v>
      </c>
      <c r="I118" s="693">
        <v>0</v>
      </c>
      <c r="J118" s="693"/>
      <c r="K118" s="318"/>
      <c r="L118" s="318"/>
      <c r="M118" s="693"/>
      <c r="N118" s="318"/>
      <c r="O118" s="694">
        <v>6256.56</v>
      </c>
      <c r="P118" s="318">
        <v>636429.79631999996</v>
      </c>
      <c r="Q118" s="702">
        <v>101.72199999999999</v>
      </c>
      <c r="R118" s="694">
        <v>6256.56</v>
      </c>
      <c r="S118" s="918">
        <v>636429.79631999996</v>
      </c>
      <c r="T118" s="313"/>
      <c r="U118" s="312"/>
      <c r="V118" s="695"/>
      <c r="W118" s="316"/>
      <c r="X118" s="317"/>
    </row>
    <row r="119" spans="1:24">
      <c r="A119" s="173" t="s">
        <v>1227</v>
      </c>
      <c r="B119" s="170" t="s">
        <v>1226</v>
      </c>
      <c r="C119" s="319"/>
      <c r="D119" s="316"/>
      <c r="E119" s="317"/>
      <c r="F119" s="702">
        <v>263.37700000000001</v>
      </c>
      <c r="G119" s="693">
        <v>0</v>
      </c>
      <c r="H119" s="693">
        <v>0</v>
      </c>
      <c r="I119" s="693">
        <v>0</v>
      </c>
      <c r="J119" s="693"/>
      <c r="K119" s="318"/>
      <c r="L119" s="318"/>
      <c r="M119" s="693"/>
      <c r="N119" s="318"/>
      <c r="O119" s="694">
        <v>6256.56</v>
      </c>
      <c r="P119" s="318">
        <v>1647834.0031200002</v>
      </c>
      <c r="Q119" s="702">
        <v>263.37700000000001</v>
      </c>
      <c r="R119" s="694">
        <v>6256.56</v>
      </c>
      <c r="S119" s="918">
        <v>1647834.0031200002</v>
      </c>
      <c r="T119" s="313"/>
      <c r="U119" s="312"/>
      <c r="V119" s="695"/>
      <c r="W119" s="316"/>
      <c r="X119" s="317"/>
    </row>
    <row r="120" spans="1:24">
      <c r="A120" s="689" t="s">
        <v>1228</v>
      </c>
      <c r="B120" s="685" t="s">
        <v>1229</v>
      </c>
      <c r="C120" s="319">
        <v>0.26536500000000002</v>
      </c>
      <c r="D120" s="316">
        <v>30173.422342810842</v>
      </c>
      <c r="E120" s="317">
        <v>8006.9702199999992</v>
      </c>
      <c r="F120" s="702">
        <v>0.10299999999999999</v>
      </c>
      <c r="G120" s="693">
        <v>0</v>
      </c>
      <c r="H120" s="693">
        <v>0</v>
      </c>
      <c r="I120" s="693">
        <v>0</v>
      </c>
      <c r="J120" s="693"/>
      <c r="K120" s="318"/>
      <c r="L120" s="318"/>
      <c r="M120" s="693"/>
      <c r="N120" s="318"/>
      <c r="O120" s="1407">
        <v>38708.47</v>
      </c>
      <c r="P120" s="318">
        <v>3986.9724099999999</v>
      </c>
      <c r="Q120" s="693">
        <v>0.10299999999999999</v>
      </c>
      <c r="R120" s="694">
        <v>32559.94</v>
      </c>
      <c r="S120" s="318">
        <v>3353.6738199999995</v>
      </c>
      <c r="T120" s="313"/>
      <c r="U120" s="312"/>
      <c r="V120" s="695">
        <v>0.26536500000000002</v>
      </c>
      <c r="W120" s="316">
        <v>32559.941250730124</v>
      </c>
      <c r="X120" s="921">
        <v>8640.2688099999996</v>
      </c>
    </row>
    <row r="121" spans="1:24">
      <c r="A121" s="1897" t="s">
        <v>1230</v>
      </c>
      <c r="B121" s="685" t="s">
        <v>1210</v>
      </c>
      <c r="C121" s="319">
        <v>1.6310629999999993</v>
      </c>
      <c r="D121" s="316">
        <v>4578.8001873624753</v>
      </c>
      <c r="E121" s="317">
        <v>7468.311569999998</v>
      </c>
      <c r="F121" s="702">
        <v>8.8849999999999998</v>
      </c>
      <c r="G121" s="693">
        <v>0</v>
      </c>
      <c r="H121" s="693">
        <v>0</v>
      </c>
      <c r="I121" s="693">
        <v>0</v>
      </c>
      <c r="J121" s="693"/>
      <c r="K121" s="318"/>
      <c r="L121" s="318"/>
      <c r="M121" s="693"/>
      <c r="N121" s="318"/>
      <c r="O121" s="1407">
        <v>4988</v>
      </c>
      <c r="P121" s="318">
        <v>44318.38</v>
      </c>
      <c r="Q121" s="702">
        <v>8.8849999999999998</v>
      </c>
      <c r="R121" s="694">
        <v>4924.53</v>
      </c>
      <c r="S121" s="318">
        <v>43754.449049999996</v>
      </c>
      <c r="T121" s="313"/>
      <c r="U121" s="312"/>
      <c r="V121" s="695">
        <v>1.6310629999999993</v>
      </c>
      <c r="W121" s="316">
        <v>4924.5446190613138</v>
      </c>
      <c r="X121" s="921">
        <v>8032.2425199999998</v>
      </c>
    </row>
    <row r="122" spans="1:24">
      <c r="A122" s="1898"/>
      <c r="B122" s="685" t="s">
        <v>178</v>
      </c>
      <c r="C122" s="319">
        <v>2.1984189999999941</v>
      </c>
      <c r="D122" s="316">
        <v>16986.989049498792</v>
      </c>
      <c r="E122" s="317">
        <v>37347.619249999989</v>
      </c>
      <c r="F122" s="702">
        <v>55.956000000000003</v>
      </c>
      <c r="G122" s="693">
        <v>0</v>
      </c>
      <c r="H122" s="693">
        <v>0</v>
      </c>
      <c r="I122" s="693">
        <v>0</v>
      </c>
      <c r="J122" s="693"/>
      <c r="K122" s="318"/>
      <c r="L122" s="318"/>
      <c r="M122" s="693"/>
      <c r="N122" s="318"/>
      <c r="O122" s="1407">
        <v>17028.66</v>
      </c>
      <c r="P122" s="318">
        <v>952855.69896000007</v>
      </c>
      <c r="Q122" s="702">
        <v>55.956000000000003</v>
      </c>
      <c r="R122" s="694">
        <v>17027.079999999998</v>
      </c>
      <c r="S122" s="318">
        <v>952767.28847999999</v>
      </c>
      <c r="T122" s="313"/>
      <c r="U122" s="312"/>
      <c r="V122" s="695">
        <v>2.1986009999999965</v>
      </c>
      <c r="W122" s="316">
        <v>17027.204904391532</v>
      </c>
      <c r="X122" s="921">
        <v>37436.029730000068</v>
      </c>
    </row>
    <row r="123" spans="1:24">
      <c r="A123" s="1898"/>
      <c r="B123" s="685" t="s">
        <v>1211</v>
      </c>
      <c r="C123" s="686"/>
      <c r="D123" s="687"/>
      <c r="E123" s="688"/>
      <c r="F123" s="702">
        <v>13.818</v>
      </c>
      <c r="G123" s="693">
        <v>0</v>
      </c>
      <c r="H123" s="693">
        <v>0</v>
      </c>
      <c r="I123" s="693">
        <v>0</v>
      </c>
      <c r="J123" s="693"/>
      <c r="K123" s="318"/>
      <c r="L123" s="318"/>
      <c r="M123" s="693"/>
      <c r="N123" s="318"/>
      <c r="O123" s="1407">
        <v>6279.07</v>
      </c>
      <c r="P123" s="318">
        <v>86764.189259999999</v>
      </c>
      <c r="Q123" s="702">
        <v>13.818</v>
      </c>
      <c r="R123" s="694">
        <v>6279.07</v>
      </c>
      <c r="S123" s="318">
        <v>86764.189259999999</v>
      </c>
      <c r="T123" s="313"/>
      <c r="U123" s="312"/>
      <c r="V123" s="695"/>
      <c r="W123" s="316"/>
      <c r="X123" s="317"/>
    </row>
    <row r="124" spans="1:24">
      <c r="A124" s="1899"/>
      <c r="B124" s="685" t="s">
        <v>1888</v>
      </c>
      <c r="C124" s="319">
        <v>9.3589999999999993E-3</v>
      </c>
      <c r="D124" s="316">
        <v>39916.653488620585</v>
      </c>
      <c r="E124" s="317">
        <v>373.57996000000003</v>
      </c>
      <c r="F124" s="702">
        <v>0.29699999999999999</v>
      </c>
      <c r="G124" s="693">
        <v>0</v>
      </c>
      <c r="H124" s="693">
        <v>0</v>
      </c>
      <c r="I124" s="693">
        <v>0</v>
      </c>
      <c r="J124" s="693"/>
      <c r="K124" s="318"/>
      <c r="L124" s="318"/>
      <c r="M124" s="693"/>
      <c r="N124" s="318"/>
      <c r="O124" s="1407">
        <v>41026.22</v>
      </c>
      <c r="P124" s="318">
        <v>12184.787339999999</v>
      </c>
      <c r="Q124" s="702">
        <v>0.29699999999999999</v>
      </c>
      <c r="R124" s="694">
        <v>40992.32</v>
      </c>
      <c r="S124" s="318">
        <v>12174.71904</v>
      </c>
      <c r="T124" s="313"/>
      <c r="U124" s="312"/>
      <c r="V124" s="695">
        <v>9.3590000000000062E-3</v>
      </c>
      <c r="W124" s="316">
        <v>40992.441500160043</v>
      </c>
      <c r="X124" s="921">
        <v>383.64825999999812</v>
      </c>
    </row>
    <row r="125" spans="1:24" ht="13.5" thickBot="1">
      <c r="A125" s="696" t="s">
        <v>435</v>
      </c>
      <c r="B125" s="697"/>
      <c r="C125" s="698">
        <v>27.262127000000017</v>
      </c>
      <c r="D125" s="701">
        <v>15936.67</v>
      </c>
      <c r="E125" s="700">
        <v>434467.57594000001</v>
      </c>
      <c r="F125" s="698">
        <v>528.75299999999993</v>
      </c>
      <c r="G125" s="693">
        <v>0</v>
      </c>
      <c r="H125" s="693">
        <v>0</v>
      </c>
      <c r="I125" s="693">
        <v>0</v>
      </c>
      <c r="J125" s="693"/>
      <c r="K125" s="318"/>
      <c r="L125" s="318"/>
      <c r="M125" s="693"/>
      <c r="N125" s="318"/>
      <c r="O125" s="701">
        <v>9046.9</v>
      </c>
      <c r="P125" s="700">
        <v>4783575.1274100002</v>
      </c>
      <c r="Q125" s="698">
        <v>460.12288000000007</v>
      </c>
      <c r="R125" s="701">
        <v>7882.07</v>
      </c>
      <c r="S125" s="700">
        <v>3626719.4857900003</v>
      </c>
      <c r="T125" s="698">
        <v>69.849999999999994</v>
      </c>
      <c r="U125" s="700">
        <v>1154177.6509999998</v>
      </c>
      <c r="V125" s="698">
        <v>27.262309000000013</v>
      </c>
      <c r="W125" s="701">
        <v>16034.8</v>
      </c>
      <c r="X125" s="700">
        <v>437145.56656000036</v>
      </c>
    </row>
    <row r="126" spans="1:24" hidden="1">
      <c r="A126" s="1900" t="s">
        <v>1693</v>
      </c>
      <c r="B126" s="1901"/>
      <c r="C126" s="1901"/>
      <c r="D126" s="1901"/>
      <c r="E126" s="1901"/>
      <c r="F126" s="1901"/>
      <c r="G126" s="1901"/>
      <c r="H126" s="1901"/>
      <c r="I126" s="1901"/>
      <c r="J126" s="1901"/>
      <c r="K126" s="1901"/>
      <c r="L126" s="1901"/>
      <c r="M126" s="1901"/>
      <c r="N126" s="1901"/>
      <c r="O126" s="1901"/>
      <c r="P126" s="1901"/>
      <c r="Q126" s="1901"/>
      <c r="R126" s="1901"/>
      <c r="S126" s="1901"/>
      <c r="T126" s="1901"/>
      <c r="U126" s="1901"/>
      <c r="V126" s="1901"/>
      <c r="W126" s="1901"/>
      <c r="X126" s="1902"/>
    </row>
    <row r="127" spans="1:24" hidden="1">
      <c r="A127" s="680" t="s">
        <v>1223</v>
      </c>
      <c r="B127" s="681" t="s">
        <v>346</v>
      </c>
      <c r="C127" s="319">
        <f>C114</f>
        <v>23.157921000000023</v>
      </c>
      <c r="D127" s="316">
        <f>D114</f>
        <v>16463.960428053953</v>
      </c>
      <c r="E127" s="317">
        <f>E114</f>
        <v>381271.09493999998</v>
      </c>
      <c r="F127" s="702"/>
      <c r="G127" s="693">
        <f>'[11]10'!G194</f>
        <v>0</v>
      </c>
      <c r="H127" s="693">
        <f>'[11]10'!H194</f>
        <v>0</v>
      </c>
      <c r="I127" s="693">
        <f>'[11]10'!I194</f>
        <v>0</v>
      </c>
      <c r="J127" s="693"/>
      <c r="K127" s="170"/>
      <c r="L127" s="318"/>
      <c r="M127" s="693"/>
      <c r="N127" s="318"/>
      <c r="O127" s="1407"/>
      <c r="P127" s="318">
        <f>F127*O127</f>
        <v>0</v>
      </c>
      <c r="Q127" s="702"/>
      <c r="R127" s="677">
        <f>ROUND((E127+P127)/(C127+F127),2)</f>
        <v>16463.96</v>
      </c>
      <c r="S127" s="918"/>
      <c r="T127" s="705"/>
      <c r="U127" s="318">
        <f>T127*R127</f>
        <v>0</v>
      </c>
      <c r="V127" s="695">
        <f>C127+F127-Q127-T127</f>
        <v>23.157921000000023</v>
      </c>
      <c r="W127" s="316">
        <f>X127/V127</f>
        <v>16463.960428053953</v>
      </c>
      <c r="X127" s="921">
        <f>E127+P127-S127-U127</f>
        <v>381271.09493999998</v>
      </c>
    </row>
    <row r="128" spans="1:24" hidden="1">
      <c r="A128" s="173" t="s">
        <v>1224</v>
      </c>
      <c r="B128" s="170" t="s">
        <v>346</v>
      </c>
      <c r="C128" s="319"/>
      <c r="D128" s="316"/>
      <c r="E128" s="317"/>
      <c r="F128" s="702"/>
      <c r="G128" s="693"/>
      <c r="H128" s="693"/>
      <c r="I128" s="693"/>
      <c r="J128" s="693"/>
      <c r="K128" s="171"/>
      <c r="L128" s="318"/>
      <c r="M128" s="693"/>
      <c r="N128" s="318"/>
      <c r="O128" s="694"/>
      <c r="P128" s="703"/>
      <c r="Q128" s="702">
        <f>Q127</f>
        <v>0</v>
      </c>
      <c r="R128" s="694">
        <f>R127</f>
        <v>16463.96</v>
      </c>
      <c r="S128" s="676">
        <f>S127</f>
        <v>0</v>
      </c>
      <c r="T128" s="314"/>
      <c r="U128" s="318"/>
      <c r="V128" s="695"/>
      <c r="W128" s="316"/>
      <c r="X128" s="921"/>
    </row>
    <row r="129" spans="1:24" hidden="1">
      <c r="A129" s="174" t="s">
        <v>1225</v>
      </c>
      <c r="B129" s="170" t="s">
        <v>346</v>
      </c>
      <c r="C129" s="319"/>
      <c r="D129" s="316"/>
      <c r="E129" s="317"/>
      <c r="F129" s="702"/>
      <c r="G129" s="693"/>
      <c r="H129" s="693"/>
      <c r="I129" s="693"/>
      <c r="J129" s="693"/>
      <c r="K129" s="318"/>
      <c r="L129" s="318"/>
      <c r="M129" s="693"/>
      <c r="N129" s="318"/>
      <c r="O129" s="694"/>
      <c r="P129" s="703"/>
      <c r="Q129" s="702"/>
      <c r="R129" s="694"/>
      <c r="S129" s="676"/>
      <c r="T129" s="313"/>
      <c r="U129" s="318"/>
      <c r="V129" s="695"/>
      <c r="W129" s="316"/>
      <c r="X129" s="921"/>
    </row>
    <row r="130" spans="1:24" hidden="1">
      <c r="A130" s="680" t="s">
        <v>1223</v>
      </c>
      <c r="B130" s="685" t="s">
        <v>1226</v>
      </c>
      <c r="C130" s="319"/>
      <c r="D130" s="316"/>
      <c r="E130" s="317"/>
      <c r="F130" s="693">
        <f>F131+F132</f>
        <v>0</v>
      </c>
      <c r="G130" s="693">
        <f>'[11]10'!G197</f>
        <v>0</v>
      </c>
      <c r="H130" s="693">
        <f>'[11]10'!H197</f>
        <v>0</v>
      </c>
      <c r="I130" s="693">
        <f>'[11]10'!I197</f>
        <v>0</v>
      </c>
      <c r="J130" s="693"/>
      <c r="K130" s="318"/>
      <c r="L130" s="318"/>
      <c r="M130" s="693"/>
      <c r="N130" s="318"/>
      <c r="O130" s="677" t="e">
        <f>P130/F130</f>
        <v>#DIV/0!</v>
      </c>
      <c r="P130" s="318">
        <f>P131+P132</f>
        <v>0</v>
      </c>
      <c r="Q130" s="693">
        <f>Q131+Q132</f>
        <v>0</v>
      </c>
      <c r="R130" s="677" t="e">
        <f>S130/Q130</f>
        <v>#DIV/0!</v>
      </c>
      <c r="S130" s="318">
        <f>S131+S132</f>
        <v>0</v>
      </c>
      <c r="T130" s="313"/>
      <c r="U130" s="318"/>
      <c r="V130" s="695"/>
      <c r="W130" s="316"/>
      <c r="X130" s="921"/>
    </row>
    <row r="131" spans="1:24" hidden="1">
      <c r="A131" s="173" t="s">
        <v>1224</v>
      </c>
      <c r="B131" s="170" t="s">
        <v>1226</v>
      </c>
      <c r="C131" s="319"/>
      <c r="D131" s="316"/>
      <c r="E131" s="317"/>
      <c r="F131" s="702"/>
      <c r="G131" s="693">
        <f>'[11]10'!G198</f>
        <v>0</v>
      </c>
      <c r="H131" s="693">
        <f>'[11]10'!H198</f>
        <v>0</v>
      </c>
      <c r="I131" s="693">
        <f>'[11]10'!I198</f>
        <v>0</v>
      </c>
      <c r="J131" s="693"/>
      <c r="K131" s="318"/>
      <c r="L131" s="318"/>
      <c r="M131" s="693"/>
      <c r="N131" s="318"/>
      <c r="O131" s="1407"/>
      <c r="P131" s="318">
        <f t="shared" ref="P131:P136" si="7">F131*O131</f>
        <v>0</v>
      </c>
      <c r="Q131" s="693">
        <f>F131</f>
        <v>0</v>
      </c>
      <c r="R131" s="694">
        <f>O131</f>
        <v>0</v>
      </c>
      <c r="S131" s="676">
        <f>P131</f>
        <v>0</v>
      </c>
      <c r="T131" s="313"/>
      <c r="U131" s="318"/>
      <c r="V131" s="695"/>
      <c r="W131" s="316"/>
      <c r="X131" s="921"/>
    </row>
    <row r="132" spans="1:24" hidden="1">
      <c r="A132" s="173" t="s">
        <v>1227</v>
      </c>
      <c r="B132" s="170" t="s">
        <v>1226</v>
      </c>
      <c r="C132" s="319"/>
      <c r="D132" s="316"/>
      <c r="E132" s="317"/>
      <c r="F132" s="702"/>
      <c r="G132" s="693">
        <f>'[11]10'!G199</f>
        <v>0</v>
      </c>
      <c r="H132" s="693">
        <f>'[11]10'!H199</f>
        <v>0</v>
      </c>
      <c r="I132" s="693">
        <f>'[11]10'!I199</f>
        <v>0</v>
      </c>
      <c r="J132" s="693"/>
      <c r="K132" s="318"/>
      <c r="L132" s="318"/>
      <c r="M132" s="693"/>
      <c r="N132" s="318"/>
      <c r="O132" s="694">
        <f>O131</f>
        <v>0</v>
      </c>
      <c r="P132" s="318">
        <f t="shared" si="7"/>
        <v>0</v>
      </c>
      <c r="Q132" s="693">
        <f>F132</f>
        <v>0</v>
      </c>
      <c r="R132" s="694">
        <f>O132</f>
        <v>0</v>
      </c>
      <c r="S132" s="676">
        <f>P132</f>
        <v>0</v>
      </c>
      <c r="T132" s="313"/>
      <c r="U132" s="318"/>
      <c r="V132" s="695"/>
      <c r="W132" s="316"/>
      <c r="X132" s="921"/>
    </row>
    <row r="133" spans="1:24" hidden="1">
      <c r="A133" s="689" t="s">
        <v>1228</v>
      </c>
      <c r="B133" s="685" t="s">
        <v>1229</v>
      </c>
      <c r="C133" s="319">
        <f t="shared" ref="C133:E135" si="8">C120</f>
        <v>0.26536500000000002</v>
      </c>
      <c r="D133" s="316">
        <f t="shared" si="8"/>
        <v>30173.422342810842</v>
      </c>
      <c r="E133" s="317">
        <f t="shared" si="8"/>
        <v>8006.9702199999992</v>
      </c>
      <c r="F133" s="702"/>
      <c r="G133" s="693">
        <f>'[11]10'!G200</f>
        <v>0</v>
      </c>
      <c r="H133" s="693">
        <f>'[11]10'!H200</f>
        <v>0</v>
      </c>
      <c r="I133" s="693">
        <f>'[11]10'!I200</f>
        <v>0</v>
      </c>
      <c r="J133" s="693"/>
      <c r="K133" s="318"/>
      <c r="L133" s="318"/>
      <c r="M133" s="693"/>
      <c r="N133" s="318"/>
      <c r="O133" s="1407"/>
      <c r="P133" s="318">
        <f t="shared" si="7"/>
        <v>0</v>
      </c>
      <c r="Q133" s="702"/>
      <c r="R133" s="677">
        <f>ROUND((E133+P133)/(C133+F133),2)</f>
        <v>30173.42</v>
      </c>
      <c r="S133" s="676">
        <f>Q133*R133</f>
        <v>0</v>
      </c>
      <c r="T133" s="313"/>
      <c r="U133" s="318"/>
      <c r="V133" s="695">
        <f t="shared" ref="V133:V135" si="9">C133+F133-Q133-T133</f>
        <v>0.26536500000000002</v>
      </c>
      <c r="W133" s="316">
        <v>29167.299167876383</v>
      </c>
      <c r="X133" s="921">
        <f t="shared" ref="X133:X135" si="10">E133+P133-S133-U133</f>
        <v>8006.9702199999992</v>
      </c>
    </row>
    <row r="134" spans="1:24" hidden="1">
      <c r="A134" s="1897" t="s">
        <v>1230</v>
      </c>
      <c r="B134" s="685" t="s">
        <v>1210</v>
      </c>
      <c r="C134" s="319">
        <f t="shared" si="8"/>
        <v>1.6310629999999993</v>
      </c>
      <c r="D134" s="316">
        <f t="shared" si="8"/>
        <v>4578.8001873624753</v>
      </c>
      <c r="E134" s="317">
        <f t="shared" si="8"/>
        <v>7468.311569999998</v>
      </c>
      <c r="F134" s="702"/>
      <c r="G134" s="693">
        <f>'[11]10'!G201</f>
        <v>0</v>
      </c>
      <c r="H134" s="693">
        <f>'[11]10'!H201</f>
        <v>0</v>
      </c>
      <c r="I134" s="693">
        <f>'[11]10'!I201</f>
        <v>0</v>
      </c>
      <c r="J134" s="693"/>
      <c r="K134" s="318"/>
      <c r="L134" s="318"/>
      <c r="M134" s="693"/>
      <c r="N134" s="318"/>
      <c r="O134" s="1407"/>
      <c r="P134" s="318">
        <f t="shared" si="7"/>
        <v>0</v>
      </c>
      <c r="Q134" s="702"/>
      <c r="R134" s="677">
        <f t="shared" ref="R134:R136" si="11">ROUND((E134+P134)/(C134+F134),2)</f>
        <v>4578.8</v>
      </c>
      <c r="S134" s="918"/>
      <c r="T134" s="313"/>
      <c r="U134" s="318"/>
      <c r="V134" s="695">
        <f t="shared" si="9"/>
        <v>1.6310629999999993</v>
      </c>
      <c r="W134" s="316">
        <f t="shared" ref="W134:W135" si="12">X134/V134</f>
        <v>4578.8001873624753</v>
      </c>
      <c r="X134" s="921">
        <f t="shared" si="10"/>
        <v>7468.311569999998</v>
      </c>
    </row>
    <row r="135" spans="1:24" hidden="1">
      <c r="A135" s="1898"/>
      <c r="B135" s="685" t="s">
        <v>178</v>
      </c>
      <c r="C135" s="319">
        <f t="shared" si="8"/>
        <v>2.1984189999999941</v>
      </c>
      <c r="D135" s="316">
        <f t="shared" si="8"/>
        <v>16986.989049498792</v>
      </c>
      <c r="E135" s="317">
        <f t="shared" si="8"/>
        <v>37347.619249999989</v>
      </c>
      <c r="F135" s="702"/>
      <c r="G135" s="693">
        <f>'[11]10'!G202</f>
        <v>0</v>
      </c>
      <c r="H135" s="693">
        <f>'[11]10'!H202</f>
        <v>0</v>
      </c>
      <c r="I135" s="693">
        <f>'[11]10'!I202</f>
        <v>0</v>
      </c>
      <c r="J135" s="693"/>
      <c r="K135" s="318"/>
      <c r="L135" s="318"/>
      <c r="M135" s="693"/>
      <c r="N135" s="318"/>
      <c r="O135" s="694">
        <f>O127+480</f>
        <v>480</v>
      </c>
      <c r="P135" s="318">
        <f t="shared" si="7"/>
        <v>0</v>
      </c>
      <c r="Q135" s="702"/>
      <c r="R135" s="677">
        <f t="shared" si="11"/>
        <v>16988.400000000001</v>
      </c>
      <c r="S135" s="676">
        <f t="shared" ref="S135:S136" si="13">ROUND(Q135*R135,0)</f>
        <v>0</v>
      </c>
      <c r="T135" s="313"/>
      <c r="U135" s="318"/>
      <c r="V135" s="695">
        <f t="shared" si="9"/>
        <v>2.1984189999999941</v>
      </c>
      <c r="W135" s="316">
        <f t="shared" si="12"/>
        <v>16988.399049498792</v>
      </c>
      <c r="X135" s="921">
        <f t="shared" si="10"/>
        <v>37347.619249999989</v>
      </c>
    </row>
    <row r="136" spans="1:24" hidden="1">
      <c r="A136" s="1903"/>
      <c r="B136" s="685" t="s">
        <v>1211</v>
      </c>
      <c r="C136" s="686"/>
      <c r="D136" s="687"/>
      <c r="E136" s="688"/>
      <c r="F136" s="702"/>
      <c r="G136" s="693">
        <f>'[11]10'!G203</f>
        <v>0</v>
      </c>
      <c r="H136" s="693">
        <f>'[11]10'!H203</f>
        <v>0</v>
      </c>
      <c r="I136" s="693">
        <f>'[11]10'!I203</f>
        <v>0</v>
      </c>
      <c r="J136" s="693"/>
      <c r="K136" s="318"/>
      <c r="L136" s="318"/>
      <c r="M136" s="693"/>
      <c r="N136" s="318"/>
      <c r="O136" s="1407"/>
      <c r="P136" s="318">
        <f t="shared" si="7"/>
        <v>0</v>
      </c>
      <c r="Q136" s="693">
        <f t="shared" ref="Q136" si="14">F136</f>
        <v>0</v>
      </c>
      <c r="R136" s="677" t="e">
        <f t="shared" si="11"/>
        <v>#DIV/0!</v>
      </c>
      <c r="S136" s="676" t="e">
        <f t="shared" si="13"/>
        <v>#DIV/0!</v>
      </c>
      <c r="T136" s="313"/>
      <c r="U136" s="312"/>
      <c r="V136" s="695"/>
      <c r="W136" s="316"/>
      <c r="X136" s="919"/>
    </row>
    <row r="137" spans="1:24" hidden="1">
      <c r="A137" s="689"/>
      <c r="B137" s="685"/>
      <c r="C137" s="690"/>
      <c r="D137" s="691"/>
      <c r="E137" s="692"/>
      <c r="F137" s="693"/>
      <c r="G137" s="693">
        <f>'[11]10'!G204</f>
        <v>0</v>
      </c>
      <c r="H137" s="693">
        <f>'[11]10'!H204</f>
        <v>0</v>
      </c>
      <c r="I137" s="693">
        <f>'[11]10'!I204</f>
        <v>0</v>
      </c>
      <c r="J137" s="693"/>
      <c r="K137" s="318"/>
      <c r="L137" s="318"/>
      <c r="M137" s="693"/>
      <c r="N137" s="318"/>
      <c r="O137" s="694"/>
      <c r="P137" s="318"/>
      <c r="Q137" s="693"/>
      <c r="R137" s="694"/>
      <c r="S137" s="318"/>
      <c r="T137" s="313"/>
      <c r="U137" s="312"/>
      <c r="V137" s="695"/>
      <c r="W137" s="316"/>
      <c r="X137" s="919"/>
    </row>
    <row r="138" spans="1:24" ht="13.5" hidden="1" thickBot="1">
      <c r="A138" s="696" t="s">
        <v>435</v>
      </c>
      <c r="B138" s="697"/>
      <c r="C138" s="698">
        <f>C127+C130+C133+C134+C135</f>
        <v>27.252768000000017</v>
      </c>
      <c r="D138" s="701">
        <f>ROUND(E138/C138,2)</f>
        <v>15928.44</v>
      </c>
      <c r="E138" s="700">
        <f>E127+E130+E133+E134+E135</f>
        <v>434093.99598000001</v>
      </c>
      <c r="F138" s="698">
        <f>F127+F130+F133+F134+F135+F136</f>
        <v>0</v>
      </c>
      <c r="G138" s="693">
        <f>'[11]10'!G206</f>
        <v>0</v>
      </c>
      <c r="H138" s="693">
        <f>'[11]10'!H206</f>
        <v>0</v>
      </c>
      <c r="I138" s="693">
        <f>'[11]10'!I206</f>
        <v>0</v>
      </c>
      <c r="J138" s="693"/>
      <c r="K138" s="318"/>
      <c r="L138" s="318"/>
      <c r="M138" s="693"/>
      <c r="N138" s="318"/>
      <c r="O138" s="701" t="e">
        <f>ROUND(P138/F138,2)</f>
        <v>#DIV/0!</v>
      </c>
      <c r="P138" s="700">
        <f>P127+P130+P133+P134+P135+P136</f>
        <v>0</v>
      </c>
      <c r="Q138" s="698">
        <f>Q127+Q130+Q133+Q134+Q135+Q136</f>
        <v>0</v>
      </c>
      <c r="R138" s="701" t="e">
        <f>ROUND(S138/Q138,2)</f>
        <v>#DIV/0!</v>
      </c>
      <c r="S138" s="700" t="e">
        <f>S127+S130+S133+S134+S135+S136</f>
        <v>#DIV/0!</v>
      </c>
      <c r="T138" s="313"/>
      <c r="U138" s="312"/>
      <c r="V138" s="698">
        <f>V127+V130+V133+V134+V135</f>
        <v>27.252768000000017</v>
      </c>
      <c r="W138" s="699">
        <f>ROUND(X138/V138,2)</f>
        <v>15928.44</v>
      </c>
      <c r="X138" s="1426">
        <f>X127+X130+X133+X134+X135</f>
        <v>434093.99598000001</v>
      </c>
    </row>
    <row r="139" spans="1:24" hidden="1">
      <c r="A139" s="1900" t="s">
        <v>1694</v>
      </c>
      <c r="B139" s="1901"/>
      <c r="C139" s="1901"/>
      <c r="D139" s="1901"/>
      <c r="E139" s="1901"/>
      <c r="F139" s="1901"/>
      <c r="G139" s="1901"/>
      <c r="H139" s="1901"/>
      <c r="I139" s="1901"/>
      <c r="J139" s="1901"/>
      <c r="K139" s="1901"/>
      <c r="L139" s="1901"/>
      <c r="M139" s="1901"/>
      <c r="N139" s="1901"/>
      <c r="O139" s="1901"/>
      <c r="P139" s="1901"/>
      <c r="Q139" s="1901"/>
      <c r="R139" s="1901"/>
      <c r="S139" s="1901"/>
      <c r="T139" s="1901"/>
      <c r="U139" s="1901"/>
      <c r="V139" s="1901"/>
      <c r="W139" s="1901"/>
      <c r="X139" s="1902"/>
    </row>
    <row r="140" spans="1:24" hidden="1">
      <c r="A140" s="680" t="s">
        <v>1223</v>
      </c>
      <c r="B140" s="681" t="s">
        <v>346</v>
      </c>
      <c r="C140" s="319">
        <f>V127</f>
        <v>23.157921000000023</v>
      </c>
      <c r="D140" s="316">
        <f>W127</f>
        <v>16463.960428053953</v>
      </c>
      <c r="E140" s="317">
        <f>X127</f>
        <v>381271.09493999998</v>
      </c>
      <c r="F140" s="702"/>
      <c r="G140" s="693">
        <f>'[11]10'!G207</f>
        <v>0</v>
      </c>
      <c r="H140" s="693">
        <f>'[11]10'!H207</f>
        <v>0</v>
      </c>
      <c r="I140" s="693">
        <f>'[11]10'!I207</f>
        <v>0</v>
      </c>
      <c r="J140" s="693"/>
      <c r="K140" s="170"/>
      <c r="L140" s="318"/>
      <c r="M140" s="693"/>
      <c r="N140" s="318"/>
      <c r="O140" s="694">
        <f>O127</f>
        <v>0</v>
      </c>
      <c r="P140" s="318">
        <f>F140*O140</f>
        <v>0</v>
      </c>
      <c r="Q140" s="702"/>
      <c r="R140" s="677">
        <f>ROUND((E140+P140)/(C140+F140),2)</f>
        <v>16463.96</v>
      </c>
      <c r="S140" s="676">
        <f>Q140*R140</f>
        <v>0</v>
      </c>
      <c r="T140" s="705"/>
      <c r="U140" s="318">
        <f>U114-U127</f>
        <v>1154177.6509999998</v>
      </c>
      <c r="V140" s="695">
        <f>C140+F140-Q140-T140</f>
        <v>23.157921000000023</v>
      </c>
      <c r="W140" s="316">
        <f>X140/V140</f>
        <v>-33375.472524498167</v>
      </c>
      <c r="X140" s="921">
        <f>E140+P140-S140-U140</f>
        <v>-772906.55605999986</v>
      </c>
    </row>
    <row r="141" spans="1:24" hidden="1">
      <c r="A141" s="173" t="s">
        <v>1224</v>
      </c>
      <c r="B141" s="170" t="s">
        <v>346</v>
      </c>
      <c r="C141" s="319"/>
      <c r="D141" s="316"/>
      <c r="E141" s="317"/>
      <c r="F141" s="702"/>
      <c r="G141" s="693"/>
      <c r="H141" s="693"/>
      <c r="I141" s="693"/>
      <c r="J141" s="693"/>
      <c r="K141" s="171"/>
      <c r="L141" s="318"/>
      <c r="M141" s="693"/>
      <c r="N141" s="318"/>
      <c r="O141" s="694"/>
      <c r="P141" s="703"/>
      <c r="Q141" s="693">
        <f>Q140</f>
        <v>0</v>
      </c>
      <c r="R141" s="694">
        <f>R140</f>
        <v>16463.96</v>
      </c>
      <c r="S141" s="676">
        <f>S140</f>
        <v>0</v>
      </c>
      <c r="T141" s="314"/>
      <c r="U141" s="314"/>
      <c r="V141" s="695"/>
      <c r="W141" s="316"/>
      <c r="X141" s="921"/>
    </row>
    <row r="142" spans="1:24" hidden="1">
      <c r="A142" s="174" t="s">
        <v>1225</v>
      </c>
      <c r="B142" s="170" t="s">
        <v>346</v>
      </c>
      <c r="C142" s="319"/>
      <c r="D142" s="316"/>
      <c r="E142" s="317"/>
      <c r="F142" s="702"/>
      <c r="G142" s="693"/>
      <c r="H142" s="693"/>
      <c r="I142" s="693"/>
      <c r="J142" s="693"/>
      <c r="K142" s="318"/>
      <c r="L142" s="318"/>
      <c r="M142" s="693"/>
      <c r="N142" s="318"/>
      <c r="O142" s="694"/>
      <c r="P142" s="703"/>
      <c r="Q142" s="702"/>
      <c r="R142" s="694"/>
      <c r="S142" s="676"/>
      <c r="T142" s="313"/>
      <c r="U142" s="312"/>
      <c r="V142" s="695"/>
      <c r="W142" s="316"/>
      <c r="X142" s="921"/>
    </row>
    <row r="143" spans="1:24" hidden="1">
      <c r="A143" s="680" t="s">
        <v>1223</v>
      </c>
      <c r="B143" s="685" t="s">
        <v>1226</v>
      </c>
      <c r="C143" s="319"/>
      <c r="D143" s="316"/>
      <c r="E143" s="317"/>
      <c r="F143" s="693">
        <f>F144+F145</f>
        <v>0</v>
      </c>
      <c r="G143" s="693">
        <f>'[11]10'!G210</f>
        <v>0</v>
      </c>
      <c r="H143" s="693">
        <f>'[11]10'!H210</f>
        <v>0</v>
      </c>
      <c r="I143" s="693">
        <f>'[11]10'!I210</f>
        <v>0</v>
      </c>
      <c r="J143" s="693"/>
      <c r="K143" s="318"/>
      <c r="L143" s="318"/>
      <c r="M143" s="693"/>
      <c r="N143" s="318"/>
      <c r="O143" s="677">
        <f>O144</f>
        <v>0</v>
      </c>
      <c r="P143" s="318">
        <f>P144+P145</f>
        <v>0</v>
      </c>
      <c r="Q143" s="693">
        <f>Q144+Q145</f>
        <v>0</v>
      </c>
      <c r="R143" s="677" t="e">
        <f>S143/Q143</f>
        <v>#DIV/0!</v>
      </c>
      <c r="S143" s="318">
        <f>S144+S145</f>
        <v>0</v>
      </c>
      <c r="T143" s="313"/>
      <c r="U143" s="312"/>
      <c r="V143" s="695"/>
      <c r="W143" s="316"/>
      <c r="X143" s="921"/>
    </row>
    <row r="144" spans="1:24" hidden="1">
      <c r="A144" s="173" t="s">
        <v>1224</v>
      </c>
      <c r="B144" s="170" t="s">
        <v>1226</v>
      </c>
      <c r="C144" s="319"/>
      <c r="D144" s="316"/>
      <c r="E144" s="317"/>
      <c r="F144" s="702"/>
      <c r="G144" s="693">
        <f>'[11]10'!G211</f>
        <v>0</v>
      </c>
      <c r="H144" s="693">
        <f>'[11]10'!H211</f>
        <v>0</v>
      </c>
      <c r="I144" s="693">
        <f>'[11]10'!I211</f>
        <v>0</v>
      </c>
      <c r="J144" s="693"/>
      <c r="K144" s="318"/>
      <c r="L144" s="318"/>
      <c r="M144" s="693"/>
      <c r="N144" s="318"/>
      <c r="O144" s="1407"/>
      <c r="P144" s="318">
        <f t="shared" ref="P144:P149" si="15">F144*O144</f>
        <v>0</v>
      </c>
      <c r="Q144" s="693">
        <f>F144</f>
        <v>0</v>
      </c>
      <c r="R144" s="694">
        <f>O144</f>
        <v>0</v>
      </c>
      <c r="S144" s="676">
        <f>P144</f>
        <v>0</v>
      </c>
      <c r="T144" s="313"/>
      <c r="U144" s="312"/>
      <c r="V144" s="695"/>
      <c r="W144" s="316"/>
      <c r="X144" s="921"/>
    </row>
    <row r="145" spans="1:24" hidden="1">
      <c r="A145" s="173" t="s">
        <v>1227</v>
      </c>
      <c r="B145" s="170" t="s">
        <v>1226</v>
      </c>
      <c r="C145" s="319"/>
      <c r="D145" s="316"/>
      <c r="E145" s="317"/>
      <c r="F145" s="702"/>
      <c r="G145" s="693">
        <f>'[11]10'!G212</f>
        <v>0</v>
      </c>
      <c r="H145" s="693">
        <f>'[11]10'!H212</f>
        <v>0</v>
      </c>
      <c r="I145" s="693">
        <f>'[11]10'!I212</f>
        <v>0</v>
      </c>
      <c r="J145" s="693"/>
      <c r="K145" s="318"/>
      <c r="L145" s="318"/>
      <c r="M145" s="693"/>
      <c r="N145" s="318"/>
      <c r="O145" s="694">
        <f>O144</f>
        <v>0</v>
      </c>
      <c r="P145" s="318">
        <f t="shared" si="15"/>
        <v>0</v>
      </c>
      <c r="Q145" s="693">
        <f>F145</f>
        <v>0</v>
      </c>
      <c r="R145" s="694">
        <f>O145</f>
        <v>0</v>
      </c>
      <c r="S145" s="676">
        <f>P145</f>
        <v>0</v>
      </c>
      <c r="T145" s="313"/>
      <c r="U145" s="312"/>
      <c r="V145" s="695"/>
      <c r="W145" s="316"/>
      <c r="X145" s="921"/>
    </row>
    <row r="146" spans="1:24" hidden="1">
      <c r="A146" s="689" t="s">
        <v>1228</v>
      </c>
      <c r="B146" s="685" t="s">
        <v>1229</v>
      </c>
      <c r="C146" s="319">
        <f t="shared" ref="C146:E148" si="16">V133</f>
        <v>0.26536500000000002</v>
      </c>
      <c r="D146" s="316">
        <f t="shared" si="16"/>
        <v>29167.299167876383</v>
      </c>
      <c r="E146" s="317">
        <f t="shared" si="16"/>
        <v>8006.9702199999992</v>
      </c>
      <c r="F146" s="702"/>
      <c r="G146" s="693">
        <f>'[11]10'!G213</f>
        <v>0</v>
      </c>
      <c r="H146" s="693">
        <f>'[11]10'!H213</f>
        <v>0</v>
      </c>
      <c r="I146" s="693">
        <f>'[11]10'!I213</f>
        <v>0</v>
      </c>
      <c r="J146" s="693"/>
      <c r="K146" s="318"/>
      <c r="L146" s="318"/>
      <c r="M146" s="693"/>
      <c r="N146" s="318"/>
      <c r="O146" s="694">
        <f>O133</f>
        <v>0</v>
      </c>
      <c r="P146" s="318">
        <f t="shared" si="15"/>
        <v>0</v>
      </c>
      <c r="Q146" s="702"/>
      <c r="R146" s="677">
        <f>ROUND((E146+P146)/(C146+F146),2)</f>
        <v>30173.42</v>
      </c>
      <c r="S146" s="676">
        <f>ROUND(Q146*R146,0)</f>
        <v>0</v>
      </c>
      <c r="T146" s="313"/>
      <c r="U146" s="312"/>
      <c r="V146" s="695">
        <f t="shared" ref="V146:V147" si="17">C146+F146-Q146-T146</f>
        <v>0.26536500000000002</v>
      </c>
      <c r="W146" s="316">
        <v>30036.362790377065</v>
      </c>
      <c r="X146" s="921">
        <f t="shared" ref="X146" si="18">E146+P146-S146-U146</f>
        <v>8006.9702199999992</v>
      </c>
    </row>
    <row r="147" spans="1:24" hidden="1">
      <c r="A147" s="1897" t="s">
        <v>1230</v>
      </c>
      <c r="B147" s="685" t="s">
        <v>1210</v>
      </c>
      <c r="C147" s="319">
        <f t="shared" si="16"/>
        <v>1.6310629999999993</v>
      </c>
      <c r="D147" s="316">
        <f t="shared" si="16"/>
        <v>4578.8001873624753</v>
      </c>
      <c r="E147" s="317">
        <f t="shared" si="16"/>
        <v>7468.311569999998</v>
      </c>
      <c r="F147" s="702"/>
      <c r="G147" s="693">
        <f>'[11]10'!G214</f>
        <v>0</v>
      </c>
      <c r="H147" s="693">
        <f>'[11]10'!H214</f>
        <v>0</v>
      </c>
      <c r="I147" s="693">
        <f>'[11]10'!I214</f>
        <v>0</v>
      </c>
      <c r="J147" s="693"/>
      <c r="K147" s="318"/>
      <c r="L147" s="318"/>
      <c r="M147" s="693"/>
      <c r="N147" s="318"/>
      <c r="O147" s="1407"/>
      <c r="P147" s="318">
        <f t="shared" si="15"/>
        <v>0</v>
      </c>
      <c r="Q147" s="702"/>
      <c r="R147" s="677">
        <f t="shared" ref="R147:R149" si="19">ROUND((E147+P147)/(C147+F147),2)</f>
        <v>4578.8</v>
      </c>
      <c r="S147" s="918"/>
      <c r="T147" s="313"/>
      <c r="U147" s="312"/>
      <c r="V147" s="695">
        <f t="shared" si="17"/>
        <v>1.6310629999999993</v>
      </c>
      <c r="W147" s="316">
        <f>X147/V147</f>
        <v>5438.1713030091441</v>
      </c>
      <c r="X147" s="921">
        <v>8870</v>
      </c>
    </row>
    <row r="148" spans="1:24" hidden="1">
      <c r="A148" s="1898"/>
      <c r="B148" s="685" t="s">
        <v>178</v>
      </c>
      <c r="C148" s="319">
        <f t="shared" si="16"/>
        <v>2.1984189999999941</v>
      </c>
      <c r="D148" s="316">
        <f t="shared" si="16"/>
        <v>16988.399049498792</v>
      </c>
      <c r="E148" s="317">
        <f t="shared" si="16"/>
        <v>37347.619249999989</v>
      </c>
      <c r="F148" s="702"/>
      <c r="G148" s="693">
        <f>'[11]10'!G215</f>
        <v>0</v>
      </c>
      <c r="H148" s="693">
        <f>'[11]10'!H215</f>
        <v>0</v>
      </c>
      <c r="I148" s="693">
        <f>'[11]10'!I215</f>
        <v>0</v>
      </c>
      <c r="J148" s="693"/>
      <c r="K148" s="318"/>
      <c r="L148" s="318"/>
      <c r="M148" s="693"/>
      <c r="N148" s="318"/>
      <c r="O148" s="694">
        <f>O140+507</f>
        <v>507</v>
      </c>
      <c r="P148" s="318">
        <f t="shared" si="15"/>
        <v>0</v>
      </c>
      <c r="Q148" s="702"/>
      <c r="R148" s="677">
        <f t="shared" si="19"/>
        <v>16988.400000000001</v>
      </c>
      <c r="S148" s="676">
        <f t="shared" ref="S148:S149" si="20">ROUND(Q148*R148,0)</f>
        <v>0</v>
      </c>
      <c r="T148" s="313"/>
      <c r="U148" s="312"/>
      <c r="V148" s="695">
        <f>C148+F148-Q148-T148</f>
        <v>2.1984189999999941</v>
      </c>
      <c r="W148" s="316">
        <f t="shared" ref="W148" si="21">X148/V148</f>
        <v>16424.53053762731</v>
      </c>
      <c r="X148" s="921">
        <v>36108</v>
      </c>
    </row>
    <row r="149" spans="1:24" hidden="1">
      <c r="A149" s="1903"/>
      <c r="B149" s="685" t="s">
        <v>1211</v>
      </c>
      <c r="C149" s="686"/>
      <c r="D149" s="687"/>
      <c r="E149" s="688"/>
      <c r="F149" s="702"/>
      <c r="G149" s="693">
        <f>'[11]10'!G216</f>
        <v>0</v>
      </c>
      <c r="H149" s="693">
        <f>'[11]10'!H216</f>
        <v>0</v>
      </c>
      <c r="I149" s="693">
        <f>'[11]10'!I216</f>
        <v>0</v>
      </c>
      <c r="J149" s="693"/>
      <c r="K149" s="318"/>
      <c r="L149" s="318"/>
      <c r="M149" s="693"/>
      <c r="N149" s="318"/>
      <c r="O149" s="1407"/>
      <c r="P149" s="318">
        <f t="shared" si="15"/>
        <v>0</v>
      </c>
      <c r="Q149" s="693">
        <f t="shared" ref="Q149" si="22">F149</f>
        <v>0</v>
      </c>
      <c r="R149" s="677" t="e">
        <f t="shared" si="19"/>
        <v>#DIV/0!</v>
      </c>
      <c r="S149" s="676" t="e">
        <f t="shared" si="20"/>
        <v>#DIV/0!</v>
      </c>
      <c r="T149" s="313"/>
      <c r="U149" s="312"/>
      <c r="V149" s="695"/>
      <c r="W149" s="316"/>
      <c r="X149" s="921" t="s">
        <v>846</v>
      </c>
    </row>
    <row r="150" spans="1:24" hidden="1">
      <c r="A150" s="689"/>
      <c r="B150" s="685"/>
      <c r="C150" s="690"/>
      <c r="D150" s="691"/>
      <c r="E150" s="692"/>
      <c r="F150" s="693"/>
      <c r="G150" s="693">
        <f>'[11]10'!G217</f>
        <v>0</v>
      </c>
      <c r="H150" s="693">
        <f>'[11]10'!H217</f>
        <v>0</v>
      </c>
      <c r="I150" s="693">
        <f>'[11]10'!I217</f>
        <v>0</v>
      </c>
      <c r="J150" s="693"/>
      <c r="K150" s="318"/>
      <c r="L150" s="318"/>
      <c r="M150" s="693"/>
      <c r="N150" s="318"/>
      <c r="O150" s="694"/>
      <c r="P150" s="318"/>
      <c r="Q150" s="693"/>
      <c r="R150" s="694"/>
      <c r="S150" s="318"/>
      <c r="T150" s="313"/>
      <c r="U150" s="312"/>
      <c r="V150" s="695"/>
      <c r="W150" s="316"/>
      <c r="X150" s="919"/>
    </row>
    <row r="151" spans="1:24" ht="13.5" hidden="1" thickBot="1">
      <c r="A151" s="696" t="s">
        <v>435</v>
      </c>
      <c r="B151" s="697"/>
      <c r="C151" s="698">
        <f>C140+C143+C146+C147+C148</f>
        <v>27.252768000000017</v>
      </c>
      <c r="D151" s="701">
        <f>ROUND(E151/C151,2)</f>
        <v>15928.44</v>
      </c>
      <c r="E151" s="700">
        <f>E140+E143+E146+E147+E148</f>
        <v>434093.99598000001</v>
      </c>
      <c r="F151" s="698">
        <f>F140+F143+F146+F147+F148+F149</f>
        <v>0</v>
      </c>
      <c r="G151" s="1427">
        <f>'[11]10'!G219</f>
        <v>0</v>
      </c>
      <c r="H151" s="1427">
        <f>'[11]10'!H219</f>
        <v>0</v>
      </c>
      <c r="I151" s="1427">
        <f>'[11]10'!I219</f>
        <v>0</v>
      </c>
      <c r="J151" s="1427"/>
      <c r="K151" s="1428"/>
      <c r="L151" s="1428"/>
      <c r="M151" s="1427"/>
      <c r="N151" s="1428"/>
      <c r="O151" s="701" t="e">
        <f>ROUND(P151/F151,2)</f>
        <v>#DIV/0!</v>
      </c>
      <c r="P151" s="700">
        <f>P140+P143+P146+P147+P148+P149</f>
        <v>0</v>
      </c>
      <c r="Q151" s="698">
        <f>Q140+Q143+Q146+Q147+Q148+Q149</f>
        <v>0</v>
      </c>
      <c r="R151" s="701" t="e">
        <f>ROUND(S151/Q151,2)</f>
        <v>#DIV/0!</v>
      </c>
      <c r="S151" s="700" t="e">
        <f>S140+S143+S146+S147+S148+S149</f>
        <v>#DIV/0!</v>
      </c>
      <c r="T151" s="1429"/>
      <c r="U151" s="1430"/>
      <c r="V151" s="698">
        <f>V140+V143+V146+V147+V148</f>
        <v>27.252768000000017</v>
      </c>
      <c r="W151" s="701">
        <f>ROUND(X151/V151,2)</f>
        <v>-26416.46</v>
      </c>
      <c r="X151" s="1426">
        <f>X140+X143+X146+X147+X148</f>
        <v>-719921.58583999984</v>
      </c>
    </row>
    <row r="152" spans="1:24" ht="14.25" customHeight="1">
      <c r="A152" s="1900" t="s">
        <v>1873</v>
      </c>
      <c r="B152" s="1901"/>
      <c r="C152" s="1901"/>
      <c r="D152" s="1901"/>
      <c r="E152" s="1901"/>
      <c r="F152" s="1901"/>
      <c r="G152" s="1901"/>
      <c r="H152" s="1901"/>
      <c r="I152" s="1901"/>
      <c r="J152" s="1901"/>
      <c r="K152" s="1901"/>
      <c r="L152" s="1901"/>
      <c r="M152" s="1901"/>
      <c r="N152" s="1901"/>
      <c r="O152" s="1901"/>
      <c r="P152" s="1901"/>
      <c r="Q152" s="1901"/>
      <c r="R152" s="1901"/>
      <c r="S152" s="1901"/>
      <c r="T152" s="1901"/>
      <c r="U152" s="1901"/>
      <c r="V152" s="1901"/>
      <c r="W152" s="1901"/>
      <c r="X152" s="1902"/>
    </row>
    <row r="153" spans="1:24">
      <c r="A153" s="680" t="s">
        <v>1223</v>
      </c>
      <c r="B153" s="681" t="s">
        <v>346</v>
      </c>
      <c r="C153" s="319">
        <v>23.157921000000016</v>
      </c>
      <c r="D153" s="316">
        <v>16523.649823315314</v>
      </c>
      <c r="E153" s="317">
        <v>382653.37724000029</v>
      </c>
      <c r="F153" s="693">
        <v>80.775000000000006</v>
      </c>
      <c r="G153" s="693">
        <v>0</v>
      </c>
      <c r="H153" s="693">
        <v>0</v>
      </c>
      <c r="I153" s="693">
        <v>0</v>
      </c>
      <c r="J153" s="693"/>
      <c r="K153" s="170"/>
      <c r="L153" s="318"/>
      <c r="M153" s="693"/>
      <c r="N153" s="318"/>
      <c r="O153" s="694">
        <v>17840.002971216341</v>
      </c>
      <c r="P153" s="318">
        <v>1441026.24</v>
      </c>
      <c r="Q153" s="693">
        <v>14.795999999999999</v>
      </c>
      <c r="R153" s="694">
        <v>17500.608272506084</v>
      </c>
      <c r="S153" s="318">
        <v>258939</v>
      </c>
      <c r="T153" s="319">
        <v>65.978999999999999</v>
      </c>
      <c r="U153" s="318">
        <v>1155736.4516100001</v>
      </c>
      <c r="V153" s="695">
        <v>23.15792100000003</v>
      </c>
      <c r="W153" s="316">
        <v>17661.523486067668</v>
      </c>
      <c r="X153" s="676">
        <v>409004.16563000018</v>
      </c>
    </row>
    <row r="154" spans="1:24">
      <c r="A154" s="173" t="s">
        <v>1224</v>
      </c>
      <c r="B154" s="170" t="s">
        <v>346</v>
      </c>
      <c r="C154" s="319">
        <v>0</v>
      </c>
      <c r="D154" s="316">
        <v>0</v>
      </c>
      <c r="E154" s="317">
        <v>0</v>
      </c>
      <c r="F154" s="693">
        <v>0</v>
      </c>
      <c r="G154" s="693">
        <v>0</v>
      </c>
      <c r="H154" s="693">
        <v>0</v>
      </c>
      <c r="I154" s="693">
        <v>0</v>
      </c>
      <c r="J154" s="693"/>
      <c r="K154" s="171"/>
      <c r="L154" s="318"/>
      <c r="M154" s="693"/>
      <c r="N154" s="318"/>
      <c r="O154" s="694"/>
      <c r="P154" s="318">
        <v>0</v>
      </c>
      <c r="Q154" s="693">
        <v>14.795999999999999</v>
      </c>
      <c r="R154" s="694">
        <v>17500.608272506084</v>
      </c>
      <c r="S154" s="318">
        <v>258939</v>
      </c>
      <c r="T154" s="314"/>
      <c r="U154" s="314"/>
      <c r="V154" s="695"/>
      <c r="W154" s="316"/>
      <c r="X154" s="676"/>
    </row>
    <row r="155" spans="1:24">
      <c r="A155" s="174" t="s">
        <v>1225</v>
      </c>
      <c r="B155" s="170" t="s">
        <v>346</v>
      </c>
      <c r="C155" s="319">
        <v>0</v>
      </c>
      <c r="D155" s="316">
        <v>0</v>
      </c>
      <c r="E155" s="317">
        <v>0</v>
      </c>
      <c r="F155" s="693">
        <v>0</v>
      </c>
      <c r="G155" s="693">
        <v>0</v>
      </c>
      <c r="H155" s="693">
        <v>0</v>
      </c>
      <c r="I155" s="693">
        <v>0</v>
      </c>
      <c r="J155" s="693"/>
      <c r="K155" s="318"/>
      <c r="L155" s="318"/>
      <c r="M155" s="693"/>
      <c r="N155" s="318"/>
      <c r="O155" s="694"/>
      <c r="P155" s="318"/>
      <c r="Q155" s="693"/>
      <c r="R155" s="694"/>
      <c r="S155" s="318"/>
      <c r="T155" s="313"/>
      <c r="U155" s="312"/>
      <c r="V155" s="695"/>
      <c r="W155" s="316"/>
      <c r="X155" s="676"/>
    </row>
    <row r="156" spans="1:24">
      <c r="A156" s="680" t="s">
        <v>1223</v>
      </c>
      <c r="B156" s="685" t="s">
        <v>1226</v>
      </c>
      <c r="C156" s="319"/>
      <c r="D156" s="316"/>
      <c r="E156" s="317"/>
      <c r="F156" s="693">
        <v>369.51599999999996</v>
      </c>
      <c r="G156" s="693">
        <v>0</v>
      </c>
      <c r="H156" s="693">
        <v>0</v>
      </c>
      <c r="I156" s="693">
        <v>0</v>
      </c>
      <c r="J156" s="693"/>
      <c r="K156" s="318"/>
      <c r="L156" s="318"/>
      <c r="M156" s="693"/>
      <c r="N156" s="318"/>
      <c r="O156" s="694">
        <v>6482.4302258359594</v>
      </c>
      <c r="P156" s="318">
        <v>2395361.6873300001</v>
      </c>
      <c r="Q156" s="693">
        <v>369.51599999999996</v>
      </c>
      <c r="R156" s="694">
        <v>6482.4310719968835</v>
      </c>
      <c r="S156" s="318">
        <v>2395362</v>
      </c>
      <c r="T156" s="313"/>
      <c r="U156" s="312"/>
      <c r="V156" s="695"/>
      <c r="W156" s="316"/>
      <c r="X156" s="676"/>
    </row>
    <row r="157" spans="1:24">
      <c r="A157" s="173" t="s">
        <v>1224</v>
      </c>
      <c r="B157" s="170" t="s">
        <v>1226</v>
      </c>
      <c r="C157" s="319"/>
      <c r="D157" s="316"/>
      <c r="E157" s="317"/>
      <c r="F157" s="693">
        <v>96.063999999999993</v>
      </c>
      <c r="G157" s="693">
        <v>0</v>
      </c>
      <c r="H157" s="693">
        <v>0</v>
      </c>
      <c r="I157" s="693">
        <v>0</v>
      </c>
      <c r="J157" s="693"/>
      <c r="K157" s="318"/>
      <c r="L157" s="318"/>
      <c r="M157" s="693"/>
      <c r="N157" s="318"/>
      <c r="O157" s="694">
        <v>6495.1034110592936</v>
      </c>
      <c r="P157" s="318">
        <v>623945.61407999997</v>
      </c>
      <c r="Q157" s="693">
        <v>96.063999999999993</v>
      </c>
      <c r="R157" s="694">
        <v>6495.1074283810794</v>
      </c>
      <c r="S157" s="318">
        <v>623946</v>
      </c>
      <c r="T157" s="313"/>
      <c r="U157" s="312"/>
      <c r="V157" s="695"/>
      <c r="W157" s="316"/>
      <c r="X157" s="676"/>
    </row>
    <row r="158" spans="1:24">
      <c r="A158" s="173" t="s">
        <v>1227</v>
      </c>
      <c r="B158" s="170" t="s">
        <v>1226</v>
      </c>
      <c r="C158" s="319"/>
      <c r="D158" s="316"/>
      <c r="E158" s="317"/>
      <c r="F158" s="693">
        <v>273.452</v>
      </c>
      <c r="G158" s="693">
        <v>0</v>
      </c>
      <c r="H158" s="693">
        <v>0</v>
      </c>
      <c r="I158" s="693">
        <v>0</v>
      </c>
      <c r="J158" s="693"/>
      <c r="K158" s="318"/>
      <c r="L158" s="318"/>
      <c r="M158" s="693"/>
      <c r="N158" s="318"/>
      <c r="O158" s="694">
        <v>6477.9781213887627</v>
      </c>
      <c r="P158" s="318">
        <v>1771416.0732499999</v>
      </c>
      <c r="Q158" s="693">
        <v>273.452</v>
      </c>
      <c r="R158" s="694">
        <v>6477.9778535172536</v>
      </c>
      <c r="S158" s="318">
        <v>1771416</v>
      </c>
      <c r="T158" s="313"/>
      <c r="U158" s="312"/>
      <c r="V158" s="695"/>
      <c r="W158" s="316"/>
      <c r="X158" s="676"/>
    </row>
    <row r="159" spans="1:24">
      <c r="A159" s="689" t="s">
        <v>1228</v>
      </c>
      <c r="B159" s="685" t="s">
        <v>1229</v>
      </c>
      <c r="C159" s="319">
        <v>0.26536500000000002</v>
      </c>
      <c r="D159" s="316">
        <v>32559.941250730124</v>
      </c>
      <c r="E159" s="317">
        <v>8640.2688099999996</v>
      </c>
      <c r="F159" s="693">
        <v>0.105</v>
      </c>
      <c r="G159" s="693">
        <v>0</v>
      </c>
      <c r="H159" s="693">
        <v>0</v>
      </c>
      <c r="I159" s="693">
        <v>0</v>
      </c>
      <c r="J159" s="693"/>
      <c r="K159" s="318"/>
      <c r="L159" s="318"/>
      <c r="M159" s="693"/>
      <c r="N159" s="318"/>
      <c r="O159" s="694">
        <v>42432.228571428568</v>
      </c>
      <c r="P159" s="318">
        <v>4455.0479999999998</v>
      </c>
      <c r="Q159" s="693">
        <v>0.105</v>
      </c>
      <c r="R159" s="694">
        <v>34876.190476190481</v>
      </c>
      <c r="S159" s="318">
        <v>3662</v>
      </c>
      <c r="T159" s="313"/>
      <c r="U159" s="312"/>
      <c r="V159" s="695">
        <v>0.26536500000000002</v>
      </c>
      <c r="W159" s="316">
        <v>35533.398952763178</v>
      </c>
      <c r="X159" s="676">
        <v>9433.3168100000003</v>
      </c>
    </row>
    <row r="160" spans="1:24">
      <c r="A160" s="1897" t="s">
        <v>1230</v>
      </c>
      <c r="B160" s="685" t="s">
        <v>1210</v>
      </c>
      <c r="C160" s="319">
        <v>1.6310629999999993</v>
      </c>
      <c r="D160" s="316">
        <v>4924.5446190613138</v>
      </c>
      <c r="E160" s="317">
        <v>8032.2425199999998</v>
      </c>
      <c r="F160" s="693">
        <v>10.231999999999999</v>
      </c>
      <c r="G160" s="693">
        <v>0</v>
      </c>
      <c r="H160" s="693">
        <v>0</v>
      </c>
      <c r="I160" s="693">
        <v>0</v>
      </c>
      <c r="J160" s="693"/>
      <c r="K160" s="318"/>
      <c r="L160" s="318"/>
      <c r="M160" s="693"/>
      <c r="N160" s="318"/>
      <c r="O160" s="694">
        <v>5589.0064464425332</v>
      </c>
      <c r="P160" s="318">
        <v>57186.406999999999</v>
      </c>
      <c r="Q160" s="693">
        <v>10.231999999999999</v>
      </c>
      <c r="R160" s="694">
        <v>5489.513291634089</v>
      </c>
      <c r="S160" s="318">
        <v>56168.7</v>
      </c>
      <c r="T160" s="313"/>
      <c r="U160" s="312"/>
      <c r="V160" s="695">
        <v>1.6310629999999993</v>
      </c>
      <c r="W160" s="316">
        <v>5548.5978323951967</v>
      </c>
      <c r="X160" s="676">
        <v>9049.9495200000019</v>
      </c>
    </row>
    <row r="161" spans="1:24">
      <c r="A161" s="1898"/>
      <c r="B161" s="685" t="s">
        <v>178</v>
      </c>
      <c r="C161" s="319">
        <v>2.1986009999999965</v>
      </c>
      <c r="D161" s="316">
        <v>17027.204904391532</v>
      </c>
      <c r="E161" s="317">
        <v>37436.029730000068</v>
      </c>
      <c r="F161" s="693">
        <v>57.923000000000002</v>
      </c>
      <c r="G161" s="693">
        <v>0</v>
      </c>
      <c r="H161" s="693">
        <v>0</v>
      </c>
      <c r="I161" s="693">
        <v>0</v>
      </c>
      <c r="J161" s="693"/>
      <c r="K161" s="318"/>
      <c r="L161" s="318"/>
      <c r="M161" s="693"/>
      <c r="N161" s="318"/>
      <c r="O161" s="694">
        <v>18071.505982597588</v>
      </c>
      <c r="P161" s="318">
        <v>1046755.84103</v>
      </c>
      <c r="Q161" s="693">
        <v>57.923000000000002</v>
      </c>
      <c r="R161" s="694">
        <v>18027.381178461059</v>
      </c>
      <c r="S161" s="318">
        <v>1044200</v>
      </c>
      <c r="T161" s="313"/>
      <c r="U161" s="312"/>
      <c r="V161" s="695">
        <v>2.1986009999999965</v>
      </c>
      <c r="W161" s="316">
        <v>18189.170061998582</v>
      </c>
      <c r="X161" s="676">
        <v>39991.870760000078</v>
      </c>
    </row>
    <row r="162" spans="1:24">
      <c r="A162" s="1898"/>
      <c r="B162" s="685" t="s">
        <v>1211</v>
      </c>
      <c r="C162" s="319"/>
      <c r="D162" s="316"/>
      <c r="E162" s="317"/>
      <c r="F162" s="693">
        <v>13.57</v>
      </c>
      <c r="G162" s="693">
        <v>0</v>
      </c>
      <c r="H162" s="693">
        <v>0</v>
      </c>
      <c r="I162" s="693">
        <v>0</v>
      </c>
      <c r="J162" s="693"/>
      <c r="K162" s="318"/>
      <c r="L162" s="318"/>
      <c r="M162" s="693"/>
      <c r="N162" s="318"/>
      <c r="O162" s="694">
        <v>6503.0023028739861</v>
      </c>
      <c r="P162" s="318">
        <v>88245.741249999992</v>
      </c>
      <c r="Q162" s="693">
        <v>13.57</v>
      </c>
      <c r="R162" s="694">
        <v>6503.0223028739865</v>
      </c>
      <c r="S162" s="318">
        <v>88245.741249999992</v>
      </c>
      <c r="T162" s="313"/>
      <c r="U162" s="312"/>
      <c r="V162" s="695"/>
      <c r="W162" s="316"/>
      <c r="X162" s="676"/>
    </row>
    <row r="163" spans="1:24">
      <c r="A163" s="1899"/>
      <c r="B163" s="685" t="s">
        <v>1888</v>
      </c>
      <c r="C163" s="319">
        <v>9.3590000000000062E-3</v>
      </c>
      <c r="D163" s="316">
        <v>40992.441500160043</v>
      </c>
      <c r="E163" s="317">
        <v>383.64825999999812</v>
      </c>
      <c r="F163" s="693">
        <v>0.6</v>
      </c>
      <c r="G163" s="693">
        <v>0</v>
      </c>
      <c r="H163" s="693">
        <v>0</v>
      </c>
      <c r="I163" s="693">
        <v>0</v>
      </c>
      <c r="J163" s="693"/>
      <c r="K163" s="318"/>
      <c r="L163" s="318"/>
      <c r="M163" s="693"/>
      <c r="N163" s="318"/>
      <c r="O163" s="694">
        <v>44965.003333333327</v>
      </c>
      <c r="P163" s="318">
        <v>26978.989999999998</v>
      </c>
      <c r="Q163" s="693">
        <v>0.6</v>
      </c>
      <c r="R163" s="694">
        <v>44903.088266666666</v>
      </c>
      <c r="S163" s="318">
        <v>26941.948960000002</v>
      </c>
      <c r="T163" s="313"/>
      <c r="U163" s="312"/>
      <c r="V163" s="695">
        <v>9.3590000000000062E-3</v>
      </c>
      <c r="W163" s="316">
        <v>44961.320410299631</v>
      </c>
      <c r="X163" s="676">
        <v>420.68929999999455</v>
      </c>
    </row>
    <row r="164" spans="1:24" ht="13.5" thickBot="1">
      <c r="A164" s="696" t="s">
        <v>435</v>
      </c>
      <c r="B164" s="697"/>
      <c r="C164" s="698">
        <v>27.262309000000013</v>
      </c>
      <c r="D164" s="701">
        <v>16034.8</v>
      </c>
      <c r="E164" s="700">
        <v>437145.56656000036</v>
      </c>
      <c r="F164" s="698">
        <v>532.721</v>
      </c>
      <c r="G164" s="693">
        <v>0</v>
      </c>
      <c r="H164" s="693">
        <v>0</v>
      </c>
      <c r="I164" s="693">
        <v>0</v>
      </c>
      <c r="J164" s="693"/>
      <c r="K164" s="318"/>
      <c r="L164" s="318"/>
      <c r="M164" s="693"/>
      <c r="N164" s="318"/>
      <c r="O164" s="701">
        <v>9498.42</v>
      </c>
      <c r="P164" s="700">
        <v>5060009.9546100004</v>
      </c>
      <c r="Q164" s="698">
        <v>466.74200000000002</v>
      </c>
      <c r="R164" s="701">
        <v>8299.06</v>
      </c>
      <c r="S164" s="700">
        <v>3873519.3902100003</v>
      </c>
      <c r="T164" s="698">
        <v>65.978999999999999</v>
      </c>
      <c r="U164" s="700">
        <v>1155736.4516100001</v>
      </c>
      <c r="V164" s="698">
        <v>27.262309000000027</v>
      </c>
      <c r="W164" s="699">
        <v>17162.89</v>
      </c>
      <c r="X164" s="700">
        <v>467899.99202000024</v>
      </c>
    </row>
    <row r="165" spans="1:24">
      <c r="A165" s="1900" t="s">
        <v>1830</v>
      </c>
      <c r="B165" s="1901"/>
      <c r="C165" s="1901"/>
      <c r="D165" s="1901"/>
      <c r="E165" s="1901"/>
      <c r="F165" s="1901"/>
      <c r="G165" s="1901"/>
      <c r="H165" s="1901"/>
      <c r="I165" s="1901"/>
      <c r="J165" s="1901"/>
      <c r="K165" s="1901"/>
      <c r="L165" s="1901"/>
      <c r="M165" s="1901"/>
      <c r="N165" s="1901"/>
      <c r="O165" s="1901"/>
      <c r="P165" s="1901"/>
      <c r="Q165" s="1901"/>
      <c r="R165" s="1901"/>
      <c r="S165" s="1901"/>
      <c r="T165" s="1901"/>
      <c r="U165" s="1901"/>
      <c r="V165" s="1901"/>
      <c r="W165" s="1901"/>
      <c r="X165" s="1902"/>
    </row>
    <row r="166" spans="1:24">
      <c r="A166" s="680" t="s">
        <v>1223</v>
      </c>
      <c r="B166" s="681" t="s">
        <v>346</v>
      </c>
      <c r="C166" s="319">
        <v>23.157921000000016</v>
      </c>
      <c r="D166" s="316">
        <v>16523.649823315314</v>
      </c>
      <c r="E166" s="317">
        <v>382653.37724000029</v>
      </c>
      <c r="F166" s="693">
        <v>49.463999999999999</v>
      </c>
      <c r="G166" s="693">
        <v>0</v>
      </c>
      <c r="H166" s="693">
        <v>0</v>
      </c>
      <c r="I166" s="693">
        <v>0</v>
      </c>
      <c r="J166" s="693"/>
      <c r="K166" s="170"/>
      <c r="L166" s="318"/>
      <c r="M166" s="693"/>
      <c r="N166" s="318"/>
      <c r="O166" s="1407">
        <v>17840</v>
      </c>
      <c r="P166" s="318">
        <v>882438</v>
      </c>
      <c r="Q166" s="693">
        <v>9.8699999999999992</v>
      </c>
      <c r="R166" s="677">
        <v>17420.240000000002</v>
      </c>
      <c r="S166" s="676">
        <v>171938</v>
      </c>
      <c r="T166" s="705">
        <v>39.594000000000001</v>
      </c>
      <c r="U166" s="318">
        <v>689736.98256000003</v>
      </c>
      <c r="V166" s="695">
        <v>23.157921000000016</v>
      </c>
      <c r="W166" s="316">
        <v>17420.183650507748</v>
      </c>
      <c r="X166" s="676">
        <v>403416.39468000026</v>
      </c>
    </row>
    <row r="167" spans="1:24">
      <c r="A167" s="173" t="s">
        <v>1224</v>
      </c>
      <c r="B167" s="170" t="s">
        <v>346</v>
      </c>
      <c r="C167" s="319">
        <v>0</v>
      </c>
      <c r="D167" s="316">
        <v>0</v>
      </c>
      <c r="E167" s="317">
        <v>0</v>
      </c>
      <c r="F167" s="702"/>
      <c r="G167" s="693"/>
      <c r="H167" s="693"/>
      <c r="I167" s="693"/>
      <c r="J167" s="693"/>
      <c r="K167" s="171"/>
      <c r="L167" s="318"/>
      <c r="M167" s="693"/>
      <c r="N167" s="318"/>
      <c r="O167" s="694"/>
      <c r="P167" s="703"/>
      <c r="Q167" s="702">
        <v>9.8699999999999992</v>
      </c>
      <c r="R167" s="694">
        <v>17420.240000000002</v>
      </c>
      <c r="S167" s="676">
        <v>171938</v>
      </c>
      <c r="T167" s="314"/>
      <c r="U167" s="314"/>
      <c r="V167" s="695"/>
      <c r="W167" s="316"/>
      <c r="X167" s="704"/>
    </row>
    <row r="168" spans="1:24">
      <c r="A168" s="174" t="s">
        <v>1225</v>
      </c>
      <c r="B168" s="170" t="s">
        <v>346</v>
      </c>
      <c r="C168" s="319">
        <v>0</v>
      </c>
      <c r="D168" s="316">
        <v>0</v>
      </c>
      <c r="E168" s="317">
        <v>0</v>
      </c>
      <c r="F168" s="702"/>
      <c r="G168" s="693">
        <v>0</v>
      </c>
      <c r="H168" s="693">
        <v>0</v>
      </c>
      <c r="I168" s="693">
        <v>0</v>
      </c>
      <c r="J168" s="693"/>
      <c r="K168" s="318"/>
      <c r="L168" s="318"/>
      <c r="M168" s="693"/>
      <c r="N168" s="318"/>
      <c r="O168" s="694"/>
      <c r="P168" s="703"/>
      <c r="Q168" s="702">
        <v>0</v>
      </c>
      <c r="R168" s="694"/>
      <c r="S168" s="676">
        <v>0</v>
      </c>
      <c r="T168" s="313"/>
      <c r="U168" s="312"/>
      <c r="V168" s="695"/>
      <c r="W168" s="316"/>
      <c r="X168" s="704"/>
    </row>
    <row r="169" spans="1:24">
      <c r="A169" s="680" t="s">
        <v>1223</v>
      </c>
      <c r="B169" s="685" t="s">
        <v>1226</v>
      </c>
      <c r="C169" s="319"/>
      <c r="D169" s="316"/>
      <c r="E169" s="317"/>
      <c r="F169" s="693">
        <v>195.535</v>
      </c>
      <c r="G169" s="693">
        <v>0</v>
      </c>
      <c r="H169" s="693">
        <v>0</v>
      </c>
      <c r="I169" s="693">
        <v>0</v>
      </c>
      <c r="J169" s="693"/>
      <c r="K169" s="318"/>
      <c r="L169" s="318"/>
      <c r="M169" s="693"/>
      <c r="N169" s="318"/>
      <c r="O169" s="694">
        <v>6390.34</v>
      </c>
      <c r="P169" s="318">
        <v>1249535</v>
      </c>
      <c r="Q169" s="693">
        <v>195.535</v>
      </c>
      <c r="R169" s="677">
        <v>6390.34</v>
      </c>
      <c r="S169" s="676">
        <v>1249535</v>
      </c>
      <c r="T169" s="313"/>
      <c r="U169" s="312"/>
      <c r="V169" s="695"/>
      <c r="W169" s="316"/>
      <c r="X169" s="317"/>
    </row>
    <row r="170" spans="1:24">
      <c r="A170" s="173" t="s">
        <v>1224</v>
      </c>
      <c r="B170" s="170" t="s">
        <v>1226</v>
      </c>
      <c r="C170" s="319"/>
      <c r="D170" s="316"/>
      <c r="E170" s="317"/>
      <c r="F170" s="693">
        <v>44.607999999999997</v>
      </c>
      <c r="G170" s="693">
        <v>0</v>
      </c>
      <c r="H170" s="693">
        <v>0</v>
      </c>
      <c r="I170" s="693">
        <v>0</v>
      </c>
      <c r="J170" s="693"/>
      <c r="K170" s="318"/>
      <c r="L170" s="318"/>
      <c r="M170" s="693"/>
      <c r="N170" s="318"/>
      <c r="O170" s="1407">
        <v>6390.34</v>
      </c>
      <c r="P170" s="703">
        <v>285060</v>
      </c>
      <c r="Q170" s="702">
        <v>44.607999999999997</v>
      </c>
      <c r="R170" s="694">
        <v>6390.34</v>
      </c>
      <c r="S170" s="676">
        <v>285060</v>
      </c>
      <c r="T170" s="313"/>
      <c r="U170" s="312"/>
      <c r="V170" s="695"/>
      <c r="W170" s="316"/>
      <c r="X170" s="317"/>
    </row>
    <row r="171" spans="1:24">
      <c r="A171" s="173" t="s">
        <v>1227</v>
      </c>
      <c r="B171" s="170" t="s">
        <v>1226</v>
      </c>
      <c r="C171" s="319"/>
      <c r="D171" s="316"/>
      <c r="E171" s="317"/>
      <c r="F171" s="693">
        <v>150.92699999999999</v>
      </c>
      <c r="G171" s="693">
        <v>0</v>
      </c>
      <c r="H171" s="693">
        <v>0</v>
      </c>
      <c r="I171" s="693">
        <v>0</v>
      </c>
      <c r="J171" s="693"/>
      <c r="K171" s="318"/>
      <c r="L171" s="318"/>
      <c r="M171" s="693"/>
      <c r="N171" s="318"/>
      <c r="O171" s="694">
        <v>6390.34</v>
      </c>
      <c r="P171" s="703">
        <v>964475</v>
      </c>
      <c r="Q171" s="702">
        <v>150.92699999999999</v>
      </c>
      <c r="R171" s="694">
        <v>6390.34</v>
      </c>
      <c r="S171" s="676">
        <v>964475</v>
      </c>
      <c r="T171" s="313"/>
      <c r="U171" s="312"/>
      <c r="V171" s="695"/>
      <c r="W171" s="316"/>
      <c r="X171" s="317"/>
    </row>
    <row r="172" spans="1:24">
      <c r="A172" s="689" t="s">
        <v>1228</v>
      </c>
      <c r="B172" s="685" t="s">
        <v>1229</v>
      </c>
      <c r="C172" s="319">
        <v>0.26536500000000002</v>
      </c>
      <c r="D172" s="316">
        <v>32559.941250730124</v>
      </c>
      <c r="E172" s="317">
        <v>8640.2688099999996</v>
      </c>
      <c r="F172" s="702">
        <v>5.2999999999999999E-2</v>
      </c>
      <c r="G172" s="693">
        <v>0</v>
      </c>
      <c r="H172" s="693">
        <v>0</v>
      </c>
      <c r="I172" s="693">
        <v>0</v>
      </c>
      <c r="J172" s="693"/>
      <c r="K172" s="318"/>
      <c r="L172" s="318"/>
      <c r="M172" s="693"/>
      <c r="N172" s="318"/>
      <c r="O172" s="1407">
        <v>42424</v>
      </c>
      <c r="P172" s="703">
        <v>2248</v>
      </c>
      <c r="Q172" s="702">
        <v>5.2999999999999999E-2</v>
      </c>
      <c r="R172" s="677">
        <v>34202.07</v>
      </c>
      <c r="S172" s="676">
        <v>1813</v>
      </c>
      <c r="T172" s="313"/>
      <c r="U172" s="312"/>
      <c r="V172" s="695">
        <v>0.26536500000000002</v>
      </c>
      <c r="W172" s="316">
        <v>34200.973257211765</v>
      </c>
      <c r="X172" s="921">
        <v>9075.6988099999999</v>
      </c>
    </row>
    <row r="173" spans="1:24">
      <c r="A173" s="1897" t="s">
        <v>1230</v>
      </c>
      <c r="B173" s="685" t="s">
        <v>1210</v>
      </c>
      <c r="C173" s="319">
        <v>1.6310629999999993</v>
      </c>
      <c r="D173" s="316">
        <v>4924.5446190613138</v>
      </c>
      <c r="E173" s="317">
        <v>8032.2425199999998</v>
      </c>
      <c r="F173" s="693">
        <v>6.4690000000000003</v>
      </c>
      <c r="G173" s="693">
        <v>0</v>
      </c>
      <c r="H173" s="693">
        <v>0</v>
      </c>
      <c r="I173" s="693">
        <v>0</v>
      </c>
      <c r="J173" s="693"/>
      <c r="K173" s="318"/>
      <c r="L173" s="318"/>
      <c r="M173" s="693"/>
      <c r="N173" s="318"/>
      <c r="O173" s="1407">
        <v>5589</v>
      </c>
      <c r="P173" s="703">
        <v>36155</v>
      </c>
      <c r="Q173" s="702">
        <v>6.4690000000000003</v>
      </c>
      <c r="R173" s="677">
        <v>5455.2</v>
      </c>
      <c r="S173" s="676">
        <v>35289.699999999997</v>
      </c>
      <c r="T173" s="313"/>
      <c r="U173" s="312"/>
      <c r="V173" s="695">
        <v>1.6310629999999984</v>
      </c>
      <c r="W173" s="316">
        <v>5455.2075422286025</v>
      </c>
      <c r="X173" s="921">
        <v>8897.5425200000027</v>
      </c>
    </row>
    <row r="174" spans="1:24">
      <c r="A174" s="1898"/>
      <c r="B174" s="685" t="s">
        <v>178</v>
      </c>
      <c r="C174" s="319">
        <v>2.1986009999999965</v>
      </c>
      <c r="D174" s="316">
        <v>17027.204904391532</v>
      </c>
      <c r="E174" s="317">
        <v>37436.029730000068</v>
      </c>
      <c r="F174" s="693">
        <v>34.572000000000003</v>
      </c>
      <c r="G174" s="693">
        <v>0</v>
      </c>
      <c r="H174" s="693">
        <v>0</v>
      </c>
      <c r="I174" s="693">
        <v>0</v>
      </c>
      <c r="J174" s="693"/>
      <c r="K174" s="318"/>
      <c r="L174" s="318"/>
      <c r="M174" s="693"/>
      <c r="N174" s="318"/>
      <c r="O174" s="694">
        <v>17974.240000000002</v>
      </c>
      <c r="P174" s="703">
        <v>621405</v>
      </c>
      <c r="Q174" s="702">
        <v>34.572000000000003</v>
      </c>
      <c r="R174" s="677">
        <v>17917.599999999999</v>
      </c>
      <c r="S174" s="676">
        <v>619447</v>
      </c>
      <c r="T174" s="313"/>
      <c r="U174" s="312"/>
      <c r="V174" s="695">
        <v>2.1986009999999965</v>
      </c>
      <c r="W174" s="316">
        <v>17917.691223609982</v>
      </c>
      <c r="X174" s="921">
        <v>39394.029730000068</v>
      </c>
    </row>
    <row r="175" spans="1:24">
      <c r="A175" s="1898"/>
      <c r="B175" s="685" t="s">
        <v>1211</v>
      </c>
      <c r="C175" s="319"/>
      <c r="D175" s="316"/>
      <c r="E175" s="317"/>
      <c r="F175" s="693">
        <v>8.0250000000000004</v>
      </c>
      <c r="G175" s="693">
        <v>0</v>
      </c>
      <c r="H175" s="693">
        <v>0</v>
      </c>
      <c r="I175" s="693">
        <v>0</v>
      </c>
      <c r="J175" s="693"/>
      <c r="K175" s="318"/>
      <c r="L175" s="318"/>
      <c r="M175" s="693"/>
      <c r="N175" s="318"/>
      <c r="O175" s="1407">
        <v>6422.71</v>
      </c>
      <c r="P175" s="703">
        <v>51542</v>
      </c>
      <c r="Q175" s="702">
        <v>8.0250000000000004</v>
      </c>
      <c r="R175" s="677">
        <v>6422.71</v>
      </c>
      <c r="S175" s="676">
        <v>51542</v>
      </c>
      <c r="T175" s="313"/>
      <c r="U175" s="312"/>
      <c r="V175" s="695"/>
      <c r="W175" s="316"/>
      <c r="X175" s="317"/>
    </row>
    <row r="176" spans="1:24">
      <c r="A176" s="1899"/>
      <c r="B176" s="685" t="s">
        <v>1888</v>
      </c>
      <c r="C176" s="319">
        <v>9.3590000000000062E-3</v>
      </c>
      <c r="D176" s="316">
        <v>40992.441500160043</v>
      </c>
      <c r="E176" s="317">
        <v>383.64825999999812</v>
      </c>
      <c r="F176" s="693">
        <v>0.314</v>
      </c>
      <c r="G176" s="693">
        <v>0</v>
      </c>
      <c r="H176" s="693">
        <v>0</v>
      </c>
      <c r="I176" s="693">
        <v>0</v>
      </c>
      <c r="J176" s="693"/>
      <c r="K176" s="318"/>
      <c r="L176" s="318"/>
      <c r="M176" s="693"/>
      <c r="N176" s="318"/>
      <c r="O176" s="694">
        <v>44965</v>
      </c>
      <c r="P176" s="318">
        <v>14119</v>
      </c>
      <c r="Q176" s="693">
        <v>0.314</v>
      </c>
      <c r="R176" s="677">
        <v>44850.02</v>
      </c>
      <c r="S176" s="676">
        <v>14083</v>
      </c>
      <c r="T176" s="313"/>
      <c r="U176" s="312"/>
      <c r="V176" s="695">
        <v>9.3590000000000062E-3</v>
      </c>
      <c r="W176" s="316">
        <v>44850.089304092086</v>
      </c>
      <c r="X176" s="921">
        <v>419.64825999999812</v>
      </c>
    </row>
    <row r="177" spans="1:24" ht="13.5" thickBot="1">
      <c r="A177" s="696" t="s">
        <v>435</v>
      </c>
      <c r="B177" s="697"/>
      <c r="C177" s="698">
        <v>27.262309000000013</v>
      </c>
      <c r="D177" s="701">
        <v>16034.8</v>
      </c>
      <c r="E177" s="700">
        <v>437145.56656000036</v>
      </c>
      <c r="F177" s="698">
        <v>294.43199999999996</v>
      </c>
      <c r="G177" s="693">
        <v>0</v>
      </c>
      <c r="H177" s="693">
        <v>0</v>
      </c>
      <c r="I177" s="693">
        <v>0</v>
      </c>
      <c r="J177" s="693"/>
      <c r="K177" s="318"/>
      <c r="L177" s="318"/>
      <c r="M177" s="693"/>
      <c r="N177" s="318"/>
      <c r="O177" s="701">
        <v>9704.93</v>
      </c>
      <c r="P177" s="700">
        <v>2857442</v>
      </c>
      <c r="Q177" s="698">
        <v>254.83799999999999</v>
      </c>
      <c r="R177" s="701">
        <v>8411.81</v>
      </c>
      <c r="S177" s="700">
        <v>2143647.7000000002</v>
      </c>
      <c r="T177" s="698">
        <v>39.594000000000001</v>
      </c>
      <c r="U177" s="700">
        <v>689736.98256000003</v>
      </c>
      <c r="V177" s="698">
        <v>27.262309000000009</v>
      </c>
      <c r="W177" s="699">
        <v>16917.25</v>
      </c>
      <c r="X177" s="700">
        <v>461203.3140000003</v>
      </c>
    </row>
    <row r="178" spans="1:24">
      <c r="A178" s="1900" t="s">
        <v>1831</v>
      </c>
      <c r="B178" s="1901"/>
      <c r="C178" s="1901"/>
      <c r="D178" s="1901"/>
      <c r="E178" s="1901"/>
      <c r="F178" s="1901"/>
      <c r="G178" s="1901"/>
      <c r="H178" s="1901"/>
      <c r="I178" s="1901"/>
      <c r="J178" s="1901"/>
      <c r="K178" s="1901"/>
      <c r="L178" s="1901"/>
      <c r="M178" s="1901"/>
      <c r="N178" s="1901"/>
      <c r="O178" s="1901"/>
      <c r="P178" s="1901"/>
      <c r="Q178" s="1901"/>
      <c r="R178" s="1901"/>
      <c r="S178" s="1901"/>
      <c r="T178" s="1901"/>
      <c r="U178" s="1901"/>
      <c r="V178" s="1901"/>
      <c r="W178" s="1901"/>
      <c r="X178" s="1902"/>
    </row>
    <row r="179" spans="1:24">
      <c r="A179" s="680" t="s">
        <v>1223</v>
      </c>
      <c r="B179" s="681" t="s">
        <v>346</v>
      </c>
      <c r="C179" s="319">
        <v>23.157921000000016</v>
      </c>
      <c r="D179" s="316">
        <v>17420.183650507748</v>
      </c>
      <c r="E179" s="317">
        <v>403416.39468000026</v>
      </c>
      <c r="F179" s="693">
        <v>31.311</v>
      </c>
      <c r="G179" s="693">
        <v>0</v>
      </c>
      <c r="H179" s="693">
        <v>0</v>
      </c>
      <c r="I179" s="693">
        <v>0</v>
      </c>
      <c r="J179" s="693"/>
      <c r="K179" s="170"/>
      <c r="L179" s="318"/>
      <c r="M179" s="693"/>
      <c r="N179" s="318"/>
      <c r="O179" s="694">
        <v>17840</v>
      </c>
      <c r="P179" s="318">
        <v>558588.24</v>
      </c>
      <c r="Q179" s="693">
        <v>4.9260000000000002</v>
      </c>
      <c r="R179" s="677">
        <v>17661.53</v>
      </c>
      <c r="S179" s="676">
        <v>87001</v>
      </c>
      <c r="T179" s="705">
        <v>26.385000000000002</v>
      </c>
      <c r="U179" s="318">
        <v>465999.46905000001</v>
      </c>
      <c r="V179" s="695">
        <v>23.157921000000012</v>
      </c>
      <c r="W179" s="316">
        <v>17661.543486067683</v>
      </c>
      <c r="X179" s="676">
        <v>409004.16563000024</v>
      </c>
    </row>
    <row r="180" spans="1:24">
      <c r="A180" s="173" t="s">
        <v>1224</v>
      </c>
      <c r="B180" s="170" t="s">
        <v>346</v>
      </c>
      <c r="C180" s="319">
        <v>0</v>
      </c>
      <c r="D180" s="316">
        <v>0</v>
      </c>
      <c r="E180" s="317">
        <v>0</v>
      </c>
      <c r="F180" s="702"/>
      <c r="G180" s="693">
        <v>0</v>
      </c>
      <c r="H180" s="693">
        <v>0</v>
      </c>
      <c r="I180" s="693">
        <v>0</v>
      </c>
      <c r="J180" s="693"/>
      <c r="K180" s="171"/>
      <c r="L180" s="318"/>
      <c r="M180" s="693"/>
      <c r="N180" s="318"/>
      <c r="O180" s="694"/>
      <c r="P180" s="703"/>
      <c r="Q180" s="702">
        <v>4.9260000000000002</v>
      </c>
      <c r="R180" s="694">
        <v>17661.53</v>
      </c>
      <c r="S180" s="676">
        <v>87001</v>
      </c>
      <c r="T180" s="314"/>
      <c r="U180" s="314"/>
      <c r="V180" s="695"/>
      <c r="W180" s="316"/>
      <c r="X180" s="704"/>
    </row>
    <row r="181" spans="1:24">
      <c r="A181" s="174" t="s">
        <v>1225</v>
      </c>
      <c r="B181" s="170" t="s">
        <v>346</v>
      </c>
      <c r="C181" s="319">
        <v>0</v>
      </c>
      <c r="D181" s="316">
        <v>0</v>
      </c>
      <c r="E181" s="317">
        <v>0</v>
      </c>
      <c r="F181" s="702"/>
      <c r="G181" s="693">
        <v>0</v>
      </c>
      <c r="H181" s="693">
        <v>0</v>
      </c>
      <c r="I181" s="693">
        <v>0</v>
      </c>
      <c r="J181" s="693"/>
      <c r="K181" s="318"/>
      <c r="L181" s="318"/>
      <c r="M181" s="693"/>
      <c r="N181" s="318"/>
      <c r="O181" s="694"/>
      <c r="P181" s="703"/>
      <c r="Q181" s="702">
        <v>0</v>
      </c>
      <c r="R181" s="694"/>
      <c r="S181" s="676">
        <v>0</v>
      </c>
      <c r="T181" s="313"/>
      <c r="U181" s="312"/>
      <c r="V181" s="695"/>
      <c r="W181" s="316"/>
      <c r="X181" s="704"/>
    </row>
    <row r="182" spans="1:24">
      <c r="A182" s="680" t="s">
        <v>1223</v>
      </c>
      <c r="B182" s="685" t="s">
        <v>1226</v>
      </c>
      <c r="C182" s="319"/>
      <c r="D182" s="316"/>
      <c r="E182" s="317"/>
      <c r="F182" s="693">
        <v>173.98099999999999</v>
      </c>
      <c r="G182" s="693">
        <v>0</v>
      </c>
      <c r="H182" s="693">
        <v>0</v>
      </c>
      <c r="I182" s="693">
        <v>0</v>
      </c>
      <c r="J182" s="693"/>
      <c r="K182" s="318"/>
      <c r="L182" s="318"/>
      <c r="M182" s="693"/>
      <c r="N182" s="318"/>
      <c r="O182" s="694">
        <v>6585.93</v>
      </c>
      <c r="P182" s="318">
        <v>1145826.6873300001</v>
      </c>
      <c r="Q182" s="693">
        <v>173.98099999999999</v>
      </c>
      <c r="R182" s="677">
        <v>6585.93</v>
      </c>
      <c r="S182" s="676">
        <v>1145827</v>
      </c>
      <c r="T182" s="313"/>
      <c r="U182" s="312"/>
      <c r="V182" s="695"/>
      <c r="W182" s="316"/>
      <c r="X182" s="317"/>
    </row>
    <row r="183" spans="1:24">
      <c r="A183" s="173" t="s">
        <v>1224</v>
      </c>
      <c r="B183" s="170" t="s">
        <v>1226</v>
      </c>
      <c r="C183" s="319"/>
      <c r="D183" s="316"/>
      <c r="E183" s="317"/>
      <c r="F183" s="693">
        <v>51.456000000000003</v>
      </c>
      <c r="G183" s="693">
        <v>0</v>
      </c>
      <c r="H183" s="693">
        <v>0</v>
      </c>
      <c r="I183" s="693">
        <v>0</v>
      </c>
      <c r="J183" s="693"/>
      <c r="K183" s="318"/>
      <c r="L183" s="318"/>
      <c r="M183" s="693"/>
      <c r="N183" s="318"/>
      <c r="O183" s="1407">
        <v>6585.93</v>
      </c>
      <c r="P183" s="703">
        <v>338885.61408000003</v>
      </c>
      <c r="Q183" s="693">
        <v>51.456000000000003</v>
      </c>
      <c r="R183" s="694">
        <v>6585.93</v>
      </c>
      <c r="S183" s="676">
        <v>338886</v>
      </c>
      <c r="T183" s="313"/>
      <c r="U183" s="312"/>
      <c r="V183" s="695"/>
      <c r="W183" s="316"/>
      <c r="X183" s="317"/>
    </row>
    <row r="184" spans="1:24">
      <c r="A184" s="173" t="s">
        <v>1227</v>
      </c>
      <c r="B184" s="170" t="s">
        <v>1226</v>
      </c>
      <c r="C184" s="319"/>
      <c r="D184" s="316"/>
      <c r="E184" s="317"/>
      <c r="F184" s="693">
        <v>122.52500000000001</v>
      </c>
      <c r="G184" s="693">
        <v>0</v>
      </c>
      <c r="H184" s="693">
        <v>0</v>
      </c>
      <c r="I184" s="693">
        <v>0</v>
      </c>
      <c r="J184" s="693"/>
      <c r="K184" s="318"/>
      <c r="L184" s="318"/>
      <c r="M184" s="693"/>
      <c r="N184" s="318"/>
      <c r="O184" s="694">
        <v>6585.93</v>
      </c>
      <c r="P184" s="703">
        <v>806941.07325000002</v>
      </c>
      <c r="Q184" s="693">
        <v>122.52500000000001</v>
      </c>
      <c r="R184" s="694">
        <v>6585.93</v>
      </c>
      <c r="S184" s="676">
        <v>806941</v>
      </c>
      <c r="T184" s="313"/>
      <c r="U184" s="312"/>
      <c r="V184" s="695"/>
      <c r="W184" s="316"/>
      <c r="X184" s="317"/>
    </row>
    <row r="185" spans="1:24">
      <c r="A185" s="689" t="s">
        <v>1228</v>
      </c>
      <c r="B185" s="685" t="s">
        <v>1229</v>
      </c>
      <c r="C185" s="319">
        <v>0.26536500000000002</v>
      </c>
      <c r="D185" s="316">
        <v>34200.973257211765</v>
      </c>
      <c r="E185" s="317">
        <v>9075.6988099999999</v>
      </c>
      <c r="F185" s="693">
        <v>5.1999999999999998E-2</v>
      </c>
      <c r="G185" s="693">
        <v>0</v>
      </c>
      <c r="H185" s="693">
        <v>0</v>
      </c>
      <c r="I185" s="693">
        <v>0</v>
      </c>
      <c r="J185" s="693"/>
      <c r="K185" s="318"/>
      <c r="L185" s="318"/>
      <c r="M185" s="693"/>
      <c r="N185" s="318"/>
      <c r="O185" s="694">
        <v>42424</v>
      </c>
      <c r="P185" s="703">
        <v>2206.0479999999998</v>
      </c>
      <c r="Q185" s="693">
        <v>5.1999999999999998E-2</v>
      </c>
      <c r="R185" s="677">
        <v>35548.31</v>
      </c>
      <c r="S185" s="676">
        <v>1849</v>
      </c>
      <c r="T185" s="313"/>
      <c r="U185" s="312"/>
      <c r="V185" s="695">
        <v>0.26536500000000002</v>
      </c>
      <c r="W185" s="316">
        <v>35546.470967912122</v>
      </c>
      <c r="X185" s="676">
        <v>9432.7468100000006</v>
      </c>
    </row>
    <row r="186" spans="1:24">
      <c r="A186" s="1897" t="s">
        <v>1230</v>
      </c>
      <c r="B186" s="685" t="s">
        <v>1210</v>
      </c>
      <c r="C186" s="319">
        <v>1.6310629999999984</v>
      </c>
      <c r="D186" s="316">
        <v>5455.2075422286025</v>
      </c>
      <c r="E186" s="317">
        <v>8897.5425200000027</v>
      </c>
      <c r="F186" s="693">
        <v>3.7629999999999999</v>
      </c>
      <c r="G186" s="693">
        <v>0</v>
      </c>
      <c r="H186" s="693">
        <v>0</v>
      </c>
      <c r="I186" s="693">
        <v>0</v>
      </c>
      <c r="J186" s="693"/>
      <c r="K186" s="318"/>
      <c r="L186" s="318"/>
      <c r="M186" s="693"/>
      <c r="N186" s="318"/>
      <c r="O186" s="1407">
        <v>5589</v>
      </c>
      <c r="P186" s="703">
        <v>21031.406999999999</v>
      </c>
      <c r="Q186" s="693">
        <v>3.7629999999999999</v>
      </c>
      <c r="R186" s="677">
        <v>5548.55</v>
      </c>
      <c r="S186" s="676">
        <v>20879</v>
      </c>
      <c r="T186" s="313"/>
      <c r="U186" s="312"/>
      <c r="V186" s="695">
        <v>1.6310629999999984</v>
      </c>
      <c r="W186" s="316">
        <v>5548.5278323951989</v>
      </c>
      <c r="X186" s="676">
        <v>9049.9495200000019</v>
      </c>
    </row>
    <row r="187" spans="1:24">
      <c r="A187" s="1898"/>
      <c r="B187" s="685" t="s">
        <v>178</v>
      </c>
      <c r="C187" s="319">
        <v>2.1986009999999965</v>
      </c>
      <c r="D187" s="316">
        <v>17917.691223609982</v>
      </c>
      <c r="E187" s="317">
        <v>39394.029730000068</v>
      </c>
      <c r="F187" s="693">
        <v>23.350999999999999</v>
      </c>
      <c r="G187" s="693">
        <v>0</v>
      </c>
      <c r="H187" s="693">
        <v>0</v>
      </c>
      <c r="I187" s="693">
        <v>0</v>
      </c>
      <c r="J187" s="693"/>
      <c r="K187" s="318"/>
      <c r="L187" s="318"/>
      <c r="M187" s="693"/>
      <c r="N187" s="318"/>
      <c r="O187" s="1407">
        <v>18215.53</v>
      </c>
      <c r="P187" s="703">
        <v>425350.84102999995</v>
      </c>
      <c r="Q187" s="693">
        <v>23.350999999999999</v>
      </c>
      <c r="R187" s="677">
        <v>18189.91</v>
      </c>
      <c r="S187" s="676">
        <v>424753</v>
      </c>
      <c r="T187" s="313"/>
      <c r="U187" s="312"/>
      <c r="V187" s="695">
        <v>2.1986009999999965</v>
      </c>
      <c r="W187" s="316">
        <v>18189.870061998554</v>
      </c>
      <c r="X187" s="921">
        <v>39991.87076000002</v>
      </c>
    </row>
    <row r="188" spans="1:24">
      <c r="A188" s="1898"/>
      <c r="B188" s="685" t="s">
        <v>1211</v>
      </c>
      <c r="C188" s="686"/>
      <c r="D188" s="687"/>
      <c r="E188" s="688"/>
      <c r="F188" s="693">
        <v>5.5449999999999999</v>
      </c>
      <c r="G188" s="693">
        <v>0</v>
      </c>
      <c r="H188" s="693">
        <v>0</v>
      </c>
      <c r="I188" s="693">
        <v>0</v>
      </c>
      <c r="J188" s="693"/>
      <c r="K188" s="318"/>
      <c r="L188" s="318"/>
      <c r="M188" s="693"/>
      <c r="N188" s="318"/>
      <c r="O188" s="1407">
        <v>6619.25</v>
      </c>
      <c r="P188" s="703">
        <v>36703.741249999999</v>
      </c>
      <c r="Q188" s="693">
        <v>5.5449999999999999</v>
      </c>
      <c r="R188" s="677">
        <v>6619.25</v>
      </c>
      <c r="S188" s="676">
        <v>36703.741249999999</v>
      </c>
      <c r="T188" s="313"/>
      <c r="U188" s="312"/>
      <c r="V188" s="695"/>
      <c r="W188" s="316"/>
      <c r="X188" s="317"/>
    </row>
    <row r="189" spans="1:24">
      <c r="A189" s="1899"/>
      <c r="B189" s="685" t="s">
        <v>1888</v>
      </c>
      <c r="C189" s="319">
        <v>9.3590000000000062E-3</v>
      </c>
      <c r="D189" s="316">
        <v>44850.089304092086</v>
      </c>
      <c r="E189" s="317">
        <v>419.64825999999812</v>
      </c>
      <c r="F189" s="693">
        <v>0.28599999999999998</v>
      </c>
      <c r="G189" s="693">
        <v>0</v>
      </c>
      <c r="H189" s="693">
        <v>0</v>
      </c>
      <c r="I189" s="693">
        <v>0</v>
      </c>
      <c r="J189" s="693"/>
      <c r="K189" s="318"/>
      <c r="L189" s="318"/>
      <c r="M189" s="693"/>
      <c r="N189" s="318"/>
      <c r="O189" s="694">
        <v>44965</v>
      </c>
      <c r="P189" s="703">
        <v>12859.99</v>
      </c>
      <c r="Q189" s="693">
        <v>0.28599999999999998</v>
      </c>
      <c r="R189" s="677">
        <v>44961.36</v>
      </c>
      <c r="S189" s="676">
        <v>12858.94896</v>
      </c>
      <c r="T189" s="313"/>
      <c r="U189" s="312"/>
      <c r="V189" s="695">
        <v>9.3590000000000062E-3</v>
      </c>
      <c r="W189" s="316">
        <v>44961.320410300024</v>
      </c>
      <c r="X189" s="921">
        <v>420.68929999999818</v>
      </c>
    </row>
    <row r="190" spans="1:24" ht="13.5" thickBot="1">
      <c r="A190" s="696" t="s">
        <v>435</v>
      </c>
      <c r="B190" s="697"/>
      <c r="C190" s="698">
        <v>27.262309000000009</v>
      </c>
      <c r="D190" s="701">
        <v>16917.25</v>
      </c>
      <c r="E190" s="700">
        <v>461203.3140000003</v>
      </c>
      <c r="F190" s="698">
        <v>238.28899999999999</v>
      </c>
      <c r="G190" s="693">
        <v>0</v>
      </c>
      <c r="H190" s="693">
        <v>0</v>
      </c>
      <c r="I190" s="693">
        <v>0</v>
      </c>
      <c r="J190" s="693"/>
      <c r="K190" s="318"/>
      <c r="L190" s="318"/>
      <c r="M190" s="693"/>
      <c r="N190" s="318"/>
      <c r="O190" s="701">
        <v>9243.26</v>
      </c>
      <c r="P190" s="700">
        <v>2202566.9546099999</v>
      </c>
      <c r="Q190" s="698">
        <v>211.90399999999997</v>
      </c>
      <c r="R190" s="701">
        <v>8163.47</v>
      </c>
      <c r="S190" s="700">
        <v>1729871.6902099999</v>
      </c>
      <c r="T190" s="698">
        <v>26.385000000000002</v>
      </c>
      <c r="U190" s="700">
        <v>465999.46905000001</v>
      </c>
      <c r="V190" s="698">
        <v>27.262309000000005</v>
      </c>
      <c r="W190" s="699">
        <v>17162.87</v>
      </c>
      <c r="X190" s="700">
        <v>467899.42202000029</v>
      </c>
    </row>
    <row r="191" spans="1:24">
      <c r="A191" s="1900" t="s">
        <v>1874</v>
      </c>
      <c r="B191" s="1901"/>
      <c r="C191" s="1901"/>
      <c r="D191" s="1901"/>
      <c r="E191" s="1901"/>
      <c r="F191" s="1901"/>
      <c r="G191" s="1901"/>
      <c r="H191" s="1901"/>
      <c r="I191" s="1901"/>
      <c r="J191" s="1901"/>
      <c r="K191" s="1901"/>
      <c r="L191" s="1901"/>
      <c r="M191" s="1901"/>
      <c r="N191" s="1901"/>
      <c r="O191" s="1901"/>
      <c r="P191" s="1901"/>
      <c r="Q191" s="1901"/>
      <c r="R191" s="1901"/>
      <c r="S191" s="1901"/>
      <c r="T191" s="1901"/>
      <c r="U191" s="1901"/>
      <c r="V191" s="1901"/>
      <c r="W191" s="1901"/>
      <c r="X191" s="1902"/>
    </row>
    <row r="192" spans="1:24">
      <c r="A192" s="680" t="s">
        <v>1223</v>
      </c>
      <c r="B192" s="681" t="s">
        <v>346</v>
      </c>
      <c r="C192" s="319">
        <v>23.157921000000012</v>
      </c>
      <c r="D192" s="316">
        <v>17661.543486067683</v>
      </c>
      <c r="E192" s="317">
        <v>409004.16563000024</v>
      </c>
      <c r="F192" s="693">
        <v>80.775000000000006</v>
      </c>
      <c r="G192" s="693">
        <v>0</v>
      </c>
      <c r="H192" s="693">
        <v>0</v>
      </c>
      <c r="I192" s="693">
        <v>0</v>
      </c>
      <c r="J192" s="693"/>
      <c r="K192" s="170"/>
      <c r="L192" s="318"/>
      <c r="M192" s="693"/>
      <c r="N192" s="318"/>
      <c r="O192" s="694">
        <v>18234.999504797273</v>
      </c>
      <c r="P192" s="318">
        <v>1472932.085</v>
      </c>
      <c r="Q192" s="693">
        <v>14.795999999999999</v>
      </c>
      <c r="R192" s="694">
        <v>18087.185725871859</v>
      </c>
      <c r="S192" s="318">
        <v>267618</v>
      </c>
      <c r="T192" s="319">
        <v>65.978999999999999</v>
      </c>
      <c r="U192" s="318">
        <v>1193835.34032</v>
      </c>
      <c r="V192" s="695">
        <v>23.15792100000003</v>
      </c>
      <c r="W192" s="316">
        <v>18157.195989657259</v>
      </c>
      <c r="X192" s="676">
        <v>420482.91031000018</v>
      </c>
    </row>
    <row r="193" spans="1:24">
      <c r="A193" s="173" t="s">
        <v>1224</v>
      </c>
      <c r="B193" s="170" t="s">
        <v>346</v>
      </c>
      <c r="C193" s="319">
        <v>0</v>
      </c>
      <c r="D193" s="316">
        <v>0</v>
      </c>
      <c r="E193" s="317">
        <v>0</v>
      </c>
      <c r="F193" s="693">
        <v>0</v>
      </c>
      <c r="G193" s="693">
        <v>0</v>
      </c>
      <c r="H193" s="693">
        <v>0</v>
      </c>
      <c r="I193" s="693">
        <v>0</v>
      </c>
      <c r="J193" s="693"/>
      <c r="K193" s="171"/>
      <c r="L193" s="318"/>
      <c r="M193" s="693"/>
      <c r="N193" s="318"/>
      <c r="O193" s="694"/>
      <c r="P193" s="318">
        <v>0</v>
      </c>
      <c r="Q193" s="693"/>
      <c r="R193" s="694" t="e">
        <v>#DIV/0!</v>
      </c>
      <c r="S193" s="318"/>
      <c r="T193" s="314"/>
      <c r="U193" s="314"/>
      <c r="V193" s="695"/>
      <c r="W193" s="316"/>
      <c r="X193" s="676"/>
    </row>
    <row r="194" spans="1:24">
      <c r="A194" s="174" t="s">
        <v>1225</v>
      </c>
      <c r="B194" s="170" t="s">
        <v>346</v>
      </c>
      <c r="C194" s="319">
        <v>0</v>
      </c>
      <c r="D194" s="316">
        <v>0</v>
      </c>
      <c r="E194" s="317">
        <v>0</v>
      </c>
      <c r="F194" s="693">
        <v>0</v>
      </c>
      <c r="G194" s="693">
        <v>0</v>
      </c>
      <c r="H194" s="693">
        <v>0</v>
      </c>
      <c r="I194" s="693">
        <v>0</v>
      </c>
      <c r="J194" s="693"/>
      <c r="K194" s="318"/>
      <c r="L194" s="318"/>
      <c r="M194" s="693"/>
      <c r="N194" s="318"/>
      <c r="O194" s="694"/>
      <c r="P194" s="318"/>
      <c r="Q194" s="693"/>
      <c r="R194" s="694"/>
      <c r="S194" s="318"/>
      <c r="T194" s="313"/>
      <c r="U194" s="312"/>
      <c r="V194" s="695"/>
      <c r="W194" s="316"/>
      <c r="X194" s="676"/>
    </row>
    <row r="195" spans="1:24">
      <c r="A195" s="680" t="s">
        <v>1223</v>
      </c>
      <c r="B195" s="685" t="s">
        <v>1226</v>
      </c>
      <c r="C195" s="319"/>
      <c r="D195" s="316"/>
      <c r="E195" s="317"/>
      <c r="F195" s="693">
        <v>369.51599999999996</v>
      </c>
      <c r="G195" s="693">
        <v>0</v>
      </c>
      <c r="H195" s="693">
        <v>0</v>
      </c>
      <c r="I195" s="693">
        <v>0</v>
      </c>
      <c r="J195" s="693"/>
      <c r="K195" s="318"/>
      <c r="L195" s="318"/>
      <c r="M195" s="693"/>
      <c r="N195" s="318"/>
      <c r="O195" s="694">
        <v>6678.7178985483724</v>
      </c>
      <c r="P195" s="318">
        <v>2467893.1230000001</v>
      </c>
      <c r="Q195" s="693">
        <v>369.51599999999996</v>
      </c>
      <c r="R195" s="694">
        <v>6678.7175656805121</v>
      </c>
      <c r="S195" s="318">
        <v>2467893</v>
      </c>
      <c r="T195" s="313"/>
      <c r="U195" s="312"/>
      <c r="V195" s="695"/>
      <c r="W195" s="316"/>
      <c r="X195" s="676"/>
    </row>
    <row r="196" spans="1:24">
      <c r="A196" s="173" t="s">
        <v>1224</v>
      </c>
      <c r="B196" s="170" t="s">
        <v>1226</v>
      </c>
      <c r="C196" s="319"/>
      <c r="D196" s="316"/>
      <c r="E196" s="317"/>
      <c r="F196" s="693">
        <v>96.063999999999993</v>
      </c>
      <c r="G196" s="693">
        <v>0</v>
      </c>
      <c r="H196" s="693">
        <v>0</v>
      </c>
      <c r="I196" s="693">
        <v>0</v>
      </c>
      <c r="J196" s="693"/>
      <c r="K196" s="318"/>
      <c r="L196" s="318"/>
      <c r="M196" s="693"/>
      <c r="N196" s="318"/>
      <c r="O196" s="694">
        <v>6691.487425049967</v>
      </c>
      <c r="P196" s="318">
        <v>642811.04799999995</v>
      </c>
      <c r="Q196" s="693">
        <v>96.063999999999993</v>
      </c>
      <c r="R196" s="694">
        <v>6691.4869253830784</v>
      </c>
      <c r="S196" s="318">
        <v>642811</v>
      </c>
      <c r="T196" s="313"/>
      <c r="U196" s="312"/>
      <c r="V196" s="695"/>
      <c r="W196" s="316"/>
      <c r="X196" s="676"/>
    </row>
    <row r="197" spans="1:24">
      <c r="A197" s="173" t="s">
        <v>1227</v>
      </c>
      <c r="B197" s="170" t="s">
        <v>1226</v>
      </c>
      <c r="C197" s="319"/>
      <c r="D197" s="316"/>
      <c r="E197" s="317"/>
      <c r="F197" s="693">
        <v>273.452</v>
      </c>
      <c r="G197" s="693">
        <v>0</v>
      </c>
      <c r="H197" s="693">
        <v>0</v>
      </c>
      <c r="I197" s="693">
        <v>0</v>
      </c>
      <c r="J197" s="693"/>
      <c r="K197" s="318"/>
      <c r="L197" s="318"/>
      <c r="M197" s="693"/>
      <c r="N197" s="318"/>
      <c r="O197" s="694">
        <v>6674.2319493000605</v>
      </c>
      <c r="P197" s="318">
        <v>1825082.0750000002</v>
      </c>
      <c r="Q197" s="693">
        <v>273.452</v>
      </c>
      <c r="R197" s="694">
        <v>6674.2316750288901</v>
      </c>
      <c r="S197" s="318">
        <v>1825082</v>
      </c>
      <c r="T197" s="313"/>
      <c r="U197" s="312"/>
      <c r="V197" s="695"/>
      <c r="W197" s="316"/>
      <c r="X197" s="676"/>
    </row>
    <row r="198" spans="1:24">
      <c r="A198" s="689" t="s">
        <v>1228</v>
      </c>
      <c r="B198" s="685" t="s">
        <v>1229</v>
      </c>
      <c r="C198" s="319">
        <v>0.26536500000000002</v>
      </c>
      <c r="D198" s="316">
        <v>35546.470967912122</v>
      </c>
      <c r="E198" s="317">
        <v>9432.7468100000006</v>
      </c>
      <c r="F198" s="693">
        <v>0.105</v>
      </c>
      <c r="G198" s="693">
        <v>0</v>
      </c>
      <c r="H198" s="693">
        <v>0</v>
      </c>
      <c r="I198" s="693">
        <v>0</v>
      </c>
      <c r="J198" s="693"/>
      <c r="K198" s="318"/>
      <c r="L198" s="318"/>
      <c r="M198" s="693"/>
      <c r="N198" s="318"/>
      <c r="O198" s="694">
        <v>42641.980952380953</v>
      </c>
      <c r="P198" s="318">
        <v>4477.0720000000001</v>
      </c>
      <c r="Q198" s="693">
        <v>0.105</v>
      </c>
      <c r="R198" s="694">
        <v>37209.523809523809</v>
      </c>
      <c r="S198" s="318">
        <v>3907</v>
      </c>
      <c r="T198" s="313"/>
      <c r="U198" s="312"/>
      <c r="V198" s="695">
        <v>0.26536500000000002</v>
      </c>
      <c r="W198" s="316">
        <v>37679.507143368573</v>
      </c>
      <c r="X198" s="676">
        <v>10002.818810000001</v>
      </c>
    </row>
    <row r="199" spans="1:24">
      <c r="A199" s="1897" t="s">
        <v>1230</v>
      </c>
      <c r="B199" s="685" t="s">
        <v>1210</v>
      </c>
      <c r="C199" s="319">
        <v>1.6310629999999984</v>
      </c>
      <c r="D199" s="316">
        <v>5548.5278323951989</v>
      </c>
      <c r="E199" s="317">
        <v>9049.9495200000019</v>
      </c>
      <c r="F199" s="693">
        <v>10.231999999999999</v>
      </c>
      <c r="G199" s="693">
        <v>0</v>
      </c>
      <c r="H199" s="693">
        <v>0</v>
      </c>
      <c r="I199" s="693">
        <v>0</v>
      </c>
      <c r="J199" s="693"/>
      <c r="K199" s="318"/>
      <c r="L199" s="318"/>
      <c r="M199" s="693"/>
      <c r="N199" s="318"/>
      <c r="O199" s="694">
        <v>5967.0766184519152</v>
      </c>
      <c r="P199" s="318">
        <v>61054.820999999996</v>
      </c>
      <c r="Q199" s="693">
        <v>10.231999999999999</v>
      </c>
      <c r="R199" s="694">
        <v>5904.3197810789679</v>
      </c>
      <c r="S199" s="318">
        <v>60413</v>
      </c>
      <c r="T199" s="313"/>
      <c r="U199" s="312"/>
      <c r="V199" s="695">
        <v>1.6310629999999975</v>
      </c>
      <c r="W199" s="316">
        <v>5942.0964280962826</v>
      </c>
      <c r="X199" s="676">
        <v>9691.7705199999909</v>
      </c>
    </row>
    <row r="200" spans="1:24">
      <c r="A200" s="1898"/>
      <c r="B200" s="685" t="s">
        <v>178</v>
      </c>
      <c r="C200" s="319">
        <v>2.1986009999999965</v>
      </c>
      <c r="D200" s="316">
        <v>18189.870061998554</v>
      </c>
      <c r="E200" s="317">
        <v>39991.87076000002</v>
      </c>
      <c r="F200" s="693">
        <v>57.923000000000002</v>
      </c>
      <c r="G200" s="693">
        <v>0</v>
      </c>
      <c r="H200" s="693">
        <v>0</v>
      </c>
      <c r="I200" s="693">
        <v>0</v>
      </c>
      <c r="J200" s="693"/>
      <c r="K200" s="318"/>
      <c r="L200" s="318"/>
      <c r="M200" s="693"/>
      <c r="N200" s="318"/>
      <c r="O200" s="694">
        <v>18674.507963157983</v>
      </c>
      <c r="P200" s="318">
        <v>1081683.5247499999</v>
      </c>
      <c r="Q200" s="693">
        <v>57.923000000000002</v>
      </c>
      <c r="R200" s="694">
        <v>18654.161559311498</v>
      </c>
      <c r="S200" s="318">
        <v>1080505</v>
      </c>
      <c r="T200" s="313"/>
      <c r="U200" s="312"/>
      <c r="V200" s="695">
        <v>2.1986009999999965</v>
      </c>
      <c r="W200" s="316">
        <v>18725.203999033936</v>
      </c>
      <c r="X200" s="676">
        <v>41170.395509999944</v>
      </c>
    </row>
    <row r="201" spans="1:24">
      <c r="A201" s="1898"/>
      <c r="B201" s="685" t="s">
        <v>1211</v>
      </c>
      <c r="C201" s="686"/>
      <c r="D201" s="687"/>
      <c r="E201" s="688"/>
      <c r="F201" s="693">
        <v>13.57</v>
      </c>
      <c r="G201" s="693">
        <v>0</v>
      </c>
      <c r="H201" s="693">
        <v>0</v>
      </c>
      <c r="I201" s="693">
        <v>0</v>
      </c>
      <c r="J201" s="693"/>
      <c r="K201" s="318"/>
      <c r="L201" s="318"/>
      <c r="M201" s="693"/>
      <c r="N201" s="318"/>
      <c r="O201" s="694">
        <v>6700.0195283714074</v>
      </c>
      <c r="P201" s="318">
        <v>90919.264999999999</v>
      </c>
      <c r="Q201" s="693">
        <v>13.57</v>
      </c>
      <c r="R201" s="694">
        <v>6700.0195283714074</v>
      </c>
      <c r="S201" s="318">
        <v>90919.264999999999</v>
      </c>
      <c r="T201" s="313"/>
      <c r="U201" s="312"/>
      <c r="V201" s="695"/>
      <c r="W201" s="316"/>
      <c r="X201" s="676"/>
    </row>
    <row r="202" spans="1:24">
      <c r="A202" s="1899"/>
      <c r="B202" s="685" t="s">
        <v>1888</v>
      </c>
      <c r="C202" s="319">
        <v>9.3590000000000062E-3</v>
      </c>
      <c r="D202" s="316">
        <v>44961.320410300024</v>
      </c>
      <c r="E202" s="317">
        <v>420.68929999999818</v>
      </c>
      <c r="F202" s="693">
        <v>0.6</v>
      </c>
      <c r="G202" s="693">
        <v>0</v>
      </c>
      <c r="H202" s="693">
        <v>0</v>
      </c>
      <c r="I202" s="693">
        <v>0</v>
      </c>
      <c r="J202" s="693"/>
      <c r="K202" s="318"/>
      <c r="L202" s="318"/>
      <c r="M202" s="693"/>
      <c r="N202" s="318"/>
      <c r="O202" s="694">
        <v>45190.566666666666</v>
      </c>
      <c r="P202" s="318">
        <v>27114.339999999997</v>
      </c>
      <c r="Q202" s="693">
        <v>0.6</v>
      </c>
      <c r="R202" s="694">
        <v>45186.666666666672</v>
      </c>
      <c r="S202" s="318">
        <v>27112</v>
      </c>
      <c r="T202" s="313"/>
      <c r="U202" s="312"/>
      <c r="V202" s="695">
        <v>9.3590000000000062E-3</v>
      </c>
      <c r="W202" s="316">
        <v>45199.747122555236</v>
      </c>
      <c r="X202" s="676">
        <v>423.02929999999469</v>
      </c>
    </row>
    <row r="203" spans="1:24" ht="13.5" thickBot="1">
      <c r="A203" s="696" t="s">
        <v>435</v>
      </c>
      <c r="B203" s="697"/>
      <c r="C203" s="698">
        <v>27.262309000000005</v>
      </c>
      <c r="D203" s="701">
        <v>17162.87</v>
      </c>
      <c r="E203" s="700">
        <v>467899.42202000029</v>
      </c>
      <c r="F203" s="698">
        <v>532.721</v>
      </c>
      <c r="G203" s="693">
        <v>0</v>
      </c>
      <c r="H203" s="693">
        <v>0</v>
      </c>
      <c r="I203" s="693">
        <v>0</v>
      </c>
      <c r="J203" s="693"/>
      <c r="K203" s="318"/>
      <c r="L203" s="318"/>
      <c r="M203" s="693"/>
      <c r="N203" s="318"/>
      <c r="O203" s="701">
        <v>9772.61</v>
      </c>
      <c r="P203" s="700">
        <v>5206074.2307499992</v>
      </c>
      <c r="Q203" s="698">
        <v>466.74200000000002</v>
      </c>
      <c r="R203" s="701">
        <v>8566.5499999999993</v>
      </c>
      <c r="S203" s="700">
        <v>3998367.2650000001</v>
      </c>
      <c r="T203" s="698">
        <v>65.978999999999999</v>
      </c>
      <c r="U203" s="700">
        <v>1193835.34032</v>
      </c>
      <c r="V203" s="698">
        <v>27.262309000000023</v>
      </c>
      <c r="W203" s="701">
        <v>17671.68</v>
      </c>
      <c r="X203" s="700">
        <v>481770.92445000011</v>
      </c>
    </row>
    <row r="204" spans="1:24">
      <c r="A204" s="1900" t="s">
        <v>1864</v>
      </c>
      <c r="B204" s="1901"/>
      <c r="C204" s="1901"/>
      <c r="D204" s="1901"/>
      <c r="E204" s="1901"/>
      <c r="F204" s="1901"/>
      <c r="G204" s="1901"/>
      <c r="H204" s="1901"/>
      <c r="I204" s="1901"/>
      <c r="J204" s="1901"/>
      <c r="K204" s="1901"/>
      <c r="L204" s="1901"/>
      <c r="M204" s="1901"/>
      <c r="N204" s="1901"/>
      <c r="O204" s="1901"/>
      <c r="P204" s="1901"/>
      <c r="Q204" s="1901"/>
      <c r="R204" s="1901"/>
      <c r="S204" s="1901"/>
      <c r="T204" s="1901"/>
      <c r="U204" s="1901"/>
      <c r="V204" s="1901"/>
      <c r="W204" s="1901"/>
      <c r="X204" s="1902"/>
    </row>
    <row r="205" spans="1:24">
      <c r="A205" s="680" t="s">
        <v>1223</v>
      </c>
      <c r="B205" s="681" t="s">
        <v>346</v>
      </c>
      <c r="C205" s="319">
        <v>23.157921000000012</v>
      </c>
      <c r="D205" s="316">
        <v>17661.543486067683</v>
      </c>
      <c r="E205" s="317">
        <v>409004.16563000024</v>
      </c>
      <c r="F205" s="693">
        <v>49.463999999999999</v>
      </c>
      <c r="G205" s="693">
        <v>0</v>
      </c>
      <c r="H205" s="693">
        <v>0</v>
      </c>
      <c r="I205" s="693">
        <v>0</v>
      </c>
      <c r="J205" s="693"/>
      <c r="K205" s="170"/>
      <c r="L205" s="318"/>
      <c r="M205" s="693"/>
      <c r="N205" s="318"/>
      <c r="O205" s="1407">
        <v>18235</v>
      </c>
      <c r="P205" s="318">
        <v>901976</v>
      </c>
      <c r="Q205" s="693">
        <v>9.8699999999999992</v>
      </c>
      <c r="R205" s="677">
        <v>18052.13</v>
      </c>
      <c r="S205" s="676">
        <v>178175</v>
      </c>
      <c r="T205" s="705">
        <v>39.594000000000001</v>
      </c>
      <c r="U205" s="318">
        <v>714756.03522000008</v>
      </c>
      <c r="V205" s="695">
        <v>23.157921000000016</v>
      </c>
      <c r="W205" s="316">
        <v>18052.144249477307</v>
      </c>
      <c r="X205" s="676">
        <v>418050.1304100001</v>
      </c>
    </row>
    <row r="206" spans="1:24">
      <c r="A206" s="173" t="s">
        <v>1224</v>
      </c>
      <c r="B206" s="170" t="s">
        <v>346</v>
      </c>
      <c r="C206" s="319">
        <v>0</v>
      </c>
      <c r="D206" s="316">
        <v>0</v>
      </c>
      <c r="E206" s="317">
        <v>0</v>
      </c>
      <c r="F206" s="702"/>
      <c r="G206" s="693"/>
      <c r="H206" s="693"/>
      <c r="I206" s="693"/>
      <c r="J206" s="693"/>
      <c r="K206" s="171"/>
      <c r="L206" s="318"/>
      <c r="M206" s="693"/>
      <c r="N206" s="318"/>
      <c r="O206" s="694"/>
      <c r="P206" s="703"/>
      <c r="Q206" s="702">
        <v>9.8699999999999992</v>
      </c>
      <c r="R206" s="694">
        <v>18052.13</v>
      </c>
      <c r="S206" s="676">
        <v>178175</v>
      </c>
      <c r="T206" s="314"/>
      <c r="U206" s="314"/>
      <c r="V206" s="695"/>
      <c r="W206" s="316"/>
      <c r="X206" s="704"/>
    </row>
    <row r="207" spans="1:24">
      <c r="A207" s="174" t="s">
        <v>1225</v>
      </c>
      <c r="B207" s="170" t="s">
        <v>346</v>
      </c>
      <c r="C207" s="319">
        <v>0</v>
      </c>
      <c r="D207" s="316">
        <v>0</v>
      </c>
      <c r="E207" s="317">
        <v>0</v>
      </c>
      <c r="F207" s="702"/>
      <c r="G207" s="693">
        <v>0</v>
      </c>
      <c r="H207" s="693">
        <v>0</v>
      </c>
      <c r="I207" s="693">
        <v>0</v>
      </c>
      <c r="J207" s="693"/>
      <c r="K207" s="318"/>
      <c r="L207" s="318"/>
      <c r="M207" s="693"/>
      <c r="N207" s="318"/>
      <c r="O207" s="694"/>
      <c r="P207" s="703"/>
      <c r="Q207" s="702">
        <v>0</v>
      </c>
      <c r="R207" s="694"/>
      <c r="S207" s="676">
        <v>0</v>
      </c>
      <c r="T207" s="313"/>
      <c r="U207" s="312"/>
      <c r="V207" s="695"/>
      <c r="W207" s="316"/>
      <c r="X207" s="704"/>
    </row>
    <row r="208" spans="1:24">
      <c r="A208" s="680" t="s">
        <v>1223</v>
      </c>
      <c r="B208" s="685" t="s">
        <v>1226</v>
      </c>
      <c r="C208" s="319"/>
      <c r="D208" s="316"/>
      <c r="E208" s="317"/>
      <c r="F208" s="693">
        <v>195.535</v>
      </c>
      <c r="G208" s="693">
        <v>0</v>
      </c>
      <c r="H208" s="693">
        <v>0</v>
      </c>
      <c r="I208" s="693">
        <v>0</v>
      </c>
      <c r="J208" s="693"/>
      <c r="K208" s="318"/>
      <c r="L208" s="318"/>
      <c r="M208" s="693"/>
      <c r="N208" s="318"/>
      <c r="O208" s="694">
        <v>6585.93</v>
      </c>
      <c r="P208" s="318">
        <v>1287780</v>
      </c>
      <c r="Q208" s="693">
        <v>195.535</v>
      </c>
      <c r="R208" s="677">
        <v>6585.93</v>
      </c>
      <c r="S208" s="676">
        <v>1287780</v>
      </c>
      <c r="T208" s="313"/>
      <c r="U208" s="312"/>
      <c r="V208" s="695"/>
      <c r="W208" s="316"/>
      <c r="X208" s="317"/>
    </row>
    <row r="209" spans="1:24">
      <c r="A209" s="173" t="s">
        <v>1224</v>
      </c>
      <c r="B209" s="170" t="s">
        <v>1226</v>
      </c>
      <c r="C209" s="319"/>
      <c r="D209" s="316"/>
      <c r="E209" s="317"/>
      <c r="F209" s="693">
        <v>44.607999999999997</v>
      </c>
      <c r="G209" s="693">
        <v>0</v>
      </c>
      <c r="H209" s="693">
        <v>0</v>
      </c>
      <c r="I209" s="693">
        <v>0</v>
      </c>
      <c r="J209" s="693"/>
      <c r="K209" s="318"/>
      <c r="L209" s="318"/>
      <c r="M209" s="693"/>
      <c r="N209" s="318"/>
      <c r="O209" s="1407">
        <v>6585.93</v>
      </c>
      <c r="P209" s="703">
        <v>293785</v>
      </c>
      <c r="Q209" s="702">
        <v>44.607999999999997</v>
      </c>
      <c r="R209" s="694">
        <v>6585.93</v>
      </c>
      <c r="S209" s="676">
        <v>293785</v>
      </c>
      <c r="T209" s="313"/>
      <c r="U209" s="312"/>
      <c r="V209" s="695"/>
      <c r="W209" s="316"/>
      <c r="X209" s="317"/>
    </row>
    <row r="210" spans="1:24">
      <c r="A210" s="173" t="s">
        <v>1227</v>
      </c>
      <c r="B210" s="170" t="s">
        <v>1226</v>
      </c>
      <c r="C210" s="319"/>
      <c r="D210" s="316"/>
      <c r="E210" s="317"/>
      <c r="F210" s="693">
        <v>150.92699999999999</v>
      </c>
      <c r="G210" s="693">
        <v>0</v>
      </c>
      <c r="H210" s="693">
        <v>0</v>
      </c>
      <c r="I210" s="693">
        <v>0</v>
      </c>
      <c r="J210" s="693"/>
      <c r="K210" s="318"/>
      <c r="L210" s="318"/>
      <c r="M210" s="693"/>
      <c r="N210" s="318"/>
      <c r="O210" s="694">
        <v>6585.93</v>
      </c>
      <c r="P210" s="703">
        <v>993995</v>
      </c>
      <c r="Q210" s="702">
        <v>150.92699999999999</v>
      </c>
      <c r="R210" s="694">
        <v>6585.93</v>
      </c>
      <c r="S210" s="676">
        <v>993995</v>
      </c>
      <c r="T210" s="313"/>
      <c r="U210" s="312"/>
      <c r="V210" s="695"/>
      <c r="W210" s="316"/>
      <c r="X210" s="317"/>
    </row>
    <row r="211" spans="1:24">
      <c r="A211" s="689" t="s">
        <v>1228</v>
      </c>
      <c r="B211" s="685" t="s">
        <v>1229</v>
      </c>
      <c r="C211" s="319">
        <v>0.26536500000000002</v>
      </c>
      <c r="D211" s="316">
        <v>35546.470967912122</v>
      </c>
      <c r="E211" s="317">
        <v>9432.7468100000006</v>
      </c>
      <c r="F211" s="702">
        <v>5.2999999999999999E-2</v>
      </c>
      <c r="G211" s="693">
        <v>0</v>
      </c>
      <c r="H211" s="693">
        <v>0</v>
      </c>
      <c r="I211" s="693">
        <v>0</v>
      </c>
      <c r="J211" s="693"/>
      <c r="K211" s="318"/>
      <c r="L211" s="318"/>
      <c r="M211" s="693"/>
      <c r="N211" s="318"/>
      <c r="O211" s="1407">
        <v>42636</v>
      </c>
      <c r="P211" s="703">
        <v>2260</v>
      </c>
      <c r="Q211" s="702">
        <v>5.2999999999999999E-2</v>
      </c>
      <c r="R211" s="677">
        <v>36726.699999999997</v>
      </c>
      <c r="S211" s="676">
        <v>1947</v>
      </c>
      <c r="T211" s="313"/>
      <c r="U211" s="312"/>
      <c r="V211" s="695">
        <v>0.26536500000000002</v>
      </c>
      <c r="W211" s="316">
        <v>36724.878438754167</v>
      </c>
      <c r="X211" s="921">
        <v>9745.7468100000006</v>
      </c>
    </row>
    <row r="212" spans="1:24">
      <c r="A212" s="1897" t="s">
        <v>1230</v>
      </c>
      <c r="B212" s="685" t="s">
        <v>1210</v>
      </c>
      <c r="C212" s="319">
        <v>1.6310629999999984</v>
      </c>
      <c r="D212" s="316">
        <v>5548.5278323951989</v>
      </c>
      <c r="E212" s="317">
        <v>9049.9495200000019</v>
      </c>
      <c r="F212" s="693">
        <v>6.4690000000000003</v>
      </c>
      <c r="G212" s="693">
        <v>0</v>
      </c>
      <c r="H212" s="693">
        <v>0</v>
      </c>
      <c r="I212" s="693">
        <v>0</v>
      </c>
      <c r="J212" s="693"/>
      <c r="K212" s="318"/>
      <c r="L212" s="318"/>
      <c r="M212" s="693"/>
      <c r="N212" s="318"/>
      <c r="O212" s="1407">
        <v>5967</v>
      </c>
      <c r="P212" s="703">
        <v>38601</v>
      </c>
      <c r="Q212" s="702">
        <v>6.4690000000000003</v>
      </c>
      <c r="R212" s="677">
        <v>5882.74</v>
      </c>
      <c r="S212" s="676">
        <v>38055</v>
      </c>
      <c r="T212" s="313"/>
      <c r="U212" s="312"/>
      <c r="V212" s="695">
        <v>1.6310629999999984</v>
      </c>
      <c r="W212" s="316">
        <v>5882.718850596214</v>
      </c>
      <c r="X212" s="921">
        <v>9595.9495200000019</v>
      </c>
    </row>
    <row r="213" spans="1:24">
      <c r="A213" s="1898"/>
      <c r="B213" s="685" t="s">
        <v>178</v>
      </c>
      <c r="C213" s="319">
        <v>2.1986009999999965</v>
      </c>
      <c r="D213" s="316">
        <v>18189.870061998554</v>
      </c>
      <c r="E213" s="317">
        <v>39991.87076000002</v>
      </c>
      <c r="F213" s="693">
        <v>34.572000000000003</v>
      </c>
      <c r="G213" s="693">
        <v>0</v>
      </c>
      <c r="H213" s="693">
        <v>0</v>
      </c>
      <c r="I213" s="693">
        <v>0</v>
      </c>
      <c r="J213" s="693"/>
      <c r="K213" s="318"/>
      <c r="L213" s="318"/>
      <c r="M213" s="693"/>
      <c r="N213" s="318"/>
      <c r="O213" s="694">
        <v>18632.13</v>
      </c>
      <c r="P213" s="703">
        <v>644150</v>
      </c>
      <c r="Q213" s="702">
        <v>34.572000000000003</v>
      </c>
      <c r="R213" s="677">
        <v>18605.689999999999</v>
      </c>
      <c r="S213" s="676">
        <v>643236</v>
      </c>
      <c r="T213" s="313"/>
      <c r="U213" s="312"/>
      <c r="V213" s="695">
        <v>2.1986009999999965</v>
      </c>
      <c r="W213" s="316">
        <v>18606.078966884004</v>
      </c>
      <c r="X213" s="921">
        <v>40905.870760000078</v>
      </c>
    </row>
    <row r="214" spans="1:24">
      <c r="A214" s="1898"/>
      <c r="B214" s="685" t="s">
        <v>1211</v>
      </c>
      <c r="C214" s="686"/>
      <c r="D214" s="687"/>
      <c r="E214" s="688"/>
      <c r="F214" s="693">
        <v>8.0250000000000004</v>
      </c>
      <c r="G214" s="693">
        <v>0</v>
      </c>
      <c r="H214" s="693">
        <v>0</v>
      </c>
      <c r="I214" s="693">
        <v>0</v>
      </c>
      <c r="J214" s="693"/>
      <c r="K214" s="318"/>
      <c r="L214" s="318"/>
      <c r="M214" s="693"/>
      <c r="N214" s="318"/>
      <c r="O214" s="1407">
        <v>6619.25</v>
      </c>
      <c r="P214" s="703">
        <v>53119</v>
      </c>
      <c r="Q214" s="702">
        <v>8.0250000000000004</v>
      </c>
      <c r="R214" s="677">
        <v>6619.25</v>
      </c>
      <c r="S214" s="676">
        <v>53119</v>
      </c>
      <c r="T214" s="313"/>
      <c r="U214" s="312"/>
      <c r="V214" s="695"/>
      <c r="W214" s="316"/>
      <c r="X214" s="317"/>
    </row>
    <row r="215" spans="1:24">
      <c r="A215" s="1899"/>
      <c r="B215" s="685" t="s">
        <v>1888</v>
      </c>
      <c r="C215" s="319">
        <v>9.3590000000000062E-3</v>
      </c>
      <c r="D215" s="316">
        <v>44961.320410300024</v>
      </c>
      <c r="E215" s="317">
        <v>420.68929999999818</v>
      </c>
      <c r="F215" s="693">
        <v>0.314</v>
      </c>
      <c r="G215" s="693">
        <v>0</v>
      </c>
      <c r="H215" s="693">
        <v>0</v>
      </c>
      <c r="I215" s="693">
        <v>0</v>
      </c>
      <c r="J215" s="693"/>
      <c r="K215" s="318"/>
      <c r="L215" s="318"/>
      <c r="M215" s="693"/>
      <c r="N215" s="318"/>
      <c r="O215" s="694">
        <v>45190</v>
      </c>
      <c r="P215" s="703">
        <v>14190</v>
      </c>
      <c r="Q215" s="702">
        <v>0.314</v>
      </c>
      <c r="R215" s="677">
        <v>45183.38</v>
      </c>
      <c r="S215" s="676">
        <v>14188</v>
      </c>
      <c r="T215" s="313"/>
      <c r="U215" s="312"/>
      <c r="V215" s="695">
        <v>9.3590000000000062E-3</v>
      </c>
      <c r="W215" s="316">
        <v>45183.428454962908</v>
      </c>
      <c r="X215" s="921">
        <v>422.68929999999818</v>
      </c>
    </row>
    <row r="216" spans="1:24" ht="13.5" thickBot="1">
      <c r="A216" s="696" t="s">
        <v>435</v>
      </c>
      <c r="B216" s="697"/>
      <c r="C216" s="698">
        <v>27.262309000000005</v>
      </c>
      <c r="D216" s="701">
        <v>17162.87</v>
      </c>
      <c r="E216" s="700">
        <v>467899.42202000029</v>
      </c>
      <c r="F216" s="698">
        <v>294.43199999999996</v>
      </c>
      <c r="G216" s="693">
        <v>0</v>
      </c>
      <c r="H216" s="693">
        <v>0</v>
      </c>
      <c r="I216" s="693">
        <v>0</v>
      </c>
      <c r="J216" s="693"/>
      <c r="K216" s="318"/>
      <c r="L216" s="318"/>
      <c r="M216" s="693"/>
      <c r="N216" s="318"/>
      <c r="O216" s="701">
        <v>9992.3799999999992</v>
      </c>
      <c r="P216" s="700">
        <v>2942076</v>
      </c>
      <c r="Q216" s="698">
        <v>254.83799999999999</v>
      </c>
      <c r="R216" s="701">
        <v>8697.68</v>
      </c>
      <c r="S216" s="700">
        <v>2216500</v>
      </c>
      <c r="T216" s="698">
        <v>39.594000000000001</v>
      </c>
      <c r="U216" s="700">
        <v>714756.03522000008</v>
      </c>
      <c r="V216" s="698">
        <v>27.262309000000009</v>
      </c>
      <c r="W216" s="701">
        <v>17559.79</v>
      </c>
      <c r="X216" s="700">
        <v>478720.38680000021</v>
      </c>
    </row>
    <row r="217" spans="1:24">
      <c r="A217" s="1900" t="s">
        <v>1865</v>
      </c>
      <c r="B217" s="1901"/>
      <c r="C217" s="1901"/>
      <c r="D217" s="1901"/>
      <c r="E217" s="1901"/>
      <c r="F217" s="1901"/>
      <c r="G217" s="1901"/>
      <c r="H217" s="1901"/>
      <c r="I217" s="1901"/>
      <c r="J217" s="1901"/>
      <c r="K217" s="1901"/>
      <c r="L217" s="1901"/>
      <c r="M217" s="1901"/>
      <c r="N217" s="1901"/>
      <c r="O217" s="1901"/>
      <c r="P217" s="1901"/>
      <c r="Q217" s="1901"/>
      <c r="R217" s="1901"/>
      <c r="S217" s="1901"/>
      <c r="T217" s="1901"/>
      <c r="U217" s="1901"/>
      <c r="V217" s="1901"/>
      <c r="W217" s="1901"/>
      <c r="X217" s="1902"/>
    </row>
    <row r="218" spans="1:24">
      <c r="A218" s="680" t="s">
        <v>1223</v>
      </c>
      <c r="B218" s="681" t="s">
        <v>346</v>
      </c>
      <c r="C218" s="319">
        <v>23.157921000000016</v>
      </c>
      <c r="D218" s="316">
        <v>18052.144249477307</v>
      </c>
      <c r="E218" s="317">
        <v>418050.1304100001</v>
      </c>
      <c r="F218" s="693">
        <v>31.311</v>
      </c>
      <c r="G218" s="693">
        <v>0</v>
      </c>
      <c r="H218" s="693">
        <v>0</v>
      </c>
      <c r="I218" s="693">
        <v>0</v>
      </c>
      <c r="J218" s="693"/>
      <c r="K218" s="170"/>
      <c r="L218" s="318"/>
      <c r="M218" s="693"/>
      <c r="N218" s="318"/>
      <c r="O218" s="694">
        <v>18235</v>
      </c>
      <c r="P218" s="318">
        <v>570956.08499999996</v>
      </c>
      <c r="Q218" s="702">
        <v>4.9260000000000002</v>
      </c>
      <c r="R218" s="677">
        <v>18157.259999999998</v>
      </c>
      <c r="S218" s="676">
        <v>89443</v>
      </c>
      <c r="T218" s="705">
        <v>26.385000000000002</v>
      </c>
      <c r="U218" s="318">
        <v>479079.3051</v>
      </c>
      <c r="V218" s="695">
        <v>23.157921000000012</v>
      </c>
      <c r="W218" s="316">
        <v>18157.259171426478</v>
      </c>
      <c r="X218" s="676">
        <v>420483.91031000006</v>
      </c>
    </row>
    <row r="219" spans="1:24">
      <c r="A219" s="173" t="s">
        <v>1224</v>
      </c>
      <c r="B219" s="170" t="s">
        <v>346</v>
      </c>
      <c r="C219" s="319">
        <v>0</v>
      </c>
      <c r="D219" s="316">
        <v>0</v>
      </c>
      <c r="E219" s="317">
        <v>0</v>
      </c>
      <c r="F219" s="702"/>
      <c r="G219" s="693">
        <v>0</v>
      </c>
      <c r="H219" s="693">
        <v>0</v>
      </c>
      <c r="I219" s="693">
        <v>0</v>
      </c>
      <c r="J219" s="693"/>
      <c r="K219" s="171"/>
      <c r="L219" s="318"/>
      <c r="M219" s="693"/>
      <c r="N219" s="318"/>
      <c r="O219" s="694"/>
      <c r="P219" s="703"/>
      <c r="Q219" s="702"/>
      <c r="R219" s="694">
        <v>18157.259999999998</v>
      </c>
      <c r="S219" s="676">
        <v>0</v>
      </c>
      <c r="T219" s="314"/>
      <c r="U219" s="314"/>
      <c r="V219" s="695"/>
      <c r="W219" s="316"/>
      <c r="X219" s="704"/>
    </row>
    <row r="220" spans="1:24">
      <c r="A220" s="174" t="s">
        <v>1225</v>
      </c>
      <c r="B220" s="170" t="s">
        <v>346</v>
      </c>
      <c r="C220" s="319">
        <v>0</v>
      </c>
      <c r="D220" s="316">
        <v>0</v>
      </c>
      <c r="E220" s="317">
        <v>0</v>
      </c>
      <c r="F220" s="702"/>
      <c r="G220" s="693">
        <v>0</v>
      </c>
      <c r="H220" s="693">
        <v>0</v>
      </c>
      <c r="I220" s="693">
        <v>0</v>
      </c>
      <c r="J220" s="693"/>
      <c r="K220" s="318"/>
      <c r="L220" s="318"/>
      <c r="M220" s="693"/>
      <c r="N220" s="318"/>
      <c r="O220" s="694"/>
      <c r="P220" s="703"/>
      <c r="Q220" s="702">
        <v>0</v>
      </c>
      <c r="R220" s="694"/>
      <c r="S220" s="676">
        <v>0</v>
      </c>
      <c r="T220" s="313"/>
      <c r="U220" s="312"/>
      <c r="V220" s="695"/>
      <c r="W220" s="316"/>
      <c r="X220" s="704"/>
    </row>
    <row r="221" spans="1:24">
      <c r="A221" s="680" t="s">
        <v>1223</v>
      </c>
      <c r="B221" s="685" t="s">
        <v>1226</v>
      </c>
      <c r="C221" s="319"/>
      <c r="D221" s="316"/>
      <c r="E221" s="317"/>
      <c r="F221" s="693">
        <v>173.98099999999999</v>
      </c>
      <c r="G221" s="693">
        <v>0</v>
      </c>
      <c r="H221" s="693">
        <v>0</v>
      </c>
      <c r="I221" s="693">
        <v>0</v>
      </c>
      <c r="J221" s="693"/>
      <c r="K221" s="318"/>
      <c r="L221" s="318"/>
      <c r="M221" s="693"/>
      <c r="N221" s="318"/>
      <c r="O221" s="1407">
        <v>6783</v>
      </c>
      <c r="P221" s="318">
        <v>1180113.1230000001</v>
      </c>
      <c r="Q221" s="693">
        <v>173.98099999999999</v>
      </c>
      <c r="R221" s="677">
        <v>6783</v>
      </c>
      <c r="S221" s="676">
        <v>1180113</v>
      </c>
      <c r="T221" s="313"/>
      <c r="U221" s="312"/>
      <c r="V221" s="695"/>
      <c r="W221" s="316"/>
      <c r="X221" s="317"/>
    </row>
    <row r="222" spans="1:24">
      <c r="A222" s="173" t="s">
        <v>1224</v>
      </c>
      <c r="B222" s="170" t="s">
        <v>1226</v>
      </c>
      <c r="C222" s="319"/>
      <c r="D222" s="316"/>
      <c r="E222" s="317"/>
      <c r="F222" s="693">
        <v>51.456000000000003</v>
      </c>
      <c r="G222" s="693">
        <v>0</v>
      </c>
      <c r="H222" s="693">
        <v>0</v>
      </c>
      <c r="I222" s="693">
        <v>0</v>
      </c>
      <c r="J222" s="693"/>
      <c r="K222" s="318"/>
      <c r="L222" s="318"/>
      <c r="M222" s="693"/>
      <c r="N222" s="318"/>
      <c r="O222" s="1407">
        <v>6783</v>
      </c>
      <c r="P222" s="703">
        <v>349026.04800000001</v>
      </c>
      <c r="Q222" s="693">
        <v>51.456000000000003</v>
      </c>
      <c r="R222" s="694">
        <v>6783</v>
      </c>
      <c r="S222" s="676">
        <v>349026</v>
      </c>
      <c r="T222" s="313"/>
      <c r="U222" s="312"/>
      <c r="V222" s="695"/>
      <c r="W222" s="316"/>
      <c r="X222" s="317"/>
    </row>
    <row r="223" spans="1:24">
      <c r="A223" s="173" t="s">
        <v>1227</v>
      </c>
      <c r="B223" s="170" t="s">
        <v>1226</v>
      </c>
      <c r="C223" s="319"/>
      <c r="D223" s="316"/>
      <c r="E223" s="317"/>
      <c r="F223" s="693">
        <v>122.52500000000001</v>
      </c>
      <c r="G223" s="693">
        <v>0</v>
      </c>
      <c r="H223" s="693">
        <v>0</v>
      </c>
      <c r="I223" s="693">
        <v>0</v>
      </c>
      <c r="J223" s="693"/>
      <c r="K223" s="318"/>
      <c r="L223" s="318"/>
      <c r="M223" s="693"/>
      <c r="N223" s="318"/>
      <c r="O223" s="694">
        <v>6783</v>
      </c>
      <c r="P223" s="703">
        <v>831087.07500000007</v>
      </c>
      <c r="Q223" s="693">
        <v>122.52500000000001</v>
      </c>
      <c r="R223" s="694">
        <v>6783</v>
      </c>
      <c r="S223" s="676">
        <v>831087</v>
      </c>
      <c r="T223" s="313"/>
      <c r="U223" s="312"/>
      <c r="V223" s="695"/>
      <c r="W223" s="316"/>
      <c r="X223" s="317"/>
    </row>
    <row r="224" spans="1:24">
      <c r="A224" s="689" t="s">
        <v>1228</v>
      </c>
      <c r="B224" s="685" t="s">
        <v>1229</v>
      </c>
      <c r="C224" s="319">
        <v>0.26536500000000002</v>
      </c>
      <c r="D224" s="316">
        <v>36724.878438754167</v>
      </c>
      <c r="E224" s="317">
        <v>9745.7468100000006</v>
      </c>
      <c r="F224" s="693">
        <v>5.1999999999999998E-2</v>
      </c>
      <c r="G224" s="693">
        <v>0</v>
      </c>
      <c r="H224" s="693">
        <v>0</v>
      </c>
      <c r="I224" s="693">
        <v>0</v>
      </c>
      <c r="J224" s="693"/>
      <c r="K224" s="318"/>
      <c r="L224" s="318"/>
      <c r="M224" s="693"/>
      <c r="N224" s="318"/>
      <c r="O224" s="694">
        <v>42636</v>
      </c>
      <c r="P224" s="703">
        <v>2217.0720000000001</v>
      </c>
      <c r="Q224" s="693">
        <v>5.1999999999999998E-2</v>
      </c>
      <c r="R224" s="677">
        <v>37693.409999999996</v>
      </c>
      <c r="S224" s="676">
        <v>1960</v>
      </c>
      <c r="T224" s="313"/>
      <c r="U224" s="312"/>
      <c r="V224" s="695">
        <v>0.26536500000000002</v>
      </c>
      <c r="W224" s="316">
        <v>37693.627143368569</v>
      </c>
      <c r="X224" s="676">
        <v>10002.818810000001</v>
      </c>
    </row>
    <row r="225" spans="1:24">
      <c r="A225" s="1897" t="s">
        <v>1230</v>
      </c>
      <c r="B225" s="685" t="s">
        <v>1210</v>
      </c>
      <c r="C225" s="319">
        <v>1.6310629999999984</v>
      </c>
      <c r="D225" s="316">
        <v>5882.718850596214</v>
      </c>
      <c r="E225" s="317">
        <v>9595.9495200000019</v>
      </c>
      <c r="F225" s="693">
        <v>3.7629999999999999</v>
      </c>
      <c r="G225" s="693">
        <v>0</v>
      </c>
      <c r="H225" s="693">
        <v>0</v>
      </c>
      <c r="I225" s="693">
        <v>0</v>
      </c>
      <c r="J225" s="693"/>
      <c r="K225" s="318"/>
      <c r="L225" s="318"/>
      <c r="M225" s="693"/>
      <c r="N225" s="318"/>
      <c r="O225" s="1407">
        <v>5967</v>
      </c>
      <c r="P225" s="703">
        <v>22453.821</v>
      </c>
      <c r="Q225" s="693">
        <v>3.7629999999999999</v>
      </c>
      <c r="R225" s="677">
        <v>5941.52</v>
      </c>
      <c r="S225" s="676">
        <v>22358</v>
      </c>
      <c r="T225" s="313"/>
      <c r="U225" s="312"/>
      <c r="V225" s="695">
        <v>1.6310629999999984</v>
      </c>
      <c r="W225" s="316">
        <v>5941.4964280962849</v>
      </c>
      <c r="X225" s="676">
        <v>9691.7705200000019</v>
      </c>
    </row>
    <row r="226" spans="1:24">
      <c r="A226" s="1898"/>
      <c r="B226" s="685" t="s">
        <v>178</v>
      </c>
      <c r="C226" s="319">
        <v>2.1986009999999965</v>
      </c>
      <c r="D226" s="316">
        <v>18606.078966884004</v>
      </c>
      <c r="E226" s="317">
        <v>40905.870760000078</v>
      </c>
      <c r="F226" s="693">
        <v>23.350999999999999</v>
      </c>
      <c r="G226" s="693">
        <v>0</v>
      </c>
      <c r="H226" s="693">
        <v>0</v>
      </c>
      <c r="I226" s="693">
        <v>0</v>
      </c>
      <c r="J226" s="693"/>
      <c r="K226" s="318"/>
      <c r="L226" s="318"/>
      <c r="M226" s="693"/>
      <c r="N226" s="318"/>
      <c r="O226" s="1407">
        <v>18737.25</v>
      </c>
      <c r="P226" s="703">
        <v>437533.52474999998</v>
      </c>
      <c r="Q226" s="693">
        <v>23.350999999999999</v>
      </c>
      <c r="R226" s="677">
        <v>18725.940000000002</v>
      </c>
      <c r="S226" s="676">
        <v>437269</v>
      </c>
      <c r="T226" s="313"/>
      <c r="U226" s="312"/>
      <c r="V226" s="695">
        <v>2.1986009999999965</v>
      </c>
      <c r="W226" s="316">
        <v>18725.960513071779</v>
      </c>
      <c r="X226" s="921">
        <v>41170.915510000057</v>
      </c>
    </row>
    <row r="227" spans="1:24">
      <c r="A227" s="1898"/>
      <c r="B227" s="685" t="s">
        <v>1211</v>
      </c>
      <c r="C227" s="686"/>
      <c r="D227" s="687"/>
      <c r="E227" s="688"/>
      <c r="F227" s="693">
        <v>5.5449999999999999</v>
      </c>
      <c r="G227" s="693">
        <v>0</v>
      </c>
      <c r="H227" s="693">
        <v>0</v>
      </c>
      <c r="I227" s="693">
        <v>0</v>
      </c>
      <c r="J227" s="693"/>
      <c r="K227" s="318"/>
      <c r="L227" s="318"/>
      <c r="M227" s="693"/>
      <c r="N227" s="318"/>
      <c r="O227" s="1407">
        <v>6817</v>
      </c>
      <c r="P227" s="703">
        <v>37800.264999999999</v>
      </c>
      <c r="Q227" s="693">
        <v>5.5449999999999999</v>
      </c>
      <c r="R227" s="677">
        <v>6817</v>
      </c>
      <c r="S227" s="676">
        <v>37800.264999999999</v>
      </c>
      <c r="T227" s="313"/>
      <c r="U227" s="312"/>
      <c r="V227" s="695"/>
      <c r="W227" s="316"/>
      <c r="X227" s="317"/>
    </row>
    <row r="228" spans="1:24">
      <c r="A228" s="1899"/>
      <c r="B228" s="685" t="s">
        <v>1888</v>
      </c>
      <c r="C228" s="319">
        <v>9.3590000000000062E-3</v>
      </c>
      <c r="D228" s="316">
        <v>45183.428454962908</v>
      </c>
      <c r="E228" s="317">
        <v>422.68929999999818</v>
      </c>
      <c r="F228" s="693">
        <v>0.28599999999999998</v>
      </c>
      <c r="G228" s="693">
        <v>0</v>
      </c>
      <c r="H228" s="693">
        <v>0</v>
      </c>
      <c r="I228" s="693">
        <v>0</v>
      </c>
      <c r="J228" s="693"/>
      <c r="K228" s="318"/>
      <c r="L228" s="318"/>
      <c r="M228" s="693"/>
      <c r="N228" s="318"/>
      <c r="O228" s="1407">
        <v>45190</v>
      </c>
      <c r="P228" s="703">
        <v>12924.339999999998</v>
      </c>
      <c r="Q228" s="693">
        <v>0.28599999999999998</v>
      </c>
      <c r="R228" s="677">
        <v>45189.79</v>
      </c>
      <c r="S228" s="676">
        <v>12924</v>
      </c>
      <c r="T228" s="313"/>
      <c r="U228" s="312"/>
      <c r="V228" s="695">
        <v>9.3590000000000062E-3</v>
      </c>
      <c r="W228" s="316">
        <v>45189.847122555424</v>
      </c>
      <c r="X228" s="921">
        <v>423.02929999999651</v>
      </c>
    </row>
    <row r="229" spans="1:24" ht="13.5" thickBot="1">
      <c r="A229" s="696" t="s">
        <v>435</v>
      </c>
      <c r="B229" s="697"/>
      <c r="C229" s="698">
        <v>27.262309000000009</v>
      </c>
      <c r="D229" s="701">
        <v>17559.79</v>
      </c>
      <c r="E229" s="700">
        <v>478720.38680000021</v>
      </c>
      <c r="F229" s="698">
        <v>238.28899999999999</v>
      </c>
      <c r="G229" s="693">
        <v>0</v>
      </c>
      <c r="H229" s="693">
        <v>0</v>
      </c>
      <c r="I229" s="693">
        <v>0</v>
      </c>
      <c r="J229" s="693"/>
      <c r="K229" s="318"/>
      <c r="L229" s="318"/>
      <c r="M229" s="693"/>
      <c r="N229" s="318"/>
      <c r="O229" s="701">
        <v>9501.06</v>
      </c>
      <c r="P229" s="700">
        <v>2263998.2307500001</v>
      </c>
      <c r="Q229" s="698">
        <v>211.90399999999997</v>
      </c>
      <c r="R229" s="701">
        <v>8408.84</v>
      </c>
      <c r="S229" s="700">
        <v>1781867.2649999999</v>
      </c>
      <c r="T229" s="698">
        <v>26.385000000000002</v>
      </c>
      <c r="U229" s="700">
        <v>479079.3051</v>
      </c>
      <c r="V229" s="698">
        <v>27.262309000000005</v>
      </c>
      <c r="W229" s="701">
        <v>17671.740000000002</v>
      </c>
      <c r="X229" s="700">
        <v>481772.44445000018</v>
      </c>
    </row>
  </sheetData>
  <mergeCells count="43">
    <mergeCell ref="A68:A70"/>
    <mergeCell ref="A47:X47"/>
    <mergeCell ref="A21:X21"/>
    <mergeCell ref="A29:A31"/>
    <mergeCell ref="A152:X152"/>
    <mergeCell ref="A73:X73"/>
    <mergeCell ref="A81:A83"/>
    <mergeCell ref="A113:X113"/>
    <mergeCell ref="A86:X86"/>
    <mergeCell ref="A94:A96"/>
    <mergeCell ref="A99:X99"/>
    <mergeCell ref="A121:A124"/>
    <mergeCell ref="A107:A110"/>
    <mergeCell ref="A8:X8"/>
    <mergeCell ref="A16:A18"/>
    <mergeCell ref="A60:X60"/>
    <mergeCell ref="A55:A57"/>
    <mergeCell ref="A34:X34"/>
    <mergeCell ref="A42:A44"/>
    <mergeCell ref="A3:X3"/>
    <mergeCell ref="F4:Q4"/>
    <mergeCell ref="A5:A6"/>
    <mergeCell ref="B5:B6"/>
    <mergeCell ref="C5:E5"/>
    <mergeCell ref="F5:P5"/>
    <mergeCell ref="Q5:S5"/>
    <mergeCell ref="T5:U5"/>
    <mergeCell ref="V5:X5"/>
    <mergeCell ref="A225:A228"/>
    <mergeCell ref="A126:X126"/>
    <mergeCell ref="A134:A136"/>
    <mergeCell ref="A139:X139"/>
    <mergeCell ref="A147:A149"/>
    <mergeCell ref="A165:X165"/>
    <mergeCell ref="A178:X178"/>
    <mergeCell ref="A191:X191"/>
    <mergeCell ref="A204:X204"/>
    <mergeCell ref="A217:X217"/>
    <mergeCell ref="A199:A202"/>
    <mergeCell ref="A212:A215"/>
    <mergeCell ref="A186:A189"/>
    <mergeCell ref="A173:A176"/>
    <mergeCell ref="A160:A163"/>
  </mergeCells>
  <pageMargins left="1.05" right="0.31496062992125984" top="0.38" bottom="0.35433070866141736" header="0.23622047244094491" footer="0.15748031496062992"/>
  <pageSetup paperSize="9" scale="50" fitToHeight="2" orientation="landscape" blackAndWhite="1" r:id="rId1"/>
  <rowBreaks count="2" manualBreakCount="2">
    <brk id="98" max="23" man="1"/>
    <brk id="190" max="23" man="1"/>
  </rowBreaks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2" tint="-0.499984740745262"/>
  </sheetPr>
  <dimension ref="A1:P108"/>
  <sheetViews>
    <sheetView view="pageBreakPreview" zoomScaleNormal="100" zoomScaleSheetLayoutView="100" workbookViewId="0">
      <pane xSplit="2" ySplit="5" topLeftCell="C6" activePane="bottomRight" state="frozen"/>
      <selection activeCell="A2" sqref="A2"/>
      <selection pane="topRight" activeCell="A2" sqref="A2"/>
      <selection pane="bottomLeft" activeCell="A2" sqref="A2"/>
      <selection pane="bottomRight" activeCell="O13" sqref="O13"/>
    </sheetView>
  </sheetViews>
  <sheetFormatPr defaultColWidth="3.7109375" defaultRowHeight="15" outlineLevelRow="1"/>
  <cols>
    <col min="1" max="1" width="5.42578125" style="1" customWidth="1"/>
    <col min="2" max="2" width="45.140625" style="1" customWidth="1"/>
    <col min="3" max="4" width="13.42578125" style="1" hidden="1" customWidth="1"/>
    <col min="5" max="9" width="13.42578125" style="1" customWidth="1"/>
    <col min="10" max="10" width="16.85546875" style="1" customWidth="1"/>
    <col min="11" max="11" width="12.85546875" style="1" customWidth="1"/>
    <col min="12" max="12" width="12.140625" style="1" customWidth="1"/>
    <col min="13" max="13" width="10.85546875" style="1" customWidth="1"/>
    <col min="14" max="14" width="12.7109375" style="1" customWidth="1"/>
    <col min="15" max="16" width="10.85546875" style="1" customWidth="1"/>
    <col min="17" max="53" width="9.140625" style="1" customWidth="1"/>
    <col min="54" max="16384" width="3.7109375" style="1"/>
  </cols>
  <sheetData>
    <row r="1" spans="1:16" ht="12.75" customHeight="1">
      <c r="A1" s="74" t="s">
        <v>1860</v>
      </c>
      <c r="J1" s="23"/>
      <c r="K1" s="23"/>
      <c r="M1" s="23" t="s">
        <v>359</v>
      </c>
      <c r="N1" s="23"/>
      <c r="O1" s="23"/>
      <c r="P1" s="23"/>
    </row>
    <row r="2" spans="1:16" ht="12.75" customHeight="1">
      <c r="A2" s="105" t="str">
        <f>'4.1 (свод)'!A2</f>
        <v>КТЭЦ + котельные СВОД</v>
      </c>
      <c r="K2" s="1445"/>
      <c r="L2" s="1445"/>
    </row>
    <row r="3" spans="1:16" ht="18.75">
      <c r="A3" s="1877" t="s">
        <v>1142</v>
      </c>
      <c r="B3" s="1914"/>
      <c r="C3" s="1914"/>
      <c r="D3" s="1914"/>
      <c r="E3" s="1914"/>
      <c r="F3" s="1914"/>
      <c r="G3" s="1914"/>
      <c r="H3" s="1914"/>
      <c r="I3" s="1914"/>
      <c r="J3" s="1914"/>
      <c r="K3" s="1445"/>
      <c r="L3" s="1445"/>
      <c r="M3" s="1643"/>
      <c r="N3" s="1643"/>
      <c r="O3" s="1643"/>
      <c r="P3" s="1643"/>
    </row>
    <row r="4" spans="1:16" ht="14.25" customHeight="1">
      <c r="A4" s="1" t="s">
        <v>1531</v>
      </c>
      <c r="J4" s="23"/>
      <c r="K4" s="23"/>
      <c r="M4" s="23" t="s">
        <v>360</v>
      </c>
      <c r="N4" s="23"/>
      <c r="O4" s="23"/>
      <c r="P4" s="23"/>
    </row>
    <row r="5" spans="1:16" s="3" customFormat="1" ht="60">
      <c r="A5" s="540" t="s">
        <v>0</v>
      </c>
      <c r="B5" s="540" t="s">
        <v>1</v>
      </c>
      <c r="C5" s="540" t="s">
        <v>1129</v>
      </c>
      <c r="D5" s="540" t="s">
        <v>1130</v>
      </c>
      <c r="E5" s="540" t="s">
        <v>1131</v>
      </c>
      <c r="F5" s="540" t="s">
        <v>1695</v>
      </c>
      <c r="G5" s="1687" t="s">
        <v>1696</v>
      </c>
      <c r="H5" s="1576" t="s">
        <v>1828</v>
      </c>
      <c r="I5" s="1576" t="s">
        <v>1833</v>
      </c>
      <c r="J5" s="1641" t="s">
        <v>1861</v>
      </c>
      <c r="K5" s="1641" t="s">
        <v>1862</v>
      </c>
      <c r="L5" s="1641" t="s">
        <v>763</v>
      </c>
      <c r="M5" s="1641" t="s">
        <v>764</v>
      </c>
      <c r="N5" s="1641" t="s">
        <v>1863</v>
      </c>
      <c r="O5" s="1641" t="s">
        <v>763</v>
      </c>
      <c r="P5" s="1641" t="s">
        <v>764</v>
      </c>
    </row>
    <row r="6" spans="1:16" s="2" customFormat="1">
      <c r="A6" s="13">
        <v>1</v>
      </c>
      <c r="B6" s="13">
        <v>2</v>
      </c>
      <c r="C6" s="13">
        <v>3</v>
      </c>
      <c r="D6" s="13">
        <v>4</v>
      </c>
      <c r="E6" s="13">
        <v>3</v>
      </c>
      <c r="F6" s="13">
        <v>4</v>
      </c>
      <c r="G6" s="13">
        <v>5</v>
      </c>
      <c r="H6" s="13">
        <v>6</v>
      </c>
      <c r="I6" s="13">
        <v>7</v>
      </c>
      <c r="J6" s="13">
        <v>8</v>
      </c>
      <c r="K6" s="13">
        <v>9</v>
      </c>
      <c r="L6" s="13">
        <v>10</v>
      </c>
      <c r="M6" s="13">
        <v>11</v>
      </c>
      <c r="N6" s="13">
        <v>12</v>
      </c>
      <c r="O6" s="13">
        <v>13</v>
      </c>
      <c r="P6" s="13">
        <v>14</v>
      </c>
    </row>
    <row r="7" spans="1:16" s="1041" customFormat="1" ht="30" customHeight="1">
      <c r="A7" s="1037" t="s">
        <v>361</v>
      </c>
      <c r="B7" s="1038" t="s">
        <v>362</v>
      </c>
      <c r="C7" s="1039">
        <f>C8+SUM(C10:C15)+C20+SUM(C22:C25)+SUM(C56:C61)-1</f>
        <v>4400059.4887234215</v>
      </c>
      <c r="D7" s="1039">
        <f>D8+SUM(D10:D15)+D20+SUM(D22:D25)+SUM(D56:D61)</f>
        <v>4791721.7490201099</v>
      </c>
      <c r="E7" s="1039">
        <v>4806841</v>
      </c>
      <c r="F7" s="1039">
        <v>5106104.9231136329</v>
      </c>
      <c r="G7" s="1039">
        <v>5482789.6747991396</v>
      </c>
      <c r="H7" s="1039">
        <v>5321621.4893899672</v>
      </c>
      <c r="I7" s="1039">
        <v>5550289.618746466</v>
      </c>
      <c r="J7" s="1039">
        <v>5948491.350684328</v>
      </c>
      <c r="K7" s="1039">
        <v>6528489.0982235651</v>
      </c>
      <c r="L7" s="1039">
        <v>3425309.1725468091</v>
      </c>
      <c r="M7" s="1039">
        <v>3103186.756452756</v>
      </c>
      <c r="N7" s="1039">
        <v>6857804.978803575</v>
      </c>
      <c r="O7" s="1039">
        <v>3610553.1944424086</v>
      </c>
      <c r="P7" s="1039">
        <v>3247251.7843611673</v>
      </c>
    </row>
    <row r="8" spans="1:16" s="1046" customFormat="1" ht="15" customHeight="1">
      <c r="A8" s="1044"/>
      <c r="B8" s="1045" t="s">
        <v>363</v>
      </c>
      <c r="C8" s="258">
        <f>'4.6_генерация (свод)'!C8+'4.6_транзит+сбыт (свод)'!C8+1</f>
        <v>76191</v>
      </c>
      <c r="D8" s="258">
        <f>'4.6_генерация (свод)'!D8+'4.6_транзит+сбыт (свод)'!D8</f>
        <v>79786</v>
      </c>
      <c r="E8" s="258">
        <v>102042</v>
      </c>
      <c r="F8" s="258">
        <v>77377</v>
      </c>
      <c r="G8" s="258">
        <v>85582.850181652262</v>
      </c>
      <c r="H8" s="258">
        <v>95112</v>
      </c>
      <c r="I8" s="258">
        <v>109126</v>
      </c>
      <c r="J8" s="258">
        <v>112824.5</v>
      </c>
      <c r="K8" s="258">
        <v>128641.51618000001</v>
      </c>
      <c r="L8" s="258">
        <v>45024.530662999998</v>
      </c>
      <c r="M8" s="258">
        <v>83616.985516999994</v>
      </c>
      <c r="N8" s="258">
        <v>126935.44590844259</v>
      </c>
      <c r="O8" s="258">
        <v>44427.4060679549</v>
      </c>
      <c r="P8" s="258">
        <v>82508.039840487691</v>
      </c>
    </row>
    <row r="9" spans="1:16" s="4" customFormat="1" ht="15" customHeight="1">
      <c r="A9" s="17"/>
      <c r="B9" s="580" t="s">
        <v>1134</v>
      </c>
      <c r="C9" s="751">
        <f>'4.6_генерация (свод)'!C9+'4.6_транзит+сбыт (свод)'!C9-1</f>
        <v>23203</v>
      </c>
      <c r="D9" s="751">
        <f>'4.6_генерация (свод)'!D9+'4.6_транзит+сбыт (свод)'!D9</f>
        <v>34608</v>
      </c>
      <c r="E9" s="751">
        <v>0</v>
      </c>
      <c r="F9" s="751">
        <v>33455</v>
      </c>
      <c r="G9" s="751">
        <v>34205.107806810185</v>
      </c>
      <c r="H9" s="751">
        <v>44774</v>
      </c>
      <c r="I9" s="751">
        <v>41864</v>
      </c>
      <c r="J9" s="751">
        <v>45563</v>
      </c>
      <c r="K9" s="751">
        <v>52191</v>
      </c>
      <c r="L9" s="751">
        <v>18266.849999999999</v>
      </c>
      <c r="M9" s="751">
        <v>33924.15</v>
      </c>
      <c r="N9" s="751">
        <v>52375.746186838791</v>
      </c>
      <c r="O9" s="751">
        <v>18331.511165393578</v>
      </c>
      <c r="P9" s="751">
        <v>34044.235021445216</v>
      </c>
    </row>
    <row r="10" spans="1:16" s="1046" customFormat="1" ht="15" customHeight="1">
      <c r="A10" s="1044"/>
      <c r="B10" s="1045" t="s">
        <v>364</v>
      </c>
      <c r="C10" s="258">
        <f>'4.6_генерация (свод)'!C10+'4.6_транзит+сбыт (свод)'!C10+1</f>
        <v>1887953.4887234215</v>
      </c>
      <c r="D10" s="258">
        <f>'4.6_генерация (свод)'!D10+'4.6_транзит+сбыт (свод)'!D10</f>
        <v>1900048.8975499999</v>
      </c>
      <c r="E10" s="258">
        <v>1982244</v>
      </c>
      <c r="F10" s="258">
        <v>1873788.7820211467</v>
      </c>
      <c r="G10" s="258">
        <v>2254056.4385583238</v>
      </c>
      <c r="H10" s="258">
        <v>1787015.8852061974</v>
      </c>
      <c r="I10" s="258">
        <v>2092516</v>
      </c>
      <c r="J10" s="258">
        <v>2017682.1726247889</v>
      </c>
      <c r="K10" s="258">
        <v>2156455.0063246526</v>
      </c>
      <c r="L10" s="258">
        <v>1283814.0535755288</v>
      </c>
      <c r="M10" s="258">
        <v>872640.95274912403</v>
      </c>
      <c r="N10" s="258">
        <v>2228781.2178481589</v>
      </c>
      <c r="O10" s="258">
        <v>1329753.5843221201</v>
      </c>
      <c r="P10" s="258">
        <v>899027.63352603884</v>
      </c>
    </row>
    <row r="11" spans="1:16" s="1046" customFormat="1" ht="30">
      <c r="A11" s="1044"/>
      <c r="B11" s="1045" t="s">
        <v>365</v>
      </c>
      <c r="C11" s="258">
        <f>'4.6_генерация (свод)'!C11+'4.6_транзит+сбыт (свод)'!C11</f>
        <v>220940</v>
      </c>
      <c r="D11" s="258">
        <f>'4.6_генерация (свод)'!D11+'4.6_транзит+сбыт (свод)'!D11</f>
        <v>227118.78820700001</v>
      </c>
      <c r="E11" s="258">
        <v>227496</v>
      </c>
      <c r="F11" s="258">
        <v>221907.964652</v>
      </c>
      <c r="G11" s="258">
        <v>268419.60620700003</v>
      </c>
      <c r="H11" s="258">
        <v>238222.85444059002</v>
      </c>
      <c r="I11" s="258">
        <v>272326</v>
      </c>
      <c r="J11" s="258">
        <v>266264.48806626</v>
      </c>
      <c r="K11" s="258">
        <v>293313.18624515599</v>
      </c>
      <c r="L11" s="258">
        <v>167143.67737699999</v>
      </c>
      <c r="M11" s="258">
        <v>126169.50886815597</v>
      </c>
      <c r="N11" s="258">
        <v>320165.33586415887</v>
      </c>
      <c r="O11" s="258">
        <v>183523.75775994596</v>
      </c>
      <c r="P11" s="258">
        <v>136641.57810421294</v>
      </c>
    </row>
    <row r="12" spans="1:16" s="1046" customFormat="1" ht="15" customHeight="1">
      <c r="A12" s="1044"/>
      <c r="B12" s="1045" t="s">
        <v>366</v>
      </c>
      <c r="C12" s="258">
        <f>'4.6_генерация (свод)'!C12+'4.6_транзит+сбыт (свод)'!C12</f>
        <v>26561</v>
      </c>
      <c r="D12" s="258">
        <f>'4.6_генерация (свод)'!D12+'4.6_транзит+сбыт (свод)'!D12</f>
        <v>181698.50326311024</v>
      </c>
      <c r="E12" s="258">
        <v>18958</v>
      </c>
      <c r="F12" s="258">
        <v>90181.233389999994</v>
      </c>
      <c r="G12" s="258">
        <v>39217.417047199997</v>
      </c>
      <c r="H12" s="258">
        <v>39859.004911173062</v>
      </c>
      <c r="I12" s="258">
        <v>41208</v>
      </c>
      <c r="J12" s="258">
        <v>42664.231594666555</v>
      </c>
      <c r="K12" s="258">
        <v>44600.535224461797</v>
      </c>
      <c r="L12" s="258">
        <v>22883.973502000001</v>
      </c>
      <c r="M12" s="258">
        <v>21716.561722461796</v>
      </c>
      <c r="N12" s="258">
        <v>47660.222090654577</v>
      </c>
      <c r="O12" s="258">
        <v>24966.415090682</v>
      </c>
      <c r="P12" s="258">
        <v>22693.806999972578</v>
      </c>
    </row>
    <row r="13" spans="1:16" s="1046" customFormat="1" ht="15" customHeight="1">
      <c r="A13" s="1044"/>
      <c r="B13" s="1045" t="s">
        <v>367</v>
      </c>
      <c r="C13" s="258">
        <f>'4.6_генерация (свод)'!C13+'4.6_транзит+сбыт (свод)'!C13</f>
        <v>0</v>
      </c>
      <c r="D13" s="258">
        <f>'4.6_генерация (свод)'!D13+'4.6_транзит+сбыт (свод)'!D13</f>
        <v>0</v>
      </c>
      <c r="E13" s="258">
        <v>0</v>
      </c>
      <c r="F13" s="258">
        <v>112970</v>
      </c>
      <c r="G13" s="258">
        <v>0</v>
      </c>
      <c r="H13" s="258">
        <v>171410.19267882692</v>
      </c>
      <c r="I13" s="258">
        <v>0</v>
      </c>
      <c r="J13" s="258">
        <v>173575.64135861251</v>
      </c>
      <c r="K13" s="258">
        <v>183218.98196185401</v>
      </c>
      <c r="L13" s="258">
        <v>98837.299402000004</v>
      </c>
      <c r="M13" s="258">
        <v>84381.682559854002</v>
      </c>
      <c r="N13" s="258">
        <v>196010.35192262943</v>
      </c>
      <c r="O13" s="258">
        <v>107831.49364758201</v>
      </c>
      <c r="P13" s="258">
        <v>88178.858275047416</v>
      </c>
    </row>
    <row r="14" spans="1:16" s="1046" customFormat="1" ht="30">
      <c r="A14" s="1044"/>
      <c r="B14" s="1045" t="s">
        <v>368</v>
      </c>
      <c r="C14" s="258">
        <f>'4.6_генерация (свод)'!C14+'4.6_транзит+сбыт (свод)'!C14</f>
        <v>78295</v>
      </c>
      <c r="D14" s="258">
        <f>'4.6_генерация (свод)'!D14+'4.6_транзит+сбыт (свод)'!D14</f>
        <v>107266.07</v>
      </c>
      <c r="E14" s="258">
        <v>90382</v>
      </c>
      <c r="F14" s="258">
        <v>129978.16031448606</v>
      </c>
      <c r="G14" s="258">
        <v>126484.78340498135</v>
      </c>
      <c r="H14" s="258">
        <v>113303</v>
      </c>
      <c r="I14" s="258">
        <v>117007</v>
      </c>
      <c r="J14" s="258">
        <v>154552</v>
      </c>
      <c r="K14" s="258">
        <v>153570</v>
      </c>
      <c r="L14" s="258">
        <v>81097</v>
      </c>
      <c r="M14" s="258">
        <v>72473</v>
      </c>
      <c r="N14" s="258">
        <v>163818</v>
      </c>
      <c r="O14" s="258">
        <v>86455</v>
      </c>
      <c r="P14" s="258">
        <v>77363</v>
      </c>
    </row>
    <row r="15" spans="1:16" s="1046" customFormat="1" ht="15" customHeight="1">
      <c r="A15" s="1044"/>
      <c r="B15" s="1045" t="s">
        <v>1135</v>
      </c>
      <c r="C15" s="258">
        <f>C16+C18+C19</f>
        <v>1171383</v>
      </c>
      <c r="D15" s="258">
        <f t="shared" ref="D15" si="0">D16+D18+D19</f>
        <v>1321738</v>
      </c>
      <c r="E15" s="258">
        <v>1412356</v>
      </c>
      <c r="F15" s="258">
        <v>1542503</v>
      </c>
      <c r="G15" s="258">
        <v>1581863.6835238319</v>
      </c>
      <c r="H15" s="258">
        <v>1691538.5521531804</v>
      </c>
      <c r="I15" s="258">
        <v>1732456</v>
      </c>
      <c r="J15" s="258">
        <v>1866365.8170399999</v>
      </c>
      <c r="K15" s="258">
        <v>2082909.31148744</v>
      </c>
      <c r="L15" s="258">
        <v>1001070.2412892799</v>
      </c>
      <c r="M15" s="258">
        <v>1081845.9009741601</v>
      </c>
      <c r="N15" s="258">
        <v>2205046.9970092401</v>
      </c>
      <c r="O15" s="258">
        <v>1068214.3052433999</v>
      </c>
      <c r="P15" s="258">
        <v>1136832.6917658399</v>
      </c>
    </row>
    <row r="16" spans="1:16" s="4" customFormat="1" ht="15" customHeight="1">
      <c r="A16" s="17"/>
      <c r="B16" s="581" t="s">
        <v>1136</v>
      </c>
      <c r="C16" s="241">
        <f>'4.6_генерация (свод)'!C16+'4.6_транзит+сбыт (свод)'!C16+1</f>
        <v>1154341</v>
      </c>
      <c r="D16" s="241">
        <f>'4.6_генерация (свод)'!D16+'4.6_транзит+сбыт (свод)'!D16</f>
        <v>1289250</v>
      </c>
      <c r="E16" s="241">
        <v>1390670</v>
      </c>
      <c r="F16" s="241">
        <v>1506373</v>
      </c>
      <c r="G16" s="241">
        <v>1556627.3097523369</v>
      </c>
      <c r="H16" s="241">
        <v>1650578.5521531804</v>
      </c>
      <c r="I16" s="241">
        <v>1705144</v>
      </c>
      <c r="J16" s="241">
        <v>1820300.8170399999</v>
      </c>
      <c r="K16" s="241">
        <v>2029889.31148744</v>
      </c>
      <c r="L16" s="241">
        <v>974559.24128927989</v>
      </c>
      <c r="M16" s="241">
        <v>1055334.9009741601</v>
      </c>
      <c r="N16" s="241">
        <v>2149528.9970092401</v>
      </c>
      <c r="O16" s="241">
        <v>1040454.8052433999</v>
      </c>
      <c r="P16" s="241">
        <v>1109073.1917658399</v>
      </c>
    </row>
    <row r="17" spans="1:16" s="4" customFormat="1" ht="15" customHeight="1">
      <c r="A17" s="17"/>
      <c r="B17" s="580" t="s">
        <v>1134</v>
      </c>
      <c r="C17" s="751">
        <f>'4.6_генерация (свод)'!C17+'4.6_транзит+сбыт (свод)'!C17</f>
        <v>80427</v>
      </c>
      <c r="D17" s="751">
        <f>'4.6_генерация (свод)'!D17+'4.6_транзит+сбыт (свод)'!D17</f>
        <v>100850</v>
      </c>
      <c r="E17" s="751">
        <v>0</v>
      </c>
      <c r="F17" s="751">
        <v>112239</v>
      </c>
      <c r="G17" s="751">
        <v>128389.24072098013</v>
      </c>
      <c r="H17" s="751">
        <v>120571</v>
      </c>
      <c r="I17" s="751">
        <v>128349</v>
      </c>
      <c r="J17" s="751">
        <v>132875</v>
      </c>
      <c r="K17" s="751">
        <v>154723</v>
      </c>
      <c r="L17" s="751">
        <v>73928</v>
      </c>
      <c r="M17" s="751">
        <v>80795</v>
      </c>
      <c r="N17" s="751">
        <v>163758</v>
      </c>
      <c r="O17" s="751">
        <v>77044</v>
      </c>
      <c r="P17" s="751">
        <v>86714</v>
      </c>
    </row>
    <row r="18" spans="1:16" s="4" customFormat="1" ht="15" customHeight="1">
      <c r="A18" s="17"/>
      <c r="B18" s="581" t="s">
        <v>1137</v>
      </c>
      <c r="C18" s="241">
        <f>'4.6_генерация (свод)'!C18+'4.6_транзит+сбыт (свод)'!C18</f>
        <v>17042</v>
      </c>
      <c r="D18" s="241">
        <f>'4.6_генерация (свод)'!D18+'4.6_транзит+сбыт (свод)'!D18</f>
        <v>23199</v>
      </c>
      <c r="E18" s="241">
        <v>21686</v>
      </c>
      <c r="F18" s="241">
        <v>27220</v>
      </c>
      <c r="G18" s="241">
        <v>25237.373771495004</v>
      </c>
      <c r="H18" s="241">
        <v>31035</v>
      </c>
      <c r="I18" s="241">
        <v>27312</v>
      </c>
      <c r="J18" s="241">
        <v>36217</v>
      </c>
      <c r="K18" s="241">
        <v>45142</v>
      </c>
      <c r="L18" s="241">
        <v>22572</v>
      </c>
      <c r="M18" s="241">
        <v>22572</v>
      </c>
      <c r="N18" s="241">
        <v>47175</v>
      </c>
      <c r="O18" s="241">
        <v>23588</v>
      </c>
      <c r="P18" s="241">
        <v>23588</v>
      </c>
    </row>
    <row r="19" spans="1:16" s="4" customFormat="1" ht="15" customHeight="1">
      <c r="A19" s="17"/>
      <c r="B19" s="581" t="s">
        <v>1138</v>
      </c>
      <c r="C19" s="241">
        <f>'4.6_генерация (свод)'!C19+'4.6_транзит+сбыт (свод)'!C19</f>
        <v>0</v>
      </c>
      <c r="D19" s="241">
        <f>'4.6_генерация (свод)'!D19+'4.6_транзит+сбыт (свод)'!D19</f>
        <v>9289</v>
      </c>
      <c r="E19" s="241">
        <v>0</v>
      </c>
      <c r="F19" s="241">
        <v>8910</v>
      </c>
      <c r="G19" s="241">
        <v>0</v>
      </c>
      <c r="H19" s="241">
        <v>9925</v>
      </c>
      <c r="I19" s="241">
        <v>0</v>
      </c>
      <c r="J19" s="241">
        <v>9848</v>
      </c>
      <c r="K19" s="241">
        <v>7878</v>
      </c>
      <c r="L19" s="241">
        <v>3939</v>
      </c>
      <c r="M19" s="241">
        <v>3939</v>
      </c>
      <c r="N19" s="241">
        <v>8343</v>
      </c>
      <c r="O19" s="241">
        <v>4171.5</v>
      </c>
      <c r="P19" s="241">
        <v>4171.5</v>
      </c>
    </row>
    <row r="20" spans="1:16" s="1046" customFormat="1">
      <c r="A20" s="1044"/>
      <c r="B20" s="1045" t="s">
        <v>369</v>
      </c>
      <c r="C20" s="258">
        <f>'4.6_генерация (свод)'!C20+'4.6_транзит+сбыт (свод)'!C20+1</f>
        <v>336475</v>
      </c>
      <c r="D20" s="258">
        <f>'4.6_генерация (свод)'!D20+'4.6_транзит+сбыт (свод)'!D20</f>
        <v>355415</v>
      </c>
      <c r="E20" s="258">
        <v>381392</v>
      </c>
      <c r="F20" s="258">
        <v>415085</v>
      </c>
      <c r="G20" s="258">
        <v>458909.16569647024</v>
      </c>
      <c r="H20" s="258">
        <v>465611</v>
      </c>
      <c r="I20" s="258">
        <v>512636</v>
      </c>
      <c r="J20" s="258">
        <v>514885</v>
      </c>
      <c r="K20" s="258">
        <v>590496</v>
      </c>
      <c r="L20" s="258">
        <v>317029</v>
      </c>
      <c r="M20" s="258">
        <v>273467</v>
      </c>
      <c r="N20" s="258">
        <v>629505</v>
      </c>
      <c r="O20" s="258">
        <v>336019</v>
      </c>
      <c r="P20" s="258">
        <v>293486</v>
      </c>
    </row>
    <row r="21" spans="1:16" s="4" customFormat="1">
      <c r="A21" s="17"/>
      <c r="B21" s="580" t="s">
        <v>1134</v>
      </c>
      <c r="C21" s="751">
        <f>'4.6_генерация (свод)'!C21+'4.6_транзит+сбыт (свод)'!C21-1</f>
        <v>23443</v>
      </c>
      <c r="D21" s="751">
        <f>'4.6_генерация (свод)'!D21+'4.6_транзит+сбыт (свод)'!D21</f>
        <v>30207</v>
      </c>
      <c r="E21" s="751">
        <v>0</v>
      </c>
      <c r="F21" s="751">
        <v>34703</v>
      </c>
      <c r="G21" s="751">
        <v>38417.232900618576</v>
      </c>
      <c r="H21" s="751">
        <v>38130</v>
      </c>
      <c r="I21" s="751">
        <v>41287</v>
      </c>
      <c r="J21" s="751">
        <v>42036</v>
      </c>
      <c r="K21" s="751">
        <v>46726</v>
      </c>
      <c r="L21" s="751">
        <v>20630.564952728553</v>
      </c>
      <c r="M21" s="751">
        <v>26095.435047271447</v>
      </c>
      <c r="N21" s="751">
        <v>51344.370262182325</v>
      </c>
      <c r="O21" s="751">
        <v>21530.171366708251</v>
      </c>
      <c r="P21" s="751">
        <v>29814.198895474074</v>
      </c>
    </row>
    <row r="22" spans="1:16" s="1046" customFormat="1" ht="30" customHeight="1">
      <c r="A22" s="1044"/>
      <c r="B22" s="1045" t="s">
        <v>370</v>
      </c>
      <c r="C22" s="258">
        <f>'4.6_генерация (свод)'!C22+'4.6_транзит+сбыт (свод)'!C22</f>
        <v>114809</v>
      </c>
      <c r="D22" s="258">
        <f>'4.6_генерация (свод)'!D22+'4.6_транзит+сбыт (свод)'!D22</f>
        <v>105808</v>
      </c>
      <c r="E22" s="258">
        <v>100871</v>
      </c>
      <c r="F22" s="258">
        <v>90452</v>
      </c>
      <c r="G22" s="258">
        <v>181593.67476899998</v>
      </c>
      <c r="H22" s="258">
        <v>171192</v>
      </c>
      <c r="I22" s="258">
        <v>157665</v>
      </c>
      <c r="J22" s="258">
        <v>217758</v>
      </c>
      <c r="K22" s="258">
        <v>279327</v>
      </c>
      <c r="L22" s="258">
        <v>100306.65</v>
      </c>
      <c r="M22" s="258">
        <v>179020.35</v>
      </c>
      <c r="N22" s="258">
        <v>288347.16252896399</v>
      </c>
      <c r="O22" s="258">
        <v>103500.0216466374</v>
      </c>
      <c r="P22" s="258">
        <v>184847.14088232658</v>
      </c>
    </row>
    <row r="23" spans="1:16" s="1046" customFormat="1" ht="45">
      <c r="A23" s="1044"/>
      <c r="B23" s="1045" t="s">
        <v>1139</v>
      </c>
      <c r="C23" s="258">
        <f>'4.6_генерация (свод)'!C23+'4.6_транзит+сбыт (свод)'!C23</f>
        <v>109051</v>
      </c>
      <c r="D23" s="258">
        <f>'4.6_генерация (свод)'!D23+'4.6_транзит+сбыт (свод)'!D23</f>
        <v>99583</v>
      </c>
      <c r="E23" s="258">
        <v>113253</v>
      </c>
      <c r="F23" s="258">
        <v>96931</v>
      </c>
      <c r="G23" s="258">
        <v>108310</v>
      </c>
      <c r="H23" s="258">
        <v>96860</v>
      </c>
      <c r="I23" s="258">
        <v>100312</v>
      </c>
      <c r="J23" s="258">
        <v>112875</v>
      </c>
      <c r="K23" s="258">
        <v>126107</v>
      </c>
      <c r="L23" s="258">
        <v>76915</v>
      </c>
      <c r="M23" s="258">
        <v>49192</v>
      </c>
      <c r="N23" s="258">
        <v>133119</v>
      </c>
      <c r="O23" s="258">
        <v>81429</v>
      </c>
      <c r="P23" s="258">
        <v>51690</v>
      </c>
    </row>
    <row r="24" spans="1:16" s="1046" customFormat="1" ht="60">
      <c r="A24" s="1044"/>
      <c r="B24" s="1045" t="s">
        <v>372</v>
      </c>
      <c r="C24" s="258">
        <f>'4.6_генерация (свод)'!C24+'4.6_транзит+сбыт (свод)'!C24</f>
        <v>44506</v>
      </c>
      <c r="D24" s="258">
        <f>'4.6_генерация (свод)'!D24+'4.6_транзит+сбыт (свод)'!D24</f>
        <v>67268</v>
      </c>
      <c r="E24" s="258">
        <v>68174</v>
      </c>
      <c r="F24" s="258">
        <v>59318</v>
      </c>
      <c r="G24" s="258">
        <v>74119.055410680812</v>
      </c>
      <c r="H24" s="258">
        <v>57695</v>
      </c>
      <c r="I24" s="258">
        <v>94869</v>
      </c>
      <c r="J24" s="258">
        <v>94869</v>
      </c>
      <c r="K24" s="258">
        <v>100306.89108</v>
      </c>
      <c r="L24" s="258">
        <v>35107.411877999999</v>
      </c>
      <c r="M24" s="258">
        <v>65199.479202000002</v>
      </c>
      <c r="N24" s="258">
        <v>105162.74767718278</v>
      </c>
      <c r="O24" s="258">
        <v>36806.961687013973</v>
      </c>
      <c r="P24" s="258">
        <v>68355.785990168806</v>
      </c>
    </row>
    <row r="25" spans="1:16" s="1046" customFormat="1" ht="90">
      <c r="A25" s="1044"/>
      <c r="B25" s="1045" t="s">
        <v>373</v>
      </c>
      <c r="C25" s="258">
        <f>C27+C28+C29+C55</f>
        <v>79132</v>
      </c>
      <c r="D25" s="258">
        <f t="shared" ref="D25" si="1">D27+D28+D29+D55</f>
        <v>120030.48999999999</v>
      </c>
      <c r="E25" s="258">
        <v>73314</v>
      </c>
      <c r="F25" s="258">
        <v>140016.78273599999</v>
      </c>
      <c r="G25" s="258">
        <v>87736</v>
      </c>
      <c r="H25" s="258">
        <v>168453</v>
      </c>
      <c r="I25" s="258">
        <v>124489</v>
      </c>
      <c r="J25" s="258">
        <v>124489</v>
      </c>
      <c r="K25" s="258">
        <v>131625.76679999998</v>
      </c>
      <c r="L25" s="258">
        <v>65812.883399999992</v>
      </c>
      <c r="M25" s="258">
        <v>65812.883399999992</v>
      </c>
      <c r="N25" s="258">
        <v>137997.77017078799</v>
      </c>
      <c r="O25" s="258">
        <v>68998.885085393995</v>
      </c>
      <c r="P25" s="258">
        <v>68998.885085393995</v>
      </c>
    </row>
    <row r="26" spans="1:16" s="4" customFormat="1">
      <c r="A26" s="17"/>
      <c r="B26" s="51" t="s">
        <v>70</v>
      </c>
      <c r="C26" s="241"/>
      <c r="D26" s="241"/>
      <c r="E26" s="241"/>
      <c r="F26" s="241"/>
      <c r="G26" s="241"/>
      <c r="H26" s="241"/>
      <c r="I26" s="241"/>
      <c r="J26" s="241"/>
      <c r="K26" s="241"/>
      <c r="L26" s="241"/>
      <c r="M26" s="241"/>
      <c r="N26" s="241"/>
      <c r="O26" s="241"/>
      <c r="P26" s="241"/>
    </row>
    <row r="27" spans="1:16" s="4" customFormat="1">
      <c r="A27" s="17"/>
      <c r="B27" s="581" t="s">
        <v>1275</v>
      </c>
      <c r="C27" s="766">
        <f>'4.6_генерация (свод)'!C27+'4.6_транзит+сбыт (свод)'!C27</f>
        <v>587</v>
      </c>
      <c r="D27" s="766">
        <f>'4.6_генерация (свод)'!D27+'4.6_транзит+сбыт (свод)'!D27</f>
        <v>2522</v>
      </c>
      <c r="E27" s="766">
        <v>765</v>
      </c>
      <c r="F27" s="766">
        <v>2087</v>
      </c>
      <c r="G27" s="766">
        <v>0</v>
      </c>
      <c r="H27" s="766">
        <v>2007</v>
      </c>
      <c r="I27" s="766">
        <v>0</v>
      </c>
      <c r="J27" s="766">
        <v>0</v>
      </c>
      <c r="K27" s="766">
        <v>0</v>
      </c>
      <c r="L27" s="766">
        <v>0</v>
      </c>
      <c r="M27" s="766">
        <v>0</v>
      </c>
      <c r="N27" s="766">
        <v>0</v>
      </c>
      <c r="O27" s="766">
        <v>0</v>
      </c>
      <c r="P27" s="766">
        <v>0</v>
      </c>
    </row>
    <row r="28" spans="1:16" s="4" customFormat="1">
      <c r="A28" s="17"/>
      <c r="B28" s="581" t="s">
        <v>1276</v>
      </c>
      <c r="C28" s="766">
        <f>'4.6_генерация (свод)'!C28+'4.6_транзит+сбыт (свод)'!C28</f>
        <v>721</v>
      </c>
      <c r="D28" s="766">
        <f>'4.6_генерация (свод)'!D28+'4.6_транзит+сбыт (свод)'!D28</f>
        <v>1634</v>
      </c>
      <c r="E28" s="766">
        <v>1143</v>
      </c>
      <c r="F28" s="766">
        <v>2233</v>
      </c>
      <c r="G28" s="766">
        <v>863</v>
      </c>
      <c r="H28" s="766">
        <v>1174</v>
      </c>
      <c r="I28" s="766">
        <v>1078</v>
      </c>
      <c r="J28" s="766">
        <v>1078</v>
      </c>
      <c r="K28" s="766">
        <v>1140.8482800000002</v>
      </c>
      <c r="L28" s="766">
        <v>570.42414000000008</v>
      </c>
      <c r="M28" s="766">
        <v>570.42414000000008</v>
      </c>
      <c r="N28" s="766">
        <v>1196.0767452347998</v>
      </c>
      <c r="O28" s="766">
        <v>598.03837261739989</v>
      </c>
      <c r="P28" s="766">
        <v>598.03837261739989</v>
      </c>
    </row>
    <row r="29" spans="1:16" s="4" customFormat="1">
      <c r="A29" s="17"/>
      <c r="B29" s="581" t="s">
        <v>1559</v>
      </c>
      <c r="C29" s="241">
        <f>'4.6_генерация (свод)'!C29+'4.6_транзит+сбыт (свод)'!C29</f>
        <v>77824</v>
      </c>
      <c r="D29" s="308">
        <f>'4.6_генерация (свод)'!D29+'4.6_транзит+сбыт (свод)'!D29</f>
        <v>115874.48999999999</v>
      </c>
      <c r="E29" s="241">
        <v>71406</v>
      </c>
      <c r="F29" s="241">
        <v>135696.78273599999</v>
      </c>
      <c r="G29" s="241">
        <v>86873</v>
      </c>
      <c r="H29" s="241">
        <v>165272</v>
      </c>
      <c r="I29" s="241">
        <v>123411</v>
      </c>
      <c r="J29" s="241">
        <v>123411</v>
      </c>
      <c r="K29" s="241">
        <v>130484.91852000001</v>
      </c>
      <c r="L29" s="241">
        <v>65242.459260000003</v>
      </c>
      <c r="M29" s="241">
        <v>65242.459260000003</v>
      </c>
      <c r="N29" s="241">
        <v>136801.69342555318</v>
      </c>
      <c r="O29" s="241">
        <v>68400.846712776591</v>
      </c>
      <c r="P29" s="241">
        <v>68400.846712776591</v>
      </c>
    </row>
    <row r="30" spans="1:16" s="4" customFormat="1" hidden="1" outlineLevel="1">
      <c r="A30" s="737" t="s">
        <v>89</v>
      </c>
      <c r="B30" s="738" t="s">
        <v>1244</v>
      </c>
      <c r="C30" s="753">
        <f>'4.6_генерация (свод)'!C30+'4.6_транзит+сбыт (свод)'!C30</f>
        <v>0</v>
      </c>
      <c r="D30" s="753">
        <f>'4.6_генерация (свод)'!D30+'4.6_транзит+сбыт (свод)'!D30</f>
        <v>25143.489999999998</v>
      </c>
      <c r="E30" s="1242">
        <v>19614</v>
      </c>
      <c r="F30" s="753">
        <v>24188</v>
      </c>
      <c r="G30" s="753">
        <v>0</v>
      </c>
      <c r="H30" s="753">
        <v>25752</v>
      </c>
      <c r="I30" s="753">
        <v>38944</v>
      </c>
      <c r="J30" s="753">
        <v>38944</v>
      </c>
      <c r="K30" s="753">
        <v>41592.192000000003</v>
      </c>
      <c r="L30" s="753">
        <v>20796.096000000001</v>
      </c>
      <c r="M30" s="753">
        <v>20796.096000000001</v>
      </c>
      <c r="N30" s="753">
        <v>44046.131328000003</v>
      </c>
      <c r="O30" s="753">
        <v>22023.065664000002</v>
      </c>
      <c r="P30" s="753">
        <v>22023.065664000002</v>
      </c>
    </row>
    <row r="31" spans="1:16" s="341" customFormat="1" hidden="1" outlineLevel="1">
      <c r="A31" s="760" t="s">
        <v>91</v>
      </c>
      <c r="B31" s="761" t="s">
        <v>1245</v>
      </c>
      <c r="C31" s="746">
        <f t="shared" ref="C31:D31" si="2">SUM(C32:C43)+C45</f>
        <v>0</v>
      </c>
      <c r="D31" s="746">
        <f t="shared" si="2"/>
        <v>90731</v>
      </c>
      <c r="E31" s="746">
        <v>25429</v>
      </c>
      <c r="F31" s="746">
        <v>111508.78273600001</v>
      </c>
      <c r="G31" s="746">
        <v>0</v>
      </c>
      <c r="H31" s="746">
        <v>136010.81640000001</v>
      </c>
      <c r="I31" s="746">
        <v>45655</v>
      </c>
      <c r="J31" s="746">
        <v>45655</v>
      </c>
      <c r="K31" s="746">
        <v>0</v>
      </c>
      <c r="L31" s="746">
        <v>0</v>
      </c>
      <c r="M31" s="746">
        <v>0</v>
      </c>
      <c r="N31" s="746">
        <v>0</v>
      </c>
      <c r="O31" s="746">
        <v>0</v>
      </c>
      <c r="P31" s="746">
        <v>0</v>
      </c>
    </row>
    <row r="32" spans="1:16" s="4" customFormat="1" ht="25.5" hidden="1" outlineLevel="1">
      <c r="A32" s="739" t="s">
        <v>1044</v>
      </c>
      <c r="B32" s="740" t="s">
        <v>1247</v>
      </c>
      <c r="C32" s="753">
        <f>'4.6_генерация (свод)'!C32+'4.6_транзит+сбыт (свод)'!C32</f>
        <v>0</v>
      </c>
      <c r="D32" s="753">
        <f>'4.6_генерация (свод)'!D32+'4.6_транзит+сбыт (свод)'!D32</f>
        <v>6198</v>
      </c>
      <c r="E32" s="1242">
        <v>6669</v>
      </c>
      <c r="F32" s="753">
        <v>7233.0521700000008</v>
      </c>
      <c r="G32" s="753">
        <v>0</v>
      </c>
      <c r="H32" s="753">
        <v>6973</v>
      </c>
      <c r="I32" s="753">
        <v>6319</v>
      </c>
      <c r="J32" s="753">
        <v>6319</v>
      </c>
      <c r="K32" s="753">
        <v>0</v>
      </c>
      <c r="L32" s="753">
        <v>0</v>
      </c>
      <c r="M32" s="753">
        <v>0</v>
      </c>
      <c r="N32" s="753">
        <v>0</v>
      </c>
      <c r="O32" s="753">
        <v>0</v>
      </c>
      <c r="P32" s="753">
        <v>0</v>
      </c>
    </row>
    <row r="33" spans="1:16" s="4" customFormat="1" ht="25.5" hidden="1" outlineLevel="1">
      <c r="A33" s="739" t="s">
        <v>1043</v>
      </c>
      <c r="B33" s="740" t="s">
        <v>1249</v>
      </c>
      <c r="C33" s="753">
        <f>'4.6_генерация (свод)'!C33+'4.6_транзит+сбыт (свод)'!C33</f>
        <v>0</v>
      </c>
      <c r="D33" s="753">
        <f>'4.6_генерация (свод)'!D33+'4.6_транзит+сбыт (свод)'!D33</f>
        <v>57</v>
      </c>
      <c r="E33" s="753">
        <v>0</v>
      </c>
      <c r="F33" s="753">
        <v>4.0000280000000004</v>
      </c>
      <c r="G33" s="753">
        <v>0</v>
      </c>
      <c r="H33" s="753">
        <v>0</v>
      </c>
      <c r="I33" s="753">
        <v>0</v>
      </c>
      <c r="J33" s="753">
        <v>0</v>
      </c>
      <c r="K33" s="753">
        <v>0</v>
      </c>
      <c r="L33" s="753">
        <v>0</v>
      </c>
      <c r="M33" s="753">
        <v>0</v>
      </c>
      <c r="N33" s="753">
        <v>0</v>
      </c>
      <c r="O33" s="753">
        <v>0</v>
      </c>
      <c r="P33" s="753">
        <v>0</v>
      </c>
    </row>
    <row r="34" spans="1:16" s="4" customFormat="1" hidden="1" outlineLevel="1">
      <c r="A34" s="741" t="s">
        <v>1540</v>
      </c>
      <c r="B34" s="740" t="s">
        <v>1250</v>
      </c>
      <c r="C34" s="753">
        <f>'4.6_генерация (свод)'!C34+'4.6_транзит+сбыт (свод)'!C34</f>
        <v>0</v>
      </c>
      <c r="D34" s="753">
        <f>'4.6_генерация (свод)'!D34+'4.6_транзит+сбыт (свод)'!D34</f>
        <v>1218</v>
      </c>
      <c r="E34" s="753">
        <v>0</v>
      </c>
      <c r="F34" s="753">
        <v>1555.0104019999999</v>
      </c>
      <c r="G34" s="753">
        <v>0</v>
      </c>
      <c r="H34" s="753">
        <v>1906</v>
      </c>
      <c r="I34" s="753">
        <v>0</v>
      </c>
      <c r="J34" s="753">
        <v>0</v>
      </c>
      <c r="K34" s="753">
        <v>0</v>
      </c>
      <c r="L34" s="753">
        <v>0</v>
      </c>
      <c r="M34" s="753">
        <v>0</v>
      </c>
      <c r="N34" s="753">
        <v>0</v>
      </c>
      <c r="O34" s="753">
        <v>0</v>
      </c>
      <c r="P34" s="753">
        <v>0</v>
      </c>
    </row>
    <row r="35" spans="1:16" s="4" customFormat="1" ht="25.5" hidden="1" outlineLevel="1">
      <c r="A35" s="739" t="s">
        <v>1541</v>
      </c>
      <c r="B35" s="740" t="s">
        <v>1251</v>
      </c>
      <c r="C35" s="753">
        <f>'4.6_генерация (свод)'!C35+'4.6_транзит+сбыт (свод)'!C35</f>
        <v>0</v>
      </c>
      <c r="D35" s="753">
        <f>'4.6_генерация (свод)'!D35+'4.6_транзит+сбыт (свод)'!D35</f>
        <v>4564</v>
      </c>
      <c r="E35" s="1242">
        <v>2487</v>
      </c>
      <c r="F35" s="753">
        <v>5955.0434139999998</v>
      </c>
      <c r="G35" s="753">
        <v>0</v>
      </c>
      <c r="H35" s="753">
        <v>4605</v>
      </c>
      <c r="I35" s="753">
        <v>6331</v>
      </c>
      <c r="J35" s="753">
        <v>6331</v>
      </c>
      <c r="K35" s="753">
        <v>0</v>
      </c>
      <c r="L35" s="753">
        <v>0</v>
      </c>
      <c r="M35" s="753">
        <v>0</v>
      </c>
      <c r="N35" s="753">
        <v>0</v>
      </c>
      <c r="O35" s="753">
        <v>0</v>
      </c>
      <c r="P35" s="753">
        <v>0</v>
      </c>
    </row>
    <row r="36" spans="1:16" s="4" customFormat="1" hidden="1" outlineLevel="1">
      <c r="A36" s="739" t="s">
        <v>1542</v>
      </c>
      <c r="B36" s="740" t="s">
        <v>1252</v>
      </c>
      <c r="C36" s="753">
        <f>'4.6_генерация (свод)'!C36+'4.6_транзит+сбыт (свод)'!C36</f>
        <v>0</v>
      </c>
      <c r="D36" s="753">
        <f>'4.6_генерация (свод)'!D36+'4.6_транзит+сбыт (свод)'!D36</f>
        <v>19823</v>
      </c>
      <c r="E36" s="1242">
        <v>12358</v>
      </c>
      <c r="F36" s="753">
        <v>21494.169708000001</v>
      </c>
      <c r="G36" s="753">
        <v>0</v>
      </c>
      <c r="H36" s="753">
        <v>28698</v>
      </c>
      <c r="I36" s="753">
        <v>25687</v>
      </c>
      <c r="J36" s="753">
        <v>25687</v>
      </c>
      <c r="K36" s="753">
        <v>0</v>
      </c>
      <c r="L36" s="753">
        <v>0</v>
      </c>
      <c r="M36" s="753">
        <v>0</v>
      </c>
      <c r="N36" s="753">
        <v>0</v>
      </c>
      <c r="O36" s="753">
        <v>0</v>
      </c>
      <c r="P36" s="753">
        <v>0</v>
      </c>
    </row>
    <row r="37" spans="1:16" s="4" customFormat="1" hidden="1" outlineLevel="1">
      <c r="A37" s="739" t="s">
        <v>1543</v>
      </c>
      <c r="B37" s="740" t="s">
        <v>1253</v>
      </c>
      <c r="C37" s="753">
        <f>'4.6_генерация (свод)'!C37+'4.6_транзит+сбыт (свод)'!C37</f>
        <v>0</v>
      </c>
      <c r="D37" s="753">
        <f>'4.6_генерация (свод)'!D37+'4.6_транзит+сбыт (свод)'!D37</f>
        <v>12950</v>
      </c>
      <c r="E37" s="753">
        <v>0</v>
      </c>
      <c r="F37" s="753">
        <v>10083.060994000001</v>
      </c>
      <c r="G37" s="753">
        <v>0</v>
      </c>
      <c r="H37" s="753">
        <v>19505</v>
      </c>
      <c r="I37" s="753">
        <v>0</v>
      </c>
      <c r="J37" s="753">
        <v>0</v>
      </c>
      <c r="K37" s="753">
        <v>0</v>
      </c>
      <c r="L37" s="753">
        <v>0</v>
      </c>
      <c r="M37" s="753">
        <v>0</v>
      </c>
      <c r="N37" s="753">
        <v>0</v>
      </c>
      <c r="O37" s="753">
        <v>0</v>
      </c>
      <c r="P37" s="753">
        <v>0</v>
      </c>
    </row>
    <row r="38" spans="1:16" s="4" customFormat="1" hidden="1" outlineLevel="1">
      <c r="A38" s="739" t="s">
        <v>1544</v>
      </c>
      <c r="B38" s="742" t="s">
        <v>1254</v>
      </c>
      <c r="C38" s="753">
        <f>'4.6_генерация (свод)'!C38+'4.6_транзит+сбыт (свод)'!C38</f>
        <v>0</v>
      </c>
      <c r="D38" s="753">
        <f>'4.6_генерация (свод)'!D38+'4.6_транзит+сбыт (свод)'!D38</f>
        <v>2011</v>
      </c>
      <c r="E38" s="1242">
        <v>1199</v>
      </c>
      <c r="F38" s="753">
        <v>2890.0189799999998</v>
      </c>
      <c r="G38" s="753">
        <v>0</v>
      </c>
      <c r="H38" s="753">
        <v>2438</v>
      </c>
      <c r="I38" s="753">
        <v>0</v>
      </c>
      <c r="J38" s="753">
        <v>0</v>
      </c>
      <c r="K38" s="753">
        <v>0</v>
      </c>
      <c r="L38" s="753">
        <v>0</v>
      </c>
      <c r="M38" s="753">
        <v>0</v>
      </c>
      <c r="N38" s="753">
        <v>0</v>
      </c>
      <c r="O38" s="753">
        <v>0</v>
      </c>
      <c r="P38" s="753">
        <v>0</v>
      </c>
    </row>
    <row r="39" spans="1:16" s="4" customFormat="1" hidden="1" outlineLevel="1">
      <c r="A39" s="739" t="s">
        <v>1545</v>
      </c>
      <c r="B39" s="740" t="s">
        <v>1255</v>
      </c>
      <c r="C39" s="753">
        <f>'4.6_генерация (свод)'!C39+'4.6_транзит+сбыт (свод)'!C39</f>
        <v>0</v>
      </c>
      <c r="D39" s="753">
        <f>'4.6_генерация (свод)'!D39+'4.6_транзит+сбыт (свод)'!D39</f>
        <v>563</v>
      </c>
      <c r="E39" s="753">
        <v>0</v>
      </c>
      <c r="F39" s="753">
        <v>657.00511000000006</v>
      </c>
      <c r="G39" s="753">
        <v>0</v>
      </c>
      <c r="H39" s="753">
        <v>743</v>
      </c>
      <c r="I39" s="753">
        <v>0</v>
      </c>
      <c r="J39" s="753">
        <v>0</v>
      </c>
      <c r="K39" s="753">
        <v>0</v>
      </c>
      <c r="L39" s="753">
        <v>0</v>
      </c>
      <c r="M39" s="753">
        <v>0</v>
      </c>
      <c r="N39" s="753">
        <v>0</v>
      </c>
      <c r="O39" s="753">
        <v>0</v>
      </c>
      <c r="P39" s="753">
        <v>0</v>
      </c>
    </row>
    <row r="40" spans="1:16" s="4" customFormat="1" ht="25.5" hidden="1" outlineLevel="1">
      <c r="A40" s="739" t="s">
        <v>1546</v>
      </c>
      <c r="B40" s="742" t="s">
        <v>1256</v>
      </c>
      <c r="C40" s="753">
        <f>'4.6_генерация (свод)'!C40+'4.6_транзит+сбыт (свод)'!C40</f>
        <v>0</v>
      </c>
      <c r="D40" s="753">
        <f>'4.6_генерация (свод)'!D40+'4.6_транзит+сбыт (свод)'!D40</f>
        <v>1274</v>
      </c>
      <c r="E40" s="753">
        <v>0</v>
      </c>
      <c r="F40" s="753">
        <v>1704.0114319999998</v>
      </c>
      <c r="G40" s="753">
        <v>0</v>
      </c>
      <c r="H40" s="753">
        <v>810</v>
      </c>
      <c r="I40" s="753">
        <v>0</v>
      </c>
      <c r="J40" s="753">
        <v>0</v>
      </c>
      <c r="K40" s="753">
        <v>0</v>
      </c>
      <c r="L40" s="753">
        <v>0</v>
      </c>
      <c r="M40" s="753">
        <v>0</v>
      </c>
      <c r="N40" s="753">
        <v>0</v>
      </c>
      <c r="O40" s="753">
        <v>0</v>
      </c>
      <c r="P40" s="753">
        <v>0</v>
      </c>
    </row>
    <row r="41" spans="1:16" s="4" customFormat="1" hidden="1" outlineLevel="1">
      <c r="A41" s="739" t="s">
        <v>1547</v>
      </c>
      <c r="B41" s="742" t="s">
        <v>1257</v>
      </c>
      <c r="C41" s="753">
        <f>'4.6_генерация (свод)'!C41+'4.6_транзит+сбыт (свод)'!C41</f>
        <v>0</v>
      </c>
      <c r="D41" s="753">
        <f>'4.6_генерация (свод)'!D41+'4.6_транзит+сбыт (свод)'!D41</f>
        <v>34228</v>
      </c>
      <c r="E41" s="753">
        <v>0</v>
      </c>
      <c r="F41" s="753">
        <v>48944.334508000007</v>
      </c>
      <c r="G41" s="753">
        <v>0</v>
      </c>
      <c r="H41" s="753">
        <v>56810</v>
      </c>
      <c r="I41" s="753">
        <v>0</v>
      </c>
      <c r="J41" s="753">
        <v>0</v>
      </c>
      <c r="K41" s="753">
        <v>0</v>
      </c>
      <c r="L41" s="753">
        <v>0</v>
      </c>
      <c r="M41" s="753">
        <v>0</v>
      </c>
      <c r="N41" s="753">
        <v>0</v>
      </c>
      <c r="O41" s="753">
        <v>0</v>
      </c>
      <c r="P41" s="753">
        <v>0</v>
      </c>
    </row>
    <row r="42" spans="1:16" s="4" customFormat="1" hidden="1" outlineLevel="1">
      <c r="A42" s="741" t="s">
        <v>1548</v>
      </c>
      <c r="B42" s="742" t="s">
        <v>1556</v>
      </c>
      <c r="C42" s="753">
        <f>'4.6_генерация (свод)'!C42+'4.6_транзит+сбыт (свод)'!C42</f>
        <v>0</v>
      </c>
      <c r="D42" s="753">
        <f>'4.6_генерация (свод)'!D42+'4.6_транзит+сбыт (свод)'!D42</f>
        <v>700</v>
      </c>
      <c r="E42" s="1242">
        <v>2716</v>
      </c>
      <c r="F42" s="753">
        <v>2371.0194739999997</v>
      </c>
      <c r="G42" s="753">
        <v>0</v>
      </c>
      <c r="H42" s="753">
        <v>1305</v>
      </c>
      <c r="I42" s="753">
        <v>3923</v>
      </c>
      <c r="J42" s="753">
        <v>3923</v>
      </c>
      <c r="K42" s="753">
        <v>0</v>
      </c>
      <c r="L42" s="753">
        <v>0</v>
      </c>
      <c r="M42" s="753">
        <v>0</v>
      </c>
      <c r="N42" s="753">
        <v>0</v>
      </c>
      <c r="O42" s="753">
        <v>0</v>
      </c>
      <c r="P42" s="753">
        <v>0</v>
      </c>
    </row>
    <row r="43" spans="1:16" s="4" customFormat="1" hidden="1" outlineLevel="1">
      <c r="A43" s="741" t="s">
        <v>1549</v>
      </c>
      <c r="B43" s="742" t="s">
        <v>1258</v>
      </c>
      <c r="C43" s="753">
        <f>'4.6_генерация (свод)'!C43+'4.6_транзит+сбыт (свод)'!C43</f>
        <v>0</v>
      </c>
      <c r="D43" s="753">
        <f>'4.6_генерация (свод)'!D43+'4.6_транзит+сбыт (свод)'!D43</f>
        <v>2031</v>
      </c>
      <c r="E43" s="753">
        <v>0</v>
      </c>
      <c r="F43" s="753">
        <v>1574.0094840000002</v>
      </c>
      <c r="G43" s="753">
        <v>0</v>
      </c>
      <c r="H43" s="753">
        <v>2007.0000000000002</v>
      </c>
      <c r="I43" s="753">
        <v>3394</v>
      </c>
      <c r="J43" s="753">
        <v>3394</v>
      </c>
      <c r="K43" s="753">
        <v>0</v>
      </c>
      <c r="L43" s="753">
        <v>0</v>
      </c>
      <c r="M43" s="753">
        <v>0</v>
      </c>
      <c r="N43" s="753">
        <v>0</v>
      </c>
      <c r="O43" s="753">
        <v>0</v>
      </c>
      <c r="P43" s="753">
        <v>0</v>
      </c>
    </row>
    <row r="44" spans="1:16" s="4" customFormat="1" hidden="1" outlineLevel="1">
      <c r="A44" s="764" t="s">
        <v>1555</v>
      </c>
      <c r="B44" s="742" t="s">
        <v>1890</v>
      </c>
      <c r="C44" s="753">
        <f>'4.6_генерация (свод)'!C44+'4.6_транзит+сбыт (свод)'!C44</f>
        <v>0</v>
      </c>
      <c r="D44" s="753">
        <f>'4.6_генерация (свод)'!D44+'4.6_транзит+сбыт (свод)'!D44</f>
        <v>2031</v>
      </c>
      <c r="E44" s="753">
        <v>0</v>
      </c>
      <c r="F44" s="753">
        <v>0</v>
      </c>
      <c r="G44" s="753">
        <v>0</v>
      </c>
      <c r="H44" s="753">
        <v>0</v>
      </c>
      <c r="I44" s="753">
        <v>0</v>
      </c>
      <c r="J44" s="753">
        <v>0</v>
      </c>
      <c r="K44" s="753">
        <v>0</v>
      </c>
      <c r="L44" s="753">
        <v>0</v>
      </c>
      <c r="M44" s="753">
        <v>0</v>
      </c>
      <c r="N44" s="753">
        <v>0</v>
      </c>
      <c r="O44" s="753">
        <v>0</v>
      </c>
      <c r="P44" s="753">
        <v>0</v>
      </c>
    </row>
    <row r="45" spans="1:16" s="341" customFormat="1" hidden="1" outlineLevel="1">
      <c r="A45" s="764" t="s">
        <v>1889</v>
      </c>
      <c r="B45" s="765" t="s">
        <v>1259</v>
      </c>
      <c r="C45" s="746">
        <f>SUM(C46:C54)</f>
        <v>0</v>
      </c>
      <c r="D45" s="746">
        <f t="shared" ref="D45" si="3">SUM(D46:D54)</f>
        <v>5114</v>
      </c>
      <c r="E45" s="746">
        <v>0</v>
      </c>
      <c r="F45" s="746">
        <v>7044.0470320000004</v>
      </c>
      <c r="G45" s="746">
        <v>0</v>
      </c>
      <c r="H45" s="746">
        <v>10210.8164</v>
      </c>
      <c r="I45" s="746">
        <v>0</v>
      </c>
      <c r="J45" s="746">
        <v>0</v>
      </c>
      <c r="K45" s="746">
        <v>0</v>
      </c>
      <c r="L45" s="746">
        <v>0</v>
      </c>
      <c r="M45" s="746">
        <v>0</v>
      </c>
      <c r="N45" s="746">
        <v>0</v>
      </c>
      <c r="O45" s="746">
        <v>0</v>
      </c>
      <c r="P45" s="746">
        <v>0</v>
      </c>
    </row>
    <row r="46" spans="1:16" s="4" customFormat="1" hidden="1" outlineLevel="1">
      <c r="A46" s="744"/>
      <c r="B46" s="745" t="s">
        <v>1260</v>
      </c>
      <c r="C46" s="753">
        <f>'4.6_генерация (свод)'!C46+'4.6_транзит+сбыт (свод)'!C46</f>
        <v>0</v>
      </c>
      <c r="D46" s="753">
        <f>'4.6_генерация (свод)'!D46+'4.6_транзит+сбыт (свод)'!D46</f>
        <v>709</v>
      </c>
      <c r="E46" s="753">
        <v>0</v>
      </c>
      <c r="F46" s="753">
        <v>783.00568999999996</v>
      </c>
      <c r="G46" s="753">
        <v>0</v>
      </c>
      <c r="H46" s="753">
        <v>536</v>
      </c>
      <c r="I46" s="753">
        <v>0</v>
      </c>
      <c r="J46" s="753">
        <v>0</v>
      </c>
      <c r="K46" s="753">
        <v>0</v>
      </c>
      <c r="L46" s="753">
        <v>0</v>
      </c>
      <c r="M46" s="753">
        <v>0</v>
      </c>
      <c r="N46" s="753">
        <v>0</v>
      </c>
      <c r="O46" s="753">
        <v>0</v>
      </c>
      <c r="P46" s="753">
        <v>0</v>
      </c>
    </row>
    <row r="47" spans="1:16" s="4" customFormat="1" hidden="1" outlineLevel="1">
      <c r="A47" s="744"/>
      <c r="B47" s="743" t="s">
        <v>1261</v>
      </c>
      <c r="C47" s="753">
        <f>'4.6_генерация (свод)'!C47+'4.6_транзит+сбыт (свод)'!C47</f>
        <v>0</v>
      </c>
      <c r="D47" s="753">
        <f>'4.6_генерация (свод)'!D47+'4.6_транзит+сбыт (свод)'!D47</f>
        <v>634</v>
      </c>
      <c r="E47" s="753">
        <v>0</v>
      </c>
      <c r="F47" s="753">
        <v>906.00543600000003</v>
      </c>
      <c r="G47" s="753">
        <v>0</v>
      </c>
      <c r="H47" s="753">
        <v>768</v>
      </c>
      <c r="I47" s="753">
        <v>0</v>
      </c>
      <c r="J47" s="753">
        <v>0</v>
      </c>
      <c r="K47" s="753">
        <v>0</v>
      </c>
      <c r="L47" s="753">
        <v>0</v>
      </c>
      <c r="M47" s="753">
        <v>0</v>
      </c>
      <c r="N47" s="753">
        <v>0</v>
      </c>
      <c r="O47" s="753">
        <v>0</v>
      </c>
      <c r="P47" s="753">
        <v>0</v>
      </c>
    </row>
    <row r="48" spans="1:16" s="4" customFormat="1" hidden="1" outlineLevel="1">
      <c r="A48" s="744"/>
      <c r="B48" s="743" t="s">
        <v>1262</v>
      </c>
      <c r="C48" s="753">
        <f>'4.6_генерация (свод)'!C48+'4.6_транзит+сбыт (свод)'!C48</f>
        <v>0</v>
      </c>
      <c r="D48" s="753">
        <f>'4.6_генерация (свод)'!D48+'4.6_транзит+сбыт (свод)'!D48</f>
        <v>1236</v>
      </c>
      <c r="E48" s="753">
        <v>0</v>
      </c>
      <c r="F48" s="753">
        <v>1756.013152</v>
      </c>
      <c r="G48" s="753">
        <v>0</v>
      </c>
      <c r="H48" s="753">
        <v>1705</v>
      </c>
      <c r="I48" s="753">
        <v>0</v>
      </c>
      <c r="J48" s="753">
        <v>0</v>
      </c>
      <c r="K48" s="753">
        <v>0</v>
      </c>
      <c r="L48" s="753">
        <v>0</v>
      </c>
      <c r="M48" s="753">
        <v>0</v>
      </c>
      <c r="N48" s="753">
        <v>0</v>
      </c>
      <c r="O48" s="753">
        <v>0</v>
      </c>
      <c r="P48" s="753">
        <v>0</v>
      </c>
    </row>
    <row r="49" spans="1:16" s="4" customFormat="1" hidden="1" outlineLevel="1">
      <c r="A49" s="744"/>
      <c r="B49" s="743" t="s">
        <v>1263</v>
      </c>
      <c r="C49" s="753">
        <f>'4.6_генерация (свод)'!C49+'4.6_транзит+сбыт (свод)'!C49</f>
        <v>0</v>
      </c>
      <c r="D49" s="753">
        <f>'4.6_генерация (свод)'!D49+'4.6_транзит+сбыт (свод)'!D49</f>
        <v>1460</v>
      </c>
      <c r="E49" s="753">
        <v>0</v>
      </c>
      <c r="F49" s="753">
        <v>1139.0077099999999</v>
      </c>
      <c r="G49" s="753">
        <v>0</v>
      </c>
      <c r="H49" s="753">
        <v>337.00000000000006</v>
      </c>
      <c r="I49" s="753">
        <v>0</v>
      </c>
      <c r="J49" s="753">
        <v>0</v>
      </c>
      <c r="K49" s="753">
        <v>0</v>
      </c>
      <c r="L49" s="753">
        <v>0</v>
      </c>
      <c r="M49" s="753">
        <v>0</v>
      </c>
      <c r="N49" s="753">
        <v>0</v>
      </c>
      <c r="O49" s="753">
        <v>0</v>
      </c>
      <c r="P49" s="753">
        <v>0</v>
      </c>
    </row>
    <row r="50" spans="1:16" s="4" customFormat="1" ht="25.5" hidden="1" outlineLevel="1">
      <c r="A50" s="744"/>
      <c r="B50" s="743" t="s">
        <v>1891</v>
      </c>
      <c r="C50" s="753">
        <f>'4.6_генерация (свод)'!C50+'4.6_транзит+сбыт (свод)'!C50</f>
        <v>0</v>
      </c>
      <c r="D50" s="753">
        <f>'4.6_генерация (свод)'!D50+'4.6_транзит+сбыт (свод)'!D50</f>
        <v>1075</v>
      </c>
      <c r="E50" s="753">
        <v>0</v>
      </c>
      <c r="F50" s="753">
        <v>2460.0150440000002</v>
      </c>
      <c r="G50" s="753">
        <v>0</v>
      </c>
      <c r="H50" s="753">
        <v>4884</v>
      </c>
      <c r="I50" s="753">
        <v>0</v>
      </c>
      <c r="J50" s="753">
        <v>0</v>
      </c>
      <c r="K50" s="753">
        <v>0</v>
      </c>
      <c r="L50" s="753">
        <v>0</v>
      </c>
      <c r="M50" s="753">
        <v>0</v>
      </c>
      <c r="N50" s="753">
        <v>0</v>
      </c>
      <c r="O50" s="753">
        <v>0</v>
      </c>
      <c r="P50" s="753">
        <v>0</v>
      </c>
    </row>
    <row r="51" spans="1:16" s="4" customFormat="1" ht="25.5" hidden="1" outlineLevel="1">
      <c r="A51" s="744"/>
      <c r="B51" s="743" t="s">
        <v>1264</v>
      </c>
      <c r="C51" s="753">
        <f>'4.6_генерация (свод)'!C51+'4.6_транзит+сбыт (свод)'!C51</f>
        <v>0</v>
      </c>
      <c r="D51" s="753">
        <f>'4.6_генерация (свод)'!D51+'4.6_транзит+сбыт (свод)'!D51</f>
        <v>0</v>
      </c>
      <c r="E51" s="753">
        <v>0</v>
      </c>
      <c r="F51" s="753">
        <v>0</v>
      </c>
      <c r="G51" s="753">
        <v>0</v>
      </c>
      <c r="H51" s="753">
        <v>0</v>
      </c>
      <c r="I51" s="753">
        <v>0</v>
      </c>
      <c r="J51" s="753">
        <v>0</v>
      </c>
      <c r="K51" s="753">
        <v>0</v>
      </c>
      <c r="L51" s="753">
        <v>0</v>
      </c>
      <c r="M51" s="753">
        <v>0</v>
      </c>
      <c r="N51" s="753">
        <v>0</v>
      </c>
      <c r="O51" s="753">
        <v>0</v>
      </c>
      <c r="P51" s="753">
        <v>0</v>
      </c>
    </row>
    <row r="52" spans="1:16" s="4" customFormat="1" hidden="1" outlineLevel="1">
      <c r="A52" s="744"/>
      <c r="B52" s="1391" t="s">
        <v>1883</v>
      </c>
      <c r="C52" s="753">
        <f>'4.6_генерация (свод)'!C52+'4.6_транзит+сбыт (свод)'!C52</f>
        <v>0</v>
      </c>
      <c r="D52" s="753">
        <f>'4.6_генерация (свод)'!D52+'4.6_транзит+сбыт (свод)'!D52</f>
        <v>0</v>
      </c>
      <c r="E52" s="753">
        <v>0</v>
      </c>
      <c r="F52" s="753">
        <v>0</v>
      </c>
      <c r="G52" s="753">
        <v>0</v>
      </c>
      <c r="H52" s="753">
        <v>520</v>
      </c>
      <c r="I52" s="753">
        <v>0</v>
      </c>
      <c r="J52" s="753">
        <v>0</v>
      </c>
      <c r="K52" s="753">
        <v>0</v>
      </c>
      <c r="L52" s="753">
        <v>0</v>
      </c>
      <c r="M52" s="753">
        <v>0</v>
      </c>
      <c r="N52" s="753">
        <v>0</v>
      </c>
      <c r="O52" s="753">
        <v>0</v>
      </c>
      <c r="P52" s="753">
        <v>0</v>
      </c>
    </row>
    <row r="53" spans="1:16" s="341" customFormat="1" hidden="1" outlineLevel="1">
      <c r="A53" s="1090"/>
      <c r="B53" s="743" t="s">
        <v>1884</v>
      </c>
      <c r="C53" s="750">
        <f>'4.6_генерация (свод)'!C53+'4.6_транзит+сбыт (свод)'!C53</f>
        <v>0</v>
      </c>
      <c r="D53" s="750">
        <f>'4.6_генерация (свод)'!D53+'4.6_транзит+сбыт (свод)'!D53</f>
        <v>0</v>
      </c>
      <c r="E53" s="750">
        <v>0</v>
      </c>
      <c r="F53" s="750">
        <v>0</v>
      </c>
      <c r="G53" s="750">
        <v>0</v>
      </c>
      <c r="H53" s="750">
        <v>1460.8164000000002</v>
      </c>
      <c r="I53" s="753">
        <v>0</v>
      </c>
      <c r="J53" s="753">
        <v>0</v>
      </c>
      <c r="K53" s="750">
        <v>0</v>
      </c>
      <c r="L53" s="750">
        <v>0</v>
      </c>
      <c r="M53" s="750">
        <v>0</v>
      </c>
      <c r="N53" s="750">
        <v>0</v>
      </c>
      <c r="O53" s="750">
        <v>0</v>
      </c>
      <c r="P53" s="750">
        <v>0</v>
      </c>
    </row>
    <row r="54" spans="1:16" s="4" customFormat="1" ht="25.5" hidden="1" outlineLevel="1">
      <c r="A54" s="17"/>
      <c r="B54" s="743" t="s">
        <v>1885</v>
      </c>
      <c r="C54" s="241">
        <f>'4.6_генерация (свод)'!C54+'4.6_транзит+сбыт (свод)'!C54</f>
        <v>0</v>
      </c>
      <c r="D54" s="241">
        <f>'4.6_генерация (свод)'!D54+'4.6_транзит+сбыт (свод)'!D54</f>
        <v>0</v>
      </c>
      <c r="E54" s="241">
        <v>0</v>
      </c>
      <c r="F54" s="241">
        <v>0</v>
      </c>
      <c r="G54" s="241">
        <v>0</v>
      </c>
      <c r="H54" s="241">
        <v>0</v>
      </c>
      <c r="I54" s="753">
        <v>0</v>
      </c>
      <c r="J54" s="753">
        <v>0</v>
      </c>
      <c r="K54" s="241">
        <v>0</v>
      </c>
      <c r="L54" s="241">
        <v>0</v>
      </c>
      <c r="M54" s="241">
        <v>0</v>
      </c>
      <c r="N54" s="241">
        <v>0</v>
      </c>
      <c r="O54" s="241">
        <v>0</v>
      </c>
      <c r="P54" s="241">
        <v>0</v>
      </c>
    </row>
    <row r="55" spans="1:16" s="341" customFormat="1" ht="25.5" hidden="1" outlineLevel="1">
      <c r="A55" s="339"/>
      <c r="B55" s="743" t="s">
        <v>1886</v>
      </c>
      <c r="C55" s="308">
        <f>'4.6_генерация (свод)'!C55+'4.6_транзит+сбыт (свод)'!C55</f>
        <v>0</v>
      </c>
      <c r="D55" s="308">
        <f>'4.6_генерация (свод)'!D55+'4.6_транзит+сбыт (свод)'!D55</f>
        <v>0</v>
      </c>
      <c r="E55" s="308">
        <v>0</v>
      </c>
      <c r="F55" s="308">
        <v>0</v>
      </c>
      <c r="G55" s="308">
        <v>0</v>
      </c>
      <c r="H55" s="308">
        <v>0</v>
      </c>
      <c r="I55" s="753">
        <v>0</v>
      </c>
      <c r="J55" s="753">
        <v>0</v>
      </c>
      <c r="K55" s="308">
        <v>0</v>
      </c>
      <c r="L55" s="308">
        <v>0</v>
      </c>
      <c r="M55" s="308">
        <v>0</v>
      </c>
      <c r="N55" s="308">
        <v>0</v>
      </c>
      <c r="O55" s="308">
        <v>0</v>
      </c>
      <c r="P55" s="308">
        <v>0</v>
      </c>
    </row>
    <row r="56" spans="1:16" s="1046" customFormat="1" ht="75" collapsed="1">
      <c r="A56" s="1044"/>
      <c r="B56" s="1045" t="s">
        <v>374</v>
      </c>
      <c r="C56" s="258">
        <f>'4.6_генерация (свод)'!C56+'4.6_транзит+сбыт (свод)'!C56</f>
        <v>1409</v>
      </c>
      <c r="D56" s="258">
        <f>'4.6_генерация (свод)'!D56+'4.6_транзит+сбыт (свод)'!D56</f>
        <v>4455</v>
      </c>
      <c r="E56" s="258">
        <v>811</v>
      </c>
      <c r="F56" s="258">
        <v>3688</v>
      </c>
      <c r="G56" s="258">
        <v>353</v>
      </c>
      <c r="H56" s="258">
        <v>1760</v>
      </c>
      <c r="I56" s="258">
        <v>367</v>
      </c>
      <c r="J56" s="258">
        <v>2127</v>
      </c>
      <c r="K56" s="258">
        <v>719.9</v>
      </c>
      <c r="L56" s="258">
        <v>359.95</v>
      </c>
      <c r="M56" s="258">
        <v>359.95</v>
      </c>
      <c r="N56" s="1443">
        <v>719.9</v>
      </c>
      <c r="O56" s="1443">
        <v>359.95</v>
      </c>
      <c r="P56" s="1443">
        <v>359.95</v>
      </c>
    </row>
    <row r="57" spans="1:16" s="1046" customFormat="1" ht="30">
      <c r="A57" s="1044"/>
      <c r="B57" s="1045" t="s">
        <v>375</v>
      </c>
      <c r="C57" s="258">
        <f>'4.6_генерация (свод)'!C57+'4.6_транзит+сбыт (свод)'!C57</f>
        <v>211050</v>
      </c>
      <c r="D57" s="258">
        <f>'4.6_генерация (свод)'!D57+'4.6_транзит+сбыт (свод)'!D57</f>
        <v>192501</v>
      </c>
      <c r="E57" s="258">
        <v>212000</v>
      </c>
      <c r="F57" s="258">
        <v>213740</v>
      </c>
      <c r="G57" s="258">
        <v>185045</v>
      </c>
      <c r="H57" s="258">
        <v>189772</v>
      </c>
      <c r="I57" s="258">
        <v>163406</v>
      </c>
      <c r="J57" s="258">
        <v>204697</v>
      </c>
      <c r="K57" s="258">
        <v>209444</v>
      </c>
      <c r="L57" s="258">
        <v>104722</v>
      </c>
      <c r="M57" s="258">
        <v>104722</v>
      </c>
      <c r="N57" s="258">
        <v>221803</v>
      </c>
      <c r="O57" s="258">
        <v>110901.5</v>
      </c>
      <c r="P57" s="258">
        <v>110901.5</v>
      </c>
    </row>
    <row r="58" spans="1:16" s="1046" customFormat="1" ht="15" customHeight="1">
      <c r="A58" s="1044"/>
      <c r="B58" s="1045" t="s">
        <v>376</v>
      </c>
      <c r="C58" s="258">
        <f>'4.6_генерация (свод)'!C58+'4.6_транзит+сбыт (свод)'!C58</f>
        <v>4121</v>
      </c>
      <c r="D58" s="258">
        <f>'4.6_генерация (свод)'!D58+'4.6_транзит+сбыт (свод)'!D58</f>
        <v>5046</v>
      </c>
      <c r="E58" s="258">
        <v>5505</v>
      </c>
      <c r="F58" s="258">
        <v>6568</v>
      </c>
      <c r="G58" s="258">
        <v>5701</v>
      </c>
      <c r="H58" s="258">
        <v>5108</v>
      </c>
      <c r="I58" s="258">
        <v>5458</v>
      </c>
      <c r="J58" s="258">
        <v>5458</v>
      </c>
      <c r="K58" s="258">
        <v>5770.8525599999994</v>
      </c>
      <c r="L58" s="258">
        <v>2885.4262799999997</v>
      </c>
      <c r="M58" s="258">
        <v>2885.4262799999997</v>
      </c>
      <c r="N58" s="258">
        <v>6050.219532429599</v>
      </c>
      <c r="O58" s="258">
        <v>3025.1097662147995</v>
      </c>
      <c r="P58" s="258">
        <v>3025.1097662147995</v>
      </c>
    </row>
    <row r="59" spans="1:16" s="1046" customFormat="1" ht="15" customHeight="1">
      <c r="A59" s="1044"/>
      <c r="B59" s="1045" t="s">
        <v>377</v>
      </c>
      <c r="C59" s="258">
        <f>'4.6_генерация (свод)'!C59+'4.6_транзит+сбыт (свод)'!C59</f>
        <v>2179</v>
      </c>
      <c r="D59" s="258">
        <f>'4.6_генерация (свод)'!D59+'4.6_транзит+сбыт (свод)'!D59</f>
        <v>1935</v>
      </c>
      <c r="E59" s="258">
        <v>1275</v>
      </c>
      <c r="F59" s="258">
        <v>2545</v>
      </c>
      <c r="G59" s="258">
        <v>2065</v>
      </c>
      <c r="H59" s="258">
        <v>2082</v>
      </c>
      <c r="I59" s="258">
        <v>2623</v>
      </c>
      <c r="J59" s="258">
        <v>2623</v>
      </c>
      <c r="K59" s="258">
        <v>2773.3503599999999</v>
      </c>
      <c r="L59" s="258">
        <v>1386.67518</v>
      </c>
      <c r="M59" s="258">
        <v>1386.67518</v>
      </c>
      <c r="N59" s="258">
        <v>2907.6082509275993</v>
      </c>
      <c r="O59" s="258">
        <v>1453.8041254637997</v>
      </c>
      <c r="P59" s="258">
        <v>1453.8041254637997</v>
      </c>
    </row>
    <row r="60" spans="1:16" s="1046" customFormat="1" ht="45" customHeight="1">
      <c r="A60" s="1044"/>
      <c r="B60" s="1045" t="s">
        <v>378</v>
      </c>
      <c r="C60" s="258">
        <f>'4.6_генерация (свод)'!C60+'4.6_транзит+сбыт (свод)'!C60</f>
        <v>2299</v>
      </c>
      <c r="D60" s="258">
        <f>'4.6_генерация (свод)'!D60+'4.6_транзит+сбыт (свод)'!D60</f>
        <v>7330</v>
      </c>
      <c r="E60" s="258">
        <v>2198</v>
      </c>
      <c r="F60" s="258">
        <v>8746</v>
      </c>
      <c r="G60" s="258">
        <v>1711</v>
      </c>
      <c r="H60" s="258">
        <v>8969</v>
      </c>
      <c r="I60" s="258">
        <v>2283</v>
      </c>
      <c r="J60" s="258">
        <v>9918.5</v>
      </c>
      <c r="K60" s="258">
        <v>13181.8</v>
      </c>
      <c r="L60" s="258">
        <v>6590.9</v>
      </c>
      <c r="M60" s="258">
        <v>6590.9</v>
      </c>
      <c r="N60" s="258">
        <v>13961</v>
      </c>
      <c r="O60" s="258">
        <v>6980.5</v>
      </c>
      <c r="P60" s="258">
        <v>6980.5</v>
      </c>
    </row>
    <row r="61" spans="1:16" s="1046" customFormat="1" ht="30" customHeight="1">
      <c r="A61" s="1044"/>
      <c r="B61" s="1045" t="s">
        <v>379</v>
      </c>
      <c r="C61" s="258">
        <f>SUM(C62:C66)</f>
        <v>33706</v>
      </c>
      <c r="D61" s="258">
        <f t="shared" ref="D61" si="4">SUM(D62:D66)</f>
        <v>14694</v>
      </c>
      <c r="E61" s="258">
        <v>14571</v>
      </c>
      <c r="F61" s="258">
        <v>20309</v>
      </c>
      <c r="G61" s="258">
        <v>21622</v>
      </c>
      <c r="H61" s="258">
        <v>17658</v>
      </c>
      <c r="I61" s="258">
        <v>21542.618746466193</v>
      </c>
      <c r="J61" s="258">
        <v>24863</v>
      </c>
      <c r="K61" s="258">
        <v>26028</v>
      </c>
      <c r="L61" s="258">
        <v>14322.5</v>
      </c>
      <c r="M61" s="258">
        <v>11705.5</v>
      </c>
      <c r="N61" s="258">
        <v>29814</v>
      </c>
      <c r="O61" s="258">
        <v>15906.5</v>
      </c>
      <c r="P61" s="258">
        <v>13907.5</v>
      </c>
    </row>
    <row r="62" spans="1:16" s="4" customFormat="1" ht="15" customHeight="1">
      <c r="A62" s="17"/>
      <c r="B62" s="51" t="s">
        <v>380</v>
      </c>
      <c r="C62" s="241">
        <f>'4.6_генерация (свод)'!C62+'4.6_транзит+сбыт (свод)'!C62</f>
        <v>20664</v>
      </c>
      <c r="D62" s="241">
        <f>'4.6_генерация (свод)'!D62+'4.6_транзит+сбыт (свод)'!D62</f>
        <v>5239</v>
      </c>
      <c r="E62" s="241">
        <v>4467</v>
      </c>
      <c r="F62" s="241">
        <v>11554</v>
      </c>
      <c r="G62" s="241">
        <v>12021</v>
      </c>
      <c r="H62" s="241">
        <v>10636</v>
      </c>
      <c r="I62" s="241">
        <v>11743.845912247543</v>
      </c>
      <c r="J62" s="241">
        <v>13548</v>
      </c>
      <c r="K62" s="241">
        <v>15445</v>
      </c>
      <c r="L62" s="241">
        <v>9315</v>
      </c>
      <c r="M62" s="241">
        <v>6130</v>
      </c>
      <c r="N62" s="1443">
        <v>18043</v>
      </c>
      <c r="O62" s="1443">
        <v>10349</v>
      </c>
      <c r="P62" s="1443">
        <v>7694</v>
      </c>
    </row>
    <row r="63" spans="1:16" s="4" customFormat="1" ht="15" customHeight="1">
      <c r="A63" s="17"/>
      <c r="B63" s="51" t="s">
        <v>381</v>
      </c>
      <c r="C63" s="241">
        <f>'4.6_генерация (свод)'!C63+'4.6_транзит+сбыт (свод)'!C63</f>
        <v>9362</v>
      </c>
      <c r="D63" s="241">
        <f>'4.6_генерация (свод)'!D63+'4.6_транзит+сбыт (свод)'!D63</f>
        <v>5908</v>
      </c>
      <c r="E63" s="241">
        <v>3532</v>
      </c>
      <c r="F63" s="241">
        <v>5063</v>
      </c>
      <c r="G63" s="241">
        <v>5387</v>
      </c>
      <c r="H63" s="241">
        <v>2767</v>
      </c>
      <c r="I63" s="241">
        <v>5044.2514696906892</v>
      </c>
      <c r="J63" s="241">
        <v>3448</v>
      </c>
      <c r="K63" s="241">
        <v>3649</v>
      </c>
      <c r="L63" s="241">
        <v>1848.5</v>
      </c>
      <c r="M63" s="241">
        <v>1800.5</v>
      </c>
      <c r="N63" s="1443">
        <v>3825</v>
      </c>
      <c r="O63" s="1443">
        <v>1939.5</v>
      </c>
      <c r="P63" s="1443">
        <v>1885.5</v>
      </c>
    </row>
    <row r="64" spans="1:16" s="4" customFormat="1" ht="15" customHeight="1">
      <c r="A64" s="17"/>
      <c r="B64" s="51" t="s">
        <v>382</v>
      </c>
      <c r="C64" s="241">
        <f>'4.6_генерация (свод)'!C64+'4.6_транзит+сбыт (свод)'!C64</f>
        <v>75</v>
      </c>
      <c r="D64" s="241">
        <f>'4.6_генерация (свод)'!D64+'4.6_транзит+сбыт (свод)'!D64</f>
        <v>93</v>
      </c>
      <c r="E64" s="241">
        <v>98</v>
      </c>
      <c r="F64" s="241">
        <v>140</v>
      </c>
      <c r="G64" s="241">
        <v>133</v>
      </c>
      <c r="H64" s="241">
        <v>142</v>
      </c>
      <c r="I64" s="241">
        <v>280.32322706141701</v>
      </c>
      <c r="J64" s="241">
        <v>257</v>
      </c>
      <c r="K64" s="241">
        <v>262</v>
      </c>
      <c r="L64" s="241">
        <v>138</v>
      </c>
      <c r="M64" s="241">
        <v>124</v>
      </c>
      <c r="N64" s="1443">
        <v>267</v>
      </c>
      <c r="O64" s="1443">
        <v>142</v>
      </c>
      <c r="P64" s="1443">
        <v>125</v>
      </c>
    </row>
    <row r="65" spans="1:16" s="4" customFormat="1" ht="15" customHeight="1">
      <c r="A65" s="17"/>
      <c r="B65" s="51" t="s">
        <v>383</v>
      </c>
      <c r="C65" s="241">
        <f>'4.6_генерация (свод)'!C65+'4.6_транзит+сбыт (свод)'!C65</f>
        <v>3605</v>
      </c>
      <c r="D65" s="241">
        <f>'4.6_генерация (свод)'!D65+'4.6_транзит+сбыт (свод)'!D65</f>
        <v>3454</v>
      </c>
      <c r="E65" s="241">
        <v>3945</v>
      </c>
      <c r="F65" s="241">
        <v>3552</v>
      </c>
      <c r="G65" s="241">
        <v>4081</v>
      </c>
      <c r="H65" s="241">
        <v>4113</v>
      </c>
      <c r="I65" s="241">
        <v>4474.1981374665393</v>
      </c>
      <c r="J65" s="241">
        <v>7610</v>
      </c>
      <c r="K65" s="241">
        <v>6672</v>
      </c>
      <c r="L65" s="241">
        <v>3021</v>
      </c>
      <c r="M65" s="241">
        <v>3651</v>
      </c>
      <c r="N65" s="241">
        <v>7679</v>
      </c>
      <c r="O65" s="241">
        <v>3476</v>
      </c>
      <c r="P65" s="241">
        <v>4203</v>
      </c>
    </row>
    <row r="66" spans="1:16" s="4" customFormat="1" ht="15" customHeight="1">
      <c r="A66" s="17"/>
      <c r="B66" s="51" t="s">
        <v>384</v>
      </c>
      <c r="C66" s="241">
        <f>'4.6_генерация (свод)'!C66+'4.6_транзит+сбыт (свод)'!C66</f>
        <v>0</v>
      </c>
      <c r="D66" s="241">
        <f>'4.6_генерация (свод)'!D66+'4.6_транзит+сбыт (свод)'!D66</f>
        <v>0</v>
      </c>
      <c r="E66" s="241">
        <v>2529</v>
      </c>
      <c r="F66" s="241">
        <v>0</v>
      </c>
      <c r="G66" s="241">
        <v>0</v>
      </c>
      <c r="H66" s="241">
        <v>0</v>
      </c>
      <c r="I66" s="241">
        <v>0</v>
      </c>
      <c r="J66" s="241">
        <v>0</v>
      </c>
      <c r="K66" s="241">
        <v>0</v>
      </c>
      <c r="L66" s="241">
        <v>0</v>
      </c>
      <c r="M66" s="241">
        <v>0</v>
      </c>
      <c r="N66" s="241">
        <v>0</v>
      </c>
      <c r="O66" s="241">
        <v>0</v>
      </c>
      <c r="P66" s="241">
        <v>0</v>
      </c>
    </row>
    <row r="67" spans="1:16" s="1034" customFormat="1" ht="15" customHeight="1">
      <c r="A67" s="1030" t="s">
        <v>385</v>
      </c>
      <c r="B67" s="1031" t="s">
        <v>386</v>
      </c>
      <c r="C67" s="1032">
        <f>SUM(C68:C71)</f>
        <v>433310</v>
      </c>
      <c r="D67" s="1032">
        <f t="shared" ref="D67" si="5">SUM(D68:D71)</f>
        <v>1434895</v>
      </c>
      <c r="E67" s="1032">
        <v>211531</v>
      </c>
      <c r="F67" s="1032">
        <v>1415966.1</v>
      </c>
      <c r="G67" s="1032">
        <v>102857</v>
      </c>
      <c r="H67" s="1032">
        <v>1399127.915</v>
      </c>
      <c r="I67" s="1032">
        <v>331504.31975164911</v>
      </c>
      <c r="J67" s="1032">
        <v>323856.37540495145</v>
      </c>
      <c r="K67" s="1032">
        <v>281782.69785248814</v>
      </c>
      <c r="L67" s="1032">
        <v>124786.41015016726</v>
      </c>
      <c r="M67" s="1032">
        <v>156996.2877023209</v>
      </c>
      <c r="N67" s="1032">
        <v>260599.13098624218</v>
      </c>
      <c r="O67" s="1032">
        <v>157757.55587257477</v>
      </c>
      <c r="P67" s="1032">
        <v>102841.57511366741</v>
      </c>
    </row>
    <row r="68" spans="1:16" s="1046" customFormat="1" ht="30" customHeight="1">
      <c r="A68" s="1044"/>
      <c r="B68" s="1045" t="s">
        <v>387</v>
      </c>
      <c r="C68" s="258">
        <f>'4.6_генерация (свод)'!C68+'4.6_транзит+сбыт (свод)'!C68</f>
        <v>0</v>
      </c>
      <c r="D68" s="258">
        <f>'4.6_генерация (свод)'!D68+'4.6_транзит+сбыт (свод)'!D68</f>
        <v>0</v>
      </c>
      <c r="E68" s="258">
        <v>0</v>
      </c>
      <c r="F68" s="258">
        <v>0</v>
      </c>
      <c r="G68" s="258">
        <v>0</v>
      </c>
      <c r="H68" s="258">
        <v>0</v>
      </c>
      <c r="I68" s="258">
        <v>0</v>
      </c>
      <c r="J68" s="258">
        <v>0</v>
      </c>
      <c r="K68" s="258">
        <v>0</v>
      </c>
      <c r="L68" s="258">
        <v>0</v>
      </c>
      <c r="M68" s="258">
        <v>0</v>
      </c>
      <c r="N68" s="258">
        <v>0</v>
      </c>
      <c r="O68" s="258">
        <v>0</v>
      </c>
      <c r="P68" s="258">
        <v>0</v>
      </c>
    </row>
    <row r="69" spans="1:16" s="1046" customFormat="1" ht="15" customHeight="1">
      <c r="A69" s="1044"/>
      <c r="B69" s="1045" t="s">
        <v>388</v>
      </c>
      <c r="C69" s="258">
        <f>'4.6_генерация (свод)'!C69+'4.6_транзит+сбыт (свод)'!C69</f>
        <v>233149</v>
      </c>
      <c r="D69" s="258">
        <f>'4.6_генерация (свод)'!D69+'4.6_транзит+сбыт (свод)'!D69</f>
        <v>1183904</v>
      </c>
      <c r="E69" s="258">
        <v>73539</v>
      </c>
      <c r="F69" s="258">
        <v>984562</v>
      </c>
      <c r="G69" s="258">
        <v>91218</v>
      </c>
      <c r="H69" s="258">
        <v>1045989.444</v>
      </c>
      <c r="I69" s="258">
        <v>75748.187825006433</v>
      </c>
      <c r="J69" s="258">
        <v>77519.999999999985</v>
      </c>
      <c r="K69" s="258">
        <v>75549</v>
      </c>
      <c r="L69" s="258">
        <v>0</v>
      </c>
      <c r="M69" s="258">
        <v>75549</v>
      </c>
      <c r="N69" s="258">
        <v>0</v>
      </c>
      <c r="O69" s="258">
        <v>0</v>
      </c>
      <c r="P69" s="258">
        <v>0</v>
      </c>
    </row>
    <row r="70" spans="1:16" s="1046" customFormat="1" ht="45" customHeight="1">
      <c r="A70" s="1044"/>
      <c r="B70" s="1045" t="s">
        <v>389</v>
      </c>
      <c r="C70" s="258">
        <f>'4.6_генерация (свод)'!C70+'4.6_транзит+сбыт (свод)'!C70</f>
        <v>0</v>
      </c>
      <c r="D70" s="258">
        <f>'4.6_генерация (свод)'!D70+'4.6_транзит+сбыт (свод)'!D70</f>
        <v>0</v>
      </c>
      <c r="E70" s="258">
        <v>0</v>
      </c>
      <c r="F70" s="258">
        <v>231001</v>
      </c>
      <c r="G70" s="258">
        <v>7359</v>
      </c>
      <c r="H70" s="258">
        <v>224306.47099999999</v>
      </c>
      <c r="I70" s="258">
        <v>0</v>
      </c>
      <c r="J70" s="258">
        <v>0</v>
      </c>
      <c r="K70" s="258">
        <v>0</v>
      </c>
      <c r="L70" s="258">
        <v>0</v>
      </c>
      <c r="M70" s="258">
        <v>0</v>
      </c>
      <c r="N70" s="258">
        <v>0</v>
      </c>
      <c r="O70" s="258">
        <v>0</v>
      </c>
      <c r="P70" s="258">
        <v>0</v>
      </c>
    </row>
    <row r="71" spans="1:16" s="1046" customFormat="1" ht="15" customHeight="1">
      <c r="A71" s="1044"/>
      <c r="B71" s="1045" t="s">
        <v>390</v>
      </c>
      <c r="C71" s="258">
        <f>SUM(C72:C77)</f>
        <v>200161</v>
      </c>
      <c r="D71" s="258">
        <f t="shared" ref="D71" si="6">SUM(D72:D77)</f>
        <v>250991</v>
      </c>
      <c r="E71" s="258">
        <v>137992</v>
      </c>
      <c r="F71" s="258">
        <v>200403.1</v>
      </c>
      <c r="G71" s="258">
        <v>4280</v>
      </c>
      <c r="H71" s="258">
        <v>128832</v>
      </c>
      <c r="I71" s="258">
        <v>255756.13192664267</v>
      </c>
      <c r="J71" s="258">
        <v>246336.37540495148</v>
      </c>
      <c r="K71" s="258">
        <v>206233.69785248817</v>
      </c>
      <c r="L71" s="258">
        <v>124786.41015016726</v>
      </c>
      <c r="M71" s="258">
        <v>81447.287702320915</v>
      </c>
      <c r="N71" s="258">
        <v>260599.13098624218</v>
      </c>
      <c r="O71" s="258">
        <v>157757.55587257477</v>
      </c>
      <c r="P71" s="258">
        <v>102841.57511366741</v>
      </c>
    </row>
    <row r="72" spans="1:16" s="4" customFormat="1" ht="15" customHeight="1">
      <c r="A72" s="17"/>
      <c r="B72" s="51" t="s">
        <v>961</v>
      </c>
      <c r="C72" s="241">
        <f>'4.6_генерация (свод)'!C72+'4.6_транзит+сбыт (свод)'!C72</f>
        <v>2118</v>
      </c>
      <c r="D72" s="241">
        <f>'4.6_генерация (свод)'!D72+'4.6_транзит+сбыт (свод)'!D72</f>
        <v>2608</v>
      </c>
      <c r="E72" s="241">
        <v>2199</v>
      </c>
      <c r="F72" s="241">
        <v>1444</v>
      </c>
      <c r="G72" s="241">
        <v>2908</v>
      </c>
      <c r="H72" s="241">
        <v>1059</v>
      </c>
      <c r="I72" s="241">
        <v>1731.3726688654356</v>
      </c>
      <c r="J72" s="241">
        <v>1731</v>
      </c>
      <c r="K72" s="241">
        <v>1830.2209200000002</v>
      </c>
      <c r="L72" s="241">
        <v>915.1104600000001</v>
      </c>
      <c r="M72" s="241">
        <v>915.1104600000001</v>
      </c>
      <c r="N72" s="241">
        <v>1918.8219147371999</v>
      </c>
      <c r="O72" s="241">
        <v>959.41095736859995</v>
      </c>
      <c r="P72" s="241">
        <v>959.41095736859995</v>
      </c>
    </row>
    <row r="73" spans="1:16" s="4" customFormat="1" ht="15" customHeight="1">
      <c r="A73" s="17"/>
      <c r="B73" s="51" t="s">
        <v>962</v>
      </c>
      <c r="C73" s="241">
        <f>'4.6_генерация (свод)'!C73+'4.6_транзит+сбыт (свод)'!C73</f>
        <v>197795</v>
      </c>
      <c r="D73" s="241">
        <f>'4.6_генерация (свод)'!D73+'4.6_транзит+сбыт (свод)'!D73</f>
        <v>234314</v>
      </c>
      <c r="E73" s="241">
        <v>134510</v>
      </c>
      <c r="F73" s="241">
        <v>181160</v>
      </c>
      <c r="G73" s="241">
        <v>0</v>
      </c>
      <c r="H73" s="241">
        <v>105387</v>
      </c>
      <c r="I73" s="241">
        <v>252567.82282121902</v>
      </c>
      <c r="J73" s="241">
        <v>243148</v>
      </c>
      <c r="K73" s="241">
        <v>202847</v>
      </c>
      <c r="L73" s="241">
        <v>123093.06122392317</v>
      </c>
      <c r="M73" s="241">
        <v>79753.93877607683</v>
      </c>
      <c r="N73" s="241">
        <v>257032</v>
      </c>
      <c r="O73" s="241">
        <v>155973.99037945369</v>
      </c>
      <c r="P73" s="241">
        <v>101058.00962054632</v>
      </c>
    </row>
    <row r="74" spans="1:16" s="4" customFormat="1" ht="15" customHeight="1">
      <c r="A74" s="17"/>
      <c r="B74" s="51" t="s">
        <v>963</v>
      </c>
      <c r="C74" s="241">
        <f>'4.6_генерация (свод)'!C74+'4.6_транзит+сбыт (свод)'!C74</f>
        <v>248</v>
      </c>
      <c r="D74" s="241">
        <f>'4.6_генерация (свод)'!D74+'4.6_транзит+сбыт (свод)'!D74</f>
        <v>14069</v>
      </c>
      <c r="E74" s="241">
        <v>1283</v>
      </c>
      <c r="F74" s="241">
        <v>17799.100000000002</v>
      </c>
      <c r="G74" s="241">
        <v>1372</v>
      </c>
      <c r="H74" s="241">
        <v>22386</v>
      </c>
      <c r="I74" s="241">
        <v>1457.4364365582328</v>
      </c>
      <c r="J74" s="241">
        <v>1457.3754049514746</v>
      </c>
      <c r="K74" s="241">
        <v>1556.4769324881747</v>
      </c>
      <c r="L74" s="241">
        <v>778.23846624408736</v>
      </c>
      <c r="M74" s="241">
        <v>778.23846624408736</v>
      </c>
      <c r="N74" s="241">
        <v>1648.3090715049771</v>
      </c>
      <c r="O74" s="241">
        <v>824.15453575248853</v>
      </c>
      <c r="P74" s="241">
        <v>824.15453575248853</v>
      </c>
    </row>
    <row r="75" spans="1:16" s="4" customFormat="1" ht="15" hidden="1" customHeight="1">
      <c r="A75" s="17"/>
      <c r="B75" s="51"/>
      <c r="C75" s="241">
        <f>'4.6_генерация (свод)'!C75+'4.6_транзит+сбыт (свод)'!C75</f>
        <v>0</v>
      </c>
      <c r="D75" s="241">
        <f>'4.6_генерация (свод)'!D75+'4.6_транзит+сбыт (свод)'!D75</f>
        <v>0</v>
      </c>
      <c r="E75" s="241">
        <v>0</v>
      </c>
      <c r="F75" s="241">
        <v>0</v>
      </c>
      <c r="G75" s="241">
        <v>0</v>
      </c>
      <c r="H75" s="241">
        <v>0</v>
      </c>
      <c r="I75" s="241">
        <v>0</v>
      </c>
      <c r="J75" s="241">
        <v>0</v>
      </c>
      <c r="K75" s="241">
        <v>0</v>
      </c>
      <c r="L75" s="241">
        <v>0</v>
      </c>
      <c r="M75" s="241">
        <v>0</v>
      </c>
      <c r="N75" s="241">
        <v>0</v>
      </c>
      <c r="O75" s="241">
        <v>0</v>
      </c>
      <c r="P75" s="241">
        <v>0</v>
      </c>
    </row>
    <row r="76" spans="1:16" s="4" customFormat="1" ht="15" hidden="1" customHeight="1">
      <c r="A76" s="17"/>
      <c r="B76" s="51"/>
      <c r="C76" s="241">
        <f>'4.6_генерация (свод)'!C76+'4.6_транзит+сбыт (свод)'!C76</f>
        <v>0</v>
      </c>
      <c r="D76" s="241">
        <f>'4.6_генерация (свод)'!D76+'4.6_транзит+сбыт (свод)'!D76</f>
        <v>0</v>
      </c>
      <c r="E76" s="241">
        <v>0</v>
      </c>
      <c r="F76" s="241">
        <v>0</v>
      </c>
      <c r="G76" s="241">
        <v>0</v>
      </c>
      <c r="H76" s="241">
        <v>0</v>
      </c>
      <c r="I76" s="241">
        <v>0</v>
      </c>
      <c r="J76" s="241">
        <v>0</v>
      </c>
      <c r="K76" s="241">
        <v>0</v>
      </c>
      <c r="L76" s="241">
        <v>0</v>
      </c>
      <c r="M76" s="241">
        <v>0</v>
      </c>
      <c r="N76" s="241">
        <v>0</v>
      </c>
      <c r="O76" s="241">
        <v>0</v>
      </c>
      <c r="P76" s="241">
        <v>0</v>
      </c>
    </row>
    <row r="77" spans="1:16" s="4" customFormat="1" ht="15" hidden="1" customHeight="1">
      <c r="A77" s="17"/>
      <c r="B77" s="51"/>
      <c r="C77" s="241">
        <f>'4.6_генерация (свод)'!C77+'4.6_транзит+сбыт (свод)'!C77</f>
        <v>0</v>
      </c>
      <c r="D77" s="241">
        <f>'4.6_генерация (свод)'!D77+'4.6_транзит+сбыт (свод)'!D77</f>
        <v>0</v>
      </c>
      <c r="E77" s="241">
        <v>0</v>
      </c>
      <c r="F77" s="241">
        <v>0</v>
      </c>
      <c r="G77" s="241">
        <v>0</v>
      </c>
      <c r="H77" s="241">
        <v>0</v>
      </c>
      <c r="I77" s="241">
        <v>0</v>
      </c>
      <c r="J77" s="241">
        <v>0</v>
      </c>
      <c r="K77" s="241">
        <v>0</v>
      </c>
      <c r="L77" s="241">
        <v>0</v>
      </c>
      <c r="M77" s="241">
        <v>0</v>
      </c>
      <c r="N77" s="241">
        <v>0</v>
      </c>
      <c r="O77" s="241">
        <v>0</v>
      </c>
      <c r="P77" s="241">
        <v>0</v>
      </c>
    </row>
    <row r="78" spans="1:16" s="1034" customFormat="1" ht="28.5" customHeight="1">
      <c r="A78" s="1030" t="s">
        <v>391</v>
      </c>
      <c r="B78" s="1031" t="s">
        <v>392</v>
      </c>
      <c r="C78" s="1032">
        <f>SUM(C79:C82)</f>
        <v>33475</v>
      </c>
      <c r="D78" s="1032">
        <f t="shared" ref="D78" si="7">SUM(D79:D82)</f>
        <v>47345</v>
      </c>
      <c r="E78" s="1032">
        <v>57712</v>
      </c>
      <c r="F78" s="1032">
        <v>243597</v>
      </c>
      <c r="G78" s="1032">
        <v>18908</v>
      </c>
      <c r="H78" s="1032">
        <v>68811</v>
      </c>
      <c r="I78" s="1032">
        <v>26895</v>
      </c>
      <c r="J78" s="1032">
        <v>203519.94399999999</v>
      </c>
      <c r="K78" s="1032">
        <v>427594.06</v>
      </c>
      <c r="L78" s="1032">
        <v>11422.650000000003</v>
      </c>
      <c r="M78" s="1032">
        <v>416171.41000000003</v>
      </c>
      <c r="N78" s="1032">
        <v>384483.9767</v>
      </c>
      <c r="O78" s="1032">
        <v>12690.488350000003</v>
      </c>
      <c r="P78" s="1032">
        <v>371793.48835</v>
      </c>
    </row>
    <row r="79" spans="1:16" s="1046" customFormat="1" ht="15" customHeight="1">
      <c r="A79" s="1044"/>
      <c r="B79" s="1045" t="s">
        <v>393</v>
      </c>
      <c r="C79" s="258">
        <f>'4.6_генерация (свод)'!C79+'4.6_транзит+сбыт (свод)'!C79</f>
        <v>14700</v>
      </c>
      <c r="D79" s="258">
        <f>'4.6_генерация (свод)'!D79+'4.6_транзит+сбыт (свод)'!D79</f>
        <v>0</v>
      </c>
      <c r="E79" s="258">
        <v>40000</v>
      </c>
      <c r="F79" s="258">
        <v>0</v>
      </c>
      <c r="G79" s="258">
        <v>0</v>
      </c>
      <c r="H79" s="258">
        <v>0</v>
      </c>
      <c r="I79" s="258">
        <v>0</v>
      </c>
      <c r="J79" s="258">
        <v>0</v>
      </c>
      <c r="K79" s="258">
        <v>0</v>
      </c>
      <c r="L79" s="258">
        <v>0</v>
      </c>
      <c r="M79" s="258">
        <v>0</v>
      </c>
      <c r="N79" s="258">
        <v>0</v>
      </c>
      <c r="O79" s="258">
        <v>0</v>
      </c>
      <c r="P79" s="258">
        <v>0</v>
      </c>
    </row>
    <row r="80" spans="1:16" s="1046" customFormat="1" ht="30" customHeight="1">
      <c r="A80" s="1044"/>
      <c r="B80" s="1045" t="s">
        <v>394</v>
      </c>
      <c r="C80" s="258">
        <f>'4.6_генерация (свод)'!C80+'4.6_транзит+сбыт (свод)'!C80</f>
        <v>15809</v>
      </c>
      <c r="D80" s="258">
        <f>'4.6_генерация (свод)'!D80+'4.6_транзит+сбыт (свод)'!D80</f>
        <v>17130</v>
      </c>
      <c r="E80" s="258">
        <v>17345</v>
      </c>
      <c r="F80" s="258">
        <v>19572</v>
      </c>
      <c r="G80" s="258">
        <v>18200</v>
      </c>
      <c r="H80" s="258">
        <v>21112.699999999997</v>
      </c>
      <c r="I80" s="258">
        <v>20223</v>
      </c>
      <c r="J80" s="258">
        <v>20223</v>
      </c>
      <c r="K80" s="258">
        <v>21598.164000000001</v>
      </c>
      <c r="L80" s="258">
        <v>10799.082</v>
      </c>
      <c r="M80" s="258">
        <v>10799.082</v>
      </c>
      <c r="N80" s="258">
        <v>22872.455675999998</v>
      </c>
      <c r="O80" s="258">
        <v>11436.227837999999</v>
      </c>
      <c r="P80" s="258">
        <v>11436.227837999999</v>
      </c>
    </row>
    <row r="81" spans="1:16" s="1046" customFormat="1" ht="15" customHeight="1">
      <c r="A81" s="1044"/>
      <c r="B81" s="1045" t="s">
        <v>1893</v>
      </c>
      <c r="C81" s="258">
        <f>'4.6_генерация (свод)'!C81+'4.6_транзит+сбыт (свод)'!C81</f>
        <v>0</v>
      </c>
      <c r="D81" s="258">
        <f>'4.6_генерация (свод)'!D81+'4.6_транзит+сбыт (свод)'!D81</f>
        <v>28997</v>
      </c>
      <c r="E81" s="258">
        <v>0</v>
      </c>
      <c r="F81" s="258">
        <v>221704</v>
      </c>
      <c r="G81" s="258">
        <v>0</v>
      </c>
      <c r="H81" s="258">
        <v>45526.299999999996</v>
      </c>
      <c r="I81" s="258">
        <v>0</v>
      </c>
      <c r="J81" s="258">
        <v>326.94400000000002</v>
      </c>
      <c r="K81" s="258">
        <v>202017.76</v>
      </c>
      <c r="L81" s="258">
        <v>0</v>
      </c>
      <c r="M81" s="258">
        <v>202017.76</v>
      </c>
      <c r="N81" s="258">
        <v>145699</v>
      </c>
      <c r="O81" s="258">
        <v>0</v>
      </c>
      <c r="P81" s="258">
        <v>145699</v>
      </c>
    </row>
    <row r="82" spans="1:16" s="1046" customFormat="1" ht="28.5" customHeight="1">
      <c r="A82" s="1044"/>
      <c r="B82" s="1045" t="s">
        <v>1957</v>
      </c>
      <c r="C82" s="258">
        <f>'4.6_генерация (свод)'!C82+'4.6_транзит+сбыт (свод)'!C82</f>
        <v>2966</v>
      </c>
      <c r="D82" s="258">
        <f>'4.6_генерация (свод)'!D82+'4.6_транзит+сбыт (свод)'!D82</f>
        <v>1218</v>
      </c>
      <c r="E82" s="258">
        <v>367</v>
      </c>
      <c r="F82" s="258">
        <v>2321</v>
      </c>
      <c r="G82" s="258">
        <v>708</v>
      </c>
      <c r="H82" s="258">
        <v>2172</v>
      </c>
      <c r="I82" s="258">
        <v>6672</v>
      </c>
      <c r="J82" s="258">
        <v>182970</v>
      </c>
      <c r="K82" s="258">
        <v>203978.136</v>
      </c>
      <c r="L82" s="258">
        <v>623.56800000000226</v>
      </c>
      <c r="M82" s="258">
        <v>203354.568</v>
      </c>
      <c r="N82" s="258">
        <v>215912.52102400002</v>
      </c>
      <c r="O82" s="258">
        <v>1254.2605120000035</v>
      </c>
      <c r="P82" s="258">
        <v>214658.26051200001</v>
      </c>
    </row>
    <row r="83" spans="1:16" s="1034" customFormat="1" ht="15" customHeight="1">
      <c r="A83" s="1030" t="s">
        <v>395</v>
      </c>
      <c r="B83" s="1031" t="s">
        <v>396</v>
      </c>
      <c r="C83" s="1032">
        <f>'4.6_генерация (свод)'!C83+'4.6_транзит+сбыт (свод)'!C83</f>
        <v>66656</v>
      </c>
      <c r="D83" s="1032">
        <f>'4.6_генерация (свод)'!D83+'4.6_транзит+сбыт (свод)'!D83</f>
        <v>307812.25</v>
      </c>
      <c r="E83" s="1032">
        <v>33068</v>
      </c>
      <c r="F83" s="1032">
        <v>60899.25</v>
      </c>
      <c r="G83" s="1032">
        <v>4727</v>
      </c>
      <c r="H83" s="1032">
        <v>278700.11099999998</v>
      </c>
      <c r="I83" s="1032">
        <v>6724.25</v>
      </c>
      <c r="J83" s="1032">
        <v>70259.98599999999</v>
      </c>
      <c r="K83" s="1032">
        <v>125785.76500000001</v>
      </c>
      <c r="L83" s="1032">
        <v>2855.6625000000004</v>
      </c>
      <c r="M83" s="1032">
        <v>122930.10250000001</v>
      </c>
      <c r="N83" s="1032">
        <v>96120.994175</v>
      </c>
      <c r="O83" s="1032">
        <v>3172.6220875000008</v>
      </c>
      <c r="P83" s="1032">
        <v>92948.3720875</v>
      </c>
    </row>
    <row r="84" spans="1:16" s="1034" customFormat="1" ht="15" customHeight="1">
      <c r="A84" s="1030" t="s">
        <v>397</v>
      </c>
      <c r="B84" s="1031" t="s">
        <v>398</v>
      </c>
      <c r="C84" s="1032">
        <f>C85-C88</f>
        <v>-170103</v>
      </c>
      <c r="D84" s="1032">
        <f t="shared" ref="D84" si="8">D85-D88</f>
        <v>0</v>
      </c>
      <c r="E84" s="1032">
        <v>-68238</v>
      </c>
      <c r="F84" s="1032">
        <v>0</v>
      </c>
      <c r="G84" s="1032">
        <v>-39275</v>
      </c>
      <c r="H84" s="1032">
        <v>0</v>
      </c>
      <c r="I84" s="1032">
        <v>-257180</v>
      </c>
      <c r="J84" s="1032">
        <v>-257180</v>
      </c>
      <c r="K84" s="1032">
        <v>2029720.9</v>
      </c>
      <c r="L84" s="1032">
        <v>0</v>
      </c>
      <c r="M84" s="1032">
        <v>2029720.9</v>
      </c>
      <c r="N84" s="1032">
        <v>0</v>
      </c>
      <c r="O84" s="1032">
        <v>0</v>
      </c>
      <c r="P84" s="1032">
        <v>0</v>
      </c>
    </row>
    <row r="85" spans="1:16" s="585" customFormat="1" ht="15" customHeight="1">
      <c r="A85" s="583"/>
      <c r="B85" s="582" t="s">
        <v>1140</v>
      </c>
      <c r="C85" s="584">
        <f>C86+C87</f>
        <v>87908</v>
      </c>
      <c r="D85" s="584">
        <f t="shared" ref="D85" si="9">D86+D87</f>
        <v>0</v>
      </c>
      <c r="E85" s="584">
        <v>112200</v>
      </c>
      <c r="F85" s="584">
        <v>0</v>
      </c>
      <c r="G85" s="587">
        <v>314834</v>
      </c>
      <c r="H85" s="587">
        <v>0</v>
      </c>
      <c r="I85" s="587">
        <v>196324</v>
      </c>
      <c r="J85" s="587">
        <v>196324</v>
      </c>
      <c r="K85" s="584">
        <v>2243472.9</v>
      </c>
      <c r="L85" s="584">
        <v>0</v>
      </c>
      <c r="M85" s="584">
        <v>2243472.9</v>
      </c>
      <c r="N85" s="584">
        <v>0</v>
      </c>
      <c r="O85" s="584">
        <v>0</v>
      </c>
      <c r="P85" s="584">
        <v>0</v>
      </c>
    </row>
    <row r="86" spans="1:16" s="341" customFormat="1" ht="15" customHeight="1">
      <c r="A86" s="339"/>
      <c r="B86" s="340" t="s">
        <v>959</v>
      </c>
      <c r="C86" s="241">
        <f>'4.6_генерация (свод)'!C86+'4.6_транзит+сбыт (свод)'!C86</f>
        <v>87908</v>
      </c>
      <c r="D86" s="241">
        <f>'4.6_генерация (свод)'!D86+'4.6_транзит+сбыт (свод)'!D86</f>
        <v>0</v>
      </c>
      <c r="E86" s="241">
        <v>112200</v>
      </c>
      <c r="F86" s="241">
        <v>0</v>
      </c>
      <c r="G86" s="241">
        <v>0</v>
      </c>
      <c r="H86" s="241">
        <v>0</v>
      </c>
      <c r="I86" s="241">
        <v>0</v>
      </c>
      <c r="J86" s="241">
        <v>0</v>
      </c>
      <c r="K86" s="241">
        <v>1308723.8999999999</v>
      </c>
      <c r="L86" s="241">
        <v>0</v>
      </c>
      <c r="M86" s="241">
        <v>1308723.8999999999</v>
      </c>
      <c r="N86" s="241">
        <v>0</v>
      </c>
      <c r="O86" s="241">
        <v>0</v>
      </c>
      <c r="P86" s="241">
        <v>0</v>
      </c>
    </row>
    <row r="87" spans="1:16" s="341" customFormat="1" ht="15" customHeight="1">
      <c r="A87" s="339"/>
      <c r="B87" s="51" t="s">
        <v>960</v>
      </c>
      <c r="C87" s="241">
        <f>'4.6_генерация (свод)'!C87+'4.6_транзит+сбыт (свод)'!C87</f>
        <v>0</v>
      </c>
      <c r="D87" s="241">
        <f>'4.6_генерация (свод)'!D87+'4.6_транзит+сбыт (свод)'!D87</f>
        <v>0</v>
      </c>
      <c r="E87" s="241">
        <v>0</v>
      </c>
      <c r="F87" s="241">
        <v>0</v>
      </c>
      <c r="G87" s="241">
        <v>0</v>
      </c>
      <c r="H87" s="241">
        <v>0</v>
      </c>
      <c r="I87" s="241">
        <v>0</v>
      </c>
      <c r="J87" s="241">
        <v>0</v>
      </c>
      <c r="K87" s="241">
        <v>934749</v>
      </c>
      <c r="L87" s="241">
        <v>0</v>
      </c>
      <c r="M87" s="241">
        <v>934749</v>
      </c>
      <c r="N87" s="241">
        <v>0</v>
      </c>
      <c r="O87" s="241">
        <v>0</v>
      </c>
      <c r="P87" s="241">
        <v>0</v>
      </c>
    </row>
    <row r="88" spans="1:16" s="588" customFormat="1" ht="15" customHeight="1">
      <c r="A88" s="586"/>
      <c r="B88" s="582" t="s">
        <v>1141</v>
      </c>
      <c r="C88" s="587">
        <f>C89+C90</f>
        <v>258011</v>
      </c>
      <c r="D88" s="587">
        <f t="shared" ref="D88" si="10">D89+D90</f>
        <v>0</v>
      </c>
      <c r="E88" s="587">
        <v>180438</v>
      </c>
      <c r="F88" s="587">
        <v>0</v>
      </c>
      <c r="G88" s="587">
        <v>354109</v>
      </c>
      <c r="H88" s="587">
        <v>0</v>
      </c>
      <c r="I88" s="587">
        <v>453504</v>
      </c>
      <c r="J88" s="587">
        <v>453504</v>
      </c>
      <c r="K88" s="587">
        <v>213752</v>
      </c>
      <c r="L88" s="587">
        <v>0</v>
      </c>
      <c r="M88" s="587">
        <v>213752</v>
      </c>
      <c r="N88" s="587">
        <v>0</v>
      </c>
      <c r="O88" s="587">
        <v>0</v>
      </c>
      <c r="P88" s="587">
        <v>0</v>
      </c>
    </row>
    <row r="89" spans="1:16" s="341" customFormat="1" ht="15" customHeight="1">
      <c r="A89" s="339"/>
      <c r="B89" s="340" t="s">
        <v>959</v>
      </c>
      <c r="C89" s="241">
        <f>'4.6_генерация (свод)'!C89+'4.6_транзит+сбыт (свод)'!C89</f>
        <v>258011</v>
      </c>
      <c r="D89" s="241">
        <f>'4.6_генерация (свод)'!D89+'4.6_транзит+сбыт (свод)'!D89</f>
        <v>0</v>
      </c>
      <c r="E89" s="241">
        <v>180438</v>
      </c>
      <c r="F89" s="241">
        <v>0</v>
      </c>
      <c r="G89" s="241">
        <v>0</v>
      </c>
      <c r="H89" s="241">
        <v>0</v>
      </c>
      <c r="I89" s="241">
        <v>0</v>
      </c>
      <c r="J89" s="241">
        <v>0</v>
      </c>
      <c r="K89" s="241">
        <v>213752</v>
      </c>
      <c r="L89" s="241">
        <v>0</v>
      </c>
      <c r="M89" s="241">
        <v>213752</v>
      </c>
      <c r="N89" s="241">
        <v>0</v>
      </c>
      <c r="O89" s="241">
        <v>0</v>
      </c>
      <c r="P89" s="241">
        <v>0</v>
      </c>
    </row>
    <row r="90" spans="1:16" s="341" customFormat="1" ht="15" customHeight="1">
      <c r="A90" s="339"/>
      <c r="B90" s="51" t="s">
        <v>960</v>
      </c>
      <c r="C90" s="241">
        <f>'4.6_генерация (свод)'!C90+'4.6_транзит+сбыт (свод)'!C90</f>
        <v>0</v>
      </c>
      <c r="D90" s="241">
        <f>'4.6_генерация (свод)'!D90+'4.6_транзит+сбыт (свод)'!D90</f>
        <v>0</v>
      </c>
      <c r="E90" s="241">
        <v>0</v>
      </c>
      <c r="F90" s="241">
        <v>0</v>
      </c>
      <c r="G90" s="241">
        <v>0</v>
      </c>
      <c r="H90" s="241">
        <v>0</v>
      </c>
      <c r="I90" s="241">
        <v>0</v>
      </c>
      <c r="J90" s="241">
        <v>0</v>
      </c>
      <c r="K90" s="241">
        <v>0</v>
      </c>
      <c r="L90" s="241">
        <v>0</v>
      </c>
      <c r="M90" s="241">
        <v>0</v>
      </c>
      <c r="N90" s="241">
        <v>0</v>
      </c>
      <c r="O90" s="241">
        <v>0</v>
      </c>
      <c r="P90" s="241">
        <v>0</v>
      </c>
    </row>
    <row r="91" spans="1:16" s="1055" customFormat="1" ht="15" customHeight="1">
      <c r="A91" s="1052" t="s">
        <v>399</v>
      </c>
      <c r="B91" s="1053" t="s">
        <v>400</v>
      </c>
      <c r="C91" s="1054">
        <f>C7+C67+C78+C83+C84+2</f>
        <v>4763399.4887234215</v>
      </c>
      <c r="D91" s="1054">
        <f t="shared" ref="D91" si="11">D7+D67+D78+D83+D84</f>
        <v>6581773.9990201099</v>
      </c>
      <c r="E91" s="1054">
        <v>5040914</v>
      </c>
      <c r="F91" s="1054">
        <v>6826567.2731136326</v>
      </c>
      <c r="G91" s="1054">
        <v>5570007.6747991396</v>
      </c>
      <c r="H91" s="1054">
        <v>7068260.5153899668</v>
      </c>
      <c r="I91" s="1054">
        <v>5658234.1884981152</v>
      </c>
      <c r="J91" s="1054">
        <v>6288947.6560892789</v>
      </c>
      <c r="K91" s="1054">
        <v>9393372.5210760534</v>
      </c>
      <c r="L91" s="1054">
        <v>3564373.8951969761</v>
      </c>
      <c r="M91" s="1054">
        <v>5829005.4566550776</v>
      </c>
      <c r="N91" s="1054">
        <v>7599009.0806648172</v>
      </c>
      <c r="O91" s="1054">
        <v>3784173.8607524838</v>
      </c>
      <c r="P91" s="1054">
        <v>3814835.2199123353</v>
      </c>
    </row>
    <row r="92" spans="1:16" s="4" customFormat="1" ht="15" customHeight="1">
      <c r="A92" s="17" t="s">
        <v>401</v>
      </c>
      <c r="B92" s="51" t="s">
        <v>402</v>
      </c>
      <c r="C92" s="241">
        <f>'4.6_генерация (свод)'!C92+'4.6_транзит+сбыт (свод)'!C92</f>
        <v>0</v>
      </c>
      <c r="D92" s="241">
        <f>'4.6_генерация (свод)'!D92+'4.6_транзит+сбыт (свод)'!D92</f>
        <v>0</v>
      </c>
      <c r="E92" s="241">
        <v>0</v>
      </c>
      <c r="F92" s="241">
        <v>0</v>
      </c>
      <c r="G92" s="241">
        <v>0</v>
      </c>
      <c r="H92" s="241">
        <v>0</v>
      </c>
      <c r="I92" s="241">
        <v>0</v>
      </c>
      <c r="J92" s="241">
        <v>0</v>
      </c>
      <c r="K92" s="241">
        <v>0</v>
      </c>
      <c r="L92" s="241">
        <v>0</v>
      </c>
      <c r="M92" s="241">
        <v>0</v>
      </c>
      <c r="N92" s="241">
        <v>0</v>
      </c>
      <c r="O92" s="241">
        <v>0</v>
      </c>
      <c r="P92" s="241">
        <v>0</v>
      </c>
    </row>
    <row r="93" spans="1:16" s="4" customFormat="1" ht="15" customHeight="1">
      <c r="A93" s="17" t="s">
        <v>403</v>
      </c>
      <c r="B93" s="51" t="s">
        <v>404</v>
      </c>
      <c r="C93" s="241">
        <f>'4.6_генерация (свод)'!C93+'4.6_транзит+сбыт (свод)'!C93+2</f>
        <v>4763399.4887234215</v>
      </c>
      <c r="D93" s="241">
        <f>'4.6_генерация (свод)'!D93+'4.6_транзит+сбыт (свод)'!D93</f>
        <v>6425314.2134069996</v>
      </c>
      <c r="E93" s="241">
        <v>5040914.2389284857</v>
      </c>
      <c r="F93" s="241">
        <v>6650955.2731136326</v>
      </c>
      <c r="G93" s="241">
        <v>5570007.6747991396</v>
      </c>
      <c r="H93" s="241">
        <v>6896850.3227111399</v>
      </c>
      <c r="I93" s="241">
        <v>5658234.2313373489</v>
      </c>
      <c r="J93" s="241">
        <v>6115373.328527255</v>
      </c>
      <c r="K93" s="241">
        <v>9210153.5391141996</v>
      </c>
      <c r="L93" s="241">
        <v>3465536.5957949762</v>
      </c>
      <c r="M93" s="241">
        <v>5744623.7740952224</v>
      </c>
      <c r="N93" s="241">
        <v>7402998.7287421878</v>
      </c>
      <c r="O93" s="241">
        <v>3676342.3671049019</v>
      </c>
      <c r="P93" s="241">
        <v>3726656.3616372873</v>
      </c>
    </row>
    <row r="94" spans="1:16" s="4" customFormat="1" ht="15" customHeight="1">
      <c r="A94" s="17" t="s">
        <v>405</v>
      </c>
      <c r="B94" s="51" t="s">
        <v>406</v>
      </c>
      <c r="C94" s="241">
        <f>'4.6_генерация (свод)'!C94+'4.6_транзит+сбыт (свод)'!C94</f>
        <v>0</v>
      </c>
      <c r="D94" s="308">
        <f>'4.6_генерация (свод)'!D94+'4.6_транзит+сбыт (свод)'!D94</f>
        <v>66485.790816119101</v>
      </c>
      <c r="E94" s="308">
        <v>0</v>
      </c>
      <c r="F94" s="308">
        <v>42235</v>
      </c>
      <c r="G94" s="308">
        <v>0</v>
      </c>
      <c r="H94" s="308">
        <v>75299.702178964799</v>
      </c>
      <c r="I94" s="308">
        <v>0</v>
      </c>
      <c r="J94" s="308">
        <v>69551.190181782149</v>
      </c>
      <c r="K94" s="308">
        <v>73144.039636583999</v>
      </c>
      <c r="L94" s="308">
        <v>43448.238912000001</v>
      </c>
      <c r="M94" s="308">
        <v>29695.800724584002</v>
      </c>
      <c r="N94" s="308">
        <v>78434.14041018227</v>
      </c>
      <c r="O94" s="308">
        <v>47402.028652991998</v>
      </c>
      <c r="P94" s="308">
        <v>31032.11175719028</v>
      </c>
    </row>
    <row r="95" spans="1:16" s="4" customFormat="1" ht="15" customHeight="1">
      <c r="A95" s="17" t="s">
        <v>407</v>
      </c>
      <c r="B95" s="51" t="s">
        <v>408</v>
      </c>
      <c r="C95" s="241">
        <f>'4.6_генерация (свод)'!C95+'4.6_транзит+сбыт (свод)'!C95</f>
        <v>0</v>
      </c>
      <c r="D95" s="308">
        <f>'4.6_генерация (свод)'!D95+'4.6_транзит+сбыт (свод)'!D95</f>
        <v>89973.99479699113</v>
      </c>
      <c r="E95" s="308">
        <v>0</v>
      </c>
      <c r="F95" s="308">
        <v>70735</v>
      </c>
      <c r="G95" s="308">
        <v>0</v>
      </c>
      <c r="H95" s="308">
        <v>96110.490499862135</v>
      </c>
      <c r="I95" s="308">
        <v>0</v>
      </c>
      <c r="J95" s="308">
        <v>104024.45117683033</v>
      </c>
      <c r="K95" s="308">
        <v>110074.94232526999</v>
      </c>
      <c r="L95" s="308">
        <v>55389.060489999996</v>
      </c>
      <c r="M95" s="308">
        <v>54685.881835270004</v>
      </c>
      <c r="N95" s="308">
        <v>117576.21151244716</v>
      </c>
      <c r="O95" s="308">
        <v>60429.464994590002</v>
      </c>
      <c r="P95" s="308">
        <v>57146.746517857144</v>
      </c>
    </row>
    <row r="96" spans="1:16" s="4" customFormat="1" ht="31.5" hidden="1">
      <c r="A96" s="1052" t="s">
        <v>1562</v>
      </c>
      <c r="B96" s="1053" t="s">
        <v>1563</v>
      </c>
      <c r="C96" s="1054"/>
      <c r="D96" s="1054">
        <f>'4.6_КТЭЦ свод с косв.'!D96+'4.6_котельные'!D96</f>
        <v>4508172</v>
      </c>
      <c r="E96" s="1054"/>
      <c r="F96" s="1054"/>
      <c r="G96" s="1054"/>
      <c r="H96" s="1054"/>
      <c r="I96" s="1054"/>
      <c r="J96" s="1054"/>
      <c r="K96" s="1054"/>
      <c r="L96" s="1054"/>
      <c r="M96" s="1054"/>
      <c r="N96" s="1054"/>
      <c r="O96" s="1054"/>
      <c r="P96" s="1054"/>
    </row>
    <row r="97" spans="1:16" s="4" customFormat="1" ht="28.5">
      <c r="A97" s="17"/>
      <c r="B97" s="755" t="s">
        <v>1268</v>
      </c>
      <c r="C97" s="286">
        <f>'4.3_свод'!E8</f>
        <v>1379.6589999999999</v>
      </c>
      <c r="D97" s="286">
        <f>'4.3_свод'!I8</f>
        <v>1317.6889999999999</v>
      </c>
      <c r="E97" s="286">
        <v>1373.1469999999997</v>
      </c>
      <c r="F97" s="286">
        <v>1257.6792</v>
      </c>
      <c r="G97" s="286">
        <v>1370.5355758999997</v>
      </c>
      <c r="H97" s="286">
        <v>1213.5347615570001</v>
      </c>
      <c r="I97" s="286">
        <v>1265.6859999999999</v>
      </c>
      <c r="J97" s="286">
        <v>1261.1354999999999</v>
      </c>
      <c r="K97" s="286">
        <v>1249.7249999999999</v>
      </c>
      <c r="L97" s="286">
        <v>760.1579999999999</v>
      </c>
      <c r="M97" s="286">
        <v>489.56699999999995</v>
      </c>
      <c r="N97" s="286">
        <v>1249.7249999999999</v>
      </c>
      <c r="O97" s="286">
        <v>760.1579999999999</v>
      </c>
      <c r="P97" s="286">
        <v>489.56699999999995</v>
      </c>
    </row>
    <row r="98" spans="1:16" s="4" customFormat="1" ht="15" customHeight="1">
      <c r="A98" s="17"/>
      <c r="B98" s="51"/>
      <c r="C98" s="241"/>
      <c r="D98" s="241"/>
      <c r="E98" s="241"/>
      <c r="F98" s="241"/>
      <c r="G98" s="241"/>
      <c r="H98" s="241"/>
      <c r="I98" s="241"/>
      <c r="J98" s="241"/>
      <c r="K98" s="241"/>
      <c r="L98" s="241"/>
      <c r="M98" s="241"/>
      <c r="N98" s="241"/>
      <c r="O98" s="241"/>
      <c r="P98" s="241"/>
    </row>
    <row r="99" spans="1:16" s="4" customFormat="1" ht="15" customHeight="1">
      <c r="A99" s="17"/>
      <c r="B99" s="253" t="s">
        <v>1266</v>
      </c>
      <c r="C99" s="428">
        <f>C93/C97</f>
        <v>3452.5919004068555</v>
      </c>
      <c r="D99" s="428">
        <f t="shared" ref="D99" si="12">D93/D97</f>
        <v>4876.1993257946297</v>
      </c>
      <c r="E99" s="428">
        <v>3671.0667094844812</v>
      </c>
      <c r="F99" s="428">
        <v>5288.2764325860144</v>
      </c>
      <c r="G99" s="428">
        <v>4064.1102447424187</v>
      </c>
      <c r="H99" s="428">
        <v>5683.2738057394263</v>
      </c>
      <c r="I99" s="428">
        <v>4470.4881237031532</v>
      </c>
      <c r="J99" s="428">
        <v>4849.1009320784769</v>
      </c>
      <c r="K99" s="428">
        <v>7369.7441750098624</v>
      </c>
      <c r="L99" s="428">
        <v>4558.9687877980323</v>
      </c>
      <c r="M99" s="428">
        <v>11734.091092935641</v>
      </c>
      <c r="N99" s="428">
        <v>5923.702197477196</v>
      </c>
      <c r="O99" s="428">
        <v>4836.2871496516545</v>
      </c>
      <c r="P99" s="428">
        <v>7612.1477992538057</v>
      </c>
    </row>
    <row r="100" spans="1:16" s="4" customFormat="1" ht="15" customHeight="1">
      <c r="A100" s="17"/>
      <c r="B100" s="253" t="s">
        <v>1267</v>
      </c>
      <c r="C100" s="428"/>
      <c r="D100" s="1132" t="e">
        <f>D94/#REF!</f>
        <v>#REF!</v>
      </c>
      <c r="E100" s="1132" t="e">
        <f>E94/#REF!</f>
        <v>#REF!</v>
      </c>
      <c r="F100" s="1132" t="e">
        <f>F94/#REF!</f>
        <v>#REF!</v>
      </c>
      <c r="G100" s="1132"/>
      <c r="H100" s="1132"/>
      <c r="I100" s="1132"/>
      <c r="J100" s="1132"/>
      <c r="K100" s="1132"/>
      <c r="L100" s="1132"/>
      <c r="M100" s="1132"/>
      <c r="N100" s="1132"/>
      <c r="O100" s="1132"/>
      <c r="P100" s="1132"/>
    </row>
    <row r="101" spans="1:16" s="4" customFormat="1" ht="15" customHeight="1">
      <c r="A101" s="17"/>
      <c r="B101" s="1131" t="s">
        <v>1512</v>
      </c>
      <c r="C101" s="428"/>
      <c r="D101" s="307"/>
      <c r="E101" s="428">
        <f>'4.6_генерация (свод)'!E101</f>
        <v>87.370765027322406</v>
      </c>
      <c r="F101" s="428">
        <f>'4.6_генерация (свод)'!F101</f>
        <v>94.661339893919632</v>
      </c>
      <c r="G101" s="428" t="e">
        <f>'4.6_генерация (свод)'!G101</f>
        <v>#DIV/0!</v>
      </c>
      <c r="H101" s="428">
        <f>'4.6_генерация (свод)'!H101</f>
        <v>115.10979247123075</v>
      </c>
      <c r="I101" s="428">
        <f>'4.6_генерация (свод)'!I101</f>
        <v>0</v>
      </c>
      <c r="J101" s="428">
        <f>'4.6_генерация (свод)'!J101</f>
        <v>0</v>
      </c>
      <c r="K101" s="428">
        <f>'4.6_генерация (свод)'!K101</f>
        <v>121.01190202251742</v>
      </c>
      <c r="L101" s="428">
        <f>'4.6_генерация (свод)'!L101</f>
        <v>107.95017013295001</v>
      </c>
      <c r="M101" s="428">
        <f>'4.6_генерация (свод)'!M101</f>
        <v>140.60449985686853</v>
      </c>
      <c r="N101" s="978"/>
      <c r="O101" s="978"/>
      <c r="P101" s="978"/>
    </row>
    <row r="102" spans="1:16" s="4" customFormat="1" ht="15" customHeight="1">
      <c r="A102" s="17"/>
      <c r="B102" s="1131" t="s">
        <v>1513</v>
      </c>
      <c r="C102" s="428">
        <f>'4.6_генерация (свод)'!C102</f>
        <v>30.59</v>
      </c>
      <c r="D102" s="428">
        <f>'4.6_генерация (свод)'!D102</f>
        <v>30.383382196457696</v>
      </c>
      <c r="E102" s="428">
        <f>'4.6_генерация (свод)'!E102</f>
        <v>34.96</v>
      </c>
      <c r="F102" s="428">
        <f>'4.6_генерация (свод)'!F102</f>
        <v>35.786489339888192</v>
      </c>
      <c r="G102" s="428" t="e">
        <f>'4.6_генерация (свод)'!G102</f>
        <v>#DIV/0!</v>
      </c>
      <c r="H102" s="428">
        <f>'4.6_генерация (свод)'!H102</f>
        <v>46.220147322273768</v>
      </c>
      <c r="I102" s="428">
        <f>'4.6_генерация (свод)'!I102</f>
        <v>0</v>
      </c>
      <c r="J102" s="428">
        <f>'4.6_генерация (свод)'!J102</f>
        <v>0</v>
      </c>
      <c r="K102" s="428">
        <f>'4.6_генерация (свод)'!K102</f>
        <v>44.504928875668064</v>
      </c>
      <c r="L102" s="428">
        <f>'4.6_генерация (свод)'!L102</f>
        <v>42.97</v>
      </c>
      <c r="M102" s="428">
        <f>'4.6_генерация (свод)'!M102</f>
        <v>46.88027000000001</v>
      </c>
      <c r="N102" s="978"/>
      <c r="O102" s="978"/>
      <c r="P102" s="978"/>
    </row>
    <row r="103" spans="1:16" hidden="1">
      <c r="A103" s="253" t="s">
        <v>965</v>
      </c>
      <c r="B103" s="253"/>
      <c r="C103" s="308">
        <f>C67+C78+C83+C87-C90</f>
        <v>533441</v>
      </c>
      <c r="D103" s="308">
        <f t="shared" ref="D103:M103" si="13">D67+D78+D83+D87-D90</f>
        <v>1790052.25</v>
      </c>
      <c r="E103" s="308">
        <f t="shared" si="13"/>
        <v>302311</v>
      </c>
      <c r="F103" s="308">
        <f t="shared" si="13"/>
        <v>1720462.35</v>
      </c>
      <c r="G103" s="308"/>
      <c r="H103" s="308"/>
      <c r="I103" s="308"/>
      <c r="J103" s="308"/>
      <c r="K103" s="308">
        <f>K67+K78+K83+K87-K90</f>
        <v>1769911.5228524883</v>
      </c>
      <c r="L103" s="308">
        <f t="shared" si="13"/>
        <v>139064.72265016727</v>
      </c>
      <c r="M103" s="308">
        <f t="shared" si="13"/>
        <v>1630846.800202321</v>
      </c>
      <c r="N103" s="762"/>
      <c r="O103" s="762"/>
      <c r="P103" s="762"/>
    </row>
    <row r="104" spans="1:16" s="26" customFormat="1">
      <c r="A104" s="26" t="s">
        <v>88</v>
      </c>
      <c r="H104" s="1775">
        <f>'4.6_КТЭЦ свод с косв.'!H93+'4.6_котельные'!H93</f>
        <v>6896850.3227111399</v>
      </c>
      <c r="J104" s="1775">
        <f>'4.6_КТЭЦ свод с косв.'!J93+'4.6_котельные'!J93</f>
        <v>6115373.4419915378</v>
      </c>
      <c r="K104" s="1775">
        <f>'4.6_КТЭЦ свод с косв.'!K93+'4.6_котельные'!K93</f>
        <v>9210153.5391141977</v>
      </c>
      <c r="N104" s="1775">
        <f>'4.6_КТЭЦ свод с косв.'!N93+'4.6_котельные'!N93</f>
        <v>7402998.7287421878</v>
      </c>
    </row>
    <row r="105" spans="1:16" s="541" customFormat="1" ht="58.5" customHeight="1">
      <c r="A105" s="541" t="s">
        <v>89</v>
      </c>
      <c r="B105" s="1842" t="s">
        <v>409</v>
      </c>
      <c r="C105" s="1842"/>
      <c r="D105" s="1842"/>
      <c r="E105" s="1842"/>
      <c r="F105" s="1842"/>
      <c r="G105" s="1842"/>
      <c r="H105" s="1842"/>
      <c r="I105" s="1842"/>
      <c r="J105" s="1842"/>
      <c r="K105" s="1842"/>
      <c r="L105" s="1842"/>
      <c r="M105" s="1842"/>
      <c r="N105" s="1640"/>
      <c r="O105" s="1640"/>
      <c r="P105" s="1640"/>
    </row>
    <row r="106" spans="1:16" s="541" customFormat="1" ht="58.5" customHeight="1">
      <c r="A106" s="541" t="s">
        <v>91</v>
      </c>
      <c r="B106" s="1842" t="s">
        <v>410</v>
      </c>
      <c r="C106" s="1842"/>
      <c r="D106" s="1842"/>
      <c r="E106" s="1842"/>
      <c r="F106" s="1842"/>
      <c r="G106" s="1842"/>
      <c r="H106" s="1842"/>
      <c r="I106" s="1842"/>
      <c r="J106" s="1842"/>
      <c r="K106" s="1842"/>
      <c r="L106" s="1842"/>
      <c r="M106" s="1842"/>
      <c r="N106" s="1640"/>
      <c r="O106" s="1640"/>
      <c r="P106" s="1640"/>
    </row>
    <row r="107" spans="1:16" s="541" customFormat="1" ht="58.5" customHeight="1">
      <c r="A107" s="541" t="s">
        <v>93</v>
      </c>
      <c r="B107" s="1842" t="s">
        <v>411</v>
      </c>
      <c r="C107" s="1842"/>
      <c r="D107" s="1842"/>
      <c r="E107" s="1842"/>
      <c r="F107" s="1842"/>
      <c r="G107" s="1842"/>
      <c r="H107" s="1842"/>
      <c r="I107" s="1842"/>
      <c r="J107" s="1842"/>
      <c r="K107" s="1842"/>
      <c r="L107" s="1842"/>
      <c r="M107" s="1842"/>
      <c r="N107" s="1640"/>
      <c r="O107" s="1640"/>
      <c r="P107" s="1640"/>
    </row>
    <row r="108" spans="1:16" ht="18.75" customHeight="1"/>
  </sheetData>
  <mergeCells count="4">
    <mergeCell ref="B105:M105"/>
    <mergeCell ref="B106:M106"/>
    <mergeCell ref="B107:M107"/>
    <mergeCell ref="A3:J3"/>
  </mergeCells>
  <pageMargins left="0.70866141732283472" right="0.19685039370078741" top="0.19685039370078741" bottom="0.39370078740157483" header="0.19685039370078741" footer="0.19685039370078741"/>
  <pageSetup paperSize="9" scale="53" orientation="portrait" r:id="rId1"/>
  <headerFooter alignWithMargins="0"/>
  <rowBreaks count="1" manualBreakCount="1">
    <brk id="102" max="5" man="1"/>
  </rowBreaks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2" tint="-0.499984740745262"/>
  </sheetPr>
  <dimension ref="A1:P108"/>
  <sheetViews>
    <sheetView view="pageBreakPreview" zoomScaleNormal="100" zoomScaleSheetLayoutView="100" workbookViewId="0">
      <pane xSplit="2" ySplit="5" topLeftCell="C6" activePane="bottomRight" state="frozen"/>
      <selection activeCell="J84" sqref="J84"/>
      <selection pane="topRight" activeCell="J84" sqref="J84"/>
      <selection pane="bottomLeft" activeCell="J84" sqref="J84"/>
      <selection pane="bottomRight" activeCell="P11" sqref="P11"/>
    </sheetView>
  </sheetViews>
  <sheetFormatPr defaultColWidth="3.7109375" defaultRowHeight="15" outlineLevelRow="2"/>
  <cols>
    <col min="1" max="1" width="6.5703125" style="1" customWidth="1"/>
    <col min="2" max="2" width="45.5703125" style="1" customWidth="1"/>
    <col min="3" max="4" width="13.42578125" style="1" hidden="1" customWidth="1"/>
    <col min="5" max="9" width="13.42578125" style="1" customWidth="1"/>
    <col min="10" max="10" width="17.140625" style="1" customWidth="1"/>
    <col min="11" max="11" width="12.85546875" style="1" customWidth="1"/>
    <col min="12" max="12" width="12.140625" style="1" customWidth="1"/>
    <col min="13" max="13" width="11.5703125" style="1" customWidth="1"/>
    <col min="14" max="14" width="12.42578125" style="1" customWidth="1"/>
    <col min="15" max="16" width="11.5703125" style="1" customWidth="1"/>
    <col min="17" max="52" width="9.140625" style="1" customWidth="1"/>
    <col min="53" max="16384" width="3.7109375" style="1"/>
  </cols>
  <sheetData>
    <row r="1" spans="1:16" ht="12.75" customHeight="1">
      <c r="A1" s="74" t="s">
        <v>1860</v>
      </c>
      <c r="J1" s="23"/>
      <c r="K1" s="23"/>
      <c r="M1" s="23" t="s">
        <v>359</v>
      </c>
      <c r="N1" s="23"/>
      <c r="O1" s="23"/>
      <c r="P1" s="23"/>
    </row>
    <row r="2" spans="1:16" ht="17.25" customHeight="1">
      <c r="A2" s="105" t="str">
        <f>'4.6_свод'!A2</f>
        <v>КТЭЦ + котельные СВОД</v>
      </c>
    </row>
    <row r="3" spans="1:16" ht="18.75">
      <c r="A3" s="1877" t="s">
        <v>1143</v>
      </c>
      <c r="B3" s="1914"/>
      <c r="C3" s="1914"/>
      <c r="D3" s="1914"/>
      <c r="E3" s="1914"/>
      <c r="F3" s="1914"/>
      <c r="G3" s="1914"/>
      <c r="H3" s="1914"/>
      <c r="I3" s="1914"/>
      <c r="J3" s="1914"/>
      <c r="K3" s="1643"/>
      <c r="L3" s="1643"/>
      <c r="M3" s="1767"/>
      <c r="N3" s="1643"/>
      <c r="O3" s="1643"/>
      <c r="P3" s="1643"/>
    </row>
    <row r="4" spans="1:16" ht="14.25" customHeight="1">
      <c r="A4" s="1" t="s">
        <v>1531</v>
      </c>
      <c r="J4" s="23"/>
      <c r="K4" s="23"/>
      <c r="M4" s="23" t="s">
        <v>360</v>
      </c>
      <c r="N4" s="23"/>
      <c r="O4" s="23"/>
      <c r="P4" s="23"/>
    </row>
    <row r="5" spans="1:16" s="3" customFormat="1" ht="73.5" customHeight="1">
      <c r="A5" s="540" t="s">
        <v>0</v>
      </c>
      <c r="B5" s="540" t="s">
        <v>1</v>
      </c>
      <c r="C5" s="540" t="s">
        <v>1129</v>
      </c>
      <c r="D5" s="540" t="s">
        <v>1130</v>
      </c>
      <c r="E5" s="540" t="s">
        <v>1131</v>
      </c>
      <c r="F5" s="540" t="s">
        <v>1695</v>
      </c>
      <c r="G5" s="1284" t="s">
        <v>1696</v>
      </c>
      <c r="H5" s="1576" t="s">
        <v>1828</v>
      </c>
      <c r="I5" s="1576" t="s">
        <v>1833</v>
      </c>
      <c r="J5" s="1641" t="s">
        <v>1861</v>
      </c>
      <c r="K5" s="1641" t="s">
        <v>1862</v>
      </c>
      <c r="L5" s="1641" t="s">
        <v>763</v>
      </c>
      <c r="M5" s="1641" t="s">
        <v>764</v>
      </c>
      <c r="N5" s="1641" t="s">
        <v>1863</v>
      </c>
      <c r="O5" s="1641" t="s">
        <v>763</v>
      </c>
      <c r="P5" s="1641" t="s">
        <v>764</v>
      </c>
    </row>
    <row r="6" spans="1:16" s="2" customFormat="1">
      <c r="A6" s="13">
        <v>1</v>
      </c>
      <c r="B6" s="13">
        <v>2</v>
      </c>
      <c r="C6" s="13">
        <v>3</v>
      </c>
      <c r="D6" s="13">
        <v>4</v>
      </c>
      <c r="E6" s="13">
        <v>3</v>
      </c>
      <c r="F6" s="13">
        <v>4</v>
      </c>
      <c r="G6" s="13">
        <v>5</v>
      </c>
      <c r="H6" s="13">
        <v>6</v>
      </c>
      <c r="I6" s="13">
        <v>7</v>
      </c>
      <c r="J6" s="13">
        <v>8</v>
      </c>
      <c r="K6" s="13">
        <v>9</v>
      </c>
      <c r="L6" s="13">
        <v>10</v>
      </c>
      <c r="M6" s="13">
        <v>11</v>
      </c>
      <c r="N6" s="13">
        <v>12</v>
      </c>
      <c r="O6" s="13">
        <v>13</v>
      </c>
      <c r="P6" s="13">
        <v>14</v>
      </c>
    </row>
    <row r="7" spans="1:16" s="1041" customFormat="1" ht="32.25" customHeight="1">
      <c r="A7" s="1037" t="s">
        <v>361</v>
      </c>
      <c r="B7" s="1038" t="s">
        <v>362</v>
      </c>
      <c r="C7" s="1039">
        <f>C8+SUM(C10:C15)+C20+SUM(C22:C25)+SUM(C56:C61)+1</f>
        <v>3099926.4887234215</v>
      </c>
      <c r="D7" s="1039">
        <f>D8+SUM(D10:D15)+D20+SUM(D22:D25)+SUM(D56:D61)</f>
        <v>3431365.5779011096</v>
      </c>
      <c r="E7" s="1039">
        <v>3420670.2389284857</v>
      </c>
      <c r="F7" s="1039">
        <v>3560262.8211101987</v>
      </c>
      <c r="G7" s="1039">
        <v>3924179.4385583238</v>
      </c>
      <c r="H7" s="1039">
        <v>3584550.8618489415</v>
      </c>
      <c r="I7" s="1039">
        <v>3844298.618746466</v>
      </c>
      <c r="J7" s="1039">
        <v>4024305.5874637975</v>
      </c>
      <c r="K7" s="1039">
        <v>4484631.6549053499</v>
      </c>
      <c r="L7" s="1039">
        <v>2404126.4852515287</v>
      </c>
      <c r="M7" s="1039">
        <v>2080511.0004298219</v>
      </c>
      <c r="N7" s="1039">
        <v>4689877.8112501623</v>
      </c>
      <c r="O7" s="1039">
        <v>2523501.9125025761</v>
      </c>
      <c r="P7" s="1039">
        <v>2166374.8987475866</v>
      </c>
    </row>
    <row r="8" spans="1:16" s="1046" customFormat="1" ht="15" customHeight="1">
      <c r="A8" s="1044"/>
      <c r="B8" s="1045" t="s">
        <v>363</v>
      </c>
      <c r="C8" s="258">
        <f>'4.6_генерация_КТЭЦ с косв.'!C8+'4.6_генерация_котельн.'!C8</f>
        <v>61478</v>
      </c>
      <c r="D8" s="258">
        <f>'4.6_генерация_КТЭЦ с косв.'!D8+'4.6_генерация_котельн.'!D8</f>
        <v>44958</v>
      </c>
      <c r="E8" s="258">
        <v>43895</v>
      </c>
      <c r="F8" s="258">
        <v>40863</v>
      </c>
      <c r="G8" s="258">
        <v>57513</v>
      </c>
      <c r="H8" s="258">
        <v>50516</v>
      </c>
      <c r="I8" s="258">
        <v>61215</v>
      </c>
      <c r="J8" s="258">
        <v>57782</v>
      </c>
      <c r="K8" s="258">
        <v>70334.885920000001</v>
      </c>
      <c r="L8" s="258">
        <v>24617.210071999998</v>
      </c>
      <c r="M8" s="258">
        <v>45717.675848000006</v>
      </c>
      <c r="N8" s="258">
        <v>65920.567085841598</v>
      </c>
      <c r="O8" s="258">
        <v>23072.198480044557</v>
      </c>
      <c r="P8" s="258">
        <v>42848.368605797041</v>
      </c>
    </row>
    <row r="9" spans="1:16" s="4" customFormat="1" ht="15" customHeight="1">
      <c r="A9" s="17"/>
      <c r="B9" s="580" t="s">
        <v>1134</v>
      </c>
      <c r="C9" s="751">
        <f>'4.6_генерация_КТЭЦ с косв.'!C9+'4.6_генерация_котельн.'!C9</f>
        <v>17025</v>
      </c>
      <c r="D9" s="751">
        <f>'4.6_генерация_КТЭЦ с косв.'!D9+'4.6_генерация_котельн.'!D9</f>
        <v>17268</v>
      </c>
      <c r="E9" s="751">
        <v>0</v>
      </c>
      <c r="F9" s="751">
        <v>15939</v>
      </c>
      <c r="G9" s="751">
        <v>23935</v>
      </c>
      <c r="H9" s="751">
        <v>21198</v>
      </c>
      <c r="I9" s="751">
        <v>24259</v>
      </c>
      <c r="J9" s="751">
        <v>20826</v>
      </c>
      <c r="K9" s="751">
        <v>27449</v>
      </c>
      <c r="L9" s="751">
        <v>9607.15</v>
      </c>
      <c r="M9" s="751">
        <v>17841.850000000002</v>
      </c>
      <c r="N9" s="751">
        <v>24954.661435334398</v>
      </c>
      <c r="O9" s="751">
        <v>8734.1315023670395</v>
      </c>
      <c r="P9" s="751">
        <v>16220.529932967358</v>
      </c>
    </row>
    <row r="10" spans="1:16" s="1046" customFormat="1" ht="15" customHeight="1">
      <c r="A10" s="1044"/>
      <c r="B10" s="1045" t="s">
        <v>364</v>
      </c>
      <c r="C10" s="258">
        <f>'4.6_генерация_КТЭЦ с косв.'!C10+'4.6_генерация_котельн.'!C10</f>
        <v>1887952.4887234215</v>
      </c>
      <c r="D10" s="258">
        <f>'4.6_генерация_КТЭЦ с косв.'!D10+'4.6_генерация_котельн.'!D10</f>
        <v>1900048.8975499999</v>
      </c>
      <c r="E10" s="258">
        <v>1982244</v>
      </c>
      <c r="F10" s="258">
        <v>1873788.7820211467</v>
      </c>
      <c r="G10" s="258">
        <v>2254056.4385583238</v>
      </c>
      <c r="H10" s="258">
        <v>1787015.8852061974</v>
      </c>
      <c r="I10" s="258">
        <v>2092516</v>
      </c>
      <c r="J10" s="258">
        <v>2017682.1726247889</v>
      </c>
      <c r="K10" s="258">
        <v>2156455.0063246526</v>
      </c>
      <c r="L10" s="258">
        <v>1283814.0535755288</v>
      </c>
      <c r="M10" s="258">
        <v>872640.95274912403</v>
      </c>
      <c r="N10" s="258">
        <v>2228781.2178481589</v>
      </c>
      <c r="O10" s="258">
        <v>1329753.5843221201</v>
      </c>
      <c r="P10" s="258">
        <v>899027.63352603884</v>
      </c>
    </row>
    <row r="11" spans="1:16" s="1046" customFormat="1" ht="30">
      <c r="A11" s="1044"/>
      <c r="B11" s="1045" t="s">
        <v>365</v>
      </c>
      <c r="C11" s="258">
        <f>'4.6_генерация_КТЭЦ с косв.'!C11+'4.6_генерация_котельн.'!C11</f>
        <v>40931</v>
      </c>
      <c r="D11" s="258">
        <f>'4.6_генерация_КТЭЦ с косв.'!D11+'4.6_генерация_котельн.'!D11</f>
        <v>127749.495688</v>
      </c>
      <c r="E11" s="258">
        <v>94840</v>
      </c>
      <c r="F11" s="258">
        <v>115435.26866600002</v>
      </c>
      <c r="G11" s="258">
        <v>148286</v>
      </c>
      <c r="H11" s="258">
        <v>120865.21670243988</v>
      </c>
      <c r="I11" s="258">
        <v>140379</v>
      </c>
      <c r="J11" s="258">
        <v>137418.45000000001</v>
      </c>
      <c r="K11" s="258">
        <v>152658.53257199997</v>
      </c>
      <c r="L11" s="258">
        <v>87485.19</v>
      </c>
      <c r="M11" s="258">
        <v>65173.342571999987</v>
      </c>
      <c r="N11" s="258">
        <v>166641.46862547597</v>
      </c>
      <c r="O11" s="258">
        <v>96058.738619999989</v>
      </c>
      <c r="P11" s="258">
        <v>70582.730005475983</v>
      </c>
    </row>
    <row r="12" spans="1:16" s="1046" customFormat="1" ht="15" customHeight="1">
      <c r="A12" s="1044"/>
      <c r="B12" s="1045" t="s">
        <v>366</v>
      </c>
      <c r="C12" s="258">
        <f>'4.6_генерация_КТЭЦ с косв.'!C12+'4.6_генерация_котельн.'!C12</f>
        <v>10758</v>
      </c>
      <c r="D12" s="258">
        <f>'4.6_генерация_КТЭЦ с косв.'!D12+'4.6_генерация_котельн.'!D12</f>
        <v>173578.50326311024</v>
      </c>
      <c r="E12" s="258">
        <v>9920</v>
      </c>
      <c r="F12" s="258">
        <v>80891.44274856626</v>
      </c>
      <c r="G12" s="258">
        <v>28376</v>
      </c>
      <c r="H12" s="258">
        <v>24286.779207097166</v>
      </c>
      <c r="I12" s="258">
        <v>29853</v>
      </c>
      <c r="J12" s="258">
        <v>28776.442680396103</v>
      </c>
      <c r="K12" s="258">
        <v>30182.7587268438</v>
      </c>
      <c r="L12" s="258">
        <v>15217.584080000001</v>
      </c>
      <c r="M12" s="258">
        <v>14965.174646843796</v>
      </c>
      <c r="N12" s="258">
        <v>32240.991737231765</v>
      </c>
      <c r="O12" s="258">
        <v>16602.384231280001</v>
      </c>
      <c r="P12" s="258">
        <v>15638.607505951768</v>
      </c>
    </row>
    <row r="13" spans="1:16" s="1046" customFormat="1" ht="15" customHeight="1">
      <c r="A13" s="1044"/>
      <c r="B13" s="1045" t="s">
        <v>367</v>
      </c>
      <c r="C13" s="258">
        <f>'4.6_генерация_КТЭЦ с косв.'!C13+'4.6_генерация_котельн.'!C13</f>
        <v>0</v>
      </c>
      <c r="D13" s="258">
        <f>'4.6_генерация_КТЭЦ с косв.'!D13+'4.6_генерация_котельн.'!D13</f>
        <v>0</v>
      </c>
      <c r="E13" s="258">
        <v>0</v>
      </c>
      <c r="F13" s="258">
        <v>112970</v>
      </c>
      <c r="G13" s="258">
        <v>0</v>
      </c>
      <c r="H13" s="258">
        <v>171410.19267882692</v>
      </c>
      <c r="I13" s="258">
        <v>0</v>
      </c>
      <c r="J13" s="258">
        <v>173575.64135861251</v>
      </c>
      <c r="K13" s="258">
        <v>183218.98196185401</v>
      </c>
      <c r="L13" s="258">
        <v>98837.299402000004</v>
      </c>
      <c r="M13" s="258">
        <v>84381.682559854002</v>
      </c>
      <c r="N13" s="258">
        <v>196010.35192262943</v>
      </c>
      <c r="O13" s="258">
        <v>107831.49364758201</v>
      </c>
      <c r="P13" s="258">
        <v>88178.858275047416</v>
      </c>
    </row>
    <row r="14" spans="1:16" s="1046" customFormat="1" ht="30">
      <c r="A14" s="1044"/>
      <c r="B14" s="1045" t="s">
        <v>368</v>
      </c>
      <c r="C14" s="258">
        <f>'4.6_генерация_КТЭЦ с косв.'!C14+'4.6_генерация_котельн.'!C14</f>
        <v>54347</v>
      </c>
      <c r="D14" s="258">
        <f>'4.6_генерация_КТЭЦ с косв.'!D14+'4.6_генерация_котельн.'!D14</f>
        <v>83890.07</v>
      </c>
      <c r="E14" s="258">
        <v>64134</v>
      </c>
      <c r="F14" s="258">
        <v>97159.160314486056</v>
      </c>
      <c r="G14" s="258">
        <v>73317</v>
      </c>
      <c r="H14" s="258">
        <v>70569</v>
      </c>
      <c r="I14" s="258">
        <v>82967</v>
      </c>
      <c r="J14" s="258">
        <v>79446</v>
      </c>
      <c r="K14" s="258">
        <v>84832</v>
      </c>
      <c r="L14" s="258">
        <v>46933</v>
      </c>
      <c r="M14" s="258">
        <v>37899</v>
      </c>
      <c r="N14" s="258">
        <v>92647</v>
      </c>
      <c r="O14" s="258">
        <v>51064</v>
      </c>
      <c r="P14" s="258">
        <v>41583</v>
      </c>
    </row>
    <row r="15" spans="1:16" s="1046" customFormat="1" ht="15" customHeight="1">
      <c r="A15" s="1044"/>
      <c r="B15" s="1045" t="s">
        <v>1135</v>
      </c>
      <c r="C15" s="258">
        <f>C16+C18+C19</f>
        <v>584195</v>
      </c>
      <c r="D15" s="258">
        <f t="shared" ref="D15" si="0">D16+D18+D19</f>
        <v>690456</v>
      </c>
      <c r="E15" s="258">
        <v>799917.23892848555</v>
      </c>
      <c r="F15" s="258">
        <v>794769</v>
      </c>
      <c r="G15" s="258">
        <v>874995</v>
      </c>
      <c r="H15" s="258">
        <v>874588.83225438022</v>
      </c>
      <c r="I15" s="258">
        <v>900927</v>
      </c>
      <c r="J15" s="258">
        <v>958947.78079999983</v>
      </c>
      <c r="K15" s="258">
        <v>1074182.2363200001</v>
      </c>
      <c r="L15" s="258">
        <v>516244.89175200003</v>
      </c>
      <c r="M15" s="258">
        <v>557943.1753440001</v>
      </c>
      <c r="N15" s="258">
        <v>1137080.5519679999</v>
      </c>
      <c r="O15" s="258">
        <v>550829.62288000004</v>
      </c>
      <c r="P15" s="258">
        <v>586249.92908799998</v>
      </c>
    </row>
    <row r="16" spans="1:16" s="341" customFormat="1" ht="15" customHeight="1">
      <c r="A16" s="339"/>
      <c r="B16" s="581" t="s">
        <v>1136</v>
      </c>
      <c r="C16" s="241">
        <f>'4.6_генерация_КТЭЦ с косв.'!C16+'4.6_генерация_котельн.'!C16</f>
        <v>574782</v>
      </c>
      <c r="D16" s="241">
        <f>'4.6_генерация_КТЭЦ с косв.'!D16+'4.6_генерация_котельн.'!D16</f>
        <v>675416</v>
      </c>
      <c r="E16" s="241">
        <v>787356.23892848555</v>
      </c>
      <c r="F16" s="241">
        <v>777636</v>
      </c>
      <c r="G16" s="241">
        <v>858776</v>
      </c>
      <c r="H16" s="241">
        <v>856115.83225438022</v>
      </c>
      <c r="I16" s="241">
        <v>884705</v>
      </c>
      <c r="J16" s="241">
        <v>937289.78079999983</v>
      </c>
      <c r="K16" s="241">
        <v>1047260.2363200001</v>
      </c>
      <c r="L16" s="241">
        <v>502783.39175200003</v>
      </c>
      <c r="M16" s="241">
        <v>544481.6753440001</v>
      </c>
      <c r="N16" s="241">
        <v>1108910.5519679999</v>
      </c>
      <c r="O16" s="241">
        <v>536744.62288000004</v>
      </c>
      <c r="P16" s="241">
        <v>572164.92908799998</v>
      </c>
    </row>
    <row r="17" spans="1:16" s="341" customFormat="1" ht="15" customHeight="1">
      <c r="A17" s="339"/>
      <c r="B17" s="580" t="s">
        <v>1134</v>
      </c>
      <c r="C17" s="751">
        <f>'4.6_генерация_КТЭЦ с косв.'!C17+'4.6_генерация_котельн.'!C17</f>
        <v>54153</v>
      </c>
      <c r="D17" s="751">
        <f>'4.6_генерация_КТЭЦ с косв.'!D17+'4.6_генерация_котельн.'!D17</f>
        <v>70799</v>
      </c>
      <c r="E17" s="751">
        <v>0</v>
      </c>
      <c r="F17" s="751">
        <v>78672</v>
      </c>
      <c r="G17" s="751">
        <v>81337</v>
      </c>
      <c r="H17" s="751">
        <v>85092</v>
      </c>
      <c r="I17" s="751">
        <v>95102</v>
      </c>
      <c r="J17" s="751">
        <v>92031</v>
      </c>
      <c r="K17" s="751">
        <v>107605</v>
      </c>
      <c r="L17" s="751">
        <v>51300</v>
      </c>
      <c r="M17" s="751">
        <v>56305</v>
      </c>
      <c r="N17" s="751">
        <v>113890</v>
      </c>
      <c r="O17" s="751">
        <v>53788</v>
      </c>
      <c r="P17" s="751">
        <v>60102</v>
      </c>
    </row>
    <row r="18" spans="1:16" s="341" customFormat="1" ht="15" customHeight="1">
      <c r="A18" s="339"/>
      <c r="B18" s="581" t="s">
        <v>1137</v>
      </c>
      <c r="C18" s="241">
        <f>'4.6_генерация_КТЭЦ с косв.'!C18+'4.6_генерация_котельн.'!C18</f>
        <v>9413</v>
      </c>
      <c r="D18" s="241">
        <f>'4.6_генерация_КТЭЦ с косв.'!D18+'4.6_генерация_котельн.'!D18</f>
        <v>11429</v>
      </c>
      <c r="E18" s="241">
        <v>12561</v>
      </c>
      <c r="F18" s="241">
        <v>13533</v>
      </c>
      <c r="G18" s="241">
        <v>16220</v>
      </c>
      <c r="H18" s="241">
        <v>14638</v>
      </c>
      <c r="I18" s="241">
        <v>16222</v>
      </c>
      <c r="J18" s="241">
        <v>17757</v>
      </c>
      <c r="K18" s="241">
        <v>24375</v>
      </c>
      <c r="L18" s="241">
        <v>12188</v>
      </c>
      <c r="M18" s="241">
        <v>12188</v>
      </c>
      <c r="N18" s="241">
        <v>25473</v>
      </c>
      <c r="O18" s="241">
        <v>12736.5</v>
      </c>
      <c r="P18" s="241">
        <v>12736.5</v>
      </c>
    </row>
    <row r="19" spans="1:16" s="341" customFormat="1" ht="15" customHeight="1">
      <c r="A19" s="339"/>
      <c r="B19" s="581" t="s">
        <v>1138</v>
      </c>
      <c r="C19" s="241">
        <f>'4.6_генерация_КТЭЦ с косв.'!C19+'4.6_генерация_котельн.'!C19</f>
        <v>0</v>
      </c>
      <c r="D19" s="241">
        <f>'4.6_генерация_КТЭЦ с косв.'!D19+'4.6_генерация_котельн.'!D19</f>
        <v>3611</v>
      </c>
      <c r="E19" s="241">
        <v>0</v>
      </c>
      <c r="F19" s="241">
        <v>3600</v>
      </c>
      <c r="G19" s="241">
        <v>0</v>
      </c>
      <c r="H19" s="241">
        <v>3835</v>
      </c>
      <c r="I19" s="241">
        <v>0</v>
      </c>
      <c r="J19" s="241">
        <v>3901</v>
      </c>
      <c r="K19" s="241">
        <v>2547</v>
      </c>
      <c r="L19" s="241">
        <v>1273.5</v>
      </c>
      <c r="M19" s="241">
        <v>1273.5</v>
      </c>
      <c r="N19" s="241">
        <v>2697</v>
      </c>
      <c r="O19" s="241">
        <v>1348.5</v>
      </c>
      <c r="P19" s="241">
        <v>1348.5</v>
      </c>
    </row>
    <row r="20" spans="1:16" s="1046" customFormat="1">
      <c r="A20" s="1044"/>
      <c r="B20" s="1045" t="s">
        <v>369</v>
      </c>
      <c r="C20" s="258">
        <f>'4.6_генерация_КТЭЦ с косв.'!C20+'4.6_генерация_котельн.'!C20</f>
        <v>160020</v>
      </c>
      <c r="D20" s="258">
        <f>'4.6_генерация_КТЭЦ с косв.'!D20+'4.6_генерация_котельн.'!D20</f>
        <v>184849</v>
      </c>
      <c r="E20" s="258">
        <v>216008</v>
      </c>
      <c r="F20" s="258">
        <v>216005</v>
      </c>
      <c r="G20" s="258">
        <v>247809</v>
      </c>
      <c r="H20" s="258">
        <v>243638</v>
      </c>
      <c r="I20" s="258">
        <v>261683</v>
      </c>
      <c r="J20" s="258">
        <v>273451</v>
      </c>
      <c r="K20" s="258">
        <v>310055</v>
      </c>
      <c r="L20" s="258">
        <v>159649</v>
      </c>
      <c r="M20" s="258">
        <v>150406</v>
      </c>
      <c r="N20" s="258">
        <v>330095</v>
      </c>
      <c r="O20" s="258">
        <v>169163</v>
      </c>
      <c r="P20" s="258">
        <v>160932</v>
      </c>
    </row>
    <row r="21" spans="1:16" s="341" customFormat="1">
      <c r="A21" s="339"/>
      <c r="B21" s="580" t="s">
        <v>1134</v>
      </c>
      <c r="C21" s="751">
        <f>'4.6_генерация_КТЭЦ с косв.'!C21+'4.6_генерация_котельн.'!C21</f>
        <v>15785</v>
      </c>
      <c r="D21" s="751">
        <f>'4.6_генерация_КТЭЦ с косв.'!D21+'4.6_генерация_котельн.'!D21</f>
        <v>21194</v>
      </c>
      <c r="E21" s="751">
        <v>0</v>
      </c>
      <c r="F21" s="751">
        <v>24511</v>
      </c>
      <c r="G21" s="751">
        <v>27035</v>
      </c>
      <c r="H21" s="751">
        <v>27196</v>
      </c>
      <c r="I21" s="751">
        <v>30592</v>
      </c>
      <c r="J21" s="751">
        <v>29335</v>
      </c>
      <c r="K21" s="751">
        <v>32497</v>
      </c>
      <c r="L21" s="751">
        <v>14351.970349690309</v>
      </c>
      <c r="M21" s="751">
        <v>18145.029650309691</v>
      </c>
      <c r="N21" s="751">
        <v>36757.10666875384</v>
      </c>
      <c r="O21" s="751">
        <v>15069.223274289618</v>
      </c>
      <c r="P21" s="751">
        <v>21687.883394464225</v>
      </c>
    </row>
    <row r="22" spans="1:16" s="1046" customFormat="1" ht="30" customHeight="1">
      <c r="A22" s="1044"/>
      <c r="B22" s="1045" t="s">
        <v>370</v>
      </c>
      <c r="C22" s="258">
        <f>'4.6_генерация_КТЭЦ с косв.'!C22+'4.6_генерация_котельн.'!C22</f>
        <v>73133</v>
      </c>
      <c r="D22" s="258">
        <f>'4.6_генерация_КТЭЦ с косв.'!D22+'4.6_генерация_котельн.'!D22</f>
        <v>59534</v>
      </c>
      <c r="E22" s="258">
        <v>75774</v>
      </c>
      <c r="F22" s="258">
        <v>61258</v>
      </c>
      <c r="G22" s="258">
        <v>68473</v>
      </c>
      <c r="H22" s="258">
        <v>76224</v>
      </c>
      <c r="I22" s="258">
        <v>94857</v>
      </c>
      <c r="J22" s="258">
        <v>95873</v>
      </c>
      <c r="K22" s="258">
        <v>219089</v>
      </c>
      <c r="L22" s="258">
        <v>77710.75</v>
      </c>
      <c r="M22" s="258">
        <v>141378.25</v>
      </c>
      <c r="N22" s="258">
        <v>226042.76476622239</v>
      </c>
      <c r="O22" s="258">
        <v>80157.456830677838</v>
      </c>
      <c r="P22" s="258">
        <v>145885.30793554455</v>
      </c>
    </row>
    <row r="23" spans="1:16" s="1046" customFormat="1" ht="45">
      <c r="A23" s="1044"/>
      <c r="B23" s="1045" t="s">
        <v>1139</v>
      </c>
      <c r="C23" s="258">
        <f>'4.6_генерация_КТЭЦ с косв.'!C23+'4.6_генерация_котельн.'!C23</f>
        <v>30613</v>
      </c>
      <c r="D23" s="258">
        <f>'4.6_генерация_КТЭЦ с косв.'!D23+'4.6_генерация_котельн.'!D23</f>
        <v>0</v>
      </c>
      <c r="E23" s="258">
        <v>0</v>
      </c>
      <c r="F23" s="258">
        <v>0</v>
      </c>
      <c r="G23" s="258">
        <v>0</v>
      </c>
      <c r="H23" s="258">
        <v>0</v>
      </c>
      <c r="I23" s="258">
        <v>0</v>
      </c>
      <c r="J23" s="258">
        <v>0</v>
      </c>
      <c r="K23" s="258">
        <v>0</v>
      </c>
      <c r="L23" s="258">
        <v>0</v>
      </c>
      <c r="M23" s="258">
        <v>0</v>
      </c>
      <c r="N23" s="258">
        <v>0</v>
      </c>
      <c r="O23" s="258">
        <v>0</v>
      </c>
      <c r="P23" s="258">
        <v>0</v>
      </c>
    </row>
    <row r="24" spans="1:16" s="1046" customFormat="1" ht="60">
      <c r="A24" s="1044"/>
      <c r="B24" s="1045" t="s">
        <v>372</v>
      </c>
      <c r="C24" s="258">
        <f>'4.6_генерация_КТЭЦ с косв.'!C24+'4.6_генерация_котельн.'!C24</f>
        <v>35435</v>
      </c>
      <c r="D24" s="258">
        <f>'4.6_генерация_КТЭЦ с косв.'!D24+'4.6_генерация_котельн.'!D24</f>
        <v>35153</v>
      </c>
      <c r="E24" s="258">
        <v>44549</v>
      </c>
      <c r="F24" s="258">
        <v>26588</v>
      </c>
      <c r="G24" s="258">
        <v>36744</v>
      </c>
      <c r="H24" s="258">
        <v>25786</v>
      </c>
      <c r="I24" s="258">
        <v>49415</v>
      </c>
      <c r="J24" s="258">
        <v>49415</v>
      </c>
      <c r="K24" s="258">
        <v>52247.467799999999</v>
      </c>
      <c r="L24" s="258">
        <v>18286.613730000001</v>
      </c>
      <c r="M24" s="258">
        <v>33960.854070000001</v>
      </c>
      <c r="N24" s="258">
        <v>54776.767716197995</v>
      </c>
      <c r="O24" s="258">
        <v>19171.8687006693</v>
      </c>
      <c r="P24" s="258">
        <v>35604.899015528696</v>
      </c>
    </row>
    <row r="25" spans="1:16" s="1046" customFormat="1" ht="90">
      <c r="A25" s="1044"/>
      <c r="B25" s="1045" t="s">
        <v>373</v>
      </c>
      <c r="C25" s="258">
        <f>C27+C28+C29+C55</f>
        <v>45897</v>
      </c>
      <c r="D25" s="258">
        <f t="shared" ref="D25" si="1">D27+D28+D29+D55</f>
        <v>45892.611399999994</v>
      </c>
      <c r="E25" s="258">
        <v>45207</v>
      </c>
      <c r="F25" s="258">
        <v>49872.167359999992</v>
      </c>
      <c r="G25" s="258">
        <v>39426</v>
      </c>
      <c r="H25" s="258">
        <v>56135.955799999996</v>
      </c>
      <c r="I25" s="258">
        <v>56862</v>
      </c>
      <c r="J25" s="258">
        <v>56862</v>
      </c>
      <c r="K25" s="258">
        <v>60122.387159999998</v>
      </c>
      <c r="L25" s="258">
        <v>30061.193579999999</v>
      </c>
      <c r="M25" s="258">
        <v>30061.193579999999</v>
      </c>
      <c r="N25" s="258">
        <v>63032.911922415587</v>
      </c>
      <c r="O25" s="258">
        <v>31516.455961207794</v>
      </c>
      <c r="P25" s="258">
        <v>31516.455961207794</v>
      </c>
    </row>
    <row r="26" spans="1:16" s="4" customFormat="1" hidden="1" outlineLevel="1">
      <c r="A26" s="17"/>
      <c r="B26" s="51" t="s">
        <v>70</v>
      </c>
      <c r="C26" s="241"/>
      <c r="D26" s="241"/>
      <c r="E26" s="241"/>
      <c r="F26" s="241"/>
      <c r="G26" s="241"/>
      <c r="H26" s="241"/>
      <c r="I26" s="241"/>
      <c r="J26" s="241"/>
      <c r="K26" s="241"/>
      <c r="L26" s="241"/>
      <c r="M26" s="241"/>
      <c r="N26" s="241"/>
      <c r="O26" s="241"/>
      <c r="P26" s="241"/>
    </row>
    <row r="27" spans="1:16" s="4" customFormat="1" hidden="1" outlineLevel="1">
      <c r="A27" s="17"/>
      <c r="B27" s="581" t="s">
        <v>1275</v>
      </c>
      <c r="C27" s="766">
        <f>'4.6_генерация_КТЭЦ с косв.'!C27+'4.6_генерация_котельн.'!C27</f>
        <v>323</v>
      </c>
      <c r="D27" s="766">
        <f>'4.6_генерация_КТЭЦ с косв.'!D27+'4.6_генерация_котельн.'!D27</f>
        <v>929</v>
      </c>
      <c r="E27" s="766">
        <v>718</v>
      </c>
      <c r="F27" s="766">
        <v>783</v>
      </c>
      <c r="G27" s="766">
        <v>0</v>
      </c>
      <c r="H27" s="766">
        <v>721</v>
      </c>
      <c r="I27" s="766">
        <v>0</v>
      </c>
      <c r="J27" s="766">
        <v>0</v>
      </c>
      <c r="K27" s="766">
        <v>0</v>
      </c>
      <c r="L27" s="766">
        <v>0</v>
      </c>
      <c r="M27" s="766">
        <v>0</v>
      </c>
      <c r="N27" s="766">
        <v>0</v>
      </c>
      <c r="O27" s="766">
        <v>0</v>
      </c>
      <c r="P27" s="766">
        <v>0</v>
      </c>
    </row>
    <row r="28" spans="1:16" s="4" customFormat="1" hidden="1" outlineLevel="1">
      <c r="A28" s="17"/>
      <c r="B28" s="581" t="s">
        <v>1276</v>
      </c>
      <c r="C28" s="766">
        <f>'4.6_генерация_КТЭЦ с косв.'!C28+'4.6_генерация_котельн.'!C28</f>
        <v>433</v>
      </c>
      <c r="D28" s="766">
        <f>'4.6_генерация_КТЭЦ с косв.'!D28+'4.6_генерация_котельн.'!D28</f>
        <v>625</v>
      </c>
      <c r="E28" s="766">
        <v>652</v>
      </c>
      <c r="F28" s="766">
        <v>798</v>
      </c>
      <c r="G28" s="766">
        <v>239</v>
      </c>
      <c r="H28" s="766">
        <v>377</v>
      </c>
      <c r="I28" s="766">
        <v>385</v>
      </c>
      <c r="J28" s="766">
        <v>385</v>
      </c>
      <c r="K28" s="766">
        <v>408.12552000000005</v>
      </c>
      <c r="L28" s="766">
        <v>204.06276000000003</v>
      </c>
      <c r="M28" s="766">
        <v>204.06276000000003</v>
      </c>
      <c r="N28" s="766">
        <v>427.88287642319995</v>
      </c>
      <c r="O28" s="766">
        <v>213.94143821159997</v>
      </c>
      <c r="P28" s="766">
        <v>213.94143821159997</v>
      </c>
    </row>
    <row r="29" spans="1:16" s="4" customFormat="1" hidden="1" outlineLevel="1">
      <c r="A29" s="17"/>
      <c r="B29" s="581" t="s">
        <v>1559</v>
      </c>
      <c r="C29" s="766">
        <f>'4.6_генерация_КТЭЦ с косв.'!C29+'4.6_генерация_котельн.'!C29</f>
        <v>45141</v>
      </c>
      <c r="D29" s="993">
        <f>'4.6_генерация_КТЭЦ с косв.'!D29+'4.6_генерация_котельн.'!D29</f>
        <v>44338.611399999994</v>
      </c>
      <c r="E29" s="766">
        <v>43837</v>
      </c>
      <c r="F29" s="766">
        <v>48291.167359999992</v>
      </c>
      <c r="G29" s="766">
        <v>39187</v>
      </c>
      <c r="H29" s="766">
        <v>55037.955799999996</v>
      </c>
      <c r="I29" s="766">
        <v>56477</v>
      </c>
      <c r="J29" s="766">
        <v>56477</v>
      </c>
      <c r="K29" s="766">
        <v>59714.261639999997</v>
      </c>
      <c r="L29" s="766">
        <v>29857.130819999998</v>
      </c>
      <c r="M29" s="766">
        <v>29857.130819999998</v>
      </c>
      <c r="N29" s="766">
        <v>62605.029045992393</v>
      </c>
      <c r="O29" s="766">
        <v>31302.514522996196</v>
      </c>
      <c r="P29" s="766">
        <v>31302.514522996196</v>
      </c>
    </row>
    <row r="30" spans="1:16" s="4" customFormat="1" hidden="1" outlineLevel="2">
      <c r="A30" s="737" t="s">
        <v>89</v>
      </c>
      <c r="B30" s="738" t="s">
        <v>1244</v>
      </c>
      <c r="C30" s="753">
        <f>'4.6_генерация_КТЭЦ с косв.'!C30+'4.6_генерация_котельн.'!C30</f>
        <v>0</v>
      </c>
      <c r="D30" s="753">
        <f>'4.6_генерация_КТЭЦ с косв.'!D30+'4.6_генерация_котельн.'!D30</f>
        <v>20338.489999999998</v>
      </c>
      <c r="E30" s="753">
        <v>0</v>
      </c>
      <c r="F30" s="753">
        <v>19977</v>
      </c>
      <c r="G30" s="753">
        <v>0</v>
      </c>
      <c r="H30" s="753">
        <v>21213</v>
      </c>
      <c r="I30" s="753">
        <v>17822</v>
      </c>
      <c r="J30" s="753">
        <v>17822</v>
      </c>
      <c r="K30" s="753">
        <v>0</v>
      </c>
      <c r="L30" s="753">
        <v>0</v>
      </c>
      <c r="M30" s="753">
        <v>0</v>
      </c>
      <c r="N30" s="753">
        <v>0</v>
      </c>
      <c r="O30" s="753">
        <v>0</v>
      </c>
      <c r="P30" s="753">
        <v>0</v>
      </c>
    </row>
    <row r="31" spans="1:16" s="341" customFormat="1" hidden="1" outlineLevel="2">
      <c r="A31" s="760" t="s">
        <v>91</v>
      </c>
      <c r="B31" s="761" t="s">
        <v>1245</v>
      </c>
      <c r="C31" s="746">
        <f t="shared" ref="C31:D31" si="2">SUM(C32:C43)+C45</f>
        <v>0</v>
      </c>
      <c r="D31" s="746">
        <f t="shared" si="2"/>
        <v>24000.121400000004</v>
      </c>
      <c r="E31" s="746">
        <v>0</v>
      </c>
      <c r="F31" s="746">
        <v>28314.167359999996</v>
      </c>
      <c r="G31" s="746">
        <v>0</v>
      </c>
      <c r="H31" s="746">
        <v>33824.955799999996</v>
      </c>
      <c r="I31" s="746">
        <v>20892</v>
      </c>
      <c r="J31" s="746">
        <v>20892</v>
      </c>
      <c r="K31" s="746">
        <v>0</v>
      </c>
      <c r="L31" s="746">
        <v>0</v>
      </c>
      <c r="M31" s="746">
        <v>0</v>
      </c>
      <c r="N31" s="746">
        <v>0</v>
      </c>
      <c r="O31" s="746">
        <v>0</v>
      </c>
      <c r="P31" s="746">
        <v>0</v>
      </c>
    </row>
    <row r="32" spans="1:16" s="4" customFormat="1" ht="25.5" hidden="1" outlineLevel="2">
      <c r="A32" s="739" t="s">
        <v>1044</v>
      </c>
      <c r="B32" s="740" t="s">
        <v>1247</v>
      </c>
      <c r="C32" s="753">
        <f>'4.6_генерация_КТЭЦ с косв.'!C32+'4.6_генерация_котельн.'!C32</f>
        <v>0</v>
      </c>
      <c r="D32" s="753">
        <f>'4.6_генерация_КТЭЦ с косв.'!D32+'4.6_генерация_котельн.'!D32</f>
        <v>2153.5664999999999</v>
      </c>
      <c r="E32" s="753">
        <v>0</v>
      </c>
      <c r="F32" s="753">
        <v>1924.21515</v>
      </c>
      <c r="G32" s="753">
        <v>0</v>
      </c>
      <c r="H32" s="753">
        <v>1807.6014</v>
      </c>
      <c r="I32" s="753">
        <v>2892</v>
      </c>
      <c r="J32" s="753">
        <v>2892</v>
      </c>
      <c r="K32" s="753">
        <v>0</v>
      </c>
      <c r="L32" s="753">
        <v>0</v>
      </c>
      <c r="M32" s="753">
        <v>0</v>
      </c>
      <c r="N32" s="753">
        <v>0</v>
      </c>
      <c r="O32" s="753">
        <v>0</v>
      </c>
      <c r="P32" s="753">
        <v>0</v>
      </c>
    </row>
    <row r="33" spans="1:16" s="4" customFormat="1" ht="25.5" hidden="1" outlineLevel="2">
      <c r="A33" s="739" t="s">
        <v>1043</v>
      </c>
      <c r="B33" s="740" t="s">
        <v>1249</v>
      </c>
      <c r="C33" s="753">
        <f>'4.6_генерация_КТЭЦ с косв.'!C33+'4.6_генерация_котельн.'!C33</f>
        <v>0</v>
      </c>
      <c r="D33" s="753">
        <f>'4.6_генерация_КТЭЦ с косв.'!D33+'4.6_генерация_котельн.'!D33</f>
        <v>14.956800000000001</v>
      </c>
      <c r="E33" s="753">
        <v>0</v>
      </c>
      <c r="F33" s="753">
        <v>1.01078</v>
      </c>
      <c r="G33" s="753">
        <v>0</v>
      </c>
      <c r="H33" s="753">
        <v>0</v>
      </c>
      <c r="I33" s="753">
        <v>0</v>
      </c>
      <c r="J33" s="753">
        <v>0</v>
      </c>
      <c r="K33" s="753">
        <v>0</v>
      </c>
      <c r="L33" s="753">
        <v>0</v>
      </c>
      <c r="M33" s="753">
        <v>0</v>
      </c>
      <c r="N33" s="753">
        <v>0</v>
      </c>
      <c r="O33" s="753">
        <v>0</v>
      </c>
      <c r="P33" s="753">
        <v>0</v>
      </c>
    </row>
    <row r="34" spans="1:16" s="4" customFormat="1" hidden="1" outlineLevel="2">
      <c r="A34" s="741" t="s">
        <v>1540</v>
      </c>
      <c r="B34" s="740" t="s">
        <v>1250</v>
      </c>
      <c r="C34" s="753">
        <f>'4.6_генерация_КТЭЦ с косв.'!C34+'4.6_генерация_котельн.'!C34</f>
        <v>0</v>
      </c>
      <c r="D34" s="753">
        <f>'4.6_генерация_КТЭЦ с косв.'!D34+'4.6_генерация_котельн.'!D34</f>
        <v>375.4282</v>
      </c>
      <c r="E34" s="753">
        <v>0</v>
      </c>
      <c r="F34" s="753">
        <v>362.66386999999997</v>
      </c>
      <c r="G34" s="753">
        <v>0</v>
      </c>
      <c r="H34" s="753">
        <v>434.87639999999999</v>
      </c>
      <c r="I34" s="753">
        <v>0</v>
      </c>
      <c r="J34" s="753">
        <v>0</v>
      </c>
      <c r="K34" s="753">
        <v>0</v>
      </c>
      <c r="L34" s="753">
        <v>0</v>
      </c>
      <c r="M34" s="753">
        <v>0</v>
      </c>
      <c r="N34" s="753">
        <v>0</v>
      </c>
      <c r="O34" s="753">
        <v>0</v>
      </c>
      <c r="P34" s="753">
        <v>0</v>
      </c>
    </row>
    <row r="35" spans="1:16" s="4" customFormat="1" ht="25.5" hidden="1" outlineLevel="2">
      <c r="A35" s="739" t="s">
        <v>1541</v>
      </c>
      <c r="B35" s="740" t="s">
        <v>1251</v>
      </c>
      <c r="C35" s="753">
        <f>'4.6_генерация_КТЭЦ с косв.'!C35+'4.6_генерация_котельн.'!C35</f>
        <v>0</v>
      </c>
      <c r="D35" s="753">
        <f>'4.6_генерация_КТЭЦ с косв.'!D35+'4.6_генерация_котельн.'!D35</f>
        <v>1679.0284000000001</v>
      </c>
      <c r="E35" s="753">
        <v>0</v>
      </c>
      <c r="F35" s="753">
        <v>1613.18109</v>
      </c>
      <c r="G35" s="753">
        <v>0</v>
      </c>
      <c r="H35" s="753">
        <v>1185.4110000000001</v>
      </c>
      <c r="I35" s="753">
        <v>2897</v>
      </c>
      <c r="J35" s="753">
        <v>2897</v>
      </c>
      <c r="K35" s="753">
        <v>0</v>
      </c>
      <c r="L35" s="753">
        <v>0</v>
      </c>
      <c r="M35" s="753">
        <v>0</v>
      </c>
      <c r="N35" s="753">
        <v>0</v>
      </c>
      <c r="O35" s="753">
        <v>0</v>
      </c>
      <c r="P35" s="753">
        <v>0</v>
      </c>
    </row>
    <row r="36" spans="1:16" s="4" customFormat="1" hidden="1" outlineLevel="2">
      <c r="A36" s="739" t="s">
        <v>1542</v>
      </c>
      <c r="B36" s="740" t="s">
        <v>1252</v>
      </c>
      <c r="C36" s="753">
        <f>'4.6_генерация_КТЭЦ с косв.'!C36+'4.6_генерация_котельн.'!C36</f>
        <v>0</v>
      </c>
      <c r="D36" s="753">
        <f>'4.6_генерация_КТЭЦ с косв.'!D36+'4.6_генерация_котельн.'!D36</f>
        <v>6996.2173000000003</v>
      </c>
      <c r="E36" s="753">
        <v>0</v>
      </c>
      <c r="F36" s="753">
        <v>6638.1125799999991</v>
      </c>
      <c r="G36" s="753">
        <v>0</v>
      </c>
      <c r="H36" s="753">
        <v>7736.7593999999999</v>
      </c>
      <c r="I36" s="753">
        <v>11755</v>
      </c>
      <c r="J36" s="753">
        <v>11755</v>
      </c>
      <c r="K36" s="753">
        <v>0</v>
      </c>
      <c r="L36" s="753">
        <v>0</v>
      </c>
      <c r="M36" s="753">
        <v>0</v>
      </c>
      <c r="N36" s="753">
        <v>0</v>
      </c>
      <c r="O36" s="753">
        <v>0</v>
      </c>
      <c r="P36" s="753">
        <v>0</v>
      </c>
    </row>
    <row r="37" spans="1:16" s="4" customFormat="1" hidden="1" outlineLevel="2">
      <c r="A37" s="739" t="s">
        <v>1543</v>
      </c>
      <c r="B37" s="740" t="s">
        <v>1253</v>
      </c>
      <c r="C37" s="753">
        <f>'4.6_генерация_КТЭЦ с косв.'!C37+'4.6_генерация_котельн.'!C37</f>
        <v>0</v>
      </c>
      <c r="D37" s="753">
        <f>'4.6_генерация_КТЭЦ с косв.'!D37+'4.6_генерация_котельн.'!D37</f>
        <v>3987.5920000000001</v>
      </c>
      <c r="E37" s="753">
        <v>0</v>
      </c>
      <c r="F37" s="753">
        <v>1946.9625900000001</v>
      </c>
      <c r="G37" s="753">
        <v>0</v>
      </c>
      <c r="H37" s="753">
        <v>3909.1289999999999</v>
      </c>
      <c r="I37" s="753">
        <v>0</v>
      </c>
      <c r="J37" s="753">
        <v>0</v>
      </c>
      <c r="K37" s="753">
        <v>0</v>
      </c>
      <c r="L37" s="753">
        <v>0</v>
      </c>
      <c r="M37" s="753">
        <v>0</v>
      </c>
      <c r="N37" s="753">
        <v>0</v>
      </c>
      <c r="O37" s="753">
        <v>0</v>
      </c>
      <c r="P37" s="753">
        <v>0</v>
      </c>
    </row>
    <row r="38" spans="1:16" s="4" customFormat="1" hidden="1" outlineLevel="2">
      <c r="A38" s="739" t="s">
        <v>1544</v>
      </c>
      <c r="B38" s="742" t="s">
        <v>1254</v>
      </c>
      <c r="C38" s="753">
        <f>'4.6_генерация_КТЭЦ с косв.'!C38+'4.6_генерация_котельн.'!C38</f>
        <v>0</v>
      </c>
      <c r="D38" s="753">
        <f>'4.6_генерация_КТЭЦ с косв.'!D38+'4.6_генерация_котельн.'!D38</f>
        <v>638.21990000000005</v>
      </c>
      <c r="E38" s="753">
        <v>0</v>
      </c>
      <c r="F38" s="753">
        <v>651.93229999999994</v>
      </c>
      <c r="G38" s="753">
        <v>0</v>
      </c>
      <c r="H38" s="753">
        <v>491.27520000000004</v>
      </c>
      <c r="I38" s="753">
        <v>0</v>
      </c>
      <c r="J38" s="753">
        <v>0</v>
      </c>
      <c r="K38" s="753">
        <v>0</v>
      </c>
      <c r="L38" s="753">
        <v>0</v>
      </c>
      <c r="M38" s="753">
        <v>0</v>
      </c>
      <c r="N38" s="753">
        <v>0</v>
      </c>
      <c r="O38" s="753">
        <v>0</v>
      </c>
      <c r="P38" s="753">
        <v>0</v>
      </c>
    </row>
    <row r="39" spans="1:16" s="4" customFormat="1" hidden="1" outlineLevel="2">
      <c r="A39" s="739" t="s">
        <v>1545</v>
      </c>
      <c r="B39" s="740" t="s">
        <v>1255</v>
      </c>
      <c r="C39" s="753">
        <f>'4.6_генерация_КТЭЦ с косв.'!C39+'4.6_генерация_котельн.'!C39</f>
        <v>0</v>
      </c>
      <c r="D39" s="753">
        <f>'4.6_генерация_КТЭЦ с косв.'!D39+'4.6_генерация_котельн.'!D39</f>
        <v>215.1678</v>
      </c>
      <c r="E39" s="753">
        <v>0</v>
      </c>
      <c r="F39" s="753">
        <v>198.05264999999997</v>
      </c>
      <c r="G39" s="753">
        <v>0</v>
      </c>
      <c r="H39" s="753">
        <v>188.96699999999998</v>
      </c>
      <c r="I39" s="753">
        <v>0</v>
      </c>
      <c r="J39" s="753">
        <v>0</v>
      </c>
      <c r="K39" s="753">
        <v>0</v>
      </c>
      <c r="L39" s="753">
        <v>0</v>
      </c>
      <c r="M39" s="753">
        <v>0</v>
      </c>
      <c r="N39" s="753">
        <v>0</v>
      </c>
      <c r="O39" s="753">
        <v>0</v>
      </c>
      <c r="P39" s="753">
        <v>0</v>
      </c>
    </row>
    <row r="40" spans="1:16" s="4" customFormat="1" ht="25.5" hidden="1" outlineLevel="2">
      <c r="A40" s="739" t="s">
        <v>1546</v>
      </c>
      <c r="B40" s="742" t="s">
        <v>1256</v>
      </c>
      <c r="C40" s="753">
        <f>'4.6_генерация_КТЭЦ с косв.'!C40+'4.6_генерация_котельн.'!C40</f>
        <v>0</v>
      </c>
      <c r="D40" s="753">
        <f>'4.6_генерация_КТЭЦ с косв.'!D40+'4.6_генерация_котельн.'!D40</f>
        <v>452.42329999999998</v>
      </c>
      <c r="E40" s="753">
        <v>0</v>
      </c>
      <c r="F40" s="753">
        <v>399.50051999999994</v>
      </c>
      <c r="G40" s="753">
        <v>0</v>
      </c>
      <c r="H40" s="753">
        <v>223.58519999999999</v>
      </c>
      <c r="I40" s="753">
        <v>0</v>
      </c>
      <c r="J40" s="753">
        <v>0</v>
      </c>
      <c r="K40" s="753">
        <v>0</v>
      </c>
      <c r="L40" s="753">
        <v>0</v>
      </c>
      <c r="M40" s="753">
        <v>0</v>
      </c>
      <c r="N40" s="753">
        <v>0</v>
      </c>
      <c r="O40" s="753">
        <v>0</v>
      </c>
      <c r="P40" s="753">
        <v>0</v>
      </c>
    </row>
    <row r="41" spans="1:16" s="4" customFormat="1" hidden="1" outlineLevel="2">
      <c r="A41" s="739" t="s">
        <v>1547</v>
      </c>
      <c r="B41" s="742" t="s">
        <v>1257</v>
      </c>
      <c r="C41" s="753">
        <f>'4.6_генерация_КТЭЦ с косв.'!C41+'4.6_генерация_котельн.'!C41</f>
        <v>0</v>
      </c>
      <c r="D41" s="753">
        <f>'4.6_генерация_КТЭЦ с косв.'!D41+'4.6_генерация_котельн.'!D41</f>
        <v>4827.2867999999999</v>
      </c>
      <c r="E41" s="753">
        <v>0</v>
      </c>
      <c r="F41" s="753">
        <v>11860.155579999999</v>
      </c>
      <c r="G41" s="753">
        <v>0</v>
      </c>
      <c r="H41" s="753">
        <v>13017.9444</v>
      </c>
      <c r="I41" s="753">
        <v>0</v>
      </c>
      <c r="J41" s="753">
        <v>0</v>
      </c>
      <c r="K41" s="753">
        <v>0</v>
      </c>
      <c r="L41" s="753">
        <v>0</v>
      </c>
      <c r="M41" s="753">
        <v>0</v>
      </c>
      <c r="N41" s="753">
        <v>0</v>
      </c>
      <c r="O41" s="753">
        <v>0</v>
      </c>
      <c r="P41" s="753">
        <v>0</v>
      </c>
    </row>
    <row r="42" spans="1:16" s="4" customFormat="1" hidden="1" outlineLevel="2">
      <c r="A42" s="741" t="s">
        <v>1548</v>
      </c>
      <c r="B42" s="742" t="s">
        <v>1556</v>
      </c>
      <c r="C42" s="753">
        <f>'4.6_генерация_КТЭЦ с косв.'!C42+'4.6_генерация_котельн.'!C42</f>
        <v>0</v>
      </c>
      <c r="D42" s="753">
        <f>'4.6_генерация_КТЭЦ с косв.'!D42+'4.6_генерация_котельн.'!D42</f>
        <v>264.73789999999997</v>
      </c>
      <c r="E42" s="753">
        <v>0</v>
      </c>
      <c r="F42" s="753">
        <v>779.48459000000003</v>
      </c>
      <c r="G42" s="753">
        <v>0</v>
      </c>
      <c r="H42" s="753">
        <v>395.67359999999996</v>
      </c>
      <c r="I42" s="753">
        <v>1795</v>
      </c>
      <c r="J42" s="753">
        <v>1795</v>
      </c>
      <c r="K42" s="753">
        <v>0</v>
      </c>
      <c r="L42" s="753">
        <v>0</v>
      </c>
      <c r="M42" s="753">
        <v>0</v>
      </c>
      <c r="N42" s="753">
        <v>0</v>
      </c>
      <c r="O42" s="753">
        <v>0</v>
      </c>
      <c r="P42" s="753">
        <v>0</v>
      </c>
    </row>
    <row r="43" spans="1:16" s="4" customFormat="1" hidden="1" outlineLevel="2">
      <c r="A43" s="741" t="s">
        <v>1549</v>
      </c>
      <c r="B43" s="742" t="s">
        <v>1258</v>
      </c>
      <c r="C43" s="753">
        <f>'4.6_генерация_КТЭЦ с косв.'!C43+'4.6_генерация_котельн.'!C43</f>
        <v>0</v>
      </c>
      <c r="D43" s="753">
        <f>'4.6_генерация_КТЭЦ с косв.'!D43+'4.6_генерация_котельн.'!D43</f>
        <v>610.86609999999996</v>
      </c>
      <c r="E43" s="753">
        <v>0</v>
      </c>
      <c r="F43" s="753">
        <v>301.58314000000007</v>
      </c>
      <c r="G43" s="753">
        <v>0</v>
      </c>
      <c r="H43" s="753">
        <v>399.7944</v>
      </c>
      <c r="I43" s="753">
        <v>1553</v>
      </c>
      <c r="J43" s="753">
        <v>1553</v>
      </c>
      <c r="K43" s="753">
        <v>0</v>
      </c>
      <c r="L43" s="753">
        <v>0</v>
      </c>
      <c r="M43" s="753">
        <v>0</v>
      </c>
      <c r="N43" s="753">
        <v>0</v>
      </c>
      <c r="O43" s="753">
        <v>0</v>
      </c>
      <c r="P43" s="753">
        <v>0</v>
      </c>
    </row>
    <row r="44" spans="1:16" s="4" customFormat="1" hidden="1" outlineLevel="2">
      <c r="A44" s="764" t="s">
        <v>1555</v>
      </c>
      <c r="B44" s="742" t="s">
        <v>1890</v>
      </c>
      <c r="C44" s="753">
        <f>'4.6_генерация_КТЭЦ с косв.'!C44+'4.6_генерация_котельн.'!C44</f>
        <v>0</v>
      </c>
      <c r="D44" s="753">
        <f>'4.6_генерация_КТЭЦ с косв.'!D44+'4.6_генерация_котельн.'!D44</f>
        <v>611</v>
      </c>
      <c r="E44" s="753">
        <v>0</v>
      </c>
      <c r="F44" s="753">
        <v>0</v>
      </c>
      <c r="G44" s="753">
        <v>0</v>
      </c>
      <c r="H44" s="753">
        <v>0</v>
      </c>
      <c r="I44" s="753">
        <v>0</v>
      </c>
      <c r="J44" s="753">
        <v>0</v>
      </c>
      <c r="K44" s="753">
        <v>0</v>
      </c>
      <c r="L44" s="753">
        <v>0</v>
      </c>
      <c r="M44" s="753">
        <v>0</v>
      </c>
      <c r="N44" s="753">
        <v>0</v>
      </c>
      <c r="O44" s="753">
        <v>0</v>
      </c>
      <c r="P44" s="753">
        <v>0</v>
      </c>
    </row>
    <row r="45" spans="1:16" s="341" customFormat="1" hidden="1" outlineLevel="2">
      <c r="A45" s="764" t="s">
        <v>1889</v>
      </c>
      <c r="B45" s="765" t="s">
        <v>1259</v>
      </c>
      <c r="C45" s="746">
        <f>SUM(C46:C54)</f>
        <v>0</v>
      </c>
      <c r="D45" s="746">
        <f t="shared" ref="D45" si="3">SUM(D46:D54)</f>
        <v>1784.6304</v>
      </c>
      <c r="E45" s="746">
        <v>0</v>
      </c>
      <c r="F45" s="746">
        <v>1637.3125199999999</v>
      </c>
      <c r="G45" s="746">
        <v>0</v>
      </c>
      <c r="H45" s="746">
        <v>4033.9387999999999</v>
      </c>
      <c r="I45" s="746">
        <v>0</v>
      </c>
      <c r="J45" s="746">
        <v>0</v>
      </c>
      <c r="K45" s="746">
        <v>0</v>
      </c>
      <c r="L45" s="746">
        <v>0</v>
      </c>
      <c r="M45" s="746">
        <v>0</v>
      </c>
      <c r="N45" s="746">
        <v>0</v>
      </c>
      <c r="O45" s="746">
        <v>0</v>
      </c>
      <c r="P45" s="746">
        <v>0</v>
      </c>
    </row>
    <row r="46" spans="1:16" s="4" customFormat="1" hidden="1" outlineLevel="2">
      <c r="A46" s="744"/>
      <c r="B46" s="745" t="s">
        <v>1260</v>
      </c>
      <c r="C46" s="753">
        <f>'4.6_генерация_КТЭЦ с косв.'!C46+'4.6_генерация_котельн.'!C46</f>
        <v>0</v>
      </c>
      <c r="D46" s="753">
        <f>'4.6_генерация_КТЭЦ с косв.'!D46+'4.6_генерация_котельн.'!D46</f>
        <v>238.96370000000002</v>
      </c>
      <c r="E46" s="753">
        <v>0</v>
      </c>
      <c r="F46" s="753">
        <v>210.96134999999998</v>
      </c>
      <c r="G46" s="753">
        <v>0</v>
      </c>
      <c r="H46" s="753">
        <v>136.65719999999999</v>
      </c>
      <c r="I46" s="753">
        <v>0</v>
      </c>
      <c r="J46" s="753">
        <v>0</v>
      </c>
      <c r="K46" s="753">
        <v>0</v>
      </c>
      <c r="L46" s="753">
        <v>0</v>
      </c>
      <c r="M46" s="753">
        <v>0</v>
      </c>
      <c r="N46" s="753">
        <v>0</v>
      </c>
      <c r="O46" s="753">
        <v>0</v>
      </c>
      <c r="P46" s="753">
        <v>0</v>
      </c>
    </row>
    <row r="47" spans="1:16" s="4" customFormat="1" hidden="1" outlineLevel="2">
      <c r="A47" s="744"/>
      <c r="B47" s="743" t="s">
        <v>1261</v>
      </c>
      <c r="C47" s="753">
        <f>'4.6_генерация_КТЭЦ с косв.'!C47+'4.6_генерация_котельн.'!C47</f>
        <v>0</v>
      </c>
      <c r="D47" s="753">
        <f>'4.6_генерация_КТЭЦ с косв.'!D47+'4.6_генерация_котельн.'!D47</f>
        <v>166.36160000000001</v>
      </c>
      <c r="E47" s="753">
        <v>0</v>
      </c>
      <c r="F47" s="753">
        <v>172.14905999999999</v>
      </c>
      <c r="G47" s="753">
        <v>0</v>
      </c>
      <c r="H47" s="753">
        <v>152.98559999999998</v>
      </c>
      <c r="I47" s="753">
        <v>0</v>
      </c>
      <c r="J47" s="753">
        <v>0</v>
      </c>
      <c r="K47" s="753">
        <v>0</v>
      </c>
      <c r="L47" s="753">
        <v>0</v>
      </c>
      <c r="M47" s="753">
        <v>0</v>
      </c>
      <c r="N47" s="753">
        <v>0</v>
      </c>
      <c r="O47" s="753">
        <v>0</v>
      </c>
      <c r="P47" s="753">
        <v>0</v>
      </c>
    </row>
    <row r="48" spans="1:16" s="4" customFormat="1" hidden="1" outlineLevel="2">
      <c r="A48" s="744"/>
      <c r="B48" s="743" t="s">
        <v>1262</v>
      </c>
      <c r="C48" s="753">
        <f>'4.6_генерация_КТЭЦ с косв.'!C48+'4.6_генерация_котельн.'!C48</f>
        <v>0</v>
      </c>
      <c r="D48" s="753">
        <f>'4.6_генерация_КТЭЦ с косв.'!D48+'4.6_генерация_котельн.'!D48</f>
        <v>419.67550000000006</v>
      </c>
      <c r="E48" s="753">
        <v>0</v>
      </c>
      <c r="F48" s="753">
        <v>497.64152000000001</v>
      </c>
      <c r="G48" s="753">
        <v>0</v>
      </c>
      <c r="H48" s="753">
        <v>459.00419999999997</v>
      </c>
      <c r="I48" s="753">
        <v>0</v>
      </c>
      <c r="J48" s="753">
        <v>0</v>
      </c>
      <c r="K48" s="753">
        <v>0</v>
      </c>
      <c r="L48" s="753">
        <v>0</v>
      </c>
      <c r="M48" s="753">
        <v>0</v>
      </c>
      <c r="N48" s="753">
        <v>0</v>
      </c>
      <c r="O48" s="753">
        <v>0</v>
      </c>
      <c r="P48" s="753">
        <v>0</v>
      </c>
    </row>
    <row r="49" spans="1:16" s="4" customFormat="1" hidden="1" outlineLevel="2">
      <c r="A49" s="744"/>
      <c r="B49" s="743" t="s">
        <v>1263</v>
      </c>
      <c r="C49" s="753">
        <f>'4.6_генерация_КТЭЦ с косв.'!C49+'4.6_генерация_котельн.'!C49</f>
        <v>0</v>
      </c>
      <c r="D49" s="753">
        <f>'4.6_генерация_КТЭЦ с косв.'!D49+'4.6_генерация_котельн.'!D49</f>
        <v>651.73389999999995</v>
      </c>
      <c r="E49" s="753">
        <v>0</v>
      </c>
      <c r="F49" s="753">
        <v>271.33344999999997</v>
      </c>
      <c r="G49" s="753">
        <v>0</v>
      </c>
      <c r="H49" s="753">
        <v>79.260599999999997</v>
      </c>
      <c r="I49" s="753">
        <v>0</v>
      </c>
      <c r="J49" s="753">
        <v>0</v>
      </c>
      <c r="K49" s="753">
        <v>0</v>
      </c>
      <c r="L49" s="753">
        <v>0</v>
      </c>
      <c r="M49" s="753">
        <v>0</v>
      </c>
      <c r="N49" s="753">
        <v>0</v>
      </c>
      <c r="O49" s="753">
        <v>0</v>
      </c>
      <c r="P49" s="753">
        <v>0</v>
      </c>
    </row>
    <row r="50" spans="1:16" s="4" customFormat="1" ht="25.5" hidden="1" outlineLevel="2">
      <c r="A50" s="744"/>
      <c r="B50" s="743" t="s">
        <v>1891</v>
      </c>
      <c r="C50" s="753">
        <f>'4.6_генерация_КТЭЦ с косв.'!C50+'4.6_генерация_котельн.'!C50</f>
        <v>0</v>
      </c>
      <c r="D50" s="753">
        <f>'4.6_генерация_КТЭЦ с косв.'!D50+'4.6_генерация_котельн.'!D50</f>
        <v>307.89569999999998</v>
      </c>
      <c r="E50" s="753">
        <v>0</v>
      </c>
      <c r="F50" s="753">
        <v>485.22714000000002</v>
      </c>
      <c r="G50" s="753">
        <v>0</v>
      </c>
      <c r="H50" s="753">
        <v>1428.2148</v>
      </c>
      <c r="I50" s="753">
        <v>0</v>
      </c>
      <c r="J50" s="753">
        <v>0</v>
      </c>
      <c r="K50" s="753">
        <v>0</v>
      </c>
      <c r="L50" s="753">
        <v>0</v>
      </c>
      <c r="M50" s="753">
        <v>0</v>
      </c>
      <c r="N50" s="753">
        <v>0</v>
      </c>
      <c r="O50" s="753">
        <v>0</v>
      </c>
      <c r="P50" s="753">
        <v>0</v>
      </c>
    </row>
    <row r="51" spans="1:16" s="4" customFormat="1" ht="25.5" hidden="1" outlineLevel="2">
      <c r="A51" s="744"/>
      <c r="B51" s="743" t="s">
        <v>1264</v>
      </c>
      <c r="C51" s="753">
        <f>'4.6_генерация_КТЭЦ с косв.'!C51+'4.6_генерация_котельн.'!C51</f>
        <v>0</v>
      </c>
      <c r="D51" s="753">
        <f>'4.6_генерация_КТЭЦ с косв.'!D51+'4.6_генерация_котельн.'!D51</f>
        <v>0</v>
      </c>
      <c r="E51" s="753">
        <v>0</v>
      </c>
      <c r="F51" s="753">
        <v>0</v>
      </c>
      <c r="G51" s="753">
        <v>0</v>
      </c>
      <c r="H51" s="753">
        <v>0</v>
      </c>
      <c r="I51" s="753">
        <v>0</v>
      </c>
      <c r="J51" s="753">
        <v>0</v>
      </c>
      <c r="K51" s="753">
        <v>0</v>
      </c>
      <c r="L51" s="753">
        <v>0</v>
      </c>
      <c r="M51" s="753">
        <v>0</v>
      </c>
      <c r="N51" s="753">
        <v>0</v>
      </c>
      <c r="O51" s="753">
        <v>0</v>
      </c>
      <c r="P51" s="753">
        <v>0</v>
      </c>
    </row>
    <row r="52" spans="1:16" s="4" customFormat="1" hidden="1" outlineLevel="2">
      <c r="A52" s="744"/>
      <c r="B52" s="1391" t="s">
        <v>1883</v>
      </c>
      <c r="C52" s="753">
        <f>'4.6_генерация_КТЭЦ с косв.'!C52+'4.6_генерация_котельн.'!C52</f>
        <v>0</v>
      </c>
      <c r="D52" s="753">
        <f>'4.6_генерация_КТЭЦ с косв.'!D52+'4.6_генерация_котельн.'!D52</f>
        <v>0</v>
      </c>
      <c r="E52" s="753">
        <v>0</v>
      </c>
      <c r="F52" s="753">
        <v>0</v>
      </c>
      <c r="G52" s="753">
        <v>0</v>
      </c>
      <c r="H52" s="753">
        <v>317</v>
      </c>
      <c r="I52" s="753">
        <v>0</v>
      </c>
      <c r="J52" s="753">
        <v>0</v>
      </c>
      <c r="K52" s="753">
        <v>0</v>
      </c>
      <c r="L52" s="753">
        <v>0</v>
      </c>
      <c r="M52" s="753">
        <v>0</v>
      </c>
      <c r="N52" s="753">
        <v>0</v>
      </c>
      <c r="O52" s="753">
        <v>0</v>
      </c>
      <c r="P52" s="753">
        <v>0</v>
      </c>
    </row>
    <row r="53" spans="1:16" s="4" customFormat="1" hidden="1" outlineLevel="2">
      <c r="A53" s="744"/>
      <c r="B53" s="743" t="s">
        <v>1884</v>
      </c>
      <c r="C53" s="753">
        <f>'4.6_генерация_КТЭЦ с косв.'!C53+'4.6_генерация_котельн.'!C53</f>
        <v>0</v>
      </c>
      <c r="D53" s="753">
        <f>'4.6_генерация_КТЭЦ с косв.'!D53+'4.6_генерация_котельн.'!D53</f>
        <v>0</v>
      </c>
      <c r="E53" s="753">
        <v>0</v>
      </c>
      <c r="F53" s="753">
        <v>0</v>
      </c>
      <c r="G53" s="753">
        <v>0</v>
      </c>
      <c r="H53" s="753">
        <v>1460.8164000000002</v>
      </c>
      <c r="I53" s="753">
        <v>0</v>
      </c>
      <c r="J53" s="753">
        <v>0</v>
      </c>
      <c r="K53" s="753">
        <v>0</v>
      </c>
      <c r="L53" s="753">
        <v>0</v>
      </c>
      <c r="M53" s="753">
        <v>0</v>
      </c>
      <c r="N53" s="753">
        <v>0</v>
      </c>
      <c r="O53" s="753">
        <v>0</v>
      </c>
      <c r="P53" s="753">
        <v>0</v>
      </c>
    </row>
    <row r="54" spans="1:16" s="4" customFormat="1" ht="25.5" hidden="1" outlineLevel="2">
      <c r="A54" s="17"/>
      <c r="B54" s="743" t="s">
        <v>1885</v>
      </c>
      <c r="C54" s="753">
        <f>'4.6_генерация_КТЭЦ с косв.'!C54+'4.6_генерация_котельн.'!C54</f>
        <v>0</v>
      </c>
      <c r="D54" s="753">
        <f>'4.6_генерация_КТЭЦ с косв.'!D54+'4.6_генерация_котельн.'!D54</f>
        <v>0</v>
      </c>
      <c r="E54" s="753">
        <v>0</v>
      </c>
      <c r="F54" s="753">
        <v>0</v>
      </c>
      <c r="G54" s="753">
        <v>0</v>
      </c>
      <c r="H54" s="753">
        <v>0</v>
      </c>
      <c r="I54" s="753">
        <v>0</v>
      </c>
      <c r="J54" s="753">
        <v>0</v>
      </c>
      <c r="K54" s="753">
        <v>0</v>
      </c>
      <c r="L54" s="753">
        <v>0</v>
      </c>
      <c r="M54" s="753">
        <v>0</v>
      </c>
      <c r="N54" s="753">
        <v>0</v>
      </c>
      <c r="O54" s="753">
        <v>0</v>
      </c>
      <c r="P54" s="753">
        <v>0</v>
      </c>
    </row>
    <row r="55" spans="1:16" s="341" customFormat="1" ht="25.5" hidden="1" outlineLevel="2">
      <c r="A55" s="339"/>
      <c r="B55" s="743" t="s">
        <v>1886</v>
      </c>
      <c r="C55" s="750">
        <f>'4.6_генерация_КТЭЦ с косв.'!C55+'4.6_генерация_котельн.'!C55</f>
        <v>0</v>
      </c>
      <c r="D55" s="750">
        <f>'4.6_генерация_КТЭЦ с косв.'!D55+'4.6_генерация_котельн.'!D55</f>
        <v>0</v>
      </c>
      <c r="E55" s="750">
        <v>0</v>
      </c>
      <c r="F55" s="750">
        <v>0</v>
      </c>
      <c r="G55" s="750">
        <v>0</v>
      </c>
      <c r="H55" s="750">
        <v>0</v>
      </c>
      <c r="I55" s="750">
        <v>0</v>
      </c>
      <c r="J55" s="750">
        <v>0</v>
      </c>
      <c r="K55" s="750">
        <v>0</v>
      </c>
      <c r="L55" s="750">
        <v>0</v>
      </c>
      <c r="M55" s="750">
        <v>0</v>
      </c>
      <c r="N55" s="750">
        <v>0</v>
      </c>
      <c r="O55" s="750">
        <v>0</v>
      </c>
      <c r="P55" s="750">
        <v>0</v>
      </c>
    </row>
    <row r="56" spans="1:16" s="1046" customFormat="1" ht="75" collapsed="1">
      <c r="A56" s="1044"/>
      <c r="B56" s="1045" t="s">
        <v>374</v>
      </c>
      <c r="C56" s="258">
        <f>'4.6_генерация_КТЭЦ с косв.'!C56+'4.6_генерация_котельн.'!C56</f>
        <v>1406</v>
      </c>
      <c r="D56" s="258">
        <f>'4.6_генерация_КТЭЦ с косв.'!D56+'4.6_генерация_котельн.'!D56</f>
        <v>4227</v>
      </c>
      <c r="E56" s="258">
        <v>811</v>
      </c>
      <c r="F56" s="258">
        <v>3688</v>
      </c>
      <c r="G56" s="258">
        <v>248</v>
      </c>
      <c r="H56" s="258">
        <v>1759</v>
      </c>
      <c r="I56" s="258">
        <v>367</v>
      </c>
      <c r="J56" s="258">
        <v>2127</v>
      </c>
      <c r="K56" s="258">
        <v>719.9</v>
      </c>
      <c r="L56" s="258">
        <v>359.95</v>
      </c>
      <c r="M56" s="258">
        <v>359.95</v>
      </c>
      <c r="N56" s="258">
        <v>719.9</v>
      </c>
      <c r="O56" s="258">
        <v>359.95</v>
      </c>
      <c r="P56" s="258">
        <v>359.95</v>
      </c>
    </row>
    <row r="57" spans="1:16" s="1046" customFormat="1" ht="30">
      <c r="A57" s="1044"/>
      <c r="B57" s="1045" t="s">
        <v>375</v>
      </c>
      <c r="C57" s="258">
        <f>'4.6_генерация_КТЭЦ с косв.'!C57+'4.6_генерация_котельн.'!C57</f>
        <v>81873</v>
      </c>
      <c r="D57" s="258">
        <f>'4.6_генерация_КТЭЦ с косв.'!D57+'4.6_генерация_котельн.'!D57</f>
        <v>63957</v>
      </c>
      <c r="E57" s="258">
        <v>28479</v>
      </c>
      <c r="F57" s="258">
        <v>66353</v>
      </c>
      <c r="G57" s="258">
        <v>78922</v>
      </c>
      <c r="H57" s="258">
        <v>61628</v>
      </c>
      <c r="I57" s="258">
        <v>56631</v>
      </c>
      <c r="J57" s="258">
        <v>69572</v>
      </c>
      <c r="K57" s="258">
        <v>65027</v>
      </c>
      <c r="L57" s="258">
        <v>32513.5</v>
      </c>
      <c r="M57" s="258">
        <v>32513.5</v>
      </c>
      <c r="N57" s="258">
        <v>68864</v>
      </c>
      <c r="O57" s="258">
        <v>34432</v>
      </c>
      <c r="P57" s="258">
        <v>34432</v>
      </c>
    </row>
    <row r="58" spans="1:16" s="1046" customFormat="1" ht="15" customHeight="1">
      <c r="A58" s="1044"/>
      <c r="B58" s="1045" t="s">
        <v>376</v>
      </c>
      <c r="C58" s="258">
        <f>'4.6_генерация_КТЭЦ с косв.'!C58+'4.6_генерация_котельн.'!C58</f>
        <v>2166</v>
      </c>
      <c r="D58" s="258">
        <f>'4.6_генерация_КТЭЦ с косв.'!D58+'4.6_генерация_котельн.'!D58</f>
        <v>2268</v>
      </c>
      <c r="E58" s="258">
        <v>2783</v>
      </c>
      <c r="F58" s="258">
        <v>2833</v>
      </c>
      <c r="G58" s="258">
        <v>2241</v>
      </c>
      <c r="H58" s="258">
        <v>2186</v>
      </c>
      <c r="I58" s="258">
        <v>2531</v>
      </c>
      <c r="J58" s="258">
        <v>2531</v>
      </c>
      <c r="K58" s="258">
        <v>2676.07692</v>
      </c>
      <c r="L58" s="258">
        <v>1338.03846</v>
      </c>
      <c r="M58" s="258">
        <v>1338.03846</v>
      </c>
      <c r="N58" s="258">
        <v>2805.6258036971994</v>
      </c>
      <c r="O58" s="258">
        <v>1402.8129018485997</v>
      </c>
      <c r="P58" s="258">
        <v>1402.8129018485997</v>
      </c>
    </row>
    <row r="59" spans="1:16" s="1046" customFormat="1" ht="15" customHeight="1">
      <c r="A59" s="1044"/>
      <c r="B59" s="1045" t="s">
        <v>377</v>
      </c>
      <c r="C59" s="258">
        <f>'4.6_генерация_КТЭЦ с косв.'!C59+'4.6_генерация_котельн.'!C59</f>
        <v>1069</v>
      </c>
      <c r="D59" s="258">
        <f>'4.6_генерация_КТЭЦ с косв.'!D59+'4.6_генерация_котельн.'!D59</f>
        <v>911</v>
      </c>
      <c r="E59" s="258">
        <v>646</v>
      </c>
      <c r="F59" s="258">
        <v>1368</v>
      </c>
      <c r="G59" s="258">
        <v>1003</v>
      </c>
      <c r="H59" s="258">
        <v>893</v>
      </c>
      <c r="I59" s="258">
        <v>1410</v>
      </c>
      <c r="J59" s="258">
        <v>1410</v>
      </c>
      <c r="K59" s="258">
        <v>1490.8211999999999</v>
      </c>
      <c r="L59" s="258">
        <v>745.41059999999993</v>
      </c>
      <c r="M59" s="258">
        <v>745.41059999999993</v>
      </c>
      <c r="N59" s="258">
        <v>1562.9918542919997</v>
      </c>
      <c r="O59" s="258">
        <v>781.49592714599987</v>
      </c>
      <c r="P59" s="258">
        <v>781.49592714599987</v>
      </c>
    </row>
    <row r="60" spans="1:16" s="1046" customFormat="1" ht="45" customHeight="1">
      <c r="A60" s="1044"/>
      <c r="B60" s="1045" t="s">
        <v>378</v>
      </c>
      <c r="C60" s="258">
        <f>'4.6_генерация_КТЭЦ с косв.'!C60+'4.6_генерация_котельн.'!C60</f>
        <v>1197</v>
      </c>
      <c r="D60" s="258">
        <f>'4.6_генерация_КТЭЦ с косв.'!D60+'4.6_генерация_котельн.'!D60</f>
        <v>4726</v>
      </c>
      <c r="E60" s="258">
        <v>1292</v>
      </c>
      <c r="F60" s="258">
        <v>6034</v>
      </c>
      <c r="G60" s="258">
        <v>1204</v>
      </c>
      <c r="H60" s="258">
        <v>6732</v>
      </c>
      <c r="I60" s="258">
        <v>1209</v>
      </c>
      <c r="J60" s="258">
        <v>4730.1000000000004</v>
      </c>
      <c r="K60" s="258">
        <v>6169.6</v>
      </c>
      <c r="L60" s="258">
        <v>3084.8</v>
      </c>
      <c r="M60" s="258">
        <v>3084.8</v>
      </c>
      <c r="N60" s="258">
        <v>6534.7</v>
      </c>
      <c r="O60" s="258">
        <v>3267.35</v>
      </c>
      <c r="P60" s="258">
        <v>3267.35</v>
      </c>
    </row>
    <row r="61" spans="1:16" s="1046" customFormat="1" ht="30" customHeight="1">
      <c r="A61" s="1044"/>
      <c r="B61" s="1045" t="s">
        <v>379</v>
      </c>
      <c r="C61" s="258">
        <f>SUM(C62:C66)</f>
        <v>27455</v>
      </c>
      <c r="D61" s="258">
        <f t="shared" ref="D61" si="4">SUM(D62:D66)</f>
        <v>9167</v>
      </c>
      <c r="E61" s="258">
        <v>10172</v>
      </c>
      <c r="F61" s="258">
        <v>10387</v>
      </c>
      <c r="G61" s="258">
        <v>11566</v>
      </c>
      <c r="H61" s="258">
        <v>10317</v>
      </c>
      <c r="I61" s="258">
        <v>11475.618746466189</v>
      </c>
      <c r="J61" s="258">
        <v>14706</v>
      </c>
      <c r="K61" s="258">
        <v>15170</v>
      </c>
      <c r="L61" s="258">
        <v>7228</v>
      </c>
      <c r="M61" s="258">
        <v>7942</v>
      </c>
      <c r="N61" s="258">
        <v>16121</v>
      </c>
      <c r="O61" s="258">
        <v>8037.5</v>
      </c>
      <c r="P61" s="258">
        <v>8083.5</v>
      </c>
    </row>
    <row r="62" spans="1:16" s="4" customFormat="1" ht="15" customHeight="1">
      <c r="A62" s="17"/>
      <c r="B62" s="51" t="s">
        <v>380</v>
      </c>
      <c r="C62" s="241">
        <f>'4.6_генерация_КТЭЦ с косв.'!C62+'4.6_генерация_котельн.'!C62</f>
        <v>15692</v>
      </c>
      <c r="D62" s="241">
        <f>'4.6_генерация_КТЭЦ с косв.'!D62+'4.6_генерация_котельн.'!D62</f>
        <v>3137</v>
      </c>
      <c r="E62" s="241">
        <v>2503</v>
      </c>
      <c r="F62" s="241">
        <v>5227</v>
      </c>
      <c r="G62" s="241">
        <v>5468</v>
      </c>
      <c r="H62" s="241">
        <v>4773</v>
      </c>
      <c r="I62" s="241">
        <v>5386.8459122475433</v>
      </c>
      <c r="J62" s="241">
        <v>5529</v>
      </c>
      <c r="K62" s="241">
        <v>6848</v>
      </c>
      <c r="L62" s="241">
        <v>3381</v>
      </c>
      <c r="M62" s="241">
        <v>3467</v>
      </c>
      <c r="N62" s="241">
        <v>6727</v>
      </c>
      <c r="O62" s="241">
        <v>3699</v>
      </c>
      <c r="P62" s="241">
        <v>3028</v>
      </c>
    </row>
    <row r="63" spans="1:16" s="4" customFormat="1" ht="15" customHeight="1">
      <c r="A63" s="17"/>
      <c r="B63" s="51" t="s">
        <v>381</v>
      </c>
      <c r="C63" s="241">
        <f>'4.6_генерация_КТЭЦ с косв.'!C63+'4.6_генерация_котельн.'!C63</f>
        <v>8123</v>
      </c>
      <c r="D63" s="241">
        <f>'4.6_генерация_КТЭЦ с косв.'!D63+'4.6_генерация_котельн.'!D63</f>
        <v>2550</v>
      </c>
      <c r="E63" s="241">
        <v>2044</v>
      </c>
      <c r="F63" s="241">
        <v>1567</v>
      </c>
      <c r="G63" s="241">
        <v>1971</v>
      </c>
      <c r="H63" s="241">
        <v>1425</v>
      </c>
      <c r="I63" s="241">
        <v>1525.2514696906887</v>
      </c>
      <c r="J63" s="241">
        <v>1487</v>
      </c>
      <c r="K63" s="241">
        <v>1562</v>
      </c>
      <c r="L63" s="241">
        <v>781</v>
      </c>
      <c r="M63" s="241">
        <v>781</v>
      </c>
      <c r="N63" s="241">
        <v>1623</v>
      </c>
      <c r="O63" s="241">
        <v>814.5</v>
      </c>
      <c r="P63" s="241">
        <v>808.5</v>
      </c>
    </row>
    <row r="64" spans="1:16" s="4" customFormat="1" ht="15" customHeight="1">
      <c r="A64" s="17"/>
      <c r="B64" s="51" t="s">
        <v>382</v>
      </c>
      <c r="C64" s="241">
        <f>'4.6_генерация_КТЭЦ с косв.'!C64+'4.6_генерация_котельн.'!C64</f>
        <v>35</v>
      </c>
      <c r="D64" s="241">
        <f>'4.6_генерация_КТЭЦ с косв.'!D64+'4.6_генерация_котельн.'!D64</f>
        <v>26</v>
      </c>
      <c r="E64" s="241">
        <v>28</v>
      </c>
      <c r="F64" s="241">
        <v>41</v>
      </c>
      <c r="G64" s="241">
        <v>46</v>
      </c>
      <c r="H64" s="241">
        <v>6</v>
      </c>
      <c r="I64" s="241">
        <v>89.323227061417043</v>
      </c>
      <c r="J64" s="241">
        <v>80</v>
      </c>
      <c r="K64" s="241">
        <v>88</v>
      </c>
      <c r="L64" s="241">
        <v>45</v>
      </c>
      <c r="M64" s="241">
        <v>43</v>
      </c>
      <c r="N64" s="241">
        <v>92</v>
      </c>
      <c r="O64" s="241">
        <v>48</v>
      </c>
      <c r="P64" s="241">
        <v>44</v>
      </c>
    </row>
    <row r="65" spans="1:16" s="4" customFormat="1" ht="15" customHeight="1">
      <c r="A65" s="17"/>
      <c r="B65" s="51" t="s">
        <v>383</v>
      </c>
      <c r="C65" s="241">
        <f>'4.6_генерация_КТЭЦ с косв.'!C65+'4.6_генерация_котельн.'!C65</f>
        <v>3605</v>
      </c>
      <c r="D65" s="241">
        <f>'4.6_генерация_КТЭЦ с косв.'!D65+'4.6_генерация_котельн.'!D65</f>
        <v>3454</v>
      </c>
      <c r="E65" s="241">
        <v>3946</v>
      </c>
      <c r="F65" s="241">
        <v>3552</v>
      </c>
      <c r="G65" s="241">
        <v>4081</v>
      </c>
      <c r="H65" s="241">
        <v>4113</v>
      </c>
      <c r="I65" s="241">
        <v>4474.1981374665393</v>
      </c>
      <c r="J65" s="241">
        <v>7610</v>
      </c>
      <c r="K65" s="241">
        <v>6672</v>
      </c>
      <c r="L65" s="241">
        <v>3021</v>
      </c>
      <c r="M65" s="241">
        <v>3651</v>
      </c>
      <c r="N65" s="241">
        <v>7679</v>
      </c>
      <c r="O65" s="241">
        <v>3476</v>
      </c>
      <c r="P65" s="241">
        <v>4203</v>
      </c>
    </row>
    <row r="66" spans="1:16" s="4" customFormat="1" ht="15" customHeight="1">
      <c r="A66" s="17"/>
      <c r="B66" s="51" t="s">
        <v>384</v>
      </c>
      <c r="C66" s="241">
        <f>'4.6_генерация_КТЭЦ с косв.'!C66+'4.6_генерация_котельн.'!C66</f>
        <v>0</v>
      </c>
      <c r="D66" s="241">
        <f>'4.6_генерация_КТЭЦ с косв.'!D66+'4.6_генерация_котельн.'!D66</f>
        <v>0</v>
      </c>
      <c r="E66" s="241">
        <v>1651</v>
      </c>
      <c r="F66" s="241">
        <v>0</v>
      </c>
      <c r="G66" s="241">
        <v>0</v>
      </c>
      <c r="H66" s="241">
        <v>0</v>
      </c>
      <c r="I66" s="241">
        <v>0</v>
      </c>
      <c r="J66" s="241">
        <v>0</v>
      </c>
      <c r="K66" s="241">
        <v>0</v>
      </c>
      <c r="L66" s="241">
        <v>0</v>
      </c>
      <c r="M66" s="241">
        <v>0</v>
      </c>
      <c r="N66" s="241">
        <v>0</v>
      </c>
      <c r="O66" s="241">
        <v>0</v>
      </c>
      <c r="P66" s="241">
        <v>0</v>
      </c>
    </row>
    <row r="67" spans="1:16" s="1034" customFormat="1" ht="15" customHeight="1">
      <c r="A67" s="1030" t="s">
        <v>385</v>
      </c>
      <c r="B67" s="1031" t="s">
        <v>386</v>
      </c>
      <c r="C67" s="1032">
        <f>SUM(C68:C71)</f>
        <v>199988</v>
      </c>
      <c r="D67" s="1032">
        <f t="shared" ref="D67" si="5">SUM(D68:D71)</f>
        <v>237300</v>
      </c>
      <c r="E67" s="1032">
        <v>134742</v>
      </c>
      <c r="F67" s="1032">
        <v>415841.2</v>
      </c>
      <c r="G67" s="1032">
        <v>8325</v>
      </c>
      <c r="H67" s="1032">
        <v>331958.37099999998</v>
      </c>
      <c r="I67" s="1032">
        <v>252869.1982261705</v>
      </c>
      <c r="J67" s="1032">
        <v>243449.37540495148</v>
      </c>
      <c r="K67" s="1032">
        <v>203168.86893248817</v>
      </c>
      <c r="L67" s="1032">
        <v>123253.99569016726</v>
      </c>
      <c r="M67" s="1032">
        <v>79914.873242320915</v>
      </c>
      <c r="N67" s="1032">
        <v>257372.85919950498</v>
      </c>
      <c r="O67" s="1032">
        <v>156144.41997920617</v>
      </c>
      <c r="P67" s="1032">
        <v>101228.43922029881</v>
      </c>
    </row>
    <row r="68" spans="1:16" s="1046" customFormat="1" ht="30" customHeight="1">
      <c r="A68" s="1044"/>
      <c r="B68" s="1045" t="s">
        <v>387</v>
      </c>
      <c r="C68" s="258">
        <f>'4.6_генерация_КТЭЦ с косв.'!C68+'4.6_генерация_котельн.'!C68</f>
        <v>0</v>
      </c>
      <c r="D68" s="258">
        <f>'4.6_генерация_КТЭЦ с косв.'!D68+'4.6_генерация_котельн.'!D68</f>
        <v>0</v>
      </c>
      <c r="E68" s="258">
        <v>0</v>
      </c>
      <c r="F68" s="258">
        <v>0</v>
      </c>
      <c r="G68" s="258">
        <v>0</v>
      </c>
      <c r="H68" s="258">
        <v>0</v>
      </c>
      <c r="I68" s="258">
        <v>0</v>
      </c>
      <c r="J68" s="258">
        <v>0</v>
      </c>
      <c r="K68" s="258">
        <v>0</v>
      </c>
      <c r="L68" s="258">
        <v>0</v>
      </c>
      <c r="M68" s="258">
        <v>0</v>
      </c>
      <c r="N68" s="258">
        <v>0</v>
      </c>
      <c r="O68" s="258">
        <v>0</v>
      </c>
      <c r="P68" s="258">
        <v>0</v>
      </c>
    </row>
    <row r="69" spans="1:16" s="1046" customFormat="1" ht="15" customHeight="1">
      <c r="A69" s="1044"/>
      <c r="B69" s="1045" t="s">
        <v>388</v>
      </c>
      <c r="C69" s="258">
        <f>'4.6_генерация_КТЭЦ с косв.'!C69+'4.6_генерация_котельн.'!C69</f>
        <v>0</v>
      </c>
      <c r="D69" s="258">
        <f>'4.6_генерация_КТЭЦ с косв.'!D69+'4.6_генерация_котельн.'!D69</f>
        <v>0</v>
      </c>
      <c r="E69" s="258">
        <v>0</v>
      </c>
      <c r="F69" s="258">
        <v>0</v>
      </c>
      <c r="G69" s="258">
        <v>0</v>
      </c>
      <c r="H69" s="258">
        <v>0</v>
      </c>
      <c r="I69" s="258">
        <v>0</v>
      </c>
      <c r="J69" s="258">
        <v>0</v>
      </c>
      <c r="K69" s="258">
        <v>0</v>
      </c>
      <c r="L69" s="258">
        <v>0</v>
      </c>
      <c r="M69" s="258">
        <v>0</v>
      </c>
      <c r="N69" s="258">
        <v>0</v>
      </c>
      <c r="O69" s="258">
        <v>0</v>
      </c>
      <c r="P69" s="258">
        <v>0</v>
      </c>
    </row>
    <row r="70" spans="1:16" s="1046" customFormat="1" ht="45" customHeight="1">
      <c r="A70" s="1044"/>
      <c r="B70" s="1045" t="s">
        <v>389</v>
      </c>
      <c r="C70" s="258">
        <f>'4.6_генерация_КТЭЦ с косв.'!C70+'4.6_генерация_котельн.'!C70</f>
        <v>0</v>
      </c>
      <c r="D70" s="258">
        <f>'4.6_генерация_КТЭЦ с косв.'!D70+'4.6_генерация_котельн.'!D70</f>
        <v>0</v>
      </c>
      <c r="E70" s="258">
        <v>0</v>
      </c>
      <c r="F70" s="258">
        <v>231001</v>
      </c>
      <c r="G70" s="258">
        <v>7359</v>
      </c>
      <c r="H70" s="258">
        <v>224306.47099999999</v>
      </c>
      <c r="I70" s="258">
        <v>0</v>
      </c>
      <c r="J70" s="258">
        <v>0</v>
      </c>
      <c r="K70" s="258">
        <v>0</v>
      </c>
      <c r="L70" s="258">
        <v>0</v>
      </c>
      <c r="M70" s="258">
        <v>0</v>
      </c>
      <c r="N70" s="258">
        <v>0</v>
      </c>
      <c r="O70" s="258">
        <v>0</v>
      </c>
      <c r="P70" s="258">
        <v>0</v>
      </c>
    </row>
    <row r="71" spans="1:16" s="1046" customFormat="1" ht="15" customHeight="1">
      <c r="A71" s="1044"/>
      <c r="B71" s="1045" t="s">
        <v>390</v>
      </c>
      <c r="C71" s="258">
        <f>SUM(C72:C77)</f>
        <v>199988</v>
      </c>
      <c r="D71" s="258">
        <f t="shared" ref="D71" si="6">SUM(D72:D77)</f>
        <v>237300</v>
      </c>
      <c r="E71" s="258">
        <v>134742</v>
      </c>
      <c r="F71" s="258">
        <v>184840.2</v>
      </c>
      <c r="G71" s="258">
        <v>966</v>
      </c>
      <c r="H71" s="258">
        <v>107651.9</v>
      </c>
      <c r="I71" s="258">
        <v>252869.1982261705</v>
      </c>
      <c r="J71" s="258">
        <v>243449.37540495148</v>
      </c>
      <c r="K71" s="258">
        <v>203168.86893248817</v>
      </c>
      <c r="L71" s="258">
        <v>123253.99569016726</v>
      </c>
      <c r="M71" s="258">
        <v>79914.873242320915</v>
      </c>
      <c r="N71" s="258">
        <v>257372.85919950498</v>
      </c>
      <c r="O71" s="258">
        <v>156144.41997920617</v>
      </c>
      <c r="P71" s="258">
        <v>101228.43922029881</v>
      </c>
    </row>
    <row r="72" spans="1:16" s="4" customFormat="1" ht="15" customHeight="1">
      <c r="A72" s="17"/>
      <c r="B72" s="51" t="s">
        <v>961</v>
      </c>
      <c r="C72" s="241">
        <f>'4.6_генерация_КТЭЦ с косв.'!C72+'4.6_генерация_котельн.'!C72</f>
        <v>2118</v>
      </c>
      <c r="D72" s="241">
        <f>'4.6_генерация_КТЭЦ с косв.'!D72+'4.6_генерация_котельн.'!D72</f>
        <v>0</v>
      </c>
      <c r="E72" s="241">
        <v>0</v>
      </c>
      <c r="F72" s="241">
        <v>0</v>
      </c>
      <c r="G72" s="241">
        <v>0</v>
      </c>
      <c r="H72" s="241">
        <v>0</v>
      </c>
      <c r="I72" s="241">
        <v>0</v>
      </c>
      <c r="J72" s="241">
        <v>0</v>
      </c>
      <c r="K72" s="241">
        <v>0</v>
      </c>
      <c r="L72" s="241">
        <v>0</v>
      </c>
      <c r="M72" s="241">
        <v>0</v>
      </c>
      <c r="N72" s="241">
        <v>0</v>
      </c>
      <c r="O72" s="241">
        <v>0</v>
      </c>
      <c r="P72" s="241">
        <v>0</v>
      </c>
    </row>
    <row r="73" spans="1:16" s="4" customFormat="1" ht="15" customHeight="1">
      <c r="A73" s="17"/>
      <c r="B73" s="51" t="s">
        <v>962</v>
      </c>
      <c r="C73" s="241">
        <f>'4.6_генерация_КТЭЦ с косв.'!C73+'4.6_генерация_котельн.'!C73</f>
        <v>197795</v>
      </c>
      <c r="D73" s="241">
        <f>'4.6_генерация_КТЭЦ с косв.'!D73+'4.6_генерация_котельн.'!D73</f>
        <v>234314</v>
      </c>
      <c r="E73" s="241">
        <v>134509</v>
      </c>
      <c r="F73" s="241">
        <v>181160</v>
      </c>
      <c r="G73" s="241">
        <v>0</v>
      </c>
      <c r="H73" s="241">
        <v>105387</v>
      </c>
      <c r="I73" s="241">
        <v>252567.82282121902</v>
      </c>
      <c r="J73" s="241">
        <v>243148</v>
      </c>
      <c r="K73" s="241">
        <v>202847</v>
      </c>
      <c r="L73" s="241">
        <v>123093.06122392317</v>
      </c>
      <c r="M73" s="241">
        <v>79753.93877607683</v>
      </c>
      <c r="N73" s="241">
        <v>257032</v>
      </c>
      <c r="O73" s="241">
        <v>155973.99037945369</v>
      </c>
      <c r="P73" s="241">
        <v>101058.00962054632</v>
      </c>
    </row>
    <row r="74" spans="1:16" s="4" customFormat="1" ht="15" customHeight="1">
      <c r="A74" s="17"/>
      <c r="B74" s="51" t="s">
        <v>963</v>
      </c>
      <c r="C74" s="241">
        <f>'4.6_генерация_КТЭЦ с косв.'!C74+'4.6_генерация_котельн.'!C74</f>
        <v>75</v>
      </c>
      <c r="D74" s="241">
        <f>'4.6_генерация_КТЭЦ с косв.'!D74+'4.6_генерация_котельн.'!D74</f>
        <v>2986</v>
      </c>
      <c r="E74" s="241">
        <v>233</v>
      </c>
      <c r="F74" s="241">
        <v>3680.2000000000003</v>
      </c>
      <c r="G74" s="241">
        <v>966</v>
      </c>
      <c r="H74" s="241">
        <v>2264.8999999999996</v>
      </c>
      <c r="I74" s="241">
        <v>301.37540495147459</v>
      </c>
      <c r="J74" s="241">
        <v>301.37540495147459</v>
      </c>
      <c r="K74" s="241">
        <v>321.86893248817483</v>
      </c>
      <c r="L74" s="241">
        <v>160.93446624408742</v>
      </c>
      <c r="M74" s="241">
        <v>160.93446624408742</v>
      </c>
      <c r="N74" s="241">
        <v>340.85919950497714</v>
      </c>
      <c r="O74" s="241">
        <v>170.42959975248857</v>
      </c>
      <c r="P74" s="241">
        <v>170.42959975248857</v>
      </c>
    </row>
    <row r="75" spans="1:16" s="4" customFormat="1" ht="15" hidden="1" customHeight="1">
      <c r="A75" s="17"/>
      <c r="B75" s="51"/>
      <c r="C75" s="241">
        <f>'4.6_генерация_КТЭЦ с косв.'!C75+'4.6_генерация_котельн.'!C75</f>
        <v>0</v>
      </c>
      <c r="D75" s="241">
        <f>'4.6_генерация_КТЭЦ с косв.'!D75+'4.6_генерация_котельн.'!D75</f>
        <v>0</v>
      </c>
      <c r="E75" s="241">
        <v>0</v>
      </c>
      <c r="F75" s="241">
        <v>0</v>
      </c>
      <c r="G75" s="241">
        <v>0</v>
      </c>
      <c r="H75" s="241">
        <v>0</v>
      </c>
      <c r="I75" s="241">
        <v>0</v>
      </c>
      <c r="J75" s="241">
        <v>0</v>
      </c>
      <c r="K75" s="241">
        <v>0</v>
      </c>
      <c r="L75" s="241">
        <v>0</v>
      </c>
      <c r="M75" s="241">
        <v>0</v>
      </c>
      <c r="N75" s="241">
        <v>0</v>
      </c>
      <c r="O75" s="241">
        <v>0</v>
      </c>
      <c r="P75" s="241">
        <v>0</v>
      </c>
    </row>
    <row r="76" spans="1:16" s="4" customFormat="1" ht="15" hidden="1" customHeight="1">
      <c r="A76" s="17"/>
      <c r="B76" s="51"/>
      <c r="C76" s="241">
        <f>'4.6_генерация_КТЭЦ с косв.'!C76+'4.6_генерация_котельн.'!C76</f>
        <v>0</v>
      </c>
      <c r="D76" s="241">
        <f>'4.6_генерация_КТЭЦ с косв.'!D76+'4.6_генерация_котельн.'!D76</f>
        <v>0</v>
      </c>
      <c r="E76" s="241">
        <v>0</v>
      </c>
      <c r="F76" s="241">
        <v>0</v>
      </c>
      <c r="G76" s="241">
        <v>0</v>
      </c>
      <c r="H76" s="241">
        <v>0</v>
      </c>
      <c r="I76" s="241">
        <v>0</v>
      </c>
      <c r="J76" s="241">
        <v>0</v>
      </c>
      <c r="K76" s="241">
        <v>0</v>
      </c>
      <c r="L76" s="241">
        <v>0</v>
      </c>
      <c r="M76" s="241">
        <v>0</v>
      </c>
      <c r="N76" s="241">
        <v>0</v>
      </c>
      <c r="O76" s="241">
        <v>0</v>
      </c>
      <c r="P76" s="241">
        <v>0</v>
      </c>
    </row>
    <row r="77" spans="1:16" s="4" customFormat="1" ht="15" hidden="1" customHeight="1">
      <c r="A77" s="17"/>
      <c r="B77" s="51"/>
      <c r="C77" s="241">
        <f>'4.6_генерация_КТЭЦ с косв.'!C77+'4.6_генерация_котельн.'!C77</f>
        <v>0</v>
      </c>
      <c r="D77" s="241">
        <f>'4.6_генерация_КТЭЦ с косв.'!D77+'4.6_генерация_котельн.'!D77</f>
        <v>0</v>
      </c>
      <c r="E77" s="241">
        <v>0</v>
      </c>
      <c r="F77" s="241">
        <v>0</v>
      </c>
      <c r="G77" s="241">
        <v>0</v>
      </c>
      <c r="H77" s="241">
        <v>0</v>
      </c>
      <c r="I77" s="241">
        <v>0</v>
      </c>
      <c r="J77" s="241">
        <v>0</v>
      </c>
      <c r="K77" s="241">
        <v>0</v>
      </c>
      <c r="L77" s="241">
        <v>0</v>
      </c>
      <c r="M77" s="241">
        <v>0</v>
      </c>
      <c r="N77" s="241">
        <v>0</v>
      </c>
      <c r="O77" s="241">
        <v>0</v>
      </c>
      <c r="P77" s="241">
        <v>0</v>
      </c>
    </row>
    <row r="78" spans="1:16" s="1034" customFormat="1" ht="33.75" customHeight="1">
      <c r="A78" s="1030" t="s">
        <v>391</v>
      </c>
      <c r="B78" s="1031" t="s">
        <v>392</v>
      </c>
      <c r="C78" s="1032">
        <f>SUM(C79:C82)</f>
        <v>14893</v>
      </c>
      <c r="D78" s="1032">
        <f t="shared" ref="D78" si="7">SUM(D79:D82)</f>
        <v>9213</v>
      </c>
      <c r="E78" s="1032">
        <v>9905</v>
      </c>
      <c r="F78" s="1032">
        <v>10735</v>
      </c>
      <c r="G78" s="1032">
        <v>10708</v>
      </c>
      <c r="H78" s="1032">
        <v>11332.3</v>
      </c>
      <c r="I78" s="1032">
        <v>10168</v>
      </c>
      <c r="J78" s="1032">
        <v>10168</v>
      </c>
      <c r="K78" s="1032">
        <v>10859.423999999999</v>
      </c>
      <c r="L78" s="1032">
        <v>5429.7119999999995</v>
      </c>
      <c r="M78" s="1032">
        <v>5429.7119999999995</v>
      </c>
      <c r="N78" s="1032">
        <v>11500.130015999999</v>
      </c>
      <c r="O78" s="1032">
        <v>5750.0650079999996</v>
      </c>
      <c r="P78" s="1032">
        <v>5750.0650079999996</v>
      </c>
    </row>
    <row r="79" spans="1:16" s="1046" customFormat="1" ht="15" customHeight="1">
      <c r="A79" s="1044"/>
      <c r="B79" s="1045" t="s">
        <v>393</v>
      </c>
      <c r="C79" s="258">
        <f>'4.6_генерация_КТЭЦ с косв.'!C79+'4.6_генерация_котельн.'!C79</f>
        <v>5796</v>
      </c>
      <c r="D79" s="258">
        <f>'4.6_генерация_КТЭЦ с косв.'!D79+'4.6_генерация_котельн.'!D79</f>
        <v>0</v>
      </c>
      <c r="E79" s="258">
        <v>0</v>
      </c>
      <c r="F79" s="258">
        <v>0</v>
      </c>
      <c r="G79" s="258">
        <v>0</v>
      </c>
      <c r="H79" s="258">
        <v>0</v>
      </c>
      <c r="I79" s="258">
        <v>0</v>
      </c>
      <c r="J79" s="258">
        <v>0</v>
      </c>
      <c r="K79" s="258">
        <v>0</v>
      </c>
      <c r="L79" s="258">
        <v>0</v>
      </c>
      <c r="M79" s="258">
        <v>0</v>
      </c>
      <c r="N79" s="258">
        <v>0</v>
      </c>
      <c r="O79" s="258">
        <v>0</v>
      </c>
      <c r="P79" s="258">
        <v>0</v>
      </c>
    </row>
    <row r="80" spans="1:16" s="1046" customFormat="1" ht="30" customHeight="1">
      <c r="A80" s="1044"/>
      <c r="B80" s="1045" t="s">
        <v>394</v>
      </c>
      <c r="C80" s="258">
        <f>'4.6_генерация_КТЭЦ с косв.'!C80+'4.6_генерация_котельн.'!C80</f>
        <v>7945</v>
      </c>
      <c r="D80" s="258">
        <f>'4.6_генерация_КТЭЦ с косв.'!D80+'4.6_генерация_котельн.'!D80</f>
        <v>8756</v>
      </c>
      <c r="E80" s="258">
        <v>9538</v>
      </c>
      <c r="F80" s="258">
        <v>9918</v>
      </c>
      <c r="G80" s="258">
        <v>10210</v>
      </c>
      <c r="H80" s="258">
        <v>10841.3</v>
      </c>
      <c r="I80" s="258">
        <v>10168</v>
      </c>
      <c r="J80" s="258">
        <v>10168</v>
      </c>
      <c r="K80" s="258">
        <v>10859.423999999999</v>
      </c>
      <c r="L80" s="258">
        <v>5429.7119999999995</v>
      </c>
      <c r="M80" s="258">
        <v>5429.7119999999995</v>
      </c>
      <c r="N80" s="258">
        <v>11500.130015999999</v>
      </c>
      <c r="O80" s="258">
        <v>5750.0650079999996</v>
      </c>
      <c r="P80" s="258">
        <v>5750.0650079999996</v>
      </c>
    </row>
    <row r="81" spans="1:16" s="1046" customFormat="1" ht="15" customHeight="1">
      <c r="A81" s="1044"/>
      <c r="B81" s="1045" t="s">
        <v>1568</v>
      </c>
      <c r="C81" s="258">
        <f>'4.6_генерация_КТЭЦ с косв.'!C81+'4.6_генерация_котельн.'!C81</f>
        <v>0</v>
      </c>
      <c r="D81" s="258">
        <f>'4.6_генерация_КТЭЦ с косв.'!D81+'4.6_генерация_котельн.'!D81</f>
        <v>0</v>
      </c>
      <c r="E81" s="258">
        <v>0</v>
      </c>
      <c r="F81" s="258">
        <v>0</v>
      </c>
      <c r="G81" s="258">
        <v>0</v>
      </c>
      <c r="H81" s="258">
        <v>0</v>
      </c>
      <c r="I81" s="258">
        <v>0</v>
      </c>
      <c r="J81" s="258">
        <v>0</v>
      </c>
      <c r="K81" s="258">
        <v>0</v>
      </c>
      <c r="L81" s="258">
        <v>0</v>
      </c>
      <c r="M81" s="258">
        <v>0</v>
      </c>
      <c r="N81" s="258">
        <v>0</v>
      </c>
      <c r="O81" s="258">
        <v>0</v>
      </c>
      <c r="P81" s="258">
        <v>0</v>
      </c>
    </row>
    <row r="82" spans="1:16" s="1046" customFormat="1" ht="28.5" customHeight="1">
      <c r="A82" s="1044"/>
      <c r="B82" s="1045" t="s">
        <v>1957</v>
      </c>
      <c r="C82" s="258">
        <f>'4.6_генерация_КТЭЦ с косв.'!C82+'4.6_генерация_котельн.'!C82</f>
        <v>1152</v>
      </c>
      <c r="D82" s="258">
        <f>'4.6_генерация_КТЭЦ с косв.'!D82+'4.6_генерация_котельн.'!D82</f>
        <v>457</v>
      </c>
      <c r="E82" s="258">
        <v>367</v>
      </c>
      <c r="F82" s="258">
        <v>817</v>
      </c>
      <c r="G82" s="258">
        <v>498</v>
      </c>
      <c r="H82" s="258">
        <v>491</v>
      </c>
      <c r="I82" s="258">
        <v>0</v>
      </c>
      <c r="J82" s="258">
        <v>0</v>
      </c>
      <c r="K82" s="258">
        <v>0</v>
      </c>
      <c r="L82" s="258">
        <v>0</v>
      </c>
      <c r="M82" s="258">
        <v>0</v>
      </c>
      <c r="N82" s="258">
        <v>0</v>
      </c>
      <c r="O82" s="258">
        <v>0</v>
      </c>
      <c r="P82" s="258">
        <v>0</v>
      </c>
    </row>
    <row r="83" spans="1:16" s="1034" customFormat="1" ht="18.75" customHeight="1">
      <c r="A83" s="1030" t="s">
        <v>395</v>
      </c>
      <c r="B83" s="1031" t="s">
        <v>396</v>
      </c>
      <c r="C83" s="1032">
        <f>'4.6_генерация_КТЭЦ с косв.'!C83+'4.6_генерация_котельн.'!C83</f>
        <v>3723.25</v>
      </c>
      <c r="D83" s="1032">
        <f>'4.6_генерация_КТЭЦ с косв.'!D83+'4.6_генерация_котельн.'!D83</f>
        <v>2303.25</v>
      </c>
      <c r="E83" s="1032">
        <v>2512</v>
      </c>
      <c r="F83" s="1032">
        <v>2683.75</v>
      </c>
      <c r="G83" s="1032">
        <v>2677</v>
      </c>
      <c r="H83" s="1032">
        <v>2833.0749999999998</v>
      </c>
      <c r="I83" s="1032">
        <v>2542.25</v>
      </c>
      <c r="J83" s="1032">
        <v>2542</v>
      </c>
      <c r="K83" s="1032">
        <v>2714.8559999999998</v>
      </c>
      <c r="L83" s="1032">
        <v>1357.4279999999999</v>
      </c>
      <c r="M83" s="1032">
        <v>1357.4279999999999</v>
      </c>
      <c r="N83" s="1032">
        <v>2875.0325039999998</v>
      </c>
      <c r="O83" s="1032">
        <v>1437.5162519999999</v>
      </c>
      <c r="P83" s="1032">
        <v>1437.5162519999999</v>
      </c>
    </row>
    <row r="84" spans="1:16" s="1034" customFormat="1" ht="17.25" customHeight="1">
      <c r="A84" s="1030" t="s">
        <v>397</v>
      </c>
      <c r="B84" s="1031" t="s">
        <v>398</v>
      </c>
      <c r="C84" s="1032">
        <f>C85-C88</f>
        <v>570</v>
      </c>
      <c r="D84" s="1032">
        <f t="shared" ref="D84" si="8">D85-D88</f>
        <v>0</v>
      </c>
      <c r="E84" s="1032">
        <v>-68238</v>
      </c>
      <c r="F84" s="1032">
        <v>0</v>
      </c>
      <c r="G84" s="1032">
        <v>-84348</v>
      </c>
      <c r="H84" s="1032">
        <v>0</v>
      </c>
      <c r="I84" s="1032">
        <v>-142598</v>
      </c>
      <c r="J84" s="1032">
        <v>-142597.95716076635</v>
      </c>
      <c r="K84" s="1032">
        <v>920140</v>
      </c>
      <c r="L84" s="1032">
        <v>0</v>
      </c>
      <c r="M84" s="1032">
        <v>920140</v>
      </c>
      <c r="N84" s="1032">
        <v>0</v>
      </c>
      <c r="O84" s="1032">
        <v>0</v>
      </c>
      <c r="P84" s="1032">
        <v>0</v>
      </c>
    </row>
    <row r="85" spans="1:16" s="585" customFormat="1" ht="17.25" customHeight="1">
      <c r="A85" s="583"/>
      <c r="B85" s="582" t="s">
        <v>1140</v>
      </c>
      <c r="C85" s="587">
        <f>C86+C87</f>
        <v>570</v>
      </c>
      <c r="D85" s="587">
        <f t="shared" ref="D85" si="9">D86+D87</f>
        <v>0</v>
      </c>
      <c r="E85" s="587">
        <v>112200</v>
      </c>
      <c r="F85" s="587">
        <v>0</v>
      </c>
      <c r="G85" s="587">
        <v>120432</v>
      </c>
      <c r="H85" s="587">
        <v>0</v>
      </c>
      <c r="I85" s="587">
        <v>0</v>
      </c>
      <c r="J85" s="587">
        <v>0</v>
      </c>
      <c r="K85" s="587">
        <v>1076203</v>
      </c>
      <c r="L85" s="587">
        <v>0</v>
      </c>
      <c r="M85" s="587">
        <v>1076203</v>
      </c>
      <c r="N85" s="587">
        <v>0</v>
      </c>
      <c r="O85" s="587">
        <v>0</v>
      </c>
      <c r="P85" s="587">
        <v>0</v>
      </c>
    </row>
    <row r="86" spans="1:16" s="341" customFormat="1" ht="17.25" customHeight="1">
      <c r="A86" s="339"/>
      <c r="B86" s="340" t="s">
        <v>959</v>
      </c>
      <c r="C86" s="241">
        <f>'4.6_генерация_КТЭЦ с косв.'!C86+'4.6_генерация_котельн.'!C86</f>
        <v>570</v>
      </c>
      <c r="D86" s="241">
        <f>'4.6_генерация_КТЭЦ с косв.'!D86+'4.6_генерация_котельн.'!D86</f>
        <v>0</v>
      </c>
      <c r="E86" s="241">
        <v>112200</v>
      </c>
      <c r="F86" s="241">
        <v>0</v>
      </c>
      <c r="G86" s="241">
        <v>0</v>
      </c>
      <c r="H86" s="241">
        <v>0</v>
      </c>
      <c r="I86" s="241">
        <v>0</v>
      </c>
      <c r="J86" s="241">
        <v>0</v>
      </c>
      <c r="K86" s="241">
        <v>522867</v>
      </c>
      <c r="L86" s="241">
        <v>0</v>
      </c>
      <c r="M86" s="241">
        <v>522867</v>
      </c>
      <c r="N86" s="241">
        <v>0</v>
      </c>
      <c r="O86" s="241">
        <v>0</v>
      </c>
      <c r="P86" s="241">
        <v>0</v>
      </c>
    </row>
    <row r="87" spans="1:16" s="341" customFormat="1" ht="30">
      <c r="A87" s="339"/>
      <c r="B87" s="51" t="s">
        <v>960</v>
      </c>
      <c r="C87" s="241">
        <f>'4.6_генерация_КТЭЦ с косв.'!C87+'4.6_генерация_котельн.'!C87</f>
        <v>0</v>
      </c>
      <c r="D87" s="241">
        <f>'4.6_генерация_КТЭЦ с косв.'!D87+'4.6_генерация_котельн.'!D87</f>
        <v>0</v>
      </c>
      <c r="E87" s="241">
        <v>0</v>
      </c>
      <c r="F87" s="241">
        <v>0</v>
      </c>
      <c r="G87" s="241">
        <v>0</v>
      </c>
      <c r="H87" s="241">
        <v>0</v>
      </c>
      <c r="I87" s="241">
        <v>0</v>
      </c>
      <c r="J87" s="241">
        <v>0</v>
      </c>
      <c r="K87" s="241">
        <v>553336</v>
      </c>
      <c r="L87" s="241">
        <v>0</v>
      </c>
      <c r="M87" s="241">
        <v>553336</v>
      </c>
      <c r="N87" s="241">
        <v>0</v>
      </c>
      <c r="O87" s="241">
        <v>0</v>
      </c>
      <c r="P87" s="241">
        <v>0</v>
      </c>
    </row>
    <row r="88" spans="1:16" s="588" customFormat="1" ht="18" customHeight="1">
      <c r="A88" s="586"/>
      <c r="B88" s="582" t="s">
        <v>1141</v>
      </c>
      <c r="C88" s="587">
        <f>C89+C90</f>
        <v>0</v>
      </c>
      <c r="D88" s="587">
        <f t="shared" ref="D88" si="10">D89+D90</f>
        <v>0</v>
      </c>
      <c r="E88" s="587">
        <v>180438</v>
      </c>
      <c r="F88" s="587">
        <v>0</v>
      </c>
      <c r="G88" s="587">
        <v>204780</v>
      </c>
      <c r="H88" s="587">
        <v>0</v>
      </c>
      <c r="I88" s="587">
        <v>142598</v>
      </c>
      <c r="J88" s="587">
        <v>142597.95716076635</v>
      </c>
      <c r="K88" s="587">
        <v>156063</v>
      </c>
      <c r="L88" s="587">
        <v>0</v>
      </c>
      <c r="M88" s="587">
        <v>156063</v>
      </c>
      <c r="N88" s="587">
        <v>0</v>
      </c>
      <c r="O88" s="587">
        <v>0</v>
      </c>
      <c r="P88" s="587">
        <v>0</v>
      </c>
    </row>
    <row r="89" spans="1:16" s="341" customFormat="1" ht="18" customHeight="1">
      <c r="A89" s="339"/>
      <c r="B89" s="340" t="s">
        <v>959</v>
      </c>
      <c r="C89" s="241">
        <f>'4.6_генерация_КТЭЦ с косв.'!C89+'4.6_генерация_котельн.'!C89</f>
        <v>0</v>
      </c>
      <c r="D89" s="241">
        <f>'4.6_генерация_КТЭЦ с косв.'!D89+'4.6_генерация_котельн.'!D89</f>
        <v>0</v>
      </c>
      <c r="E89" s="241">
        <v>180438</v>
      </c>
      <c r="F89" s="241">
        <v>0</v>
      </c>
      <c r="G89" s="241">
        <v>0</v>
      </c>
      <c r="H89" s="241">
        <v>0</v>
      </c>
      <c r="I89" s="241">
        <v>0</v>
      </c>
      <c r="J89" s="241">
        <v>0</v>
      </c>
      <c r="K89" s="241">
        <v>156063</v>
      </c>
      <c r="L89" s="241">
        <v>0</v>
      </c>
      <c r="M89" s="241">
        <v>156063</v>
      </c>
      <c r="N89" s="241">
        <v>0</v>
      </c>
      <c r="O89" s="241">
        <v>0</v>
      </c>
      <c r="P89" s="241">
        <v>0</v>
      </c>
    </row>
    <row r="90" spans="1:16" s="341" customFormat="1" ht="30">
      <c r="A90" s="339"/>
      <c r="B90" s="51" t="s">
        <v>960</v>
      </c>
      <c r="C90" s="241">
        <f>'4.6_генерация_КТЭЦ с косв.'!C90+'4.6_генерация_котельн.'!C90</f>
        <v>0</v>
      </c>
      <c r="D90" s="241">
        <f>'4.6_генерация_КТЭЦ с косв.'!D90+'4.6_генерация_котельн.'!D90</f>
        <v>0</v>
      </c>
      <c r="E90" s="241">
        <v>0</v>
      </c>
      <c r="F90" s="241">
        <v>0</v>
      </c>
      <c r="G90" s="241">
        <v>0</v>
      </c>
      <c r="H90" s="241">
        <v>0</v>
      </c>
      <c r="I90" s="241">
        <v>0</v>
      </c>
      <c r="J90" s="241">
        <v>0</v>
      </c>
      <c r="K90" s="241">
        <v>0</v>
      </c>
      <c r="L90" s="241">
        <v>0</v>
      </c>
      <c r="M90" s="241">
        <v>0</v>
      </c>
      <c r="N90" s="241">
        <v>0</v>
      </c>
      <c r="O90" s="241">
        <v>0</v>
      </c>
      <c r="P90" s="241">
        <v>0</v>
      </c>
    </row>
    <row r="91" spans="1:16" s="1055" customFormat="1" ht="27.75" customHeight="1">
      <c r="A91" s="1052" t="s">
        <v>399</v>
      </c>
      <c r="B91" s="1053" t="s">
        <v>400</v>
      </c>
      <c r="C91" s="1054">
        <f>C7+C67+C78+C83+C84+1</f>
        <v>3319101.7387234215</v>
      </c>
      <c r="D91" s="1054">
        <f t="shared" ref="D91" si="11">D7+D67+D78+D83+D84</f>
        <v>3680181.8279011096</v>
      </c>
      <c r="E91" s="1054">
        <v>3499591.2389284857</v>
      </c>
      <c r="F91" s="1054">
        <v>3989522.7711101989</v>
      </c>
      <c r="G91" s="1054">
        <v>3861543.4385583238</v>
      </c>
      <c r="H91" s="1054">
        <v>3930674.6078489413</v>
      </c>
      <c r="I91" s="1054">
        <v>3967280.0669726366</v>
      </c>
      <c r="J91" s="1054">
        <v>4137867.0057079829</v>
      </c>
      <c r="K91" s="1054">
        <v>5621514.8038378377</v>
      </c>
      <c r="L91" s="1054">
        <v>2534167.6209416958</v>
      </c>
      <c r="M91" s="1054">
        <v>3087353.0136721423</v>
      </c>
      <c r="N91" s="1054">
        <v>4961625.8329696674</v>
      </c>
      <c r="O91" s="1054">
        <v>2686833.9137417823</v>
      </c>
      <c r="P91" s="1054">
        <v>2274790.9192278855</v>
      </c>
    </row>
    <row r="92" spans="1:16" s="4" customFormat="1" ht="15" customHeight="1">
      <c r="A92" s="17" t="s">
        <v>401</v>
      </c>
      <c r="B92" s="51" t="s">
        <v>402</v>
      </c>
      <c r="C92" s="241">
        <f>'4.6_генерация_КТЭЦ с косв.'!C92+'4.6_генерация_котельн.'!C92</f>
        <v>0</v>
      </c>
      <c r="D92" s="241">
        <f>'4.6_генерация_КТЭЦ с косв.'!D92+'4.6_генерация_котельн.'!D92</f>
        <v>0</v>
      </c>
      <c r="E92" s="241">
        <v>0</v>
      </c>
      <c r="F92" s="241">
        <v>0</v>
      </c>
      <c r="G92" s="241">
        <v>0</v>
      </c>
      <c r="H92" s="241">
        <v>0</v>
      </c>
      <c r="I92" s="241">
        <v>0</v>
      </c>
      <c r="J92" s="241">
        <v>0</v>
      </c>
      <c r="K92" s="241">
        <v>0</v>
      </c>
      <c r="L92" s="241">
        <v>0</v>
      </c>
      <c r="M92" s="241">
        <v>0</v>
      </c>
      <c r="N92" s="241">
        <v>0</v>
      </c>
      <c r="O92" s="241">
        <v>0</v>
      </c>
      <c r="P92" s="241">
        <v>0</v>
      </c>
    </row>
    <row r="93" spans="1:16" s="4" customFormat="1" ht="15" customHeight="1">
      <c r="A93" s="17" t="s">
        <v>403</v>
      </c>
      <c r="B93" s="51" t="s">
        <v>404</v>
      </c>
      <c r="C93" s="241">
        <f>'4.6_генерация_КТЭЦ с косв.'!C93+'4.6_генерация_котельн.'!C93</f>
        <v>3319101.7387234215</v>
      </c>
      <c r="D93" s="241">
        <f>'4.6_генерация_КТЭЦ с косв.'!D93+'4.6_генерация_котельн.'!D93</f>
        <v>3523722.0422879998</v>
      </c>
      <c r="E93" s="241">
        <v>3499590.2389284857</v>
      </c>
      <c r="F93" s="241">
        <v>3813910.7711101989</v>
      </c>
      <c r="G93" s="241">
        <v>3861544.4385583233</v>
      </c>
      <c r="H93" s="241">
        <v>3759264.4151701145</v>
      </c>
      <c r="I93" s="241">
        <v>3967279.6098118704</v>
      </c>
      <c r="J93" s="241">
        <v>3964292.3643493694</v>
      </c>
      <c r="K93" s="241">
        <v>5438295.8218759848</v>
      </c>
      <c r="L93" s="241">
        <v>2435330.3215396963</v>
      </c>
      <c r="M93" s="241">
        <v>3002971.3311122884</v>
      </c>
      <c r="N93" s="241">
        <v>4765615.481047038</v>
      </c>
      <c r="O93" s="241">
        <v>2579002.4200942004</v>
      </c>
      <c r="P93" s="241">
        <v>2186612.060952838</v>
      </c>
    </row>
    <row r="94" spans="1:16" s="4" customFormat="1" ht="15" customHeight="1">
      <c r="A94" s="17" t="s">
        <v>405</v>
      </c>
      <c r="B94" s="51" t="s">
        <v>406</v>
      </c>
      <c r="C94" s="241">
        <f>'4.6_генерация_КТЭЦ с косв.'!C94+'4.6_генерация_котельн.'!C94</f>
        <v>0</v>
      </c>
      <c r="D94" s="241">
        <f>'4.6_генерация_КТЭЦ с косв.'!D94+'4.6_генерация_котельн.'!D94</f>
        <v>66485.790816119101</v>
      </c>
      <c r="E94" s="241">
        <v>0</v>
      </c>
      <c r="F94" s="241">
        <v>42235</v>
      </c>
      <c r="G94" s="241">
        <v>0</v>
      </c>
      <c r="H94" s="241">
        <v>75299.702178964799</v>
      </c>
      <c r="I94" s="241">
        <v>0</v>
      </c>
      <c r="J94" s="241">
        <v>69551.190181782149</v>
      </c>
      <c r="K94" s="241">
        <v>73144.039636583999</v>
      </c>
      <c r="L94" s="241">
        <v>43448.238912000001</v>
      </c>
      <c r="M94" s="241">
        <v>29695.800724584002</v>
      </c>
      <c r="N94" s="241">
        <v>78434.14041018227</v>
      </c>
      <c r="O94" s="241">
        <v>47402.028652991998</v>
      </c>
      <c r="P94" s="241">
        <v>31032.11175719028</v>
      </c>
    </row>
    <row r="95" spans="1:16" s="4" customFormat="1" ht="15" customHeight="1">
      <c r="A95" s="17" t="s">
        <v>407</v>
      </c>
      <c r="B95" s="51" t="s">
        <v>408</v>
      </c>
      <c r="C95" s="241">
        <f>'4.6_генерация_КТЭЦ с косв.'!C95+'4.6_генерация_котельн.'!C95</f>
        <v>0</v>
      </c>
      <c r="D95" s="241">
        <f>'4.6_генерация_КТЭЦ с косв.'!D95+'4.6_генерация_котельн.'!D95</f>
        <v>89973.99479699113</v>
      </c>
      <c r="E95" s="241">
        <v>0</v>
      </c>
      <c r="F95" s="241">
        <v>70735</v>
      </c>
      <c r="G95" s="241">
        <v>0</v>
      </c>
      <c r="H95" s="241">
        <v>96110.490499862135</v>
      </c>
      <c r="I95" s="241">
        <v>0</v>
      </c>
      <c r="J95" s="241">
        <v>104024.45117683033</v>
      </c>
      <c r="K95" s="241">
        <v>110074.94232526999</v>
      </c>
      <c r="L95" s="241">
        <v>55389.060489999996</v>
      </c>
      <c r="M95" s="241">
        <v>54685.881835270004</v>
      </c>
      <c r="N95" s="241">
        <v>117576.21151244716</v>
      </c>
      <c r="O95" s="241">
        <v>60429.464994590002</v>
      </c>
      <c r="P95" s="241">
        <v>57146.746517857144</v>
      </c>
    </row>
    <row r="96" spans="1:16" s="4" customFormat="1" ht="15" customHeight="1">
      <c r="A96" s="17"/>
      <c r="B96" s="51"/>
      <c r="C96" s="241"/>
      <c r="D96" s="241"/>
      <c r="E96" s="241"/>
      <c r="F96" s="241"/>
      <c r="G96" s="241"/>
      <c r="H96" s="241"/>
      <c r="I96" s="241"/>
      <c r="J96" s="241"/>
      <c r="K96" s="241"/>
      <c r="L96" s="241"/>
      <c r="M96" s="241"/>
      <c r="N96" s="241"/>
      <c r="O96" s="241"/>
      <c r="P96" s="241"/>
    </row>
    <row r="97" spans="1:16" s="4" customFormat="1" ht="15" customHeight="1">
      <c r="A97" s="17"/>
      <c r="B97" s="755" t="s">
        <v>1265</v>
      </c>
      <c r="C97" s="286">
        <f>'4.1 (свод)'!C20</f>
        <v>1716.038</v>
      </c>
      <c r="D97" s="286">
        <f>'4.1 (свод)'!N20</f>
        <v>1704.5849000000001</v>
      </c>
      <c r="E97" s="286">
        <v>1706.9540000000002</v>
      </c>
      <c r="F97" s="286">
        <v>1625.5954999999999</v>
      </c>
      <c r="G97" s="286">
        <v>1700.0639999999994</v>
      </c>
      <c r="H97" s="286">
        <v>1549.3610000000001</v>
      </c>
      <c r="I97" s="286">
        <v>1587.915</v>
      </c>
      <c r="J97" s="286">
        <v>1564.3480000000002</v>
      </c>
      <c r="K97" s="286">
        <v>1573.9169999999999</v>
      </c>
      <c r="L97" s="286">
        <v>955.19299999999998</v>
      </c>
      <c r="M97" s="286">
        <v>618.72399999999993</v>
      </c>
      <c r="N97" s="286">
        <v>1573.9169999999999</v>
      </c>
      <c r="O97" s="286">
        <v>955.19299999999998</v>
      </c>
      <c r="P97" s="286">
        <v>618.72399999999993</v>
      </c>
    </row>
    <row r="98" spans="1:16" s="4" customFormat="1" ht="15" customHeight="1">
      <c r="A98" s="17"/>
      <c r="B98" s="51"/>
      <c r="C98" s="241"/>
      <c r="D98" s="241"/>
      <c r="E98" s="241"/>
      <c r="F98" s="241"/>
      <c r="G98" s="241"/>
      <c r="H98" s="241"/>
      <c r="I98" s="241"/>
      <c r="J98" s="241"/>
      <c r="K98" s="241"/>
      <c r="L98" s="241"/>
      <c r="M98" s="241"/>
      <c r="N98" s="241"/>
      <c r="O98" s="241"/>
      <c r="P98" s="241"/>
    </row>
    <row r="99" spans="1:16" s="4" customFormat="1" ht="15" customHeight="1">
      <c r="A99" s="17"/>
      <c r="B99" s="253" t="s">
        <v>1266</v>
      </c>
      <c r="C99" s="428">
        <f>C93/C97</f>
        <v>1934.165641275672</v>
      </c>
      <c r="D99" s="428">
        <f t="shared" ref="D99" si="12">D93/D97</f>
        <v>2067.2024269885292</v>
      </c>
      <c r="E99" s="428">
        <v>2050.1959859073445</v>
      </c>
      <c r="F99" s="428">
        <v>2346.1622347688581</v>
      </c>
      <c r="G99" s="428">
        <v>2271.4112166120362</v>
      </c>
      <c r="H99" s="428">
        <v>2426.3321557533163</v>
      </c>
      <c r="I99" s="428">
        <v>2498.4206395253336</v>
      </c>
      <c r="J99" s="428">
        <v>2534.1499233862087</v>
      </c>
      <c r="K99" s="428">
        <v>3455.262140173837</v>
      </c>
      <c r="L99" s="428">
        <v>2549.5688531424503</v>
      </c>
      <c r="M99" s="428">
        <v>4853.4909444474251</v>
      </c>
      <c r="N99" s="428">
        <v>3027.8696278438051</v>
      </c>
      <c r="O99" s="428">
        <v>2699.9804438414021</v>
      </c>
      <c r="P99" s="428">
        <v>3534.0669845566654</v>
      </c>
    </row>
    <row r="100" spans="1:16" s="4" customFormat="1" ht="15" customHeight="1">
      <c r="A100" s="17"/>
      <c r="B100" s="253" t="s">
        <v>1267</v>
      </c>
      <c r="C100" s="428"/>
      <c r="D100" s="428"/>
      <c r="E100" s="428"/>
      <c r="F100" s="428"/>
      <c r="G100" s="428"/>
      <c r="H100" s="428"/>
      <c r="I100" s="428"/>
      <c r="J100" s="428"/>
      <c r="K100" s="428"/>
      <c r="L100" s="428"/>
      <c r="M100" s="428"/>
      <c r="N100" s="978"/>
      <c r="O100" s="978"/>
      <c r="P100" s="978"/>
    </row>
    <row r="101" spans="1:16" s="4" customFormat="1" ht="15" customHeight="1">
      <c r="A101" s="17"/>
      <c r="B101" s="1131" t="s">
        <v>1512</v>
      </c>
      <c r="C101" s="428"/>
      <c r="D101" s="428"/>
      <c r="E101" s="428">
        <f>'4.6_КТЭЦ свод с косв.'!E101</f>
        <v>87.370765027322406</v>
      </c>
      <c r="F101" s="428">
        <f>'4.6_КТЭЦ свод с косв.'!F101</f>
        <v>94.661339893919632</v>
      </c>
      <c r="G101" s="428" t="e">
        <f>'4.6_КТЭЦ свод с косв.'!G101</f>
        <v>#DIV/0!</v>
      </c>
      <c r="H101" s="428">
        <f>'4.6_КТЭЦ свод с косв.'!H101</f>
        <v>115.10979247123075</v>
      </c>
      <c r="I101" s="428"/>
      <c r="J101" s="428"/>
      <c r="K101" s="428">
        <f>'4.6_КТЭЦ свод с косв.'!K101</f>
        <v>121.01190202251742</v>
      </c>
      <c r="L101" s="428">
        <f>'4.6_КТЭЦ свод с косв.'!L101</f>
        <v>107.95017013295001</v>
      </c>
      <c r="M101" s="428">
        <f>'4.6_КТЭЦ свод с косв.'!M101</f>
        <v>140.60449985686853</v>
      </c>
      <c r="N101" s="978"/>
      <c r="O101" s="978"/>
      <c r="P101" s="978"/>
    </row>
    <row r="102" spans="1:16" s="4" customFormat="1" ht="15" customHeight="1">
      <c r="A102" s="17"/>
      <c r="B102" s="1131" t="s">
        <v>1513</v>
      </c>
      <c r="C102" s="428">
        <v>30.59</v>
      </c>
      <c r="D102" s="428">
        <f>'4.6_КТЭЦ свод с косв.'!D102</f>
        <v>30.383382196457696</v>
      </c>
      <c r="E102" s="428">
        <f>'4.6_КТЭЦ свод с косв.'!E102</f>
        <v>34.96</v>
      </c>
      <c r="F102" s="428">
        <f>'4.6_КТЭЦ свод с косв.'!F102</f>
        <v>35.786489339888192</v>
      </c>
      <c r="G102" s="428" t="e">
        <f>'4.6_КТЭЦ свод с косв.'!G102</f>
        <v>#DIV/0!</v>
      </c>
      <c r="H102" s="428">
        <f>'4.6_КТЭЦ свод с косв.'!H102</f>
        <v>46.220147322273768</v>
      </c>
      <c r="I102" s="428"/>
      <c r="J102" s="428"/>
      <c r="K102" s="428">
        <f>'4.6_КТЭЦ свод с косв.'!K102</f>
        <v>44.504928875668064</v>
      </c>
      <c r="L102" s="428">
        <f>'4.6_КТЭЦ свод с косв.'!L102</f>
        <v>42.97</v>
      </c>
      <c r="M102" s="428">
        <f>'4.6_КТЭЦ свод с косв.'!M102</f>
        <v>46.88027000000001</v>
      </c>
      <c r="N102" s="978"/>
      <c r="O102" s="978"/>
      <c r="P102" s="978"/>
    </row>
    <row r="103" spans="1:16" hidden="1">
      <c r="A103" s="253" t="s">
        <v>965</v>
      </c>
      <c r="B103" s="253"/>
      <c r="C103" s="308">
        <f>C67+C78+C83+C87-C90</f>
        <v>218604.25</v>
      </c>
      <c r="D103" s="308">
        <f t="shared" ref="D103:M103" si="13">D67+D78+D83+D87-D90</f>
        <v>248816.25</v>
      </c>
      <c r="E103" s="308">
        <f t="shared" si="13"/>
        <v>147159</v>
      </c>
      <c r="F103" s="308">
        <f t="shared" si="13"/>
        <v>429259.95</v>
      </c>
      <c r="G103" s="308"/>
      <c r="H103" s="308"/>
      <c r="I103" s="308"/>
      <c r="J103" s="308"/>
      <c r="K103" s="308">
        <f t="shared" si="13"/>
        <v>770079.14893248817</v>
      </c>
      <c r="L103" s="308">
        <f t="shared" si="13"/>
        <v>130041.13569016726</v>
      </c>
      <c r="M103" s="308">
        <f t="shared" si="13"/>
        <v>640038.01324232086</v>
      </c>
      <c r="N103" s="762"/>
      <c r="O103" s="762"/>
      <c r="P103" s="762"/>
    </row>
    <row r="104" spans="1:16" s="26" customFormat="1">
      <c r="A104" s="26" t="s">
        <v>88</v>
      </c>
      <c r="H104" s="1775">
        <f>'4.6_генерация_КТЭЦ с косв.'!H93+'4.6_генерация_котельн.'!H93</f>
        <v>3759264.4151701145</v>
      </c>
      <c r="J104" s="1775">
        <f>'4.6_генерация_КТЭЦ с косв.'!J93+'4.6_генерация_котельн.'!J93</f>
        <v>3964292.3643493694</v>
      </c>
      <c r="K104" s="1775">
        <f>'4.6_генерация_КТЭЦ с косв.'!K93+'4.6_генерация_котельн.'!K93</f>
        <v>5438295.8218759848</v>
      </c>
      <c r="N104" s="1775">
        <f>'4.6_генерация_КТЭЦ с косв.'!N93+'4.6_генерация_котельн.'!N93</f>
        <v>4765615.481047038</v>
      </c>
    </row>
    <row r="105" spans="1:16" s="541" customFormat="1" ht="58.5" customHeight="1">
      <c r="A105" s="541" t="s">
        <v>89</v>
      </c>
      <c r="B105" s="1842" t="s">
        <v>409</v>
      </c>
      <c r="C105" s="1842"/>
      <c r="D105" s="1842"/>
      <c r="E105" s="1842"/>
      <c r="F105" s="1842"/>
      <c r="G105" s="1842"/>
      <c r="H105" s="1842"/>
      <c r="I105" s="1842"/>
      <c r="J105" s="1842"/>
      <c r="K105" s="1842"/>
      <c r="L105" s="1842"/>
      <c r="M105" s="1842"/>
      <c r="N105" s="1640"/>
      <c r="O105" s="1640"/>
      <c r="P105" s="1640"/>
    </row>
    <row r="106" spans="1:16" s="541" customFormat="1" ht="58.5" customHeight="1">
      <c r="A106" s="541" t="s">
        <v>91</v>
      </c>
      <c r="B106" s="1842" t="s">
        <v>410</v>
      </c>
      <c r="C106" s="1842"/>
      <c r="D106" s="1842"/>
      <c r="E106" s="1842"/>
      <c r="F106" s="1842"/>
      <c r="G106" s="1842"/>
      <c r="H106" s="1842"/>
      <c r="I106" s="1842"/>
      <c r="J106" s="1842"/>
      <c r="K106" s="1842"/>
      <c r="L106" s="1842"/>
      <c r="M106" s="1842"/>
      <c r="N106" s="1640"/>
      <c r="O106" s="1640"/>
      <c r="P106" s="1640"/>
    </row>
    <row r="107" spans="1:16" s="541" customFormat="1" ht="58.5" customHeight="1">
      <c r="A107" s="541" t="s">
        <v>93</v>
      </c>
      <c r="B107" s="1842" t="s">
        <v>411</v>
      </c>
      <c r="C107" s="1842"/>
      <c r="D107" s="1842"/>
      <c r="E107" s="1842"/>
      <c r="F107" s="1842"/>
      <c r="G107" s="1842"/>
      <c r="H107" s="1842"/>
      <c r="I107" s="1842"/>
      <c r="J107" s="1842"/>
      <c r="K107" s="1842"/>
      <c r="L107" s="1842"/>
      <c r="M107" s="1842"/>
      <c r="N107" s="1640"/>
      <c r="O107" s="1640"/>
      <c r="P107" s="1640"/>
    </row>
    <row r="108" spans="1:16" ht="18.75" customHeight="1"/>
  </sheetData>
  <mergeCells count="4">
    <mergeCell ref="B105:M105"/>
    <mergeCell ref="B106:M106"/>
    <mergeCell ref="B107:M107"/>
    <mergeCell ref="A3:J3"/>
  </mergeCells>
  <pageMargins left="0.78740157480314965" right="0.31496062992125984" top="0.19685039370078741" bottom="0.39370078740157483" header="0.19685039370078741" footer="0.19685039370078741"/>
  <pageSetup paperSize="9" scale="53" orientation="portrait" r:id="rId1"/>
  <headerFooter alignWithMargins="0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2" tint="-0.499984740745262"/>
  </sheetPr>
  <dimension ref="A1:P109"/>
  <sheetViews>
    <sheetView view="pageBreakPreview" zoomScaleNormal="100" workbookViewId="0">
      <pane xSplit="2" ySplit="5" topLeftCell="G6" activePane="bottomRight" state="frozen"/>
      <selection activeCell="J84" sqref="J84"/>
      <selection pane="topRight" activeCell="J84" sqref="J84"/>
      <selection pane="bottomLeft" activeCell="J84" sqref="J84"/>
      <selection pane="bottomRight" activeCell="O13" sqref="O13"/>
    </sheetView>
  </sheetViews>
  <sheetFormatPr defaultColWidth="3.7109375" defaultRowHeight="15" outlineLevelRow="1"/>
  <cols>
    <col min="1" max="1" width="6.28515625" style="1" customWidth="1"/>
    <col min="2" max="2" width="44.28515625" style="1" customWidth="1"/>
    <col min="3" max="4" width="13.42578125" style="1" hidden="1" customWidth="1"/>
    <col min="5" max="9" width="13.42578125" style="1" customWidth="1"/>
    <col min="10" max="10" width="16.7109375" style="1" customWidth="1"/>
    <col min="11" max="11" width="12.85546875" style="1" customWidth="1"/>
    <col min="12" max="12" width="12.140625" style="1" customWidth="1"/>
    <col min="13" max="13" width="12.28515625" style="1" customWidth="1"/>
    <col min="14" max="14" width="12.7109375" style="1" customWidth="1"/>
    <col min="15" max="16" width="12.28515625" style="1" customWidth="1"/>
    <col min="17" max="51" width="9.140625" style="1" customWidth="1"/>
    <col min="52" max="16384" width="3.7109375" style="1"/>
  </cols>
  <sheetData>
    <row r="1" spans="1:16" ht="12.75" customHeight="1">
      <c r="A1" s="74" t="s">
        <v>1860</v>
      </c>
      <c r="J1" s="23"/>
      <c r="K1" s="23"/>
      <c r="M1" s="23" t="s">
        <v>359</v>
      </c>
      <c r="N1" s="23"/>
      <c r="O1" s="23"/>
      <c r="P1" s="23"/>
    </row>
    <row r="2" spans="1:16" ht="12.75" customHeight="1">
      <c r="A2" s="759" t="str">
        <f>'4.6_транзит (свод)'!A2</f>
        <v>КТЭЦ + котельные СВОД</v>
      </c>
    </row>
    <row r="3" spans="1:16" ht="18.75">
      <c r="A3" s="1877" t="s">
        <v>1537</v>
      </c>
      <c r="B3" s="1914"/>
      <c r="C3" s="1914"/>
      <c r="D3" s="1914"/>
      <c r="E3" s="1914"/>
      <c r="F3" s="1914"/>
      <c r="G3" s="1914"/>
      <c r="H3" s="1914"/>
      <c r="I3" s="1914"/>
      <c r="J3" s="1914"/>
      <c r="K3" s="1643"/>
      <c r="L3" s="1643"/>
      <c r="M3" s="1767"/>
      <c r="N3" s="1643"/>
      <c r="O3" s="1643"/>
      <c r="P3" s="1643"/>
    </row>
    <row r="4" spans="1:16" ht="14.25" customHeight="1">
      <c r="A4" s="1" t="s">
        <v>1531</v>
      </c>
      <c r="J4" s="23"/>
      <c r="K4" s="23"/>
      <c r="M4" s="23" t="s">
        <v>360</v>
      </c>
      <c r="N4" s="23"/>
      <c r="O4" s="23"/>
      <c r="P4" s="23"/>
    </row>
    <row r="5" spans="1:16" s="3" customFormat="1" ht="73.5" customHeight="1">
      <c r="A5" s="944" t="s">
        <v>0</v>
      </c>
      <c r="B5" s="944" t="s">
        <v>1</v>
      </c>
      <c r="C5" s="944" t="s">
        <v>1129</v>
      </c>
      <c r="D5" s="944" t="s">
        <v>1130</v>
      </c>
      <c r="E5" s="944" t="s">
        <v>1131</v>
      </c>
      <c r="F5" s="944" t="s">
        <v>1695</v>
      </c>
      <c r="G5" s="1284" t="s">
        <v>1696</v>
      </c>
      <c r="H5" s="1576" t="s">
        <v>1828</v>
      </c>
      <c r="I5" s="1576" t="s">
        <v>1833</v>
      </c>
      <c r="J5" s="1641" t="s">
        <v>1861</v>
      </c>
      <c r="K5" s="1641" t="s">
        <v>1862</v>
      </c>
      <c r="L5" s="1641" t="s">
        <v>763</v>
      </c>
      <c r="M5" s="1641" t="s">
        <v>764</v>
      </c>
      <c r="N5" s="1641" t="s">
        <v>1863</v>
      </c>
      <c r="O5" s="1641" t="s">
        <v>763</v>
      </c>
      <c r="P5" s="1641" t="s">
        <v>764</v>
      </c>
    </row>
    <row r="6" spans="1:16" s="2" customFormat="1">
      <c r="A6" s="13">
        <v>1</v>
      </c>
      <c r="B6" s="13">
        <v>2</v>
      </c>
      <c r="C6" s="13">
        <v>3</v>
      </c>
      <c r="D6" s="13">
        <v>4</v>
      </c>
      <c r="E6" s="13">
        <v>3</v>
      </c>
      <c r="F6" s="13">
        <v>4</v>
      </c>
      <c r="G6" s="13">
        <v>5</v>
      </c>
      <c r="H6" s="13">
        <v>6</v>
      </c>
      <c r="I6" s="13">
        <v>7</v>
      </c>
      <c r="J6" s="13">
        <v>8</v>
      </c>
      <c r="K6" s="13">
        <v>9</v>
      </c>
      <c r="L6" s="13">
        <v>10</v>
      </c>
      <c r="M6" s="13">
        <v>11</v>
      </c>
      <c r="N6" s="13">
        <v>12</v>
      </c>
      <c r="O6" s="13">
        <v>13</v>
      </c>
      <c r="P6" s="13">
        <v>14</v>
      </c>
    </row>
    <row r="7" spans="1:16" s="1041" customFormat="1" ht="30" customHeight="1">
      <c r="A7" s="1037" t="s">
        <v>361</v>
      </c>
      <c r="B7" s="1038" t="s">
        <v>362</v>
      </c>
      <c r="C7" s="1039">
        <f>C8+SUM(C10:C15)+C20+SUM(C22:C25)+SUM(C56:C61)+1</f>
        <v>1300132</v>
      </c>
      <c r="D7" s="1039">
        <f>D8+SUM(D10:D15)+D20+SUM(D22:D25)+SUM(D56:D61)</f>
        <v>1360356.1711190001</v>
      </c>
      <c r="E7" s="1039">
        <f>E8+SUM(E10:E15)+E20+SUM(E22:E25)+SUM(E56:E61)-1</f>
        <v>1386172</v>
      </c>
      <c r="F7" s="1039">
        <v>1545842.1020034337</v>
      </c>
      <c r="G7" s="1039">
        <v>1558609.2362408165</v>
      </c>
      <c r="H7" s="1039">
        <v>1737070.6275410261</v>
      </c>
      <c r="I7" s="1039">
        <v>1705991</v>
      </c>
      <c r="J7" s="1039">
        <v>1924185.7632205305</v>
      </c>
      <c r="K7" s="1039">
        <v>2043857.4433182138</v>
      </c>
      <c r="L7" s="1039">
        <v>1021182.6872952799</v>
      </c>
      <c r="M7" s="1039">
        <v>1022675.756022934</v>
      </c>
      <c r="N7" s="1039">
        <v>2167927.1675534132</v>
      </c>
      <c r="O7" s="1039">
        <v>1087051.2819398327</v>
      </c>
      <c r="P7" s="1039">
        <v>1080876.8856135807</v>
      </c>
    </row>
    <row r="8" spans="1:16" s="1046" customFormat="1" ht="15" customHeight="1">
      <c r="A8" s="1044"/>
      <c r="B8" s="1045" t="s">
        <v>363</v>
      </c>
      <c r="C8" s="258">
        <f>'4.6_транзит+сбыт_КТЭЦ с косв.'!C8+'4.6_транзит+сбыт_котельн.'!C8</f>
        <v>14712</v>
      </c>
      <c r="D8" s="258">
        <f>'4.6_транзит+сбыт_КТЭЦ с косв.'!D8+'4.6_транзит+сбыт_котельн.'!D8</f>
        <v>34828</v>
      </c>
      <c r="E8" s="258">
        <f>58146</f>
        <v>58146</v>
      </c>
      <c r="F8" s="258">
        <v>36514</v>
      </c>
      <c r="G8" s="258">
        <v>28069.850181652255</v>
      </c>
      <c r="H8" s="258">
        <v>44596</v>
      </c>
      <c r="I8" s="258">
        <v>47911</v>
      </c>
      <c r="J8" s="258">
        <v>55042.5</v>
      </c>
      <c r="K8" s="258">
        <v>58306.630260000005</v>
      </c>
      <c r="L8" s="258">
        <v>20407.320591</v>
      </c>
      <c r="M8" s="258">
        <v>37899.309668999995</v>
      </c>
      <c r="N8" s="258">
        <v>61014.878822600993</v>
      </c>
      <c r="O8" s="258">
        <v>21355.207587910347</v>
      </c>
      <c r="P8" s="258">
        <v>39659.67123469065</v>
      </c>
    </row>
    <row r="9" spans="1:16" s="4" customFormat="1" ht="15" customHeight="1">
      <c r="A9" s="17"/>
      <c r="B9" s="580" t="s">
        <v>1134</v>
      </c>
      <c r="C9" s="751">
        <f>'4.6_транзит+сбыт_КТЭЦ с косв.'!C9+'4.6_транзит+сбыт_котельн.'!C9</f>
        <v>6179</v>
      </c>
      <c r="D9" s="751">
        <f>'4.6_транзит+сбыт_КТЭЦ с косв.'!D9+'4.6_транзит+сбыт_котельн.'!D9</f>
        <v>17340</v>
      </c>
      <c r="E9" s="751">
        <f>'4.6_транзит+сбыт_КТЭЦ с косв.'!E9+'4.6_транзит+сбыт_котельн.'!E9</f>
        <v>0</v>
      </c>
      <c r="F9" s="751">
        <v>17516</v>
      </c>
      <c r="G9" s="751">
        <v>10270.107806810185</v>
      </c>
      <c r="H9" s="751">
        <v>23576</v>
      </c>
      <c r="I9" s="751">
        <v>17605</v>
      </c>
      <c r="J9" s="751">
        <v>24737</v>
      </c>
      <c r="K9" s="751">
        <v>24742</v>
      </c>
      <c r="L9" s="751">
        <v>8659.6999999999989</v>
      </c>
      <c r="M9" s="751">
        <v>16082.300000000001</v>
      </c>
      <c r="N9" s="751">
        <v>27421.084751504397</v>
      </c>
      <c r="O9" s="751">
        <v>9597.3796630265388</v>
      </c>
      <c r="P9" s="751">
        <v>17823.705088477858</v>
      </c>
    </row>
    <row r="10" spans="1:16" s="1046" customFormat="1" ht="15" customHeight="1">
      <c r="A10" s="1044"/>
      <c r="B10" s="1045" t="s">
        <v>364</v>
      </c>
      <c r="C10" s="258">
        <f>'4.6_транзит+сбыт_КТЭЦ с косв.'!C10+'4.6_транзит+сбыт_котельн.'!C10</f>
        <v>0</v>
      </c>
      <c r="D10" s="258">
        <f>'4.6_транзит+сбыт_КТЭЦ с косв.'!D10+'4.6_транзит+сбыт_котельн.'!D10</f>
        <v>0</v>
      </c>
      <c r="E10" s="258">
        <f>'4.6_транзит+сбыт_КТЭЦ с косв.'!E10+'4.6_транзит+сбыт_котельн.'!E10</f>
        <v>0</v>
      </c>
      <c r="F10" s="258">
        <v>0</v>
      </c>
      <c r="G10" s="258">
        <v>0</v>
      </c>
      <c r="H10" s="258">
        <v>0</v>
      </c>
      <c r="I10" s="258">
        <v>0</v>
      </c>
      <c r="J10" s="258">
        <v>0</v>
      </c>
      <c r="K10" s="258">
        <v>0</v>
      </c>
      <c r="L10" s="258">
        <v>0</v>
      </c>
      <c r="M10" s="258">
        <v>0</v>
      </c>
      <c r="N10" s="258">
        <v>0</v>
      </c>
      <c r="O10" s="258">
        <v>0</v>
      </c>
      <c r="P10" s="258">
        <v>0</v>
      </c>
    </row>
    <row r="11" spans="1:16" s="1046" customFormat="1" ht="30">
      <c r="A11" s="1044"/>
      <c r="B11" s="1045" t="s">
        <v>365</v>
      </c>
      <c r="C11" s="258">
        <f>'4.6_транзит+сбыт_КТЭЦ с косв.'!C11+'4.6_транзит+сбыт_котельн.'!C11</f>
        <v>180009</v>
      </c>
      <c r="D11" s="258">
        <f>'4.6_транзит+сбыт_КТЭЦ с косв.'!D11+'4.6_транзит+сбыт_котельн.'!D11</f>
        <v>99369.292518999995</v>
      </c>
      <c r="E11" s="258">
        <v>132656</v>
      </c>
      <c r="F11" s="258">
        <v>106472.69598599999</v>
      </c>
      <c r="G11" s="258">
        <v>120134.60620700003</v>
      </c>
      <c r="H11" s="258">
        <v>117357.63773815012</v>
      </c>
      <c r="I11" s="258">
        <v>131947</v>
      </c>
      <c r="J11" s="258">
        <v>128846.03806625999</v>
      </c>
      <c r="K11" s="258">
        <v>140654.65367315599</v>
      </c>
      <c r="L11" s="258">
        <v>79658.487376999998</v>
      </c>
      <c r="M11" s="258">
        <v>60996.166296155985</v>
      </c>
      <c r="N11" s="258">
        <v>153523.8672386829</v>
      </c>
      <c r="O11" s="258">
        <v>87465.019139945973</v>
      </c>
      <c r="P11" s="258">
        <v>66058.84809873694</v>
      </c>
    </row>
    <row r="12" spans="1:16" s="1046" customFormat="1" ht="15" customHeight="1">
      <c r="A12" s="1044"/>
      <c r="B12" s="1045" t="s">
        <v>366</v>
      </c>
      <c r="C12" s="258">
        <f>'4.6_транзит+сбыт_КТЭЦ с косв.'!C12+'4.6_транзит+сбыт_котельн.'!C12</f>
        <v>15803</v>
      </c>
      <c r="D12" s="258">
        <f>'4.6_транзит+сбыт_КТЭЦ с косв.'!D12+'4.6_транзит+сбыт_котельн.'!D12</f>
        <v>8120</v>
      </c>
      <c r="E12" s="258">
        <v>9038</v>
      </c>
      <c r="F12" s="258">
        <v>9289.7906414337322</v>
      </c>
      <c r="G12" s="258">
        <v>10841.417047200001</v>
      </c>
      <c r="H12" s="258">
        <v>15572.225704075894</v>
      </c>
      <c r="I12" s="258">
        <v>11355</v>
      </c>
      <c r="J12" s="258">
        <v>13887.788914270452</v>
      </c>
      <c r="K12" s="258">
        <v>14417.776497618001</v>
      </c>
      <c r="L12" s="258">
        <v>7666.3894220000002</v>
      </c>
      <c r="M12" s="258">
        <v>6751.3870756180004</v>
      </c>
      <c r="N12" s="258">
        <v>15419.230353422812</v>
      </c>
      <c r="O12" s="258">
        <v>8364.0308594019989</v>
      </c>
      <c r="P12" s="258">
        <v>7055.1994940208097</v>
      </c>
    </row>
    <row r="13" spans="1:16" s="1046" customFormat="1" ht="15" customHeight="1">
      <c r="A13" s="1044"/>
      <c r="B13" s="1045" t="s">
        <v>367</v>
      </c>
      <c r="C13" s="258">
        <f>'4.6_транзит+сбыт_КТЭЦ с косв.'!C13+'4.6_транзит+сбыт_котельн.'!C13</f>
        <v>0</v>
      </c>
      <c r="D13" s="258">
        <f>'4.6_транзит+сбыт_КТЭЦ с косв.'!D13+'4.6_транзит+сбыт_котельн.'!D13</f>
        <v>0</v>
      </c>
      <c r="E13" s="258">
        <f>'4.6_транзит+сбыт_КТЭЦ с косв.'!E13+'4.6_транзит+сбыт_котельн.'!E13</f>
        <v>0</v>
      </c>
      <c r="F13" s="258">
        <v>0</v>
      </c>
      <c r="G13" s="258">
        <v>0</v>
      </c>
      <c r="H13" s="258">
        <v>0</v>
      </c>
      <c r="I13" s="258">
        <v>0</v>
      </c>
      <c r="J13" s="258">
        <v>0</v>
      </c>
      <c r="K13" s="258">
        <v>0</v>
      </c>
      <c r="L13" s="258">
        <v>0</v>
      </c>
      <c r="M13" s="258">
        <v>0</v>
      </c>
      <c r="N13" s="258">
        <v>0</v>
      </c>
      <c r="O13" s="258">
        <v>0</v>
      </c>
      <c r="P13" s="258">
        <v>0</v>
      </c>
    </row>
    <row r="14" spans="1:16" s="1046" customFormat="1" ht="30">
      <c r="A14" s="1044"/>
      <c r="B14" s="1045" t="s">
        <v>368</v>
      </c>
      <c r="C14" s="258">
        <f>'4.6_транзит+сбыт_КТЭЦ с косв.'!C14+'4.6_транзит+сбыт_котельн.'!C14</f>
        <v>23948</v>
      </c>
      <c r="D14" s="258">
        <f>'4.6_транзит+сбыт_КТЭЦ с косв.'!D14+'4.6_транзит+сбыт_котельн.'!D14</f>
        <v>23376</v>
      </c>
      <c r="E14" s="258">
        <v>26248</v>
      </c>
      <c r="F14" s="258">
        <v>32819</v>
      </c>
      <c r="G14" s="258">
        <v>53167.783404981354</v>
      </c>
      <c r="H14" s="258">
        <v>42734</v>
      </c>
      <c r="I14" s="258">
        <v>34040</v>
      </c>
      <c r="J14" s="258">
        <v>75106</v>
      </c>
      <c r="K14" s="258">
        <v>68738</v>
      </c>
      <c r="L14" s="258">
        <v>34164</v>
      </c>
      <c r="M14" s="258">
        <v>34574</v>
      </c>
      <c r="N14" s="258">
        <v>71171</v>
      </c>
      <c r="O14" s="258">
        <v>35391</v>
      </c>
      <c r="P14" s="258">
        <v>35780</v>
      </c>
    </row>
    <row r="15" spans="1:16" s="1046" customFormat="1" ht="15" customHeight="1">
      <c r="A15" s="1044"/>
      <c r="B15" s="1045" t="s">
        <v>1135</v>
      </c>
      <c r="C15" s="258">
        <f>C16+C18+C19</f>
        <v>587187</v>
      </c>
      <c r="D15" s="258">
        <f t="shared" ref="D15" si="0">D16+D18+D19</f>
        <v>631282</v>
      </c>
      <c r="E15" s="258">
        <f>E16+E18+E19</f>
        <v>612441</v>
      </c>
      <c r="F15" s="258">
        <v>747734</v>
      </c>
      <c r="G15" s="258">
        <v>706868.68352383189</v>
      </c>
      <c r="H15" s="258">
        <v>816949.71989880002</v>
      </c>
      <c r="I15" s="258">
        <v>831529</v>
      </c>
      <c r="J15" s="258">
        <v>907418.03624000004</v>
      </c>
      <c r="K15" s="258">
        <v>1008727.0751674399</v>
      </c>
      <c r="L15" s="258">
        <v>484825.34953727992</v>
      </c>
      <c r="M15" s="258">
        <v>523902.72563016001</v>
      </c>
      <c r="N15" s="258">
        <v>1067966.44504124</v>
      </c>
      <c r="O15" s="258">
        <v>517384.68236339994</v>
      </c>
      <c r="P15" s="258">
        <v>550582.76267783996</v>
      </c>
    </row>
    <row r="16" spans="1:16" s="341" customFormat="1" ht="15" customHeight="1">
      <c r="A16" s="339"/>
      <c r="B16" s="581" t="s">
        <v>1136</v>
      </c>
      <c r="C16" s="766">
        <f>'4.6_транзит+сбыт_КТЭЦ с косв.'!C16+'4.6_транзит+сбыт_котельн.'!C16</f>
        <v>579558</v>
      </c>
      <c r="D16" s="766">
        <f>'4.6_транзит+сбыт_КТЭЦ с косв.'!D16+'4.6_транзит+сбыт_котельн.'!D16</f>
        <v>613834</v>
      </c>
      <c r="E16" s="766">
        <v>603316</v>
      </c>
      <c r="F16" s="766">
        <v>728737</v>
      </c>
      <c r="G16" s="766">
        <v>697851.30975233694</v>
      </c>
      <c r="H16" s="766">
        <v>794462.71989880002</v>
      </c>
      <c r="I16" s="766">
        <v>820439</v>
      </c>
      <c r="J16" s="766">
        <v>883011.03624000004</v>
      </c>
      <c r="K16" s="766">
        <v>982629.07516743988</v>
      </c>
      <c r="L16" s="766">
        <v>471775.84953727992</v>
      </c>
      <c r="M16" s="766">
        <v>510853.22563016001</v>
      </c>
      <c r="N16" s="766">
        <v>1040618.44504124</v>
      </c>
      <c r="O16" s="766">
        <v>503710.18236339994</v>
      </c>
      <c r="P16" s="766">
        <v>536908.26267783996</v>
      </c>
    </row>
    <row r="17" spans="1:16" s="341" customFormat="1" ht="15" customHeight="1">
      <c r="A17" s="339"/>
      <c r="B17" s="580" t="s">
        <v>1134</v>
      </c>
      <c r="C17" s="751">
        <f>'4.6_транзит+сбыт_КТЭЦ с косв.'!C17+'4.6_транзит+сбыт_котельн.'!C17</f>
        <v>26274</v>
      </c>
      <c r="D17" s="751">
        <f>'4.6_транзит+сбыт_КТЭЦ с косв.'!D17+'4.6_транзит+сбыт_котельн.'!D17</f>
        <v>30051</v>
      </c>
      <c r="E17" s="751">
        <f>'4.6_транзит+сбыт_КТЭЦ с косв.'!E17+'4.6_транзит+сбыт_котельн.'!E17</f>
        <v>0</v>
      </c>
      <c r="F17" s="751">
        <v>33567</v>
      </c>
      <c r="G17" s="751">
        <v>47052.240720980131</v>
      </c>
      <c r="H17" s="751">
        <v>35479</v>
      </c>
      <c r="I17" s="751">
        <v>33247</v>
      </c>
      <c r="J17" s="751">
        <v>40844</v>
      </c>
      <c r="K17" s="751">
        <v>47118</v>
      </c>
      <c r="L17" s="751">
        <v>22628</v>
      </c>
      <c r="M17" s="751">
        <v>24490</v>
      </c>
      <c r="N17" s="751">
        <v>49868</v>
      </c>
      <c r="O17" s="751">
        <v>23256</v>
      </c>
      <c r="P17" s="751">
        <v>26612</v>
      </c>
    </row>
    <row r="18" spans="1:16" s="341" customFormat="1" ht="15" customHeight="1">
      <c r="A18" s="339"/>
      <c r="B18" s="581" t="s">
        <v>1137</v>
      </c>
      <c r="C18" s="766">
        <f>'4.6_транзит+сбыт_КТЭЦ с косв.'!C18+'4.6_транзит+сбыт_котельн.'!C18</f>
        <v>7629</v>
      </c>
      <c r="D18" s="766">
        <f>'4.6_транзит+сбыт_КТЭЦ с косв.'!D18+'4.6_транзит+сбыт_котельн.'!D18</f>
        <v>11770</v>
      </c>
      <c r="E18" s="766">
        <v>9125</v>
      </c>
      <c r="F18" s="766">
        <v>13687</v>
      </c>
      <c r="G18" s="766">
        <v>9017.3737714950057</v>
      </c>
      <c r="H18" s="766">
        <v>16397</v>
      </c>
      <c r="I18" s="766">
        <v>11090</v>
      </c>
      <c r="J18" s="766">
        <v>18460</v>
      </c>
      <c r="K18" s="766">
        <v>20767</v>
      </c>
      <c r="L18" s="766">
        <v>10384</v>
      </c>
      <c r="M18" s="766">
        <v>10384</v>
      </c>
      <c r="N18" s="766">
        <v>21702</v>
      </c>
      <c r="O18" s="766">
        <v>10851.5</v>
      </c>
      <c r="P18" s="766">
        <v>10851.5</v>
      </c>
    </row>
    <row r="19" spans="1:16" s="341" customFormat="1" ht="15" customHeight="1">
      <c r="A19" s="339"/>
      <c r="B19" s="581" t="s">
        <v>1138</v>
      </c>
      <c r="C19" s="766">
        <f>'4.6_транзит+сбыт_КТЭЦ с косв.'!C19+'4.6_транзит+сбыт_котельн.'!C19</f>
        <v>0</v>
      </c>
      <c r="D19" s="766">
        <f>'4.6_транзит+сбыт_КТЭЦ с косв.'!D19+'4.6_транзит+сбыт_котельн.'!D19</f>
        <v>5678</v>
      </c>
      <c r="E19" s="766">
        <f>'4.6_транзит+сбыт_КТЭЦ с косв.'!E19+'4.6_транзит+сбыт_котельн.'!E19</f>
        <v>0</v>
      </c>
      <c r="F19" s="766">
        <v>5310</v>
      </c>
      <c r="G19" s="766">
        <v>0</v>
      </c>
      <c r="H19" s="766">
        <v>6090</v>
      </c>
      <c r="I19" s="766">
        <v>0</v>
      </c>
      <c r="J19" s="766">
        <v>5947</v>
      </c>
      <c r="K19" s="766">
        <v>5331</v>
      </c>
      <c r="L19" s="766">
        <v>2665.5</v>
      </c>
      <c r="M19" s="766">
        <v>2665.5</v>
      </c>
      <c r="N19" s="766">
        <v>5646</v>
      </c>
      <c r="O19" s="766">
        <v>2823</v>
      </c>
      <c r="P19" s="766">
        <v>2823</v>
      </c>
    </row>
    <row r="20" spans="1:16" s="1046" customFormat="1">
      <c r="A20" s="1044"/>
      <c r="B20" s="1045" t="s">
        <v>369</v>
      </c>
      <c r="C20" s="258">
        <f>'4.6_транзит+сбыт_КТЭЦ с косв.'!C20+'4.6_транзит+сбыт_котельн.'!C20</f>
        <v>176454</v>
      </c>
      <c r="D20" s="258">
        <f>'4.6_транзит+сбыт_КТЭЦ с косв.'!D20+'4.6_транзит+сбыт_котельн.'!D20</f>
        <v>170566</v>
      </c>
      <c r="E20" s="258">
        <v>165383</v>
      </c>
      <c r="F20" s="258">
        <v>199080</v>
      </c>
      <c r="G20" s="258">
        <v>211100.16569647024</v>
      </c>
      <c r="H20" s="258">
        <v>221973</v>
      </c>
      <c r="I20" s="258">
        <v>250953</v>
      </c>
      <c r="J20" s="258">
        <v>241434</v>
      </c>
      <c r="K20" s="258">
        <v>280441</v>
      </c>
      <c r="L20" s="258">
        <v>157380</v>
      </c>
      <c r="M20" s="258">
        <v>123061</v>
      </c>
      <c r="N20" s="258">
        <v>299410</v>
      </c>
      <c r="O20" s="258">
        <v>166856</v>
      </c>
      <c r="P20" s="258">
        <v>132554</v>
      </c>
    </row>
    <row r="21" spans="1:16" s="341" customFormat="1">
      <c r="A21" s="339"/>
      <c r="B21" s="580" t="s">
        <v>1134</v>
      </c>
      <c r="C21" s="751">
        <f>'4.6_транзит+сбыт_КТЭЦ с косв.'!C21+'4.6_транзит+сбыт_котельн.'!C21</f>
        <v>7659</v>
      </c>
      <c r="D21" s="751">
        <f>'4.6_транзит+сбыт_КТЭЦ с косв.'!D21+'4.6_транзит+сбыт_котельн.'!D21</f>
        <v>9013</v>
      </c>
      <c r="E21" s="751">
        <f>'4.6_транзит+сбыт_КТЭЦ с косв.'!E21+'4.6_транзит+сбыт_котельн.'!E21</f>
        <v>0</v>
      </c>
      <c r="F21" s="751">
        <v>10192</v>
      </c>
      <c r="G21" s="751">
        <v>11381.232900618576</v>
      </c>
      <c r="H21" s="751">
        <v>10934</v>
      </c>
      <c r="I21" s="751">
        <v>10695</v>
      </c>
      <c r="J21" s="751">
        <v>12701</v>
      </c>
      <c r="K21" s="751">
        <v>14229</v>
      </c>
      <c r="L21" s="751">
        <v>6278.5946030382438</v>
      </c>
      <c r="M21" s="751">
        <v>7950.4053969617562</v>
      </c>
      <c r="N21" s="751">
        <v>14587.263593428483</v>
      </c>
      <c r="O21" s="751">
        <v>6460.9480924186355</v>
      </c>
      <c r="P21" s="751">
        <v>8126.3155010098471</v>
      </c>
    </row>
    <row r="22" spans="1:16" s="1046" customFormat="1" ht="30" customHeight="1">
      <c r="A22" s="1044"/>
      <c r="B22" s="1045" t="s">
        <v>370</v>
      </c>
      <c r="C22" s="258">
        <f>'4.6_транзит+сбыт_КТЭЦ с косв.'!C22+'4.6_транзит+сбыт_котельн.'!C22</f>
        <v>41676</v>
      </c>
      <c r="D22" s="258">
        <f>'4.6_транзит+сбыт_КТЭЦ с косв.'!D22+'4.6_транзит+сбыт_котельн.'!D22</f>
        <v>46274</v>
      </c>
      <c r="E22" s="258">
        <v>25097</v>
      </c>
      <c r="F22" s="258">
        <v>29194</v>
      </c>
      <c r="G22" s="258">
        <v>113120.67476899999</v>
      </c>
      <c r="H22" s="258">
        <v>94968</v>
      </c>
      <c r="I22" s="258">
        <v>62808</v>
      </c>
      <c r="J22" s="258">
        <v>121885</v>
      </c>
      <c r="K22" s="258">
        <v>60238</v>
      </c>
      <c r="L22" s="258">
        <v>22595.899999999998</v>
      </c>
      <c r="M22" s="258">
        <v>37642.100000000006</v>
      </c>
      <c r="N22" s="258">
        <v>62304.397762741588</v>
      </c>
      <c r="O22" s="258">
        <v>23342.564815959555</v>
      </c>
      <c r="P22" s="258">
        <v>38961.832946782037</v>
      </c>
    </row>
    <row r="23" spans="1:16" s="1046" customFormat="1" ht="60">
      <c r="A23" s="1044"/>
      <c r="B23" s="1045" t="s">
        <v>1139</v>
      </c>
      <c r="C23" s="258">
        <f>'4.6_транзит+сбыт_КТЭЦ с косв.'!C23+'4.6_транзит+сбыт_котельн.'!C23</f>
        <v>78438</v>
      </c>
      <c r="D23" s="258">
        <f>'4.6_транзит+сбыт_КТЭЦ с косв.'!D23+'4.6_транзит+сбыт_котельн.'!D23</f>
        <v>99583</v>
      </c>
      <c r="E23" s="258">
        <v>113253</v>
      </c>
      <c r="F23" s="258">
        <v>96931</v>
      </c>
      <c r="G23" s="258">
        <v>108310</v>
      </c>
      <c r="H23" s="258">
        <v>96860</v>
      </c>
      <c r="I23" s="258">
        <v>100312</v>
      </c>
      <c r="J23" s="258">
        <v>112875</v>
      </c>
      <c r="K23" s="258">
        <v>126107</v>
      </c>
      <c r="L23" s="258">
        <v>76915</v>
      </c>
      <c r="M23" s="258">
        <v>49192</v>
      </c>
      <c r="N23" s="258">
        <v>133119</v>
      </c>
      <c r="O23" s="258">
        <v>81429</v>
      </c>
      <c r="P23" s="258">
        <v>51690</v>
      </c>
    </row>
    <row r="24" spans="1:16" s="1046" customFormat="1" ht="60">
      <c r="A24" s="1044"/>
      <c r="B24" s="1045" t="s">
        <v>372</v>
      </c>
      <c r="C24" s="258">
        <f>'4.6_транзит+сбыт_КТЭЦ с косв.'!C24+'4.6_транзит+сбыт_котельн.'!C24</f>
        <v>9071</v>
      </c>
      <c r="D24" s="258">
        <f>'4.6_транзит+сбыт_КТЭЦ с косв.'!D24+'4.6_транзит+сбыт_котельн.'!D24</f>
        <v>32115</v>
      </c>
      <c r="E24" s="258">
        <v>23625</v>
      </c>
      <c r="F24" s="258">
        <v>32730</v>
      </c>
      <c r="G24" s="258">
        <v>37375.055410680812</v>
      </c>
      <c r="H24" s="258">
        <v>31909</v>
      </c>
      <c r="I24" s="258">
        <v>45454</v>
      </c>
      <c r="J24" s="258">
        <v>45454</v>
      </c>
      <c r="K24" s="258">
        <v>48059.423280000003</v>
      </c>
      <c r="L24" s="258">
        <v>16820.798148000002</v>
      </c>
      <c r="M24" s="258">
        <v>31238.625132000005</v>
      </c>
      <c r="N24" s="258">
        <v>50385.979960984791</v>
      </c>
      <c r="O24" s="258">
        <v>17635.092986344676</v>
      </c>
      <c r="P24" s="258">
        <v>32750.886974640118</v>
      </c>
    </row>
    <row r="25" spans="1:16" s="1046" customFormat="1" ht="90">
      <c r="A25" s="1044"/>
      <c r="B25" s="1045" t="s">
        <v>373</v>
      </c>
      <c r="C25" s="258">
        <f>C27+C28+C29+C55</f>
        <v>33235</v>
      </c>
      <c r="D25" s="258">
        <f t="shared" ref="D25" si="1">D27+D28+D29+D55</f>
        <v>74137.878599999996</v>
      </c>
      <c r="E25" s="258">
        <f>E27+E28+E29</f>
        <v>28107</v>
      </c>
      <c r="F25" s="258">
        <v>90144.615376000002</v>
      </c>
      <c r="G25" s="258">
        <v>48310</v>
      </c>
      <c r="H25" s="258">
        <v>112317.0442</v>
      </c>
      <c r="I25" s="258">
        <v>67627</v>
      </c>
      <c r="J25" s="258">
        <v>67627</v>
      </c>
      <c r="K25" s="258">
        <v>71503.379639999999</v>
      </c>
      <c r="L25" s="258">
        <v>35751.68982</v>
      </c>
      <c r="M25" s="258">
        <v>35751.68982</v>
      </c>
      <c r="N25" s="258">
        <v>74964.858248372402</v>
      </c>
      <c r="O25" s="258">
        <v>37482.429124186201</v>
      </c>
      <c r="P25" s="258">
        <v>37482.429124186201</v>
      </c>
    </row>
    <row r="26" spans="1:16" s="4" customFormat="1">
      <c r="A26" s="17"/>
      <c r="B26" s="51" t="s">
        <v>70</v>
      </c>
      <c r="C26" s="766"/>
      <c r="D26" s="766"/>
      <c r="E26" s="766"/>
      <c r="F26" s="766"/>
      <c r="G26" s="766"/>
      <c r="H26" s="766"/>
      <c r="I26" s="766"/>
      <c r="J26" s="766"/>
      <c r="K26" s="241"/>
      <c r="L26" s="241"/>
      <c r="M26" s="241"/>
      <c r="N26" s="241"/>
      <c r="O26" s="241"/>
      <c r="P26" s="241"/>
    </row>
    <row r="27" spans="1:16" s="4" customFormat="1">
      <c r="A27" s="17"/>
      <c r="B27" s="581" t="s">
        <v>1275</v>
      </c>
      <c r="C27" s="766">
        <f>'4.6_транзит+сбыт_КТЭЦ с косв.'!C27+'4.6_транзит+сбыт_котельн.'!C27</f>
        <v>264</v>
      </c>
      <c r="D27" s="766">
        <f>'4.6_транзит+сбыт_КТЭЦ с косв.'!D27+'4.6_транзит+сбыт_котельн.'!D27</f>
        <v>1593</v>
      </c>
      <c r="E27" s="766">
        <v>47</v>
      </c>
      <c r="F27" s="766">
        <v>1304</v>
      </c>
      <c r="G27" s="766">
        <v>0</v>
      </c>
      <c r="H27" s="766">
        <v>1286</v>
      </c>
      <c r="I27" s="766">
        <v>0</v>
      </c>
      <c r="J27" s="766">
        <v>0</v>
      </c>
      <c r="K27" s="766">
        <v>0</v>
      </c>
      <c r="L27" s="766">
        <v>0</v>
      </c>
      <c r="M27" s="766">
        <v>0</v>
      </c>
      <c r="N27" s="766">
        <v>0</v>
      </c>
      <c r="O27" s="766">
        <v>0</v>
      </c>
      <c r="P27" s="766">
        <v>0</v>
      </c>
    </row>
    <row r="28" spans="1:16" s="4" customFormat="1">
      <c r="A28" s="17"/>
      <c r="B28" s="581" t="s">
        <v>1276</v>
      </c>
      <c r="C28" s="766">
        <f>'4.6_транзит+сбыт_КТЭЦ с косв.'!C28+'4.6_транзит+сбыт_котельн.'!C28</f>
        <v>288</v>
      </c>
      <c r="D28" s="766">
        <f>'4.6_транзит+сбыт_КТЭЦ с косв.'!D28+'4.6_транзит+сбыт_котельн.'!D28</f>
        <v>1009</v>
      </c>
      <c r="E28" s="766">
        <v>491</v>
      </c>
      <c r="F28" s="766">
        <v>1435</v>
      </c>
      <c r="G28" s="766">
        <v>624</v>
      </c>
      <c r="H28" s="766">
        <v>797</v>
      </c>
      <c r="I28" s="766">
        <v>693</v>
      </c>
      <c r="J28" s="766">
        <v>693</v>
      </c>
      <c r="K28" s="766">
        <v>732.72275999999999</v>
      </c>
      <c r="L28" s="766">
        <v>366.36138</v>
      </c>
      <c r="M28" s="766">
        <v>366.36138</v>
      </c>
      <c r="N28" s="766">
        <v>768.19386881159983</v>
      </c>
      <c r="O28" s="766">
        <v>384.09693440579991</v>
      </c>
      <c r="P28" s="766">
        <v>384.09693440579991</v>
      </c>
    </row>
    <row r="29" spans="1:16" s="4" customFormat="1">
      <c r="A29" s="17"/>
      <c r="B29" s="581" t="s">
        <v>1559</v>
      </c>
      <c r="C29" s="766">
        <f>'4.6_транзит+сбыт_КТЭЦ с косв.'!C29+'4.6_транзит+сбыт_котельн.'!C29</f>
        <v>32683</v>
      </c>
      <c r="D29" s="981">
        <f>'4.6_транзит+сбыт_КТЭЦ с косв.'!D29+'4.6_транзит+сбыт_котельн.'!D29</f>
        <v>71535.878599999996</v>
      </c>
      <c r="E29" s="766">
        <f>28107-E27-E28</f>
        <v>27569</v>
      </c>
      <c r="F29" s="766">
        <v>87405.615376000002</v>
      </c>
      <c r="G29" s="766">
        <v>47686</v>
      </c>
      <c r="H29" s="766">
        <v>110234.0442</v>
      </c>
      <c r="I29" s="766">
        <v>66934</v>
      </c>
      <c r="J29" s="766">
        <v>66934</v>
      </c>
      <c r="K29" s="766">
        <v>70770.65688000001</v>
      </c>
      <c r="L29" s="766">
        <v>35385.328440000005</v>
      </c>
      <c r="M29" s="766">
        <v>35385.328440000005</v>
      </c>
      <c r="N29" s="766">
        <v>74196.664379560796</v>
      </c>
      <c r="O29" s="766">
        <v>37098.332189780398</v>
      </c>
      <c r="P29" s="766">
        <v>37098.332189780398</v>
      </c>
    </row>
    <row r="30" spans="1:16" s="4" customFormat="1" hidden="1" outlineLevel="1">
      <c r="A30" s="737" t="s">
        <v>89</v>
      </c>
      <c r="B30" s="738" t="s">
        <v>1244</v>
      </c>
      <c r="C30" s="746">
        <f>'4.6_транзит+сбыт_КТЭЦ с косв.'!C30+'4.6_транзит+сбыт_котельн.'!C30</f>
        <v>0</v>
      </c>
      <c r="D30" s="746">
        <f>'4.6_транзит+сбыт_КТЭЦ с косв.'!D30+'4.6_транзит+сбыт_котельн.'!D30</f>
        <v>4805</v>
      </c>
      <c r="E30" s="746">
        <f>'4.6_транзит+сбыт_КТЭЦ с косв.'!E30+'4.6_транзит+сбыт_котельн.'!E30</f>
        <v>0</v>
      </c>
      <c r="F30" s="746">
        <v>4211</v>
      </c>
      <c r="G30" s="746">
        <v>0</v>
      </c>
      <c r="H30" s="746">
        <v>4539</v>
      </c>
      <c r="I30" s="746">
        <v>0</v>
      </c>
      <c r="J30" s="746">
        <v>21122</v>
      </c>
      <c r="K30" s="746">
        <v>0</v>
      </c>
      <c r="L30" s="746">
        <v>0</v>
      </c>
      <c r="M30" s="746">
        <v>0</v>
      </c>
      <c r="N30" s="746">
        <v>0</v>
      </c>
      <c r="O30" s="746">
        <v>0</v>
      </c>
      <c r="P30" s="746">
        <v>0</v>
      </c>
    </row>
    <row r="31" spans="1:16" s="341" customFormat="1" hidden="1" outlineLevel="1">
      <c r="A31" s="760" t="s">
        <v>91</v>
      </c>
      <c r="B31" s="761" t="s">
        <v>1245</v>
      </c>
      <c r="C31" s="746">
        <f t="shared" ref="C31:D31" si="2">SUM(C32:C43)+C45</f>
        <v>0</v>
      </c>
      <c r="D31" s="746">
        <f t="shared" si="2"/>
        <v>66730.878599999996</v>
      </c>
      <c r="E31" s="746">
        <f>SUM(E32:E45)</f>
        <v>0</v>
      </c>
      <c r="F31" s="746">
        <v>83194.615376000002</v>
      </c>
      <c r="G31" s="746">
        <v>0</v>
      </c>
      <c r="H31" s="746">
        <v>102185.86060000001</v>
      </c>
      <c r="I31" s="746">
        <v>24762</v>
      </c>
      <c r="J31" s="746">
        <v>24762</v>
      </c>
      <c r="K31" s="746">
        <v>0</v>
      </c>
      <c r="L31" s="746">
        <v>0</v>
      </c>
      <c r="M31" s="746">
        <v>0</v>
      </c>
      <c r="N31" s="746">
        <v>0</v>
      </c>
      <c r="O31" s="746">
        <v>0</v>
      </c>
      <c r="P31" s="746">
        <v>0</v>
      </c>
    </row>
    <row r="32" spans="1:16" s="4" customFormat="1" ht="25.5" hidden="1" outlineLevel="1">
      <c r="A32" s="739" t="s">
        <v>1044</v>
      </c>
      <c r="B32" s="740" t="s">
        <v>1247</v>
      </c>
      <c r="C32" s="979">
        <f>'4.6_транзит+сбыт_КТЭЦ с косв.'!C32+'4.6_транзит+сбыт_котельн.'!C32</f>
        <v>0</v>
      </c>
      <c r="D32" s="979">
        <f>'4.6_транзит+сбыт_КТЭЦ с косв.'!D32+'4.6_транзит+сбыт_котельн.'!D32</f>
        <v>4044.4335000000001</v>
      </c>
      <c r="E32" s="979">
        <f>'4.6_транзит+сбыт_КТЭЦ с косв.'!E32+'4.6_транзит+сбыт_котельн.'!E32</f>
        <v>0</v>
      </c>
      <c r="F32" s="979">
        <v>5308.8370200000008</v>
      </c>
      <c r="G32" s="979">
        <v>0</v>
      </c>
      <c r="H32" s="979">
        <v>5165.3986000000004</v>
      </c>
      <c r="I32" s="979">
        <v>3427</v>
      </c>
      <c r="J32" s="979">
        <v>3427</v>
      </c>
      <c r="K32" s="979">
        <v>0</v>
      </c>
      <c r="L32" s="979">
        <v>0</v>
      </c>
      <c r="M32" s="979">
        <v>0</v>
      </c>
      <c r="N32" s="979">
        <v>0</v>
      </c>
      <c r="O32" s="979">
        <v>0</v>
      </c>
      <c r="P32" s="979">
        <v>0</v>
      </c>
    </row>
    <row r="33" spans="1:16" s="4" customFormat="1" ht="25.5" hidden="1" outlineLevel="1">
      <c r="A33" s="739" t="s">
        <v>1043</v>
      </c>
      <c r="B33" s="740" t="s">
        <v>1249</v>
      </c>
      <c r="C33" s="979">
        <f>'4.6_транзит+сбыт_КТЭЦ с косв.'!C33+'4.6_транзит+сбыт_котельн.'!C33</f>
        <v>0</v>
      </c>
      <c r="D33" s="979">
        <f>'4.6_транзит+сбыт_КТЭЦ с косв.'!D33+'4.6_транзит+сбыт_котельн.'!D33</f>
        <v>42.043199999999999</v>
      </c>
      <c r="E33" s="979">
        <f>'4.6_транзит+сбыт_КТЭЦ с косв.'!E33+'4.6_транзит+сбыт_котельн.'!E33</f>
        <v>0</v>
      </c>
      <c r="F33" s="979">
        <v>2.9892480000000003</v>
      </c>
      <c r="G33" s="979">
        <v>0</v>
      </c>
      <c r="H33" s="979">
        <v>0</v>
      </c>
      <c r="I33" s="979">
        <v>0</v>
      </c>
      <c r="J33" s="979">
        <v>0</v>
      </c>
      <c r="K33" s="979">
        <v>0</v>
      </c>
      <c r="L33" s="979">
        <v>0</v>
      </c>
      <c r="M33" s="979">
        <v>0</v>
      </c>
      <c r="N33" s="979">
        <v>0</v>
      </c>
      <c r="O33" s="979">
        <v>0</v>
      </c>
      <c r="P33" s="979">
        <v>0</v>
      </c>
    </row>
    <row r="34" spans="1:16" s="4" customFormat="1" hidden="1" outlineLevel="1">
      <c r="A34" s="741" t="s">
        <v>1540</v>
      </c>
      <c r="B34" s="740" t="s">
        <v>1250</v>
      </c>
      <c r="C34" s="979">
        <f>'4.6_транзит+сбыт_КТЭЦ с косв.'!C34+'4.6_транзит+сбыт_котельн.'!C34</f>
        <v>0</v>
      </c>
      <c r="D34" s="979">
        <f>'4.6_транзит+сбыт_КТЭЦ с косв.'!D34+'4.6_транзит+сбыт_котельн.'!D34</f>
        <v>842.57179999999994</v>
      </c>
      <c r="E34" s="979">
        <f>'4.6_транзит+сбыт_КТЭЦ с косв.'!E34+'4.6_транзит+сбыт_котельн.'!E34</f>
        <v>0</v>
      </c>
      <c r="F34" s="979">
        <v>1192.346532</v>
      </c>
      <c r="G34" s="979">
        <v>0</v>
      </c>
      <c r="H34" s="979">
        <v>1471.1236000000001</v>
      </c>
      <c r="I34" s="979">
        <v>0</v>
      </c>
      <c r="J34" s="979">
        <v>0</v>
      </c>
      <c r="K34" s="979">
        <v>0</v>
      </c>
      <c r="L34" s="979">
        <v>0</v>
      </c>
      <c r="M34" s="979">
        <v>0</v>
      </c>
      <c r="N34" s="979">
        <v>0</v>
      </c>
      <c r="O34" s="979">
        <v>0</v>
      </c>
      <c r="P34" s="979">
        <v>0</v>
      </c>
    </row>
    <row r="35" spans="1:16" s="4" customFormat="1" ht="25.5" hidden="1" outlineLevel="1">
      <c r="A35" s="739" t="s">
        <v>1541</v>
      </c>
      <c r="B35" s="740" t="s">
        <v>1251</v>
      </c>
      <c r="C35" s="979">
        <f>'4.6_транзит+сбыт_КТЭЦ с косв.'!C35+'4.6_транзит+сбыт_котельн.'!C35</f>
        <v>0</v>
      </c>
      <c r="D35" s="979">
        <f>'4.6_транзит+сбыт_КТЭЦ с косв.'!D35+'4.6_транзит+сбыт_котельн.'!D35</f>
        <v>2884.9716000000003</v>
      </c>
      <c r="E35" s="979">
        <f>'4.6_транзит+сбыт_КТЭЦ с косв.'!E35+'4.6_транзит+сбыт_котельн.'!E35</f>
        <v>0</v>
      </c>
      <c r="F35" s="979">
        <v>4341.8623239999997</v>
      </c>
      <c r="G35" s="979">
        <v>0</v>
      </c>
      <c r="H35" s="979">
        <v>3419.5889999999999</v>
      </c>
      <c r="I35" s="979">
        <v>3434</v>
      </c>
      <c r="J35" s="979">
        <v>3434</v>
      </c>
      <c r="K35" s="979">
        <v>0</v>
      </c>
      <c r="L35" s="979">
        <v>0</v>
      </c>
      <c r="M35" s="979">
        <v>0</v>
      </c>
      <c r="N35" s="979">
        <v>0</v>
      </c>
      <c r="O35" s="979">
        <v>0</v>
      </c>
      <c r="P35" s="979">
        <v>0</v>
      </c>
    </row>
    <row r="36" spans="1:16" s="4" customFormat="1" hidden="1" outlineLevel="1">
      <c r="A36" s="739" t="s">
        <v>1542</v>
      </c>
      <c r="B36" s="740" t="s">
        <v>1252</v>
      </c>
      <c r="C36" s="979">
        <f>'4.6_транзит+сбыт_КТЭЦ с косв.'!C36+'4.6_транзит+сбыт_котельн.'!C36</f>
        <v>0</v>
      </c>
      <c r="D36" s="979">
        <f>'4.6_транзит+сбыт_КТЭЦ с косв.'!D36+'4.6_транзит+сбыт_котельн.'!D36</f>
        <v>12826.7827</v>
      </c>
      <c r="E36" s="979">
        <f>'4.6_транзит+сбыт_КТЭЦ с косв.'!E36+'4.6_транзит+сбыт_котельн.'!E36</f>
        <v>0</v>
      </c>
      <c r="F36" s="979">
        <v>14856.057128</v>
      </c>
      <c r="G36" s="979">
        <v>0</v>
      </c>
      <c r="H36" s="979">
        <v>20961.240600000001</v>
      </c>
      <c r="I36" s="979">
        <v>13932</v>
      </c>
      <c r="J36" s="979">
        <v>13932</v>
      </c>
      <c r="K36" s="979">
        <v>0</v>
      </c>
      <c r="L36" s="979">
        <v>0</v>
      </c>
      <c r="M36" s="979">
        <v>0</v>
      </c>
      <c r="N36" s="979">
        <v>0</v>
      </c>
      <c r="O36" s="979">
        <v>0</v>
      </c>
      <c r="P36" s="979">
        <v>0</v>
      </c>
    </row>
    <row r="37" spans="1:16" s="4" customFormat="1" hidden="1" outlineLevel="1">
      <c r="A37" s="739" t="s">
        <v>1543</v>
      </c>
      <c r="B37" s="740" t="s">
        <v>1253</v>
      </c>
      <c r="C37" s="979">
        <f>'4.6_транзит+сбыт_КТЭЦ с косв.'!C37+'4.6_транзит+сбыт_котельн.'!C37</f>
        <v>0</v>
      </c>
      <c r="D37" s="979">
        <f>'4.6_транзит+сбыт_КТЭЦ с косв.'!D37+'4.6_транзит+сбыт_котельн.'!D37</f>
        <v>8962.4079999999994</v>
      </c>
      <c r="E37" s="979">
        <f>'4.6_транзит+сбыт_КТЭЦ с косв.'!E37+'4.6_транзит+сбыт_котельн.'!E37</f>
        <v>0</v>
      </c>
      <c r="F37" s="979">
        <v>8136.0984040000012</v>
      </c>
      <c r="G37" s="979">
        <v>0</v>
      </c>
      <c r="H37" s="979">
        <v>15595.871000000001</v>
      </c>
      <c r="I37" s="979">
        <v>0</v>
      </c>
      <c r="J37" s="979">
        <v>0</v>
      </c>
      <c r="K37" s="979">
        <v>0</v>
      </c>
      <c r="L37" s="979">
        <v>0</v>
      </c>
      <c r="M37" s="979">
        <v>0</v>
      </c>
      <c r="N37" s="979">
        <v>0</v>
      </c>
      <c r="O37" s="979">
        <v>0</v>
      </c>
      <c r="P37" s="979">
        <v>0</v>
      </c>
    </row>
    <row r="38" spans="1:16" s="4" customFormat="1" hidden="1" outlineLevel="1">
      <c r="A38" s="739" t="s">
        <v>1544</v>
      </c>
      <c r="B38" s="742" t="s">
        <v>1254</v>
      </c>
      <c r="C38" s="979">
        <f>'4.6_транзит+сбыт_КТЭЦ с косв.'!C38+'4.6_транзит+сбыт_котельн.'!C38</f>
        <v>0</v>
      </c>
      <c r="D38" s="979">
        <f>'4.6_транзит+сбыт_КТЭЦ с косв.'!D38+'4.6_транзит+сбыт_котельн.'!D38</f>
        <v>1372.7800999999999</v>
      </c>
      <c r="E38" s="979">
        <f>'4.6_транзит+сбыт_КТЭЦ с косв.'!E38+'4.6_транзит+сбыт_котельн.'!E38</f>
        <v>0</v>
      </c>
      <c r="F38" s="979">
        <v>2238.0866799999999</v>
      </c>
      <c r="G38" s="979">
        <v>0</v>
      </c>
      <c r="H38" s="979">
        <v>1946.7248000000002</v>
      </c>
      <c r="I38" s="979">
        <v>0</v>
      </c>
      <c r="J38" s="979">
        <v>0</v>
      </c>
      <c r="K38" s="979">
        <v>0</v>
      </c>
      <c r="L38" s="979">
        <v>0</v>
      </c>
      <c r="M38" s="979">
        <v>0</v>
      </c>
      <c r="N38" s="979">
        <v>0</v>
      </c>
      <c r="O38" s="979">
        <v>0</v>
      </c>
      <c r="P38" s="979">
        <v>0</v>
      </c>
    </row>
    <row r="39" spans="1:16" s="4" customFormat="1" hidden="1" outlineLevel="1">
      <c r="A39" s="739" t="s">
        <v>1545</v>
      </c>
      <c r="B39" s="740" t="s">
        <v>1255</v>
      </c>
      <c r="C39" s="979">
        <f>'4.6_транзит+сбыт_КТЭЦ с косв.'!C39+'4.6_транзит+сбыт_котельн.'!C39</f>
        <v>0</v>
      </c>
      <c r="D39" s="979">
        <f>'4.6_транзит+сбыт_КТЭЦ с косв.'!D39+'4.6_транзит+сбыт_котельн.'!D39</f>
        <v>347.8322</v>
      </c>
      <c r="E39" s="979">
        <f>'4.6_транзит+сбыт_КТЭЦ с косв.'!E39+'4.6_транзит+сбыт_котельн.'!E39</f>
        <v>0</v>
      </c>
      <c r="F39" s="979">
        <v>458.95246000000003</v>
      </c>
      <c r="G39" s="979">
        <v>0</v>
      </c>
      <c r="H39" s="979">
        <v>554.03300000000002</v>
      </c>
      <c r="I39" s="979">
        <v>0</v>
      </c>
      <c r="J39" s="979">
        <v>0</v>
      </c>
      <c r="K39" s="979">
        <v>0</v>
      </c>
      <c r="L39" s="979">
        <v>0</v>
      </c>
      <c r="M39" s="979">
        <v>0</v>
      </c>
      <c r="N39" s="979">
        <v>0</v>
      </c>
      <c r="O39" s="979">
        <v>0</v>
      </c>
      <c r="P39" s="979">
        <v>0</v>
      </c>
    </row>
    <row r="40" spans="1:16" s="4" customFormat="1" ht="25.5" hidden="1" outlineLevel="1">
      <c r="A40" s="739" t="s">
        <v>1546</v>
      </c>
      <c r="B40" s="742" t="s">
        <v>1256</v>
      </c>
      <c r="C40" s="979">
        <f>'4.6_транзит+сбыт_КТЭЦ с косв.'!C40+'4.6_транзит+сбыт_котельн.'!C40</f>
        <v>0</v>
      </c>
      <c r="D40" s="979">
        <f>'4.6_транзит+сбыт_КТЭЦ с косв.'!D40+'4.6_транзит+сбыт_котельн.'!D40</f>
        <v>821.57669999999996</v>
      </c>
      <c r="E40" s="979">
        <f>'4.6_транзит+сбыт_КТЭЦ с косв.'!E40+'4.6_транзит+сбыт_котельн.'!E40</f>
        <v>0</v>
      </c>
      <c r="F40" s="979">
        <v>1304.510912</v>
      </c>
      <c r="G40" s="979">
        <v>0</v>
      </c>
      <c r="H40" s="979">
        <v>586.41480000000001</v>
      </c>
      <c r="I40" s="979">
        <v>0</v>
      </c>
      <c r="J40" s="979">
        <v>0</v>
      </c>
      <c r="K40" s="979">
        <v>0</v>
      </c>
      <c r="L40" s="979">
        <v>0</v>
      </c>
      <c r="M40" s="979">
        <v>0</v>
      </c>
      <c r="N40" s="979">
        <v>0</v>
      </c>
      <c r="O40" s="979">
        <v>0</v>
      </c>
      <c r="P40" s="979">
        <v>0</v>
      </c>
    </row>
    <row r="41" spans="1:16" s="4" customFormat="1" hidden="1" outlineLevel="1">
      <c r="A41" s="739" t="s">
        <v>1547</v>
      </c>
      <c r="B41" s="742" t="s">
        <v>1257</v>
      </c>
      <c r="C41" s="979">
        <f>'4.6_транзит+сбыт_КТЭЦ с косв.'!C41+'4.6_транзит+сбыт_котельн.'!C41</f>
        <v>0</v>
      </c>
      <c r="D41" s="979">
        <f>'4.6_транзит+сбыт_КТЭЦ с косв.'!D41+'4.6_транзит+сбыт_котельн.'!D41</f>
        <v>29400.713199999998</v>
      </c>
      <c r="E41" s="979">
        <f>'4.6_транзит+сбыт_КТЭЦ с косв.'!E41+'4.6_транзит+сбыт_котельн.'!E41</f>
        <v>0</v>
      </c>
      <c r="F41" s="979">
        <v>37084.178928000008</v>
      </c>
      <c r="G41" s="979">
        <v>0</v>
      </c>
      <c r="H41" s="979">
        <v>43792.0556</v>
      </c>
      <c r="I41" s="979">
        <v>0</v>
      </c>
      <c r="J41" s="979">
        <v>0</v>
      </c>
      <c r="K41" s="979">
        <v>0</v>
      </c>
      <c r="L41" s="979">
        <v>0</v>
      </c>
      <c r="M41" s="979">
        <v>0</v>
      </c>
      <c r="N41" s="979">
        <v>0</v>
      </c>
      <c r="O41" s="979">
        <v>0</v>
      </c>
      <c r="P41" s="979">
        <v>0</v>
      </c>
    </row>
    <row r="42" spans="1:16" s="4" customFormat="1" hidden="1" outlineLevel="1">
      <c r="A42" s="741" t="s">
        <v>1548</v>
      </c>
      <c r="B42" s="742" t="s">
        <v>1556</v>
      </c>
      <c r="C42" s="979">
        <f>'4.6_транзит+сбыт_КТЭЦ с косв.'!C42+'4.6_транзит+сбыт_котельн.'!C42</f>
        <v>0</v>
      </c>
      <c r="D42" s="979">
        <f>'4.6_транзит+сбыт_КТЭЦ с косв.'!D42+'4.6_транзит+сбыт_котельн.'!D42</f>
        <v>435.26209999999998</v>
      </c>
      <c r="E42" s="979">
        <f>'4.6_транзит+сбыт_КТЭЦ с косв.'!E42+'4.6_транзит+сбыт_котельн.'!E42</f>
        <v>0</v>
      </c>
      <c r="F42" s="979">
        <v>1591.5348839999999</v>
      </c>
      <c r="G42" s="979">
        <v>0</v>
      </c>
      <c r="H42" s="979">
        <v>909.32640000000015</v>
      </c>
      <c r="I42" s="979">
        <v>2128</v>
      </c>
      <c r="J42" s="979">
        <v>2128</v>
      </c>
      <c r="K42" s="979">
        <v>0</v>
      </c>
      <c r="L42" s="979">
        <v>0</v>
      </c>
      <c r="M42" s="979">
        <v>0</v>
      </c>
      <c r="N42" s="979">
        <v>0</v>
      </c>
      <c r="O42" s="979">
        <v>0</v>
      </c>
      <c r="P42" s="979">
        <v>0</v>
      </c>
    </row>
    <row r="43" spans="1:16" s="4" customFormat="1" hidden="1" outlineLevel="1">
      <c r="A43" s="741" t="s">
        <v>1549</v>
      </c>
      <c r="B43" s="742" t="s">
        <v>1258</v>
      </c>
      <c r="C43" s="979">
        <f>'4.6_транзит+сбыт_КТЭЦ с косв.'!C43+'4.6_транзит+сбыт_котельн.'!C43</f>
        <v>0</v>
      </c>
      <c r="D43" s="979">
        <f>'4.6_транзит+сбыт_КТЭЦ с косв.'!D43+'4.6_транзит+сбыт_котельн.'!D43</f>
        <v>1420.1339</v>
      </c>
      <c r="E43" s="979">
        <f>'4.6_транзит+сбыт_КТЭЦ с косв.'!E43+'4.6_транзит+сбыт_котельн.'!E43</f>
        <v>0</v>
      </c>
      <c r="F43" s="979">
        <v>1272.4263440000002</v>
      </c>
      <c r="G43" s="979">
        <v>0</v>
      </c>
      <c r="H43" s="979">
        <v>1607.2056000000002</v>
      </c>
      <c r="I43" s="979">
        <v>1841</v>
      </c>
      <c r="J43" s="979">
        <v>1841</v>
      </c>
      <c r="K43" s="979">
        <v>0</v>
      </c>
      <c r="L43" s="979">
        <v>0</v>
      </c>
      <c r="M43" s="979">
        <v>0</v>
      </c>
      <c r="N43" s="979">
        <v>0</v>
      </c>
      <c r="O43" s="979">
        <v>0</v>
      </c>
      <c r="P43" s="979">
        <v>0</v>
      </c>
    </row>
    <row r="44" spans="1:16" s="4" customFormat="1" hidden="1" outlineLevel="1">
      <c r="A44" s="764" t="s">
        <v>1555</v>
      </c>
      <c r="B44" s="742" t="s">
        <v>1890</v>
      </c>
      <c r="C44" s="979">
        <f>'4.6_транзит+сбыт_КТЭЦ с косв.'!C44+'4.6_транзит+сбыт_котельн.'!C44</f>
        <v>0</v>
      </c>
      <c r="D44" s="979">
        <f>'4.6_транзит+сбыт_КТЭЦ с косв.'!D44+'4.6_транзит+сбыт_котельн.'!D44</f>
        <v>1420</v>
      </c>
      <c r="E44" s="979">
        <f>'4.6_транзит+сбыт_КТЭЦ с косв.'!E44+'4.6_транзит+сбыт_котельн.'!E44</f>
        <v>0</v>
      </c>
      <c r="F44" s="979">
        <v>0</v>
      </c>
      <c r="G44" s="979">
        <v>0</v>
      </c>
      <c r="H44" s="979">
        <v>0</v>
      </c>
      <c r="I44" s="979">
        <v>0</v>
      </c>
      <c r="J44" s="979">
        <v>0</v>
      </c>
      <c r="K44" s="980">
        <v>0</v>
      </c>
      <c r="L44" s="980">
        <v>0</v>
      </c>
      <c r="M44" s="980">
        <v>0</v>
      </c>
      <c r="N44" s="980">
        <v>0</v>
      </c>
      <c r="O44" s="980">
        <v>0</v>
      </c>
      <c r="P44" s="980">
        <v>0</v>
      </c>
    </row>
    <row r="45" spans="1:16" s="341" customFormat="1" hidden="1" outlineLevel="1">
      <c r="A45" s="764" t="s">
        <v>1889</v>
      </c>
      <c r="B45" s="765" t="s">
        <v>1259</v>
      </c>
      <c r="C45" s="746">
        <f>SUM(C46:C54)</f>
        <v>0</v>
      </c>
      <c r="D45" s="746">
        <f t="shared" ref="D45" si="3">SUM(D46:D54)</f>
        <v>3329.3696</v>
      </c>
      <c r="E45" s="746">
        <f>SUM(E46:E55)</f>
        <v>0</v>
      </c>
      <c r="F45" s="746">
        <v>5406.7345120000009</v>
      </c>
      <c r="G45" s="746">
        <v>0</v>
      </c>
      <c r="H45" s="746">
        <v>6176.8775999999998</v>
      </c>
      <c r="I45" s="746">
        <v>0</v>
      </c>
      <c r="J45" s="746">
        <v>0</v>
      </c>
      <c r="K45" s="746">
        <v>0</v>
      </c>
      <c r="L45" s="746">
        <v>0</v>
      </c>
      <c r="M45" s="746">
        <v>0</v>
      </c>
      <c r="N45" s="746">
        <v>0</v>
      </c>
      <c r="O45" s="746">
        <v>0</v>
      </c>
      <c r="P45" s="746">
        <v>0</v>
      </c>
    </row>
    <row r="46" spans="1:16" s="4" customFormat="1" hidden="1" outlineLevel="1">
      <c r="A46" s="744"/>
      <c r="B46" s="745" t="s">
        <v>1260</v>
      </c>
      <c r="C46" s="980">
        <f>'4.6_транзит+сбыт_КТЭЦ с косв.'!C46+'4.6_транзит+сбыт_котельн.'!C46</f>
        <v>0</v>
      </c>
      <c r="D46" s="980">
        <f>'4.6_транзит+сбыт_КТЭЦ с косв.'!D46+'4.6_транзит+сбыт_котельн.'!D46</f>
        <v>470.03629999999998</v>
      </c>
      <c r="E46" s="980">
        <f>'4.6_транзит+сбыт_КТЭЦ с косв.'!E46+'4.6_транзит+сбыт_котельн.'!E46</f>
        <v>0</v>
      </c>
      <c r="F46" s="980">
        <v>572.04434000000003</v>
      </c>
      <c r="G46" s="980">
        <v>0</v>
      </c>
      <c r="H46" s="980">
        <v>399.34280000000001</v>
      </c>
      <c r="I46" s="980">
        <v>0</v>
      </c>
      <c r="J46" s="980">
        <v>0</v>
      </c>
      <c r="K46" s="980">
        <v>0</v>
      </c>
      <c r="L46" s="980">
        <v>0</v>
      </c>
      <c r="M46" s="980">
        <v>0</v>
      </c>
      <c r="N46" s="980">
        <v>0</v>
      </c>
      <c r="O46" s="980">
        <v>0</v>
      </c>
      <c r="P46" s="980">
        <v>0</v>
      </c>
    </row>
    <row r="47" spans="1:16" s="4" customFormat="1" hidden="1" outlineLevel="1">
      <c r="A47" s="744"/>
      <c r="B47" s="743" t="s">
        <v>1261</v>
      </c>
      <c r="C47" s="980">
        <f>'4.6_транзит+сбыт_КТЭЦ с косв.'!C47+'4.6_транзит+сбыт_котельн.'!C47</f>
        <v>0</v>
      </c>
      <c r="D47" s="980">
        <f>'4.6_транзит+сбыт_КТЭЦ с косв.'!D47+'4.6_транзит+сбыт_котельн.'!D47</f>
        <v>467.63839999999993</v>
      </c>
      <c r="E47" s="980">
        <f>'4.6_транзит+сбыт_КТЭЦ с косв.'!E47+'4.6_транзит+сбыт_котельн.'!E47</f>
        <v>0</v>
      </c>
      <c r="F47" s="980">
        <v>733.85637600000007</v>
      </c>
      <c r="G47" s="980">
        <v>0</v>
      </c>
      <c r="H47" s="980">
        <v>615.01440000000002</v>
      </c>
      <c r="I47" s="980">
        <v>0</v>
      </c>
      <c r="J47" s="980">
        <v>0</v>
      </c>
      <c r="K47" s="980">
        <v>0</v>
      </c>
      <c r="L47" s="980">
        <v>0</v>
      </c>
      <c r="M47" s="980">
        <v>0</v>
      </c>
      <c r="N47" s="980">
        <v>0</v>
      </c>
      <c r="O47" s="980">
        <v>0</v>
      </c>
      <c r="P47" s="980">
        <v>0</v>
      </c>
    </row>
    <row r="48" spans="1:16" s="4" customFormat="1" hidden="1" outlineLevel="1">
      <c r="A48" s="744"/>
      <c r="B48" s="743" t="s">
        <v>1262</v>
      </c>
      <c r="C48" s="980">
        <f>'4.6_транзит+сбыт_КТЭЦ с косв.'!C48+'4.6_транзит+сбыт_котельн.'!C48</f>
        <v>0</v>
      </c>
      <c r="D48" s="980">
        <f>'4.6_транзит+сбыт_КТЭЦ с косв.'!D48+'4.6_транзит+сбыт_котельн.'!D48</f>
        <v>816.32449999999994</v>
      </c>
      <c r="E48" s="980">
        <f>'4.6_транзит+сбыт_КТЭЦ с косв.'!E48+'4.6_транзит+сбыт_котельн.'!E48</f>
        <v>0</v>
      </c>
      <c r="F48" s="980">
        <v>1258.3716320000001</v>
      </c>
      <c r="G48" s="980">
        <v>0</v>
      </c>
      <c r="H48" s="980">
        <v>1245.9958000000001</v>
      </c>
      <c r="I48" s="980">
        <v>0</v>
      </c>
      <c r="J48" s="980">
        <v>0</v>
      </c>
      <c r="K48" s="980">
        <v>0</v>
      </c>
      <c r="L48" s="980">
        <v>0</v>
      </c>
      <c r="M48" s="980">
        <v>0</v>
      </c>
      <c r="N48" s="980">
        <v>0</v>
      </c>
      <c r="O48" s="980">
        <v>0</v>
      </c>
      <c r="P48" s="980">
        <v>0</v>
      </c>
    </row>
    <row r="49" spans="1:16" s="4" customFormat="1" hidden="1" outlineLevel="1">
      <c r="A49" s="744"/>
      <c r="B49" s="743" t="s">
        <v>1263</v>
      </c>
      <c r="C49" s="980">
        <f>'4.6_транзит+сбыт_КТЭЦ с косв.'!C49+'4.6_транзит+сбыт_котельн.'!C49</f>
        <v>0</v>
      </c>
      <c r="D49" s="980">
        <f>'4.6_транзит+сбыт_КТЭЦ с косв.'!D49+'4.6_транзит+сбыт_котельн.'!D49</f>
        <v>808.26610000000005</v>
      </c>
      <c r="E49" s="980">
        <f>'4.6_транзит+сбыт_КТЭЦ с косв.'!E49+'4.6_транзит+сбыт_котельн.'!E49</f>
        <v>0</v>
      </c>
      <c r="F49" s="980">
        <v>867.67426</v>
      </c>
      <c r="G49" s="980">
        <v>0</v>
      </c>
      <c r="H49" s="980">
        <v>257.73940000000005</v>
      </c>
      <c r="I49" s="980">
        <v>0</v>
      </c>
      <c r="J49" s="980">
        <v>0</v>
      </c>
      <c r="K49" s="980">
        <v>0</v>
      </c>
      <c r="L49" s="980">
        <v>0</v>
      </c>
      <c r="M49" s="980">
        <v>0</v>
      </c>
      <c r="N49" s="980">
        <v>0</v>
      </c>
      <c r="O49" s="980">
        <v>0</v>
      </c>
      <c r="P49" s="980">
        <v>0</v>
      </c>
    </row>
    <row r="50" spans="1:16" s="4" customFormat="1" ht="25.5" hidden="1" outlineLevel="1">
      <c r="A50" s="744"/>
      <c r="B50" s="743" t="s">
        <v>1891</v>
      </c>
      <c r="C50" s="980">
        <f>'4.6_транзит+сбыт_КТЭЦ с косв.'!C50+'4.6_транзит+сбыт_котельн.'!C50</f>
        <v>0</v>
      </c>
      <c r="D50" s="980">
        <f>'4.6_транзит+сбыт_КТЭЦ с косв.'!D50+'4.6_транзит+сбыт_котельн.'!D50</f>
        <v>767.10430000000008</v>
      </c>
      <c r="E50" s="980">
        <f>'4.6_транзит+сбыт_КТЭЦ с косв.'!E50+'4.6_транзит+сбыт_котельн.'!E50</f>
        <v>0</v>
      </c>
      <c r="F50" s="980">
        <v>1974.7879040000003</v>
      </c>
      <c r="G50" s="980">
        <v>0</v>
      </c>
      <c r="H50" s="980">
        <v>3455.7852000000003</v>
      </c>
      <c r="I50" s="980">
        <v>0</v>
      </c>
      <c r="J50" s="980">
        <v>0</v>
      </c>
      <c r="K50" s="980">
        <v>0</v>
      </c>
      <c r="L50" s="980">
        <v>0</v>
      </c>
      <c r="M50" s="980">
        <v>0</v>
      </c>
      <c r="N50" s="980">
        <v>0</v>
      </c>
      <c r="O50" s="980">
        <v>0</v>
      </c>
      <c r="P50" s="980">
        <v>0</v>
      </c>
    </row>
    <row r="51" spans="1:16" s="4" customFormat="1" ht="25.5" hidden="1" outlineLevel="1">
      <c r="A51" s="744"/>
      <c r="B51" s="743" t="s">
        <v>1264</v>
      </c>
      <c r="C51" s="980">
        <f>'4.6_транзит+сбыт_КТЭЦ с косв.'!C51+'4.6_транзит+сбыт_котельн.'!C51</f>
        <v>0</v>
      </c>
      <c r="D51" s="980">
        <f>'4.6_транзит+сбыт_КТЭЦ с косв.'!D51+'4.6_транзит+сбыт_котельн.'!D51</f>
        <v>0</v>
      </c>
      <c r="E51" s="980">
        <f>'4.6_транзит+сбыт_КТЭЦ с косв.'!E51+'4.6_транзит+сбыт_котельн.'!E51</f>
        <v>0</v>
      </c>
      <c r="F51" s="980">
        <v>0</v>
      </c>
      <c r="G51" s="980">
        <v>0</v>
      </c>
      <c r="H51" s="980">
        <v>0</v>
      </c>
      <c r="I51" s="980">
        <v>0</v>
      </c>
      <c r="J51" s="980">
        <v>0</v>
      </c>
      <c r="K51" s="980">
        <v>0</v>
      </c>
      <c r="L51" s="980">
        <v>0</v>
      </c>
      <c r="M51" s="980">
        <v>0</v>
      </c>
      <c r="N51" s="980">
        <v>0</v>
      </c>
      <c r="O51" s="980">
        <v>0</v>
      </c>
      <c r="P51" s="980">
        <v>0</v>
      </c>
    </row>
    <row r="52" spans="1:16" s="4" customFormat="1" hidden="1" outlineLevel="1">
      <c r="A52" s="744"/>
      <c r="B52" s="1391" t="s">
        <v>1883</v>
      </c>
      <c r="C52" s="980">
        <f>'4.6_транзит+сбыт_КТЭЦ с косв.'!C52+'4.6_транзит+сбыт_котельн.'!C52</f>
        <v>0</v>
      </c>
      <c r="D52" s="980">
        <f>'4.6_транзит+сбыт_КТЭЦ с косв.'!D52+'4.6_транзит+сбыт_котельн.'!D52</f>
        <v>0</v>
      </c>
      <c r="E52" s="980">
        <f>'4.6_транзит+сбыт_КТЭЦ с косв.'!E52+'4.6_транзит+сбыт_котельн.'!E52</f>
        <v>0</v>
      </c>
      <c r="F52" s="980">
        <v>0</v>
      </c>
      <c r="G52" s="980">
        <v>0</v>
      </c>
      <c r="H52" s="980">
        <v>203</v>
      </c>
      <c r="I52" s="980">
        <v>0</v>
      </c>
      <c r="J52" s="980">
        <v>0</v>
      </c>
      <c r="K52" s="980">
        <v>0</v>
      </c>
      <c r="L52" s="980">
        <v>0</v>
      </c>
      <c r="M52" s="980">
        <v>0</v>
      </c>
      <c r="N52" s="980">
        <v>0</v>
      </c>
      <c r="O52" s="980">
        <v>0</v>
      </c>
      <c r="P52" s="980">
        <v>0</v>
      </c>
    </row>
    <row r="53" spans="1:16" s="4" customFormat="1" hidden="1" outlineLevel="1">
      <c r="A53" s="744"/>
      <c r="B53" s="743" t="s">
        <v>1884</v>
      </c>
      <c r="C53" s="743"/>
      <c r="D53" s="743"/>
      <c r="E53" s="743"/>
      <c r="F53" s="743"/>
      <c r="G53" s="743"/>
      <c r="H53" s="743"/>
      <c r="I53" s="743"/>
      <c r="J53" s="743"/>
      <c r="K53" s="308"/>
      <c r="L53" s="308"/>
      <c r="M53" s="308"/>
      <c r="N53" s="308"/>
      <c r="O53" s="308"/>
      <c r="P53" s="308"/>
    </row>
    <row r="54" spans="1:16" s="4" customFormat="1" ht="25.5" hidden="1" outlineLevel="1">
      <c r="A54" s="17"/>
      <c r="B54" s="743" t="s">
        <v>1885</v>
      </c>
      <c r="C54" s="241"/>
      <c r="D54" s="241"/>
      <c r="E54" s="241"/>
      <c r="F54" s="241"/>
      <c r="G54" s="241"/>
      <c r="H54" s="241"/>
      <c r="I54" s="241"/>
      <c r="J54" s="241"/>
      <c r="K54" s="241"/>
      <c r="L54" s="241"/>
      <c r="M54" s="241"/>
      <c r="N54" s="241"/>
      <c r="O54" s="241"/>
      <c r="P54" s="241"/>
    </row>
    <row r="55" spans="1:16" s="341" customFormat="1" ht="25.5" hidden="1" outlineLevel="1">
      <c r="A55" s="339"/>
      <c r="B55" s="743" t="s">
        <v>1886</v>
      </c>
      <c r="C55" s="308"/>
      <c r="D55" s="308"/>
      <c r="E55" s="308"/>
      <c r="F55" s="308"/>
      <c r="G55" s="308"/>
      <c r="H55" s="308"/>
      <c r="I55" s="308"/>
      <c r="J55" s="308"/>
      <c r="K55" s="308">
        <v>0</v>
      </c>
      <c r="L55" s="308">
        <v>0</v>
      </c>
      <c r="M55" s="308">
        <v>0</v>
      </c>
      <c r="N55" s="308">
        <v>0</v>
      </c>
      <c r="O55" s="308">
        <v>0</v>
      </c>
      <c r="P55" s="308">
        <v>0</v>
      </c>
    </row>
    <row r="56" spans="1:16" s="1046" customFormat="1" ht="90" collapsed="1">
      <c r="A56" s="1044"/>
      <c r="B56" s="1045" t="s">
        <v>374</v>
      </c>
      <c r="C56" s="258">
        <f>'4.6_транзит+сбыт_КТЭЦ с косв.'!C56+'4.6_транзит+сбыт_котельн.'!C56</f>
        <v>3</v>
      </c>
      <c r="D56" s="258">
        <f>'4.6_транзит+сбыт_КТЭЦ с косв.'!D56+'4.6_транзит+сбыт_котельн.'!D56</f>
        <v>228</v>
      </c>
      <c r="E56" s="258">
        <f>'4.6_транзит+сбыт_КТЭЦ с косв.'!E56+'4.6_транзит+сбыт_котельн.'!E56</f>
        <v>0</v>
      </c>
      <c r="F56" s="258">
        <v>0</v>
      </c>
      <c r="G56" s="258">
        <v>105</v>
      </c>
      <c r="H56" s="258">
        <v>1</v>
      </c>
      <c r="I56" s="258">
        <v>0</v>
      </c>
      <c r="J56" s="258">
        <v>0</v>
      </c>
      <c r="K56" s="258">
        <v>0</v>
      </c>
      <c r="L56" s="258">
        <v>0</v>
      </c>
      <c r="M56" s="258">
        <v>0</v>
      </c>
      <c r="N56" s="258">
        <v>0</v>
      </c>
      <c r="O56" s="258">
        <v>0</v>
      </c>
      <c r="P56" s="258">
        <v>0</v>
      </c>
    </row>
    <row r="57" spans="1:16" s="1046" customFormat="1" ht="30">
      <c r="A57" s="1044"/>
      <c r="B57" s="1045" t="s">
        <v>375</v>
      </c>
      <c r="C57" s="258">
        <f>'4.6_транзит+сбыт_КТЭЦ с косв.'!C57+'4.6_транзит+сбыт_котельн.'!C57</f>
        <v>129177</v>
      </c>
      <c r="D57" s="258">
        <f>'4.6_транзит+сбыт_КТЭЦ с косв.'!D57+'4.6_транзит+сбыт_котельн.'!D57</f>
        <v>128544</v>
      </c>
      <c r="E57" s="258">
        <v>183521</v>
      </c>
      <c r="F57" s="258">
        <v>147387</v>
      </c>
      <c r="G57" s="258">
        <v>106123</v>
      </c>
      <c r="H57" s="258">
        <v>128144</v>
      </c>
      <c r="I57" s="258">
        <v>106775</v>
      </c>
      <c r="J57" s="258">
        <v>135125</v>
      </c>
      <c r="K57" s="258">
        <v>144417</v>
      </c>
      <c r="L57" s="258">
        <v>72208.5</v>
      </c>
      <c r="M57" s="258">
        <v>72208.5</v>
      </c>
      <c r="N57" s="258">
        <v>152939</v>
      </c>
      <c r="O57" s="258">
        <v>76469.5</v>
      </c>
      <c r="P57" s="258">
        <v>76469.5</v>
      </c>
    </row>
    <row r="58" spans="1:16" s="1046" customFormat="1" ht="15" customHeight="1">
      <c r="A58" s="1044"/>
      <c r="B58" s="1045" t="s">
        <v>376</v>
      </c>
      <c r="C58" s="258">
        <f>'4.6_транзит+сбыт_КТЭЦ с косв.'!C58+'4.6_транзит+сбыт_котельн.'!C58</f>
        <v>1955</v>
      </c>
      <c r="D58" s="258">
        <f>'4.6_транзит+сбыт_КТЭЦ с косв.'!D58+'4.6_транзит+сбыт_котельн.'!D58</f>
        <v>2778</v>
      </c>
      <c r="E58" s="258">
        <v>2722</v>
      </c>
      <c r="F58" s="258">
        <v>3735</v>
      </c>
      <c r="G58" s="258">
        <v>3459</v>
      </c>
      <c r="H58" s="258">
        <v>2922</v>
      </c>
      <c r="I58" s="258">
        <v>2927</v>
      </c>
      <c r="J58" s="258">
        <v>2927</v>
      </c>
      <c r="K58" s="258">
        <v>3094.7756399999998</v>
      </c>
      <c r="L58" s="258">
        <v>1547.3878199999999</v>
      </c>
      <c r="M58" s="258">
        <v>1547.3878199999999</v>
      </c>
      <c r="N58" s="258">
        <v>3244.5937287323995</v>
      </c>
      <c r="O58" s="258">
        <v>1622.2968643661998</v>
      </c>
      <c r="P58" s="258">
        <v>1622.2968643661998</v>
      </c>
    </row>
    <row r="59" spans="1:16" s="1046" customFormat="1" ht="15" customHeight="1">
      <c r="A59" s="1044"/>
      <c r="B59" s="1045" t="s">
        <v>377</v>
      </c>
      <c r="C59" s="258">
        <f>'4.6_транзит+сбыт_КТЭЦ с косв.'!C59+'4.6_транзит+сбыт_котельн.'!C59</f>
        <v>1110</v>
      </c>
      <c r="D59" s="258">
        <f>'4.6_транзит+сбыт_КТЭЦ с косв.'!D59+'4.6_транзит+сбыт_котельн.'!D59</f>
        <v>1024</v>
      </c>
      <c r="E59" s="258">
        <v>629</v>
      </c>
      <c r="F59" s="258">
        <v>1177</v>
      </c>
      <c r="G59" s="258">
        <v>1062</v>
      </c>
      <c r="H59" s="258">
        <v>1189</v>
      </c>
      <c r="I59" s="258">
        <v>1213</v>
      </c>
      <c r="J59" s="258">
        <v>1213</v>
      </c>
      <c r="K59" s="258">
        <v>1282.52916</v>
      </c>
      <c r="L59" s="258">
        <v>641.26458000000002</v>
      </c>
      <c r="M59" s="258">
        <v>641.26458000000002</v>
      </c>
      <c r="N59" s="258">
        <v>1344.6163966355998</v>
      </c>
      <c r="O59" s="258">
        <v>672.30819831779991</v>
      </c>
      <c r="P59" s="258">
        <v>672.30819831779991</v>
      </c>
    </row>
    <row r="60" spans="1:16" s="1046" customFormat="1" ht="45" customHeight="1">
      <c r="A60" s="1044"/>
      <c r="B60" s="1045" t="s">
        <v>378</v>
      </c>
      <c r="C60" s="258">
        <f>'4.6_транзит+сбыт_КТЭЦ с косв.'!C60+'4.6_транзит+сбыт_котельн.'!C60</f>
        <v>1102</v>
      </c>
      <c r="D60" s="258">
        <f>'4.6_транзит+сбыт_КТЭЦ с косв.'!D60+'4.6_транзит+сбыт_котельн.'!D60</f>
        <v>2604</v>
      </c>
      <c r="E60" s="258">
        <v>907</v>
      </c>
      <c r="F60" s="258">
        <v>2712</v>
      </c>
      <c r="G60" s="258">
        <v>507</v>
      </c>
      <c r="H60" s="258">
        <v>2237</v>
      </c>
      <c r="I60" s="258">
        <v>1074</v>
      </c>
      <c r="J60" s="258">
        <v>5188.4000000000005</v>
      </c>
      <c r="K60" s="258">
        <v>7012.2</v>
      </c>
      <c r="L60" s="258">
        <v>3506.1</v>
      </c>
      <c r="M60" s="258">
        <v>3506.1</v>
      </c>
      <c r="N60" s="258">
        <v>7426.3</v>
      </c>
      <c r="O60" s="258">
        <v>3713.15</v>
      </c>
      <c r="P60" s="258">
        <v>3713.15</v>
      </c>
    </row>
    <row r="61" spans="1:16" s="1046" customFormat="1" ht="30" customHeight="1">
      <c r="A61" s="1044"/>
      <c r="B61" s="1045" t="s">
        <v>379</v>
      </c>
      <c r="C61" s="258">
        <f>SUM(C62:C66)</f>
        <v>6251</v>
      </c>
      <c r="D61" s="258">
        <f t="shared" ref="D61" si="4">SUM(D62:D66)</f>
        <v>5527</v>
      </c>
      <c r="E61" s="258">
        <f>SUM(E62:E66)</f>
        <v>4400</v>
      </c>
      <c r="F61" s="258">
        <v>9922</v>
      </c>
      <c r="G61" s="258">
        <v>10056</v>
      </c>
      <c r="H61" s="258">
        <v>7341</v>
      </c>
      <c r="I61" s="258">
        <v>10066</v>
      </c>
      <c r="J61" s="258">
        <v>10157</v>
      </c>
      <c r="K61" s="258">
        <v>10858</v>
      </c>
      <c r="L61" s="258">
        <v>7094.5</v>
      </c>
      <c r="M61" s="258">
        <v>3763.5</v>
      </c>
      <c r="N61" s="258">
        <v>13693</v>
      </c>
      <c r="O61" s="258">
        <v>7869</v>
      </c>
      <c r="P61" s="258">
        <v>5824</v>
      </c>
    </row>
    <row r="62" spans="1:16" s="4" customFormat="1" ht="15" customHeight="1">
      <c r="A62" s="17"/>
      <c r="B62" s="51" t="s">
        <v>380</v>
      </c>
      <c r="C62" s="241">
        <f>'4.6_транзит+сбыт_КТЭЦ с косв.'!C62+'4.6_транзит+сбыт_котельн.'!C62</f>
        <v>4972</v>
      </c>
      <c r="D62" s="241">
        <f>'4.6_транзит+сбыт_КТЭЦ с косв.'!D62+'4.6_транзит+сбыт_котельн.'!D62</f>
        <v>2102</v>
      </c>
      <c r="E62" s="241">
        <v>1964</v>
      </c>
      <c r="F62" s="241">
        <v>6327</v>
      </c>
      <c r="G62" s="241">
        <v>6553</v>
      </c>
      <c r="H62" s="241">
        <v>5863</v>
      </c>
      <c r="I62" s="241">
        <v>6357</v>
      </c>
      <c r="J62" s="241">
        <v>8019</v>
      </c>
      <c r="K62" s="241">
        <v>8597</v>
      </c>
      <c r="L62" s="241">
        <v>5934</v>
      </c>
      <c r="M62" s="241">
        <v>2663</v>
      </c>
      <c r="N62" s="241">
        <v>11316</v>
      </c>
      <c r="O62" s="241">
        <v>6650</v>
      </c>
      <c r="P62" s="241">
        <v>4666</v>
      </c>
    </row>
    <row r="63" spans="1:16" s="4" customFormat="1" ht="15" customHeight="1">
      <c r="A63" s="17"/>
      <c r="B63" s="51" t="s">
        <v>381</v>
      </c>
      <c r="C63" s="241">
        <f>'4.6_транзит+сбыт_КТЭЦ с косв.'!C63+'4.6_транзит+сбыт_котельн.'!C63</f>
        <v>1239</v>
      </c>
      <c r="D63" s="241">
        <f>'4.6_транзит+сбыт_КТЭЦ с косв.'!D63+'4.6_транзит+сбыт_котельн.'!D63</f>
        <v>3358</v>
      </c>
      <c r="E63" s="241">
        <v>1487</v>
      </c>
      <c r="F63" s="241">
        <v>3496</v>
      </c>
      <c r="G63" s="241">
        <v>3416</v>
      </c>
      <c r="H63" s="241">
        <v>1342</v>
      </c>
      <c r="I63" s="241">
        <v>3518</v>
      </c>
      <c r="J63" s="241">
        <v>1961</v>
      </c>
      <c r="K63" s="241">
        <v>2087</v>
      </c>
      <c r="L63" s="241">
        <v>1067.5</v>
      </c>
      <c r="M63" s="241">
        <v>1019.5</v>
      </c>
      <c r="N63" s="241">
        <v>2202</v>
      </c>
      <c r="O63" s="241">
        <v>1125</v>
      </c>
      <c r="P63" s="241">
        <v>1077</v>
      </c>
    </row>
    <row r="64" spans="1:16" s="4" customFormat="1" ht="15" customHeight="1">
      <c r="A64" s="17"/>
      <c r="B64" s="51" t="s">
        <v>382</v>
      </c>
      <c r="C64" s="241">
        <f>'4.6_транзит+сбыт_КТЭЦ с косв.'!C64+'4.6_транзит+сбыт_котельн.'!C64</f>
        <v>40</v>
      </c>
      <c r="D64" s="241">
        <f>'4.6_транзит+сбыт_КТЭЦ с косв.'!D64+'4.6_транзит+сбыт_котельн.'!D64</f>
        <v>67</v>
      </c>
      <c r="E64" s="241">
        <v>70</v>
      </c>
      <c r="F64" s="241">
        <v>99</v>
      </c>
      <c r="G64" s="241">
        <v>87</v>
      </c>
      <c r="H64" s="241">
        <v>136</v>
      </c>
      <c r="I64" s="241">
        <v>191</v>
      </c>
      <c r="J64" s="241">
        <v>177</v>
      </c>
      <c r="K64" s="241">
        <v>174</v>
      </c>
      <c r="L64" s="241">
        <v>93</v>
      </c>
      <c r="M64" s="241">
        <v>81</v>
      </c>
      <c r="N64" s="241">
        <v>175</v>
      </c>
      <c r="O64" s="241">
        <v>94</v>
      </c>
      <c r="P64" s="241">
        <v>81</v>
      </c>
    </row>
    <row r="65" spans="1:16" s="4" customFormat="1" ht="15" customHeight="1">
      <c r="A65" s="17"/>
      <c r="B65" s="51" t="s">
        <v>383</v>
      </c>
      <c r="C65" s="241">
        <f>'4.6_транзит+сбыт_КТЭЦ с косв.'!C65+'4.6_транзит+сбыт_котельн.'!C65</f>
        <v>0</v>
      </c>
      <c r="D65" s="241">
        <f>'4.6_транзит+сбыт_КТЭЦ с косв.'!D65+'4.6_транзит+сбыт_котельн.'!D65</f>
        <v>0</v>
      </c>
      <c r="E65" s="241">
        <f>'4.6_транзит+сбыт_КТЭЦ с косв.'!E65+'4.6_транзит+сбыт_котельн.'!E65</f>
        <v>0</v>
      </c>
      <c r="F65" s="241">
        <v>0</v>
      </c>
      <c r="G65" s="241">
        <v>0</v>
      </c>
      <c r="H65" s="241">
        <v>0</v>
      </c>
      <c r="I65" s="241">
        <v>0</v>
      </c>
      <c r="J65" s="241">
        <v>0</v>
      </c>
      <c r="K65" s="241">
        <v>0</v>
      </c>
      <c r="L65" s="241">
        <v>0</v>
      </c>
      <c r="M65" s="241">
        <v>0</v>
      </c>
      <c r="N65" s="241">
        <v>0</v>
      </c>
      <c r="O65" s="241">
        <v>0</v>
      </c>
      <c r="P65" s="241">
        <v>0</v>
      </c>
    </row>
    <row r="66" spans="1:16" s="4" customFormat="1" ht="15" customHeight="1">
      <c r="A66" s="17"/>
      <c r="B66" s="51" t="s">
        <v>384</v>
      </c>
      <c r="C66" s="241">
        <f>'4.6_транзит+сбыт_КТЭЦ с косв.'!C66+'4.6_транзит+сбыт_котельн.'!C66</f>
        <v>0</v>
      </c>
      <c r="D66" s="241">
        <f>'4.6_транзит+сбыт_КТЭЦ с косв.'!D66+'4.6_транзит+сбыт_котельн.'!D66</f>
        <v>0</v>
      </c>
      <c r="E66" s="241">
        <v>879</v>
      </c>
      <c r="F66" s="241">
        <v>0</v>
      </c>
      <c r="G66" s="241">
        <v>0</v>
      </c>
      <c r="H66" s="241">
        <v>0</v>
      </c>
      <c r="I66" s="241">
        <v>0</v>
      </c>
      <c r="J66" s="241">
        <v>0</v>
      </c>
      <c r="K66" s="241">
        <v>0</v>
      </c>
      <c r="L66" s="241">
        <v>0</v>
      </c>
      <c r="M66" s="241">
        <v>0</v>
      </c>
      <c r="N66" s="241">
        <v>0</v>
      </c>
      <c r="O66" s="241">
        <v>0</v>
      </c>
      <c r="P66" s="241">
        <v>0</v>
      </c>
    </row>
    <row r="67" spans="1:16" s="1034" customFormat="1" ht="15" customHeight="1">
      <c r="A67" s="1030" t="s">
        <v>385</v>
      </c>
      <c r="B67" s="1031" t="s">
        <v>386</v>
      </c>
      <c r="C67" s="1032">
        <f>SUM(C68:C71)</f>
        <v>233322</v>
      </c>
      <c r="D67" s="1032">
        <f t="shared" ref="D67" si="5">SUM(D68:D71)</f>
        <v>1197595</v>
      </c>
      <c r="E67" s="1032">
        <f>SUM(E68:E71)</f>
        <v>76788</v>
      </c>
      <c r="F67" s="1032">
        <v>1000124.9</v>
      </c>
      <c r="G67" s="1032">
        <v>94532</v>
      </c>
      <c r="H67" s="1032">
        <v>1067169.544</v>
      </c>
      <c r="I67" s="1032">
        <v>78635.621525478622</v>
      </c>
      <c r="J67" s="1032">
        <v>80406.999999999985</v>
      </c>
      <c r="K67" s="1032">
        <v>78613.82892</v>
      </c>
      <c r="L67" s="1032">
        <v>1532.41446</v>
      </c>
      <c r="M67" s="1032">
        <v>77081.41446</v>
      </c>
      <c r="N67" s="1032">
        <v>3226.2717867371998</v>
      </c>
      <c r="O67" s="1032">
        <v>1613.1358933685999</v>
      </c>
      <c r="P67" s="1032">
        <v>1613.1358933685999</v>
      </c>
    </row>
    <row r="68" spans="1:16" s="1046" customFormat="1" ht="30" customHeight="1">
      <c r="A68" s="1044"/>
      <c r="B68" s="1045" t="s">
        <v>387</v>
      </c>
      <c r="C68" s="258">
        <f>'4.6_транзит+сбыт_КТЭЦ с косв.'!C68+'4.6_транзит+сбыт_котельн.'!C68</f>
        <v>0</v>
      </c>
      <c r="D68" s="258">
        <f>'4.6_транзит+сбыт_КТЭЦ с косв.'!D68+'4.6_транзит+сбыт_котельн.'!D68</f>
        <v>0</v>
      </c>
      <c r="E68" s="258">
        <f>'4.6_транзит+сбыт_КТЭЦ с косв.'!E68+'4.6_транзит+сбыт_котельн.'!E68</f>
        <v>0</v>
      </c>
      <c r="F68" s="258">
        <v>0</v>
      </c>
      <c r="G68" s="258">
        <v>0</v>
      </c>
      <c r="H68" s="258">
        <v>0</v>
      </c>
      <c r="I68" s="258">
        <v>0</v>
      </c>
      <c r="J68" s="258">
        <v>0</v>
      </c>
      <c r="K68" s="258">
        <v>0</v>
      </c>
      <c r="L68" s="258">
        <v>0</v>
      </c>
      <c r="M68" s="258">
        <v>0</v>
      </c>
      <c r="N68" s="258">
        <v>0</v>
      </c>
      <c r="O68" s="258">
        <v>0</v>
      </c>
      <c r="P68" s="258">
        <v>0</v>
      </c>
    </row>
    <row r="69" spans="1:16" s="1046" customFormat="1" ht="15" customHeight="1">
      <c r="A69" s="1044"/>
      <c r="B69" s="1045" t="s">
        <v>388</v>
      </c>
      <c r="C69" s="258">
        <f>'4.6_транзит+сбыт_КТЭЦ с косв.'!C69+'4.6_транзит+сбыт_котельн.'!C69</f>
        <v>233149</v>
      </c>
      <c r="D69" s="258">
        <f>'4.6_транзит+сбыт_КТЭЦ с косв.'!D69+'4.6_транзит+сбыт_котельн.'!D69</f>
        <v>1183904</v>
      </c>
      <c r="E69" s="258">
        <v>73539</v>
      </c>
      <c r="F69" s="258">
        <v>984562</v>
      </c>
      <c r="G69" s="258">
        <v>91218</v>
      </c>
      <c r="H69" s="258">
        <v>1045989.444</v>
      </c>
      <c r="I69" s="258">
        <v>75748.187825006433</v>
      </c>
      <c r="J69" s="258">
        <v>77519.999999999985</v>
      </c>
      <c r="K69" s="258">
        <v>75549</v>
      </c>
      <c r="L69" s="258">
        <v>0</v>
      </c>
      <c r="M69" s="258">
        <v>75549</v>
      </c>
      <c r="N69" s="258">
        <v>0</v>
      </c>
      <c r="O69" s="258">
        <v>0</v>
      </c>
      <c r="P69" s="258">
        <v>0</v>
      </c>
    </row>
    <row r="70" spans="1:16" s="1046" customFormat="1" ht="45" customHeight="1">
      <c r="A70" s="1044"/>
      <c r="B70" s="1045" t="s">
        <v>389</v>
      </c>
      <c r="C70" s="258">
        <f>'4.6_транзит+сбыт_КТЭЦ с косв.'!C70+'4.6_транзит+сбыт_котельн.'!C70</f>
        <v>0</v>
      </c>
      <c r="D70" s="258">
        <f>'4.6_транзит+сбыт_КТЭЦ с косв.'!D70+'4.6_транзит+сбыт_котельн.'!D70</f>
        <v>0</v>
      </c>
      <c r="E70" s="258">
        <f>'4.6_транзит+сбыт_КТЭЦ с косв.'!E70+'4.6_транзит+сбыт_котельн.'!E70</f>
        <v>0</v>
      </c>
      <c r="F70" s="258">
        <v>0</v>
      </c>
      <c r="G70" s="258">
        <v>0</v>
      </c>
      <c r="H70" s="258">
        <v>0</v>
      </c>
      <c r="I70" s="258">
        <v>0</v>
      </c>
      <c r="J70" s="258">
        <v>0</v>
      </c>
      <c r="K70" s="258">
        <v>0</v>
      </c>
      <c r="L70" s="258">
        <v>0</v>
      </c>
      <c r="M70" s="258">
        <v>0</v>
      </c>
      <c r="N70" s="258">
        <v>0</v>
      </c>
      <c r="O70" s="258">
        <v>0</v>
      </c>
      <c r="P70" s="258">
        <v>0</v>
      </c>
    </row>
    <row r="71" spans="1:16" s="1046" customFormat="1" ht="15" customHeight="1">
      <c r="A71" s="1044"/>
      <c r="B71" s="1045" t="s">
        <v>390</v>
      </c>
      <c r="C71" s="258">
        <f>SUM(C72:C77)</f>
        <v>173</v>
      </c>
      <c r="D71" s="258">
        <f t="shared" ref="D71" si="6">SUM(D72:D77)</f>
        <v>13691</v>
      </c>
      <c r="E71" s="258">
        <f>SUM(E72:E77)</f>
        <v>3249</v>
      </c>
      <c r="F71" s="258">
        <v>15562.900000000001</v>
      </c>
      <c r="G71" s="258">
        <v>3315</v>
      </c>
      <c r="H71" s="258">
        <v>21180.100000000002</v>
      </c>
      <c r="I71" s="258">
        <v>2887.4337004721938</v>
      </c>
      <c r="J71" s="258">
        <v>2887</v>
      </c>
      <c r="K71" s="258">
        <v>3064.8289199999999</v>
      </c>
      <c r="L71" s="258">
        <v>1532.41446</v>
      </c>
      <c r="M71" s="258">
        <v>1532.41446</v>
      </c>
      <c r="N71" s="258">
        <v>3226.2717867371998</v>
      </c>
      <c r="O71" s="258">
        <v>1613.1358933685999</v>
      </c>
      <c r="P71" s="258">
        <v>1613.1358933685999</v>
      </c>
    </row>
    <row r="72" spans="1:16" s="4" customFormat="1" ht="15" customHeight="1">
      <c r="A72" s="17"/>
      <c r="B72" s="51" t="s">
        <v>961</v>
      </c>
      <c r="C72" s="241">
        <f>'4.6_транзит+сбыт_КТЭЦ с косв.'!C72+'4.6_транзит+сбыт_котельн.'!C72</f>
        <v>0</v>
      </c>
      <c r="D72" s="241">
        <f>'4.6_транзит+сбыт_КТЭЦ с косв.'!D72+'4.6_транзит+сбыт_котельн.'!D72</f>
        <v>2608</v>
      </c>
      <c r="E72" s="241">
        <v>2199</v>
      </c>
      <c r="F72" s="241">
        <v>1444</v>
      </c>
      <c r="G72" s="241">
        <v>2908</v>
      </c>
      <c r="H72" s="241">
        <v>1059</v>
      </c>
      <c r="I72" s="241">
        <v>1731.3726688654356</v>
      </c>
      <c r="J72" s="241">
        <v>1731</v>
      </c>
      <c r="K72" s="241">
        <v>1830.2209200000002</v>
      </c>
      <c r="L72" s="241">
        <v>915.1104600000001</v>
      </c>
      <c r="M72" s="241">
        <v>915.1104600000001</v>
      </c>
      <c r="N72" s="241">
        <v>1918.8219147371999</v>
      </c>
      <c r="O72" s="241">
        <v>959.41095736859995</v>
      </c>
      <c r="P72" s="241">
        <v>959.41095736859995</v>
      </c>
    </row>
    <row r="73" spans="1:16" s="4" customFormat="1" ht="15" customHeight="1">
      <c r="A73" s="17"/>
      <c r="B73" s="51" t="s">
        <v>962</v>
      </c>
      <c r="C73" s="241">
        <f>'4.6_транзит+сбыт_КТЭЦ с косв.'!C73+'4.6_транзит+сбыт_котельн.'!C73</f>
        <v>0</v>
      </c>
      <c r="D73" s="241">
        <f>'4.6_транзит+сбыт_КТЭЦ с косв.'!D73+'4.6_транзит+сбыт_котельн.'!D73</f>
        <v>0</v>
      </c>
      <c r="E73" s="241">
        <f>'4.6_транзит+сбыт_КТЭЦ с косв.'!E73+'4.6_транзит+сбыт_котельн.'!E73</f>
        <v>0</v>
      </c>
      <c r="F73" s="241">
        <v>0</v>
      </c>
      <c r="G73" s="241">
        <v>0</v>
      </c>
      <c r="H73" s="241">
        <v>0</v>
      </c>
      <c r="I73" s="241">
        <v>0</v>
      </c>
      <c r="J73" s="241">
        <v>0</v>
      </c>
      <c r="K73" s="241">
        <v>0</v>
      </c>
      <c r="L73" s="241">
        <v>0</v>
      </c>
      <c r="M73" s="241">
        <v>0</v>
      </c>
      <c r="N73" s="241">
        <v>0</v>
      </c>
      <c r="O73" s="241">
        <v>0</v>
      </c>
      <c r="P73" s="241">
        <v>0</v>
      </c>
    </row>
    <row r="74" spans="1:16" s="4" customFormat="1" ht="15" customHeight="1">
      <c r="A74" s="17"/>
      <c r="B74" s="51" t="s">
        <v>963</v>
      </c>
      <c r="C74" s="241">
        <f>'4.6_транзит+сбыт_КТЭЦ с косв.'!C74+'4.6_транзит+сбыт_котельн.'!C74</f>
        <v>173</v>
      </c>
      <c r="D74" s="241">
        <f>'4.6_транзит+сбыт_КТЭЦ с косв.'!D74+'4.6_транзит+сбыт_котельн.'!D74</f>
        <v>11083</v>
      </c>
      <c r="E74" s="241">
        <v>1050</v>
      </c>
      <c r="F74" s="241">
        <v>14118.900000000001</v>
      </c>
      <c r="G74" s="241">
        <v>407</v>
      </c>
      <c r="H74" s="241">
        <v>20121.100000000002</v>
      </c>
      <c r="I74" s="241">
        <v>1156.0610316067582</v>
      </c>
      <c r="J74" s="241">
        <v>1156</v>
      </c>
      <c r="K74" s="241">
        <v>1234.6079999999999</v>
      </c>
      <c r="L74" s="241">
        <v>617.30399999999997</v>
      </c>
      <c r="M74" s="241">
        <v>617.30399999999997</v>
      </c>
      <c r="N74" s="241">
        <v>1307.4498719999999</v>
      </c>
      <c r="O74" s="241">
        <v>653.72493599999996</v>
      </c>
      <c r="P74" s="241">
        <v>653.72493599999996</v>
      </c>
    </row>
    <row r="75" spans="1:16" s="4" customFormat="1" ht="15" hidden="1" customHeight="1">
      <c r="A75" s="17"/>
      <c r="B75" s="51"/>
      <c r="C75" s="241">
        <f>'4.6_транзит+сбыт_КТЭЦ с косв.'!C75+'4.6_транзит+сбыт_котельн.'!C75</f>
        <v>0</v>
      </c>
      <c r="D75" s="241">
        <f>'4.6_транзит+сбыт_КТЭЦ с косв.'!D75+'4.6_транзит+сбыт_котельн.'!D75</f>
        <v>0</v>
      </c>
      <c r="E75" s="241">
        <f>'4.6_транзит+сбыт_КТЭЦ с косв.'!E75+'4.6_транзит+сбыт_котельн.'!E75</f>
        <v>0</v>
      </c>
      <c r="F75" s="241">
        <v>0</v>
      </c>
      <c r="G75" s="241">
        <v>0</v>
      </c>
      <c r="H75" s="241">
        <v>0</v>
      </c>
      <c r="I75" s="241">
        <v>0</v>
      </c>
      <c r="J75" s="241">
        <v>0</v>
      </c>
      <c r="K75" s="241">
        <v>0</v>
      </c>
      <c r="L75" s="241">
        <v>0</v>
      </c>
      <c r="M75" s="241">
        <v>0</v>
      </c>
      <c r="N75" s="241">
        <v>0</v>
      </c>
      <c r="O75" s="241">
        <v>0</v>
      </c>
      <c r="P75" s="241">
        <v>0</v>
      </c>
    </row>
    <row r="76" spans="1:16" s="4" customFormat="1" ht="15" hidden="1" customHeight="1">
      <c r="A76" s="17"/>
      <c r="B76" s="51"/>
      <c r="C76" s="241"/>
      <c r="D76" s="241"/>
      <c r="E76" s="241"/>
      <c r="F76" s="241"/>
      <c r="G76" s="241"/>
      <c r="H76" s="241"/>
      <c r="I76" s="241"/>
      <c r="J76" s="241"/>
      <c r="K76" s="241"/>
      <c r="L76" s="241"/>
      <c r="M76" s="241"/>
      <c r="N76" s="241"/>
      <c r="O76" s="241"/>
      <c r="P76" s="241"/>
    </row>
    <row r="77" spans="1:16" s="4" customFormat="1" ht="15" hidden="1" customHeight="1">
      <c r="A77" s="17"/>
      <c r="B77" s="51"/>
      <c r="C77" s="241"/>
      <c r="D77" s="241"/>
      <c r="E77" s="241"/>
      <c r="F77" s="241"/>
      <c r="G77" s="241"/>
      <c r="H77" s="241"/>
      <c r="I77" s="241"/>
      <c r="J77" s="241"/>
      <c r="K77" s="241"/>
      <c r="L77" s="241"/>
      <c r="M77" s="241"/>
      <c r="N77" s="241"/>
      <c r="O77" s="241"/>
      <c r="P77" s="241"/>
    </row>
    <row r="78" spans="1:16" s="1034" customFormat="1" ht="30.75" customHeight="1">
      <c r="A78" s="1030" t="s">
        <v>391</v>
      </c>
      <c r="B78" s="1031" t="s">
        <v>392</v>
      </c>
      <c r="C78" s="1032">
        <f>SUM(C79:C82)</f>
        <v>18582</v>
      </c>
      <c r="D78" s="1032">
        <f t="shared" ref="D78" si="7">SUM(D79:D82)</f>
        <v>38132</v>
      </c>
      <c r="E78" s="1032">
        <f>SUM(E79:E82)</f>
        <v>47807</v>
      </c>
      <c r="F78" s="1032">
        <v>232862</v>
      </c>
      <c r="G78" s="1032">
        <v>8200</v>
      </c>
      <c r="H78" s="1032">
        <v>57478.7</v>
      </c>
      <c r="I78" s="1032">
        <v>16727</v>
      </c>
      <c r="J78" s="1032">
        <v>193351.94399999999</v>
      </c>
      <c r="K78" s="1032">
        <v>416734.636</v>
      </c>
      <c r="L78" s="1032">
        <v>5992.9380000000028</v>
      </c>
      <c r="M78" s="1032">
        <v>410741.69799999997</v>
      </c>
      <c r="N78" s="1032">
        <v>372983.84668399999</v>
      </c>
      <c r="O78" s="1032">
        <v>6940.4233420000037</v>
      </c>
      <c r="P78" s="1032">
        <v>366043.42334199999</v>
      </c>
    </row>
    <row r="79" spans="1:16" s="1046" customFormat="1" ht="15" customHeight="1">
      <c r="A79" s="1044"/>
      <c r="B79" s="1045" t="s">
        <v>393</v>
      </c>
      <c r="C79" s="258">
        <f>'4.6_транзит+сбыт_КТЭЦ с косв.'!C79+'4.6_транзит+сбыт_котельн.'!C79</f>
        <v>8904</v>
      </c>
      <c r="D79" s="258">
        <f>'4.6_транзит+сбыт_КТЭЦ с косв.'!D79+'4.6_транзит+сбыт_котельн.'!D79</f>
        <v>0</v>
      </c>
      <c r="E79" s="258">
        <v>40000</v>
      </c>
      <c r="F79" s="258">
        <v>0</v>
      </c>
      <c r="G79" s="258">
        <v>0</v>
      </c>
      <c r="H79" s="258">
        <v>0</v>
      </c>
      <c r="I79" s="258">
        <v>0</v>
      </c>
      <c r="J79" s="258">
        <v>0</v>
      </c>
      <c r="K79" s="258">
        <v>0</v>
      </c>
      <c r="L79" s="258">
        <v>0</v>
      </c>
      <c r="M79" s="258">
        <v>0</v>
      </c>
      <c r="N79" s="258">
        <v>0</v>
      </c>
      <c r="O79" s="258">
        <v>0</v>
      </c>
      <c r="P79" s="258">
        <v>0</v>
      </c>
    </row>
    <row r="80" spans="1:16" s="1046" customFormat="1" ht="30" customHeight="1">
      <c r="A80" s="1044"/>
      <c r="B80" s="1045" t="s">
        <v>394</v>
      </c>
      <c r="C80" s="258">
        <f>'4.6_транзит+сбыт_КТЭЦ с косв.'!C80+'4.6_транзит+сбыт_котельн.'!C80</f>
        <v>7864</v>
      </c>
      <c r="D80" s="258">
        <f>'4.6_транзит+сбыт_КТЭЦ с косв.'!D80+'4.6_транзит+сбыт_котельн.'!D80</f>
        <v>8374</v>
      </c>
      <c r="E80" s="258">
        <v>7807</v>
      </c>
      <c r="F80" s="258">
        <v>9654</v>
      </c>
      <c r="G80" s="258">
        <v>7990</v>
      </c>
      <c r="H80" s="258">
        <v>10271.4</v>
      </c>
      <c r="I80" s="258">
        <v>10055</v>
      </c>
      <c r="J80" s="258">
        <v>10055</v>
      </c>
      <c r="K80" s="258">
        <v>10738.740000000002</v>
      </c>
      <c r="L80" s="258">
        <v>5369.3700000000008</v>
      </c>
      <c r="M80" s="258">
        <v>5369.3700000000008</v>
      </c>
      <c r="N80" s="258">
        <v>11372.32566</v>
      </c>
      <c r="O80" s="258">
        <v>5686.1628300000002</v>
      </c>
      <c r="P80" s="258">
        <v>5686.1628300000002</v>
      </c>
    </row>
    <row r="81" spans="1:16" s="1046" customFormat="1" ht="15" customHeight="1">
      <c r="A81" s="1044"/>
      <c r="B81" s="1045" t="s">
        <v>1568</v>
      </c>
      <c r="C81" s="258">
        <f>'4.6_транзит+сбыт_КТЭЦ с косв.'!C81+'4.6_транзит+сбыт_котельн.'!C81</f>
        <v>0</v>
      </c>
      <c r="D81" s="258">
        <f>'4.6_транзит+сбыт_КТЭЦ с косв.'!D81+'4.6_транзит+сбыт_котельн.'!D81</f>
        <v>28997</v>
      </c>
      <c r="E81" s="258">
        <f>'4.6_транзит+сбыт_КТЭЦ с косв.'!E81+'4.6_транзит+сбыт_котельн.'!E81</f>
        <v>0</v>
      </c>
      <c r="F81" s="258">
        <v>221704</v>
      </c>
      <c r="G81" s="258">
        <v>0</v>
      </c>
      <c r="H81" s="258">
        <v>45526.299999999996</v>
      </c>
      <c r="I81" s="258">
        <v>0</v>
      </c>
      <c r="J81" s="258">
        <v>326.94400000000002</v>
      </c>
      <c r="K81" s="258">
        <v>202017.76</v>
      </c>
      <c r="L81" s="258">
        <v>0</v>
      </c>
      <c r="M81" s="258">
        <v>202017.76</v>
      </c>
      <c r="N81" s="258">
        <v>145699</v>
      </c>
      <c r="O81" s="258">
        <v>0</v>
      </c>
      <c r="P81" s="258">
        <v>145699</v>
      </c>
    </row>
    <row r="82" spans="1:16" s="1046" customFormat="1" ht="28.5" customHeight="1">
      <c r="A82" s="1044"/>
      <c r="B82" s="1045" t="s">
        <v>1957</v>
      </c>
      <c r="C82" s="258">
        <f>'4.6_транзит+сбыт_КТЭЦ с косв.'!C82+'4.6_транзит+сбыт_котельн.'!C82</f>
        <v>1814</v>
      </c>
      <c r="D82" s="258">
        <f>'4.6_транзит+сбыт_КТЭЦ с косв.'!D82+'4.6_транзит+сбыт_котельн.'!D82</f>
        <v>761</v>
      </c>
      <c r="E82" s="258">
        <f>'4.6_транзит+сбыт_КТЭЦ с косв.'!E82+'4.6_транзит+сбыт_котельн.'!E82</f>
        <v>0</v>
      </c>
      <c r="F82" s="258">
        <v>1504</v>
      </c>
      <c r="G82" s="258">
        <v>210</v>
      </c>
      <c r="H82" s="258">
        <v>1681</v>
      </c>
      <c r="I82" s="258">
        <v>6672</v>
      </c>
      <c r="J82" s="258">
        <v>182970</v>
      </c>
      <c r="K82" s="258">
        <v>203978.136</v>
      </c>
      <c r="L82" s="258">
        <v>623.56800000000226</v>
      </c>
      <c r="M82" s="258">
        <v>203354.568</v>
      </c>
      <c r="N82" s="258">
        <v>215912.52102400002</v>
      </c>
      <c r="O82" s="258">
        <v>1254.2605120000035</v>
      </c>
      <c r="P82" s="258">
        <v>214658.26051200001</v>
      </c>
    </row>
    <row r="83" spans="1:16" s="1034" customFormat="1" ht="15" customHeight="1">
      <c r="A83" s="1030" t="s">
        <v>395</v>
      </c>
      <c r="B83" s="1031" t="s">
        <v>396</v>
      </c>
      <c r="C83" s="1032">
        <f>'4.6_транзит+сбыт_КТЭЦ с косв.'!C83+'4.6_транзит+сбыт_котельн.'!C83</f>
        <v>62932.75</v>
      </c>
      <c r="D83" s="1032">
        <f>'4.6_транзит+сбыт_КТЭЦ с косв.'!D83+'4.6_транзит+сбыт_котельн.'!D83</f>
        <v>305509</v>
      </c>
      <c r="E83" s="1032">
        <v>30557</v>
      </c>
      <c r="F83" s="1032">
        <v>58215.5</v>
      </c>
      <c r="G83" s="1032">
        <v>2050</v>
      </c>
      <c r="H83" s="1032">
        <v>275867.03599999996</v>
      </c>
      <c r="I83" s="1032">
        <v>4182</v>
      </c>
      <c r="J83" s="1032">
        <v>67717.98599999999</v>
      </c>
      <c r="K83" s="1032">
        <v>123070.90900000001</v>
      </c>
      <c r="L83" s="1032">
        <v>1498.2345000000005</v>
      </c>
      <c r="M83" s="1032">
        <v>121572.67450000001</v>
      </c>
      <c r="N83" s="1032">
        <v>93245.961670999997</v>
      </c>
      <c r="O83" s="1032">
        <v>1735.1058355000009</v>
      </c>
      <c r="P83" s="1032">
        <v>91510.855835499999</v>
      </c>
    </row>
    <row r="84" spans="1:16" s="1034" customFormat="1" ht="15" customHeight="1">
      <c r="A84" s="1030" t="s">
        <v>397</v>
      </c>
      <c r="B84" s="1031" t="s">
        <v>398</v>
      </c>
      <c r="C84" s="1032">
        <f>C85-C88</f>
        <v>-170673</v>
      </c>
      <c r="D84" s="1032">
        <f t="shared" ref="D84" si="8">D85-D88</f>
        <v>0</v>
      </c>
      <c r="E84" s="1032">
        <f>E85-E88</f>
        <v>0</v>
      </c>
      <c r="F84" s="1032">
        <v>0</v>
      </c>
      <c r="G84" s="1032">
        <v>45073</v>
      </c>
      <c r="H84" s="1032">
        <v>0</v>
      </c>
      <c r="I84" s="1032">
        <v>-114582</v>
      </c>
      <c r="J84" s="1032">
        <v>-114582</v>
      </c>
      <c r="K84" s="1032">
        <v>1109580.8999999999</v>
      </c>
      <c r="L84" s="1032">
        <v>0</v>
      </c>
      <c r="M84" s="1032">
        <v>1109580.8999999999</v>
      </c>
      <c r="N84" s="1032">
        <v>0</v>
      </c>
      <c r="O84" s="1032">
        <v>0</v>
      </c>
      <c r="P84" s="1032">
        <v>0</v>
      </c>
    </row>
    <row r="85" spans="1:16" s="585" customFormat="1" ht="15" customHeight="1">
      <c r="A85" s="583"/>
      <c r="B85" s="582" t="s">
        <v>1140</v>
      </c>
      <c r="C85" s="587">
        <f>C86+C87</f>
        <v>87338</v>
      </c>
      <c r="D85" s="587">
        <f t="shared" ref="D85" si="9">D86+D87</f>
        <v>0</v>
      </c>
      <c r="E85" s="587">
        <f>E86+E87</f>
        <v>0</v>
      </c>
      <c r="F85" s="587">
        <v>0</v>
      </c>
      <c r="G85" s="587">
        <v>194402</v>
      </c>
      <c r="H85" s="587">
        <v>0</v>
      </c>
      <c r="I85" s="587">
        <v>196324</v>
      </c>
      <c r="J85" s="587">
        <v>196324</v>
      </c>
      <c r="K85" s="587">
        <v>1167269.8999999999</v>
      </c>
      <c r="L85" s="587">
        <v>0</v>
      </c>
      <c r="M85" s="587">
        <v>1167269.8999999999</v>
      </c>
      <c r="N85" s="587">
        <v>0</v>
      </c>
      <c r="O85" s="587">
        <v>0</v>
      </c>
      <c r="P85" s="587">
        <v>0</v>
      </c>
    </row>
    <row r="86" spans="1:16" s="341" customFormat="1" ht="15" customHeight="1">
      <c r="A86" s="339"/>
      <c r="B86" s="340" t="s">
        <v>959</v>
      </c>
      <c r="C86" s="241">
        <f>'4.6_транзит+сбыт_КТЭЦ с косв.'!C86+'4.6_транзит+сбыт_котельн.'!C86</f>
        <v>87338</v>
      </c>
      <c r="D86" s="241">
        <f>'4.6_транзит+сбыт_КТЭЦ с косв.'!D86+'4.6_транзит+сбыт_котельн.'!D86</f>
        <v>0</v>
      </c>
      <c r="E86" s="241">
        <f>'4.6_транзит+сбыт_КТЭЦ с косв.'!E86+'4.6_транзит+сбыт_котельн.'!E86</f>
        <v>0</v>
      </c>
      <c r="F86" s="241">
        <v>0</v>
      </c>
      <c r="G86" s="241">
        <v>0</v>
      </c>
      <c r="H86" s="241">
        <v>0</v>
      </c>
      <c r="I86" s="241">
        <v>0</v>
      </c>
      <c r="J86" s="241">
        <v>0</v>
      </c>
      <c r="K86" s="241">
        <v>785856.9</v>
      </c>
      <c r="L86" s="241">
        <v>0</v>
      </c>
      <c r="M86" s="241">
        <v>785856.9</v>
      </c>
      <c r="N86" s="241">
        <v>0</v>
      </c>
      <c r="O86" s="241">
        <v>0</v>
      </c>
      <c r="P86" s="241">
        <v>0</v>
      </c>
    </row>
    <row r="87" spans="1:16" s="341" customFormat="1" ht="15" customHeight="1">
      <c r="A87" s="339"/>
      <c r="B87" s="51" t="s">
        <v>960</v>
      </c>
      <c r="C87" s="241">
        <f>'4.6_транзит+сбыт_КТЭЦ с косв.'!C87+'4.6_транзит+сбыт_котельн.'!C87</f>
        <v>0</v>
      </c>
      <c r="D87" s="241">
        <f>'4.6_транзит+сбыт_КТЭЦ с косв.'!D87+'4.6_транзит+сбыт_котельн.'!D87</f>
        <v>0</v>
      </c>
      <c r="E87" s="241">
        <f>'4.6_транзит+сбыт_КТЭЦ с косв.'!E87+'4.6_транзит+сбыт_котельн.'!E87</f>
        <v>0</v>
      </c>
      <c r="F87" s="241">
        <v>0</v>
      </c>
      <c r="G87" s="241">
        <v>0</v>
      </c>
      <c r="H87" s="241">
        <v>0</v>
      </c>
      <c r="I87" s="241">
        <v>0</v>
      </c>
      <c r="J87" s="241">
        <v>0</v>
      </c>
      <c r="K87" s="241">
        <v>381413</v>
      </c>
      <c r="L87" s="241">
        <v>0</v>
      </c>
      <c r="M87" s="241">
        <v>381413</v>
      </c>
      <c r="N87" s="241">
        <v>0</v>
      </c>
      <c r="O87" s="241">
        <v>0</v>
      </c>
      <c r="P87" s="241">
        <v>0</v>
      </c>
    </row>
    <row r="88" spans="1:16" s="588" customFormat="1" ht="15" customHeight="1">
      <c r="A88" s="586"/>
      <c r="B88" s="582" t="s">
        <v>1141</v>
      </c>
      <c r="C88" s="587">
        <f>C89+C90</f>
        <v>258011</v>
      </c>
      <c r="D88" s="587">
        <f t="shared" ref="D88" si="10">D89+D90</f>
        <v>0</v>
      </c>
      <c r="E88" s="587">
        <f>E89+E90</f>
        <v>0</v>
      </c>
      <c r="F88" s="587">
        <v>0</v>
      </c>
      <c r="G88" s="587">
        <v>149328</v>
      </c>
      <c r="H88" s="587">
        <v>0</v>
      </c>
      <c r="I88" s="587">
        <v>310906</v>
      </c>
      <c r="J88" s="587">
        <v>310906</v>
      </c>
      <c r="K88" s="587">
        <v>57689</v>
      </c>
      <c r="L88" s="587">
        <v>0</v>
      </c>
      <c r="M88" s="587">
        <v>57689</v>
      </c>
      <c r="N88" s="587">
        <v>0</v>
      </c>
      <c r="O88" s="587">
        <v>0</v>
      </c>
      <c r="P88" s="587">
        <v>0</v>
      </c>
    </row>
    <row r="89" spans="1:16" s="341" customFormat="1" ht="15" customHeight="1">
      <c r="A89" s="339"/>
      <c r="B89" s="340" t="s">
        <v>959</v>
      </c>
      <c r="C89" s="241">
        <f>'4.6_транзит+сбыт_КТЭЦ с косв.'!C89+'4.6_транзит+сбыт_котельн.'!C89</f>
        <v>258011</v>
      </c>
      <c r="D89" s="241">
        <f>'4.6_транзит+сбыт_КТЭЦ с косв.'!D89+'4.6_транзит+сбыт_котельн.'!D89</f>
        <v>0</v>
      </c>
      <c r="E89" s="241">
        <f>'4.6_транзит+сбыт_КТЭЦ с косв.'!E89+'4.6_транзит+сбыт_котельн.'!E89</f>
        <v>0</v>
      </c>
      <c r="F89" s="241">
        <v>0</v>
      </c>
      <c r="G89" s="241">
        <v>0</v>
      </c>
      <c r="H89" s="241">
        <v>0</v>
      </c>
      <c r="I89" s="241">
        <v>0</v>
      </c>
      <c r="J89" s="241">
        <v>0</v>
      </c>
      <c r="K89" s="241">
        <v>57689</v>
      </c>
      <c r="L89" s="241">
        <v>0</v>
      </c>
      <c r="M89" s="241">
        <v>57689</v>
      </c>
      <c r="N89" s="241">
        <v>0</v>
      </c>
      <c r="O89" s="241">
        <v>0</v>
      </c>
      <c r="P89" s="241">
        <v>0</v>
      </c>
    </row>
    <row r="90" spans="1:16" s="341" customFormat="1" ht="15" customHeight="1">
      <c r="A90" s="339"/>
      <c r="B90" s="51" t="s">
        <v>960</v>
      </c>
      <c r="C90" s="241">
        <f>'4.6_транзит+сбыт_КТЭЦ с косв.'!C90+'4.6_транзит+сбыт_котельн.'!C90</f>
        <v>0</v>
      </c>
      <c r="D90" s="241">
        <f>'4.6_транзит+сбыт_КТЭЦ с косв.'!D90+'4.6_транзит+сбыт_котельн.'!D90</f>
        <v>0</v>
      </c>
      <c r="E90" s="241">
        <f>'4.6_транзит+сбыт_КТЭЦ с косв.'!E90+'4.6_транзит+сбыт_котельн.'!E90</f>
        <v>0</v>
      </c>
      <c r="F90" s="241">
        <v>0</v>
      </c>
      <c r="G90" s="241">
        <v>0</v>
      </c>
      <c r="H90" s="241">
        <v>0</v>
      </c>
      <c r="I90" s="241">
        <v>0</v>
      </c>
      <c r="J90" s="241">
        <v>0</v>
      </c>
      <c r="K90" s="241">
        <v>0</v>
      </c>
      <c r="L90" s="241">
        <v>0</v>
      </c>
      <c r="M90" s="241">
        <v>0</v>
      </c>
      <c r="N90" s="241">
        <v>0</v>
      </c>
      <c r="O90" s="241">
        <v>0</v>
      </c>
      <c r="P90" s="241">
        <v>0</v>
      </c>
    </row>
    <row r="91" spans="1:16" s="1055" customFormat="1" ht="15" customHeight="1">
      <c r="A91" s="1052" t="s">
        <v>399</v>
      </c>
      <c r="B91" s="1053" t="s">
        <v>400</v>
      </c>
      <c r="C91" s="1054">
        <f>C7+C67+C78+C83+C84</f>
        <v>1444295.75</v>
      </c>
      <c r="D91" s="1054">
        <f>D7+D67+D78+D83+D84</f>
        <v>2901592.1711189998</v>
      </c>
      <c r="E91" s="1054">
        <f>E7+E67+E78+E83+E84-1</f>
        <v>1541323</v>
      </c>
      <c r="F91" s="1054">
        <v>2837044.5020034336</v>
      </c>
      <c r="G91" s="1054">
        <v>1708464.2362408165</v>
      </c>
      <c r="H91" s="1054">
        <v>3137585.9075410259</v>
      </c>
      <c r="I91" s="1054">
        <v>1690953.6215254785</v>
      </c>
      <c r="J91" s="1054">
        <v>2151080.6932205306</v>
      </c>
      <c r="K91" s="1054">
        <v>3771857.7172382134</v>
      </c>
      <c r="L91" s="1054">
        <v>1030206.2742552799</v>
      </c>
      <c r="M91" s="1054">
        <v>2741652.4429829335</v>
      </c>
      <c r="N91" s="1054">
        <v>2637383.2476951503</v>
      </c>
      <c r="O91" s="1054">
        <v>1097339.9470107013</v>
      </c>
      <c r="P91" s="1054">
        <v>1540044.3006844493</v>
      </c>
    </row>
    <row r="92" spans="1:16" s="4" customFormat="1" ht="15" customHeight="1">
      <c r="A92" s="17" t="s">
        <v>401</v>
      </c>
      <c r="B92" s="51" t="s">
        <v>1269</v>
      </c>
      <c r="C92" s="241">
        <f>'4.6_транзит+сбыт_КТЭЦ с косв.'!C92+'4.6_транзит+сбыт_котельн.'!C92</f>
        <v>0</v>
      </c>
      <c r="D92" s="241">
        <f>'4.6_транзит+сбыт_КТЭЦ с косв.'!D92+'4.6_транзит+сбыт_котельн.'!D92</f>
        <v>0</v>
      </c>
      <c r="E92" s="241">
        <f>'4.6_транзит+сбыт_КТЭЦ с косв.'!E92+'4.6_транзит+сбыт_котельн.'!E92</f>
        <v>0</v>
      </c>
      <c r="F92" s="241">
        <v>0</v>
      </c>
      <c r="G92" s="241">
        <v>0</v>
      </c>
      <c r="H92" s="241">
        <v>0</v>
      </c>
      <c r="I92" s="241">
        <v>0</v>
      </c>
      <c r="J92" s="241">
        <v>0</v>
      </c>
      <c r="K92" s="241">
        <v>0</v>
      </c>
      <c r="L92" s="241">
        <v>0</v>
      </c>
      <c r="M92" s="241">
        <v>0</v>
      </c>
      <c r="N92" s="241">
        <v>0</v>
      </c>
      <c r="O92" s="241">
        <v>0</v>
      </c>
      <c r="P92" s="241">
        <v>0</v>
      </c>
    </row>
    <row r="93" spans="1:16" s="4" customFormat="1" ht="15" customHeight="1">
      <c r="A93" s="17" t="s">
        <v>403</v>
      </c>
      <c r="B93" s="51" t="s">
        <v>1270</v>
      </c>
      <c r="C93" s="241">
        <f>'4.6_транзит+сбыт_КТЭЦ с косв.'!C93+'4.6_транзит+сбыт_котельн.'!C93-1</f>
        <v>1444295.75</v>
      </c>
      <c r="D93" s="241">
        <f>'4.6_транзит+сбыт_КТЭЦ с косв.'!D93+'4.6_транзит+сбыт_котельн.'!D93</f>
        <v>2901592.1711189998</v>
      </c>
      <c r="E93" s="241">
        <f>E91</f>
        <v>1541323</v>
      </c>
      <c r="F93" s="241">
        <v>2837044.5020034332</v>
      </c>
      <c r="G93" s="241">
        <v>1708464.2362408165</v>
      </c>
      <c r="H93" s="241">
        <v>3137585.9075410254</v>
      </c>
      <c r="I93" s="241">
        <v>1690953.6215254785</v>
      </c>
      <c r="J93" s="241">
        <v>2151080.9641778851</v>
      </c>
      <c r="K93" s="241">
        <v>3771857.7172382139</v>
      </c>
      <c r="L93" s="241">
        <v>1030206.27425528</v>
      </c>
      <c r="M93" s="241">
        <v>2741652.4429829339</v>
      </c>
      <c r="N93" s="241">
        <v>2637383.2476951503</v>
      </c>
      <c r="O93" s="241">
        <v>1097339.9470107015</v>
      </c>
      <c r="P93" s="241">
        <v>1540044.3006844493</v>
      </c>
    </row>
    <row r="94" spans="1:16" s="4" customFormat="1" ht="15" customHeight="1">
      <c r="A94" s="17" t="s">
        <v>405</v>
      </c>
      <c r="B94" s="51" t="s">
        <v>1271</v>
      </c>
      <c r="C94" s="241">
        <f>'4.6_транзит+сбыт_КТЭЦ с косв.'!C94+'4.6_транзит+сбыт_котельн.'!C94</f>
        <v>0</v>
      </c>
      <c r="D94" s="241">
        <f>'4.6_транзит+сбыт_КТЭЦ с косв.'!D94+'4.6_транзит+сбыт_котельн.'!D94</f>
        <v>0</v>
      </c>
      <c r="E94" s="241">
        <f>'4.6_транзит+сбыт_КТЭЦ с косв.'!E94+'4.6_транзит+сбыт_котельн.'!E94</f>
        <v>0</v>
      </c>
      <c r="F94" s="241">
        <v>0</v>
      </c>
      <c r="G94" s="241">
        <v>0</v>
      </c>
      <c r="H94" s="241">
        <v>0</v>
      </c>
      <c r="I94" s="241">
        <v>0</v>
      </c>
      <c r="J94" s="241">
        <v>0</v>
      </c>
      <c r="K94" s="241">
        <v>0</v>
      </c>
      <c r="L94" s="241">
        <v>0</v>
      </c>
      <c r="M94" s="241">
        <v>0</v>
      </c>
      <c r="N94" s="241">
        <v>0</v>
      </c>
      <c r="O94" s="241">
        <v>0</v>
      </c>
      <c r="P94" s="241">
        <v>0</v>
      </c>
    </row>
    <row r="95" spans="1:16" s="4" customFormat="1" ht="15" customHeight="1">
      <c r="A95" s="17" t="s">
        <v>407</v>
      </c>
      <c r="B95" s="51" t="s">
        <v>408</v>
      </c>
      <c r="C95" s="241">
        <f>'4.6_транзит+сбыт_КТЭЦ с косв.'!C95+'4.6_транзит+сбыт_котельн.'!C95</f>
        <v>0</v>
      </c>
      <c r="D95" s="241">
        <f>'4.6_транзит+сбыт_КТЭЦ с косв.'!D95+'4.6_транзит+сбыт_котельн.'!D95</f>
        <v>0</v>
      </c>
      <c r="E95" s="241">
        <f>'4.6_транзит+сбыт_КТЭЦ с косв.'!E95+'4.6_транзит+сбыт_котельн.'!E95</f>
        <v>0</v>
      </c>
      <c r="F95" s="241">
        <v>0</v>
      </c>
      <c r="G95" s="241">
        <v>0</v>
      </c>
      <c r="H95" s="241">
        <v>0</v>
      </c>
      <c r="I95" s="241">
        <v>0</v>
      </c>
      <c r="J95" s="241">
        <v>0</v>
      </c>
      <c r="K95" s="241">
        <v>0</v>
      </c>
      <c r="L95" s="241">
        <v>0</v>
      </c>
      <c r="M95" s="241">
        <v>0</v>
      </c>
      <c r="N95" s="241">
        <v>0</v>
      </c>
      <c r="O95" s="241">
        <v>0</v>
      </c>
      <c r="P95" s="241">
        <v>0</v>
      </c>
    </row>
    <row r="96" spans="1:16" s="4" customFormat="1" ht="15" customHeight="1">
      <c r="A96" s="17"/>
      <c r="B96" s="51"/>
      <c r="C96" s="241"/>
      <c r="D96" s="241"/>
      <c r="E96" s="241"/>
      <c r="F96" s="241"/>
      <c r="G96" s="241"/>
      <c r="H96" s="241"/>
      <c r="I96" s="241"/>
      <c r="J96" s="241"/>
      <c r="K96" s="241"/>
      <c r="L96" s="241"/>
      <c r="M96" s="241"/>
      <c r="N96" s="241"/>
      <c r="O96" s="241"/>
      <c r="P96" s="241"/>
    </row>
    <row r="97" spans="1:16" s="4" customFormat="1" ht="28.5">
      <c r="A97" s="17"/>
      <c r="B97" s="755" t="s">
        <v>1268</v>
      </c>
      <c r="C97" s="286">
        <f>'4.3_свод'!E8</f>
        <v>1379.6589999999999</v>
      </c>
      <c r="D97" s="286">
        <f>'4.3_свод'!I8</f>
        <v>1317.6889999999999</v>
      </c>
      <c r="E97" s="286">
        <f>'4.3_свод'!M8</f>
        <v>1373.1469999999997</v>
      </c>
      <c r="F97" s="286">
        <v>1257.6792</v>
      </c>
      <c r="G97" s="286">
        <v>1370.5355758999997</v>
      </c>
      <c r="H97" s="286">
        <v>1213.5347615570001</v>
      </c>
      <c r="I97" s="286">
        <v>1265.6859999999999</v>
      </c>
      <c r="J97" s="286">
        <v>1261.1354999999999</v>
      </c>
      <c r="K97" s="286">
        <v>1249.7249999999999</v>
      </c>
      <c r="L97" s="286">
        <v>760.1579999999999</v>
      </c>
      <c r="M97" s="286">
        <v>489.56699999999995</v>
      </c>
      <c r="N97" s="286">
        <v>1249.7249999999999</v>
      </c>
      <c r="O97" s="286">
        <v>760.1579999999999</v>
      </c>
      <c r="P97" s="286">
        <v>489.56699999999995</v>
      </c>
    </row>
    <row r="98" spans="1:16" s="4" customFormat="1" ht="15" customHeight="1">
      <c r="A98" s="17"/>
      <c r="B98" s="51"/>
      <c r="C98" s="241"/>
      <c r="D98" s="241"/>
      <c r="E98" s="241"/>
      <c r="F98" s="241"/>
      <c r="G98" s="241"/>
      <c r="H98" s="241"/>
      <c r="I98" s="241"/>
      <c r="J98" s="241"/>
      <c r="K98" s="241"/>
      <c r="L98" s="241"/>
      <c r="M98" s="241"/>
      <c r="N98" s="241"/>
      <c r="O98" s="241"/>
      <c r="P98" s="241"/>
    </row>
    <row r="99" spans="1:16" s="4" customFormat="1" ht="15" customHeight="1">
      <c r="A99" s="17"/>
      <c r="B99" s="253" t="s">
        <v>1266</v>
      </c>
      <c r="C99" s="428">
        <f>C93/C97</f>
        <v>1046.8498012914786</v>
      </c>
      <c r="D99" s="428">
        <f t="shared" ref="D99:E99" si="11">D93/D97</f>
        <v>2202.0311098590032</v>
      </c>
      <c r="E99" s="428">
        <f t="shared" si="11"/>
        <v>1122.474869769952</v>
      </c>
      <c r="F99" s="428">
        <v>2255.7775480451878</v>
      </c>
      <c r="G99" s="428">
        <v>1246.5668650147275</v>
      </c>
      <c r="H99" s="428">
        <v>2585.4932276644568</v>
      </c>
      <c r="I99" s="428">
        <v>1335.9977289197152</v>
      </c>
      <c r="J99" s="428">
        <v>1705.6699808845958</v>
      </c>
      <c r="K99" s="428">
        <v>3018.1501668272731</v>
      </c>
      <c r="L99" s="428">
        <v>1355.2528214598547</v>
      </c>
      <c r="M99" s="428">
        <v>5600.1577781650603</v>
      </c>
      <c r="N99" s="428">
        <v>2110.3708797496652</v>
      </c>
      <c r="O99" s="428">
        <v>1443.5682410902755</v>
      </c>
      <c r="P99" s="428">
        <v>3145.7273482167902</v>
      </c>
    </row>
    <row r="100" spans="1:16" s="4" customFormat="1" ht="15" customHeight="1">
      <c r="A100" s="17"/>
      <c r="B100" s="253" t="s">
        <v>1267</v>
      </c>
      <c r="C100" s="428" t="e">
        <f>C94/'4.2_КТЭЦ'!C25</f>
        <v>#DIV/0!</v>
      </c>
      <c r="D100" s="428">
        <f>D94/'4.2_КТЭЦ'!F25</f>
        <v>0</v>
      </c>
      <c r="E100" s="428">
        <f>'4.2_КТЭЦ'!I25</f>
        <v>0</v>
      </c>
      <c r="F100" s="428">
        <f>'4.2_КТЭЦ'!L25</f>
        <v>448.67099999999988</v>
      </c>
      <c r="G100" s="428"/>
      <c r="H100" s="428"/>
      <c r="I100" s="428"/>
      <c r="J100" s="428"/>
      <c r="K100" s="428">
        <f>'4.2_КТЭЦ'!AA25</f>
        <v>19.040000000000006</v>
      </c>
      <c r="L100" s="428">
        <f>'4.2_КТЭЦ'!AD25</f>
        <v>11.439999999999998</v>
      </c>
      <c r="M100" s="428">
        <f>'4.2_КТЭЦ'!AG25</f>
        <v>7.6000000000000014</v>
      </c>
      <c r="N100" s="978"/>
      <c r="O100" s="978"/>
      <c r="P100" s="978"/>
    </row>
    <row r="101" spans="1:16" s="4" customFormat="1" ht="15" customHeight="1">
      <c r="A101" s="17"/>
      <c r="B101" s="1131" t="s">
        <v>1512</v>
      </c>
      <c r="C101" s="428"/>
      <c r="D101" s="428"/>
      <c r="E101" s="428"/>
      <c r="F101" s="428"/>
      <c r="G101" s="428"/>
      <c r="H101" s="428"/>
      <c r="I101" s="428"/>
      <c r="J101" s="428"/>
      <c r="K101" s="428"/>
      <c r="L101" s="428"/>
      <c r="M101" s="428"/>
      <c r="N101" s="978"/>
      <c r="O101" s="978"/>
      <c r="P101" s="978"/>
    </row>
    <row r="102" spans="1:16" s="4" customFormat="1" ht="15" customHeight="1">
      <c r="A102" s="17"/>
      <c r="B102" s="1131" t="s">
        <v>1513</v>
      </c>
      <c r="C102" s="428"/>
      <c r="D102" s="428"/>
      <c r="E102" s="428"/>
      <c r="F102" s="428"/>
      <c r="G102" s="428"/>
      <c r="H102" s="428"/>
      <c r="I102" s="428"/>
      <c r="J102" s="428"/>
      <c r="K102" s="428"/>
      <c r="L102" s="428"/>
      <c r="M102" s="428"/>
      <c r="N102" s="978"/>
      <c r="O102" s="978"/>
      <c r="P102" s="978"/>
    </row>
    <row r="103" spans="1:16" hidden="1">
      <c r="A103" s="253" t="s">
        <v>965</v>
      </c>
      <c r="B103" s="253"/>
      <c r="C103" s="308">
        <f>C67+C78+C83+C87-C90</f>
        <v>314836.75</v>
      </c>
      <c r="D103" s="308">
        <f t="shared" ref="D103:M103" si="12">D67+D78+D83+D87-D90</f>
        <v>1541236</v>
      </c>
      <c r="E103" s="308">
        <f t="shared" si="12"/>
        <v>155152</v>
      </c>
      <c r="F103" s="308">
        <f t="shared" si="12"/>
        <v>1291202.3999999999</v>
      </c>
      <c r="G103" s="308"/>
      <c r="H103" s="308"/>
      <c r="I103" s="308"/>
      <c r="J103" s="308"/>
      <c r="K103" s="308">
        <f t="shared" si="12"/>
        <v>999832.37392000004</v>
      </c>
      <c r="L103" s="308">
        <f t="shared" si="12"/>
        <v>9023.5869600000042</v>
      </c>
      <c r="M103" s="308">
        <f t="shared" si="12"/>
        <v>990808.78695999994</v>
      </c>
      <c r="N103" s="762"/>
      <c r="O103" s="762"/>
      <c r="P103" s="762"/>
    </row>
    <row r="104" spans="1:16">
      <c r="A104" s="1776"/>
      <c r="B104" s="1776"/>
      <c r="C104" s="762"/>
      <c r="D104" s="762"/>
      <c r="E104" s="762"/>
      <c r="F104" s="762"/>
      <c r="G104" s="762"/>
      <c r="H104" s="762">
        <f>'4.6_транзит+сбыт_КТЭЦ с косв.'!H93+'4.6_транзит+сбыт_котельн.'!H93</f>
        <v>3137585.9075410254</v>
      </c>
      <c r="I104" s="762"/>
      <c r="J104" s="762">
        <f>'4.6_транзит+сбыт_КТЭЦ с косв.'!J93+'4.6_транзит+сбыт_котельн.'!J93</f>
        <v>2151080.9641778851</v>
      </c>
      <c r="K104" s="762">
        <f>'4.6_транзит+сбыт_КТЭЦ с косв.'!K93+'4.6_транзит+сбыт_котельн.'!K93</f>
        <v>3771857.7172382139</v>
      </c>
      <c r="L104" s="762"/>
      <c r="M104" s="762"/>
      <c r="N104" s="762">
        <f>'4.6_транзит+сбыт_КТЭЦ с косв.'!N93+'4.6_транзит+сбыт_котельн.'!N93</f>
        <v>2637383.2476951503</v>
      </c>
      <c r="O104" s="762"/>
      <c r="P104" s="762"/>
    </row>
    <row r="105" spans="1:16" s="26" customFormat="1">
      <c r="A105" s="26" t="s">
        <v>88</v>
      </c>
    </row>
    <row r="106" spans="1:16" s="945" customFormat="1" ht="58.5" customHeight="1">
      <c r="A106" s="945" t="s">
        <v>89</v>
      </c>
      <c r="B106" s="1842" t="s">
        <v>409</v>
      </c>
      <c r="C106" s="1842"/>
      <c r="D106" s="1842"/>
      <c r="E106" s="1842"/>
      <c r="F106" s="1842"/>
      <c r="G106" s="1842"/>
      <c r="H106" s="1842"/>
      <c r="I106" s="1842"/>
      <c r="J106" s="1842"/>
      <c r="K106" s="1842"/>
      <c r="L106" s="1842"/>
      <c r="M106" s="1842"/>
      <c r="N106" s="1640"/>
      <c r="O106" s="1640"/>
      <c r="P106" s="1640"/>
    </row>
    <row r="107" spans="1:16" s="945" customFormat="1" ht="58.5" customHeight="1">
      <c r="A107" s="945" t="s">
        <v>91</v>
      </c>
      <c r="B107" s="1842" t="s">
        <v>410</v>
      </c>
      <c r="C107" s="1842"/>
      <c r="D107" s="1842"/>
      <c r="E107" s="1842"/>
      <c r="F107" s="1842"/>
      <c r="G107" s="1842"/>
      <c r="H107" s="1842"/>
      <c r="I107" s="1842"/>
      <c r="J107" s="1842"/>
      <c r="K107" s="1842"/>
      <c r="L107" s="1842"/>
      <c r="M107" s="1842"/>
      <c r="N107" s="1640"/>
      <c r="O107" s="1640"/>
      <c r="P107" s="1640"/>
    </row>
    <row r="108" spans="1:16" s="945" customFormat="1" ht="58.5" customHeight="1">
      <c r="A108" s="945" t="s">
        <v>93</v>
      </c>
      <c r="B108" s="1842" t="s">
        <v>411</v>
      </c>
      <c r="C108" s="1842"/>
      <c r="D108" s="1842"/>
      <c r="E108" s="1842"/>
      <c r="F108" s="1842"/>
      <c r="G108" s="1842"/>
      <c r="H108" s="1842"/>
      <c r="I108" s="1842"/>
      <c r="J108" s="1842"/>
      <c r="K108" s="1842"/>
      <c r="L108" s="1842"/>
      <c r="M108" s="1842"/>
      <c r="N108" s="1640"/>
      <c r="O108" s="1640"/>
      <c r="P108" s="1640"/>
    </row>
    <row r="109" spans="1:16" ht="18.75" customHeight="1"/>
  </sheetData>
  <mergeCells count="4">
    <mergeCell ref="B106:M106"/>
    <mergeCell ref="B107:M107"/>
    <mergeCell ref="B108:M108"/>
    <mergeCell ref="A3:J3"/>
  </mergeCells>
  <pageMargins left="0.78740157480314965" right="0.31496062992125984" top="0.19685039370078741" bottom="0.19" header="0.19685039370078741" footer="0.19685039370078741"/>
  <pageSetup paperSize="9" scale="53" orientation="portrait" r:id="rId1"/>
  <headerFooter alignWithMargins="0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</sheetPr>
  <dimension ref="A1:P108"/>
  <sheetViews>
    <sheetView view="pageBreakPreview" zoomScaleNormal="100" workbookViewId="0">
      <pane xSplit="2" ySplit="5" topLeftCell="C6" activePane="bottomRight" state="frozen"/>
      <selection activeCell="F4" sqref="F4"/>
      <selection pane="topRight" activeCell="F4" sqref="F4"/>
      <selection pane="bottomLeft" activeCell="F4" sqref="F4"/>
      <selection pane="bottomRight" activeCell="F4" sqref="F4"/>
    </sheetView>
  </sheetViews>
  <sheetFormatPr defaultColWidth="3.7109375" defaultRowHeight="15" outlineLevelRow="1"/>
  <cols>
    <col min="1" max="1" width="6.5703125" style="1" customWidth="1"/>
    <col min="2" max="2" width="43.7109375" style="1" customWidth="1"/>
    <col min="3" max="4" width="13.42578125" style="1" hidden="1" customWidth="1"/>
    <col min="5" max="9" width="13.42578125" style="1" customWidth="1"/>
    <col min="10" max="10" width="16.42578125" style="1" customWidth="1"/>
    <col min="11" max="11" width="12.5703125" style="1" customWidth="1"/>
    <col min="12" max="12" width="11.140625" style="1" customWidth="1"/>
    <col min="13" max="13" width="11.42578125" style="1" customWidth="1"/>
    <col min="14" max="16" width="12.28515625" style="1" customWidth="1"/>
    <col min="17" max="52" width="9.140625" style="1" customWidth="1"/>
    <col min="53" max="16384" width="3.7109375" style="1"/>
  </cols>
  <sheetData>
    <row r="1" spans="1:16" ht="12.75" customHeight="1">
      <c r="A1" s="74" t="s">
        <v>1860</v>
      </c>
      <c r="J1" s="23"/>
      <c r="K1" s="23"/>
      <c r="M1" s="23" t="s">
        <v>359</v>
      </c>
      <c r="N1" s="23"/>
      <c r="O1" s="23"/>
      <c r="P1" s="23"/>
    </row>
    <row r="2" spans="1:16" ht="15.75" customHeight="1">
      <c r="A2" s="732" t="str">
        <f>'4.6_свод'!A2</f>
        <v>КТЭЦ + котельные СВОД</v>
      </c>
    </row>
    <row r="3" spans="1:16" ht="18.75">
      <c r="A3" s="1877" t="s">
        <v>1144</v>
      </c>
      <c r="B3" s="1914"/>
      <c r="C3" s="1914"/>
      <c r="D3" s="1914"/>
      <c r="E3" s="1914"/>
      <c r="F3" s="1914"/>
      <c r="G3" s="1914"/>
      <c r="H3" s="1914"/>
      <c r="I3" s="1914"/>
      <c r="J3" s="1914"/>
      <c r="K3" s="1643"/>
      <c r="L3" s="1643"/>
      <c r="M3" s="1767"/>
      <c r="N3" s="1643"/>
      <c r="O3" s="1643"/>
      <c r="P3" s="1643"/>
    </row>
    <row r="4" spans="1:16" ht="14.25" customHeight="1">
      <c r="A4" s="1" t="s">
        <v>1531</v>
      </c>
      <c r="J4" s="23"/>
      <c r="K4" s="23"/>
      <c r="M4" s="23" t="s">
        <v>360</v>
      </c>
      <c r="N4" s="23"/>
      <c r="O4" s="23"/>
      <c r="P4" s="23"/>
    </row>
    <row r="5" spans="1:16" s="3" customFormat="1" ht="75" customHeight="1">
      <c r="A5" s="540" t="s">
        <v>0</v>
      </c>
      <c r="B5" s="540" t="s">
        <v>1</v>
      </c>
      <c r="C5" s="944" t="s">
        <v>1534</v>
      </c>
      <c r="D5" s="944" t="s">
        <v>1130</v>
      </c>
      <c r="E5" s="944" t="s">
        <v>1520</v>
      </c>
      <c r="F5" s="540" t="s">
        <v>1695</v>
      </c>
      <c r="G5" s="1284" t="s">
        <v>1702</v>
      </c>
      <c r="H5" s="1576" t="s">
        <v>1828</v>
      </c>
      <c r="I5" s="1641" t="s">
        <v>1842</v>
      </c>
      <c r="J5" s="1641" t="s">
        <v>1861</v>
      </c>
      <c r="K5" s="1641" t="s">
        <v>1862</v>
      </c>
      <c r="L5" s="1641" t="s">
        <v>763</v>
      </c>
      <c r="M5" s="1641" t="s">
        <v>764</v>
      </c>
      <c r="N5" s="1641" t="s">
        <v>1863</v>
      </c>
      <c r="O5" s="1641" t="s">
        <v>763</v>
      </c>
      <c r="P5" s="1641" t="s">
        <v>764</v>
      </c>
    </row>
    <row r="6" spans="1:16" s="2" customFormat="1">
      <c r="A6" s="13">
        <v>1</v>
      </c>
      <c r="B6" s="13">
        <v>2</v>
      </c>
      <c r="C6" s="13">
        <v>3</v>
      </c>
      <c r="D6" s="13">
        <v>4</v>
      </c>
      <c r="E6" s="13">
        <v>3</v>
      </c>
      <c r="F6" s="13">
        <v>4</v>
      </c>
      <c r="G6" s="13">
        <v>5</v>
      </c>
      <c r="H6" s="13">
        <v>6</v>
      </c>
      <c r="I6" s="13">
        <v>7</v>
      </c>
      <c r="J6" s="13">
        <v>8</v>
      </c>
      <c r="K6" s="13">
        <v>9</v>
      </c>
      <c r="L6" s="13">
        <v>10</v>
      </c>
      <c r="M6" s="13">
        <v>11</v>
      </c>
      <c r="N6" s="13">
        <v>12</v>
      </c>
      <c r="O6" s="13">
        <v>13</v>
      </c>
      <c r="P6" s="13">
        <v>14</v>
      </c>
    </row>
    <row r="7" spans="1:16" s="1041" customFormat="1" ht="30" customHeight="1">
      <c r="A7" s="1037" t="s">
        <v>361</v>
      </c>
      <c r="B7" s="1038" t="s">
        <v>362</v>
      </c>
      <c r="C7" s="1039">
        <f t="shared" ref="C7:E7" si="0">C8+SUM(C10:C15)+C20+SUM(C22:C25)+SUM(C56:C61)</f>
        <v>0</v>
      </c>
      <c r="D7" s="1039">
        <f t="shared" si="0"/>
        <v>1185457.9000190001</v>
      </c>
      <c r="E7" s="1039">
        <f t="shared" si="0"/>
        <v>0</v>
      </c>
      <c r="F7" s="1039">
        <v>1327263.1248834338</v>
      </c>
      <c r="G7" s="1039">
        <v>130268.57463419999</v>
      </c>
      <c r="H7" s="1039">
        <v>1500653.8131222262</v>
      </c>
      <c r="I7" s="1039">
        <v>165133</v>
      </c>
      <c r="J7" s="1039">
        <v>1702037.9577005303</v>
      </c>
      <c r="K7" s="1039">
        <v>1787941.0954682138</v>
      </c>
      <c r="L7" s="1039">
        <v>896435.84949828009</v>
      </c>
      <c r="M7" s="1039">
        <v>891506.24596993416</v>
      </c>
      <c r="N7" s="1039">
        <v>1896649.1918022446</v>
      </c>
      <c r="O7" s="1039">
        <v>954301.82491090102</v>
      </c>
      <c r="P7" s="1039">
        <v>942347.36689134373</v>
      </c>
    </row>
    <row r="8" spans="1:16" s="1046" customFormat="1" ht="15" customHeight="1">
      <c r="A8" s="1044"/>
      <c r="B8" s="1045" t="s">
        <v>363</v>
      </c>
      <c r="C8" s="258">
        <f>'4.6_транзит_КТЭЦ с косв.'!C8+'4.6_транзит_котельн.'!C8</f>
        <v>0</v>
      </c>
      <c r="D8" s="258">
        <f>'4.6_транзит_КТЭЦ с косв.'!D8+'4.6_транзит_котельн.'!D8</f>
        <v>33338</v>
      </c>
      <c r="E8" s="258">
        <f>'4.6_транзит_КТЭЦ с косв.'!E8+'4.6_транзит_котельн.'!E8</f>
        <v>0</v>
      </c>
      <c r="F8" s="258">
        <v>34634</v>
      </c>
      <c r="G8" s="258">
        <v>0</v>
      </c>
      <c r="H8" s="258">
        <v>41754</v>
      </c>
      <c r="I8" s="258">
        <v>45851</v>
      </c>
      <c r="J8" s="258">
        <v>52983</v>
      </c>
      <c r="K8" s="258">
        <v>56129.079720000002</v>
      </c>
      <c r="L8" s="258">
        <v>19645.177901999999</v>
      </c>
      <c r="M8" s="258">
        <v>36483.901817999998</v>
      </c>
      <c r="N8" s="258">
        <v>58731.913060959596</v>
      </c>
      <c r="O8" s="258">
        <v>20556.169571335857</v>
      </c>
      <c r="P8" s="258">
        <v>38175.743489623739</v>
      </c>
    </row>
    <row r="9" spans="1:16" s="4" customFormat="1" ht="15" customHeight="1">
      <c r="A9" s="17"/>
      <c r="B9" s="580" t="s">
        <v>1134</v>
      </c>
      <c r="C9" s="751">
        <f>'4.6_транзит_КТЭЦ с косв.'!C9+'4.6_транзит_котельн.'!C9</f>
        <v>0</v>
      </c>
      <c r="D9" s="751">
        <f>'4.6_транзит_КТЭЦ с косв.'!D9+'4.6_транзит_котельн.'!D9</f>
        <v>17340</v>
      </c>
      <c r="E9" s="751">
        <f>'4.6_транзит_КТЭЦ с косв.'!E9+'4.6_транзит_котельн.'!E9</f>
        <v>0</v>
      </c>
      <c r="F9" s="751">
        <v>17516</v>
      </c>
      <c r="G9" s="751">
        <v>0</v>
      </c>
      <c r="H9" s="751">
        <v>23576</v>
      </c>
      <c r="I9" s="751">
        <v>17605</v>
      </c>
      <c r="J9" s="751">
        <v>24737</v>
      </c>
      <c r="K9" s="751">
        <v>24742</v>
      </c>
      <c r="L9" s="751">
        <v>8659.6999999999989</v>
      </c>
      <c r="M9" s="751">
        <v>16082.300000000001</v>
      </c>
      <c r="N9" s="751">
        <v>27421.084751504397</v>
      </c>
      <c r="O9" s="751">
        <v>9597.3796630265388</v>
      </c>
      <c r="P9" s="751">
        <v>17823.705088477858</v>
      </c>
    </row>
    <row r="10" spans="1:16" s="1046" customFormat="1" ht="15" customHeight="1">
      <c r="A10" s="1044"/>
      <c r="B10" s="1045" t="s">
        <v>364</v>
      </c>
      <c r="C10" s="258">
        <f>'4.6_транзит_КТЭЦ с косв.'!C10+'4.6_транзит_котельн.'!C10</f>
        <v>0</v>
      </c>
      <c r="D10" s="258">
        <f>'4.6_транзит_КТЭЦ с косв.'!D10+'4.6_транзит_котельн.'!D10</f>
        <v>0</v>
      </c>
      <c r="E10" s="258">
        <f>'4.6_транзит_КТЭЦ с косв.'!E10+'4.6_транзит_котельн.'!E10</f>
        <v>0</v>
      </c>
      <c r="F10" s="258">
        <v>0</v>
      </c>
      <c r="G10" s="258">
        <v>0</v>
      </c>
      <c r="H10" s="258">
        <v>0</v>
      </c>
      <c r="I10" s="258">
        <v>0</v>
      </c>
      <c r="J10" s="258">
        <v>0</v>
      </c>
      <c r="K10" s="258">
        <v>0</v>
      </c>
      <c r="L10" s="258">
        <v>0</v>
      </c>
      <c r="M10" s="258">
        <v>0</v>
      </c>
      <c r="N10" s="258">
        <v>0</v>
      </c>
      <c r="O10" s="258">
        <v>0</v>
      </c>
      <c r="P10" s="258">
        <v>0</v>
      </c>
    </row>
    <row r="11" spans="1:16" s="1046" customFormat="1" ht="30">
      <c r="A11" s="1044"/>
      <c r="B11" s="1045" t="s">
        <v>365</v>
      </c>
      <c r="C11" s="258">
        <f>'4.6_транзит_КТЭЦ с косв.'!C11+'4.6_транзит_котельн.'!C11</f>
        <v>0</v>
      </c>
      <c r="D11" s="258">
        <f>'4.6_транзит_КТЭЦ с косв.'!D11+'4.6_транзит_котельн.'!D11</f>
        <v>99369.292518999995</v>
      </c>
      <c r="E11" s="258">
        <f>'4.6_транзит_КТЭЦ с косв.'!E11+'4.6_транзит_котельн.'!E11</f>
        <v>0</v>
      </c>
      <c r="F11" s="258">
        <v>106472.69598599999</v>
      </c>
      <c r="G11" s="258">
        <v>119427.15758699999</v>
      </c>
      <c r="H11" s="258">
        <v>117357.63773815012</v>
      </c>
      <c r="I11" s="258">
        <v>0</v>
      </c>
      <c r="J11" s="258">
        <v>128846.03806625999</v>
      </c>
      <c r="K11" s="258">
        <v>140654.65367315599</v>
      </c>
      <c r="L11" s="258">
        <v>79658.487376999998</v>
      </c>
      <c r="M11" s="258">
        <v>60996.166296155985</v>
      </c>
      <c r="N11" s="258">
        <v>153523.8672386829</v>
      </c>
      <c r="O11" s="258">
        <v>87465.019139945973</v>
      </c>
      <c r="P11" s="258">
        <v>66058.84809873694</v>
      </c>
    </row>
    <row r="12" spans="1:16" s="1046" customFormat="1" ht="15" customHeight="1">
      <c r="A12" s="1044"/>
      <c r="B12" s="1045" t="s">
        <v>366</v>
      </c>
      <c r="C12" s="258">
        <f>'4.6_транзит_КТЭЦ с косв.'!C12+'4.6_транзит_котельн.'!C12</f>
        <v>0</v>
      </c>
      <c r="D12" s="258">
        <f>'4.6_транзит_КТЭЦ с косв.'!D12+'4.6_транзит_котельн.'!D12</f>
        <v>8120</v>
      </c>
      <c r="E12" s="258">
        <f>'4.6_транзит_КТЭЦ с косв.'!E12+'4.6_транзит_котельн.'!E12</f>
        <v>0</v>
      </c>
      <c r="F12" s="258">
        <v>9289.7906414337322</v>
      </c>
      <c r="G12" s="258">
        <v>10841.417047200001</v>
      </c>
      <c r="H12" s="258">
        <v>15572.225704075894</v>
      </c>
      <c r="I12" s="258">
        <v>0</v>
      </c>
      <c r="J12" s="258">
        <v>13887.788914270452</v>
      </c>
      <c r="K12" s="258">
        <v>14417.776497618001</v>
      </c>
      <c r="L12" s="258">
        <v>7666.3894220000002</v>
      </c>
      <c r="M12" s="258">
        <v>6751.3870756180004</v>
      </c>
      <c r="N12" s="258">
        <v>15419.230353422812</v>
      </c>
      <c r="O12" s="258">
        <v>8364.0308594019989</v>
      </c>
      <c r="P12" s="258">
        <v>7055.1994940208097</v>
      </c>
    </row>
    <row r="13" spans="1:16" s="1046" customFormat="1" ht="15" customHeight="1">
      <c r="A13" s="1044"/>
      <c r="B13" s="1045" t="s">
        <v>367</v>
      </c>
      <c r="C13" s="258">
        <f>'4.6_транзит_КТЭЦ с косв.'!C13+'4.6_транзит_котельн.'!C13</f>
        <v>0</v>
      </c>
      <c r="D13" s="258">
        <f>'4.6_транзит_КТЭЦ с косв.'!D13+'4.6_транзит_котельн.'!D13</f>
        <v>0</v>
      </c>
      <c r="E13" s="258">
        <f>'4.6_транзит_КТЭЦ с косв.'!E13+'4.6_транзит_котельн.'!E13</f>
        <v>0</v>
      </c>
      <c r="F13" s="258">
        <v>0</v>
      </c>
      <c r="G13" s="258">
        <v>0</v>
      </c>
      <c r="H13" s="258">
        <v>0</v>
      </c>
      <c r="I13" s="258">
        <v>0</v>
      </c>
      <c r="J13" s="258">
        <v>0</v>
      </c>
      <c r="K13" s="258">
        <v>0</v>
      </c>
      <c r="L13" s="258">
        <v>0</v>
      </c>
      <c r="M13" s="258">
        <v>0</v>
      </c>
      <c r="N13" s="258">
        <v>0</v>
      </c>
      <c r="O13" s="258">
        <v>0</v>
      </c>
      <c r="P13" s="258">
        <v>0</v>
      </c>
    </row>
    <row r="14" spans="1:16" s="1046" customFormat="1" ht="30">
      <c r="A14" s="1044"/>
      <c r="B14" s="1045" t="s">
        <v>368</v>
      </c>
      <c r="C14" s="258">
        <f>'4.6_транзит_КТЭЦ с косв.'!C14+'4.6_транзит_котельн.'!C14</f>
        <v>0</v>
      </c>
      <c r="D14" s="258">
        <f>'4.6_транзит_КТЭЦ с косв.'!D14+'4.6_транзит_котельн.'!D14</f>
        <v>21815</v>
      </c>
      <c r="E14" s="258">
        <f>'4.6_транзит_КТЭЦ с косв.'!E14+'4.6_транзит_котельн.'!E14</f>
        <v>0</v>
      </c>
      <c r="F14" s="258">
        <v>31271</v>
      </c>
      <c r="G14" s="258">
        <v>0</v>
      </c>
      <c r="H14" s="258">
        <v>41282</v>
      </c>
      <c r="I14" s="258">
        <v>0</v>
      </c>
      <c r="J14" s="258">
        <v>73146</v>
      </c>
      <c r="K14" s="258">
        <v>66312</v>
      </c>
      <c r="L14" s="258">
        <v>32965</v>
      </c>
      <c r="M14" s="258">
        <v>33347</v>
      </c>
      <c r="N14" s="258">
        <v>68306</v>
      </c>
      <c r="O14" s="258">
        <v>33990</v>
      </c>
      <c r="P14" s="258">
        <v>34316</v>
      </c>
    </row>
    <row r="15" spans="1:16" s="1046" customFormat="1" ht="15" customHeight="1">
      <c r="A15" s="1044"/>
      <c r="B15" s="1045" t="s">
        <v>1135</v>
      </c>
      <c r="C15" s="258">
        <f>C16+C18+C19</f>
        <v>0</v>
      </c>
      <c r="D15" s="258">
        <f t="shared" ref="D15:E15" si="1">D16+D18+D19</f>
        <v>540581</v>
      </c>
      <c r="E15" s="258">
        <f t="shared" si="1"/>
        <v>0</v>
      </c>
      <c r="F15" s="258">
        <v>632909</v>
      </c>
      <c r="G15" s="258">
        <v>0</v>
      </c>
      <c r="H15" s="258">
        <v>704513.07899000007</v>
      </c>
      <c r="I15" s="258">
        <v>0</v>
      </c>
      <c r="J15" s="258">
        <v>780338.73071999999</v>
      </c>
      <c r="K15" s="258">
        <v>867377.95957743993</v>
      </c>
      <c r="L15" s="258">
        <v>416891.53345727996</v>
      </c>
      <c r="M15" s="258">
        <v>450487.42612016003</v>
      </c>
      <c r="N15" s="258">
        <v>918324.62257123995</v>
      </c>
      <c r="O15" s="258">
        <v>444890.27591339994</v>
      </c>
      <c r="P15" s="258">
        <v>473434.34665783995</v>
      </c>
    </row>
    <row r="16" spans="1:16" s="341" customFormat="1" ht="15" customHeight="1">
      <c r="A16" s="339"/>
      <c r="B16" s="581" t="s">
        <v>1136</v>
      </c>
      <c r="C16" s="241">
        <f>'4.6_транзит_КТЭЦ с косв.'!C16+'4.6_транзит_котельн.'!C16</f>
        <v>0</v>
      </c>
      <c r="D16" s="241">
        <f>'4.6_транзит_КТЭЦ с косв.'!D16+'4.6_транзит_котельн.'!D16</f>
        <v>526281</v>
      </c>
      <c r="E16" s="241">
        <f>'4.6_транзит_КТЭЦ с косв.'!E16+'4.6_транзит_котельн.'!E16</f>
        <v>0</v>
      </c>
      <c r="F16" s="241">
        <v>616934</v>
      </c>
      <c r="G16" s="241">
        <v>0</v>
      </c>
      <c r="H16" s="241">
        <v>686002.07899000007</v>
      </c>
      <c r="I16" s="241">
        <v>0</v>
      </c>
      <c r="J16" s="241">
        <v>759236.73071999999</v>
      </c>
      <c r="K16" s="241">
        <v>844087.95957743993</v>
      </c>
      <c r="L16" s="241">
        <v>405246.03345727996</v>
      </c>
      <c r="M16" s="241">
        <v>438841.92612016003</v>
      </c>
      <c r="N16" s="241">
        <v>893922.62257123995</v>
      </c>
      <c r="O16" s="241">
        <v>432689.27591339994</v>
      </c>
      <c r="P16" s="241">
        <v>461233.34665783995</v>
      </c>
    </row>
    <row r="17" spans="1:16" s="341" customFormat="1" ht="15" customHeight="1">
      <c r="A17" s="339"/>
      <c r="B17" s="580" t="s">
        <v>1134</v>
      </c>
      <c r="C17" s="751">
        <f>'4.6_транзит_КТЭЦ с косв.'!C17+'4.6_транзит_котельн.'!C17</f>
        <v>0</v>
      </c>
      <c r="D17" s="751">
        <f>'4.6_транзит_КТЭЦ с косв.'!D17+'4.6_транзит_котельн.'!D17</f>
        <v>30051</v>
      </c>
      <c r="E17" s="751">
        <f>'4.6_транзит_КТЭЦ с косв.'!E17+'4.6_транзит_котельн.'!E17</f>
        <v>0</v>
      </c>
      <c r="F17" s="751">
        <v>33567</v>
      </c>
      <c r="G17" s="751">
        <v>0</v>
      </c>
      <c r="H17" s="751">
        <v>35479</v>
      </c>
      <c r="I17" s="751">
        <v>0</v>
      </c>
      <c r="J17" s="751">
        <v>40844</v>
      </c>
      <c r="K17" s="751">
        <v>47118</v>
      </c>
      <c r="L17" s="751">
        <v>22628</v>
      </c>
      <c r="M17" s="751">
        <v>24490</v>
      </c>
      <c r="N17" s="751">
        <v>49868</v>
      </c>
      <c r="O17" s="751">
        <v>23256</v>
      </c>
      <c r="P17" s="751">
        <v>26612</v>
      </c>
    </row>
    <row r="18" spans="1:16" s="341" customFormat="1" ht="15" customHeight="1">
      <c r="A18" s="339"/>
      <c r="B18" s="581" t="s">
        <v>1137</v>
      </c>
      <c r="C18" s="241">
        <f>'4.6_транзит_КТЭЦ с косв.'!C18+'4.6_транзит_котельн.'!C18</f>
        <v>0</v>
      </c>
      <c r="D18" s="241">
        <f>'4.6_транзит_КТЭЦ с косв.'!D18+'4.6_транзит_котельн.'!D18</f>
        <v>9525</v>
      </c>
      <c r="E18" s="241">
        <f>'4.6_транзит_КТЭЦ с косв.'!E18+'4.6_транзит_котельн.'!E18</f>
        <v>0</v>
      </c>
      <c r="F18" s="241">
        <v>11715</v>
      </c>
      <c r="G18" s="241">
        <v>0</v>
      </c>
      <c r="H18" s="241">
        <v>13540</v>
      </c>
      <c r="I18" s="241">
        <v>0</v>
      </c>
      <c r="J18" s="241">
        <v>16169</v>
      </c>
      <c r="K18" s="241">
        <v>18757</v>
      </c>
      <c r="L18" s="241">
        <v>9379</v>
      </c>
      <c r="M18" s="241">
        <v>9379</v>
      </c>
      <c r="N18" s="241">
        <v>19601</v>
      </c>
      <c r="O18" s="241">
        <v>9800.5</v>
      </c>
      <c r="P18" s="241">
        <v>9800.5</v>
      </c>
    </row>
    <row r="19" spans="1:16" s="341" customFormat="1" ht="15" customHeight="1">
      <c r="A19" s="339"/>
      <c r="B19" s="581" t="s">
        <v>1138</v>
      </c>
      <c r="C19" s="241">
        <f>'4.6_транзит_КТЭЦ с косв.'!C19+'4.6_транзит_котельн.'!C19</f>
        <v>0</v>
      </c>
      <c r="D19" s="241">
        <f>'4.6_транзит_КТЭЦ с косв.'!D19+'4.6_транзит_котельн.'!D19</f>
        <v>4775</v>
      </c>
      <c r="E19" s="241">
        <f>'4.6_транзит_КТЭЦ с косв.'!E19+'4.6_транзит_котельн.'!E19</f>
        <v>0</v>
      </c>
      <c r="F19" s="241">
        <v>4260</v>
      </c>
      <c r="G19" s="241">
        <v>0</v>
      </c>
      <c r="H19" s="241">
        <v>4971</v>
      </c>
      <c r="I19" s="241">
        <v>0</v>
      </c>
      <c r="J19" s="241">
        <v>4933</v>
      </c>
      <c r="K19" s="241">
        <v>4533</v>
      </c>
      <c r="L19" s="241">
        <v>2266.5</v>
      </c>
      <c r="M19" s="241">
        <v>2266.5</v>
      </c>
      <c r="N19" s="241">
        <v>4801</v>
      </c>
      <c r="O19" s="241">
        <v>2400.5</v>
      </c>
      <c r="P19" s="241">
        <v>2400.5</v>
      </c>
    </row>
    <row r="20" spans="1:16" s="1046" customFormat="1">
      <c r="A20" s="1044"/>
      <c r="B20" s="1045" t="s">
        <v>369</v>
      </c>
      <c r="C20" s="258">
        <f>'4.6_транзит_КТЭЦ с косв.'!C20+'4.6_транзит_котельн.'!C20</f>
        <v>0</v>
      </c>
      <c r="D20" s="258">
        <f>'4.6_транзит_КТЭЦ с косв.'!D20+'4.6_транзит_котельн.'!D20</f>
        <v>146485</v>
      </c>
      <c r="E20" s="258">
        <f>'4.6_транзит_КТЭЦ с косв.'!E20+'4.6_транзит_котельн.'!E20</f>
        <v>0</v>
      </c>
      <c r="F20" s="258">
        <v>170866</v>
      </c>
      <c r="G20" s="258">
        <v>0</v>
      </c>
      <c r="H20" s="258">
        <v>193263</v>
      </c>
      <c r="I20" s="258">
        <v>0</v>
      </c>
      <c r="J20" s="258">
        <v>213133</v>
      </c>
      <c r="K20" s="258">
        <v>237028</v>
      </c>
      <c r="L20" s="258">
        <v>133196</v>
      </c>
      <c r="M20" s="258">
        <v>103832</v>
      </c>
      <c r="N20" s="258">
        <v>252873</v>
      </c>
      <c r="O20" s="258">
        <v>141050</v>
      </c>
      <c r="P20" s="258">
        <v>111823</v>
      </c>
    </row>
    <row r="21" spans="1:16" s="341" customFormat="1">
      <c r="A21" s="339"/>
      <c r="B21" s="580" t="s">
        <v>1134</v>
      </c>
      <c r="C21" s="751">
        <f>'4.6_транзит_КТЭЦ с косв.'!C21+'4.6_транзит_котельн.'!C21</f>
        <v>0</v>
      </c>
      <c r="D21" s="751">
        <f>'4.6_транзит_КТЭЦ с косв.'!D21+'4.6_транзит_котельн.'!D21</f>
        <v>9013</v>
      </c>
      <c r="E21" s="751">
        <f>'4.6_транзит_КТЭЦ с косв.'!E21+'4.6_транзит_котельн.'!E21</f>
        <v>0</v>
      </c>
      <c r="F21" s="751">
        <v>10192</v>
      </c>
      <c r="G21" s="751">
        <v>0</v>
      </c>
      <c r="H21" s="751">
        <v>10934</v>
      </c>
      <c r="I21" s="751">
        <v>0</v>
      </c>
      <c r="J21" s="751">
        <v>12701</v>
      </c>
      <c r="K21" s="751">
        <v>14229</v>
      </c>
      <c r="L21" s="751">
        <v>6278.5946030382438</v>
      </c>
      <c r="M21" s="751">
        <v>7950.4053969617562</v>
      </c>
      <c r="N21" s="751">
        <v>14587.263593428483</v>
      </c>
      <c r="O21" s="751">
        <v>6460.9480924186355</v>
      </c>
      <c r="P21" s="751">
        <v>8126.3155010098471</v>
      </c>
    </row>
    <row r="22" spans="1:16" s="1046" customFormat="1" ht="30" customHeight="1">
      <c r="A22" s="1044"/>
      <c r="B22" s="1045" t="s">
        <v>370</v>
      </c>
      <c r="C22" s="258">
        <f>'4.6_транзит_КТЭЦ с косв.'!C22+'4.6_транзит_котельн.'!C22</f>
        <v>0</v>
      </c>
      <c r="D22" s="258">
        <f>'4.6_транзит_КТЭЦ с косв.'!D22+'4.6_транзит_котельн.'!D22</f>
        <v>44759</v>
      </c>
      <c r="E22" s="258">
        <f>'4.6_транзит_КТЭЦ с косв.'!E22+'4.6_транзит_котельн.'!E22</f>
        <v>0</v>
      </c>
      <c r="F22" s="258">
        <v>27815</v>
      </c>
      <c r="G22" s="258">
        <v>0</v>
      </c>
      <c r="H22" s="258">
        <v>93101</v>
      </c>
      <c r="I22" s="258">
        <v>61232</v>
      </c>
      <c r="J22" s="258">
        <v>120288</v>
      </c>
      <c r="K22" s="258">
        <v>58031</v>
      </c>
      <c r="L22" s="258">
        <v>21665.35</v>
      </c>
      <c r="M22" s="258">
        <v>36365.65</v>
      </c>
      <c r="N22" s="258">
        <v>59958.551385279592</v>
      </c>
      <c r="O22" s="258">
        <v>22358.364579847857</v>
      </c>
      <c r="P22" s="258">
        <v>37600.186805431731</v>
      </c>
    </row>
    <row r="23" spans="1:16" s="1046" customFormat="1" ht="60">
      <c r="A23" s="1044"/>
      <c r="B23" s="1045" t="s">
        <v>1139</v>
      </c>
      <c r="C23" s="258">
        <f>'4.6_транзит_КТЭЦ с косв.'!C23+'4.6_транзит_котельн.'!C23</f>
        <v>0</v>
      </c>
      <c r="D23" s="258">
        <f>'4.6_транзит_КТЭЦ с косв.'!D23+'4.6_транзит_котельн.'!D23</f>
        <v>99583</v>
      </c>
      <c r="E23" s="258">
        <f>'4.6_транзит_КТЭЦ с косв.'!E23+'4.6_транзит_котельн.'!E23</f>
        <v>0</v>
      </c>
      <c r="F23" s="258">
        <v>96931</v>
      </c>
      <c r="G23" s="258">
        <v>0</v>
      </c>
      <c r="H23" s="258">
        <v>96860</v>
      </c>
      <c r="I23" s="258">
        <v>0</v>
      </c>
      <c r="J23" s="258">
        <v>112875</v>
      </c>
      <c r="K23" s="258">
        <v>126107</v>
      </c>
      <c r="L23" s="258">
        <v>76915</v>
      </c>
      <c r="M23" s="258">
        <v>49192</v>
      </c>
      <c r="N23" s="258">
        <v>133119</v>
      </c>
      <c r="O23" s="258">
        <v>81429</v>
      </c>
      <c r="P23" s="258">
        <v>51690</v>
      </c>
    </row>
    <row r="24" spans="1:16" s="1046" customFormat="1" ht="60">
      <c r="A24" s="1044"/>
      <c r="B24" s="1045" t="s">
        <v>372</v>
      </c>
      <c r="C24" s="258">
        <f>'4.6_транзит_КТЭЦ с косв.'!C24+'4.6_транзит_котельн.'!C24</f>
        <v>0</v>
      </c>
      <c r="D24" s="258">
        <f>'4.6_транзит_КТЭЦ с косв.'!D24+'4.6_транзит_котельн.'!D24</f>
        <v>23654</v>
      </c>
      <c r="E24" s="258">
        <f>'4.6_транзит_КТЭЦ с косв.'!E24+'4.6_транзит_котельн.'!E24</f>
        <v>0</v>
      </c>
      <c r="F24" s="258">
        <v>23572</v>
      </c>
      <c r="G24" s="258">
        <v>0</v>
      </c>
      <c r="H24" s="258">
        <v>21988</v>
      </c>
      <c r="I24" s="258">
        <v>30170</v>
      </c>
      <c r="J24" s="258">
        <v>30170</v>
      </c>
      <c r="K24" s="258">
        <v>31899.344400000002</v>
      </c>
      <c r="L24" s="258">
        <v>11164.770540000001</v>
      </c>
      <c r="M24" s="258">
        <v>20734.573860000004</v>
      </c>
      <c r="N24" s="258">
        <v>33443.591662403996</v>
      </c>
      <c r="O24" s="258">
        <v>11705.257081841397</v>
      </c>
      <c r="P24" s="258">
        <v>21738.334580562601</v>
      </c>
    </row>
    <row r="25" spans="1:16" s="1046" customFormat="1" ht="90">
      <c r="A25" s="1044"/>
      <c r="B25" s="1045" t="s">
        <v>373</v>
      </c>
      <c r="C25" s="258">
        <f>C27+C28+C29+C55</f>
        <v>0</v>
      </c>
      <c r="D25" s="258">
        <f t="shared" ref="D25" si="2">D27+D28+D29+D55</f>
        <v>29454.607499999998</v>
      </c>
      <c r="E25" s="258">
        <f>E27+E28+E29</f>
        <v>0</v>
      </c>
      <c r="F25" s="258">
        <v>31428.638255999998</v>
      </c>
      <c r="G25" s="258">
        <v>0</v>
      </c>
      <c r="H25" s="258">
        <v>35824.870690000003</v>
      </c>
      <c r="I25" s="258">
        <v>24737</v>
      </c>
      <c r="J25" s="258">
        <v>24737</v>
      </c>
      <c r="K25" s="258">
        <v>26154.92484</v>
      </c>
      <c r="L25" s="258">
        <v>13077.46242</v>
      </c>
      <c r="M25" s="258">
        <v>13077.46242</v>
      </c>
      <c r="N25" s="258">
        <v>27421.084751504397</v>
      </c>
      <c r="O25" s="258">
        <v>13710.542375752198</v>
      </c>
      <c r="P25" s="258">
        <v>13710.542375752198</v>
      </c>
    </row>
    <row r="26" spans="1:16" s="4" customFormat="1">
      <c r="A26" s="17"/>
      <c r="B26" s="51" t="s">
        <v>70</v>
      </c>
      <c r="C26" s="241"/>
      <c r="D26" s="241"/>
      <c r="E26" s="241"/>
      <c r="F26" s="241"/>
      <c r="G26" s="241"/>
      <c r="H26" s="241"/>
      <c r="I26" s="241"/>
      <c r="J26" s="241"/>
      <c r="K26" s="241"/>
      <c r="L26" s="241"/>
      <c r="M26" s="241"/>
      <c r="N26" s="241"/>
      <c r="O26" s="241"/>
      <c r="P26" s="241"/>
    </row>
    <row r="27" spans="1:16" s="4" customFormat="1">
      <c r="A27" s="17"/>
      <c r="B27" s="581" t="s">
        <v>1275</v>
      </c>
      <c r="C27" s="766">
        <f>'4.6_транзит_КТЭЦ с косв.'!C27+'4.6_транзит_котельн.'!C27</f>
        <v>0</v>
      </c>
      <c r="D27" s="766">
        <f>'4.6_транзит_КТЭЦ с косв.'!D27+'4.6_транзит_котельн.'!D27</f>
        <v>1314</v>
      </c>
      <c r="E27" s="766">
        <f>'4.6_транзит_КТЭЦ с косв.'!E27+'4.6_транзит_котельн.'!E27</f>
        <v>0</v>
      </c>
      <c r="F27" s="766">
        <v>1057</v>
      </c>
      <c r="G27" s="766">
        <v>0</v>
      </c>
      <c r="H27" s="766">
        <v>1061</v>
      </c>
      <c r="I27" s="766">
        <v>0</v>
      </c>
      <c r="J27" s="766">
        <v>0</v>
      </c>
      <c r="K27" s="766">
        <v>0</v>
      </c>
      <c r="L27" s="766">
        <v>0</v>
      </c>
      <c r="M27" s="766">
        <v>0</v>
      </c>
      <c r="N27" s="766">
        <v>0</v>
      </c>
      <c r="O27" s="766">
        <v>0</v>
      </c>
      <c r="P27" s="766">
        <v>0</v>
      </c>
    </row>
    <row r="28" spans="1:16" s="4" customFormat="1">
      <c r="A28" s="17"/>
      <c r="B28" s="581" t="s">
        <v>1276</v>
      </c>
      <c r="C28" s="766">
        <f>'4.6_транзит_КТЭЦ с косв.'!C28+'4.6_транзит_котельн.'!C28</f>
        <v>0</v>
      </c>
      <c r="D28" s="766">
        <f>'4.6_транзит_КТЭЦ с косв.'!D28+'4.6_транзит_котельн.'!D28</f>
        <v>838</v>
      </c>
      <c r="E28" s="766">
        <f>'4.6_транзит_КТЭЦ с косв.'!E28+'4.6_транзит_котельн.'!E28</f>
        <v>0</v>
      </c>
      <c r="F28" s="766">
        <v>1077</v>
      </c>
      <c r="G28" s="766">
        <v>0</v>
      </c>
      <c r="H28" s="766">
        <v>555</v>
      </c>
      <c r="I28" s="766">
        <v>513</v>
      </c>
      <c r="J28" s="766">
        <v>513</v>
      </c>
      <c r="K28" s="766">
        <v>542.40516000000002</v>
      </c>
      <c r="L28" s="766">
        <v>271.20258000000001</v>
      </c>
      <c r="M28" s="766">
        <v>271.20258000000001</v>
      </c>
      <c r="N28" s="766">
        <v>568.66299379559996</v>
      </c>
      <c r="O28" s="766">
        <v>284.33149689779998</v>
      </c>
      <c r="P28" s="766">
        <v>284.33149689779998</v>
      </c>
    </row>
    <row r="29" spans="1:16" s="4" customFormat="1">
      <c r="A29" s="17"/>
      <c r="B29" s="581" t="s">
        <v>1559</v>
      </c>
      <c r="C29" s="766">
        <f>'4.6_транзит_КТЭЦ с косв.'!C29+'4.6_транзит_котельн.'!C29</f>
        <v>0</v>
      </c>
      <c r="D29" s="981">
        <f>'4.6_транзит_КТЭЦ с косв.'!D29+'4.6_транзит_котельн.'!D29</f>
        <v>27302.607499999998</v>
      </c>
      <c r="E29" s="766">
        <f>'4.6_транзит_КТЭЦ с косв.'!E29+'4.6_транзит_котельн.'!E29</f>
        <v>0</v>
      </c>
      <c r="F29" s="766">
        <v>29294.638255999998</v>
      </c>
      <c r="G29" s="766">
        <v>0</v>
      </c>
      <c r="H29" s="766">
        <v>34208.870690000003</v>
      </c>
      <c r="I29" s="766">
        <v>24224</v>
      </c>
      <c r="J29" s="766">
        <v>24224</v>
      </c>
      <c r="K29" s="766">
        <v>25612.519680000001</v>
      </c>
      <c r="L29" s="766">
        <v>12806.259840000001</v>
      </c>
      <c r="M29" s="766">
        <v>12806.259840000001</v>
      </c>
      <c r="N29" s="766">
        <v>26852.421757708798</v>
      </c>
      <c r="O29" s="766">
        <v>13426.210878854399</v>
      </c>
      <c r="P29" s="766">
        <v>13426.210878854399</v>
      </c>
    </row>
    <row r="30" spans="1:16" s="4" customFormat="1" hidden="1" outlineLevel="1">
      <c r="A30" s="737" t="s">
        <v>89</v>
      </c>
      <c r="B30" s="738" t="s">
        <v>1244</v>
      </c>
      <c r="C30" s="753">
        <f>'4.6_транзит_КТЭЦ с косв.'!C30+'4.6_транзит_котельн.'!C30</f>
        <v>0</v>
      </c>
      <c r="D30" s="753">
        <f>'4.6_транзит_КТЭЦ с косв.'!D30+'4.6_транзит_котельн.'!D30</f>
        <v>2991</v>
      </c>
      <c r="E30" s="753">
        <f>'4.6_транзит_КТЭЦ с косв.'!E30+'4.6_транзит_котельн.'!E30</f>
        <v>0</v>
      </c>
      <c r="F30" s="753">
        <v>2586</v>
      </c>
      <c r="G30" s="753">
        <v>0</v>
      </c>
      <c r="H30" s="753">
        <v>2895</v>
      </c>
      <c r="I30" s="753">
        <v>0</v>
      </c>
      <c r="J30" s="753">
        <v>0</v>
      </c>
      <c r="K30" s="753">
        <v>0</v>
      </c>
      <c r="L30" s="753">
        <v>0</v>
      </c>
      <c r="M30" s="753">
        <v>0</v>
      </c>
      <c r="N30" s="753">
        <v>0</v>
      </c>
      <c r="O30" s="753">
        <v>0</v>
      </c>
      <c r="P30" s="753">
        <v>0</v>
      </c>
    </row>
    <row r="31" spans="1:16" s="341" customFormat="1" hidden="1" outlineLevel="1">
      <c r="A31" s="760" t="s">
        <v>91</v>
      </c>
      <c r="B31" s="761" t="s">
        <v>1245</v>
      </c>
      <c r="C31" s="746">
        <f t="shared" ref="C31" si="3">SUM(C32:C43)+C45</f>
        <v>0</v>
      </c>
      <c r="D31" s="746">
        <f t="shared" ref="D31" si="4">SUM(D32:D43)+D45</f>
        <v>24311.607500000002</v>
      </c>
      <c r="E31" s="746">
        <f>SUM(E32:E45)</f>
        <v>0</v>
      </c>
      <c r="F31" s="746">
        <v>26708.638256000002</v>
      </c>
      <c r="G31" s="746">
        <v>0</v>
      </c>
      <c r="H31" s="746">
        <v>31313.870690000003</v>
      </c>
      <c r="I31" s="746">
        <v>0</v>
      </c>
      <c r="J31" s="746">
        <v>0</v>
      </c>
      <c r="K31" s="746">
        <v>0</v>
      </c>
      <c r="L31" s="746">
        <v>0</v>
      </c>
      <c r="M31" s="746">
        <v>0</v>
      </c>
      <c r="N31" s="746">
        <v>0</v>
      </c>
      <c r="O31" s="746">
        <v>0</v>
      </c>
      <c r="P31" s="746">
        <v>0</v>
      </c>
    </row>
    <row r="32" spans="1:16" s="4" customFormat="1" ht="25.5" hidden="1" outlineLevel="1">
      <c r="A32" s="739" t="s">
        <v>1044</v>
      </c>
      <c r="B32" s="740" t="s">
        <v>1247</v>
      </c>
      <c r="C32" s="753">
        <f>'4.6_транзит_КТЭЦ с косв.'!C32+'4.6_транзит_котельн.'!C32</f>
        <v>0</v>
      </c>
      <c r="D32" s="753">
        <f>'4.6_транзит_КТЭЦ с косв.'!D32+'4.6_транзит_котельн.'!D32</f>
        <v>2009.9337</v>
      </c>
      <c r="E32" s="753">
        <f>'4.6_транзит_КТЭЦ с косв.'!E32+'4.6_транзит_котельн.'!E32</f>
        <v>0</v>
      </c>
      <c r="F32" s="753">
        <v>1693.1579400000001</v>
      </c>
      <c r="G32" s="753">
        <v>0</v>
      </c>
      <c r="H32" s="753">
        <v>1439.42859</v>
      </c>
      <c r="I32" s="753">
        <v>0</v>
      </c>
      <c r="J32" s="753">
        <v>0</v>
      </c>
      <c r="K32" s="753">
        <v>0</v>
      </c>
      <c r="L32" s="753">
        <v>0</v>
      </c>
      <c r="M32" s="753">
        <v>0</v>
      </c>
      <c r="N32" s="753">
        <v>0</v>
      </c>
      <c r="O32" s="753">
        <v>0</v>
      </c>
      <c r="P32" s="753">
        <v>0</v>
      </c>
    </row>
    <row r="33" spans="1:16" s="4" customFormat="1" ht="25.5" hidden="1" outlineLevel="1">
      <c r="A33" s="739" t="s">
        <v>1043</v>
      </c>
      <c r="B33" s="740" t="s">
        <v>1249</v>
      </c>
      <c r="C33" s="753">
        <f>'4.6_транзит_КТЭЦ с косв.'!C33+'4.6_транзит_котельн.'!C33</f>
        <v>0</v>
      </c>
      <c r="D33" s="753">
        <f>'4.6_транзит_КТЭЦ с косв.'!D33+'4.6_транзит_котельн.'!D33</f>
        <v>24.618299999999998</v>
      </c>
      <c r="E33" s="753">
        <f>'4.6_транзит_КТЭЦ с косв.'!E33+'4.6_транзит_котельн.'!E33</f>
        <v>0</v>
      </c>
      <c r="F33" s="753">
        <v>0.96028800000000003</v>
      </c>
      <c r="G33" s="753">
        <v>0</v>
      </c>
      <c r="H33" s="753">
        <v>0</v>
      </c>
      <c r="I33" s="753">
        <v>0</v>
      </c>
      <c r="J33" s="753">
        <v>0</v>
      </c>
      <c r="K33" s="753">
        <v>0</v>
      </c>
      <c r="L33" s="753">
        <v>0</v>
      </c>
      <c r="M33" s="753">
        <v>0</v>
      </c>
      <c r="N33" s="753">
        <v>0</v>
      </c>
      <c r="O33" s="753">
        <v>0</v>
      </c>
      <c r="P33" s="753">
        <v>0</v>
      </c>
    </row>
    <row r="34" spans="1:16" s="4" customFormat="1" hidden="1" outlineLevel="1">
      <c r="A34" s="741" t="s">
        <v>1540</v>
      </c>
      <c r="B34" s="740" t="s">
        <v>1250</v>
      </c>
      <c r="C34" s="753">
        <f>'4.6_транзит_КТЭЦ с косв.'!C34+'4.6_транзит_котельн.'!C34</f>
        <v>0</v>
      </c>
      <c r="D34" s="753">
        <f>'4.6_транзит_КТЭЦ с косв.'!D34+'4.6_транзит_котельн.'!D34</f>
        <v>455.42920000000004</v>
      </c>
      <c r="E34" s="753">
        <f>'4.6_транзит_КТЭЦ с косв.'!E34+'4.6_транзит_котельн.'!E34</f>
        <v>0</v>
      </c>
      <c r="F34" s="753">
        <v>386.89585199999999</v>
      </c>
      <c r="G34" s="753">
        <v>0</v>
      </c>
      <c r="H34" s="753">
        <v>450.14406000000002</v>
      </c>
      <c r="I34" s="753">
        <v>0</v>
      </c>
      <c r="J34" s="753">
        <v>0</v>
      </c>
      <c r="K34" s="753">
        <v>0</v>
      </c>
      <c r="L34" s="753">
        <v>0</v>
      </c>
      <c r="M34" s="753">
        <v>0</v>
      </c>
      <c r="N34" s="753">
        <v>0</v>
      </c>
      <c r="O34" s="753">
        <v>0</v>
      </c>
      <c r="P34" s="753">
        <v>0</v>
      </c>
    </row>
    <row r="35" spans="1:16" s="4" customFormat="1" ht="15" hidden="1" customHeight="1" outlineLevel="1">
      <c r="A35" s="739" t="s">
        <v>1541</v>
      </c>
      <c r="B35" s="740" t="s">
        <v>1251</v>
      </c>
      <c r="C35" s="753">
        <f>'4.6_транзит_КТЭЦ с косв.'!C35+'4.6_транзит_котельн.'!C35</f>
        <v>0</v>
      </c>
      <c r="D35" s="753">
        <f>'4.6_транзит_КТЭЦ с косв.'!D35+'4.6_транзит_котельн.'!D35</f>
        <v>1362.1215999999999</v>
      </c>
      <c r="E35" s="753">
        <f>'4.6_транзит_КТЭЦ с косв.'!E35+'4.6_транзит_котельн.'!E35</f>
        <v>0</v>
      </c>
      <c r="F35" s="753">
        <v>1381.0023639999999</v>
      </c>
      <c r="G35" s="753">
        <v>0</v>
      </c>
      <c r="H35" s="753">
        <v>958.58675000000017</v>
      </c>
      <c r="I35" s="753">
        <v>0</v>
      </c>
      <c r="J35" s="753">
        <v>0</v>
      </c>
      <c r="K35" s="753">
        <v>0</v>
      </c>
      <c r="L35" s="753">
        <v>0</v>
      </c>
      <c r="M35" s="753">
        <v>0</v>
      </c>
      <c r="N35" s="753">
        <v>0</v>
      </c>
      <c r="O35" s="753">
        <v>0</v>
      </c>
      <c r="P35" s="753">
        <v>0</v>
      </c>
    </row>
    <row r="36" spans="1:16" s="4" customFormat="1" hidden="1" outlineLevel="1">
      <c r="A36" s="739" t="s">
        <v>1542</v>
      </c>
      <c r="B36" s="740" t="s">
        <v>1252</v>
      </c>
      <c r="C36" s="753">
        <f>'4.6_транзит_КТЭЦ с косв.'!C36+'4.6_транзит_котельн.'!C36</f>
        <v>0</v>
      </c>
      <c r="D36" s="753">
        <f>'4.6_транзит_КТЭЦ с косв.'!D36+'4.6_транзит_котельн.'!D36</f>
        <v>6291.101200000001</v>
      </c>
      <c r="E36" s="753">
        <f>'4.6_транзит_КТЭЦ с косв.'!E36+'4.6_транзит_котельн.'!E36</f>
        <v>0</v>
      </c>
      <c r="F36" s="753">
        <v>4618.7205680000006</v>
      </c>
      <c r="G36" s="753">
        <v>0</v>
      </c>
      <c r="H36" s="753">
        <v>5639.3519900000001</v>
      </c>
      <c r="I36" s="753">
        <v>0</v>
      </c>
      <c r="J36" s="753">
        <v>0</v>
      </c>
      <c r="K36" s="753">
        <v>0</v>
      </c>
      <c r="L36" s="753">
        <v>0</v>
      </c>
      <c r="M36" s="753">
        <v>0</v>
      </c>
      <c r="N36" s="753">
        <v>0</v>
      </c>
      <c r="O36" s="753">
        <v>0</v>
      </c>
      <c r="P36" s="753">
        <v>0</v>
      </c>
    </row>
    <row r="37" spans="1:16" s="4" customFormat="1" hidden="1" outlineLevel="1">
      <c r="A37" s="739" t="s">
        <v>1543</v>
      </c>
      <c r="B37" s="740" t="s">
        <v>1253</v>
      </c>
      <c r="C37" s="753">
        <f>'4.6_транзит_КТЭЦ с косв.'!C37+'4.6_транзит_котельн.'!C37</f>
        <v>0</v>
      </c>
      <c r="D37" s="753">
        <f>'4.6_транзит_КТЭЦ с косв.'!D37+'4.6_транзит_котельн.'!D37</f>
        <v>4847.3050000000003</v>
      </c>
      <c r="E37" s="753">
        <f>'4.6_транзит_КТЭЦ с косв.'!E37+'4.6_транзит_котельн.'!E37</f>
        <v>0</v>
      </c>
      <c r="F37" s="753">
        <v>2690.2707639999999</v>
      </c>
      <c r="G37" s="753">
        <v>0</v>
      </c>
      <c r="H37" s="753">
        <v>5124.6476500000008</v>
      </c>
      <c r="I37" s="753">
        <v>0</v>
      </c>
      <c r="J37" s="753">
        <v>0</v>
      </c>
      <c r="K37" s="753">
        <v>0</v>
      </c>
      <c r="L37" s="753">
        <v>0</v>
      </c>
      <c r="M37" s="753">
        <v>0</v>
      </c>
      <c r="N37" s="753">
        <v>0</v>
      </c>
      <c r="O37" s="753">
        <v>0</v>
      </c>
      <c r="P37" s="753">
        <v>0</v>
      </c>
    </row>
    <row r="38" spans="1:16" s="4" customFormat="1" hidden="1" outlineLevel="1">
      <c r="A38" s="739" t="s">
        <v>1544</v>
      </c>
      <c r="B38" s="742" t="s">
        <v>1254</v>
      </c>
      <c r="C38" s="753">
        <f>'4.6_транзит_КТЭЦ с косв.'!C38+'4.6_транзит_котельн.'!C38</f>
        <v>0</v>
      </c>
      <c r="D38" s="753">
        <f>'4.6_транзит_КТЭЦ с косв.'!D38+'4.6_транзит_котельн.'!D38</f>
        <v>728.71339999999998</v>
      </c>
      <c r="E38" s="753">
        <f>'4.6_транзит_КТЭЦ с косв.'!E38+'4.6_транзит_котельн.'!E38</f>
        <v>0</v>
      </c>
      <c r="F38" s="753">
        <v>728.96307999999999</v>
      </c>
      <c r="G38" s="753">
        <v>0</v>
      </c>
      <c r="H38" s="753">
        <v>638.00228000000016</v>
      </c>
      <c r="I38" s="753">
        <v>0</v>
      </c>
      <c r="J38" s="753">
        <v>0</v>
      </c>
      <c r="K38" s="753">
        <v>0</v>
      </c>
      <c r="L38" s="753">
        <v>0</v>
      </c>
      <c r="M38" s="753">
        <v>0</v>
      </c>
      <c r="N38" s="753">
        <v>0</v>
      </c>
      <c r="O38" s="753">
        <v>0</v>
      </c>
      <c r="P38" s="753">
        <v>0</v>
      </c>
    </row>
    <row r="39" spans="1:16" s="4" customFormat="1" hidden="1" outlineLevel="1">
      <c r="A39" s="739" t="s">
        <v>1545</v>
      </c>
      <c r="B39" s="740" t="s">
        <v>1255</v>
      </c>
      <c r="C39" s="753">
        <f>'4.6_транзит_КТЭЦ с косв.'!C39+'4.6_транзит_котельн.'!C39</f>
        <v>0</v>
      </c>
      <c r="D39" s="753">
        <f>'4.6_транзит_КТЭЦ с косв.'!D39+'4.6_транзит_котельн.'!D39</f>
        <v>157.84469999999999</v>
      </c>
      <c r="E39" s="753">
        <f>'4.6_транзит_КТЭЦ с косв.'!E39+'4.6_транзит_котельн.'!E39</f>
        <v>0</v>
      </c>
      <c r="F39" s="753">
        <v>143.35594</v>
      </c>
      <c r="G39" s="753">
        <v>0</v>
      </c>
      <c r="H39" s="753">
        <v>156.86147</v>
      </c>
      <c r="I39" s="753">
        <v>0</v>
      </c>
      <c r="J39" s="753">
        <v>0</v>
      </c>
      <c r="K39" s="753">
        <v>0</v>
      </c>
      <c r="L39" s="753">
        <v>0</v>
      </c>
      <c r="M39" s="753">
        <v>0</v>
      </c>
      <c r="N39" s="753">
        <v>0</v>
      </c>
      <c r="O39" s="753">
        <v>0</v>
      </c>
      <c r="P39" s="753">
        <v>0</v>
      </c>
    </row>
    <row r="40" spans="1:16" s="4" customFormat="1" ht="25.5" hidden="1" outlineLevel="1">
      <c r="A40" s="739" t="s">
        <v>1546</v>
      </c>
      <c r="B40" s="742" t="s">
        <v>1256</v>
      </c>
      <c r="C40" s="753">
        <f>'4.6_транзит_КТЭЦ с косв.'!C40+'4.6_транзит_котельн.'!C40</f>
        <v>0</v>
      </c>
      <c r="D40" s="753">
        <f>'4.6_транзит_КТЭЦ с косв.'!D40+'4.6_транзит_котельн.'!D40</f>
        <v>400.79809999999998</v>
      </c>
      <c r="E40" s="753">
        <f>'4.6_транзит_КТЭЦ с косв.'!E40+'4.6_транзит_котельн.'!E40</f>
        <v>0</v>
      </c>
      <c r="F40" s="753">
        <v>423.03219200000001</v>
      </c>
      <c r="G40" s="753">
        <v>0</v>
      </c>
      <c r="H40" s="753">
        <v>154.17725999999999</v>
      </c>
      <c r="I40" s="753">
        <v>0</v>
      </c>
      <c r="J40" s="753">
        <v>0</v>
      </c>
      <c r="K40" s="753">
        <v>0</v>
      </c>
      <c r="L40" s="753">
        <v>0</v>
      </c>
      <c r="M40" s="753">
        <v>0</v>
      </c>
      <c r="N40" s="753">
        <v>0</v>
      </c>
      <c r="O40" s="753">
        <v>0</v>
      </c>
      <c r="P40" s="753">
        <v>0</v>
      </c>
    </row>
    <row r="41" spans="1:16" s="4" customFormat="1" hidden="1" outlineLevel="1">
      <c r="A41" s="739" t="s">
        <v>1547</v>
      </c>
      <c r="B41" s="742" t="s">
        <v>1257</v>
      </c>
      <c r="C41" s="753">
        <f>'4.6_транзит_КТЭЦ с косв.'!C41+'4.6_транзит_котельн.'!C41</f>
        <v>0</v>
      </c>
      <c r="D41" s="753">
        <f>'4.6_транзит_КТЭЦ с косв.'!D41+'4.6_транзит_котельн.'!D41</f>
        <v>5405.1549000000005</v>
      </c>
      <c r="E41" s="753">
        <f>'4.6_транзит_КТЭЦ с косв.'!E41+'4.6_транзит_котельн.'!E41</f>
        <v>0</v>
      </c>
      <c r="F41" s="753">
        <v>11977.888368</v>
      </c>
      <c r="G41" s="753">
        <v>0</v>
      </c>
      <c r="H41" s="753">
        <v>13363.25482</v>
      </c>
      <c r="I41" s="753">
        <v>0</v>
      </c>
      <c r="J41" s="753">
        <v>0</v>
      </c>
      <c r="K41" s="753">
        <v>0</v>
      </c>
      <c r="L41" s="753">
        <v>0</v>
      </c>
      <c r="M41" s="753">
        <v>0</v>
      </c>
      <c r="N41" s="753">
        <v>0</v>
      </c>
      <c r="O41" s="753">
        <v>0</v>
      </c>
      <c r="P41" s="753">
        <v>0</v>
      </c>
    </row>
    <row r="42" spans="1:16" s="4" customFormat="1" hidden="1" outlineLevel="1">
      <c r="A42" s="741" t="s">
        <v>1548</v>
      </c>
      <c r="B42" s="742" t="s">
        <v>1556</v>
      </c>
      <c r="C42" s="753">
        <f>'4.6_транзит_КТЭЦ с косв.'!C42+'4.6_транзит_котельн.'!C42</f>
        <v>0</v>
      </c>
      <c r="D42" s="753">
        <f>'4.6_транзит_КТЭЦ с косв.'!D42+'4.6_транзит_котельн.'!D42</f>
        <v>199.7825</v>
      </c>
      <c r="E42" s="753">
        <f>'4.6_транзит_КТЭЦ с косв.'!E42+'4.6_транзит_котельн.'!E42</f>
        <v>0</v>
      </c>
      <c r="F42" s="753">
        <v>488.29796399999998</v>
      </c>
      <c r="G42" s="753">
        <v>0</v>
      </c>
      <c r="H42" s="753">
        <v>214.45418000000001</v>
      </c>
      <c r="I42" s="753">
        <v>0</v>
      </c>
      <c r="J42" s="753">
        <v>0</v>
      </c>
      <c r="K42" s="753">
        <v>0</v>
      </c>
      <c r="L42" s="753">
        <v>0</v>
      </c>
      <c r="M42" s="753">
        <v>0</v>
      </c>
      <c r="N42" s="753">
        <v>0</v>
      </c>
      <c r="O42" s="753">
        <v>0</v>
      </c>
      <c r="P42" s="753">
        <v>0</v>
      </c>
    </row>
    <row r="43" spans="1:16" s="4" customFormat="1" hidden="1" outlineLevel="1">
      <c r="A43" s="741" t="s">
        <v>1549</v>
      </c>
      <c r="B43" s="742" t="s">
        <v>1258</v>
      </c>
      <c r="C43" s="753">
        <f>'4.6_транзит_КТЭЦ с косв.'!C43+'4.6_транзит_котельн.'!C43</f>
        <v>0</v>
      </c>
      <c r="D43" s="753">
        <f>'4.6_транзит_КТЭЦ с косв.'!D43+'4.6_транзит_котельн.'!D43</f>
        <v>778.5963999999999</v>
      </c>
      <c r="E43" s="753">
        <f>'4.6_транзит_КТЭЦ с косв.'!E43+'4.6_транзит_котельн.'!E43</f>
        <v>0</v>
      </c>
      <c r="F43" s="753">
        <v>421.01554400000003</v>
      </c>
      <c r="G43" s="753">
        <v>0</v>
      </c>
      <c r="H43" s="753">
        <v>529.64730000000009</v>
      </c>
      <c r="I43" s="753">
        <v>0</v>
      </c>
      <c r="J43" s="753">
        <v>0</v>
      </c>
      <c r="K43" s="753">
        <v>0</v>
      </c>
      <c r="L43" s="753">
        <v>0</v>
      </c>
      <c r="M43" s="753">
        <v>0</v>
      </c>
      <c r="N43" s="753">
        <v>0</v>
      </c>
      <c r="O43" s="753">
        <v>0</v>
      </c>
      <c r="P43" s="753">
        <v>0</v>
      </c>
    </row>
    <row r="44" spans="1:16" s="4" customFormat="1" hidden="1" outlineLevel="1">
      <c r="A44" s="764" t="s">
        <v>1555</v>
      </c>
      <c r="B44" s="742" t="s">
        <v>1890</v>
      </c>
      <c r="C44" s="753">
        <f>'4.6_транзит_КТЭЦ с косв.'!C44+'4.6_транзит_котельн.'!C44</f>
        <v>0</v>
      </c>
      <c r="D44" s="753">
        <f>'4.6_транзит_КТЭЦ с косв.'!D44+'4.6_транзит_котельн.'!D44</f>
        <v>778</v>
      </c>
      <c r="E44" s="753">
        <f>'4.6_транзит_КТЭЦ с косв.'!E44+'4.6_транзит_котельн.'!E44</f>
        <v>0</v>
      </c>
      <c r="F44" s="753">
        <v>0</v>
      </c>
      <c r="G44" s="753">
        <v>0</v>
      </c>
      <c r="H44" s="753">
        <v>0</v>
      </c>
      <c r="I44" s="753">
        <v>0</v>
      </c>
      <c r="J44" s="753">
        <v>0</v>
      </c>
      <c r="K44" s="753">
        <v>0</v>
      </c>
      <c r="L44" s="753">
        <v>0</v>
      </c>
      <c r="M44" s="753">
        <v>0</v>
      </c>
      <c r="N44" s="753">
        <v>0</v>
      </c>
      <c r="O44" s="753">
        <v>0</v>
      </c>
      <c r="P44" s="753">
        <v>0</v>
      </c>
    </row>
    <row r="45" spans="1:16" s="341" customFormat="1" hidden="1" outlineLevel="1">
      <c r="A45" s="764" t="s">
        <v>1889</v>
      </c>
      <c r="B45" s="765" t="s">
        <v>1259</v>
      </c>
      <c r="C45" s="746">
        <f>SUM(C46:C54)</f>
        <v>0</v>
      </c>
      <c r="D45" s="746">
        <f t="shared" ref="D45" si="5">SUM(D46:D54)</f>
        <v>1650.2085</v>
      </c>
      <c r="E45" s="746">
        <f>SUM(E46:E55)</f>
        <v>0</v>
      </c>
      <c r="F45" s="746">
        <v>1755.0773920000001</v>
      </c>
      <c r="G45" s="746">
        <v>0</v>
      </c>
      <c r="H45" s="746">
        <v>2645.3143399999999</v>
      </c>
      <c r="I45" s="746">
        <v>0</v>
      </c>
      <c r="J45" s="746">
        <v>0</v>
      </c>
      <c r="K45" s="746">
        <v>0</v>
      </c>
      <c r="L45" s="746">
        <v>0</v>
      </c>
      <c r="M45" s="746">
        <v>0</v>
      </c>
      <c r="N45" s="746">
        <v>0</v>
      </c>
      <c r="O45" s="746">
        <v>0</v>
      </c>
      <c r="P45" s="746">
        <v>0</v>
      </c>
    </row>
    <row r="46" spans="1:16" s="4" customFormat="1" hidden="1" outlineLevel="1">
      <c r="A46" s="744"/>
      <c r="B46" s="745" t="s">
        <v>1260</v>
      </c>
      <c r="C46" s="753">
        <f>'4.6_транзит_КТЭЦ с косв.'!C46+'4.6_транзит_котельн.'!C46</f>
        <v>0</v>
      </c>
      <c r="D46" s="753">
        <f>'4.6_транзит_КТЭЦ с косв.'!D46+'4.6_транзит_котельн.'!D46</f>
        <v>239.26460000000003</v>
      </c>
      <c r="E46" s="753">
        <f>'4.6_транзит_КТЭЦ с косв.'!E46+'4.6_транзит_котельн.'!E46</f>
        <v>0</v>
      </c>
      <c r="F46" s="753">
        <v>182.09845999999999</v>
      </c>
      <c r="G46" s="753">
        <v>0</v>
      </c>
      <c r="H46" s="753">
        <v>112.8377</v>
      </c>
      <c r="I46" s="753">
        <v>0</v>
      </c>
      <c r="J46" s="753">
        <v>0</v>
      </c>
      <c r="K46" s="753">
        <v>0</v>
      </c>
      <c r="L46" s="753">
        <v>0</v>
      </c>
      <c r="M46" s="753">
        <v>0</v>
      </c>
      <c r="N46" s="753">
        <v>0</v>
      </c>
      <c r="O46" s="753">
        <v>0</v>
      </c>
      <c r="P46" s="753">
        <v>0</v>
      </c>
    </row>
    <row r="47" spans="1:16" s="4" customFormat="1" hidden="1" outlineLevel="1">
      <c r="A47" s="744"/>
      <c r="B47" s="743" t="s">
        <v>1261</v>
      </c>
      <c r="C47" s="753">
        <f>'4.6_транзит_КТЭЦ с косв.'!C47+'4.6_транзит_котельн.'!C47</f>
        <v>0</v>
      </c>
      <c r="D47" s="753">
        <f>'4.6_транзит_КТЭЦ с косв.'!D47+'4.6_транзит_котельн.'!D47</f>
        <v>273.82459999999998</v>
      </c>
      <c r="E47" s="753">
        <f>'4.6_транзит_КТЭЦ с косв.'!E47+'4.6_транзит_котельн.'!E47</f>
        <v>0</v>
      </c>
      <c r="F47" s="753">
        <v>242.98557600000004</v>
      </c>
      <c r="G47" s="753">
        <v>0</v>
      </c>
      <c r="H47" s="753">
        <v>202.67520000000002</v>
      </c>
      <c r="I47" s="753">
        <v>0</v>
      </c>
      <c r="J47" s="753">
        <v>0</v>
      </c>
      <c r="K47" s="753">
        <v>0</v>
      </c>
      <c r="L47" s="753">
        <v>0</v>
      </c>
      <c r="M47" s="753">
        <v>0</v>
      </c>
      <c r="N47" s="753">
        <v>0</v>
      </c>
      <c r="O47" s="753">
        <v>0</v>
      </c>
      <c r="P47" s="753">
        <v>0</v>
      </c>
    </row>
    <row r="48" spans="1:16" s="4" customFormat="1" hidden="1" outlineLevel="1">
      <c r="A48" s="744"/>
      <c r="B48" s="743" t="s">
        <v>1262</v>
      </c>
      <c r="C48" s="753">
        <f>'4.6_транзит_КТЭЦ с косв.'!C48+'4.6_транзит_котельн.'!C48</f>
        <v>0</v>
      </c>
      <c r="D48" s="753">
        <f>'4.6_транзит_КТЭЦ с косв.'!D48+'4.6_транзит_котельн.'!D48</f>
        <v>413.20090000000005</v>
      </c>
      <c r="E48" s="753">
        <f>'4.6_транзит_КТЭЦ с косв.'!E48+'4.6_транзит_котельн.'!E48</f>
        <v>0</v>
      </c>
      <c r="F48" s="753">
        <v>397.37979200000007</v>
      </c>
      <c r="G48" s="753">
        <v>0</v>
      </c>
      <c r="H48" s="753">
        <v>335.66701</v>
      </c>
      <c r="I48" s="753">
        <v>0</v>
      </c>
      <c r="J48" s="753">
        <v>0</v>
      </c>
      <c r="K48" s="753">
        <v>0</v>
      </c>
      <c r="L48" s="753">
        <v>0</v>
      </c>
      <c r="M48" s="753">
        <v>0</v>
      </c>
      <c r="N48" s="753">
        <v>0</v>
      </c>
      <c r="O48" s="753">
        <v>0</v>
      </c>
      <c r="P48" s="753">
        <v>0</v>
      </c>
    </row>
    <row r="49" spans="1:16" s="4" customFormat="1" hidden="1" outlineLevel="1">
      <c r="A49" s="744"/>
      <c r="B49" s="743" t="s">
        <v>1263</v>
      </c>
      <c r="C49" s="753">
        <f>'4.6_транзит_КТЭЦ с косв.'!C49+'4.6_транзит_котельн.'!C49</f>
        <v>0</v>
      </c>
      <c r="D49" s="753">
        <f>'4.6_транзит_КТЭЦ с косв.'!D49+'4.6_транзит_котельн.'!D49</f>
        <v>290.72649999999999</v>
      </c>
      <c r="E49" s="753">
        <f>'4.6_транзит_КТЭЦ с косв.'!E49+'4.6_транзит_котельн.'!E49</f>
        <v>0</v>
      </c>
      <c r="F49" s="753">
        <v>280.83861999999999</v>
      </c>
      <c r="G49" s="753">
        <v>0</v>
      </c>
      <c r="H49" s="753">
        <v>77.320909999999998</v>
      </c>
      <c r="I49" s="753">
        <v>0</v>
      </c>
      <c r="J49" s="753">
        <v>0</v>
      </c>
      <c r="K49" s="753">
        <v>0</v>
      </c>
      <c r="L49" s="753">
        <v>0</v>
      </c>
      <c r="M49" s="753">
        <v>0</v>
      </c>
      <c r="N49" s="753">
        <v>0</v>
      </c>
      <c r="O49" s="753">
        <v>0</v>
      </c>
      <c r="P49" s="753">
        <v>0</v>
      </c>
    </row>
    <row r="50" spans="1:16" s="4" customFormat="1" ht="25.5" hidden="1" outlineLevel="1">
      <c r="A50" s="744"/>
      <c r="B50" s="743" t="s">
        <v>1891</v>
      </c>
      <c r="C50" s="753">
        <f>'4.6_транзит_КТЭЦ с косв.'!C50+'4.6_транзит_котельн.'!C50</f>
        <v>0</v>
      </c>
      <c r="D50" s="753">
        <f>'4.6_транзит_КТЭЦ с косв.'!D50+'4.6_транзит_котельн.'!D50</f>
        <v>433.19190000000003</v>
      </c>
      <c r="E50" s="753">
        <f>'4.6_транзит_КТЭЦ с косв.'!E50+'4.6_транзит_котельн.'!E50</f>
        <v>0</v>
      </c>
      <c r="F50" s="753">
        <v>651.774944</v>
      </c>
      <c r="G50" s="753">
        <v>0</v>
      </c>
      <c r="H50" s="753">
        <v>852.96469999999999</v>
      </c>
      <c r="I50" s="753">
        <v>0</v>
      </c>
      <c r="J50" s="753">
        <v>0</v>
      </c>
      <c r="K50" s="753">
        <v>0</v>
      </c>
      <c r="L50" s="753">
        <v>0</v>
      </c>
      <c r="M50" s="753">
        <v>0</v>
      </c>
      <c r="N50" s="753">
        <v>0</v>
      </c>
      <c r="O50" s="753">
        <v>0</v>
      </c>
      <c r="P50" s="753">
        <v>0</v>
      </c>
    </row>
    <row r="51" spans="1:16" s="4" customFormat="1" ht="25.5" hidden="1" outlineLevel="1">
      <c r="A51" s="744"/>
      <c r="B51" s="743" t="s">
        <v>1264</v>
      </c>
      <c r="C51" s="753">
        <f>'4.6_транзит_КТЭЦ с косв.'!C51+'4.6_транзит_котельн.'!C51</f>
        <v>0</v>
      </c>
      <c r="D51" s="753">
        <f>'4.6_транзит_КТЭЦ с косв.'!D51+'4.6_транзит_котельн.'!D51</f>
        <v>0</v>
      </c>
      <c r="E51" s="753">
        <f>'4.6_транзит_КТЭЦ с косв.'!E51+'4.6_транзит_котельн.'!E51</f>
        <v>0</v>
      </c>
      <c r="F51" s="753">
        <v>0</v>
      </c>
      <c r="G51" s="753">
        <v>0</v>
      </c>
      <c r="H51" s="753">
        <v>0</v>
      </c>
      <c r="I51" s="753">
        <v>0</v>
      </c>
      <c r="J51" s="753">
        <v>0</v>
      </c>
      <c r="K51" s="753">
        <v>0</v>
      </c>
      <c r="L51" s="753">
        <v>0</v>
      </c>
      <c r="M51" s="753">
        <v>0</v>
      </c>
      <c r="N51" s="753">
        <v>0</v>
      </c>
      <c r="O51" s="753">
        <v>0</v>
      </c>
      <c r="P51" s="753">
        <v>0</v>
      </c>
    </row>
    <row r="52" spans="1:16" s="4" customFormat="1" hidden="1" outlineLevel="1">
      <c r="A52" s="744"/>
      <c r="B52" s="1391" t="s">
        <v>1883</v>
      </c>
      <c r="C52" s="753">
        <f>'4.6_транзит_КТЭЦ с косв.'!C52+'4.6_транзит_котельн.'!C52</f>
        <v>0</v>
      </c>
      <c r="D52" s="753">
        <f>'4.6_транзит_КТЭЦ с косв.'!D52+'4.6_транзит_котельн.'!D52</f>
        <v>0</v>
      </c>
      <c r="E52" s="753">
        <f>'4.6_транзит_КТЭЦ с косв.'!E52+'4.6_транзит_котельн.'!E52</f>
        <v>0</v>
      </c>
      <c r="F52" s="753">
        <v>0</v>
      </c>
      <c r="G52" s="753">
        <v>0</v>
      </c>
      <c r="H52" s="753">
        <v>203</v>
      </c>
      <c r="I52" s="753">
        <v>0</v>
      </c>
      <c r="J52" s="753">
        <v>0</v>
      </c>
      <c r="K52" s="753">
        <v>0</v>
      </c>
      <c r="L52" s="753">
        <v>0</v>
      </c>
      <c r="M52" s="753">
        <v>0</v>
      </c>
      <c r="N52" s="753">
        <v>0</v>
      </c>
      <c r="O52" s="753">
        <v>0</v>
      </c>
      <c r="P52" s="753">
        <v>0</v>
      </c>
    </row>
    <row r="53" spans="1:16" s="4" customFormat="1" hidden="1" outlineLevel="1">
      <c r="A53" s="744"/>
      <c r="B53" s="743" t="s">
        <v>1884</v>
      </c>
      <c r="C53" s="753">
        <f>'4.6_транзит_КТЭЦ с косв.'!C53+'4.6_транзит_котельн.'!C53</f>
        <v>0</v>
      </c>
      <c r="D53" s="753">
        <f>'4.6_транзит_КТЭЦ с косв.'!D53+'4.6_транзит_котельн.'!D53</f>
        <v>0</v>
      </c>
      <c r="E53" s="753">
        <f>'4.6_транзит_КТЭЦ с косв.'!E53+'4.6_транзит_котельн.'!E53</f>
        <v>0</v>
      </c>
      <c r="F53" s="753">
        <v>0</v>
      </c>
      <c r="G53" s="753">
        <v>0</v>
      </c>
      <c r="H53" s="753">
        <v>860.84881999999993</v>
      </c>
      <c r="I53" s="753">
        <v>0</v>
      </c>
      <c r="J53" s="753">
        <v>0</v>
      </c>
      <c r="K53" s="753">
        <v>0</v>
      </c>
      <c r="L53" s="753">
        <v>0</v>
      </c>
      <c r="M53" s="753">
        <v>0</v>
      </c>
      <c r="N53" s="753">
        <v>0</v>
      </c>
      <c r="O53" s="753">
        <v>0</v>
      </c>
      <c r="P53" s="753">
        <v>0</v>
      </c>
    </row>
    <row r="54" spans="1:16" s="4" customFormat="1" ht="25.5" hidden="1" outlineLevel="1">
      <c r="A54" s="17"/>
      <c r="B54" s="743" t="s">
        <v>1885</v>
      </c>
      <c r="C54" s="753">
        <f>'4.6_транзит_КТЭЦ с косв.'!C54+'4.6_транзит_котельн.'!C54</f>
        <v>0</v>
      </c>
      <c r="D54" s="753">
        <f>'4.6_транзит_КТЭЦ с косв.'!D54+'4.6_транзит_котельн.'!D54</f>
        <v>0</v>
      </c>
      <c r="E54" s="753">
        <f>'4.6_транзит_КТЭЦ с косв.'!E54+'4.6_транзит_котельн.'!E54</f>
        <v>0</v>
      </c>
      <c r="F54" s="753">
        <v>0</v>
      </c>
      <c r="G54" s="753">
        <v>0</v>
      </c>
      <c r="H54" s="753">
        <v>0</v>
      </c>
      <c r="I54" s="753">
        <v>0</v>
      </c>
      <c r="J54" s="753">
        <v>0</v>
      </c>
      <c r="K54" s="753">
        <v>0</v>
      </c>
      <c r="L54" s="753">
        <v>0</v>
      </c>
      <c r="M54" s="753">
        <v>0</v>
      </c>
      <c r="N54" s="753">
        <v>0</v>
      </c>
      <c r="O54" s="753">
        <v>0</v>
      </c>
      <c r="P54" s="753">
        <v>0</v>
      </c>
    </row>
    <row r="55" spans="1:16" s="341" customFormat="1" ht="25.5" hidden="1" outlineLevel="1">
      <c r="A55" s="339"/>
      <c r="B55" s="743" t="s">
        <v>1886</v>
      </c>
      <c r="C55" s="750">
        <f>'4.6_транзит_КТЭЦ с косв.'!C55+'4.6_транзит_котельн.'!C55</f>
        <v>0</v>
      </c>
      <c r="D55" s="750">
        <f>'4.6_транзит_КТЭЦ с косв.'!D55+'4.6_транзит_котельн.'!D55</f>
        <v>0</v>
      </c>
      <c r="E55" s="750">
        <f>'4.6_транзит_КТЭЦ с косв.'!E55+'4.6_транзит_котельн.'!E55</f>
        <v>0</v>
      </c>
      <c r="F55" s="750">
        <v>0</v>
      </c>
      <c r="G55" s="750">
        <v>0</v>
      </c>
      <c r="H55" s="750">
        <v>0</v>
      </c>
      <c r="I55" s="750">
        <v>0</v>
      </c>
      <c r="J55" s="750">
        <v>0</v>
      </c>
      <c r="K55" s="750">
        <v>0</v>
      </c>
      <c r="L55" s="750">
        <v>0</v>
      </c>
      <c r="M55" s="750">
        <v>0</v>
      </c>
      <c r="N55" s="750">
        <v>0</v>
      </c>
      <c r="O55" s="750">
        <v>0</v>
      </c>
      <c r="P55" s="750">
        <v>0</v>
      </c>
    </row>
    <row r="56" spans="1:16" s="1046" customFormat="1" ht="90" collapsed="1">
      <c r="A56" s="1044"/>
      <c r="B56" s="1045" t="s">
        <v>374</v>
      </c>
      <c r="C56" s="258">
        <f>'4.6_транзит_КТЭЦ с косв.'!C56+'4.6_транзит_котельн.'!C56</f>
        <v>0</v>
      </c>
      <c r="D56" s="258">
        <f>'4.6_транзит_КТЭЦ с косв.'!D56+'4.6_транзит_котельн.'!D56</f>
        <v>189</v>
      </c>
      <c r="E56" s="258">
        <f>'4.6_транзит_КТЭЦ с косв.'!E56+'4.6_транзит_котельн.'!E56</f>
        <v>0</v>
      </c>
      <c r="F56" s="258">
        <v>0</v>
      </c>
      <c r="G56" s="258">
        <v>0</v>
      </c>
      <c r="H56" s="258">
        <v>1</v>
      </c>
      <c r="I56" s="258">
        <v>0</v>
      </c>
      <c r="J56" s="258">
        <v>0</v>
      </c>
      <c r="K56" s="258">
        <v>0</v>
      </c>
      <c r="L56" s="258">
        <v>0</v>
      </c>
      <c r="M56" s="258">
        <v>0</v>
      </c>
      <c r="N56" s="258">
        <v>0</v>
      </c>
      <c r="O56" s="258">
        <v>0</v>
      </c>
      <c r="P56" s="258">
        <v>0</v>
      </c>
    </row>
    <row r="57" spans="1:16" s="1046" customFormat="1" ht="30">
      <c r="A57" s="1044"/>
      <c r="B57" s="1045" t="s">
        <v>375</v>
      </c>
      <c r="C57" s="258">
        <f>'4.6_транзит_КТЭЦ с косв.'!C57+'4.6_транзит_котельн.'!C57</f>
        <v>0</v>
      </c>
      <c r="D57" s="258">
        <f>'4.6_транзит_КТЭЦ с косв.'!D57+'4.6_транзит_котельн.'!D57</f>
        <v>127801</v>
      </c>
      <c r="E57" s="258">
        <f>'4.6_транзит_КТЭЦ с косв.'!E57+'4.6_транзит_котельн.'!E57</f>
        <v>0</v>
      </c>
      <c r="F57" s="258">
        <v>146583</v>
      </c>
      <c r="G57" s="258">
        <v>0</v>
      </c>
      <c r="H57" s="258">
        <v>127241</v>
      </c>
      <c r="I57" s="258">
        <v>0</v>
      </c>
      <c r="J57" s="258">
        <v>133862</v>
      </c>
      <c r="K57" s="258">
        <v>143418</v>
      </c>
      <c r="L57" s="258">
        <v>71709</v>
      </c>
      <c r="M57" s="258">
        <v>71709</v>
      </c>
      <c r="N57" s="258">
        <v>151880</v>
      </c>
      <c r="O57" s="258">
        <v>75940</v>
      </c>
      <c r="P57" s="258">
        <v>75940</v>
      </c>
    </row>
    <row r="58" spans="1:16" s="1046" customFormat="1" ht="15" customHeight="1">
      <c r="A58" s="1044"/>
      <c r="B58" s="1045" t="s">
        <v>376</v>
      </c>
      <c r="C58" s="258">
        <f>'4.6_транзит_КТЭЦ с косв.'!C58+'4.6_транзит_котельн.'!C58</f>
        <v>0</v>
      </c>
      <c r="D58" s="258">
        <f>'4.6_транзит_КТЭЦ с косв.'!D58+'4.6_транзит_котельн.'!D58</f>
        <v>2080</v>
      </c>
      <c r="E58" s="258">
        <f>'4.6_транзит_КТЭЦ с косв.'!E58+'4.6_транзит_котельн.'!E58</f>
        <v>0</v>
      </c>
      <c r="F58" s="258">
        <v>2811</v>
      </c>
      <c r="G58" s="258">
        <v>0</v>
      </c>
      <c r="H58" s="258">
        <v>2166</v>
      </c>
      <c r="I58" s="258">
        <v>2173</v>
      </c>
      <c r="J58" s="258">
        <v>2173</v>
      </c>
      <c r="K58" s="258">
        <v>2297.55636</v>
      </c>
      <c r="L58" s="258">
        <v>1148.77818</v>
      </c>
      <c r="M58" s="258">
        <v>1148.77818</v>
      </c>
      <c r="N58" s="258">
        <v>2408.7810633875997</v>
      </c>
      <c r="O58" s="258">
        <v>1204.3905316937999</v>
      </c>
      <c r="P58" s="258">
        <v>1204.3905316937999</v>
      </c>
    </row>
    <row r="59" spans="1:16" s="1046" customFormat="1" ht="15" customHeight="1">
      <c r="A59" s="1044"/>
      <c r="B59" s="1045" t="s">
        <v>377</v>
      </c>
      <c r="C59" s="258">
        <f>'4.6_транзит_КТЭЦ с косв.'!C59+'4.6_транзит_котельн.'!C59</f>
        <v>0</v>
      </c>
      <c r="D59" s="258">
        <f>'4.6_транзит_КТЭЦ с косв.'!D59+'4.6_транзит_котельн.'!D59</f>
        <v>838</v>
      </c>
      <c r="E59" s="258">
        <f>'4.6_транзит_КТЭЦ с косв.'!E59+'4.6_транзит_котельн.'!E59</f>
        <v>0</v>
      </c>
      <c r="F59" s="258">
        <v>941</v>
      </c>
      <c r="G59" s="258">
        <v>0</v>
      </c>
      <c r="H59" s="258">
        <v>882</v>
      </c>
      <c r="I59" s="258">
        <v>970</v>
      </c>
      <c r="J59" s="258">
        <v>970</v>
      </c>
      <c r="K59" s="258">
        <v>1025.6004</v>
      </c>
      <c r="L59" s="258">
        <v>512.80020000000002</v>
      </c>
      <c r="M59" s="258">
        <v>512.80020000000002</v>
      </c>
      <c r="N59" s="258">
        <v>1075.2497153639997</v>
      </c>
      <c r="O59" s="258">
        <v>537.62485768199986</v>
      </c>
      <c r="P59" s="258">
        <v>537.62485768199986</v>
      </c>
    </row>
    <row r="60" spans="1:16" s="1046" customFormat="1" ht="45" customHeight="1">
      <c r="A60" s="1044"/>
      <c r="B60" s="1045" t="s">
        <v>378</v>
      </c>
      <c r="C60" s="258">
        <f>'4.6_транзит_КТЭЦ с косв.'!C60+'4.6_транзит_котельн.'!C60</f>
        <v>0</v>
      </c>
      <c r="D60" s="258">
        <f>'4.6_транзит_КТЭЦ с косв.'!D60+'4.6_транзит_котельн.'!D60</f>
        <v>2275</v>
      </c>
      <c r="E60" s="258">
        <f>'4.6_транзит_КТЭЦ с косв.'!E60+'4.6_транзит_котельн.'!E60</f>
        <v>0</v>
      </c>
      <c r="F60" s="258">
        <v>2410</v>
      </c>
      <c r="G60" s="258">
        <v>0</v>
      </c>
      <c r="H60" s="258">
        <v>2020</v>
      </c>
      <c r="I60" s="258">
        <v>0</v>
      </c>
      <c r="J60" s="258">
        <v>4919.4000000000005</v>
      </c>
      <c r="K60" s="258">
        <v>6708.2</v>
      </c>
      <c r="L60" s="258">
        <v>3354.1</v>
      </c>
      <c r="M60" s="258">
        <v>3354.1</v>
      </c>
      <c r="N60" s="258">
        <v>7105.3</v>
      </c>
      <c r="O60" s="258">
        <v>3552.65</v>
      </c>
      <c r="P60" s="258">
        <v>3552.65</v>
      </c>
    </row>
    <row r="61" spans="1:16" s="1046" customFormat="1" ht="30" customHeight="1">
      <c r="A61" s="1044"/>
      <c r="B61" s="1045" t="s">
        <v>379</v>
      </c>
      <c r="C61" s="258">
        <f>SUM(C62:C66)</f>
        <v>0</v>
      </c>
      <c r="D61" s="258">
        <f t="shared" ref="D61:E61" si="6">SUM(D62:D66)</f>
        <v>5116</v>
      </c>
      <c r="E61" s="258">
        <f t="shared" si="6"/>
        <v>0</v>
      </c>
      <c r="F61" s="258">
        <v>9329</v>
      </c>
      <c r="G61" s="258">
        <v>0</v>
      </c>
      <c r="H61" s="258">
        <v>6828</v>
      </c>
      <c r="I61" s="258">
        <v>0</v>
      </c>
      <c r="J61" s="258">
        <v>9709</v>
      </c>
      <c r="K61" s="258">
        <v>10380</v>
      </c>
      <c r="L61" s="258">
        <v>6866</v>
      </c>
      <c r="M61" s="258">
        <v>3514</v>
      </c>
      <c r="N61" s="258">
        <v>13059</v>
      </c>
      <c r="O61" s="258">
        <v>7548.5</v>
      </c>
      <c r="P61" s="258">
        <v>5510.5</v>
      </c>
    </row>
    <row r="62" spans="1:16" s="4" customFormat="1" ht="15" customHeight="1">
      <c r="A62" s="17"/>
      <c r="B62" s="51" t="s">
        <v>380</v>
      </c>
      <c r="C62" s="241">
        <f>'4.6_транзит_КТЭЦ с косв.'!C62+'4.6_транзит_котельн.'!C62</f>
        <v>0</v>
      </c>
      <c r="D62" s="241">
        <f>'4.6_транзит_КТЭЦ с косв.'!D62+'4.6_транзит_котельн.'!D62</f>
        <v>1702</v>
      </c>
      <c r="E62" s="241">
        <f>'4.6_транзит_КТЭЦ с косв.'!E62+'4.6_транзит_котельн.'!E62</f>
        <v>0</v>
      </c>
      <c r="F62" s="241">
        <v>5748</v>
      </c>
      <c r="G62" s="241">
        <v>0</v>
      </c>
      <c r="H62" s="241">
        <v>5360</v>
      </c>
      <c r="I62" s="241">
        <v>0</v>
      </c>
      <c r="J62" s="241">
        <v>7585</v>
      </c>
      <c r="K62" s="241">
        <v>8134</v>
      </c>
      <c r="L62" s="241">
        <v>5713</v>
      </c>
      <c r="M62" s="241">
        <v>2421</v>
      </c>
      <c r="N62" s="241">
        <v>10697</v>
      </c>
      <c r="O62" s="241">
        <v>6337</v>
      </c>
      <c r="P62" s="241">
        <v>4360</v>
      </c>
    </row>
    <row r="63" spans="1:16" s="4" customFormat="1" ht="15" customHeight="1">
      <c r="A63" s="17"/>
      <c r="B63" s="51" t="s">
        <v>381</v>
      </c>
      <c r="C63" s="241">
        <f>'4.6_транзит_КТЭЦ с косв.'!C63+'4.6_транзит_котельн.'!C63</f>
        <v>0</v>
      </c>
      <c r="D63" s="241">
        <f>'4.6_транзит_КТЭЦ с косв.'!D63+'4.6_транзит_котельн.'!D63</f>
        <v>3347</v>
      </c>
      <c r="E63" s="241">
        <f>'4.6_транзит_КТЭЦ с косв.'!E63+'4.6_транзит_котельн.'!E63</f>
        <v>0</v>
      </c>
      <c r="F63" s="241">
        <v>3482</v>
      </c>
      <c r="G63" s="241">
        <v>0</v>
      </c>
      <c r="H63" s="241">
        <v>1332</v>
      </c>
      <c r="I63" s="241">
        <v>0</v>
      </c>
      <c r="J63" s="241">
        <v>1947</v>
      </c>
      <c r="K63" s="241">
        <v>2072</v>
      </c>
      <c r="L63" s="241">
        <v>1060</v>
      </c>
      <c r="M63" s="241">
        <v>1012</v>
      </c>
      <c r="N63" s="241">
        <v>2187</v>
      </c>
      <c r="O63" s="241">
        <v>1117.5</v>
      </c>
      <c r="P63" s="241">
        <v>1069.5</v>
      </c>
    </row>
    <row r="64" spans="1:16" s="4" customFormat="1" ht="15" customHeight="1">
      <c r="A64" s="17"/>
      <c r="B64" s="51" t="s">
        <v>382</v>
      </c>
      <c r="C64" s="241">
        <f>'4.6_транзит_КТЭЦ с косв.'!C64+'4.6_транзит_котельн.'!C64</f>
        <v>0</v>
      </c>
      <c r="D64" s="241">
        <f>'4.6_транзит_КТЭЦ с косв.'!D64+'4.6_транзит_котельн.'!D64</f>
        <v>67</v>
      </c>
      <c r="E64" s="241">
        <f>'4.6_транзит_КТЭЦ с косв.'!E64+'4.6_транзит_котельн.'!E64</f>
        <v>0</v>
      </c>
      <c r="F64" s="241">
        <v>99</v>
      </c>
      <c r="G64" s="241">
        <v>0</v>
      </c>
      <c r="H64" s="241">
        <v>136</v>
      </c>
      <c r="I64" s="241">
        <v>0</v>
      </c>
      <c r="J64" s="241">
        <v>177</v>
      </c>
      <c r="K64" s="241">
        <v>174</v>
      </c>
      <c r="L64" s="241">
        <v>93</v>
      </c>
      <c r="M64" s="241">
        <v>81</v>
      </c>
      <c r="N64" s="241">
        <v>175</v>
      </c>
      <c r="O64" s="241">
        <v>94</v>
      </c>
      <c r="P64" s="241">
        <v>81</v>
      </c>
    </row>
    <row r="65" spans="1:16" s="4" customFormat="1" ht="15" customHeight="1">
      <c r="A65" s="17"/>
      <c r="B65" s="51" t="s">
        <v>383</v>
      </c>
      <c r="C65" s="241">
        <f>'4.6_транзит_КТЭЦ с косв.'!C65+'4.6_транзит_котельн.'!C65</f>
        <v>0</v>
      </c>
      <c r="D65" s="241">
        <f>'4.6_транзит_КТЭЦ с косв.'!D65+'4.6_транзит_котельн.'!D65</f>
        <v>0</v>
      </c>
      <c r="E65" s="241">
        <f>'4.6_транзит_КТЭЦ с косв.'!E65+'4.6_транзит_котельн.'!E65</f>
        <v>0</v>
      </c>
      <c r="F65" s="241">
        <v>0</v>
      </c>
      <c r="G65" s="241">
        <v>0</v>
      </c>
      <c r="H65" s="241">
        <v>0</v>
      </c>
      <c r="I65" s="241">
        <v>0</v>
      </c>
      <c r="J65" s="241">
        <v>0</v>
      </c>
      <c r="K65" s="241">
        <v>0</v>
      </c>
      <c r="L65" s="241">
        <v>0</v>
      </c>
      <c r="M65" s="241">
        <v>0</v>
      </c>
      <c r="N65" s="241">
        <v>0</v>
      </c>
      <c r="O65" s="241">
        <v>0</v>
      </c>
      <c r="P65" s="241">
        <v>0</v>
      </c>
    </row>
    <row r="66" spans="1:16" s="4" customFormat="1" ht="15" customHeight="1">
      <c r="A66" s="17"/>
      <c r="B66" s="51" t="s">
        <v>384</v>
      </c>
      <c r="C66" s="241">
        <f>'4.6_транзит_КТЭЦ с косв.'!C66+'4.6_транзит_котельн.'!C66</f>
        <v>0</v>
      </c>
      <c r="D66" s="241">
        <f>'4.6_транзит_КТЭЦ с косв.'!D66+'4.6_транзит_котельн.'!D66</f>
        <v>0</v>
      </c>
      <c r="E66" s="241">
        <f>'4.6_транзит_КТЭЦ с косв.'!E66+'4.6_транзит_котельн.'!E66</f>
        <v>0</v>
      </c>
      <c r="F66" s="241">
        <v>0</v>
      </c>
      <c r="G66" s="241">
        <v>0</v>
      </c>
      <c r="H66" s="241">
        <v>0</v>
      </c>
      <c r="I66" s="241">
        <v>0</v>
      </c>
      <c r="J66" s="241">
        <v>0</v>
      </c>
      <c r="K66" s="241">
        <v>0</v>
      </c>
      <c r="L66" s="241">
        <v>0</v>
      </c>
      <c r="M66" s="241">
        <v>0</v>
      </c>
      <c r="N66" s="241">
        <v>0</v>
      </c>
      <c r="O66" s="241">
        <v>0</v>
      </c>
      <c r="P66" s="241">
        <v>0</v>
      </c>
    </row>
    <row r="67" spans="1:16" s="1034" customFormat="1" ht="15" customHeight="1">
      <c r="A67" s="1030" t="s">
        <v>385</v>
      </c>
      <c r="B67" s="1031" t="s">
        <v>386</v>
      </c>
      <c r="C67" s="1032">
        <f>SUM(C68:C71)</f>
        <v>0</v>
      </c>
      <c r="D67" s="1032">
        <f t="shared" ref="D67:E67" si="7">SUM(D68:D71)</f>
        <v>2873</v>
      </c>
      <c r="E67" s="1032">
        <f t="shared" si="7"/>
        <v>0</v>
      </c>
      <c r="F67" s="1032">
        <v>3861.5</v>
      </c>
      <c r="G67" s="1032">
        <v>0</v>
      </c>
      <c r="H67" s="1032">
        <v>2499.9</v>
      </c>
      <c r="I67" s="1032">
        <v>323</v>
      </c>
      <c r="J67" s="1032">
        <v>323</v>
      </c>
      <c r="K67" s="1032">
        <v>344.96400000000006</v>
      </c>
      <c r="L67" s="1032">
        <v>172.48200000000003</v>
      </c>
      <c r="M67" s="1032">
        <v>172.48200000000003</v>
      </c>
      <c r="N67" s="1032">
        <v>365.31687600000004</v>
      </c>
      <c r="O67" s="1032">
        <v>182.65843800000002</v>
      </c>
      <c r="P67" s="1032">
        <v>182.65843800000002</v>
      </c>
    </row>
    <row r="68" spans="1:16" s="1046" customFormat="1" ht="30" customHeight="1">
      <c r="A68" s="1044"/>
      <c r="B68" s="1045" t="s">
        <v>387</v>
      </c>
      <c r="C68" s="258">
        <f>'4.6_транзит_КТЭЦ с косв.'!C68+'4.6_транзит_котельн.'!C68</f>
        <v>0</v>
      </c>
      <c r="D68" s="258">
        <f>'4.6_транзит_КТЭЦ с косв.'!D68+'4.6_транзит_котельн.'!D68</f>
        <v>0</v>
      </c>
      <c r="E68" s="258">
        <f>'4.6_транзит_КТЭЦ с косв.'!E68+'4.6_транзит_котельн.'!E68</f>
        <v>0</v>
      </c>
      <c r="F68" s="258">
        <v>0</v>
      </c>
      <c r="G68" s="258">
        <v>0</v>
      </c>
      <c r="H68" s="258">
        <v>0</v>
      </c>
      <c r="I68" s="258">
        <v>0</v>
      </c>
      <c r="J68" s="258">
        <v>0</v>
      </c>
      <c r="K68" s="258">
        <v>0</v>
      </c>
      <c r="L68" s="258">
        <v>0</v>
      </c>
      <c r="M68" s="258">
        <v>0</v>
      </c>
      <c r="N68" s="258">
        <v>0</v>
      </c>
      <c r="O68" s="258">
        <v>0</v>
      </c>
      <c r="P68" s="258">
        <v>0</v>
      </c>
    </row>
    <row r="69" spans="1:16" s="1046" customFormat="1" ht="15" customHeight="1">
      <c r="A69" s="1044"/>
      <c r="B69" s="1045" t="s">
        <v>388</v>
      </c>
      <c r="C69" s="258">
        <f>'4.6_транзит_КТЭЦ с косв.'!C69+'4.6_транзит_котельн.'!C69</f>
        <v>0</v>
      </c>
      <c r="D69" s="258">
        <f>'4.6_транзит_КТЭЦ с косв.'!D69+'4.6_транзит_котельн.'!D69</f>
        <v>0</v>
      </c>
      <c r="E69" s="258">
        <f>'4.6_транзит_КТЭЦ с косв.'!E69+'4.6_транзит_котельн.'!E69</f>
        <v>0</v>
      </c>
      <c r="F69" s="258">
        <v>0</v>
      </c>
      <c r="G69" s="258">
        <v>0</v>
      </c>
      <c r="H69" s="258">
        <v>0</v>
      </c>
      <c r="I69" s="258">
        <v>0</v>
      </c>
      <c r="J69" s="258">
        <v>0</v>
      </c>
      <c r="K69" s="258">
        <v>0</v>
      </c>
      <c r="L69" s="258">
        <v>0</v>
      </c>
      <c r="M69" s="258">
        <v>0</v>
      </c>
      <c r="N69" s="258">
        <v>0</v>
      </c>
      <c r="O69" s="258">
        <v>0</v>
      </c>
      <c r="P69" s="258">
        <v>0</v>
      </c>
    </row>
    <row r="70" spans="1:16" s="1046" customFormat="1" ht="45" customHeight="1">
      <c r="A70" s="1044"/>
      <c r="B70" s="1045" t="s">
        <v>389</v>
      </c>
      <c r="C70" s="258">
        <f>'4.6_транзит_КТЭЦ с косв.'!C70+'4.6_транзит_котельн.'!C70</f>
        <v>0</v>
      </c>
      <c r="D70" s="258">
        <f>'4.6_транзит_КТЭЦ с косв.'!D70+'4.6_транзит_котельн.'!D70</f>
        <v>0</v>
      </c>
      <c r="E70" s="258">
        <f>'4.6_транзит_КТЭЦ с косв.'!E70+'4.6_транзит_котельн.'!E70</f>
        <v>0</v>
      </c>
      <c r="F70" s="258">
        <v>0</v>
      </c>
      <c r="G70" s="258">
        <v>0</v>
      </c>
      <c r="H70" s="258">
        <v>0</v>
      </c>
      <c r="I70" s="258">
        <v>0</v>
      </c>
      <c r="J70" s="258">
        <v>0</v>
      </c>
      <c r="K70" s="258">
        <v>0</v>
      </c>
      <c r="L70" s="258">
        <v>0</v>
      </c>
      <c r="M70" s="258">
        <v>0</v>
      </c>
      <c r="N70" s="258">
        <v>0</v>
      </c>
      <c r="O70" s="258">
        <v>0</v>
      </c>
      <c r="P70" s="258">
        <v>0</v>
      </c>
    </row>
    <row r="71" spans="1:16" s="1046" customFormat="1" ht="15" customHeight="1">
      <c r="A71" s="1044"/>
      <c r="B71" s="1045" t="s">
        <v>390</v>
      </c>
      <c r="C71" s="258">
        <f>SUM(C72:C77)</f>
        <v>0</v>
      </c>
      <c r="D71" s="258">
        <f t="shared" ref="D71:E71" si="8">SUM(D72:D77)</f>
        <v>2873</v>
      </c>
      <c r="E71" s="258">
        <f t="shared" si="8"/>
        <v>0</v>
      </c>
      <c r="F71" s="258">
        <v>3861.5</v>
      </c>
      <c r="G71" s="258">
        <v>0</v>
      </c>
      <c r="H71" s="258">
        <v>2499.9</v>
      </c>
      <c r="I71" s="258">
        <v>323</v>
      </c>
      <c r="J71" s="258">
        <v>323</v>
      </c>
      <c r="K71" s="258">
        <v>344.96400000000006</v>
      </c>
      <c r="L71" s="258">
        <v>172.48200000000003</v>
      </c>
      <c r="M71" s="258">
        <v>172.48200000000003</v>
      </c>
      <c r="N71" s="258">
        <v>365.31687600000004</v>
      </c>
      <c r="O71" s="258">
        <v>182.65843800000002</v>
      </c>
      <c r="P71" s="258">
        <v>182.65843800000002</v>
      </c>
    </row>
    <row r="72" spans="1:16" s="4" customFormat="1" ht="15" customHeight="1">
      <c r="A72" s="17"/>
      <c r="B72" s="51" t="s">
        <v>961</v>
      </c>
      <c r="C72" s="241">
        <f>'4.6_транзит_КТЭЦ с косв.'!C72+'4.6_транзит_котельн.'!C72</f>
        <v>0</v>
      </c>
      <c r="D72" s="241">
        <f>'4.6_транзит_КТЭЦ с косв.'!D72+'4.6_транзит_котельн.'!D72</f>
        <v>0</v>
      </c>
      <c r="E72" s="241">
        <f>'4.6_транзит_КТЭЦ с косв.'!E72+'4.6_транзит_котельн.'!E72</f>
        <v>0</v>
      </c>
      <c r="F72" s="241">
        <v>0</v>
      </c>
      <c r="G72" s="241">
        <v>0</v>
      </c>
      <c r="H72" s="241">
        <v>0</v>
      </c>
      <c r="I72" s="241">
        <v>0</v>
      </c>
      <c r="J72" s="241">
        <v>0</v>
      </c>
      <c r="K72" s="241">
        <v>0</v>
      </c>
      <c r="L72" s="241">
        <v>0</v>
      </c>
      <c r="M72" s="241">
        <v>0</v>
      </c>
      <c r="N72" s="241">
        <v>0</v>
      </c>
      <c r="O72" s="241">
        <v>0</v>
      </c>
      <c r="P72" s="241">
        <v>0</v>
      </c>
    </row>
    <row r="73" spans="1:16" s="4" customFormat="1" ht="15" customHeight="1">
      <c r="A73" s="17"/>
      <c r="B73" s="51" t="s">
        <v>962</v>
      </c>
      <c r="C73" s="241">
        <f>'4.6_транзит_КТЭЦ с косв.'!C73+'4.6_транзит_котельн.'!C73</f>
        <v>0</v>
      </c>
      <c r="D73" s="241">
        <f>'4.6_транзит_КТЭЦ с косв.'!D73+'4.6_транзит_котельн.'!D73</f>
        <v>0</v>
      </c>
      <c r="E73" s="241">
        <f>'4.6_транзит_КТЭЦ с косв.'!E73+'4.6_транзит_котельн.'!E73</f>
        <v>0</v>
      </c>
      <c r="F73" s="241">
        <v>0</v>
      </c>
      <c r="G73" s="241">
        <v>0</v>
      </c>
      <c r="H73" s="241">
        <v>0</v>
      </c>
      <c r="I73" s="241">
        <v>0</v>
      </c>
      <c r="J73" s="241">
        <v>0</v>
      </c>
      <c r="K73" s="241">
        <v>0</v>
      </c>
      <c r="L73" s="241">
        <v>0</v>
      </c>
      <c r="M73" s="241">
        <v>0</v>
      </c>
      <c r="N73" s="241">
        <v>0</v>
      </c>
      <c r="O73" s="241">
        <v>0</v>
      </c>
      <c r="P73" s="241">
        <v>0</v>
      </c>
    </row>
    <row r="74" spans="1:16" s="4" customFormat="1" ht="15" customHeight="1">
      <c r="A74" s="17"/>
      <c r="B74" s="51" t="s">
        <v>963</v>
      </c>
      <c r="C74" s="241">
        <f>'4.6_транзит_КТЭЦ с косв.'!C74+'4.6_транзит_котельн.'!C74</f>
        <v>0</v>
      </c>
      <c r="D74" s="241">
        <f>'4.6_транзит_КТЭЦ с косв.'!D74+'4.6_транзит_котельн.'!D74</f>
        <v>2873</v>
      </c>
      <c r="E74" s="241">
        <f>'4.6_транзит_КТЭЦ с косв.'!E74+'4.6_транзит_котельн.'!E74</f>
        <v>0</v>
      </c>
      <c r="F74" s="241">
        <v>3861.5</v>
      </c>
      <c r="G74" s="241">
        <v>0</v>
      </c>
      <c r="H74" s="241">
        <v>2499.9</v>
      </c>
      <c r="I74" s="241">
        <v>323</v>
      </c>
      <c r="J74" s="241">
        <v>323</v>
      </c>
      <c r="K74" s="241">
        <v>344.96400000000006</v>
      </c>
      <c r="L74" s="241">
        <v>172.48200000000003</v>
      </c>
      <c r="M74" s="241">
        <v>172.48200000000003</v>
      </c>
      <c r="N74" s="241">
        <v>365.31687600000004</v>
      </c>
      <c r="O74" s="241">
        <v>182.65843800000002</v>
      </c>
      <c r="P74" s="241">
        <v>182.65843800000002</v>
      </c>
    </row>
    <row r="75" spans="1:16" s="4" customFormat="1" ht="15" hidden="1" customHeight="1">
      <c r="A75" s="17"/>
      <c r="B75" s="51"/>
      <c r="C75" s="241">
        <f>'4.6_транзит_КТЭЦ с косв.'!C75+'4.6_транзит_котельн.'!C75</f>
        <v>0</v>
      </c>
      <c r="D75" s="241">
        <f>'4.6_транзит_КТЭЦ с косв.'!D75+'4.6_транзит_котельн.'!D75</f>
        <v>0</v>
      </c>
      <c r="E75" s="241">
        <f>'4.6_транзит_КТЭЦ с косв.'!E75+'4.6_транзит_котельн.'!E75</f>
        <v>0</v>
      </c>
      <c r="F75" s="241">
        <v>0</v>
      </c>
      <c r="G75" s="241">
        <v>0</v>
      </c>
      <c r="H75" s="241">
        <v>0</v>
      </c>
      <c r="I75" s="241">
        <v>0</v>
      </c>
      <c r="J75" s="241">
        <v>0</v>
      </c>
      <c r="K75" s="241">
        <v>0</v>
      </c>
      <c r="L75" s="241">
        <v>0</v>
      </c>
      <c r="M75" s="241">
        <v>0</v>
      </c>
      <c r="N75" s="241">
        <v>0</v>
      </c>
      <c r="O75" s="241">
        <v>0</v>
      </c>
      <c r="P75" s="241">
        <v>0</v>
      </c>
    </row>
    <row r="76" spans="1:16" s="4" customFormat="1" ht="15" hidden="1" customHeight="1">
      <c r="A76" s="17"/>
      <c r="B76" s="51"/>
      <c r="C76" s="241">
        <f>'4.6_транзит_КТЭЦ с косв.'!C76+'4.6_транзит_котельн.'!C76</f>
        <v>0</v>
      </c>
      <c r="D76" s="241">
        <f>'4.6_транзит_КТЭЦ с косв.'!D76+'4.6_транзит_котельн.'!D76</f>
        <v>0</v>
      </c>
      <c r="E76" s="241">
        <f>'4.6_транзит_КТЭЦ с косв.'!E76+'4.6_транзит_котельн.'!E76</f>
        <v>0</v>
      </c>
      <c r="F76" s="241">
        <v>0</v>
      </c>
      <c r="G76" s="241">
        <v>0</v>
      </c>
      <c r="H76" s="241">
        <v>0</v>
      </c>
      <c r="I76" s="241">
        <v>0</v>
      </c>
      <c r="J76" s="241">
        <v>0</v>
      </c>
      <c r="K76" s="241">
        <v>0</v>
      </c>
      <c r="L76" s="241">
        <v>0</v>
      </c>
      <c r="M76" s="241">
        <v>0</v>
      </c>
      <c r="N76" s="241">
        <v>0</v>
      </c>
      <c r="O76" s="241">
        <v>0</v>
      </c>
      <c r="P76" s="241">
        <v>0</v>
      </c>
    </row>
    <row r="77" spans="1:16" s="4" customFormat="1" ht="15" hidden="1" customHeight="1">
      <c r="A77" s="17"/>
      <c r="B77" s="51"/>
      <c r="C77" s="241">
        <f>'4.6_транзит_КТЭЦ с косв.'!C77+'4.6_транзит_котельн.'!C77</f>
        <v>0</v>
      </c>
      <c r="D77" s="241">
        <f>'4.6_транзит_КТЭЦ с косв.'!D77+'4.6_транзит_котельн.'!D77</f>
        <v>0</v>
      </c>
      <c r="E77" s="241">
        <f>'4.6_транзит_КТЭЦ с косв.'!E77+'4.6_транзит_котельн.'!E77</f>
        <v>0</v>
      </c>
      <c r="F77" s="241">
        <v>0</v>
      </c>
      <c r="G77" s="241">
        <v>0</v>
      </c>
      <c r="H77" s="241">
        <v>0</v>
      </c>
      <c r="I77" s="241">
        <v>0</v>
      </c>
      <c r="J77" s="241">
        <v>0</v>
      </c>
      <c r="K77" s="241">
        <v>0</v>
      </c>
      <c r="L77" s="241">
        <v>0</v>
      </c>
      <c r="M77" s="241">
        <v>0</v>
      </c>
      <c r="N77" s="241">
        <v>0</v>
      </c>
      <c r="O77" s="241">
        <v>0</v>
      </c>
      <c r="P77" s="241">
        <v>0</v>
      </c>
    </row>
    <row r="78" spans="1:16" s="1034" customFormat="1" ht="30.75" customHeight="1">
      <c r="A78" s="1030" t="s">
        <v>391</v>
      </c>
      <c r="B78" s="1031" t="s">
        <v>392</v>
      </c>
      <c r="C78" s="1032">
        <f>SUM(C79:C82)</f>
        <v>0</v>
      </c>
      <c r="D78" s="1032">
        <f t="shared" ref="D78:E78" si="9">SUM(D79:D82)</f>
        <v>8349</v>
      </c>
      <c r="E78" s="1032">
        <f t="shared" si="9"/>
        <v>0</v>
      </c>
      <c r="F78" s="1032">
        <v>10073</v>
      </c>
      <c r="G78" s="1032">
        <v>0</v>
      </c>
      <c r="H78" s="1032">
        <v>10967.6</v>
      </c>
      <c r="I78" s="1032">
        <v>15326</v>
      </c>
      <c r="J78" s="1032">
        <v>9867</v>
      </c>
      <c r="K78" s="1032">
        <v>10537.956</v>
      </c>
      <c r="L78" s="1032">
        <v>5268.9780000000001</v>
      </c>
      <c r="M78" s="1032">
        <v>5268.9780000000001</v>
      </c>
      <c r="N78" s="1032">
        <v>11159.695404</v>
      </c>
      <c r="O78" s="1032">
        <v>5579.847702</v>
      </c>
      <c r="P78" s="1032">
        <v>5579.847702</v>
      </c>
    </row>
    <row r="79" spans="1:16" s="1046" customFormat="1" ht="30">
      <c r="A79" s="1044"/>
      <c r="B79" s="1045" t="s">
        <v>393</v>
      </c>
      <c r="C79" s="258">
        <f>'4.6_транзит_КТЭЦ с косв.'!C79+'4.6_транзит_котельн.'!C79</f>
        <v>0</v>
      </c>
      <c r="D79" s="258">
        <f>'4.6_транзит_КТЭЦ с косв.'!D79+'4.6_транзит_котельн.'!D79</f>
        <v>0</v>
      </c>
      <c r="E79" s="258">
        <f>'4.6_транзит_КТЭЦ с косв.'!E79+'4.6_транзит_котельн.'!E79</f>
        <v>0</v>
      </c>
      <c r="F79" s="258">
        <v>0</v>
      </c>
      <c r="G79" s="258">
        <v>0</v>
      </c>
      <c r="H79" s="258">
        <v>0</v>
      </c>
      <c r="I79" s="258">
        <v>0</v>
      </c>
      <c r="J79" s="258">
        <v>0</v>
      </c>
      <c r="K79" s="258">
        <v>0</v>
      </c>
      <c r="L79" s="258">
        <v>0</v>
      </c>
      <c r="M79" s="258">
        <v>0</v>
      </c>
      <c r="N79" s="258">
        <v>0</v>
      </c>
      <c r="O79" s="258">
        <v>0</v>
      </c>
      <c r="P79" s="258">
        <v>0</v>
      </c>
    </row>
    <row r="80" spans="1:16" s="1046" customFormat="1" ht="30" customHeight="1">
      <c r="A80" s="1044"/>
      <c r="B80" s="1045" t="s">
        <v>394</v>
      </c>
      <c r="C80" s="258">
        <f>'4.6_транзит_КТЭЦ с косв.'!C80+'4.6_транзит_котельн.'!C80</f>
        <v>0</v>
      </c>
      <c r="D80" s="258">
        <f>'4.6_транзит_КТЭЦ с косв.'!D80+'4.6_транзит_котельн.'!D80</f>
        <v>7681</v>
      </c>
      <c r="E80" s="258">
        <f>'4.6_транзит_КТЭЦ с косв.'!E80+'4.6_транзит_котельн.'!E80</f>
        <v>0</v>
      </c>
      <c r="F80" s="258">
        <v>8807</v>
      </c>
      <c r="G80" s="258">
        <v>0</v>
      </c>
      <c r="H80" s="258">
        <v>9363.6</v>
      </c>
      <c r="I80" s="258">
        <v>9192</v>
      </c>
      <c r="J80" s="258">
        <v>9192</v>
      </c>
      <c r="K80" s="258">
        <v>9817.0560000000005</v>
      </c>
      <c r="L80" s="258">
        <v>4908.5280000000002</v>
      </c>
      <c r="M80" s="258">
        <v>4908.5280000000002</v>
      </c>
      <c r="N80" s="258">
        <v>10396.262304</v>
      </c>
      <c r="O80" s="258">
        <v>5198.1311519999999</v>
      </c>
      <c r="P80" s="258">
        <v>5198.1311519999999</v>
      </c>
    </row>
    <row r="81" spans="1:16" s="1046" customFormat="1" ht="15" customHeight="1">
      <c r="A81" s="1044"/>
      <c r="B81" s="1045" t="s">
        <v>1568</v>
      </c>
      <c r="C81" s="258">
        <f>'4.6_транзит_КТЭЦ с косв.'!C81+'4.6_транзит_котельн.'!C81</f>
        <v>0</v>
      </c>
      <c r="D81" s="258">
        <f>'4.6_транзит_КТЭЦ с косв.'!D81+'4.6_транзит_котельн.'!D81</f>
        <v>0</v>
      </c>
      <c r="E81" s="258">
        <f>'4.6_транзит_КТЭЦ с косв.'!E81+'4.6_транзит_котельн.'!E81</f>
        <v>0</v>
      </c>
      <c r="F81" s="258">
        <v>0</v>
      </c>
      <c r="G81" s="258">
        <v>0</v>
      </c>
      <c r="H81" s="258">
        <v>0</v>
      </c>
      <c r="I81" s="258">
        <v>0</v>
      </c>
      <c r="J81" s="258">
        <v>0</v>
      </c>
      <c r="K81" s="258">
        <v>0</v>
      </c>
      <c r="L81" s="258">
        <v>0</v>
      </c>
      <c r="M81" s="258">
        <v>0</v>
      </c>
      <c r="N81" s="258">
        <v>0</v>
      </c>
      <c r="O81" s="258">
        <v>0</v>
      </c>
      <c r="P81" s="258">
        <v>0</v>
      </c>
    </row>
    <row r="82" spans="1:16" s="1046" customFormat="1" ht="28.5" customHeight="1">
      <c r="A82" s="1044"/>
      <c r="B82" s="1045" t="s">
        <v>1957</v>
      </c>
      <c r="C82" s="258">
        <f>'4.6_транзит_КТЭЦ с косв.'!C82+'4.6_транзит_котельн.'!C82</f>
        <v>0</v>
      </c>
      <c r="D82" s="258">
        <f>'4.6_транзит_КТЭЦ с косв.'!D82+'4.6_транзит_котельн.'!D82</f>
        <v>668</v>
      </c>
      <c r="E82" s="258">
        <f>'4.6_транзит_КТЭЦ с косв.'!E82+'4.6_транзит_котельн.'!E82</f>
        <v>0</v>
      </c>
      <c r="F82" s="258">
        <v>1266</v>
      </c>
      <c r="G82" s="258">
        <v>0</v>
      </c>
      <c r="H82" s="258">
        <v>1604</v>
      </c>
      <c r="I82" s="258">
        <v>6134</v>
      </c>
      <c r="J82" s="258">
        <v>675</v>
      </c>
      <c r="K82" s="258">
        <v>720.90000000000009</v>
      </c>
      <c r="L82" s="258">
        <v>360.45000000000005</v>
      </c>
      <c r="M82" s="258">
        <v>360.45000000000005</v>
      </c>
      <c r="N82" s="258">
        <v>763.43310000000008</v>
      </c>
      <c r="O82" s="258">
        <v>381.71655000000004</v>
      </c>
      <c r="P82" s="258">
        <v>381.71655000000004</v>
      </c>
    </row>
    <row r="83" spans="1:16" s="1034" customFormat="1" ht="15" customHeight="1">
      <c r="A83" s="1030" t="s">
        <v>395</v>
      </c>
      <c r="B83" s="1031" t="s">
        <v>396</v>
      </c>
      <c r="C83" s="1032">
        <f>'4.6_транзит_КТЭЦ с косв.'!C83+'4.6_транзит_котельн.'!C83</f>
        <v>0</v>
      </c>
      <c r="D83" s="1032">
        <f>'4.6_транзит_КТЭЦ с косв.'!D83+'4.6_транзит_котельн.'!D83</f>
        <v>2087.25</v>
      </c>
      <c r="E83" s="1032">
        <f>'4.6_транзит_КТЭЦ с косв.'!E83+'4.6_транзит_котельн.'!E83</f>
        <v>0</v>
      </c>
      <c r="F83" s="1032">
        <v>2518.25</v>
      </c>
      <c r="G83" s="1032">
        <v>0</v>
      </c>
      <c r="H83" s="1032">
        <v>2741.9</v>
      </c>
      <c r="I83" s="1032">
        <v>3831.5</v>
      </c>
      <c r="J83" s="1032">
        <v>2466.75</v>
      </c>
      <c r="K83" s="1032">
        <v>2634.4890000000005</v>
      </c>
      <c r="L83" s="1032">
        <v>1317.2445000000002</v>
      </c>
      <c r="M83" s="1032">
        <v>1317.2445000000002</v>
      </c>
      <c r="N83" s="1032">
        <v>2789.923851</v>
      </c>
      <c r="O83" s="1032">
        <v>1394.9619255</v>
      </c>
      <c r="P83" s="1032">
        <v>1394.9619255</v>
      </c>
    </row>
    <row r="84" spans="1:16" s="1034" customFormat="1" ht="15" customHeight="1">
      <c r="A84" s="1030" t="s">
        <v>397</v>
      </c>
      <c r="B84" s="1031" t="s">
        <v>398</v>
      </c>
      <c r="C84" s="1032">
        <f>C85-C88</f>
        <v>0</v>
      </c>
      <c r="D84" s="1032">
        <f t="shared" ref="D84:E84" si="10">D85-D88</f>
        <v>0</v>
      </c>
      <c r="E84" s="1032">
        <f t="shared" si="10"/>
        <v>0</v>
      </c>
      <c r="F84" s="1032">
        <v>0</v>
      </c>
      <c r="G84" s="1032">
        <v>0</v>
      </c>
      <c r="H84" s="1032">
        <v>0</v>
      </c>
      <c r="I84" s="1032">
        <v>0</v>
      </c>
      <c r="J84" s="1032">
        <v>0</v>
      </c>
      <c r="K84" s="1032">
        <v>187762.9</v>
      </c>
      <c r="L84" s="1032">
        <v>0</v>
      </c>
      <c r="M84" s="1032">
        <v>187762.9</v>
      </c>
      <c r="N84" s="1032">
        <v>0</v>
      </c>
      <c r="O84" s="1032">
        <v>0</v>
      </c>
      <c r="P84" s="1032">
        <v>0</v>
      </c>
    </row>
    <row r="85" spans="1:16" s="585" customFormat="1" ht="15" customHeight="1">
      <c r="A85" s="583"/>
      <c r="B85" s="582" t="s">
        <v>1140</v>
      </c>
      <c r="C85" s="587">
        <f>C86+C87</f>
        <v>0</v>
      </c>
      <c r="D85" s="587">
        <f t="shared" ref="D85:E85" si="11">D86+D87</f>
        <v>0</v>
      </c>
      <c r="E85" s="587">
        <f t="shared" si="11"/>
        <v>0</v>
      </c>
      <c r="F85" s="587">
        <v>0</v>
      </c>
      <c r="G85" s="587">
        <v>0</v>
      </c>
      <c r="H85" s="587">
        <v>0</v>
      </c>
      <c r="I85" s="587">
        <v>0</v>
      </c>
      <c r="J85" s="587">
        <v>0</v>
      </c>
      <c r="K85" s="587">
        <v>242962.9</v>
      </c>
      <c r="L85" s="587">
        <v>0</v>
      </c>
      <c r="M85" s="587">
        <v>242962.9</v>
      </c>
      <c r="N85" s="587">
        <v>0</v>
      </c>
      <c r="O85" s="587">
        <v>0</v>
      </c>
      <c r="P85" s="587">
        <v>0</v>
      </c>
    </row>
    <row r="86" spans="1:16" s="341" customFormat="1" ht="15" customHeight="1">
      <c r="A86" s="339"/>
      <c r="B86" s="340" t="s">
        <v>959</v>
      </c>
      <c r="C86" s="241">
        <f>'4.6_транзит_КТЭЦ с косв.'!C86+'4.6_транзит_котельн.'!C86</f>
        <v>0</v>
      </c>
      <c r="D86" s="241">
        <f>'4.6_транзит_КТЭЦ с косв.'!D86+'4.6_транзит_котельн.'!D86</f>
        <v>0</v>
      </c>
      <c r="E86" s="241">
        <f>'4.6_транзит_КТЭЦ с косв.'!E86+'4.6_транзит_котельн.'!E86</f>
        <v>0</v>
      </c>
      <c r="F86" s="241">
        <v>0</v>
      </c>
      <c r="G86" s="241">
        <v>0</v>
      </c>
      <c r="H86" s="241">
        <v>0</v>
      </c>
      <c r="I86" s="241">
        <v>0</v>
      </c>
      <c r="J86" s="241">
        <v>0</v>
      </c>
      <c r="K86" s="241">
        <v>242962.9</v>
      </c>
      <c r="L86" s="241">
        <v>0</v>
      </c>
      <c r="M86" s="241">
        <v>242962.9</v>
      </c>
      <c r="N86" s="241">
        <v>0</v>
      </c>
      <c r="O86" s="241">
        <v>0</v>
      </c>
      <c r="P86" s="241">
        <v>0</v>
      </c>
    </row>
    <row r="87" spans="1:16" s="341" customFormat="1" ht="15" customHeight="1">
      <c r="A87" s="339"/>
      <c r="B87" s="51" t="s">
        <v>960</v>
      </c>
      <c r="C87" s="241">
        <f>'4.6_транзит_КТЭЦ с косв.'!C87+'4.6_транзит_котельн.'!C87</f>
        <v>0</v>
      </c>
      <c r="D87" s="241">
        <f>'4.6_транзит_КТЭЦ с косв.'!D87+'4.6_транзит_котельн.'!D87</f>
        <v>0</v>
      </c>
      <c r="E87" s="241">
        <f>'4.6_транзит_КТЭЦ с косв.'!E87+'4.6_транзит_котельн.'!E87</f>
        <v>0</v>
      </c>
      <c r="F87" s="241">
        <v>0</v>
      </c>
      <c r="G87" s="241">
        <v>0</v>
      </c>
      <c r="H87" s="241">
        <v>0</v>
      </c>
      <c r="I87" s="241">
        <v>0</v>
      </c>
      <c r="J87" s="241">
        <v>0</v>
      </c>
      <c r="K87" s="241">
        <v>0</v>
      </c>
      <c r="L87" s="241">
        <v>0</v>
      </c>
      <c r="M87" s="241">
        <v>0</v>
      </c>
      <c r="N87" s="241">
        <v>0</v>
      </c>
      <c r="O87" s="241">
        <v>0</v>
      </c>
      <c r="P87" s="241">
        <v>0</v>
      </c>
    </row>
    <row r="88" spans="1:16" s="588" customFormat="1" ht="15.75" customHeight="1">
      <c r="A88" s="586"/>
      <c r="B88" s="582" t="s">
        <v>1141</v>
      </c>
      <c r="C88" s="587">
        <f>C89+C90</f>
        <v>0</v>
      </c>
      <c r="D88" s="587">
        <f t="shared" ref="D88:E88" si="12">D89+D90</f>
        <v>0</v>
      </c>
      <c r="E88" s="587">
        <f t="shared" si="12"/>
        <v>0</v>
      </c>
      <c r="F88" s="587">
        <v>0</v>
      </c>
      <c r="G88" s="587">
        <v>0</v>
      </c>
      <c r="H88" s="587">
        <v>0</v>
      </c>
      <c r="I88" s="587">
        <v>0</v>
      </c>
      <c r="J88" s="587">
        <v>0</v>
      </c>
      <c r="K88" s="587">
        <v>55200</v>
      </c>
      <c r="L88" s="587">
        <v>0</v>
      </c>
      <c r="M88" s="587">
        <v>55200</v>
      </c>
      <c r="N88" s="587">
        <v>0</v>
      </c>
      <c r="O88" s="587">
        <v>0</v>
      </c>
      <c r="P88" s="587">
        <v>0</v>
      </c>
    </row>
    <row r="89" spans="1:16" s="341" customFormat="1" ht="15" customHeight="1">
      <c r="A89" s="339"/>
      <c r="B89" s="340" t="s">
        <v>959</v>
      </c>
      <c r="C89" s="241">
        <f>'4.6_транзит_КТЭЦ с косв.'!C89+'4.6_транзит_котельн.'!C89</f>
        <v>0</v>
      </c>
      <c r="D89" s="241">
        <f>'4.6_транзит_КТЭЦ с косв.'!D89+'4.6_транзит_котельн.'!D89</f>
        <v>0</v>
      </c>
      <c r="E89" s="241">
        <f>'4.6_транзит_КТЭЦ с косв.'!E89+'4.6_транзит_котельн.'!E89</f>
        <v>0</v>
      </c>
      <c r="F89" s="241">
        <v>0</v>
      </c>
      <c r="G89" s="241">
        <v>0</v>
      </c>
      <c r="H89" s="241">
        <v>0</v>
      </c>
      <c r="I89" s="241">
        <v>0</v>
      </c>
      <c r="J89" s="241">
        <v>0</v>
      </c>
      <c r="K89" s="241">
        <v>55200</v>
      </c>
      <c r="L89" s="241">
        <v>0</v>
      </c>
      <c r="M89" s="241">
        <v>55200</v>
      </c>
      <c r="N89" s="241">
        <v>0</v>
      </c>
      <c r="O89" s="241">
        <v>0</v>
      </c>
      <c r="P89" s="241">
        <v>0</v>
      </c>
    </row>
    <row r="90" spans="1:16" s="341" customFormat="1" ht="30">
      <c r="A90" s="339"/>
      <c r="B90" s="51" t="s">
        <v>960</v>
      </c>
      <c r="C90" s="241">
        <f>'4.6_транзит_КТЭЦ с косв.'!C90+'4.6_транзит_котельн.'!C90</f>
        <v>0</v>
      </c>
      <c r="D90" s="241">
        <f>'4.6_транзит_КТЭЦ с косв.'!D90+'4.6_транзит_котельн.'!D90</f>
        <v>0</v>
      </c>
      <c r="E90" s="241">
        <f>'4.6_транзит_КТЭЦ с косв.'!E90+'4.6_транзит_котельн.'!E90</f>
        <v>0</v>
      </c>
      <c r="F90" s="241">
        <v>0</v>
      </c>
      <c r="G90" s="241">
        <v>0</v>
      </c>
      <c r="H90" s="241">
        <v>0</v>
      </c>
      <c r="I90" s="241">
        <v>0</v>
      </c>
      <c r="J90" s="241">
        <v>0</v>
      </c>
      <c r="K90" s="241">
        <v>0</v>
      </c>
      <c r="L90" s="241">
        <v>0</v>
      </c>
      <c r="M90" s="241">
        <v>0</v>
      </c>
      <c r="N90" s="241">
        <v>0</v>
      </c>
      <c r="O90" s="241">
        <v>0</v>
      </c>
      <c r="P90" s="241">
        <v>0</v>
      </c>
    </row>
    <row r="91" spans="1:16" s="1055" customFormat="1" ht="20.25" customHeight="1">
      <c r="A91" s="1052" t="s">
        <v>399</v>
      </c>
      <c r="B91" s="1053" t="s">
        <v>400</v>
      </c>
      <c r="C91" s="1054">
        <f t="shared" ref="C91:E91" si="13">C7+C67+C78+C83+C84</f>
        <v>0</v>
      </c>
      <c r="D91" s="1054">
        <f t="shared" si="13"/>
        <v>1198767.1500190001</v>
      </c>
      <c r="E91" s="1054">
        <f t="shared" si="13"/>
        <v>0</v>
      </c>
      <c r="F91" s="1054">
        <v>1343715.8748834338</v>
      </c>
      <c r="G91" s="1054">
        <v>130268.57463419999</v>
      </c>
      <c r="H91" s="1054">
        <v>1516863.2131222261</v>
      </c>
      <c r="I91" s="1054">
        <v>184613.5</v>
      </c>
      <c r="J91" s="1054">
        <v>1714694.7077005303</v>
      </c>
      <c r="K91" s="1054">
        <v>1989221.4044682137</v>
      </c>
      <c r="L91" s="1054">
        <v>903194.55399828008</v>
      </c>
      <c r="M91" s="1054">
        <v>1086027.8504699341</v>
      </c>
      <c r="N91" s="1054">
        <v>1910964.1279332447</v>
      </c>
      <c r="O91" s="1054">
        <v>961459.29297640105</v>
      </c>
      <c r="P91" s="1054">
        <v>949504.83495684376</v>
      </c>
    </row>
    <row r="92" spans="1:16" s="4" customFormat="1" ht="15" customHeight="1">
      <c r="A92" s="17" t="s">
        <v>401</v>
      </c>
      <c r="B92" s="51" t="s">
        <v>1269</v>
      </c>
      <c r="C92" s="241">
        <f>'4.6_транзит_КТЭЦ с косв.'!C92+'4.6_транзит_котельн.'!C92</f>
        <v>0</v>
      </c>
      <c r="D92" s="241">
        <f>'4.6_транзит_КТЭЦ с косв.'!D92+'4.6_транзит_котельн.'!D92</f>
        <v>0</v>
      </c>
      <c r="E92" s="241">
        <f>'4.6_транзит_КТЭЦ с косв.'!E92+'4.6_транзит_котельн.'!E92</f>
        <v>0</v>
      </c>
      <c r="F92" s="241">
        <v>0</v>
      </c>
      <c r="G92" s="241">
        <v>0</v>
      </c>
      <c r="H92" s="241">
        <v>0</v>
      </c>
      <c r="I92" s="241">
        <v>0</v>
      </c>
      <c r="J92" s="241">
        <v>0</v>
      </c>
      <c r="K92" s="241">
        <v>0</v>
      </c>
      <c r="L92" s="241">
        <v>0</v>
      </c>
      <c r="M92" s="241">
        <v>0</v>
      </c>
      <c r="N92" s="241">
        <v>0</v>
      </c>
      <c r="O92" s="241">
        <v>0</v>
      </c>
      <c r="P92" s="241">
        <v>0</v>
      </c>
    </row>
    <row r="93" spans="1:16" s="4" customFormat="1" ht="15" customHeight="1">
      <c r="A93" s="17" t="s">
        <v>403</v>
      </c>
      <c r="B93" s="51" t="s">
        <v>1270</v>
      </c>
      <c r="C93" s="241">
        <f>'4.6_транзит_КТЭЦ с косв.'!C93+'4.6_транзит_котельн.'!C93</f>
        <v>0</v>
      </c>
      <c r="D93" s="241">
        <f>'4.6_транзит_КТЭЦ с косв.'!D93+'4.6_транзит_котельн.'!D93</f>
        <v>1198767.1500190001</v>
      </c>
      <c r="E93" s="241">
        <f>'4.6_транзит_КТЭЦ с косв.'!E93+'4.6_транзит_котельн.'!E93</f>
        <v>0</v>
      </c>
      <c r="F93" s="241">
        <v>1340156.8748834338</v>
      </c>
      <c r="G93" s="241">
        <v>130268.57463419999</v>
      </c>
      <c r="H93" s="241">
        <v>1516863.2131222263</v>
      </c>
      <c r="I93" s="241">
        <v>184613.5</v>
      </c>
      <c r="J93" s="241">
        <v>1714694.7077005305</v>
      </c>
      <c r="K93" s="241">
        <v>1989221.4044682141</v>
      </c>
      <c r="L93" s="241">
        <v>903194.55399827997</v>
      </c>
      <c r="M93" s="241">
        <v>1086027.8504699338</v>
      </c>
      <c r="N93" s="241">
        <v>1910964.1279332449</v>
      </c>
      <c r="O93" s="241">
        <v>961459.29297640105</v>
      </c>
      <c r="P93" s="241">
        <v>949504.83495684364</v>
      </c>
    </row>
    <row r="94" spans="1:16" s="4" customFormat="1" ht="15" customHeight="1">
      <c r="A94" s="17" t="s">
        <v>405</v>
      </c>
      <c r="B94" s="51" t="s">
        <v>1271</v>
      </c>
      <c r="C94" s="241">
        <f>'4.6_транзит_КТЭЦ с косв.'!C94+'4.6_транзит_котельн.'!C94</f>
        <v>0</v>
      </c>
      <c r="D94" s="241">
        <f>'4.6_транзит_КТЭЦ с косв.'!D94+'4.6_транзит_котельн.'!D94</f>
        <v>0</v>
      </c>
      <c r="E94" s="241">
        <f>'4.6_транзит_КТЭЦ с косв.'!E94+'4.6_транзит_котельн.'!E94</f>
        <v>0</v>
      </c>
      <c r="F94" s="241">
        <v>0</v>
      </c>
      <c r="G94" s="241">
        <v>0</v>
      </c>
      <c r="H94" s="241">
        <v>0</v>
      </c>
      <c r="I94" s="241">
        <v>0</v>
      </c>
      <c r="J94" s="241">
        <v>0</v>
      </c>
      <c r="K94" s="241">
        <v>0</v>
      </c>
      <c r="L94" s="241">
        <v>0</v>
      </c>
      <c r="M94" s="241">
        <v>0</v>
      </c>
      <c r="N94" s="241">
        <v>0</v>
      </c>
      <c r="O94" s="241">
        <v>0</v>
      </c>
      <c r="P94" s="241">
        <v>0</v>
      </c>
    </row>
    <row r="95" spans="1:16" s="4" customFormat="1" ht="15" customHeight="1">
      <c r="A95" s="17" t="s">
        <v>407</v>
      </c>
      <c r="B95" s="51" t="s">
        <v>408</v>
      </c>
      <c r="C95" s="241">
        <f>'4.6_транзит_КТЭЦ с косв.'!C95+'4.6_транзит_котельн.'!C95</f>
        <v>0</v>
      </c>
      <c r="D95" s="241">
        <f>'4.6_транзит_КТЭЦ с косв.'!D95+'4.6_транзит_котельн.'!D95</f>
        <v>0</v>
      </c>
      <c r="E95" s="241">
        <f>'4.6_транзит_КТЭЦ с косв.'!E95+'4.6_транзит_котельн.'!E95</f>
        <v>0</v>
      </c>
      <c r="F95" s="241">
        <v>0</v>
      </c>
      <c r="G95" s="241">
        <v>0</v>
      </c>
      <c r="H95" s="241">
        <v>0</v>
      </c>
      <c r="I95" s="241">
        <v>0</v>
      </c>
      <c r="J95" s="241">
        <v>0</v>
      </c>
      <c r="K95" s="241">
        <v>0</v>
      </c>
      <c r="L95" s="241">
        <v>0</v>
      </c>
      <c r="M95" s="241">
        <v>0</v>
      </c>
      <c r="N95" s="241">
        <v>0</v>
      </c>
      <c r="O95" s="241">
        <v>0</v>
      </c>
      <c r="P95" s="241">
        <v>0</v>
      </c>
    </row>
    <row r="96" spans="1:16" s="4" customFormat="1" ht="15" customHeight="1">
      <c r="A96" s="17"/>
      <c r="B96" s="51"/>
      <c r="C96" s="241"/>
      <c r="D96" s="241"/>
      <c r="E96" s="241"/>
      <c r="F96" s="241"/>
      <c r="G96" s="241"/>
      <c r="H96" s="241"/>
      <c r="I96" s="241"/>
      <c r="J96" s="241"/>
      <c r="K96" s="241"/>
      <c r="L96" s="241"/>
      <c r="M96" s="241"/>
      <c r="N96" s="241"/>
      <c r="O96" s="241"/>
      <c r="P96" s="241"/>
    </row>
    <row r="97" spans="1:16" s="4" customFormat="1" ht="28.5">
      <c r="A97" s="17"/>
      <c r="B97" s="755" t="s">
        <v>1268</v>
      </c>
      <c r="C97" s="286">
        <f>'4.3_свод'!E8</f>
        <v>1379.6589999999999</v>
      </c>
      <c r="D97" s="286">
        <f>'4.3_свод'!I8</f>
        <v>1317.6889999999999</v>
      </c>
      <c r="E97" s="286">
        <f>'4.3_свод'!M8</f>
        <v>1373.1469999999997</v>
      </c>
      <c r="F97" s="286">
        <v>1257.6792</v>
      </c>
      <c r="G97" s="286">
        <v>1370.5355758999997</v>
      </c>
      <c r="H97" s="286">
        <v>1213.5347615570001</v>
      </c>
      <c r="I97" s="286">
        <v>0</v>
      </c>
      <c r="J97" s="286">
        <v>1261.1354999999999</v>
      </c>
      <c r="K97" s="286">
        <v>1249.7249999999999</v>
      </c>
      <c r="L97" s="286">
        <v>760.1579999999999</v>
      </c>
      <c r="M97" s="286">
        <v>489.56699999999995</v>
      </c>
      <c r="N97" s="286">
        <v>1249.7249999999999</v>
      </c>
      <c r="O97" s="286">
        <v>760.1579999999999</v>
      </c>
      <c r="P97" s="286">
        <v>489.56699999999995</v>
      </c>
    </row>
    <row r="98" spans="1:16" s="4" customFormat="1" ht="15" customHeight="1">
      <c r="A98" s="17"/>
      <c r="B98" s="51"/>
      <c r="C98" s="241"/>
      <c r="D98" s="241"/>
      <c r="E98" s="241"/>
      <c r="F98" s="241"/>
      <c r="G98" s="241"/>
      <c r="H98" s="241"/>
      <c r="I98" s="241"/>
      <c r="J98" s="241"/>
      <c r="K98" s="241"/>
      <c r="L98" s="241"/>
      <c r="M98" s="241"/>
      <c r="N98" s="241"/>
      <c r="O98" s="241"/>
      <c r="P98" s="241"/>
    </row>
    <row r="99" spans="1:16" s="4" customFormat="1" ht="15" customHeight="1">
      <c r="A99" s="17"/>
      <c r="B99" s="253" t="s">
        <v>1266</v>
      </c>
      <c r="C99" s="428">
        <f>C93/C97</f>
        <v>0</v>
      </c>
      <c r="D99" s="428">
        <f t="shared" ref="D99:E99" si="14">D93/D97</f>
        <v>909.7496829820999</v>
      </c>
      <c r="E99" s="428">
        <f t="shared" si="14"/>
        <v>0</v>
      </c>
      <c r="F99" s="428">
        <v>1065.5792628863019</v>
      </c>
      <c r="G99" s="428">
        <v>95.04939304377821</v>
      </c>
      <c r="H99" s="428">
        <v>1249.9544810533873</v>
      </c>
      <c r="I99" s="428" t="e">
        <v>#DIV/0!</v>
      </c>
      <c r="J99" s="428">
        <v>1359.6435178460449</v>
      </c>
      <c r="K99" s="428">
        <v>1591.7273035813594</v>
      </c>
      <c r="L99" s="428">
        <v>1188.1668732004136</v>
      </c>
      <c r="M99" s="428">
        <v>2218.3436597440882</v>
      </c>
      <c r="N99" s="428">
        <v>1529.1077060419252</v>
      </c>
      <c r="O99" s="428">
        <v>1264.8150686783551</v>
      </c>
      <c r="P99" s="428">
        <v>1939.4788352908668</v>
      </c>
    </row>
    <row r="100" spans="1:16" s="4" customFormat="1" ht="15" customHeight="1">
      <c r="A100" s="17"/>
      <c r="B100" s="253" t="s">
        <v>1267</v>
      </c>
      <c r="C100" s="428" t="e">
        <f>C94/#REF!</f>
        <v>#REF!</v>
      </c>
      <c r="D100" s="428" t="e">
        <f>D94/#REF!</f>
        <v>#REF!</v>
      </c>
      <c r="E100" s="428" t="e">
        <f>E94/#REF!</f>
        <v>#REF!</v>
      </c>
      <c r="F100" s="428" t="e">
        <f>F94/#REF!</f>
        <v>#REF!</v>
      </c>
      <c r="G100" s="428"/>
      <c r="H100" s="428"/>
      <c r="I100" s="428"/>
      <c r="J100" s="428"/>
      <c r="K100" s="428" t="e">
        <f>K94/#REF!</f>
        <v>#REF!</v>
      </c>
      <c r="L100" s="428" t="e">
        <f>L94/#REF!</f>
        <v>#REF!</v>
      </c>
      <c r="M100" s="428" t="e">
        <f>M94/#REF!</f>
        <v>#REF!</v>
      </c>
      <c r="N100" s="978"/>
      <c r="O100" s="978"/>
      <c r="P100" s="978"/>
    </row>
    <row r="101" spans="1:16" s="4" customFormat="1" ht="15" customHeight="1">
      <c r="A101" s="17"/>
      <c r="B101" s="1131" t="s">
        <v>1512</v>
      </c>
      <c r="C101" s="428"/>
      <c r="D101" s="428"/>
      <c r="E101" s="428"/>
      <c r="F101" s="428"/>
      <c r="G101" s="428"/>
      <c r="H101" s="428"/>
      <c r="I101" s="428"/>
      <c r="J101" s="428"/>
      <c r="K101" s="428"/>
      <c r="L101" s="428"/>
      <c r="M101" s="428"/>
      <c r="N101" s="978"/>
      <c r="O101" s="978"/>
      <c r="P101" s="978"/>
    </row>
    <row r="102" spans="1:16" s="4" customFormat="1" ht="15" customHeight="1">
      <c r="A102" s="17"/>
      <c r="B102" s="1131" t="s">
        <v>1513</v>
      </c>
      <c r="C102" s="428"/>
      <c r="D102" s="428"/>
      <c r="E102" s="428"/>
      <c r="F102" s="428"/>
      <c r="G102" s="428"/>
      <c r="H102" s="428"/>
      <c r="I102" s="428"/>
      <c r="J102" s="428"/>
      <c r="K102" s="428"/>
      <c r="L102" s="428"/>
      <c r="M102" s="428"/>
      <c r="N102" s="978"/>
      <c r="O102" s="978"/>
      <c r="P102" s="978"/>
    </row>
    <row r="103" spans="1:16" hidden="1">
      <c r="A103" s="253" t="s">
        <v>965</v>
      </c>
      <c r="B103" s="253"/>
      <c r="C103" s="308">
        <f>C67+C78+C83+C87-C90</f>
        <v>0</v>
      </c>
      <c r="D103" s="308">
        <f t="shared" ref="D103:M103" si="15">D67+D78+D83+D87-D90</f>
        <v>13309.25</v>
      </c>
      <c r="E103" s="308">
        <f t="shared" si="15"/>
        <v>0</v>
      </c>
      <c r="F103" s="308">
        <f t="shared" si="15"/>
        <v>16452.75</v>
      </c>
      <c r="G103" s="308"/>
      <c r="H103" s="308"/>
      <c r="I103" s="308"/>
      <c r="J103" s="308"/>
      <c r="K103" s="308">
        <f t="shared" si="15"/>
        <v>13517.409</v>
      </c>
      <c r="L103" s="308">
        <f t="shared" si="15"/>
        <v>6758.7044999999998</v>
      </c>
      <c r="M103" s="308">
        <f t="shared" si="15"/>
        <v>6758.7044999999998</v>
      </c>
      <c r="N103" s="762"/>
      <c r="O103" s="762"/>
      <c r="P103" s="762"/>
    </row>
    <row r="104" spans="1:16" s="26" customFormat="1">
      <c r="A104" s="26" t="s">
        <v>88</v>
      </c>
    </row>
    <row r="105" spans="1:16" s="541" customFormat="1" ht="58.5" customHeight="1">
      <c r="A105" s="541" t="s">
        <v>89</v>
      </c>
      <c r="B105" s="1842" t="s">
        <v>409</v>
      </c>
      <c r="C105" s="1842"/>
      <c r="D105" s="1842"/>
      <c r="E105" s="1842"/>
      <c r="F105" s="1842"/>
      <c r="G105" s="1842"/>
      <c r="H105" s="1842"/>
      <c r="I105" s="1842"/>
      <c r="J105" s="1842"/>
      <c r="K105" s="1842"/>
      <c r="L105" s="1842"/>
      <c r="M105" s="1842"/>
      <c r="N105" s="1640"/>
      <c r="O105" s="1640"/>
      <c r="P105" s="1640"/>
    </row>
    <row r="106" spans="1:16" s="541" customFormat="1" ht="58.5" customHeight="1">
      <c r="A106" s="541" t="s">
        <v>91</v>
      </c>
      <c r="B106" s="1842" t="s">
        <v>410</v>
      </c>
      <c r="C106" s="1842"/>
      <c r="D106" s="1842"/>
      <c r="E106" s="1842"/>
      <c r="F106" s="1842"/>
      <c r="G106" s="1842"/>
      <c r="H106" s="1842"/>
      <c r="I106" s="1842"/>
      <c r="J106" s="1842"/>
      <c r="K106" s="1842"/>
      <c r="L106" s="1842"/>
      <c r="M106" s="1842"/>
      <c r="N106" s="1640"/>
      <c r="O106" s="1640"/>
      <c r="P106" s="1640"/>
    </row>
    <row r="107" spans="1:16" s="541" customFormat="1" ht="58.5" customHeight="1">
      <c r="A107" s="541" t="s">
        <v>93</v>
      </c>
      <c r="B107" s="1842" t="s">
        <v>411</v>
      </c>
      <c r="C107" s="1842"/>
      <c r="D107" s="1842"/>
      <c r="E107" s="1842"/>
      <c r="F107" s="1842"/>
      <c r="G107" s="1842"/>
      <c r="H107" s="1842"/>
      <c r="I107" s="1842"/>
      <c r="J107" s="1842"/>
      <c r="K107" s="1842"/>
      <c r="L107" s="1842"/>
      <c r="M107" s="1842"/>
      <c r="N107" s="1640"/>
      <c r="O107" s="1640"/>
      <c r="P107" s="1640"/>
    </row>
    <row r="108" spans="1:16" ht="18.75" customHeight="1"/>
  </sheetData>
  <mergeCells count="4">
    <mergeCell ref="B105:M105"/>
    <mergeCell ref="B106:M106"/>
    <mergeCell ref="B107:M107"/>
    <mergeCell ref="A3:J3"/>
  </mergeCells>
  <pageMargins left="0.78740157480314965" right="0.31496062992125984" top="0.19685039370078741" bottom="0.19685039370078741" header="0.19685039370078741" footer="0.19685039370078741"/>
  <pageSetup paperSize="9" scale="52" orientation="portrait" r:id="rId1"/>
  <headerFooter alignWithMargins="0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</sheetPr>
  <dimension ref="A1:P108"/>
  <sheetViews>
    <sheetView view="pageBreakPreview" zoomScaleNormal="100" workbookViewId="0">
      <pane xSplit="2" ySplit="5" topLeftCell="H6" activePane="bottomRight" state="frozen"/>
      <selection activeCell="F4" sqref="F4"/>
      <selection pane="topRight" activeCell="F4" sqref="F4"/>
      <selection pane="bottomLeft" activeCell="F4" sqref="F4"/>
      <selection pane="bottomRight" activeCell="F4" sqref="F4"/>
    </sheetView>
  </sheetViews>
  <sheetFormatPr defaultColWidth="3.7109375" defaultRowHeight="15" outlineLevelRow="1"/>
  <cols>
    <col min="1" max="1" width="6.28515625" style="1" customWidth="1"/>
    <col min="2" max="2" width="44" style="1" customWidth="1"/>
    <col min="3" max="4" width="13.42578125" style="1" hidden="1" customWidth="1"/>
    <col min="5" max="9" width="13.42578125" style="1" customWidth="1"/>
    <col min="10" max="10" width="16.140625" style="1" customWidth="1"/>
    <col min="11" max="11" width="12.5703125" style="1" customWidth="1"/>
    <col min="12" max="12" width="11.140625" style="1" customWidth="1"/>
    <col min="13" max="13" width="10.85546875" style="1" customWidth="1"/>
    <col min="14" max="14" width="11.5703125" style="1" customWidth="1"/>
    <col min="15" max="16" width="10.85546875" style="1" customWidth="1"/>
    <col min="17" max="51" width="9.140625" style="1" customWidth="1"/>
    <col min="52" max="16384" width="3.7109375" style="1"/>
  </cols>
  <sheetData>
    <row r="1" spans="1:16" ht="16.5" customHeight="1">
      <c r="A1" s="74" t="s">
        <v>1860</v>
      </c>
      <c r="J1" s="23"/>
      <c r="K1" s="23"/>
      <c r="M1" s="23" t="s">
        <v>359</v>
      </c>
      <c r="N1" s="23"/>
      <c r="O1" s="23"/>
      <c r="P1" s="23"/>
    </row>
    <row r="2" spans="1:16" ht="15.75" customHeight="1">
      <c r="A2" s="732" t="str">
        <f>'4.6_свод'!A2</f>
        <v>КТЭЦ + котельные СВОД</v>
      </c>
    </row>
    <row r="3" spans="1:16" ht="18.75">
      <c r="A3" s="1877" t="s">
        <v>1145</v>
      </c>
      <c r="B3" s="1914"/>
      <c r="C3" s="1914"/>
      <c r="D3" s="1914"/>
      <c r="E3" s="1914"/>
      <c r="F3" s="1914"/>
      <c r="G3" s="1914"/>
      <c r="H3" s="1914"/>
      <c r="I3" s="1914"/>
      <c r="J3" s="1914"/>
      <c r="K3" s="1643"/>
      <c r="L3" s="1643"/>
      <c r="M3" s="1767"/>
      <c r="N3" s="1643"/>
      <c r="O3" s="1643"/>
      <c r="P3" s="1643"/>
    </row>
    <row r="4" spans="1:16" ht="14.25" customHeight="1">
      <c r="A4" s="1" t="s">
        <v>1531</v>
      </c>
      <c r="J4" s="23"/>
      <c r="K4" s="23"/>
      <c r="M4" s="23" t="s">
        <v>360</v>
      </c>
      <c r="N4" s="23"/>
      <c r="O4" s="23"/>
      <c r="P4" s="23"/>
    </row>
    <row r="5" spans="1:16" s="3" customFormat="1" ht="77.25" customHeight="1">
      <c r="A5" s="540" t="s">
        <v>0</v>
      </c>
      <c r="B5" s="540" t="s">
        <v>1</v>
      </c>
      <c r="C5" s="944" t="s">
        <v>1534</v>
      </c>
      <c r="D5" s="944" t="s">
        <v>1130</v>
      </c>
      <c r="E5" s="944" t="s">
        <v>1520</v>
      </c>
      <c r="F5" s="540" t="s">
        <v>1695</v>
      </c>
      <c r="G5" s="1284" t="s">
        <v>1702</v>
      </c>
      <c r="H5" s="1576" t="s">
        <v>1828</v>
      </c>
      <c r="I5" s="1641" t="s">
        <v>1842</v>
      </c>
      <c r="J5" s="1641" t="s">
        <v>1861</v>
      </c>
      <c r="K5" s="1641" t="s">
        <v>1862</v>
      </c>
      <c r="L5" s="1641" t="s">
        <v>763</v>
      </c>
      <c r="M5" s="1641" t="s">
        <v>764</v>
      </c>
      <c r="N5" s="1641" t="s">
        <v>1863</v>
      </c>
      <c r="O5" s="1641" t="s">
        <v>763</v>
      </c>
      <c r="P5" s="1641" t="s">
        <v>764</v>
      </c>
    </row>
    <row r="6" spans="1:16" s="2" customFormat="1">
      <c r="A6" s="13">
        <v>1</v>
      </c>
      <c r="B6" s="13">
        <v>2</v>
      </c>
      <c r="C6" s="13">
        <v>3</v>
      </c>
      <c r="D6" s="13">
        <v>4</v>
      </c>
      <c r="E6" s="13">
        <v>3</v>
      </c>
      <c r="F6" s="13">
        <v>4</v>
      </c>
      <c r="G6" s="13">
        <v>5</v>
      </c>
      <c r="H6" s="13">
        <v>6</v>
      </c>
      <c r="I6" s="13">
        <v>7</v>
      </c>
      <c r="J6" s="13">
        <v>8</v>
      </c>
      <c r="K6" s="13">
        <v>9</v>
      </c>
      <c r="L6" s="13">
        <v>10</v>
      </c>
      <c r="M6" s="13">
        <v>11</v>
      </c>
      <c r="N6" s="13">
        <v>12</v>
      </c>
      <c r="O6" s="13">
        <v>13</v>
      </c>
      <c r="P6" s="13">
        <v>14</v>
      </c>
    </row>
    <row r="7" spans="1:16" s="1041" customFormat="1" ht="30" customHeight="1">
      <c r="A7" s="1037" t="s">
        <v>361</v>
      </c>
      <c r="B7" s="1038" t="s">
        <v>362</v>
      </c>
      <c r="C7" s="1039">
        <f t="shared" ref="C7:E7" si="0">C8+SUM(C10:C15)+C20+SUM(C22:C25)+SUM(C56:C61)</f>
        <v>0</v>
      </c>
      <c r="D7" s="1039">
        <f t="shared" si="0"/>
        <v>174898.27110000001</v>
      </c>
      <c r="E7" s="1039">
        <f t="shared" si="0"/>
        <v>0</v>
      </c>
      <c r="F7" s="1039">
        <v>218578.97712</v>
      </c>
      <c r="G7" s="1039">
        <v>0</v>
      </c>
      <c r="H7" s="1039">
        <v>236416.8144188</v>
      </c>
      <c r="I7" s="1039">
        <v>62806.5</v>
      </c>
      <c r="J7" s="1039">
        <v>222147.80551999999</v>
      </c>
      <c r="K7" s="1039">
        <v>255916.34784999999</v>
      </c>
      <c r="L7" s="1039">
        <v>124746.837797</v>
      </c>
      <c r="M7" s="1039">
        <v>131169.51005299998</v>
      </c>
      <c r="N7" s="1039">
        <v>271277.97575116856</v>
      </c>
      <c r="O7" s="1039">
        <v>132749.45702893165</v>
      </c>
      <c r="P7" s="1039">
        <v>138529.51872223691</v>
      </c>
    </row>
    <row r="8" spans="1:16" s="1046" customFormat="1" ht="15" customHeight="1">
      <c r="A8" s="1044"/>
      <c r="B8" s="1045" t="s">
        <v>363</v>
      </c>
      <c r="C8" s="258">
        <f>'4.6_сбыт_КТЭЦ с косв.'!C8+'4.6_сбыт_котельн.'!C8</f>
        <v>0</v>
      </c>
      <c r="D8" s="258">
        <f>'4.6_сбыт_КТЭЦ с косв.'!D8+'4.6_сбыт_котельн.'!D8</f>
        <v>1490</v>
      </c>
      <c r="E8" s="258">
        <f>'4.6_сбыт_КТЭЦ с косв.'!E8+'4.6_сбыт_котельн.'!E8</f>
        <v>0</v>
      </c>
      <c r="F8" s="258">
        <v>1880</v>
      </c>
      <c r="G8" s="258">
        <v>0</v>
      </c>
      <c r="H8" s="258">
        <v>2842</v>
      </c>
      <c r="I8" s="258">
        <v>2059.5</v>
      </c>
      <c r="J8" s="258">
        <v>2059.5</v>
      </c>
      <c r="K8" s="258">
        <v>2177.5505400000002</v>
      </c>
      <c r="L8" s="258">
        <v>762.14268900000002</v>
      </c>
      <c r="M8" s="258">
        <v>1415.4078510000002</v>
      </c>
      <c r="N8" s="258">
        <v>2282.9657616414001</v>
      </c>
      <c r="O8" s="258">
        <v>799.03801657448992</v>
      </c>
      <c r="P8" s="258">
        <v>1483.9277450669101</v>
      </c>
    </row>
    <row r="9" spans="1:16" s="4" customFormat="1" ht="15" customHeight="1">
      <c r="A9" s="17"/>
      <c r="B9" s="580" t="s">
        <v>1134</v>
      </c>
      <c r="C9" s="751">
        <f>'4.6_сбыт_КТЭЦ с косв.'!C9+'4.6_сбыт_котельн.'!C9</f>
        <v>0</v>
      </c>
      <c r="D9" s="751">
        <f>'4.6_сбыт_КТЭЦ с косв.'!D9+'4.6_сбыт_котельн.'!D9</f>
        <v>0</v>
      </c>
      <c r="E9" s="751">
        <f>'4.6_сбыт_КТЭЦ с косв.'!E9+'4.6_сбыт_котельн.'!E9</f>
        <v>0</v>
      </c>
      <c r="F9" s="751">
        <v>0</v>
      </c>
      <c r="G9" s="751">
        <v>0</v>
      </c>
      <c r="H9" s="751">
        <v>0</v>
      </c>
      <c r="I9" s="751">
        <v>0</v>
      </c>
      <c r="J9" s="751">
        <v>0</v>
      </c>
      <c r="K9" s="751">
        <v>0</v>
      </c>
      <c r="L9" s="751">
        <v>0</v>
      </c>
      <c r="M9" s="751">
        <v>0</v>
      </c>
      <c r="N9" s="751">
        <v>0</v>
      </c>
      <c r="O9" s="751">
        <v>0</v>
      </c>
      <c r="P9" s="751">
        <v>0</v>
      </c>
    </row>
    <row r="10" spans="1:16" s="1046" customFormat="1" ht="15" customHeight="1">
      <c r="A10" s="1044"/>
      <c r="B10" s="1045" t="s">
        <v>364</v>
      </c>
      <c r="C10" s="258">
        <f>'4.6_сбыт_КТЭЦ с косв.'!C10+'4.6_сбыт_котельн.'!C10</f>
        <v>0</v>
      </c>
      <c r="D10" s="258">
        <f>'4.6_сбыт_КТЭЦ с косв.'!D10+'4.6_сбыт_котельн.'!D10</f>
        <v>0</v>
      </c>
      <c r="E10" s="258">
        <f>'4.6_сбыт_КТЭЦ с косв.'!E10+'4.6_сбыт_котельн.'!E10</f>
        <v>0</v>
      </c>
      <c r="F10" s="258">
        <v>0</v>
      </c>
      <c r="G10" s="258">
        <v>0</v>
      </c>
      <c r="H10" s="258">
        <v>0</v>
      </c>
      <c r="I10" s="258">
        <v>0</v>
      </c>
      <c r="J10" s="258">
        <v>0</v>
      </c>
      <c r="K10" s="258">
        <v>0</v>
      </c>
      <c r="L10" s="258">
        <v>0</v>
      </c>
      <c r="M10" s="258">
        <v>0</v>
      </c>
      <c r="N10" s="258">
        <v>0</v>
      </c>
      <c r="O10" s="258">
        <v>0</v>
      </c>
      <c r="P10" s="258">
        <v>0</v>
      </c>
    </row>
    <row r="11" spans="1:16" s="1046" customFormat="1" ht="30">
      <c r="A11" s="1044"/>
      <c r="B11" s="1045" t="s">
        <v>365</v>
      </c>
      <c r="C11" s="258">
        <f>'4.6_сбыт_КТЭЦ с косв.'!C11+'4.6_сбыт_котельн.'!C11</f>
        <v>0</v>
      </c>
      <c r="D11" s="258">
        <f>'4.6_сбыт_КТЭЦ с косв.'!D11+'4.6_сбыт_котельн.'!D11</f>
        <v>0</v>
      </c>
      <c r="E11" s="258">
        <f>'4.6_сбыт_КТЭЦ с косв.'!E11+'4.6_сбыт_котельн.'!E11</f>
        <v>0</v>
      </c>
      <c r="F11" s="258">
        <v>0</v>
      </c>
      <c r="G11" s="258">
        <v>0</v>
      </c>
      <c r="H11" s="258">
        <v>0</v>
      </c>
      <c r="I11" s="258">
        <v>0</v>
      </c>
      <c r="J11" s="258">
        <v>0</v>
      </c>
      <c r="K11" s="258">
        <v>0</v>
      </c>
      <c r="L11" s="258">
        <v>0</v>
      </c>
      <c r="M11" s="258">
        <v>0</v>
      </c>
      <c r="N11" s="258">
        <v>0</v>
      </c>
      <c r="O11" s="258">
        <v>0</v>
      </c>
      <c r="P11" s="258">
        <v>0</v>
      </c>
    </row>
    <row r="12" spans="1:16" s="1046" customFormat="1" ht="15" customHeight="1">
      <c r="A12" s="1044"/>
      <c r="B12" s="1045" t="s">
        <v>366</v>
      </c>
      <c r="C12" s="258">
        <f>'4.6_сбыт_КТЭЦ с косв.'!C12+'4.6_сбыт_котельн.'!C12</f>
        <v>0</v>
      </c>
      <c r="D12" s="258">
        <f>'4.6_сбыт_КТЭЦ с косв.'!D12+'4.6_сбыт_котельн.'!D12</f>
        <v>0</v>
      </c>
      <c r="E12" s="258">
        <f>'4.6_сбыт_КТЭЦ с косв.'!E12+'4.6_сбыт_котельн.'!E12</f>
        <v>0</v>
      </c>
      <c r="F12" s="258">
        <v>0</v>
      </c>
      <c r="G12" s="258">
        <v>0</v>
      </c>
      <c r="H12" s="258">
        <v>0</v>
      </c>
      <c r="I12" s="258">
        <v>0</v>
      </c>
      <c r="J12" s="258">
        <v>0</v>
      </c>
      <c r="K12" s="258">
        <v>0</v>
      </c>
      <c r="L12" s="258">
        <v>0</v>
      </c>
      <c r="M12" s="258">
        <v>0</v>
      </c>
      <c r="N12" s="258">
        <v>0</v>
      </c>
      <c r="O12" s="258">
        <v>0</v>
      </c>
      <c r="P12" s="258">
        <v>0</v>
      </c>
    </row>
    <row r="13" spans="1:16" s="1046" customFormat="1" ht="15" customHeight="1">
      <c r="A13" s="1044"/>
      <c r="B13" s="1045" t="s">
        <v>367</v>
      </c>
      <c r="C13" s="258">
        <f>'4.6_сбыт_КТЭЦ с косв.'!C13+'4.6_сбыт_котельн.'!C13</f>
        <v>0</v>
      </c>
      <c r="D13" s="258">
        <f>'4.6_сбыт_КТЭЦ с косв.'!D13+'4.6_сбыт_котельн.'!D13</f>
        <v>0</v>
      </c>
      <c r="E13" s="258">
        <f>'4.6_сбыт_КТЭЦ с косв.'!E13+'4.6_сбыт_котельн.'!E13</f>
        <v>0</v>
      </c>
      <c r="F13" s="258">
        <v>0</v>
      </c>
      <c r="G13" s="258">
        <v>0</v>
      </c>
      <c r="H13" s="258">
        <v>0</v>
      </c>
      <c r="I13" s="258">
        <v>0</v>
      </c>
      <c r="J13" s="258">
        <v>0</v>
      </c>
      <c r="K13" s="258">
        <v>0</v>
      </c>
      <c r="L13" s="258">
        <v>0</v>
      </c>
      <c r="M13" s="258">
        <v>0</v>
      </c>
      <c r="N13" s="258">
        <v>0</v>
      </c>
      <c r="O13" s="258">
        <v>0</v>
      </c>
      <c r="P13" s="258">
        <v>0</v>
      </c>
    </row>
    <row r="14" spans="1:16" s="1046" customFormat="1" ht="30">
      <c r="A14" s="1044"/>
      <c r="B14" s="1045" t="s">
        <v>368</v>
      </c>
      <c r="C14" s="258">
        <f>'4.6_сбыт_КТЭЦ с косв.'!C14+'4.6_сбыт_котельн.'!C14</f>
        <v>0</v>
      </c>
      <c r="D14" s="258">
        <f>'4.6_сбыт_КТЭЦ с косв.'!D14+'4.6_сбыт_котельн.'!D14</f>
        <v>1561</v>
      </c>
      <c r="E14" s="258">
        <f>'4.6_сбыт_КТЭЦ с косв.'!E14+'4.6_сбыт_котельн.'!E14</f>
        <v>0</v>
      </c>
      <c r="F14" s="258">
        <v>1548</v>
      </c>
      <c r="G14" s="258">
        <v>0</v>
      </c>
      <c r="H14" s="258">
        <v>1452</v>
      </c>
      <c r="I14" s="258">
        <v>0</v>
      </c>
      <c r="J14" s="258">
        <v>1960</v>
      </c>
      <c r="K14" s="258">
        <v>2426</v>
      </c>
      <c r="L14" s="258">
        <v>1199</v>
      </c>
      <c r="M14" s="258">
        <v>1227</v>
      </c>
      <c r="N14" s="258">
        <v>2865</v>
      </c>
      <c r="O14" s="258">
        <v>1401</v>
      </c>
      <c r="P14" s="258">
        <v>1464</v>
      </c>
    </row>
    <row r="15" spans="1:16" s="1046" customFormat="1" ht="15" customHeight="1">
      <c r="A15" s="1044"/>
      <c r="B15" s="1045" t="s">
        <v>1135</v>
      </c>
      <c r="C15" s="258">
        <f>C16+C18+C19</f>
        <v>0</v>
      </c>
      <c r="D15" s="258">
        <f t="shared" ref="D15:E15" si="1">D16+D18+D19</f>
        <v>90701</v>
      </c>
      <c r="E15" s="258">
        <f t="shared" si="1"/>
        <v>0</v>
      </c>
      <c r="F15" s="258">
        <v>114825</v>
      </c>
      <c r="G15" s="258">
        <v>0</v>
      </c>
      <c r="H15" s="258">
        <v>112436.64090879999</v>
      </c>
      <c r="I15" s="258">
        <v>0</v>
      </c>
      <c r="J15" s="258">
        <v>127079.30552000001</v>
      </c>
      <c r="K15" s="258">
        <v>141349.11559</v>
      </c>
      <c r="L15" s="258">
        <v>67933.816080000004</v>
      </c>
      <c r="M15" s="258">
        <v>73415.299509999983</v>
      </c>
      <c r="N15" s="258">
        <v>149641.82247000001</v>
      </c>
      <c r="O15" s="258">
        <v>72494.406450000009</v>
      </c>
      <c r="P15" s="258">
        <v>77148.416020000004</v>
      </c>
    </row>
    <row r="16" spans="1:16" s="341" customFormat="1" ht="15" customHeight="1">
      <c r="A16" s="339"/>
      <c r="B16" s="581" t="s">
        <v>1136</v>
      </c>
      <c r="C16" s="241">
        <f>'4.6_сбыт_КТЭЦ с косв.'!C16+'4.6_сбыт_котельн.'!C16</f>
        <v>0</v>
      </c>
      <c r="D16" s="241">
        <f>'4.6_сбыт_КТЭЦ с косв.'!D16+'4.6_сбыт_котельн.'!D16</f>
        <v>87553</v>
      </c>
      <c r="E16" s="241">
        <f>'4.6_сбыт_КТЭЦ с косв.'!E16+'4.6_сбыт_котельн.'!E16</f>
        <v>0</v>
      </c>
      <c r="F16" s="241">
        <v>111803</v>
      </c>
      <c r="G16" s="241">
        <v>0</v>
      </c>
      <c r="H16" s="241">
        <v>108460.64090879999</v>
      </c>
      <c r="I16" s="241">
        <v>0</v>
      </c>
      <c r="J16" s="241">
        <v>123774.30552000001</v>
      </c>
      <c r="K16" s="241">
        <v>138541.11559</v>
      </c>
      <c r="L16" s="241">
        <v>66529.816080000004</v>
      </c>
      <c r="M16" s="241">
        <v>72011.299509999983</v>
      </c>
      <c r="N16" s="241">
        <v>146695.82247000001</v>
      </c>
      <c r="O16" s="241">
        <v>71020.906450000009</v>
      </c>
      <c r="P16" s="241">
        <v>75674.916020000004</v>
      </c>
    </row>
    <row r="17" spans="1:16" s="341" customFormat="1" ht="15" customHeight="1">
      <c r="A17" s="339"/>
      <c r="B17" s="580" t="s">
        <v>1134</v>
      </c>
      <c r="C17" s="751">
        <f>'4.6_сбыт_КТЭЦ с косв.'!C17+'4.6_сбыт_котельн.'!C17</f>
        <v>0</v>
      </c>
      <c r="D17" s="751">
        <f>'4.6_сбыт_КТЭЦ с косв.'!D17+'4.6_сбыт_котельн.'!D17</f>
        <v>0</v>
      </c>
      <c r="E17" s="751">
        <f>'4.6_сбыт_КТЭЦ с косв.'!E17+'4.6_сбыт_котельн.'!E17</f>
        <v>0</v>
      </c>
      <c r="F17" s="751">
        <v>0</v>
      </c>
      <c r="G17" s="751">
        <v>0</v>
      </c>
      <c r="H17" s="751">
        <v>0</v>
      </c>
      <c r="I17" s="751">
        <v>0</v>
      </c>
      <c r="J17" s="751">
        <v>0</v>
      </c>
      <c r="K17" s="751">
        <v>0</v>
      </c>
      <c r="L17" s="751">
        <v>0</v>
      </c>
      <c r="M17" s="751">
        <v>0</v>
      </c>
      <c r="N17" s="751">
        <v>0</v>
      </c>
      <c r="O17" s="751">
        <v>0</v>
      </c>
      <c r="P17" s="751">
        <v>0</v>
      </c>
    </row>
    <row r="18" spans="1:16" s="341" customFormat="1" ht="15" customHeight="1">
      <c r="A18" s="339"/>
      <c r="B18" s="581" t="s">
        <v>1137</v>
      </c>
      <c r="C18" s="241">
        <f>'4.6_сбыт_КТЭЦ с косв.'!C18+'4.6_сбыт_котельн.'!C18</f>
        <v>0</v>
      </c>
      <c r="D18" s="241">
        <f>'4.6_сбыт_КТЭЦ с косв.'!D18+'4.6_сбыт_котельн.'!D18</f>
        <v>2245</v>
      </c>
      <c r="E18" s="241">
        <f>'4.6_сбыт_КТЭЦ с косв.'!E18+'4.6_сбыт_котельн.'!E18</f>
        <v>0</v>
      </c>
      <c r="F18" s="241">
        <v>1972</v>
      </c>
      <c r="G18" s="241">
        <v>0</v>
      </c>
      <c r="H18" s="241">
        <v>2857</v>
      </c>
      <c r="I18" s="241">
        <v>0</v>
      </c>
      <c r="J18" s="241">
        <v>2291</v>
      </c>
      <c r="K18" s="241">
        <v>2010</v>
      </c>
      <c r="L18" s="241">
        <v>1005</v>
      </c>
      <c r="M18" s="241">
        <v>1005</v>
      </c>
      <c r="N18" s="241">
        <v>2101</v>
      </c>
      <c r="O18" s="241">
        <v>1051</v>
      </c>
      <c r="P18" s="241">
        <v>1051</v>
      </c>
    </row>
    <row r="19" spans="1:16" s="341" customFormat="1" ht="15" customHeight="1">
      <c r="A19" s="339"/>
      <c r="B19" s="581" t="s">
        <v>1138</v>
      </c>
      <c r="C19" s="241">
        <f>'4.6_сбыт_КТЭЦ с косв.'!C19+'4.6_сбыт_котельн.'!C19</f>
        <v>0</v>
      </c>
      <c r="D19" s="241">
        <f>'4.6_сбыт_КТЭЦ с косв.'!D19+'4.6_сбыт_котельн.'!D19</f>
        <v>903</v>
      </c>
      <c r="E19" s="241">
        <f>'4.6_сбыт_КТЭЦ с косв.'!E19+'4.6_сбыт_котельн.'!E19</f>
        <v>0</v>
      </c>
      <c r="F19" s="241">
        <v>1050</v>
      </c>
      <c r="G19" s="241">
        <v>0</v>
      </c>
      <c r="H19" s="241">
        <v>1119</v>
      </c>
      <c r="I19" s="241">
        <v>0</v>
      </c>
      <c r="J19" s="241">
        <v>1014</v>
      </c>
      <c r="K19" s="241">
        <v>798</v>
      </c>
      <c r="L19" s="241">
        <v>399</v>
      </c>
      <c r="M19" s="241">
        <v>399</v>
      </c>
      <c r="N19" s="241">
        <v>845</v>
      </c>
      <c r="O19" s="241">
        <v>422.5</v>
      </c>
      <c r="P19" s="241">
        <v>422.5</v>
      </c>
    </row>
    <row r="20" spans="1:16" s="1046" customFormat="1">
      <c r="A20" s="1044"/>
      <c r="B20" s="1045" t="s">
        <v>369</v>
      </c>
      <c r="C20" s="258">
        <f>'4.6_сбыт_КТЭЦ с косв.'!C20+'4.6_сбыт_котельн.'!C20</f>
        <v>0</v>
      </c>
      <c r="D20" s="258">
        <f>'4.6_сбыт_КТЭЦ с косв.'!D20+'4.6_сбыт_котельн.'!D20</f>
        <v>24081</v>
      </c>
      <c r="E20" s="258">
        <f>'4.6_сбыт_КТЭЦ с косв.'!E20+'4.6_сбыт_котельн.'!E20</f>
        <v>0</v>
      </c>
      <c r="F20" s="258">
        <v>28214</v>
      </c>
      <c r="G20" s="258">
        <v>0</v>
      </c>
      <c r="H20" s="258">
        <v>28710</v>
      </c>
      <c r="I20" s="258">
        <v>0</v>
      </c>
      <c r="J20" s="258">
        <v>28301</v>
      </c>
      <c r="K20" s="258">
        <v>43413</v>
      </c>
      <c r="L20" s="258">
        <v>24184</v>
      </c>
      <c r="M20" s="258">
        <v>19229</v>
      </c>
      <c r="N20" s="258">
        <v>46537</v>
      </c>
      <c r="O20" s="258">
        <v>25806</v>
      </c>
      <c r="P20" s="258">
        <v>20731</v>
      </c>
    </row>
    <row r="21" spans="1:16" s="341" customFormat="1">
      <c r="A21" s="339"/>
      <c r="B21" s="580" t="s">
        <v>1134</v>
      </c>
      <c r="C21" s="751">
        <f>'4.6_сбыт_КТЭЦ с косв.'!C21+'4.6_сбыт_котельн.'!C21</f>
        <v>0</v>
      </c>
      <c r="D21" s="751">
        <f>'4.6_сбыт_КТЭЦ с косв.'!D21+'4.6_сбыт_котельн.'!D21</f>
        <v>0</v>
      </c>
      <c r="E21" s="751">
        <f>'4.6_сбыт_КТЭЦ с косв.'!E21+'4.6_сбыт_котельн.'!E21</f>
        <v>0</v>
      </c>
      <c r="F21" s="751">
        <v>0</v>
      </c>
      <c r="G21" s="751">
        <v>0</v>
      </c>
      <c r="H21" s="751">
        <v>0</v>
      </c>
      <c r="I21" s="751">
        <v>0</v>
      </c>
      <c r="J21" s="751">
        <v>0</v>
      </c>
      <c r="K21" s="751">
        <v>0</v>
      </c>
      <c r="L21" s="751">
        <v>0</v>
      </c>
      <c r="M21" s="751">
        <v>0</v>
      </c>
      <c r="N21" s="751">
        <v>0</v>
      </c>
      <c r="O21" s="751">
        <v>0</v>
      </c>
      <c r="P21" s="751">
        <v>0</v>
      </c>
    </row>
    <row r="22" spans="1:16" s="1046" customFormat="1" ht="30" customHeight="1">
      <c r="A22" s="1044"/>
      <c r="B22" s="1045" t="s">
        <v>370</v>
      </c>
      <c r="C22" s="258">
        <f>'4.6_сбыт_КТЭЦ с косв.'!C22+'4.6_сбыт_котельн.'!C22</f>
        <v>0</v>
      </c>
      <c r="D22" s="258">
        <f>'4.6_сбыт_КТЭЦ с косв.'!D22+'4.6_сбыт_котельн.'!D22</f>
        <v>1515</v>
      </c>
      <c r="E22" s="258">
        <f>'4.6_сбыт_КТЭЦ с косв.'!E22+'4.6_сбыт_котельн.'!E22</f>
        <v>0</v>
      </c>
      <c r="F22" s="258">
        <v>1379</v>
      </c>
      <c r="G22" s="258">
        <v>0</v>
      </c>
      <c r="H22" s="258">
        <v>1867</v>
      </c>
      <c r="I22" s="258">
        <v>1576</v>
      </c>
      <c r="J22" s="258">
        <v>1597</v>
      </c>
      <c r="K22" s="258">
        <v>2207</v>
      </c>
      <c r="L22" s="258">
        <v>930.55</v>
      </c>
      <c r="M22" s="258">
        <v>1276.45</v>
      </c>
      <c r="N22" s="258">
        <v>2345.8463774619995</v>
      </c>
      <c r="O22" s="258">
        <v>984.20023611169972</v>
      </c>
      <c r="P22" s="258">
        <v>1361.6461413502998</v>
      </c>
    </row>
    <row r="23" spans="1:16" s="1046" customFormat="1" ht="60">
      <c r="A23" s="1044"/>
      <c r="B23" s="1045" t="s">
        <v>1139</v>
      </c>
      <c r="C23" s="258">
        <f>'4.6_сбыт_КТЭЦ с косв.'!C23+'4.6_сбыт_котельн.'!C23</f>
        <v>0</v>
      </c>
      <c r="D23" s="258">
        <f>'4.6_сбыт_КТЭЦ с косв.'!D23+'4.6_сбыт_котельн.'!D23</f>
        <v>0</v>
      </c>
      <c r="E23" s="258">
        <f>'4.6_сбыт_КТЭЦ с косв.'!E23+'4.6_сбыт_котельн.'!E23</f>
        <v>0</v>
      </c>
      <c r="F23" s="258">
        <v>0</v>
      </c>
      <c r="G23" s="258">
        <v>0</v>
      </c>
      <c r="H23" s="258">
        <v>0</v>
      </c>
      <c r="I23" s="258">
        <v>0</v>
      </c>
      <c r="J23" s="258">
        <v>0</v>
      </c>
      <c r="K23" s="258">
        <v>0</v>
      </c>
      <c r="L23" s="258">
        <v>0</v>
      </c>
      <c r="M23" s="258">
        <v>0</v>
      </c>
      <c r="N23" s="258">
        <v>0</v>
      </c>
      <c r="O23" s="258">
        <v>0</v>
      </c>
      <c r="P23" s="258">
        <v>0</v>
      </c>
    </row>
    <row r="24" spans="1:16" s="1046" customFormat="1" ht="60">
      <c r="A24" s="1044"/>
      <c r="B24" s="1045" t="s">
        <v>372</v>
      </c>
      <c r="C24" s="258">
        <f>'4.6_сбыт_КТЭЦ с косв.'!C24+'4.6_сбыт_котельн.'!C24</f>
        <v>0</v>
      </c>
      <c r="D24" s="258">
        <f>'4.6_сбыт_КТЭЦ с косв.'!D24+'4.6_сбыт_котельн.'!D24</f>
        <v>8461</v>
      </c>
      <c r="E24" s="258">
        <f>'4.6_сбыт_КТЭЦ с косв.'!E24+'4.6_сбыт_котельн.'!E24</f>
        <v>0</v>
      </c>
      <c r="F24" s="258">
        <v>9158</v>
      </c>
      <c r="G24" s="258">
        <v>0</v>
      </c>
      <c r="H24" s="258">
        <v>9921</v>
      </c>
      <c r="I24" s="258">
        <v>15284</v>
      </c>
      <c r="J24" s="258">
        <v>15284</v>
      </c>
      <c r="K24" s="258">
        <v>16160.078880000001</v>
      </c>
      <c r="L24" s="258">
        <v>5656.0276080000003</v>
      </c>
      <c r="M24" s="258">
        <v>10504.051272000001</v>
      </c>
      <c r="N24" s="258">
        <v>16942.388298580798</v>
      </c>
      <c r="O24" s="258">
        <v>5929.8359045032794</v>
      </c>
      <c r="P24" s="258">
        <v>11012.552394077518</v>
      </c>
    </row>
    <row r="25" spans="1:16" s="1046" customFormat="1" ht="90">
      <c r="A25" s="1044"/>
      <c r="B25" s="1045" t="s">
        <v>373</v>
      </c>
      <c r="C25" s="258">
        <f>C27+C28+C29+C55</f>
        <v>0</v>
      </c>
      <c r="D25" s="258">
        <f t="shared" ref="D25" si="2">D27+D28+D29+D55</f>
        <v>44683.271099999998</v>
      </c>
      <c r="E25" s="258">
        <f>E27+E28+E29</f>
        <v>0</v>
      </c>
      <c r="F25" s="258">
        <v>58715.97712000001</v>
      </c>
      <c r="G25" s="258">
        <v>0</v>
      </c>
      <c r="H25" s="258">
        <v>76492.173509999993</v>
      </c>
      <c r="I25" s="258">
        <v>42890</v>
      </c>
      <c r="J25" s="258">
        <v>42890</v>
      </c>
      <c r="K25" s="258">
        <v>45348.4548</v>
      </c>
      <c r="L25" s="258">
        <v>22674.2274</v>
      </c>
      <c r="M25" s="258">
        <v>22674.2274</v>
      </c>
      <c r="N25" s="258">
        <v>47543.773496867994</v>
      </c>
      <c r="O25" s="258">
        <v>23771.886748433997</v>
      </c>
      <c r="P25" s="258">
        <v>23771.886748433997</v>
      </c>
    </row>
    <row r="26" spans="1:16" s="4" customFormat="1">
      <c r="A26" s="17"/>
      <c r="B26" s="51" t="s">
        <v>70</v>
      </c>
      <c r="C26" s="241"/>
      <c r="D26" s="241"/>
      <c r="E26" s="241"/>
      <c r="F26" s="241"/>
      <c r="G26" s="241"/>
      <c r="H26" s="241"/>
      <c r="I26" s="241"/>
      <c r="J26" s="241"/>
      <c r="K26" s="241"/>
      <c r="L26" s="241"/>
      <c r="M26" s="241"/>
      <c r="N26" s="241"/>
      <c r="O26" s="241"/>
      <c r="P26" s="241"/>
    </row>
    <row r="27" spans="1:16" s="4" customFormat="1">
      <c r="A27" s="17"/>
      <c r="B27" s="581" t="s">
        <v>1275</v>
      </c>
      <c r="C27" s="766">
        <f>'4.6_сбыт_КТЭЦ с косв.'!C27+'4.6_сбыт_котельн.'!C27</f>
        <v>0</v>
      </c>
      <c r="D27" s="766">
        <f>'4.6_сбыт_КТЭЦ с косв.'!D27+'4.6_сбыт_котельн.'!D27</f>
        <v>279</v>
      </c>
      <c r="E27" s="766">
        <f>'4.6_сбыт_КТЭЦ с косв.'!E27+'4.6_сбыт_котельн.'!E27</f>
        <v>0</v>
      </c>
      <c r="F27" s="766">
        <v>247</v>
      </c>
      <c r="G27" s="766">
        <v>0</v>
      </c>
      <c r="H27" s="766">
        <v>225</v>
      </c>
      <c r="I27" s="766">
        <v>0</v>
      </c>
      <c r="J27" s="766">
        <v>0</v>
      </c>
      <c r="K27" s="766">
        <v>0</v>
      </c>
      <c r="L27" s="766">
        <v>0</v>
      </c>
      <c r="M27" s="766">
        <v>0</v>
      </c>
      <c r="N27" s="766">
        <v>0</v>
      </c>
      <c r="O27" s="766">
        <v>0</v>
      </c>
      <c r="P27" s="766">
        <v>0</v>
      </c>
    </row>
    <row r="28" spans="1:16" s="4" customFormat="1">
      <c r="A28" s="17"/>
      <c r="B28" s="581" t="s">
        <v>1276</v>
      </c>
      <c r="C28" s="766">
        <f>'4.6_сбыт_КТЭЦ с косв.'!C28+'4.6_сбыт_котельн.'!C28</f>
        <v>0</v>
      </c>
      <c r="D28" s="766">
        <f>'4.6_сбыт_КТЭЦ с косв.'!D28+'4.6_сбыт_котельн.'!D28</f>
        <v>171</v>
      </c>
      <c r="E28" s="766">
        <f>'4.6_сбыт_КТЭЦ с косв.'!E28+'4.6_сбыт_котельн.'!E28</f>
        <v>0</v>
      </c>
      <c r="F28" s="766">
        <v>358</v>
      </c>
      <c r="G28" s="766">
        <v>0</v>
      </c>
      <c r="H28" s="766">
        <v>242</v>
      </c>
      <c r="I28" s="766">
        <v>180</v>
      </c>
      <c r="J28" s="766">
        <v>180</v>
      </c>
      <c r="K28" s="766">
        <v>190.31760000000003</v>
      </c>
      <c r="L28" s="766">
        <v>95.158800000000014</v>
      </c>
      <c r="M28" s="766">
        <v>95.158800000000014</v>
      </c>
      <c r="N28" s="766">
        <v>199.53087501599998</v>
      </c>
      <c r="O28" s="766">
        <v>99.765437507999991</v>
      </c>
      <c r="P28" s="766">
        <v>99.765437507999991</v>
      </c>
    </row>
    <row r="29" spans="1:16" s="4" customFormat="1">
      <c r="A29" s="17"/>
      <c r="B29" s="581" t="s">
        <v>1559</v>
      </c>
      <c r="C29" s="766">
        <f>'4.6_сбыт_КТЭЦ с косв.'!C29+'4.6_сбыт_котельн.'!C29</f>
        <v>0</v>
      </c>
      <c r="D29" s="981">
        <f>'4.6_сбыт_КТЭЦ с косв.'!D29+'4.6_сбыт_котельн.'!D29</f>
        <v>44233.271099999998</v>
      </c>
      <c r="E29" s="766">
        <f>'4.6_сбыт_КТЭЦ с косв.'!E29+'4.6_сбыт_котельн.'!E29</f>
        <v>0</v>
      </c>
      <c r="F29" s="766">
        <v>58110.97712000001</v>
      </c>
      <c r="G29" s="766">
        <v>0</v>
      </c>
      <c r="H29" s="766">
        <v>76025.173509999993</v>
      </c>
      <c r="I29" s="766">
        <v>42710</v>
      </c>
      <c r="J29" s="766">
        <v>42710</v>
      </c>
      <c r="K29" s="766">
        <v>45158.137200000005</v>
      </c>
      <c r="L29" s="766">
        <v>22579.068600000002</v>
      </c>
      <c r="M29" s="766">
        <v>22579.068600000002</v>
      </c>
      <c r="N29" s="766">
        <v>47344.242621851998</v>
      </c>
      <c r="O29" s="766">
        <v>23672.121310925999</v>
      </c>
      <c r="P29" s="766">
        <v>23672.121310925999</v>
      </c>
    </row>
    <row r="30" spans="1:16" s="4" customFormat="1" hidden="1" outlineLevel="1">
      <c r="A30" s="737" t="s">
        <v>89</v>
      </c>
      <c r="B30" s="738" t="s">
        <v>1244</v>
      </c>
      <c r="C30" s="753">
        <f>'4.6_сбыт_КТЭЦ с косв.'!C30+'4.6_сбыт_котельн.'!C30</f>
        <v>0</v>
      </c>
      <c r="D30" s="753">
        <f>'4.6_сбыт_КТЭЦ с косв.'!D30+'4.6_сбыт_котельн.'!D30</f>
        <v>1814</v>
      </c>
      <c r="E30" s="753">
        <f>'4.6_сбыт_КТЭЦ с косв.'!E30+'4.6_сбыт_котельн.'!E30</f>
        <v>0</v>
      </c>
      <c r="F30" s="753">
        <v>1625</v>
      </c>
      <c r="G30" s="753">
        <v>0</v>
      </c>
      <c r="H30" s="753">
        <v>1644</v>
      </c>
      <c r="I30" s="753">
        <v>0</v>
      </c>
      <c r="J30" s="753">
        <v>0</v>
      </c>
      <c r="K30" s="753">
        <v>0</v>
      </c>
      <c r="L30" s="753">
        <v>0</v>
      </c>
      <c r="M30" s="753">
        <v>0</v>
      </c>
      <c r="N30" s="753">
        <v>0</v>
      </c>
      <c r="O30" s="753">
        <v>0</v>
      </c>
      <c r="P30" s="753">
        <v>0</v>
      </c>
    </row>
    <row r="31" spans="1:16" s="341" customFormat="1" hidden="1" outlineLevel="1">
      <c r="A31" s="760" t="s">
        <v>91</v>
      </c>
      <c r="B31" s="761" t="s">
        <v>1245</v>
      </c>
      <c r="C31" s="746">
        <f t="shared" ref="C31:D31" si="3">SUM(C32:C43)+C45</f>
        <v>0</v>
      </c>
      <c r="D31" s="746">
        <f t="shared" si="3"/>
        <v>42419.271099999991</v>
      </c>
      <c r="E31" s="746">
        <f>SUM(E32:E45)</f>
        <v>0</v>
      </c>
      <c r="F31" s="746">
        <v>56485.977119999996</v>
      </c>
      <c r="G31" s="746">
        <v>0</v>
      </c>
      <c r="H31" s="746">
        <v>74381.173510000022</v>
      </c>
      <c r="I31" s="746">
        <v>2627.3660999999997</v>
      </c>
      <c r="J31" s="746">
        <v>2627.3660999999997</v>
      </c>
      <c r="K31" s="746">
        <v>0</v>
      </c>
      <c r="L31" s="746">
        <v>0</v>
      </c>
      <c r="M31" s="746">
        <v>0</v>
      </c>
      <c r="N31" s="746">
        <v>0</v>
      </c>
      <c r="O31" s="746">
        <v>0</v>
      </c>
      <c r="P31" s="746">
        <v>0</v>
      </c>
    </row>
    <row r="32" spans="1:16" s="4" customFormat="1" ht="25.5" hidden="1" outlineLevel="1">
      <c r="A32" s="739" t="s">
        <v>1044</v>
      </c>
      <c r="B32" s="740" t="s">
        <v>1247</v>
      </c>
      <c r="C32" s="753">
        <f>'4.6_сбыт_КТЭЦ с косв.'!C32+'4.6_сбыт_котельн.'!C32</f>
        <v>0</v>
      </c>
      <c r="D32" s="753">
        <f>'4.6_сбыт_КТЭЦ с косв.'!D32+'4.6_сбыт_котельн.'!D32</f>
        <v>2034.4998000000001</v>
      </c>
      <c r="E32" s="753">
        <f>'4.6_сбыт_КТЭЦ с косв.'!E32+'4.6_сбыт_котельн.'!E32</f>
        <v>0</v>
      </c>
      <c r="F32" s="753">
        <v>3615.6790800000003</v>
      </c>
      <c r="G32" s="753">
        <v>0</v>
      </c>
      <c r="H32" s="753">
        <v>3725.97001</v>
      </c>
      <c r="I32" s="753">
        <v>0</v>
      </c>
      <c r="J32" s="753">
        <v>0</v>
      </c>
      <c r="K32" s="753">
        <v>0</v>
      </c>
      <c r="L32" s="753">
        <v>0</v>
      </c>
      <c r="M32" s="753">
        <v>0</v>
      </c>
      <c r="N32" s="753">
        <v>0</v>
      </c>
      <c r="O32" s="753">
        <v>0</v>
      </c>
      <c r="P32" s="753">
        <v>0</v>
      </c>
    </row>
    <row r="33" spans="1:16" s="4" customFormat="1" ht="25.5" hidden="1" outlineLevel="1">
      <c r="A33" s="739" t="s">
        <v>1043</v>
      </c>
      <c r="B33" s="740" t="s">
        <v>1249</v>
      </c>
      <c r="C33" s="753">
        <f>'4.6_сбыт_КТЭЦ с косв.'!C33+'4.6_сбыт_котельн.'!C33</f>
        <v>0</v>
      </c>
      <c r="D33" s="753">
        <f>'4.6_сбыт_КТЭЦ с косв.'!D33+'4.6_сбыт_котельн.'!D33</f>
        <v>17.424899999999997</v>
      </c>
      <c r="E33" s="753">
        <f>'4.6_сбыт_КТЭЦ с косв.'!E33+'4.6_сбыт_котельн.'!E33</f>
        <v>0</v>
      </c>
      <c r="F33" s="753">
        <v>2.0289600000000001</v>
      </c>
      <c r="G33" s="753">
        <v>0</v>
      </c>
      <c r="H33" s="753">
        <v>0</v>
      </c>
      <c r="I33" s="753">
        <v>0</v>
      </c>
      <c r="J33" s="753">
        <v>0</v>
      </c>
      <c r="K33" s="753">
        <v>0</v>
      </c>
      <c r="L33" s="753">
        <v>0</v>
      </c>
      <c r="M33" s="753">
        <v>0</v>
      </c>
      <c r="N33" s="753">
        <v>0</v>
      </c>
      <c r="O33" s="753">
        <v>0</v>
      </c>
      <c r="P33" s="753">
        <v>0</v>
      </c>
    </row>
    <row r="34" spans="1:16" s="4" customFormat="1" hidden="1" outlineLevel="1">
      <c r="A34" s="741" t="s">
        <v>1540</v>
      </c>
      <c r="B34" s="740" t="s">
        <v>1250</v>
      </c>
      <c r="C34" s="753">
        <f>'4.6_сбыт_КТЭЦ с косв.'!C34+'4.6_сбыт_котельн.'!C34</f>
        <v>0</v>
      </c>
      <c r="D34" s="753">
        <f>'4.6_сбыт_КТЭЦ с косв.'!D34+'4.6_сбыт_котельн.'!D34</f>
        <v>387.14260000000002</v>
      </c>
      <c r="E34" s="753">
        <f>'4.6_сбыт_КТЭЦ с косв.'!E34+'4.6_сбыт_котельн.'!E34</f>
        <v>0</v>
      </c>
      <c r="F34" s="753">
        <v>805.45068000000015</v>
      </c>
      <c r="G34" s="753">
        <v>0</v>
      </c>
      <c r="H34" s="753">
        <v>1020.97954</v>
      </c>
      <c r="I34" s="753">
        <v>0</v>
      </c>
      <c r="J34" s="753">
        <v>0</v>
      </c>
      <c r="K34" s="753">
        <v>0</v>
      </c>
      <c r="L34" s="753">
        <v>0</v>
      </c>
      <c r="M34" s="753">
        <v>0</v>
      </c>
      <c r="N34" s="753">
        <v>0</v>
      </c>
      <c r="O34" s="753">
        <v>0</v>
      </c>
      <c r="P34" s="753">
        <v>0</v>
      </c>
    </row>
    <row r="35" spans="1:16" s="4" customFormat="1" ht="15" hidden="1" customHeight="1" outlineLevel="1">
      <c r="A35" s="739" t="s">
        <v>1541</v>
      </c>
      <c r="B35" s="740" t="s">
        <v>1251</v>
      </c>
      <c r="C35" s="753">
        <f>'4.6_сбыт_КТЭЦ с косв.'!C35+'4.6_сбыт_котельн.'!C35</f>
        <v>0</v>
      </c>
      <c r="D35" s="753">
        <f>'4.6_сбыт_КТЭЦ с косв.'!D35+'4.6_сбыт_котельн.'!D35</f>
        <v>1522.85</v>
      </c>
      <c r="E35" s="753">
        <f>'4.6_сбыт_КТЭЦ с косв.'!E35+'4.6_сбыт_котельн.'!E35</f>
        <v>0</v>
      </c>
      <c r="F35" s="753">
        <v>2960.8599599999998</v>
      </c>
      <c r="G35" s="753">
        <v>0</v>
      </c>
      <c r="H35" s="753">
        <v>2461.00225</v>
      </c>
      <c r="I35" s="753">
        <v>0</v>
      </c>
      <c r="J35" s="753">
        <v>0</v>
      </c>
      <c r="K35" s="753">
        <v>0</v>
      </c>
      <c r="L35" s="753">
        <v>0</v>
      </c>
      <c r="M35" s="753">
        <v>0</v>
      </c>
      <c r="N35" s="753">
        <v>0</v>
      </c>
      <c r="O35" s="753">
        <v>0</v>
      </c>
      <c r="P35" s="753">
        <v>0</v>
      </c>
    </row>
    <row r="36" spans="1:16" s="4" customFormat="1" hidden="1" outlineLevel="1">
      <c r="A36" s="739" t="s">
        <v>1542</v>
      </c>
      <c r="B36" s="740" t="s">
        <v>1252</v>
      </c>
      <c r="C36" s="753">
        <f>'4.6_сбыт_КТЭЦ с косв.'!C36+'4.6_сбыт_котельн.'!C36</f>
        <v>0</v>
      </c>
      <c r="D36" s="753">
        <f>'4.6_сбыт_КТЭЦ с косв.'!D36+'4.6_сбыт_котельн.'!D36</f>
        <v>6535.6815000000006</v>
      </c>
      <c r="E36" s="753">
        <f>'4.6_сбыт_КТЭЦ с косв.'!E36+'4.6_сбыт_котельн.'!E36</f>
        <v>0</v>
      </c>
      <c r="F36" s="753">
        <v>10237.33656</v>
      </c>
      <c r="G36" s="753">
        <v>0</v>
      </c>
      <c r="H36" s="753">
        <v>15321.88861</v>
      </c>
      <c r="I36" s="753">
        <v>0</v>
      </c>
      <c r="J36" s="753">
        <v>0</v>
      </c>
      <c r="K36" s="753">
        <v>0</v>
      </c>
      <c r="L36" s="753">
        <v>0</v>
      </c>
      <c r="M36" s="753">
        <v>0</v>
      </c>
      <c r="N36" s="753">
        <v>0</v>
      </c>
      <c r="O36" s="753">
        <v>0</v>
      </c>
      <c r="P36" s="753">
        <v>0</v>
      </c>
    </row>
    <row r="37" spans="1:16" s="4" customFormat="1" hidden="1" outlineLevel="1">
      <c r="A37" s="739" t="s">
        <v>1543</v>
      </c>
      <c r="B37" s="740" t="s">
        <v>1253</v>
      </c>
      <c r="C37" s="753">
        <f>'4.6_сбыт_КТЭЦ с косв.'!C37+'4.6_сбыт_котельн.'!C37</f>
        <v>0</v>
      </c>
      <c r="D37" s="753">
        <f>'4.6_сбыт_КТЭЦ с косв.'!D37+'4.6_сбыт_котельн.'!D37</f>
        <v>4115.1030000000001</v>
      </c>
      <c r="E37" s="753">
        <f>'4.6_сбыт_КТЭЦ с косв.'!E37+'4.6_сбыт_котельн.'!E37</f>
        <v>0</v>
      </c>
      <c r="F37" s="753">
        <v>5445.8276400000004</v>
      </c>
      <c r="G37" s="753">
        <v>0</v>
      </c>
      <c r="H37" s="753">
        <v>10471.22335</v>
      </c>
      <c r="I37" s="753">
        <v>0</v>
      </c>
      <c r="J37" s="753">
        <v>0</v>
      </c>
      <c r="K37" s="753">
        <v>0</v>
      </c>
      <c r="L37" s="753">
        <v>0</v>
      </c>
      <c r="M37" s="753">
        <v>0</v>
      </c>
      <c r="N37" s="753">
        <v>0</v>
      </c>
      <c r="O37" s="753">
        <v>0</v>
      </c>
      <c r="P37" s="753">
        <v>0</v>
      </c>
    </row>
    <row r="38" spans="1:16" s="4" customFormat="1" hidden="1" outlineLevel="1">
      <c r="A38" s="739" t="s">
        <v>1544</v>
      </c>
      <c r="B38" s="742" t="s">
        <v>1254</v>
      </c>
      <c r="C38" s="753">
        <f>'4.6_сбыт_КТЭЦ с косв.'!C38+'4.6_сбыт_котельн.'!C38</f>
        <v>0</v>
      </c>
      <c r="D38" s="753">
        <f>'4.6_сбыт_КТЭЦ с косв.'!D38+'4.6_сбыт_котельн.'!D38</f>
        <v>644.06669999999997</v>
      </c>
      <c r="E38" s="753">
        <f>'4.6_сбыт_КТЭЦ с косв.'!E38+'4.6_сбыт_котельн.'!E38</f>
        <v>0</v>
      </c>
      <c r="F38" s="753">
        <v>1509.1235999999999</v>
      </c>
      <c r="G38" s="753">
        <v>0</v>
      </c>
      <c r="H38" s="753">
        <v>1308.72252</v>
      </c>
      <c r="I38" s="753">
        <v>2627.3660999999997</v>
      </c>
      <c r="J38" s="753">
        <v>2627.3660999999997</v>
      </c>
      <c r="K38" s="753">
        <v>0</v>
      </c>
      <c r="L38" s="753">
        <v>0</v>
      </c>
      <c r="M38" s="753">
        <v>0</v>
      </c>
      <c r="N38" s="753">
        <v>0</v>
      </c>
      <c r="O38" s="753">
        <v>0</v>
      </c>
      <c r="P38" s="753">
        <v>0</v>
      </c>
    </row>
    <row r="39" spans="1:16" s="4" customFormat="1" hidden="1" outlineLevel="1">
      <c r="A39" s="739" t="s">
        <v>1545</v>
      </c>
      <c r="B39" s="740" t="s">
        <v>1255</v>
      </c>
      <c r="C39" s="753">
        <f>'4.6_сбыт_КТЭЦ с косв.'!C39+'4.6_сбыт_котельн.'!C39</f>
        <v>0</v>
      </c>
      <c r="D39" s="753">
        <f>'4.6_сбыт_КТЭЦ с косв.'!D39+'4.6_сбыт_котельн.'!D39</f>
        <v>189.98750000000001</v>
      </c>
      <c r="E39" s="753">
        <f>'4.6_сбыт_КТЭЦ с косв.'!E39+'4.6_сбыт_котельн.'!E39</f>
        <v>0</v>
      </c>
      <c r="F39" s="753">
        <v>315.59652</v>
      </c>
      <c r="G39" s="753">
        <v>0</v>
      </c>
      <c r="H39" s="753">
        <v>397.17153000000002</v>
      </c>
      <c r="I39" s="753">
        <v>0</v>
      </c>
      <c r="J39" s="753">
        <v>0</v>
      </c>
      <c r="K39" s="753">
        <v>0</v>
      </c>
      <c r="L39" s="753">
        <v>0</v>
      </c>
      <c r="M39" s="753">
        <v>0</v>
      </c>
      <c r="N39" s="753">
        <v>0</v>
      </c>
      <c r="O39" s="753">
        <v>0</v>
      </c>
      <c r="P39" s="753">
        <v>0</v>
      </c>
    </row>
    <row r="40" spans="1:16" s="4" customFormat="1" ht="25.5" hidden="1" outlineLevel="1">
      <c r="A40" s="739" t="s">
        <v>1546</v>
      </c>
      <c r="B40" s="742" t="s">
        <v>1256</v>
      </c>
      <c r="C40" s="753">
        <f>'4.6_сбыт_КТЭЦ с косв.'!C40+'4.6_сбыт_котельн.'!C40</f>
        <v>0</v>
      </c>
      <c r="D40" s="753">
        <f>'4.6_сбыт_КТЭЦ с косв.'!D40+'4.6_сбыт_котельн.'!D40</f>
        <v>420.77859999999998</v>
      </c>
      <c r="E40" s="753">
        <f>'4.6_сбыт_КТЭЦ с косв.'!E40+'4.6_сбыт_котельн.'!E40</f>
        <v>0</v>
      </c>
      <c r="F40" s="753">
        <v>881.47872000000007</v>
      </c>
      <c r="G40" s="753">
        <v>0</v>
      </c>
      <c r="H40" s="753">
        <v>432.23754000000008</v>
      </c>
      <c r="I40" s="753">
        <v>0</v>
      </c>
      <c r="J40" s="753">
        <v>0</v>
      </c>
      <c r="K40" s="753">
        <v>0</v>
      </c>
      <c r="L40" s="753">
        <v>0</v>
      </c>
      <c r="M40" s="753">
        <v>0</v>
      </c>
      <c r="N40" s="753">
        <v>0</v>
      </c>
      <c r="O40" s="753">
        <v>0</v>
      </c>
      <c r="P40" s="753">
        <v>0</v>
      </c>
    </row>
    <row r="41" spans="1:16" s="4" customFormat="1" hidden="1" outlineLevel="1">
      <c r="A41" s="739" t="s">
        <v>1547</v>
      </c>
      <c r="B41" s="742" t="s">
        <v>1257</v>
      </c>
      <c r="C41" s="753">
        <f>'4.6_сбыт_КТЭЦ с косв.'!C41+'4.6_сбыт_котельн.'!C41</f>
        <v>0</v>
      </c>
      <c r="D41" s="753">
        <f>'4.6_сбыт_КТЭЦ с косв.'!D41+'4.6_сбыт_котельн.'!D41</f>
        <v>23995.558300000001</v>
      </c>
      <c r="E41" s="753">
        <f>'4.6_сбыт_КТЭЦ с косв.'!E41+'4.6_сбыт_котельн.'!E41</f>
        <v>0</v>
      </c>
      <c r="F41" s="753">
        <v>25106.290560000005</v>
      </c>
      <c r="G41" s="753">
        <v>0</v>
      </c>
      <c r="H41" s="753">
        <v>30428.800780000001</v>
      </c>
      <c r="I41" s="753">
        <v>0</v>
      </c>
      <c r="J41" s="753">
        <v>0</v>
      </c>
      <c r="K41" s="753">
        <v>0</v>
      </c>
      <c r="L41" s="753">
        <v>0</v>
      </c>
      <c r="M41" s="753">
        <v>0</v>
      </c>
      <c r="N41" s="753">
        <v>0</v>
      </c>
      <c r="O41" s="753">
        <v>0</v>
      </c>
      <c r="P41" s="753">
        <v>0</v>
      </c>
    </row>
    <row r="42" spans="1:16" s="4" customFormat="1" hidden="1" outlineLevel="1">
      <c r="A42" s="741" t="s">
        <v>1548</v>
      </c>
      <c r="B42" s="742" t="s">
        <v>1556</v>
      </c>
      <c r="C42" s="753">
        <f>'4.6_сбыт_КТЭЦ с косв.'!C42+'4.6_сбыт_котельн.'!C42</f>
        <v>0</v>
      </c>
      <c r="D42" s="753">
        <f>'4.6_сбыт_КТЭЦ с косв.'!D42+'4.6_сбыт_котельн.'!D42</f>
        <v>235.4796</v>
      </c>
      <c r="E42" s="753">
        <f>'4.6_сбыт_КТЭЦ с косв.'!E42+'4.6_сбыт_котельн.'!E42</f>
        <v>0</v>
      </c>
      <c r="F42" s="753">
        <v>1103.2369199999998</v>
      </c>
      <c r="G42" s="753">
        <v>0</v>
      </c>
      <c r="H42" s="753">
        <v>694.87222000000008</v>
      </c>
      <c r="I42" s="753">
        <v>0</v>
      </c>
      <c r="J42" s="753">
        <v>0</v>
      </c>
      <c r="K42" s="753">
        <v>0</v>
      </c>
      <c r="L42" s="753">
        <v>0</v>
      </c>
      <c r="M42" s="753">
        <v>0</v>
      </c>
      <c r="N42" s="753">
        <v>0</v>
      </c>
      <c r="O42" s="753">
        <v>0</v>
      </c>
      <c r="P42" s="753">
        <v>0</v>
      </c>
    </row>
    <row r="43" spans="1:16" s="4" customFormat="1" hidden="1" outlineLevel="1">
      <c r="A43" s="741" t="s">
        <v>1549</v>
      </c>
      <c r="B43" s="742" t="s">
        <v>1258</v>
      </c>
      <c r="C43" s="753">
        <f>'4.6_сбыт_КТЭЦ с косв.'!C43+'4.6_сбыт_котельн.'!C43</f>
        <v>0</v>
      </c>
      <c r="D43" s="753">
        <f>'4.6_сбыт_КТЭЦ с косв.'!D43+'4.6_сбыт_котельн.'!D43</f>
        <v>641.53749999999991</v>
      </c>
      <c r="E43" s="753">
        <f>'4.6_сбыт_КТЭЦ с косв.'!E43+'4.6_сбыт_котельн.'!E43</f>
        <v>0</v>
      </c>
      <c r="F43" s="753">
        <v>851.41080000000022</v>
      </c>
      <c r="G43" s="753">
        <v>0</v>
      </c>
      <c r="H43" s="753">
        <v>1077.5583000000001</v>
      </c>
      <c r="I43" s="753">
        <v>0</v>
      </c>
      <c r="J43" s="753">
        <v>0</v>
      </c>
      <c r="K43" s="753">
        <v>0</v>
      </c>
      <c r="L43" s="753">
        <v>0</v>
      </c>
      <c r="M43" s="753">
        <v>0</v>
      </c>
      <c r="N43" s="753">
        <v>0</v>
      </c>
      <c r="O43" s="753">
        <v>0</v>
      </c>
      <c r="P43" s="753">
        <v>0</v>
      </c>
    </row>
    <row r="44" spans="1:16" s="4" customFormat="1" hidden="1" outlineLevel="1">
      <c r="A44" s="764" t="s">
        <v>1555</v>
      </c>
      <c r="B44" s="742" t="s">
        <v>1890</v>
      </c>
      <c r="C44" s="753">
        <f>'4.6_сбыт_КТЭЦ с косв.'!C44+'4.6_сбыт_котельн.'!C44</f>
        <v>0</v>
      </c>
      <c r="D44" s="753">
        <f>'4.6_сбыт_КТЭЦ с косв.'!D44+'4.6_сбыт_котельн.'!D44</f>
        <v>642</v>
      </c>
      <c r="E44" s="753">
        <f>'4.6_сбыт_КТЭЦ с косв.'!E44+'4.6_сбыт_котельн.'!E44</f>
        <v>0</v>
      </c>
      <c r="F44" s="753">
        <v>0</v>
      </c>
      <c r="G44" s="753">
        <v>0</v>
      </c>
      <c r="H44" s="753">
        <v>0</v>
      </c>
      <c r="I44" s="753">
        <v>0</v>
      </c>
      <c r="J44" s="753">
        <v>0</v>
      </c>
      <c r="K44" s="753">
        <v>0</v>
      </c>
      <c r="L44" s="753">
        <v>0</v>
      </c>
      <c r="M44" s="753">
        <v>0</v>
      </c>
      <c r="N44" s="753">
        <v>0</v>
      </c>
      <c r="O44" s="753">
        <v>0</v>
      </c>
      <c r="P44" s="753">
        <v>0</v>
      </c>
    </row>
    <row r="45" spans="1:16" s="341" customFormat="1" hidden="1" outlineLevel="1">
      <c r="A45" s="764" t="s">
        <v>1889</v>
      </c>
      <c r="B45" s="765" t="s">
        <v>1259</v>
      </c>
      <c r="C45" s="746">
        <f>SUM(C46:C54)</f>
        <v>0</v>
      </c>
      <c r="D45" s="746">
        <f t="shared" ref="D45" si="4">SUM(D46:D54)</f>
        <v>1679.1611</v>
      </c>
      <c r="E45" s="746">
        <f>SUM(E46:E55)</f>
        <v>0</v>
      </c>
      <c r="F45" s="746">
        <v>3651.6571199999998</v>
      </c>
      <c r="G45" s="746">
        <v>0</v>
      </c>
      <c r="H45" s="746">
        <v>7040.7468600000002</v>
      </c>
      <c r="I45" s="746">
        <v>0</v>
      </c>
      <c r="J45" s="746">
        <v>0</v>
      </c>
      <c r="K45" s="746">
        <v>0</v>
      </c>
      <c r="L45" s="746">
        <v>0</v>
      </c>
      <c r="M45" s="746">
        <v>0</v>
      </c>
      <c r="N45" s="746">
        <v>0</v>
      </c>
      <c r="O45" s="746">
        <v>0</v>
      </c>
      <c r="P45" s="746">
        <v>0</v>
      </c>
    </row>
    <row r="46" spans="1:16" s="4" customFormat="1" hidden="1" outlineLevel="1">
      <c r="A46" s="744"/>
      <c r="B46" s="745" t="s">
        <v>1260</v>
      </c>
      <c r="C46" s="753">
        <f>'4.6_сбыт_КТЭЦ с косв.'!C46+'4.6_сбыт_котельн.'!C46</f>
        <v>0</v>
      </c>
      <c r="D46" s="753">
        <f>'4.6_сбыт_КТЭЦ с косв.'!D46+'4.6_сбыт_котельн.'!D46</f>
        <v>230.77169999999998</v>
      </c>
      <c r="E46" s="753">
        <f>'4.6_сбыт_КТЭЦ с косв.'!E46+'4.6_сбыт_котельн.'!E46</f>
        <v>0</v>
      </c>
      <c r="F46" s="753">
        <v>389.94588000000005</v>
      </c>
      <c r="G46" s="753">
        <v>0</v>
      </c>
      <c r="H46" s="753">
        <v>286.50510000000003</v>
      </c>
      <c r="I46" s="753">
        <v>0</v>
      </c>
      <c r="J46" s="753">
        <v>0</v>
      </c>
      <c r="K46" s="753">
        <v>0</v>
      </c>
      <c r="L46" s="753">
        <v>0</v>
      </c>
      <c r="M46" s="753">
        <v>0</v>
      </c>
      <c r="N46" s="753">
        <v>0</v>
      </c>
      <c r="O46" s="753">
        <v>0</v>
      </c>
      <c r="P46" s="753">
        <v>0</v>
      </c>
    </row>
    <row r="47" spans="1:16" s="4" customFormat="1" hidden="1" outlineLevel="1">
      <c r="A47" s="744"/>
      <c r="B47" s="743" t="s">
        <v>1261</v>
      </c>
      <c r="C47" s="753">
        <f>'4.6_сбыт_КТЭЦ с косв.'!C47+'4.6_сбыт_котельн.'!C47</f>
        <v>0</v>
      </c>
      <c r="D47" s="753">
        <f>'4.6_сбыт_КТЭЦ с косв.'!D47+'4.6_сбыт_котельн.'!D47</f>
        <v>193.81379999999999</v>
      </c>
      <c r="E47" s="753">
        <f>'4.6_сбыт_КТЭЦ с косв.'!E47+'4.6_сбыт_котельн.'!E47</f>
        <v>0</v>
      </c>
      <c r="F47" s="753">
        <v>490.87080000000003</v>
      </c>
      <c r="G47" s="753">
        <v>0</v>
      </c>
      <c r="H47" s="753">
        <v>412.33920000000001</v>
      </c>
      <c r="I47" s="753">
        <v>0</v>
      </c>
      <c r="J47" s="753">
        <v>0</v>
      </c>
      <c r="K47" s="753">
        <v>0</v>
      </c>
      <c r="L47" s="753">
        <v>0</v>
      </c>
      <c r="M47" s="753">
        <v>0</v>
      </c>
      <c r="N47" s="753">
        <v>0</v>
      </c>
      <c r="O47" s="753">
        <v>0</v>
      </c>
      <c r="P47" s="753">
        <v>0</v>
      </c>
    </row>
    <row r="48" spans="1:16" s="4" customFormat="1" hidden="1" outlineLevel="1">
      <c r="A48" s="744"/>
      <c r="B48" s="743" t="s">
        <v>1262</v>
      </c>
      <c r="C48" s="753">
        <f>'4.6_сбыт_КТЭЦ с косв.'!C48+'4.6_сбыт_котельн.'!C48</f>
        <v>0</v>
      </c>
      <c r="D48" s="753">
        <f>'4.6_сбыт_КТЭЦ с косв.'!D48+'4.6_сбыт_котельн.'!D48</f>
        <v>403.12360000000001</v>
      </c>
      <c r="E48" s="753">
        <f>'4.6_сбыт_КТЭЦ с косв.'!E48+'4.6_сбыт_котельн.'!E48</f>
        <v>0</v>
      </c>
      <c r="F48" s="753">
        <v>860.99184000000002</v>
      </c>
      <c r="G48" s="753">
        <v>0</v>
      </c>
      <c r="H48" s="753">
        <v>910.32879000000003</v>
      </c>
      <c r="I48" s="753">
        <v>0</v>
      </c>
      <c r="J48" s="753">
        <v>0</v>
      </c>
      <c r="K48" s="753">
        <v>0</v>
      </c>
      <c r="L48" s="753">
        <v>0</v>
      </c>
      <c r="M48" s="753">
        <v>0</v>
      </c>
      <c r="N48" s="753">
        <v>0</v>
      </c>
      <c r="O48" s="753">
        <v>0</v>
      </c>
      <c r="P48" s="753">
        <v>0</v>
      </c>
    </row>
    <row r="49" spans="1:16" s="4" customFormat="1" hidden="1" outlineLevel="1">
      <c r="A49" s="744"/>
      <c r="B49" s="743" t="s">
        <v>1263</v>
      </c>
      <c r="C49" s="753">
        <f>'4.6_сбыт_КТЭЦ с косв.'!C49+'4.6_сбыт_котельн.'!C49</f>
        <v>0</v>
      </c>
      <c r="D49" s="753">
        <f>'4.6_сбыт_КТЭЦ с косв.'!D49+'4.6_сбыт_котельн.'!D49</f>
        <v>517.53959999999995</v>
      </c>
      <c r="E49" s="753">
        <f>'4.6_сбыт_КТЭЦ с косв.'!E49+'4.6_сбыт_котельн.'!E49</f>
        <v>0</v>
      </c>
      <c r="F49" s="753">
        <v>586.83564000000001</v>
      </c>
      <c r="G49" s="753">
        <v>0</v>
      </c>
      <c r="H49" s="753">
        <v>180.41849000000002</v>
      </c>
      <c r="I49" s="753">
        <v>0</v>
      </c>
      <c r="J49" s="753">
        <v>0</v>
      </c>
      <c r="K49" s="753">
        <v>0</v>
      </c>
      <c r="L49" s="753">
        <v>0</v>
      </c>
      <c r="M49" s="753">
        <v>0</v>
      </c>
      <c r="N49" s="753">
        <v>0</v>
      </c>
      <c r="O49" s="753">
        <v>0</v>
      </c>
      <c r="P49" s="753">
        <v>0</v>
      </c>
    </row>
    <row r="50" spans="1:16" s="4" customFormat="1" ht="25.5" hidden="1" outlineLevel="1">
      <c r="A50" s="744"/>
      <c r="B50" s="743" t="s">
        <v>1891</v>
      </c>
      <c r="C50" s="753">
        <f>'4.6_сбыт_КТЭЦ с косв.'!C50+'4.6_сбыт_котельн.'!C50</f>
        <v>0</v>
      </c>
      <c r="D50" s="753">
        <f>'4.6_сбыт_КТЭЦ с косв.'!D50+'4.6_сбыт_котельн.'!D50</f>
        <v>333.91239999999999</v>
      </c>
      <c r="E50" s="753">
        <f>'4.6_сбыт_КТЭЦ с косв.'!E50+'4.6_сбыт_котельн.'!E50</f>
        <v>0</v>
      </c>
      <c r="F50" s="753">
        <v>1323.0129600000002</v>
      </c>
      <c r="G50" s="753">
        <v>0</v>
      </c>
      <c r="H50" s="753">
        <v>2602.8205000000003</v>
      </c>
      <c r="I50" s="753">
        <v>0</v>
      </c>
      <c r="J50" s="753">
        <v>0</v>
      </c>
      <c r="K50" s="753">
        <v>0</v>
      </c>
      <c r="L50" s="753">
        <v>0</v>
      </c>
      <c r="M50" s="753">
        <v>0</v>
      </c>
      <c r="N50" s="753">
        <v>0</v>
      </c>
      <c r="O50" s="753">
        <v>0</v>
      </c>
      <c r="P50" s="753">
        <v>0</v>
      </c>
    </row>
    <row r="51" spans="1:16" s="4" customFormat="1" ht="25.5" hidden="1" outlineLevel="1">
      <c r="A51" s="744"/>
      <c r="B51" s="743" t="s">
        <v>1264</v>
      </c>
      <c r="C51" s="753">
        <f>'4.6_сбыт_КТЭЦ с косв.'!C51+'4.6_сбыт_котельн.'!C51</f>
        <v>0</v>
      </c>
      <c r="D51" s="753">
        <f>'4.6_сбыт_КТЭЦ с косв.'!D51+'4.6_сбыт_котельн.'!D51</f>
        <v>0</v>
      </c>
      <c r="E51" s="753">
        <f>'4.6_сбыт_КТЭЦ с косв.'!E51+'4.6_сбыт_котельн.'!E51</f>
        <v>0</v>
      </c>
      <c r="F51" s="753">
        <v>0</v>
      </c>
      <c r="G51" s="753">
        <v>0</v>
      </c>
      <c r="H51" s="753">
        <v>0</v>
      </c>
      <c r="I51" s="753">
        <v>0</v>
      </c>
      <c r="J51" s="753">
        <v>0</v>
      </c>
      <c r="K51" s="753">
        <v>0</v>
      </c>
      <c r="L51" s="753">
        <v>0</v>
      </c>
      <c r="M51" s="753">
        <v>0</v>
      </c>
      <c r="N51" s="753">
        <v>0</v>
      </c>
      <c r="O51" s="753">
        <v>0</v>
      </c>
      <c r="P51" s="753">
        <v>0</v>
      </c>
    </row>
    <row r="52" spans="1:16" s="4" customFormat="1" hidden="1" outlineLevel="1">
      <c r="A52" s="744"/>
      <c r="B52" s="1391" t="s">
        <v>1883</v>
      </c>
      <c r="C52" s="753">
        <f>'4.6_сбыт_КТЭЦ с косв.'!C52+'4.6_сбыт_котельн.'!C52</f>
        <v>0</v>
      </c>
      <c r="D52" s="753">
        <f>'4.6_сбыт_КТЭЦ с косв.'!D52+'4.6_сбыт_котельн.'!D52</f>
        <v>0</v>
      </c>
      <c r="E52" s="753">
        <f>'4.6_сбыт_КТЭЦ с косв.'!E52+'4.6_сбыт_котельн.'!E52</f>
        <v>0</v>
      </c>
      <c r="F52" s="753">
        <v>0</v>
      </c>
      <c r="G52" s="753">
        <v>0</v>
      </c>
      <c r="H52" s="753">
        <v>0</v>
      </c>
      <c r="I52" s="753">
        <v>0</v>
      </c>
      <c r="J52" s="753">
        <v>0</v>
      </c>
      <c r="K52" s="753">
        <v>0</v>
      </c>
      <c r="L52" s="753">
        <v>0</v>
      </c>
      <c r="M52" s="753">
        <v>0</v>
      </c>
      <c r="N52" s="753">
        <v>0</v>
      </c>
      <c r="O52" s="753">
        <v>0</v>
      </c>
      <c r="P52" s="753">
        <v>0</v>
      </c>
    </row>
    <row r="53" spans="1:16" s="4" customFormat="1" hidden="1" outlineLevel="1">
      <c r="A53" s="744"/>
      <c r="B53" s="743" t="s">
        <v>1884</v>
      </c>
      <c r="C53" s="753">
        <f>'4.6_сбыт_КТЭЦ с косв.'!C53+'4.6_сбыт_котельн.'!C53</f>
        <v>0</v>
      </c>
      <c r="D53" s="753">
        <f>'4.6_сбыт_КТЭЦ с косв.'!D53+'4.6_сбыт_котельн.'!D53</f>
        <v>0</v>
      </c>
      <c r="E53" s="753">
        <f>'4.6_сбыт_КТЭЦ с косв.'!E53+'4.6_сбыт_котельн.'!E53</f>
        <v>0</v>
      </c>
      <c r="F53" s="753">
        <v>0</v>
      </c>
      <c r="G53" s="753">
        <v>0</v>
      </c>
      <c r="H53" s="753">
        <v>2648.3347800000001</v>
      </c>
      <c r="I53" s="753">
        <v>0</v>
      </c>
      <c r="J53" s="753">
        <v>0</v>
      </c>
      <c r="K53" s="753">
        <v>0</v>
      </c>
      <c r="L53" s="753">
        <v>0</v>
      </c>
      <c r="M53" s="753">
        <v>0</v>
      </c>
      <c r="N53" s="753">
        <v>0</v>
      </c>
      <c r="O53" s="753">
        <v>0</v>
      </c>
      <c r="P53" s="753">
        <v>0</v>
      </c>
    </row>
    <row r="54" spans="1:16" s="4" customFormat="1" ht="25.5" hidden="1" outlineLevel="1">
      <c r="A54" s="17"/>
      <c r="B54" s="743" t="s">
        <v>1885</v>
      </c>
      <c r="C54" s="753">
        <f>'4.6_сбыт_КТЭЦ с косв.'!C54+'4.6_сбыт_котельн.'!C54</f>
        <v>0</v>
      </c>
      <c r="D54" s="753">
        <f>'4.6_сбыт_КТЭЦ с косв.'!D54+'4.6_сбыт_котельн.'!D54</f>
        <v>0</v>
      </c>
      <c r="E54" s="753">
        <f>'4.6_сбыт_КТЭЦ с косв.'!E54+'4.6_сбыт_котельн.'!E54</f>
        <v>0</v>
      </c>
      <c r="F54" s="753">
        <v>0</v>
      </c>
      <c r="G54" s="753">
        <v>0</v>
      </c>
      <c r="H54" s="753">
        <v>0</v>
      </c>
      <c r="I54" s="753">
        <v>0</v>
      </c>
      <c r="J54" s="753">
        <v>0</v>
      </c>
      <c r="K54" s="753">
        <v>0</v>
      </c>
      <c r="L54" s="753">
        <v>0</v>
      </c>
      <c r="M54" s="753">
        <v>0</v>
      </c>
      <c r="N54" s="753">
        <v>0</v>
      </c>
      <c r="O54" s="753">
        <v>0</v>
      </c>
      <c r="P54" s="753">
        <v>0</v>
      </c>
    </row>
    <row r="55" spans="1:16" s="341" customFormat="1" ht="25.5" hidden="1" outlineLevel="1">
      <c r="A55" s="339"/>
      <c r="B55" s="743" t="s">
        <v>1886</v>
      </c>
      <c r="C55" s="750">
        <f>'4.6_сбыт_КТЭЦ с косв.'!C55+'4.6_сбыт_котельн.'!C55</f>
        <v>0</v>
      </c>
      <c r="D55" s="750">
        <f>'4.6_сбыт_КТЭЦ с косв.'!D55+'4.6_сбыт_котельн.'!D55</f>
        <v>0</v>
      </c>
      <c r="E55" s="750">
        <f>'4.6_сбыт_КТЭЦ с косв.'!E55+'4.6_сбыт_котельн.'!E55</f>
        <v>0</v>
      </c>
      <c r="F55" s="750">
        <v>0</v>
      </c>
      <c r="G55" s="750">
        <v>0</v>
      </c>
      <c r="H55" s="750">
        <v>0</v>
      </c>
      <c r="I55" s="750">
        <v>0</v>
      </c>
      <c r="J55" s="750">
        <v>0</v>
      </c>
      <c r="K55" s="750">
        <v>0</v>
      </c>
      <c r="L55" s="750">
        <v>0</v>
      </c>
      <c r="M55" s="750">
        <v>0</v>
      </c>
      <c r="N55" s="750">
        <v>0</v>
      </c>
      <c r="O55" s="750">
        <v>0</v>
      </c>
      <c r="P55" s="750">
        <v>0</v>
      </c>
    </row>
    <row r="56" spans="1:16" s="1046" customFormat="1" ht="90" collapsed="1">
      <c r="A56" s="1044"/>
      <c r="B56" s="1045" t="s">
        <v>374</v>
      </c>
      <c r="C56" s="258">
        <f>'4.6_сбыт_КТЭЦ с косв.'!C56+'4.6_сбыт_котельн.'!C56</f>
        <v>0</v>
      </c>
      <c r="D56" s="258">
        <f>'4.6_сбыт_КТЭЦ с косв.'!D56+'4.6_сбыт_котельн.'!D56</f>
        <v>39</v>
      </c>
      <c r="E56" s="258">
        <f>'4.6_сбыт_КТЭЦ с косв.'!E56+'4.6_сбыт_котельн.'!E56</f>
        <v>0</v>
      </c>
      <c r="F56" s="258">
        <v>0</v>
      </c>
      <c r="G56" s="258">
        <v>0</v>
      </c>
      <c r="H56" s="258">
        <v>0</v>
      </c>
      <c r="I56" s="258">
        <v>0</v>
      </c>
      <c r="J56" s="258">
        <v>0</v>
      </c>
      <c r="K56" s="258">
        <v>0</v>
      </c>
      <c r="L56" s="258">
        <v>0</v>
      </c>
      <c r="M56" s="258">
        <v>0</v>
      </c>
      <c r="N56" s="258">
        <v>0</v>
      </c>
      <c r="O56" s="258">
        <v>0</v>
      </c>
      <c r="P56" s="258">
        <v>0</v>
      </c>
    </row>
    <row r="57" spans="1:16" s="1046" customFormat="1" ht="30">
      <c r="A57" s="1044"/>
      <c r="B57" s="1045" t="s">
        <v>375</v>
      </c>
      <c r="C57" s="258">
        <f>'4.6_сбыт_КТЭЦ с косв.'!C57+'4.6_сбыт_котельн.'!C57</f>
        <v>0</v>
      </c>
      <c r="D57" s="258">
        <f>'4.6_сбыт_КТЭЦ с косв.'!D57+'4.6_сбыт_котельн.'!D57</f>
        <v>743</v>
      </c>
      <c r="E57" s="258">
        <f>'4.6_сбыт_КТЭЦ с косв.'!E57+'4.6_сбыт_котельн.'!E57</f>
        <v>0</v>
      </c>
      <c r="F57" s="258">
        <v>804</v>
      </c>
      <c r="G57" s="258">
        <v>0</v>
      </c>
      <c r="H57" s="258">
        <v>903</v>
      </c>
      <c r="I57" s="258">
        <v>0</v>
      </c>
      <c r="J57" s="258">
        <v>1263</v>
      </c>
      <c r="K57" s="258">
        <v>999</v>
      </c>
      <c r="L57" s="258">
        <v>499.5</v>
      </c>
      <c r="M57" s="258">
        <v>499.5</v>
      </c>
      <c r="N57" s="258">
        <v>1059</v>
      </c>
      <c r="O57" s="258">
        <v>529.5</v>
      </c>
      <c r="P57" s="258">
        <v>529.5</v>
      </c>
    </row>
    <row r="58" spans="1:16" s="1046" customFormat="1" ht="15" customHeight="1">
      <c r="A58" s="1044"/>
      <c r="B58" s="1045" t="s">
        <v>376</v>
      </c>
      <c r="C58" s="258">
        <f>'4.6_сбыт_КТЭЦ с косв.'!C58+'4.6_сбыт_котельн.'!C58</f>
        <v>0</v>
      </c>
      <c r="D58" s="258">
        <f>'4.6_сбыт_КТЭЦ с косв.'!D58+'4.6_сбыт_котельн.'!D58</f>
        <v>698</v>
      </c>
      <c r="E58" s="258">
        <f>'4.6_сбыт_КТЭЦ с косв.'!E58+'4.6_сбыт_котельн.'!E58</f>
        <v>0</v>
      </c>
      <c r="F58" s="258">
        <v>924</v>
      </c>
      <c r="G58" s="258">
        <v>0</v>
      </c>
      <c r="H58" s="258">
        <v>756</v>
      </c>
      <c r="I58" s="258">
        <v>754</v>
      </c>
      <c r="J58" s="258">
        <v>754</v>
      </c>
      <c r="K58" s="258">
        <v>797.21928000000003</v>
      </c>
      <c r="L58" s="258">
        <v>398.60964000000001</v>
      </c>
      <c r="M58" s="258">
        <v>398.60964000000001</v>
      </c>
      <c r="N58" s="258">
        <v>835.81266534479983</v>
      </c>
      <c r="O58" s="258">
        <v>417.90633267239991</v>
      </c>
      <c r="P58" s="258">
        <v>417.90633267239991</v>
      </c>
    </row>
    <row r="59" spans="1:16" s="1046" customFormat="1" ht="15" customHeight="1">
      <c r="A59" s="1044"/>
      <c r="B59" s="1045" t="s">
        <v>377</v>
      </c>
      <c r="C59" s="258">
        <f>'4.6_сбыт_КТЭЦ с косв.'!C59+'4.6_сбыт_котельн.'!C59</f>
        <v>0</v>
      </c>
      <c r="D59" s="258">
        <f>'4.6_сбыт_КТЭЦ с косв.'!D59+'4.6_сбыт_котельн.'!D59</f>
        <v>186</v>
      </c>
      <c r="E59" s="258">
        <f>'4.6_сбыт_КТЭЦ с косв.'!E59+'4.6_сбыт_котельн.'!E59</f>
        <v>0</v>
      </c>
      <c r="F59" s="258">
        <v>236</v>
      </c>
      <c r="G59" s="258">
        <v>0</v>
      </c>
      <c r="H59" s="258">
        <v>307</v>
      </c>
      <c r="I59" s="258">
        <v>243</v>
      </c>
      <c r="J59" s="258">
        <v>243</v>
      </c>
      <c r="K59" s="258">
        <v>256.92876000000001</v>
      </c>
      <c r="L59" s="258">
        <v>128.46438000000001</v>
      </c>
      <c r="M59" s="258">
        <v>128.46438000000001</v>
      </c>
      <c r="N59" s="258">
        <v>269.36668127159993</v>
      </c>
      <c r="O59" s="258">
        <v>134.68334063579996</v>
      </c>
      <c r="P59" s="258">
        <v>134.68334063579996</v>
      </c>
    </row>
    <row r="60" spans="1:16" s="1046" customFormat="1" ht="45" customHeight="1">
      <c r="A60" s="1044"/>
      <c r="B60" s="1045" t="s">
        <v>378</v>
      </c>
      <c r="C60" s="258">
        <f>'4.6_сбыт_КТЭЦ с косв.'!C60+'4.6_сбыт_котельн.'!C60</f>
        <v>0</v>
      </c>
      <c r="D60" s="258">
        <f>'4.6_сбыт_КТЭЦ с косв.'!D60+'4.6_сбыт_котельн.'!D60</f>
        <v>329</v>
      </c>
      <c r="E60" s="258">
        <f>'4.6_сбыт_КТЭЦ с косв.'!E60+'4.6_сбыт_котельн.'!E60</f>
        <v>0</v>
      </c>
      <c r="F60" s="258">
        <v>302</v>
      </c>
      <c r="G60" s="258">
        <v>0</v>
      </c>
      <c r="H60" s="258">
        <v>217</v>
      </c>
      <c r="I60" s="258">
        <v>0</v>
      </c>
      <c r="J60" s="258">
        <v>269</v>
      </c>
      <c r="K60" s="258">
        <v>304</v>
      </c>
      <c r="L60" s="258">
        <v>152</v>
      </c>
      <c r="M60" s="258">
        <v>152</v>
      </c>
      <c r="N60" s="258">
        <v>321</v>
      </c>
      <c r="O60" s="258">
        <v>160.5</v>
      </c>
      <c r="P60" s="258">
        <v>160.5</v>
      </c>
    </row>
    <row r="61" spans="1:16" s="1046" customFormat="1" ht="30" customHeight="1">
      <c r="A61" s="1044"/>
      <c r="B61" s="1045" t="s">
        <v>379</v>
      </c>
      <c r="C61" s="258">
        <f>SUM(C62:C66)</f>
        <v>0</v>
      </c>
      <c r="D61" s="258">
        <f t="shared" ref="D61:E61" si="5">SUM(D62:D66)</f>
        <v>411</v>
      </c>
      <c r="E61" s="258">
        <f t="shared" si="5"/>
        <v>0</v>
      </c>
      <c r="F61" s="258">
        <v>593</v>
      </c>
      <c r="G61" s="258">
        <v>0</v>
      </c>
      <c r="H61" s="258">
        <v>513</v>
      </c>
      <c r="I61" s="258">
        <v>0</v>
      </c>
      <c r="J61" s="258">
        <v>448</v>
      </c>
      <c r="K61" s="258">
        <v>478</v>
      </c>
      <c r="L61" s="258">
        <v>228.5</v>
      </c>
      <c r="M61" s="258">
        <v>249.5</v>
      </c>
      <c r="N61" s="258">
        <v>634</v>
      </c>
      <c r="O61" s="258">
        <v>320.5</v>
      </c>
      <c r="P61" s="258">
        <v>313.5</v>
      </c>
    </row>
    <row r="62" spans="1:16" s="4" customFormat="1" ht="15" customHeight="1">
      <c r="A62" s="17"/>
      <c r="B62" s="51" t="s">
        <v>380</v>
      </c>
      <c r="C62" s="241">
        <f>'4.6_сбыт_КТЭЦ с косв.'!C62+'4.6_сбыт_котельн.'!C62</f>
        <v>0</v>
      </c>
      <c r="D62" s="241">
        <f>'4.6_сбыт_КТЭЦ с косв.'!D62+'4.6_сбыт_котельн.'!D62</f>
        <v>400</v>
      </c>
      <c r="E62" s="241">
        <f>'4.6_сбыт_КТЭЦ с косв.'!E62+'4.6_сбыт_котельн.'!E62</f>
        <v>0</v>
      </c>
      <c r="F62" s="241">
        <v>579</v>
      </c>
      <c r="G62" s="241">
        <v>0</v>
      </c>
      <c r="H62" s="241">
        <v>503</v>
      </c>
      <c r="I62" s="241">
        <v>0</v>
      </c>
      <c r="J62" s="241">
        <v>434</v>
      </c>
      <c r="K62" s="241">
        <v>463</v>
      </c>
      <c r="L62" s="241">
        <v>221</v>
      </c>
      <c r="M62" s="241">
        <v>242</v>
      </c>
      <c r="N62" s="241">
        <v>619</v>
      </c>
      <c r="O62" s="241">
        <v>313</v>
      </c>
      <c r="P62" s="241">
        <v>306</v>
      </c>
    </row>
    <row r="63" spans="1:16" s="4" customFormat="1" ht="15" customHeight="1">
      <c r="A63" s="17"/>
      <c r="B63" s="51" t="s">
        <v>381</v>
      </c>
      <c r="C63" s="241">
        <f>'4.6_сбыт_КТЭЦ с косв.'!C63+'4.6_сбыт_котельн.'!C63</f>
        <v>0</v>
      </c>
      <c r="D63" s="241">
        <f>'4.6_сбыт_КТЭЦ с косв.'!D63+'4.6_сбыт_котельн.'!D63</f>
        <v>11</v>
      </c>
      <c r="E63" s="241">
        <f>'4.6_сбыт_КТЭЦ с косв.'!E63+'4.6_сбыт_котельн.'!E63</f>
        <v>0</v>
      </c>
      <c r="F63" s="241">
        <v>14</v>
      </c>
      <c r="G63" s="241">
        <v>0</v>
      </c>
      <c r="H63" s="241">
        <v>10</v>
      </c>
      <c r="I63" s="241">
        <v>0</v>
      </c>
      <c r="J63" s="241">
        <v>14</v>
      </c>
      <c r="K63" s="241">
        <v>15</v>
      </c>
      <c r="L63" s="241">
        <v>7.5</v>
      </c>
      <c r="M63" s="241">
        <v>7.5</v>
      </c>
      <c r="N63" s="241">
        <v>15</v>
      </c>
      <c r="O63" s="241">
        <v>7.5</v>
      </c>
      <c r="P63" s="241">
        <v>7.5</v>
      </c>
    </row>
    <row r="64" spans="1:16" s="4" customFormat="1" ht="15" customHeight="1">
      <c r="A64" s="17"/>
      <c r="B64" s="51" t="s">
        <v>382</v>
      </c>
      <c r="C64" s="241">
        <f>'4.6_сбыт_КТЭЦ с косв.'!C64+'4.6_сбыт_котельн.'!C64</f>
        <v>0</v>
      </c>
      <c r="D64" s="241">
        <f>'4.6_сбыт_КТЭЦ с косв.'!D64+'4.6_сбыт_котельн.'!D64</f>
        <v>0</v>
      </c>
      <c r="E64" s="241">
        <f>'4.6_сбыт_КТЭЦ с косв.'!E64+'4.6_сбыт_котельн.'!E64</f>
        <v>0</v>
      </c>
      <c r="F64" s="241">
        <v>0</v>
      </c>
      <c r="G64" s="241">
        <v>0</v>
      </c>
      <c r="H64" s="241">
        <v>0</v>
      </c>
      <c r="I64" s="241">
        <v>0</v>
      </c>
      <c r="J64" s="241">
        <v>0</v>
      </c>
      <c r="K64" s="241">
        <v>0</v>
      </c>
      <c r="L64" s="241">
        <v>0</v>
      </c>
      <c r="M64" s="241">
        <v>0</v>
      </c>
      <c r="N64" s="241">
        <v>0</v>
      </c>
      <c r="O64" s="241">
        <v>0</v>
      </c>
      <c r="P64" s="241">
        <v>0</v>
      </c>
    </row>
    <row r="65" spans="1:16" s="4" customFormat="1" ht="15" customHeight="1">
      <c r="A65" s="17"/>
      <c r="B65" s="51" t="s">
        <v>383</v>
      </c>
      <c r="C65" s="241">
        <f>'4.6_сбыт_КТЭЦ с косв.'!C65+'4.6_сбыт_котельн.'!C65</f>
        <v>0</v>
      </c>
      <c r="D65" s="241">
        <f>'4.6_сбыт_КТЭЦ с косв.'!D65+'4.6_сбыт_котельн.'!D65</f>
        <v>0</v>
      </c>
      <c r="E65" s="241">
        <f>'4.6_сбыт_КТЭЦ с косв.'!E65+'4.6_сбыт_котельн.'!E65</f>
        <v>0</v>
      </c>
      <c r="F65" s="241">
        <v>0</v>
      </c>
      <c r="G65" s="241">
        <v>0</v>
      </c>
      <c r="H65" s="241">
        <v>0</v>
      </c>
      <c r="I65" s="241">
        <v>0</v>
      </c>
      <c r="J65" s="241">
        <v>0</v>
      </c>
      <c r="K65" s="241">
        <v>0</v>
      </c>
      <c r="L65" s="241">
        <v>0</v>
      </c>
      <c r="M65" s="241">
        <v>0</v>
      </c>
      <c r="N65" s="241">
        <v>0</v>
      </c>
      <c r="O65" s="241">
        <v>0</v>
      </c>
      <c r="P65" s="241">
        <v>0</v>
      </c>
    </row>
    <row r="66" spans="1:16" s="4" customFormat="1" ht="15" customHeight="1">
      <c r="A66" s="17"/>
      <c r="B66" s="51" t="s">
        <v>384</v>
      </c>
      <c r="C66" s="241">
        <f>'4.6_сбыт_КТЭЦ с косв.'!C66+'4.6_сбыт_котельн.'!C66</f>
        <v>0</v>
      </c>
      <c r="D66" s="241">
        <f>'4.6_сбыт_КТЭЦ с косв.'!D66+'4.6_сбыт_котельн.'!D66</f>
        <v>0</v>
      </c>
      <c r="E66" s="241">
        <f>'4.6_сбыт_КТЭЦ с косв.'!E66+'4.6_сбыт_котельн.'!E66</f>
        <v>0</v>
      </c>
      <c r="F66" s="241">
        <v>0</v>
      </c>
      <c r="G66" s="241">
        <v>0</v>
      </c>
      <c r="H66" s="241">
        <v>0</v>
      </c>
      <c r="I66" s="241">
        <v>0</v>
      </c>
      <c r="J66" s="241">
        <v>0</v>
      </c>
      <c r="K66" s="241">
        <v>0</v>
      </c>
      <c r="L66" s="241">
        <v>0</v>
      </c>
      <c r="M66" s="241">
        <v>0</v>
      </c>
      <c r="N66" s="241">
        <v>0</v>
      </c>
      <c r="O66" s="241">
        <v>0</v>
      </c>
      <c r="P66" s="241">
        <v>0</v>
      </c>
    </row>
    <row r="67" spans="1:16" s="1034" customFormat="1" ht="15" customHeight="1">
      <c r="A67" s="1030" t="s">
        <v>385</v>
      </c>
      <c r="B67" s="1031" t="s">
        <v>386</v>
      </c>
      <c r="C67" s="1032">
        <f>SUM(C68:C71)</f>
        <v>0</v>
      </c>
      <c r="D67" s="1032">
        <f t="shared" ref="D67:E67" si="6">SUM(D68:D71)</f>
        <v>1194722</v>
      </c>
      <c r="E67" s="1032">
        <f t="shared" si="6"/>
        <v>0</v>
      </c>
      <c r="F67" s="1032">
        <v>996263.4</v>
      </c>
      <c r="G67" s="1032">
        <v>91218</v>
      </c>
      <c r="H67" s="1032">
        <v>1064669.6440000001</v>
      </c>
      <c r="I67" s="1032">
        <v>80083.999999999985</v>
      </c>
      <c r="J67" s="1032">
        <v>80083.999999999985</v>
      </c>
      <c r="K67" s="1032">
        <v>78268.864919999993</v>
      </c>
      <c r="L67" s="1032">
        <v>1359.93246</v>
      </c>
      <c r="M67" s="1032">
        <v>76908.932459999996</v>
      </c>
      <c r="N67" s="1032">
        <v>2860.9549107372</v>
      </c>
      <c r="O67" s="1032">
        <v>1430.4774553686</v>
      </c>
      <c r="P67" s="1032">
        <v>1430.4774553686</v>
      </c>
    </row>
    <row r="68" spans="1:16" s="1046" customFormat="1" ht="30" customHeight="1">
      <c r="A68" s="1044"/>
      <c r="B68" s="1045" t="s">
        <v>387</v>
      </c>
      <c r="C68" s="258">
        <f>'4.6_сбыт_КТЭЦ с косв.'!C68+'4.6_сбыт_котельн.'!C68</f>
        <v>0</v>
      </c>
      <c r="D68" s="258">
        <f>'4.6_сбыт_КТЭЦ с косв.'!D68+'4.6_сбыт_котельн.'!D68</f>
        <v>0</v>
      </c>
      <c r="E68" s="258">
        <f>'4.6_сбыт_КТЭЦ с косв.'!E68+'4.6_сбыт_котельн.'!E68</f>
        <v>0</v>
      </c>
      <c r="F68" s="258">
        <v>0</v>
      </c>
      <c r="G68" s="258">
        <v>0</v>
      </c>
      <c r="H68" s="258">
        <v>0</v>
      </c>
      <c r="I68" s="258">
        <v>0</v>
      </c>
      <c r="J68" s="258">
        <v>0</v>
      </c>
      <c r="K68" s="258">
        <v>0</v>
      </c>
      <c r="L68" s="258">
        <v>0</v>
      </c>
      <c r="M68" s="258">
        <v>0</v>
      </c>
      <c r="N68" s="258">
        <v>0</v>
      </c>
      <c r="O68" s="258">
        <v>0</v>
      </c>
      <c r="P68" s="258">
        <v>0</v>
      </c>
    </row>
    <row r="69" spans="1:16" s="1046" customFormat="1" ht="15" customHeight="1">
      <c r="A69" s="1044"/>
      <c r="B69" s="1045" t="s">
        <v>388</v>
      </c>
      <c r="C69" s="258">
        <f>'4.6_сбыт_КТЭЦ с косв.'!C69+'4.6_сбыт_котельн.'!C69</f>
        <v>0</v>
      </c>
      <c r="D69" s="258">
        <f>'4.6_сбыт_КТЭЦ с косв.'!D69+'4.6_сбыт_котельн.'!D69</f>
        <v>1183904</v>
      </c>
      <c r="E69" s="258">
        <f>'4.6_сбыт_КТЭЦ с косв.'!E69+'4.6_сбыт_котельн.'!E69</f>
        <v>0</v>
      </c>
      <c r="F69" s="258">
        <v>984562</v>
      </c>
      <c r="G69" s="258">
        <v>91218</v>
      </c>
      <c r="H69" s="258">
        <v>1045989.444</v>
      </c>
      <c r="I69" s="258">
        <v>77519.999999999985</v>
      </c>
      <c r="J69" s="258">
        <v>77519.999999999985</v>
      </c>
      <c r="K69" s="258">
        <v>75549</v>
      </c>
      <c r="L69" s="258">
        <v>0</v>
      </c>
      <c r="M69" s="258">
        <v>75549</v>
      </c>
      <c r="N69" s="258">
        <v>0</v>
      </c>
      <c r="O69" s="258">
        <v>0</v>
      </c>
      <c r="P69" s="258">
        <v>0</v>
      </c>
    </row>
    <row r="70" spans="1:16" s="1046" customFormat="1" ht="60.75" customHeight="1">
      <c r="A70" s="1044"/>
      <c r="B70" s="1045" t="s">
        <v>389</v>
      </c>
      <c r="C70" s="258">
        <f>'4.6_сбыт_КТЭЦ с косв.'!C70+'4.6_сбыт_котельн.'!C70</f>
        <v>0</v>
      </c>
      <c r="D70" s="258">
        <f>'4.6_сбыт_КТЭЦ с косв.'!D70+'4.6_сбыт_котельн.'!D70</f>
        <v>0</v>
      </c>
      <c r="E70" s="258">
        <f>'4.6_сбыт_КТЭЦ с косв.'!E70+'4.6_сбыт_котельн.'!E70</f>
        <v>0</v>
      </c>
      <c r="F70" s="258">
        <v>0</v>
      </c>
      <c r="G70" s="258">
        <v>0</v>
      </c>
      <c r="H70" s="258">
        <v>0</v>
      </c>
      <c r="I70" s="258">
        <v>0</v>
      </c>
      <c r="J70" s="258">
        <v>0</v>
      </c>
      <c r="K70" s="258">
        <v>0</v>
      </c>
      <c r="L70" s="258">
        <v>0</v>
      </c>
      <c r="M70" s="258">
        <v>0</v>
      </c>
      <c r="N70" s="258">
        <v>0</v>
      </c>
      <c r="O70" s="258">
        <v>0</v>
      </c>
      <c r="P70" s="258">
        <v>0</v>
      </c>
    </row>
    <row r="71" spans="1:16" s="1046" customFormat="1" ht="15" customHeight="1">
      <c r="A71" s="1044"/>
      <c r="B71" s="1045" t="s">
        <v>390</v>
      </c>
      <c r="C71" s="258">
        <f>SUM(C72:C77)</f>
        <v>0</v>
      </c>
      <c r="D71" s="258">
        <f t="shared" ref="D71:E71" si="7">SUM(D72:D77)</f>
        <v>10818</v>
      </c>
      <c r="E71" s="258">
        <f t="shared" si="7"/>
        <v>0</v>
      </c>
      <c r="F71" s="258">
        <v>11701.4</v>
      </c>
      <c r="G71" s="258">
        <v>0</v>
      </c>
      <c r="H71" s="258">
        <v>18680.2</v>
      </c>
      <c r="I71" s="258">
        <v>2564</v>
      </c>
      <c r="J71" s="258">
        <v>2564</v>
      </c>
      <c r="K71" s="258">
        <v>2719.86492</v>
      </c>
      <c r="L71" s="258">
        <v>1359.93246</v>
      </c>
      <c r="M71" s="258">
        <v>1359.93246</v>
      </c>
      <c r="N71" s="258">
        <v>2860.9549107372</v>
      </c>
      <c r="O71" s="258">
        <v>1430.4774553686</v>
      </c>
      <c r="P71" s="258">
        <v>1430.4774553686</v>
      </c>
    </row>
    <row r="72" spans="1:16" s="4" customFormat="1" ht="15" customHeight="1">
      <c r="A72" s="17"/>
      <c r="B72" s="51" t="s">
        <v>961</v>
      </c>
      <c r="C72" s="241">
        <f>'4.6_сбыт_КТЭЦ с косв.'!C72+'4.6_сбыт_котельн.'!C72</f>
        <v>0</v>
      </c>
      <c r="D72" s="241">
        <f>'4.6_сбыт_КТЭЦ с косв.'!D72+'4.6_сбыт_котельн.'!D72</f>
        <v>2608</v>
      </c>
      <c r="E72" s="241">
        <f>'4.6_сбыт_КТЭЦ с косв.'!E72+'4.6_сбыт_котельн.'!E72</f>
        <v>0</v>
      </c>
      <c r="F72" s="241">
        <v>1444</v>
      </c>
      <c r="G72" s="241">
        <v>0</v>
      </c>
      <c r="H72" s="241">
        <v>1059</v>
      </c>
      <c r="I72" s="241">
        <v>1731</v>
      </c>
      <c r="J72" s="241">
        <v>1731</v>
      </c>
      <c r="K72" s="241">
        <v>1830.2209200000002</v>
      </c>
      <c r="L72" s="241">
        <v>915.1104600000001</v>
      </c>
      <c r="M72" s="241">
        <v>915.1104600000001</v>
      </c>
      <c r="N72" s="241">
        <v>1918.8219147371999</v>
      </c>
      <c r="O72" s="241">
        <v>959.41095736859995</v>
      </c>
      <c r="P72" s="241">
        <v>959.41095736859995</v>
      </c>
    </row>
    <row r="73" spans="1:16" s="4" customFormat="1" ht="15" customHeight="1">
      <c r="A73" s="17"/>
      <c r="B73" s="51" t="s">
        <v>962</v>
      </c>
      <c r="C73" s="241">
        <f>'4.6_сбыт_КТЭЦ с косв.'!C73+'4.6_сбыт_котельн.'!C73</f>
        <v>0</v>
      </c>
      <c r="D73" s="241">
        <f>'4.6_сбыт_КТЭЦ с косв.'!D73+'4.6_сбыт_котельн.'!D73</f>
        <v>0</v>
      </c>
      <c r="E73" s="241">
        <f>'4.6_сбыт_КТЭЦ с косв.'!E73+'4.6_сбыт_котельн.'!E73</f>
        <v>0</v>
      </c>
      <c r="F73" s="241">
        <v>0</v>
      </c>
      <c r="G73" s="241">
        <v>0</v>
      </c>
      <c r="H73" s="241">
        <v>0</v>
      </c>
      <c r="I73" s="241">
        <v>0</v>
      </c>
      <c r="J73" s="241">
        <v>0</v>
      </c>
      <c r="K73" s="241">
        <v>0</v>
      </c>
      <c r="L73" s="241">
        <v>0</v>
      </c>
      <c r="M73" s="241">
        <v>0</v>
      </c>
      <c r="N73" s="241">
        <v>0</v>
      </c>
      <c r="O73" s="241">
        <v>0</v>
      </c>
      <c r="P73" s="241">
        <v>0</v>
      </c>
    </row>
    <row r="74" spans="1:16" s="4" customFormat="1" ht="15" customHeight="1">
      <c r="A74" s="17"/>
      <c r="B74" s="51" t="s">
        <v>963</v>
      </c>
      <c r="C74" s="241">
        <f>'4.6_сбыт_КТЭЦ с косв.'!C74+'4.6_сбыт_котельн.'!C74</f>
        <v>0</v>
      </c>
      <c r="D74" s="241">
        <f>'4.6_сбыт_КТЭЦ с косв.'!D74+'4.6_сбыт_котельн.'!D74</f>
        <v>8210</v>
      </c>
      <c r="E74" s="241">
        <f>'4.6_сбыт_КТЭЦ с косв.'!E74+'4.6_сбыт_котельн.'!E74</f>
        <v>0</v>
      </c>
      <c r="F74" s="241">
        <v>10257.4</v>
      </c>
      <c r="G74" s="241">
        <v>0</v>
      </c>
      <c r="H74" s="241">
        <v>17621.2</v>
      </c>
      <c r="I74" s="241">
        <v>833</v>
      </c>
      <c r="J74" s="241">
        <v>833</v>
      </c>
      <c r="K74" s="241">
        <v>889.64400000000001</v>
      </c>
      <c r="L74" s="241">
        <v>444.822</v>
      </c>
      <c r="M74" s="241">
        <v>444.822</v>
      </c>
      <c r="N74" s="241">
        <v>942.13299600000005</v>
      </c>
      <c r="O74" s="241">
        <v>471.06649800000002</v>
      </c>
      <c r="P74" s="241">
        <v>471.06649800000002</v>
      </c>
    </row>
    <row r="75" spans="1:16" s="4" customFormat="1" ht="15" hidden="1" customHeight="1">
      <c r="A75" s="17"/>
      <c r="B75" s="51"/>
      <c r="C75" s="241">
        <f>'4.6_сбыт_КТЭЦ с косв.'!C75+'4.6_сбыт_котельн.'!C75</f>
        <v>0</v>
      </c>
      <c r="D75" s="241">
        <f>'4.6_сбыт_КТЭЦ с косв.'!D75+'4.6_сбыт_котельн.'!D75</f>
        <v>0</v>
      </c>
      <c r="E75" s="241">
        <f>'4.6_сбыт_КТЭЦ с косв.'!E75+'4.6_сбыт_котельн.'!E75</f>
        <v>0</v>
      </c>
      <c r="F75" s="241">
        <v>0</v>
      </c>
      <c r="G75" s="241">
        <v>0</v>
      </c>
      <c r="H75" s="241">
        <v>0</v>
      </c>
      <c r="I75" s="241">
        <v>0</v>
      </c>
      <c r="J75" s="241">
        <v>0</v>
      </c>
      <c r="K75" s="241">
        <v>0</v>
      </c>
      <c r="L75" s="241">
        <v>0</v>
      </c>
      <c r="M75" s="241">
        <v>0</v>
      </c>
      <c r="N75" s="241">
        <v>0</v>
      </c>
      <c r="O75" s="241">
        <v>0</v>
      </c>
      <c r="P75" s="241">
        <v>0</v>
      </c>
    </row>
    <row r="76" spans="1:16" s="4" customFormat="1" ht="15" hidden="1" customHeight="1">
      <c r="A76" s="17"/>
      <c r="B76" s="51"/>
      <c r="C76" s="241">
        <f>'4.6_сбыт_КТЭЦ с косв.'!C76+'4.6_сбыт_котельн.'!C76</f>
        <v>0</v>
      </c>
      <c r="D76" s="241">
        <f>'4.6_сбыт_КТЭЦ с косв.'!D76+'4.6_сбыт_котельн.'!D76</f>
        <v>0</v>
      </c>
      <c r="E76" s="241">
        <f>'4.6_сбыт_КТЭЦ с косв.'!E76+'4.6_сбыт_котельн.'!E76</f>
        <v>0</v>
      </c>
      <c r="F76" s="241">
        <v>0</v>
      </c>
      <c r="G76" s="241">
        <v>0</v>
      </c>
      <c r="H76" s="241">
        <v>0</v>
      </c>
      <c r="I76" s="241">
        <v>0</v>
      </c>
      <c r="J76" s="241">
        <v>0</v>
      </c>
      <c r="K76" s="241">
        <v>0</v>
      </c>
      <c r="L76" s="241">
        <v>0</v>
      </c>
      <c r="M76" s="241">
        <v>0</v>
      </c>
      <c r="N76" s="241">
        <v>0</v>
      </c>
      <c r="O76" s="241">
        <v>0</v>
      </c>
      <c r="P76" s="241">
        <v>0</v>
      </c>
    </row>
    <row r="77" spans="1:16" s="4" customFormat="1" ht="15" hidden="1" customHeight="1">
      <c r="A77" s="17"/>
      <c r="B77" s="51"/>
      <c r="C77" s="241">
        <f>'4.6_сбыт_КТЭЦ с косв.'!C77+'4.6_сбыт_котельн.'!C77</f>
        <v>0</v>
      </c>
      <c r="D77" s="241">
        <f>'4.6_сбыт_КТЭЦ с косв.'!D77+'4.6_сбыт_котельн.'!D77</f>
        <v>0</v>
      </c>
      <c r="E77" s="241">
        <f>'4.6_сбыт_КТЭЦ с косв.'!E77+'4.6_сбыт_котельн.'!E77</f>
        <v>0</v>
      </c>
      <c r="F77" s="241">
        <v>0</v>
      </c>
      <c r="G77" s="241">
        <v>0</v>
      </c>
      <c r="H77" s="241">
        <v>0</v>
      </c>
      <c r="I77" s="241">
        <v>0</v>
      </c>
      <c r="J77" s="241">
        <v>0</v>
      </c>
      <c r="K77" s="241">
        <v>0</v>
      </c>
      <c r="L77" s="241">
        <v>0</v>
      </c>
      <c r="M77" s="241">
        <v>0</v>
      </c>
      <c r="N77" s="241">
        <v>0</v>
      </c>
      <c r="O77" s="241">
        <v>0</v>
      </c>
      <c r="P77" s="241">
        <v>0</v>
      </c>
    </row>
    <row r="78" spans="1:16" s="1034" customFormat="1" ht="33.75" customHeight="1">
      <c r="A78" s="1030" t="s">
        <v>391</v>
      </c>
      <c r="B78" s="1031" t="s">
        <v>392</v>
      </c>
      <c r="C78" s="1032">
        <f>SUM(C79:C82)</f>
        <v>0</v>
      </c>
      <c r="D78" s="1032">
        <f t="shared" ref="D78:E78" si="8">SUM(D79:D82)</f>
        <v>29783</v>
      </c>
      <c r="E78" s="1032">
        <f t="shared" si="8"/>
        <v>0</v>
      </c>
      <c r="F78" s="1032">
        <v>222789</v>
      </c>
      <c r="G78" s="1032">
        <v>0</v>
      </c>
      <c r="H78" s="1032">
        <v>46511.1</v>
      </c>
      <c r="I78" s="1032">
        <v>1401</v>
      </c>
      <c r="J78" s="1032">
        <v>183484.94399999999</v>
      </c>
      <c r="K78" s="1032">
        <v>406196.68000000005</v>
      </c>
      <c r="L78" s="1032">
        <v>723.9600000000022</v>
      </c>
      <c r="M78" s="1032">
        <v>405472.72000000003</v>
      </c>
      <c r="N78" s="1032">
        <v>361824.15127999999</v>
      </c>
      <c r="O78" s="1032">
        <v>1360.5756400000032</v>
      </c>
      <c r="P78" s="1032">
        <v>360463.57564</v>
      </c>
    </row>
    <row r="79" spans="1:16" s="1046" customFormat="1" ht="30">
      <c r="A79" s="1044"/>
      <c r="B79" s="1045" t="s">
        <v>393</v>
      </c>
      <c r="C79" s="258">
        <f>'4.6_сбыт_КТЭЦ с косв.'!C79+'4.6_сбыт_котельн.'!C79</f>
        <v>0</v>
      </c>
      <c r="D79" s="258">
        <f>'4.6_сбыт_КТЭЦ с косв.'!D79+'4.6_сбыт_котельн.'!D79</f>
        <v>0</v>
      </c>
      <c r="E79" s="258">
        <f>'4.6_сбыт_КТЭЦ с косв.'!E79+'4.6_сбыт_котельн.'!E79</f>
        <v>0</v>
      </c>
      <c r="F79" s="258">
        <v>0</v>
      </c>
      <c r="G79" s="258">
        <v>0</v>
      </c>
      <c r="H79" s="258">
        <v>0</v>
      </c>
      <c r="I79" s="258">
        <v>0</v>
      </c>
      <c r="J79" s="258">
        <v>0</v>
      </c>
      <c r="K79" s="258">
        <v>0</v>
      </c>
      <c r="L79" s="258">
        <v>0</v>
      </c>
      <c r="M79" s="258">
        <v>0</v>
      </c>
      <c r="N79" s="258">
        <v>0</v>
      </c>
      <c r="O79" s="258">
        <v>0</v>
      </c>
      <c r="P79" s="258">
        <v>0</v>
      </c>
    </row>
    <row r="80" spans="1:16" s="1046" customFormat="1" ht="30" customHeight="1">
      <c r="A80" s="1044"/>
      <c r="B80" s="1045" t="s">
        <v>394</v>
      </c>
      <c r="C80" s="258">
        <f>'4.6_сбыт_КТЭЦ с косв.'!C80+'4.6_сбыт_котельн.'!C80</f>
        <v>0</v>
      </c>
      <c r="D80" s="258">
        <f>'4.6_сбыт_КТЭЦ с косв.'!D80+'4.6_сбыт_котельн.'!D80</f>
        <v>693</v>
      </c>
      <c r="E80" s="258">
        <f>'4.6_сбыт_КТЭЦ с косв.'!E80+'4.6_сбыт_котельн.'!E80</f>
        <v>0</v>
      </c>
      <c r="F80" s="258">
        <v>847</v>
      </c>
      <c r="G80" s="258">
        <v>0</v>
      </c>
      <c r="H80" s="258">
        <v>907.8</v>
      </c>
      <c r="I80" s="258">
        <v>863</v>
      </c>
      <c r="J80" s="258">
        <v>863</v>
      </c>
      <c r="K80" s="258">
        <v>921.68399999999997</v>
      </c>
      <c r="L80" s="258">
        <v>460.84199999999998</v>
      </c>
      <c r="M80" s="258">
        <v>460.84199999999998</v>
      </c>
      <c r="N80" s="258">
        <v>976.06335599999989</v>
      </c>
      <c r="O80" s="258">
        <v>488.03167799999994</v>
      </c>
      <c r="P80" s="258">
        <v>488.03167799999994</v>
      </c>
    </row>
    <row r="81" spans="1:16" s="1046" customFormat="1" ht="15" customHeight="1">
      <c r="A81" s="1044"/>
      <c r="B81" s="1045" t="s">
        <v>1568</v>
      </c>
      <c r="C81" s="258">
        <f>'4.6_сбыт_КТЭЦ с косв.'!C81+'4.6_сбыт_котельн.'!C81</f>
        <v>0</v>
      </c>
      <c r="D81" s="258">
        <f>'4.6_сбыт_КТЭЦ с косв.'!D81+'4.6_сбыт_котельн.'!D81</f>
        <v>28997</v>
      </c>
      <c r="E81" s="258">
        <f>'4.6_сбыт_КТЭЦ с косв.'!E81+'4.6_сбыт_котельн.'!E81</f>
        <v>0</v>
      </c>
      <c r="F81" s="258">
        <v>221704</v>
      </c>
      <c r="G81" s="258">
        <v>0</v>
      </c>
      <c r="H81" s="258">
        <v>45526.299999999996</v>
      </c>
      <c r="I81" s="258">
        <v>0</v>
      </c>
      <c r="J81" s="258">
        <v>326.94400000000002</v>
      </c>
      <c r="K81" s="258">
        <v>202017.76</v>
      </c>
      <c r="L81" s="258">
        <v>0</v>
      </c>
      <c r="M81" s="258">
        <v>202017.76</v>
      </c>
      <c r="N81" s="258">
        <v>145699</v>
      </c>
      <c r="O81" s="258">
        <v>0</v>
      </c>
      <c r="P81" s="258">
        <v>145699</v>
      </c>
    </row>
    <row r="82" spans="1:16" s="1046" customFormat="1" ht="28.5" customHeight="1">
      <c r="A82" s="1044"/>
      <c r="B82" s="1045" t="s">
        <v>1957</v>
      </c>
      <c r="C82" s="258">
        <f>'4.6_сбыт_КТЭЦ с косв.'!C82+'4.6_сбыт_котельн.'!C82</f>
        <v>0</v>
      </c>
      <c r="D82" s="258">
        <f>'4.6_сбыт_КТЭЦ с косв.'!D82+'4.6_сбыт_котельн.'!D82</f>
        <v>93</v>
      </c>
      <c r="E82" s="258">
        <f>'4.6_сбыт_КТЭЦ с косв.'!E82+'4.6_сбыт_котельн.'!E82</f>
        <v>0</v>
      </c>
      <c r="F82" s="258">
        <v>238</v>
      </c>
      <c r="G82" s="258">
        <v>0</v>
      </c>
      <c r="H82" s="258">
        <v>77</v>
      </c>
      <c r="I82" s="258">
        <v>538</v>
      </c>
      <c r="J82" s="258">
        <v>182295</v>
      </c>
      <c r="K82" s="258">
        <v>203257.236</v>
      </c>
      <c r="L82" s="258">
        <v>263.11800000000221</v>
      </c>
      <c r="M82" s="258">
        <v>202994.11800000002</v>
      </c>
      <c r="N82" s="258">
        <v>215149.08792399999</v>
      </c>
      <c r="O82" s="258">
        <v>872.54396200000338</v>
      </c>
      <c r="P82" s="258">
        <v>214276.543962</v>
      </c>
    </row>
    <row r="83" spans="1:16" s="1034" customFormat="1" ht="15" customHeight="1">
      <c r="A83" s="1030" t="s">
        <v>395</v>
      </c>
      <c r="B83" s="1031" t="s">
        <v>396</v>
      </c>
      <c r="C83" s="1032">
        <f>'4.6_сбыт_КТЭЦ с косв.'!C83+'4.6_сбыт_котельн.'!C83</f>
        <v>0</v>
      </c>
      <c r="D83" s="1032">
        <f>'4.6_сбыт_КТЭЦ с косв.'!D83+'4.6_сбыт_котельн.'!D83</f>
        <v>303421.75</v>
      </c>
      <c r="E83" s="1032">
        <f>'4.6_сбыт_КТЭЦ с косв.'!E83+'4.6_сбыт_котельн.'!E83</f>
        <v>0</v>
      </c>
      <c r="F83" s="1032">
        <v>301837.75</v>
      </c>
      <c r="G83" s="1032">
        <v>22804.5</v>
      </c>
      <c r="H83" s="1032">
        <v>273125.136</v>
      </c>
      <c r="I83" s="1032">
        <v>19730.249999999996</v>
      </c>
      <c r="J83" s="1032">
        <v>65251.23599999999</v>
      </c>
      <c r="K83" s="1032">
        <v>120436.42000000001</v>
      </c>
      <c r="L83" s="1032">
        <v>180.99000000000055</v>
      </c>
      <c r="M83" s="1032">
        <v>120255.43000000001</v>
      </c>
      <c r="N83" s="1032">
        <v>90456.037819999998</v>
      </c>
      <c r="O83" s="1032">
        <v>340.14391000000086</v>
      </c>
      <c r="P83" s="1032">
        <v>90115.893910000013</v>
      </c>
    </row>
    <row r="84" spans="1:16" s="1034" customFormat="1" ht="15" customHeight="1">
      <c r="A84" s="1030" t="s">
        <v>397</v>
      </c>
      <c r="B84" s="1031" t="s">
        <v>398</v>
      </c>
      <c r="C84" s="1032">
        <f>C85-C88</f>
        <v>0</v>
      </c>
      <c r="D84" s="1032">
        <f t="shared" ref="D84:E84" si="9">D85-D88</f>
        <v>0</v>
      </c>
      <c r="E84" s="1032">
        <f t="shared" si="9"/>
        <v>0</v>
      </c>
      <c r="F84" s="1032">
        <v>0</v>
      </c>
      <c r="G84" s="1032">
        <v>0</v>
      </c>
      <c r="H84" s="1032">
        <v>0</v>
      </c>
      <c r="I84" s="1032">
        <v>0</v>
      </c>
      <c r="J84" s="1032">
        <v>0</v>
      </c>
      <c r="K84" s="1032">
        <v>921818</v>
      </c>
      <c r="L84" s="1032">
        <v>0</v>
      </c>
      <c r="M84" s="1032">
        <v>921818</v>
      </c>
      <c r="N84" s="1032">
        <v>0</v>
      </c>
      <c r="O84" s="1032">
        <v>0</v>
      </c>
      <c r="P84" s="1032">
        <v>0</v>
      </c>
    </row>
    <row r="85" spans="1:16" s="585" customFormat="1" ht="15" customHeight="1">
      <c r="A85" s="583"/>
      <c r="B85" s="582" t="s">
        <v>1140</v>
      </c>
      <c r="C85" s="587">
        <f>C86+C87</f>
        <v>0</v>
      </c>
      <c r="D85" s="587">
        <f t="shared" ref="D85:E85" si="10">D86+D87</f>
        <v>0</v>
      </c>
      <c r="E85" s="587">
        <f t="shared" si="10"/>
        <v>0</v>
      </c>
      <c r="F85" s="587">
        <v>0</v>
      </c>
      <c r="G85" s="587">
        <v>0</v>
      </c>
      <c r="H85" s="587">
        <v>0</v>
      </c>
      <c r="I85" s="587">
        <v>0</v>
      </c>
      <c r="J85" s="587">
        <v>0</v>
      </c>
      <c r="K85" s="587">
        <v>924307</v>
      </c>
      <c r="L85" s="587">
        <v>0</v>
      </c>
      <c r="M85" s="587">
        <v>924307</v>
      </c>
      <c r="N85" s="587">
        <v>0</v>
      </c>
      <c r="O85" s="587">
        <v>0</v>
      </c>
      <c r="P85" s="587">
        <v>0</v>
      </c>
    </row>
    <row r="86" spans="1:16" s="341" customFormat="1" ht="15" customHeight="1">
      <c r="A86" s="339"/>
      <c r="B86" s="340" t="s">
        <v>959</v>
      </c>
      <c r="C86" s="241">
        <f>'4.6_сбыт_КТЭЦ с косв.'!C86+'4.6_сбыт_котельн.'!C86</f>
        <v>0</v>
      </c>
      <c r="D86" s="241">
        <f>'4.6_сбыт_КТЭЦ с косв.'!D86+'4.6_сбыт_котельн.'!D86</f>
        <v>0</v>
      </c>
      <c r="E86" s="241">
        <f>'4.6_сбыт_КТЭЦ с косв.'!E86+'4.6_сбыт_котельн.'!E86</f>
        <v>0</v>
      </c>
      <c r="F86" s="241">
        <v>0</v>
      </c>
      <c r="G86" s="241">
        <v>0</v>
      </c>
      <c r="H86" s="241">
        <v>0</v>
      </c>
      <c r="I86" s="241">
        <v>0</v>
      </c>
      <c r="J86" s="241">
        <v>0</v>
      </c>
      <c r="K86" s="241">
        <v>542894</v>
      </c>
      <c r="L86" s="241">
        <v>0</v>
      </c>
      <c r="M86" s="241">
        <v>542894</v>
      </c>
      <c r="N86" s="241">
        <v>0</v>
      </c>
      <c r="O86" s="241">
        <v>0</v>
      </c>
      <c r="P86" s="241">
        <v>0</v>
      </c>
    </row>
    <row r="87" spans="1:16" s="341" customFormat="1" ht="15" customHeight="1">
      <c r="A87" s="339"/>
      <c r="B87" s="51" t="s">
        <v>960</v>
      </c>
      <c r="C87" s="241">
        <f>'4.6_сбыт_КТЭЦ с косв.'!C87+'4.6_сбыт_котельн.'!C87</f>
        <v>0</v>
      </c>
      <c r="D87" s="241">
        <f>'4.6_сбыт_КТЭЦ с косв.'!D87+'4.6_сбыт_котельн.'!D87</f>
        <v>0</v>
      </c>
      <c r="E87" s="241">
        <f>'4.6_сбыт_КТЭЦ с косв.'!E87+'4.6_сбыт_котельн.'!E87</f>
        <v>0</v>
      </c>
      <c r="F87" s="241">
        <v>0</v>
      </c>
      <c r="G87" s="241">
        <v>0</v>
      </c>
      <c r="H87" s="241">
        <v>0</v>
      </c>
      <c r="I87" s="241">
        <v>0</v>
      </c>
      <c r="J87" s="241">
        <v>0</v>
      </c>
      <c r="K87" s="241">
        <v>381413</v>
      </c>
      <c r="L87" s="241">
        <v>0</v>
      </c>
      <c r="M87" s="241">
        <v>381413</v>
      </c>
      <c r="N87" s="241">
        <v>0</v>
      </c>
      <c r="O87" s="241">
        <v>0</v>
      </c>
      <c r="P87" s="241">
        <v>0</v>
      </c>
    </row>
    <row r="88" spans="1:16" s="588" customFormat="1" ht="15" customHeight="1">
      <c r="A88" s="586"/>
      <c r="B88" s="582" t="s">
        <v>1141</v>
      </c>
      <c r="C88" s="587">
        <f>C89+C90</f>
        <v>0</v>
      </c>
      <c r="D88" s="587">
        <f t="shared" ref="D88:E88" si="11">D89+D90</f>
        <v>0</v>
      </c>
      <c r="E88" s="587">
        <f t="shared" si="11"/>
        <v>0</v>
      </c>
      <c r="F88" s="587">
        <v>0</v>
      </c>
      <c r="G88" s="587">
        <v>0</v>
      </c>
      <c r="H88" s="587">
        <v>0</v>
      </c>
      <c r="I88" s="587">
        <v>0</v>
      </c>
      <c r="J88" s="587">
        <v>0</v>
      </c>
      <c r="K88" s="587">
        <v>2489</v>
      </c>
      <c r="L88" s="587">
        <v>0</v>
      </c>
      <c r="M88" s="587">
        <v>2489</v>
      </c>
      <c r="N88" s="587">
        <v>0</v>
      </c>
      <c r="O88" s="587">
        <v>0</v>
      </c>
      <c r="P88" s="587">
        <v>0</v>
      </c>
    </row>
    <row r="89" spans="1:16" s="341" customFormat="1" ht="15" customHeight="1">
      <c r="A89" s="339"/>
      <c r="B89" s="340" t="s">
        <v>959</v>
      </c>
      <c r="C89" s="241">
        <f>'4.6_сбыт_КТЭЦ с косв.'!C89+'4.6_сбыт_котельн.'!C89</f>
        <v>0</v>
      </c>
      <c r="D89" s="241">
        <f>'4.6_сбыт_КТЭЦ с косв.'!D89+'4.6_сбыт_котельн.'!D89</f>
        <v>0</v>
      </c>
      <c r="E89" s="241">
        <f>'4.6_сбыт_КТЭЦ с косв.'!E89+'4.6_сбыт_котельн.'!E89</f>
        <v>0</v>
      </c>
      <c r="F89" s="241">
        <v>0</v>
      </c>
      <c r="G89" s="241">
        <v>0</v>
      </c>
      <c r="H89" s="241">
        <v>0</v>
      </c>
      <c r="I89" s="241">
        <v>0</v>
      </c>
      <c r="J89" s="241">
        <v>0</v>
      </c>
      <c r="K89" s="241">
        <v>2489</v>
      </c>
      <c r="L89" s="241">
        <v>0</v>
      </c>
      <c r="M89" s="241">
        <v>2489</v>
      </c>
      <c r="N89" s="241">
        <v>0</v>
      </c>
      <c r="O89" s="241">
        <v>0</v>
      </c>
      <c r="P89" s="241">
        <v>0</v>
      </c>
    </row>
    <row r="90" spans="1:16" s="341" customFormat="1" ht="15" customHeight="1">
      <c r="A90" s="339"/>
      <c r="B90" s="51" t="s">
        <v>960</v>
      </c>
      <c r="C90" s="241">
        <f>'4.6_сбыт_КТЭЦ с косв.'!C90+'4.6_сбыт_котельн.'!C90</f>
        <v>0</v>
      </c>
      <c r="D90" s="241">
        <f>'4.6_сбыт_КТЭЦ с косв.'!D90+'4.6_сбыт_котельн.'!D90</f>
        <v>0</v>
      </c>
      <c r="E90" s="241">
        <f>'4.6_сбыт_КТЭЦ с косв.'!E90+'4.6_сбыт_котельн.'!E90</f>
        <v>0</v>
      </c>
      <c r="F90" s="241">
        <v>0</v>
      </c>
      <c r="G90" s="241">
        <v>0</v>
      </c>
      <c r="H90" s="241">
        <v>0</v>
      </c>
      <c r="I90" s="241">
        <v>0</v>
      </c>
      <c r="J90" s="241">
        <v>0</v>
      </c>
      <c r="K90" s="241">
        <v>0</v>
      </c>
      <c r="L90" s="241">
        <v>0</v>
      </c>
      <c r="M90" s="241">
        <v>0</v>
      </c>
      <c r="N90" s="241">
        <v>0</v>
      </c>
      <c r="O90" s="241">
        <v>0</v>
      </c>
      <c r="P90" s="241">
        <v>0</v>
      </c>
    </row>
    <row r="91" spans="1:16" s="1055" customFormat="1" ht="15" customHeight="1">
      <c r="A91" s="1052" t="s">
        <v>399</v>
      </c>
      <c r="B91" s="1053" t="s">
        <v>400</v>
      </c>
      <c r="C91" s="1054">
        <f t="shared" ref="C91:E91" si="12">C7+C67+C78+C83+C84</f>
        <v>0</v>
      </c>
      <c r="D91" s="1054">
        <f t="shared" si="12"/>
        <v>1702825.0211</v>
      </c>
      <c r="E91" s="1054">
        <f t="shared" si="12"/>
        <v>0</v>
      </c>
      <c r="F91" s="1054">
        <v>1739469.1271200001</v>
      </c>
      <c r="G91" s="1054">
        <v>114022.5</v>
      </c>
      <c r="H91" s="1054">
        <v>1620722.6944188001</v>
      </c>
      <c r="I91" s="1054">
        <v>164021.75</v>
      </c>
      <c r="J91" s="1054">
        <v>550967.98551999999</v>
      </c>
      <c r="K91" s="1054">
        <v>1782636.3127700002</v>
      </c>
      <c r="L91" s="1054">
        <v>127011.72025700001</v>
      </c>
      <c r="M91" s="1054">
        <v>1655624.5925130001</v>
      </c>
      <c r="N91" s="1054">
        <v>726419.11976190563</v>
      </c>
      <c r="O91" s="1054">
        <v>135880.65403430024</v>
      </c>
      <c r="P91" s="1054">
        <v>590539.46572760551</v>
      </c>
    </row>
    <row r="92" spans="1:16" s="4" customFormat="1" ht="15" customHeight="1">
      <c r="A92" s="17" t="s">
        <v>401</v>
      </c>
      <c r="B92" s="51" t="s">
        <v>1272</v>
      </c>
      <c r="C92" s="241">
        <f>'4.6_сбыт_КТЭЦ с косв.'!C92+'4.6_сбыт_котельн.'!C92</f>
        <v>0</v>
      </c>
      <c r="D92" s="241">
        <f>'4.6_сбыт_КТЭЦ с косв.'!D92+'4.6_сбыт_котельн.'!D92</f>
        <v>0</v>
      </c>
      <c r="E92" s="241">
        <f>'4.6_сбыт_КТЭЦ с косв.'!E92+'4.6_сбыт_котельн.'!E92</f>
        <v>0</v>
      </c>
      <c r="F92" s="241">
        <v>0</v>
      </c>
      <c r="G92" s="241">
        <v>0</v>
      </c>
      <c r="H92" s="241">
        <v>0</v>
      </c>
      <c r="I92" s="241">
        <v>0</v>
      </c>
      <c r="J92" s="241">
        <v>0</v>
      </c>
      <c r="K92" s="241">
        <v>0</v>
      </c>
      <c r="L92" s="241">
        <v>0</v>
      </c>
      <c r="M92" s="241">
        <v>0</v>
      </c>
      <c r="N92" s="241">
        <v>0</v>
      </c>
      <c r="O92" s="241">
        <v>0</v>
      </c>
      <c r="P92" s="241">
        <v>0</v>
      </c>
    </row>
    <row r="93" spans="1:16" s="4" customFormat="1" ht="15" customHeight="1">
      <c r="A93" s="17" t="s">
        <v>403</v>
      </c>
      <c r="B93" s="51" t="s">
        <v>1273</v>
      </c>
      <c r="C93" s="241">
        <f>'4.6_сбыт_КТЭЦ с косв.'!C93+'4.6_сбыт_котельн.'!C93</f>
        <v>0</v>
      </c>
      <c r="D93" s="241">
        <f>'4.6_сбыт_КТЭЦ с косв.'!D93+'4.6_сбыт_котельн.'!D93</f>
        <v>1702825.0211</v>
      </c>
      <c r="E93" s="241">
        <f>'4.6_сбыт_КТЭЦ с косв.'!E93+'4.6_сбыт_котельн.'!E93</f>
        <v>0</v>
      </c>
      <c r="F93" s="241">
        <v>1739469.1271200001</v>
      </c>
      <c r="G93" s="241">
        <v>114022.5</v>
      </c>
      <c r="H93" s="241">
        <v>1620722.6944188001</v>
      </c>
      <c r="I93" s="241">
        <v>49440.020957355024</v>
      </c>
      <c r="J93" s="241">
        <v>436386.25647735508</v>
      </c>
      <c r="K93" s="241">
        <v>1782636.31277</v>
      </c>
      <c r="L93" s="241">
        <v>127011.72025700001</v>
      </c>
      <c r="M93" s="241">
        <v>1655624.5925129999</v>
      </c>
      <c r="N93" s="241">
        <v>726419.11976190575</v>
      </c>
      <c r="O93" s="241">
        <v>135880.65403430027</v>
      </c>
      <c r="P93" s="241">
        <v>590539.46572760551</v>
      </c>
    </row>
    <row r="94" spans="1:16" s="4" customFormat="1" ht="15" customHeight="1">
      <c r="A94" s="17" t="s">
        <v>405</v>
      </c>
      <c r="B94" s="51" t="s">
        <v>1274</v>
      </c>
      <c r="C94" s="241">
        <f>'4.6_сбыт_КТЭЦ с косв.'!C94+'4.6_сбыт_котельн.'!C94</f>
        <v>0</v>
      </c>
      <c r="D94" s="241">
        <f>'4.6_сбыт_КТЭЦ с косв.'!D94+'4.6_сбыт_котельн.'!D94</f>
        <v>0</v>
      </c>
      <c r="E94" s="241">
        <f>'4.6_сбыт_КТЭЦ с косв.'!E94+'4.6_сбыт_котельн.'!E94</f>
        <v>0</v>
      </c>
      <c r="F94" s="241">
        <v>0</v>
      </c>
      <c r="G94" s="241">
        <v>0</v>
      </c>
      <c r="H94" s="241">
        <v>0</v>
      </c>
      <c r="I94" s="241">
        <v>0</v>
      </c>
      <c r="J94" s="241">
        <v>0</v>
      </c>
      <c r="K94" s="241">
        <v>0</v>
      </c>
      <c r="L94" s="241">
        <v>0</v>
      </c>
      <c r="M94" s="241">
        <v>0</v>
      </c>
      <c r="N94" s="241">
        <v>0</v>
      </c>
      <c r="O94" s="241">
        <v>0</v>
      </c>
      <c r="P94" s="241">
        <v>0</v>
      </c>
    </row>
    <row r="95" spans="1:16" s="4" customFormat="1" ht="15" customHeight="1">
      <c r="A95" s="17" t="s">
        <v>407</v>
      </c>
      <c r="B95" s="51" t="s">
        <v>408</v>
      </c>
      <c r="C95" s="241">
        <f>'4.6_сбыт_КТЭЦ с косв.'!C95+'4.6_сбыт_котельн.'!C95</f>
        <v>0</v>
      </c>
      <c r="D95" s="241">
        <f>'4.6_сбыт_КТЭЦ с косв.'!D95+'4.6_сбыт_котельн.'!D95</f>
        <v>0</v>
      </c>
      <c r="E95" s="241">
        <f>'4.6_сбыт_КТЭЦ с косв.'!E95+'4.6_сбыт_котельн.'!E95</f>
        <v>0</v>
      </c>
      <c r="F95" s="241">
        <v>0</v>
      </c>
      <c r="G95" s="241">
        <v>0</v>
      </c>
      <c r="H95" s="241">
        <v>0</v>
      </c>
      <c r="I95" s="241">
        <v>0</v>
      </c>
      <c r="J95" s="241">
        <v>0</v>
      </c>
      <c r="K95" s="241">
        <v>0</v>
      </c>
      <c r="L95" s="241">
        <v>0</v>
      </c>
      <c r="M95" s="241">
        <v>0</v>
      </c>
      <c r="N95" s="241">
        <v>0</v>
      </c>
      <c r="O95" s="241">
        <v>0</v>
      </c>
      <c r="P95" s="241">
        <v>0</v>
      </c>
    </row>
    <row r="96" spans="1:16" s="4" customFormat="1" ht="15" customHeight="1">
      <c r="A96" s="17"/>
      <c r="B96" s="51"/>
      <c r="C96" s="241"/>
      <c r="D96" s="241"/>
      <c r="E96" s="241"/>
      <c r="F96" s="241"/>
      <c r="G96" s="241"/>
      <c r="H96" s="241"/>
      <c r="I96" s="241"/>
      <c r="J96" s="241"/>
      <c r="K96" s="241"/>
      <c r="L96" s="241"/>
      <c r="M96" s="241"/>
      <c r="N96" s="241"/>
      <c r="O96" s="241"/>
      <c r="P96" s="241"/>
    </row>
    <row r="97" spans="1:16" s="4" customFormat="1" ht="28.5">
      <c r="A97" s="17"/>
      <c r="B97" s="755" t="s">
        <v>1268</v>
      </c>
      <c r="C97" s="286">
        <f>'4.3_свод'!E8</f>
        <v>1379.6589999999999</v>
      </c>
      <c r="D97" s="286">
        <f>'4.3_свод'!I8</f>
        <v>1317.6889999999999</v>
      </c>
      <c r="E97" s="286">
        <f>'4.3_свод'!M8</f>
        <v>1373.1469999999997</v>
      </c>
      <c r="F97" s="286">
        <v>1257.6792</v>
      </c>
      <c r="G97" s="286">
        <v>1370.5355758999997</v>
      </c>
      <c r="H97" s="286">
        <v>1213.5347615570001</v>
      </c>
      <c r="I97" s="286">
        <v>0</v>
      </c>
      <c r="J97" s="286">
        <v>1261.1354999999999</v>
      </c>
      <c r="K97" s="286">
        <v>1249.7249999999999</v>
      </c>
      <c r="L97" s="286">
        <v>760.1579999999999</v>
      </c>
      <c r="M97" s="286">
        <v>489.56699999999995</v>
      </c>
      <c r="N97" s="286">
        <v>1249.7249999999999</v>
      </c>
      <c r="O97" s="286">
        <v>760.1579999999999</v>
      </c>
      <c r="P97" s="286">
        <v>489.56699999999995</v>
      </c>
    </row>
    <row r="98" spans="1:16" s="4" customFormat="1" ht="15" customHeight="1">
      <c r="A98" s="17"/>
      <c r="B98" s="51"/>
      <c r="C98" s="241"/>
      <c r="D98" s="241"/>
      <c r="E98" s="241"/>
      <c r="F98" s="241"/>
      <c r="G98" s="241"/>
      <c r="H98" s="241"/>
      <c r="I98" s="241"/>
      <c r="J98" s="241"/>
      <c r="K98" s="241"/>
      <c r="L98" s="241"/>
      <c r="M98" s="241"/>
      <c r="N98" s="241"/>
      <c r="O98" s="241"/>
      <c r="P98" s="241"/>
    </row>
    <row r="99" spans="1:16" s="4" customFormat="1" ht="15" customHeight="1">
      <c r="A99" s="17"/>
      <c r="B99" s="253" t="s">
        <v>1266</v>
      </c>
      <c r="C99" s="428">
        <f>C93/C97</f>
        <v>0</v>
      </c>
      <c r="D99" s="428">
        <f t="shared" ref="D99:E99" si="13">D93/D97</f>
        <v>1292.2814268769037</v>
      </c>
      <c r="E99" s="428">
        <f t="shared" si="13"/>
        <v>0</v>
      </c>
      <c r="F99" s="428">
        <v>1383.078552241303</v>
      </c>
      <c r="G99" s="428">
        <v>83.195578432996172</v>
      </c>
      <c r="H99" s="428">
        <v>1335.5387466110703</v>
      </c>
      <c r="I99" s="428" t="e">
        <v>#DIV/0!</v>
      </c>
      <c r="J99" s="428">
        <v>346.02646303855147</v>
      </c>
      <c r="K99" s="428">
        <v>1426.4228632459142</v>
      </c>
      <c r="L99" s="428">
        <v>167.08594825944084</v>
      </c>
      <c r="M99" s="428">
        <v>3381.8141184209721</v>
      </c>
      <c r="N99" s="428">
        <v>581.26317370774029</v>
      </c>
      <c r="O99" s="428">
        <v>178.75317241192002</v>
      </c>
      <c r="P99" s="428">
        <v>1206.2485129259235</v>
      </c>
    </row>
    <row r="100" spans="1:16" s="4" customFormat="1" ht="15" customHeight="1">
      <c r="A100" s="17"/>
      <c r="B100" s="253" t="s">
        <v>1267</v>
      </c>
      <c r="C100" s="428" t="e">
        <f>C94/#REF!</f>
        <v>#REF!</v>
      </c>
      <c r="D100" s="428" t="e">
        <f>D94/#REF!</f>
        <v>#REF!</v>
      </c>
      <c r="E100" s="428" t="e">
        <f>E94/#REF!</f>
        <v>#REF!</v>
      </c>
      <c r="F100" s="428" t="e">
        <f>F94/#REF!</f>
        <v>#REF!</v>
      </c>
      <c r="G100" s="428"/>
      <c r="H100" s="428"/>
      <c r="I100" s="428"/>
      <c r="J100" s="428"/>
      <c r="K100" s="428"/>
      <c r="L100" s="428"/>
      <c r="M100" s="428"/>
      <c r="N100" s="978"/>
      <c r="O100" s="978"/>
      <c r="P100" s="978"/>
    </row>
    <row r="101" spans="1:16" s="4" customFormat="1" ht="15" customHeight="1">
      <c r="A101" s="17"/>
      <c r="B101" s="1131" t="s">
        <v>1512</v>
      </c>
      <c r="C101" s="428"/>
      <c r="D101" s="428"/>
      <c r="E101" s="428"/>
      <c r="F101" s="428"/>
      <c r="G101" s="428"/>
      <c r="H101" s="428"/>
      <c r="I101" s="428"/>
      <c r="J101" s="428"/>
      <c r="K101" s="428"/>
      <c r="L101" s="428"/>
      <c r="M101" s="428"/>
      <c r="N101" s="978"/>
      <c r="O101" s="978"/>
      <c r="P101" s="978"/>
    </row>
    <row r="102" spans="1:16" s="4" customFormat="1" ht="15" customHeight="1">
      <c r="A102" s="17"/>
      <c r="B102" s="1131" t="s">
        <v>1513</v>
      </c>
      <c r="C102" s="428"/>
      <c r="D102" s="428"/>
      <c r="E102" s="428"/>
      <c r="F102" s="428"/>
      <c r="G102" s="428"/>
      <c r="H102" s="428"/>
      <c r="I102" s="428"/>
      <c r="J102" s="428"/>
      <c r="K102" s="428"/>
      <c r="L102" s="428"/>
      <c r="M102" s="428"/>
      <c r="N102" s="978"/>
      <c r="O102" s="978"/>
      <c r="P102" s="978"/>
    </row>
    <row r="103" spans="1:16" hidden="1">
      <c r="A103" s="253" t="s">
        <v>965</v>
      </c>
      <c r="B103" s="253"/>
      <c r="C103" s="308">
        <f>C67+C78+C83+C87-C90</f>
        <v>0</v>
      </c>
      <c r="D103" s="308">
        <f t="shared" ref="D103:M103" si="14">D67+D78+D83+D87-D90</f>
        <v>1527926.75</v>
      </c>
      <c r="E103" s="308">
        <f t="shared" si="14"/>
        <v>0</v>
      </c>
      <c r="F103" s="308">
        <f t="shared" si="14"/>
        <v>1520890.15</v>
      </c>
      <c r="G103" s="308"/>
      <c r="H103" s="308"/>
      <c r="I103" s="308"/>
      <c r="J103" s="308"/>
      <c r="K103" s="308">
        <f t="shared" si="14"/>
        <v>986314.96492000006</v>
      </c>
      <c r="L103" s="308">
        <f t="shared" si="14"/>
        <v>2264.882460000003</v>
      </c>
      <c r="M103" s="308">
        <f t="shared" si="14"/>
        <v>984050.08246000006</v>
      </c>
      <c r="N103" s="762"/>
      <c r="O103" s="762"/>
      <c r="P103" s="762"/>
    </row>
    <row r="104" spans="1:16" s="26" customFormat="1">
      <c r="A104" s="26" t="s">
        <v>88</v>
      </c>
    </row>
    <row r="105" spans="1:16" s="541" customFormat="1" ht="58.5" customHeight="1">
      <c r="A105" s="541" t="s">
        <v>89</v>
      </c>
      <c r="B105" s="1842" t="s">
        <v>409</v>
      </c>
      <c r="C105" s="1842"/>
      <c r="D105" s="1842"/>
      <c r="E105" s="1842"/>
      <c r="F105" s="1842"/>
      <c r="G105" s="1842"/>
      <c r="H105" s="1842"/>
      <c r="I105" s="1842"/>
      <c r="J105" s="1842"/>
      <c r="K105" s="1842"/>
      <c r="L105" s="1842"/>
      <c r="M105" s="1842"/>
      <c r="N105" s="1640"/>
      <c r="O105" s="1640"/>
      <c r="P105" s="1640"/>
    </row>
    <row r="106" spans="1:16" s="541" customFormat="1" ht="58.5" customHeight="1">
      <c r="A106" s="541" t="s">
        <v>91</v>
      </c>
      <c r="B106" s="1842" t="s">
        <v>410</v>
      </c>
      <c r="C106" s="1842"/>
      <c r="D106" s="1842"/>
      <c r="E106" s="1842"/>
      <c r="F106" s="1842"/>
      <c r="G106" s="1842"/>
      <c r="H106" s="1842"/>
      <c r="I106" s="1842"/>
      <c r="J106" s="1842"/>
      <c r="K106" s="1842"/>
      <c r="L106" s="1842"/>
      <c r="M106" s="1842"/>
      <c r="N106" s="1640"/>
      <c r="O106" s="1640"/>
      <c r="P106" s="1640"/>
    </row>
    <row r="107" spans="1:16" s="541" customFormat="1" ht="58.5" customHeight="1">
      <c r="A107" s="541" t="s">
        <v>93</v>
      </c>
      <c r="B107" s="1842" t="s">
        <v>411</v>
      </c>
      <c r="C107" s="1842"/>
      <c r="D107" s="1842"/>
      <c r="E107" s="1842"/>
      <c r="F107" s="1842"/>
      <c r="G107" s="1842"/>
      <c r="H107" s="1842"/>
      <c r="I107" s="1842"/>
      <c r="J107" s="1842"/>
      <c r="K107" s="1842"/>
      <c r="L107" s="1842"/>
      <c r="M107" s="1842"/>
      <c r="N107" s="1640"/>
      <c r="O107" s="1640"/>
      <c r="P107" s="1640"/>
    </row>
    <row r="108" spans="1:16" ht="18.75" customHeight="1"/>
  </sheetData>
  <mergeCells count="4">
    <mergeCell ref="B105:M105"/>
    <mergeCell ref="B106:M106"/>
    <mergeCell ref="B107:M107"/>
    <mergeCell ref="A3:J3"/>
  </mergeCells>
  <pageMargins left="0.78740157480314965" right="0.31496062992125984" top="0.19685039370078741" bottom="0.17" header="0.19685039370078741" footer="0.19685039370078741"/>
  <pageSetup paperSize="9" scale="52" orientation="portrait" r:id="rId1"/>
  <headerFooter alignWithMargins="0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39997558519241921"/>
  </sheetPr>
  <dimension ref="A1:P108"/>
  <sheetViews>
    <sheetView view="pageBreakPreview" zoomScaleNormal="100" zoomScaleSheetLayoutView="100" workbookViewId="0">
      <pane xSplit="2" ySplit="5" topLeftCell="H6" activePane="bottomRight" state="frozen"/>
      <selection activeCell="B82" sqref="B82"/>
      <selection pane="topRight" activeCell="B82" sqref="B82"/>
      <selection pane="bottomLeft" activeCell="B82" sqref="B82"/>
      <selection pane="bottomRight" activeCell="K11" sqref="K11"/>
    </sheetView>
  </sheetViews>
  <sheetFormatPr defaultColWidth="3.7109375" defaultRowHeight="15" outlineLevelRow="1"/>
  <cols>
    <col min="1" max="1" width="5.140625" style="1" customWidth="1"/>
    <col min="2" max="2" width="44.140625" style="1" customWidth="1"/>
    <col min="3" max="4" width="13.42578125" style="1" hidden="1" customWidth="1"/>
    <col min="5" max="9" width="13.42578125" style="1" customWidth="1"/>
    <col min="10" max="10" width="16" style="1" customWidth="1"/>
    <col min="11" max="11" width="13" style="1603" customWidth="1"/>
    <col min="12" max="12" width="11.28515625" style="1" customWidth="1"/>
    <col min="13" max="13" width="10.85546875" style="1" customWidth="1"/>
    <col min="14" max="14" width="12.7109375" style="1" customWidth="1"/>
    <col min="15" max="16" width="11.5703125" style="1" customWidth="1"/>
    <col min="17" max="50" width="9.140625" style="1" customWidth="1"/>
    <col min="51" max="16384" width="3.7109375" style="1"/>
  </cols>
  <sheetData>
    <row r="1" spans="1:16" ht="16.5" customHeight="1">
      <c r="A1" s="74" t="s">
        <v>1860</v>
      </c>
      <c r="J1" s="23"/>
      <c r="K1" s="23"/>
      <c r="M1" s="23" t="s">
        <v>359</v>
      </c>
      <c r="N1" s="23"/>
      <c r="O1" s="23"/>
      <c r="P1" s="23"/>
    </row>
    <row r="2" spans="1:16" ht="12.75" customHeight="1">
      <c r="A2" s="759" t="str">
        <f>'3.1'!$A$2</f>
        <v>ПКГО - Комбинированная выработка КТЭЦ</v>
      </c>
      <c r="K2" s="763"/>
      <c r="M2" s="763"/>
    </row>
    <row r="3" spans="1:16" ht="18.75">
      <c r="A3" s="1877" t="s">
        <v>1536</v>
      </c>
      <c r="B3" s="1914"/>
      <c r="C3" s="1914"/>
      <c r="D3" s="1914"/>
      <c r="E3" s="1914"/>
      <c r="F3" s="1914"/>
      <c r="G3" s="1914"/>
      <c r="H3" s="1914"/>
      <c r="I3" s="1914"/>
      <c r="J3" s="1914"/>
      <c r="K3" s="1750"/>
      <c r="L3" s="1643"/>
      <c r="M3" s="1750"/>
      <c r="N3" s="1643"/>
      <c r="O3" s="1643"/>
      <c r="P3" s="1643"/>
    </row>
    <row r="4" spans="1:16" ht="14.25" customHeight="1">
      <c r="A4" s="1" t="s">
        <v>1531</v>
      </c>
      <c r="J4" s="23"/>
      <c r="K4" s="23"/>
      <c r="M4" s="23" t="s">
        <v>360</v>
      </c>
      <c r="N4" s="23"/>
      <c r="O4" s="23"/>
      <c r="P4" s="23"/>
    </row>
    <row r="5" spans="1:16" s="3" customFormat="1" ht="75">
      <c r="A5" s="944" t="s">
        <v>0</v>
      </c>
      <c r="B5" s="944" t="s">
        <v>1</v>
      </c>
      <c r="C5" s="944" t="s">
        <v>1129</v>
      </c>
      <c r="D5" s="944" t="s">
        <v>1130</v>
      </c>
      <c r="E5" s="944" t="s">
        <v>1520</v>
      </c>
      <c r="F5" s="944" t="s">
        <v>1695</v>
      </c>
      <c r="G5" s="1284" t="s">
        <v>1696</v>
      </c>
      <c r="H5" s="1576" t="s">
        <v>1828</v>
      </c>
      <c r="I5" s="1641" t="s">
        <v>1842</v>
      </c>
      <c r="J5" s="1641" t="s">
        <v>1861</v>
      </c>
      <c r="K5" s="1641" t="s">
        <v>1862</v>
      </c>
      <c r="L5" s="1641" t="s">
        <v>763</v>
      </c>
      <c r="M5" s="1641" t="s">
        <v>764</v>
      </c>
      <c r="N5" s="1641" t="s">
        <v>1863</v>
      </c>
      <c r="O5" s="1641" t="s">
        <v>763</v>
      </c>
      <c r="P5" s="1641" t="s">
        <v>764</v>
      </c>
    </row>
    <row r="6" spans="1:16" s="2" customFormat="1">
      <c r="A6" s="13">
        <v>1</v>
      </c>
      <c r="B6" s="13">
        <v>2</v>
      </c>
      <c r="C6" s="13">
        <v>3</v>
      </c>
      <c r="D6" s="13">
        <v>4</v>
      </c>
      <c r="E6" s="13">
        <v>3</v>
      </c>
      <c r="F6" s="13">
        <v>4</v>
      </c>
      <c r="G6" s="13">
        <v>5</v>
      </c>
      <c r="H6" s="13">
        <v>6</v>
      </c>
      <c r="I6" s="13">
        <v>7</v>
      </c>
      <c r="J6" s="13">
        <v>8</v>
      </c>
      <c r="K6" s="13">
        <v>9</v>
      </c>
      <c r="L6" s="13">
        <v>10</v>
      </c>
      <c r="M6" s="13">
        <v>11</v>
      </c>
      <c r="N6" s="1604">
        <v>12</v>
      </c>
      <c r="O6" s="13">
        <v>13</v>
      </c>
      <c r="P6" s="13">
        <v>14</v>
      </c>
    </row>
    <row r="7" spans="1:16" s="1041" customFormat="1" ht="32.25" customHeight="1">
      <c r="A7" s="1037" t="s">
        <v>361</v>
      </c>
      <c r="B7" s="1038" t="s">
        <v>362</v>
      </c>
      <c r="C7" s="1039">
        <f>C8+SUM(C10:C15)+C20+SUM(C22:C25)+SUM(C56:C61)+2</f>
        <v>2238525.6817738665</v>
      </c>
      <c r="D7" s="1039">
        <f t="shared" ref="D7:E7" si="0">D8+SUM(D10:D15)+D20+SUM(D22:D25)+SUM(D56:D61)</f>
        <v>2418161.7923790002</v>
      </c>
      <c r="E7" s="1088">
        <f t="shared" si="0"/>
        <v>1311098.4648770827</v>
      </c>
      <c r="F7" s="1039">
        <v>2698080.8402471468</v>
      </c>
      <c r="G7" s="1039">
        <v>2889919.6942534712</v>
      </c>
      <c r="H7" s="1039">
        <v>2818881.6778403074</v>
      </c>
      <c r="I7" s="1039">
        <v>97839</v>
      </c>
      <c r="J7" s="1039">
        <v>3196280.1119110491</v>
      </c>
      <c r="K7" s="1039">
        <v>3502119.0408886485</v>
      </c>
      <c r="L7" s="1039">
        <v>1817870.6535198085</v>
      </c>
      <c r="M7" s="1039">
        <v>1684254.2181448401</v>
      </c>
      <c r="N7" s="1605">
        <v>3686504.7968645273</v>
      </c>
      <c r="O7" s="1039">
        <v>1919608.9849064315</v>
      </c>
      <c r="P7" s="1039">
        <v>1766896.8119580955</v>
      </c>
    </row>
    <row r="8" spans="1:16" s="1046" customFormat="1" ht="15" customHeight="1">
      <c r="A8" s="1044"/>
      <c r="B8" s="1045" t="s">
        <v>363</v>
      </c>
      <c r="C8" s="258">
        <f>'4.6_генерация_КТЭЦ с косв.'!C8+'4.6_транзит+сбыт_КТЭЦ с косв.'!C8</f>
        <v>54053</v>
      </c>
      <c r="D8" s="258">
        <f>'4.6_генерация_КТЭЦ с косв.'!D8+'4.6_транзит+сбыт_КТЭЦ с косв.'!D8</f>
        <v>35534</v>
      </c>
      <c r="E8" s="1047">
        <f>'4.6_генерация_КТЭЦ с косв.'!E8+'4.6_транзит+сбыт_КТЭЦ с косв.'!E8</f>
        <v>12031</v>
      </c>
      <c r="F8" s="258">
        <v>37647</v>
      </c>
      <c r="G8" s="258">
        <v>37082.844043370431</v>
      </c>
      <c r="H8" s="258">
        <v>42676</v>
      </c>
      <c r="I8" s="258"/>
      <c r="J8" s="258">
        <v>82625</v>
      </c>
      <c r="K8" s="258">
        <v>88644.03688</v>
      </c>
      <c r="L8" s="258">
        <v>31025.412907999998</v>
      </c>
      <c r="M8" s="258">
        <v>57618.623972000001</v>
      </c>
      <c r="N8" s="982">
        <v>93459.153352633206</v>
      </c>
      <c r="O8" s="258">
        <v>32710.703673421616</v>
      </c>
      <c r="P8" s="258">
        <v>60748.449679211582</v>
      </c>
    </row>
    <row r="9" spans="1:16" s="4" customFormat="1" ht="15" customHeight="1">
      <c r="A9" s="17"/>
      <c r="B9" s="580" t="s">
        <v>1134</v>
      </c>
      <c r="C9" s="751">
        <f>'4.6_генерация_КТЭЦ с косв.'!C9+'4.6_транзит+сбыт_КТЭЦ с косв.'!C9</f>
        <v>15518</v>
      </c>
      <c r="D9" s="751">
        <f>'4.6_генерация_КТЭЦ с косв.'!D9+'4.6_транзит+сбыт_КТЭЦ с косв.'!D9</f>
        <v>12737</v>
      </c>
      <c r="E9" s="984">
        <f>'4.6_генерация_КТЭЦ с косв.'!E9+'4.6_транзит+сбыт_КТЭЦ с косв.'!E9</f>
        <v>0</v>
      </c>
      <c r="F9" s="751">
        <v>14709</v>
      </c>
      <c r="G9" s="751">
        <v>10820</v>
      </c>
      <c r="H9" s="751">
        <v>17646</v>
      </c>
      <c r="I9" s="751"/>
      <c r="J9" s="751">
        <v>19191</v>
      </c>
      <c r="K9" s="751">
        <v>21574</v>
      </c>
      <c r="L9" s="751">
        <v>7550.9</v>
      </c>
      <c r="M9" s="751">
        <v>14023.100000000002</v>
      </c>
      <c r="N9" s="1606">
        <v>23142.255987272398</v>
      </c>
      <c r="O9" s="751">
        <v>8099.7895955453387</v>
      </c>
      <c r="P9" s="751">
        <v>15042.466391727059</v>
      </c>
    </row>
    <row r="10" spans="1:16" s="1046" customFormat="1" ht="15" customHeight="1">
      <c r="A10" s="1044"/>
      <c r="B10" s="1045" t="s">
        <v>364</v>
      </c>
      <c r="C10" s="258">
        <f>' 4.4-КТЭЦ_комбинир.'!D256</f>
        <v>798114.68177386676</v>
      </c>
      <c r="D10" s="258">
        <f>' 4.4-КТЭЦ_комбинир.'!E256</f>
        <v>745750.77094999992</v>
      </c>
      <c r="E10" s="1047">
        <f>' 4.4-КТЭЦ_комбинир.'!F256</f>
        <v>827083.22594859719</v>
      </c>
      <c r="F10" s="258">
        <v>820511.83115114667</v>
      </c>
      <c r="G10" s="258">
        <v>1004978.5599259571</v>
      </c>
      <c r="H10" s="258">
        <v>791710.72252619755</v>
      </c>
      <c r="I10" s="258"/>
      <c r="J10" s="258">
        <v>922221.98336478905</v>
      </c>
      <c r="K10" s="258">
        <v>940898.01732465264</v>
      </c>
      <c r="L10" s="258">
        <v>563451.80582552869</v>
      </c>
      <c r="M10" s="258">
        <v>377446.21149912395</v>
      </c>
      <c r="N10" s="982">
        <v>969831.47159815882</v>
      </c>
      <c r="O10" s="258">
        <v>581155.10307211999</v>
      </c>
      <c r="P10" s="258">
        <v>388676.36852603883</v>
      </c>
    </row>
    <row r="11" spans="1:16" s="1046" customFormat="1" ht="30">
      <c r="A11" s="1044"/>
      <c r="B11" s="1045" t="s">
        <v>365</v>
      </c>
      <c r="C11" s="258">
        <f>'4.6_генерация_КТЭЦ с косв.'!C11+'4.6_транзит+сбыт_КТЭЦ с косв.'!C11</f>
        <v>111508</v>
      </c>
      <c r="D11" s="258">
        <f>'4.6_генерация_КТЭЦ с косв.'!D11+'4.6_транзит+сбыт_КТЭЦ с косв.'!D11</f>
        <v>96621.292518999995</v>
      </c>
      <c r="E11" s="1047">
        <f>'4.6_генерация_КТЭЦ с косв.'!E11+'4.6_транзит+сбыт_КТЭЦ с косв.'!E11</f>
        <v>0</v>
      </c>
      <c r="F11" s="258">
        <v>103600.51057999999</v>
      </c>
      <c r="G11" s="258">
        <v>119109.27809312863</v>
      </c>
      <c r="H11" s="258">
        <v>112631.43554158999</v>
      </c>
      <c r="I11" s="258"/>
      <c r="J11" s="258">
        <v>125955.85906625999</v>
      </c>
      <c r="K11" s="258">
        <v>137662.18967315598</v>
      </c>
      <c r="L11" s="258">
        <v>78187.192576999994</v>
      </c>
      <c r="M11" s="258">
        <v>59474.997096155988</v>
      </c>
      <c r="N11" s="982">
        <v>150260.95930468291</v>
      </c>
      <c r="O11" s="258">
        <v>85849.537449545969</v>
      </c>
      <c r="P11" s="258">
        <v>64411.421855136941</v>
      </c>
    </row>
    <row r="12" spans="1:16" s="1046" customFormat="1" ht="15" customHeight="1">
      <c r="A12" s="1044"/>
      <c r="B12" s="1045" t="s">
        <v>366</v>
      </c>
      <c r="C12" s="258">
        <f>'4.6_генерация_КТЭЦ с косв.'!C12+'4.6_транзит+сбыт_КТЭЦ с косв.'!C12</f>
        <v>14662</v>
      </c>
      <c r="D12" s="258">
        <f>'4.6_генерация_КТЭЦ с косв.'!D12+'4.6_транзит+сбыт_КТЭЦ с косв.'!D12</f>
        <v>114943.23890999999</v>
      </c>
      <c r="E12" s="1047">
        <f>'4.6_генерация_КТЭЦ с косв.'!E12+'4.6_транзит+сбыт_КТЭЦ с косв.'!E12</f>
        <v>7870</v>
      </c>
      <c r="F12" s="258">
        <v>10631</v>
      </c>
      <c r="G12" s="258">
        <v>24480.192488316254</v>
      </c>
      <c r="H12" s="258">
        <v>18938.832200000001</v>
      </c>
      <c r="I12" s="258"/>
      <c r="J12" s="258">
        <v>17959.427759999999</v>
      </c>
      <c r="K12" s="258">
        <v>18368.823334600002</v>
      </c>
      <c r="L12" s="258">
        <v>9931.3123400000004</v>
      </c>
      <c r="M12" s="258">
        <v>8437.5109946000011</v>
      </c>
      <c r="N12" s="982">
        <v>19652.260752296999</v>
      </c>
      <c r="O12" s="258">
        <v>10835.06176294</v>
      </c>
      <c r="P12" s="258">
        <v>8817.1989893569989</v>
      </c>
    </row>
    <row r="13" spans="1:16" s="1046" customFormat="1" ht="15" customHeight="1">
      <c r="A13" s="1044"/>
      <c r="B13" s="1045" t="s">
        <v>367</v>
      </c>
      <c r="C13" s="258">
        <f>'4.6_генерация_КТЭЦ с косв.'!C13+'4.6_транзит+сбыт_КТЭЦ с косв.'!C13</f>
        <v>0</v>
      </c>
      <c r="D13" s="258">
        <f>'4.6_генерация_КТЭЦ с косв.'!D13+'4.6_транзит+сбыт_КТЭЦ с косв.'!D13</f>
        <v>0</v>
      </c>
      <c r="E13" s="1047">
        <f>'4.6_генерация_КТЭЦ с косв.'!E13+'4.6_транзит+сбыт_КТЭЦ с косв.'!E13</f>
        <v>0</v>
      </c>
      <c r="F13" s="258">
        <v>112970</v>
      </c>
      <c r="G13" s="258">
        <v>0</v>
      </c>
      <c r="H13" s="258">
        <v>113778</v>
      </c>
      <c r="I13" s="258"/>
      <c r="J13" s="258">
        <v>109391.24076000002</v>
      </c>
      <c r="K13" s="258">
        <v>115440.2817588</v>
      </c>
      <c r="L13" s="258">
        <v>63195.033660000001</v>
      </c>
      <c r="M13" s="258">
        <v>52245.248098800002</v>
      </c>
      <c r="N13" s="982">
        <v>123542.065986306</v>
      </c>
      <c r="O13" s="258">
        <v>68945.781723060005</v>
      </c>
      <c r="P13" s="258">
        <v>54596.284263245994</v>
      </c>
    </row>
    <row r="14" spans="1:16" s="1046" customFormat="1" ht="30">
      <c r="A14" s="1044"/>
      <c r="B14" s="1045" t="s">
        <v>368</v>
      </c>
      <c r="C14" s="258">
        <f>'4.6_генерация_КТЭЦ с косв.'!C14+'4.6_транзит+сбыт_КТЭЦ с косв.'!C14</f>
        <v>77044</v>
      </c>
      <c r="D14" s="258">
        <f>'4.6_генерация_КТЭЦ с косв.'!D14+'4.6_транзит+сбыт_КТЭЦ с косв.'!D14</f>
        <v>101818</v>
      </c>
      <c r="E14" s="1047">
        <f>'4.6_генерация_КТЭЦ с косв.'!E14+'4.6_транзит+сбыт_КТЭЦ с косв.'!E14</f>
        <v>60548</v>
      </c>
      <c r="F14" s="258">
        <v>124524</v>
      </c>
      <c r="G14" s="258">
        <v>122308.74972266165</v>
      </c>
      <c r="H14" s="258">
        <v>101952</v>
      </c>
      <c r="I14" s="258"/>
      <c r="J14" s="258">
        <v>118305</v>
      </c>
      <c r="K14" s="258">
        <v>138098</v>
      </c>
      <c r="L14" s="258">
        <v>73263</v>
      </c>
      <c r="M14" s="258">
        <v>64835</v>
      </c>
      <c r="N14" s="982">
        <v>149846</v>
      </c>
      <c r="O14" s="258">
        <v>79470</v>
      </c>
      <c r="P14" s="258">
        <v>70376</v>
      </c>
    </row>
    <row r="15" spans="1:16" s="1046" customFormat="1" ht="15" customHeight="1">
      <c r="A15" s="1044"/>
      <c r="B15" s="1045" t="s">
        <v>1135</v>
      </c>
      <c r="C15" s="258">
        <f>C16+C18+C19+1</f>
        <v>624404</v>
      </c>
      <c r="D15" s="258">
        <f t="shared" ref="D15:E15" si="1">D16+D18+D19</f>
        <v>694151</v>
      </c>
      <c r="E15" s="1047">
        <f t="shared" si="1"/>
        <v>218204.23892848552</v>
      </c>
      <c r="F15" s="258">
        <v>804405</v>
      </c>
      <c r="G15" s="258">
        <v>818453.76477574802</v>
      </c>
      <c r="H15" s="258">
        <v>866483.68757251999</v>
      </c>
      <c r="I15" s="258"/>
      <c r="J15" s="258">
        <v>954051.10095999995</v>
      </c>
      <c r="K15" s="258">
        <v>1067585.9417574399</v>
      </c>
      <c r="L15" s="258">
        <v>513119.06872927997</v>
      </c>
      <c r="M15" s="258">
        <v>554472.70380416</v>
      </c>
      <c r="N15" s="982">
        <v>1130272.0227192398</v>
      </c>
      <c r="O15" s="258">
        <v>547572.4998934</v>
      </c>
      <c r="P15" s="258">
        <v>582700.52282583993</v>
      </c>
    </row>
    <row r="16" spans="1:16" s="341" customFormat="1" ht="15" customHeight="1">
      <c r="A16" s="339"/>
      <c r="B16" s="581" t="s">
        <v>1136</v>
      </c>
      <c r="C16" s="766">
        <f>'4.6_генерация_КТЭЦ с косв.'!C16+'4.6_транзит+сбыт_КТЭЦ с косв.'!C16</f>
        <v>615578</v>
      </c>
      <c r="D16" s="766">
        <f>'4.6_генерация_КТЭЦ с косв.'!D16+'4.6_транзит+сбыт_КТЭЦ с косв.'!D16</f>
        <v>673002</v>
      </c>
      <c r="E16" s="983">
        <f>'4.6_генерация_КТЭЦ с косв.'!E16+'4.6_транзит+сбыт_КТЭЦ с косв.'!E16</f>
        <v>215208.23892848552</v>
      </c>
      <c r="F16" s="766">
        <v>783289</v>
      </c>
      <c r="G16" s="766">
        <v>806526.40638526354</v>
      </c>
      <c r="H16" s="766">
        <v>842374.68757251999</v>
      </c>
      <c r="I16" s="766"/>
      <c r="J16" s="766">
        <v>928158.10095999995</v>
      </c>
      <c r="K16" s="766">
        <v>1039614.9417574399</v>
      </c>
      <c r="L16" s="766">
        <v>499133.06872927997</v>
      </c>
      <c r="M16" s="766">
        <v>540486.70380416</v>
      </c>
      <c r="N16" s="993">
        <v>1100931.0227192398</v>
      </c>
      <c r="O16" s="766">
        <v>532901.4998934</v>
      </c>
      <c r="P16" s="766">
        <v>568029.52282583993</v>
      </c>
    </row>
    <row r="17" spans="1:16" s="341" customFormat="1" ht="15" customHeight="1">
      <c r="A17" s="339"/>
      <c r="B17" s="580" t="s">
        <v>1134</v>
      </c>
      <c r="C17" s="751">
        <f>'4.6_генерация_КТЭЦ с косв.'!C17+'4.6_транзит+сбыт_КТЭЦ с косв.'!C17</f>
        <v>34502</v>
      </c>
      <c r="D17" s="751">
        <f>'4.6_генерация_КТЭЦ с косв.'!D17+'4.6_транзит+сбыт_КТЭЦ с косв.'!D17</f>
        <v>37350</v>
      </c>
      <c r="E17" s="984">
        <f>'4.6_генерация_КТЭЦ с косв.'!E17+'4.6_транзит+сбыт_КТЭЦ с косв.'!E17</f>
        <v>0</v>
      </c>
      <c r="F17" s="751">
        <v>40367</v>
      </c>
      <c r="G17" s="751">
        <v>47440.919558010537</v>
      </c>
      <c r="H17" s="751">
        <v>43702</v>
      </c>
      <c r="I17" s="751"/>
      <c r="J17" s="751">
        <v>50690</v>
      </c>
      <c r="K17" s="751">
        <v>57726</v>
      </c>
      <c r="L17" s="751">
        <v>27323</v>
      </c>
      <c r="M17" s="751">
        <v>30403</v>
      </c>
      <c r="N17" s="1606">
        <v>61099</v>
      </c>
      <c r="O17" s="751">
        <v>27323</v>
      </c>
      <c r="P17" s="751">
        <v>33776</v>
      </c>
    </row>
    <row r="18" spans="1:16" s="341" customFormat="1" ht="15" customHeight="1">
      <c r="A18" s="339"/>
      <c r="B18" s="581" t="s">
        <v>1137</v>
      </c>
      <c r="C18" s="766">
        <f>'4.6_генерация_КТЭЦ с косв.'!C18+'4.6_транзит+сбыт_КТЭЦ с косв.'!C18</f>
        <v>8825</v>
      </c>
      <c r="D18" s="766">
        <f>'4.6_генерация_КТЭЦ с косв.'!D18+'4.6_транзит+сбыт_КТЭЦ с косв.'!D18</f>
        <v>11860</v>
      </c>
      <c r="E18" s="983">
        <f>'4.6_генерация_КТЭЦ с косв.'!E18+'4.6_транзит+сбыт_КТЭЦ с косв.'!E18</f>
        <v>2996</v>
      </c>
      <c r="F18" s="766">
        <v>12495</v>
      </c>
      <c r="G18" s="766">
        <v>11927.358390484511</v>
      </c>
      <c r="H18" s="766">
        <v>14479</v>
      </c>
      <c r="I18" s="766"/>
      <c r="J18" s="766">
        <v>16045</v>
      </c>
      <c r="K18" s="766">
        <v>20093</v>
      </c>
      <c r="L18" s="981">
        <v>10047</v>
      </c>
      <c r="M18" s="981">
        <v>10047</v>
      </c>
      <c r="N18" s="993">
        <v>20998</v>
      </c>
      <c r="O18" s="981">
        <v>10499.5</v>
      </c>
      <c r="P18" s="981">
        <v>10499.5</v>
      </c>
    </row>
    <row r="19" spans="1:16" s="341" customFormat="1" ht="15" customHeight="1">
      <c r="A19" s="339"/>
      <c r="B19" s="581" t="s">
        <v>1138</v>
      </c>
      <c r="C19" s="766">
        <f>'4.6_генерация_КТЭЦ с косв.'!C19+'4.6_транзит+сбыт_КТЭЦ с косв.'!C19</f>
        <v>0</v>
      </c>
      <c r="D19" s="766">
        <f>'4.6_генерация_КТЭЦ с косв.'!D19+'4.6_транзит+сбыт_КТЭЦ с косв.'!D19</f>
        <v>9289</v>
      </c>
      <c r="E19" s="983">
        <f>'4.6_генерация_КТЭЦ с косв.'!E19+'4.6_транзит+сбыт_КТЭЦ с косв.'!E19</f>
        <v>0</v>
      </c>
      <c r="F19" s="766">
        <v>8621</v>
      </c>
      <c r="G19" s="766">
        <v>0</v>
      </c>
      <c r="H19" s="766">
        <v>9630</v>
      </c>
      <c r="I19" s="766"/>
      <c r="J19" s="766">
        <v>9848</v>
      </c>
      <c r="K19" s="766">
        <v>7878</v>
      </c>
      <c r="L19" s="766">
        <v>3939</v>
      </c>
      <c r="M19" s="766">
        <v>3939</v>
      </c>
      <c r="N19" s="993">
        <v>8343</v>
      </c>
      <c r="O19" s="766">
        <v>4171.5</v>
      </c>
      <c r="P19" s="766">
        <v>4171.5</v>
      </c>
    </row>
    <row r="20" spans="1:16" s="1046" customFormat="1">
      <c r="A20" s="1044"/>
      <c r="B20" s="1045" t="s">
        <v>369</v>
      </c>
      <c r="C20" s="258">
        <f>'4.6_генерация_КТЭЦ с косв.'!C20+'4.6_транзит+сбыт_КТЭЦ с косв.'!C20</f>
        <v>179432</v>
      </c>
      <c r="D20" s="258">
        <f>'4.6_генерация_КТЭЦ с косв.'!D20+'4.6_транзит+сбыт_КТЭЦ с косв.'!D20</f>
        <v>177216</v>
      </c>
      <c r="E20" s="1047">
        <f>'4.6_генерация_КТЭЦ с косв.'!E20+'4.6_транзит+сбыт_КТЭЦ с косв.'!E20</f>
        <v>58923</v>
      </c>
      <c r="F20" s="258">
        <v>206387</v>
      </c>
      <c r="G20" s="258">
        <v>233271.05849473839</v>
      </c>
      <c r="H20" s="258">
        <v>227780</v>
      </c>
      <c r="I20" s="258"/>
      <c r="J20" s="258">
        <v>247869</v>
      </c>
      <c r="K20" s="258">
        <v>284871</v>
      </c>
      <c r="L20" s="258">
        <v>164733</v>
      </c>
      <c r="M20" s="258">
        <v>120138</v>
      </c>
      <c r="N20" s="982">
        <v>303905</v>
      </c>
      <c r="O20" s="258">
        <v>175646</v>
      </c>
      <c r="P20" s="258">
        <v>128259</v>
      </c>
    </row>
    <row r="21" spans="1:16" s="341" customFormat="1">
      <c r="A21" s="339"/>
      <c r="B21" s="580" t="s">
        <v>1134</v>
      </c>
      <c r="C21" s="751">
        <f>'4.6_генерация_КТЭЦ с косв.'!C21+'4.6_транзит+сбыт_КТЭЦ с косв.'!C21</f>
        <v>10057</v>
      </c>
      <c r="D21" s="751">
        <f>'4.6_генерация_КТЭЦ с косв.'!D21+'4.6_транзит+сбыт_КТЭЦ с косв.'!D21</f>
        <v>10529</v>
      </c>
      <c r="E21" s="984">
        <f>'4.6_генерация_КТЭЦ с косв.'!E21+'4.6_транзит+сбыт_КТЭЦ с косв.'!E21</f>
        <v>0</v>
      </c>
      <c r="F21" s="751">
        <v>11863</v>
      </c>
      <c r="G21" s="751">
        <v>13346.2105845528</v>
      </c>
      <c r="H21" s="751">
        <v>12992</v>
      </c>
      <c r="I21" s="751"/>
      <c r="J21" s="751">
        <v>14907</v>
      </c>
      <c r="K21" s="751">
        <v>17433</v>
      </c>
      <c r="L21" s="752">
        <v>7175.4101650701359</v>
      </c>
      <c r="M21" s="752">
        <v>10257.589834929862</v>
      </c>
      <c r="N21" s="1606">
        <v>17629.387427980335</v>
      </c>
      <c r="O21" s="752">
        <v>7175.4101650701359</v>
      </c>
      <c r="P21" s="752">
        <v>10453.977262910197</v>
      </c>
    </row>
    <row r="22" spans="1:16" s="1046" customFormat="1" ht="30" customHeight="1">
      <c r="A22" s="1044"/>
      <c r="B22" s="1045" t="s">
        <v>370</v>
      </c>
      <c r="C22" s="258">
        <f>'4.6_генерация_КТЭЦ с косв.'!C22+'4.6_транзит+сбыт_КТЭЦ с косв.'!C22</f>
        <v>70255</v>
      </c>
      <c r="D22" s="258">
        <f>'4.6_генерация_КТЭЦ с косв.'!D22+'4.6_транзит+сбыт_КТЭЦ с косв.'!D22</f>
        <v>83968</v>
      </c>
      <c r="E22" s="1047">
        <f>'4.6_генерация_КТЭЦ с косв.'!E22+'4.6_транзит+сбыт_КТЭЦ с косв.'!E22</f>
        <v>73774</v>
      </c>
      <c r="F22" s="258">
        <v>87456</v>
      </c>
      <c r="G22" s="258">
        <v>181593.97476899999</v>
      </c>
      <c r="H22" s="258">
        <v>143252</v>
      </c>
      <c r="I22" s="258"/>
      <c r="J22" s="258">
        <v>205148</v>
      </c>
      <c r="K22" s="258">
        <v>262379</v>
      </c>
      <c r="L22" s="258">
        <v>91832.65</v>
      </c>
      <c r="M22" s="258">
        <v>170546.35</v>
      </c>
      <c r="N22" s="982">
        <v>271157.06411896396</v>
      </c>
      <c r="O22" s="258">
        <v>94904.972441637394</v>
      </c>
      <c r="P22" s="258">
        <v>176252.09167732659</v>
      </c>
    </row>
    <row r="23" spans="1:16" s="1046" customFormat="1" ht="60">
      <c r="A23" s="1044"/>
      <c r="B23" s="1045" t="s">
        <v>1139</v>
      </c>
      <c r="C23" s="258">
        <f>'4.6_генерация_КТЭЦ с косв.'!C23+'4.6_транзит+сбыт_КТЭЦ с косв.'!C23</f>
        <v>78438</v>
      </c>
      <c r="D23" s="258">
        <f>'4.6_генерация_КТЭЦ с косв.'!D23+'4.6_транзит+сбыт_КТЭЦ с косв.'!D23</f>
        <v>99583</v>
      </c>
      <c r="E23" s="1047">
        <f>'4.6_генерация_КТЭЦ с косв.'!E23+'4.6_транзит+сбыт_КТЭЦ с косв.'!E23</f>
        <v>0</v>
      </c>
      <c r="F23" s="258">
        <v>94371</v>
      </c>
      <c r="G23" s="258">
        <v>108310</v>
      </c>
      <c r="H23" s="258">
        <v>94285</v>
      </c>
      <c r="I23" s="258"/>
      <c r="J23" s="258">
        <v>110132</v>
      </c>
      <c r="K23" s="258">
        <v>123132</v>
      </c>
      <c r="L23" s="258">
        <v>74992</v>
      </c>
      <c r="M23" s="258">
        <v>48140</v>
      </c>
      <c r="N23" s="982">
        <v>129952</v>
      </c>
      <c r="O23" s="258">
        <v>79376</v>
      </c>
      <c r="P23" s="258">
        <v>50576</v>
      </c>
    </row>
    <row r="24" spans="1:16" s="1046" customFormat="1" ht="60">
      <c r="A24" s="1044"/>
      <c r="B24" s="1045" t="s">
        <v>372</v>
      </c>
      <c r="C24" s="258">
        <f>'4.6_генерация_КТЭЦ с косв.'!C24+'4.6_транзит+сбыт_КТЭЦ с косв.'!C24</f>
        <v>33280</v>
      </c>
      <c r="D24" s="258">
        <f>'4.6_генерация_КТЭЦ с косв.'!D24+'4.6_транзит+сбыт_КТЭЦ с косв.'!D24</f>
        <v>47375</v>
      </c>
      <c r="E24" s="1047">
        <f>'4.6_генерация_КТЭЦ с косв.'!E24+'4.6_транзит+сбыт_КТЭЦ с косв.'!E24</f>
        <v>16365</v>
      </c>
      <c r="F24" s="258">
        <v>35771</v>
      </c>
      <c r="G24" s="258">
        <v>52352.455269271668</v>
      </c>
      <c r="H24" s="258">
        <v>39537</v>
      </c>
      <c r="I24" s="258"/>
      <c r="J24" s="258">
        <v>61200</v>
      </c>
      <c r="K24" s="258">
        <v>64707.984000000004</v>
      </c>
      <c r="L24" s="258">
        <v>22647.794400000002</v>
      </c>
      <c r="M24" s="258">
        <v>42060.189600000005</v>
      </c>
      <c r="N24" s="982">
        <v>67840.497505439998</v>
      </c>
      <c r="O24" s="258">
        <v>23744.174126903999</v>
      </c>
      <c r="P24" s="258">
        <v>44096.323378535999</v>
      </c>
    </row>
    <row r="25" spans="1:16" s="1046" customFormat="1" ht="90">
      <c r="A25" s="1044"/>
      <c r="B25" s="1045" t="s">
        <v>373</v>
      </c>
      <c r="C25" s="258">
        <f>C27+C28+C29+C55</f>
        <v>51726</v>
      </c>
      <c r="D25" s="258">
        <f t="shared" ref="D25:E25" si="2">D27+D28+D29+D55</f>
        <v>90942.489999999991</v>
      </c>
      <c r="E25" s="1135">
        <f t="shared" si="2"/>
        <v>26279</v>
      </c>
      <c r="F25" s="258">
        <v>107329.49851600002</v>
      </c>
      <c r="G25" s="258">
        <v>71540.346666853831</v>
      </c>
      <c r="H25" s="258">
        <v>130608</v>
      </c>
      <c r="I25" s="258">
        <v>93374</v>
      </c>
      <c r="J25" s="258">
        <v>93374</v>
      </c>
      <c r="K25" s="258">
        <v>98726.197679999997</v>
      </c>
      <c r="L25" s="258">
        <v>49363.098839999999</v>
      </c>
      <c r="M25" s="258">
        <v>49363.098839999999</v>
      </c>
      <c r="N25" s="982">
        <v>103505.53290968879</v>
      </c>
      <c r="O25" s="982">
        <v>51752.766454844394</v>
      </c>
      <c r="P25" s="982">
        <v>51752.766454844394</v>
      </c>
    </row>
    <row r="26" spans="1:16" s="4" customFormat="1">
      <c r="A26" s="17"/>
      <c r="B26" s="51" t="s">
        <v>70</v>
      </c>
      <c r="C26" s="241"/>
      <c r="D26" s="241"/>
      <c r="E26" s="983"/>
      <c r="F26" s="241"/>
      <c r="G26" s="241"/>
      <c r="H26" s="241"/>
      <c r="I26" s="241"/>
      <c r="J26" s="241"/>
      <c r="K26" s="241"/>
      <c r="L26" s="241"/>
      <c r="M26" s="241"/>
      <c r="N26" s="982"/>
      <c r="O26" s="241"/>
      <c r="P26" s="241"/>
    </row>
    <row r="27" spans="1:16" s="4" customFormat="1">
      <c r="A27" s="17"/>
      <c r="B27" s="581" t="s">
        <v>1275</v>
      </c>
      <c r="C27" s="766">
        <f>'4.6_генерация_КТЭЦ с косв.'!C27+'4.6_транзит+сбыт_КТЭЦ с косв.'!C27</f>
        <v>393</v>
      </c>
      <c r="D27" s="766">
        <f>'4.6_генерация_КТЭЦ с косв.'!D27+'4.6_транзит+сбыт_КТЭЦ с косв.'!D27</f>
        <v>2516</v>
      </c>
      <c r="E27" s="984">
        <f>'4.6_генерация_КТЭЦ с косв.'!E27+'4.6_транзит+сбыт_КТЭЦ с косв.'!E27</f>
        <v>567</v>
      </c>
      <c r="F27" s="766">
        <v>2084</v>
      </c>
      <c r="G27" s="766">
        <v>0</v>
      </c>
      <c r="H27" s="766">
        <v>2007</v>
      </c>
      <c r="I27" s="766">
        <v>0</v>
      </c>
      <c r="J27" s="766">
        <v>0</v>
      </c>
      <c r="K27" s="766">
        <v>0</v>
      </c>
      <c r="L27" s="766">
        <v>0</v>
      </c>
      <c r="M27" s="766">
        <v>0</v>
      </c>
      <c r="N27" s="993">
        <v>0</v>
      </c>
      <c r="O27" s="766">
        <v>0</v>
      </c>
      <c r="P27" s="766">
        <v>0</v>
      </c>
    </row>
    <row r="28" spans="1:16" s="4" customFormat="1">
      <c r="A28" s="17"/>
      <c r="B28" s="581" t="s">
        <v>1276</v>
      </c>
      <c r="C28" s="766">
        <f>'4.6_генерация_КТЭЦ с косв.'!C28+'4.6_транзит+сбыт_КТЭЦ с косв.'!C28</f>
        <v>482</v>
      </c>
      <c r="D28" s="766">
        <f>'4.6_генерация_КТЭЦ с косв.'!D28+'4.6_транзит+сбыт_КТЭЦ с косв.'!D28</f>
        <v>1601</v>
      </c>
      <c r="E28" s="984">
        <f>'4.6_генерация_КТЭЦ с косв.'!E28+'4.6_транзит+сбыт_КТЭЦ с косв.'!E28</f>
        <v>398</v>
      </c>
      <c r="F28" s="766">
        <v>2199</v>
      </c>
      <c r="G28" s="766">
        <v>863</v>
      </c>
      <c r="H28" s="766">
        <v>1142</v>
      </c>
      <c r="I28" s="766">
        <v>852</v>
      </c>
      <c r="J28" s="766">
        <v>852</v>
      </c>
      <c r="K28" s="766">
        <v>900.83663999999999</v>
      </c>
      <c r="L28" s="766">
        <v>450.41831999999999</v>
      </c>
      <c r="M28" s="766">
        <v>450.41831999999999</v>
      </c>
      <c r="N28" s="993">
        <v>944.44614174239985</v>
      </c>
      <c r="O28" s="766">
        <v>472.22307087119992</v>
      </c>
      <c r="P28" s="766">
        <v>472.22307087119992</v>
      </c>
    </row>
    <row r="29" spans="1:16" s="4" customFormat="1">
      <c r="A29" s="17"/>
      <c r="B29" s="581" t="s">
        <v>1559</v>
      </c>
      <c r="C29" s="766">
        <f>'4.6_генерация_КТЭЦ с косв.'!C29+'4.6_транзит+сбыт_КТЭЦ с косв.'!C29</f>
        <v>50851</v>
      </c>
      <c r="D29" s="981">
        <f>'4.6_генерация_КТЭЦ с косв.'!D29+'4.6_транзит+сбыт_КТЭЦ с косв.'!D29</f>
        <v>86825.489999999991</v>
      </c>
      <c r="E29" s="984">
        <f>'4.6_генерация_КТЭЦ с косв.'!E29+'4.6_транзит+сбыт_КТЭЦ с косв.'!E29</f>
        <v>25314</v>
      </c>
      <c r="F29" s="766">
        <v>103046.49851600002</v>
      </c>
      <c r="G29" s="766">
        <v>70677.346666853831</v>
      </c>
      <c r="H29" s="766">
        <v>127459</v>
      </c>
      <c r="I29" s="766">
        <v>92522</v>
      </c>
      <c r="J29" s="766">
        <v>92522</v>
      </c>
      <c r="K29" s="766">
        <v>97825.361040000018</v>
      </c>
      <c r="L29" s="766">
        <v>48912.680520000009</v>
      </c>
      <c r="M29" s="766">
        <v>48912.680520000009</v>
      </c>
      <c r="N29" s="993">
        <v>102561.0867679464</v>
      </c>
      <c r="O29" s="766">
        <v>51280.5433839732</v>
      </c>
      <c r="P29" s="766">
        <v>51280.5433839732</v>
      </c>
    </row>
    <row r="30" spans="1:16" s="4" customFormat="1" hidden="1" outlineLevel="1">
      <c r="A30" s="737" t="s">
        <v>89</v>
      </c>
      <c r="B30" s="738" t="s">
        <v>1244</v>
      </c>
      <c r="C30" s="746">
        <f>'4.6_генерация_КТЭЦ с косв.'!C30+'4.6_транзит+сбыт_КТЭЦ с косв.'!C30</f>
        <v>0</v>
      </c>
      <c r="D30" s="746">
        <f>'4.6_генерация_КТЭЦ с косв.'!D30+'4.6_транзит+сбыт_КТЭЦ с косв.'!D30</f>
        <v>19452.489999999998</v>
      </c>
      <c r="E30" s="750">
        <f>'4.6_генерация_КТЭЦ с косв.'!E30+'4.6_транзит+сбыт_КТЭЦ с косв.'!E30</f>
        <v>0</v>
      </c>
      <c r="F30" s="746">
        <v>19960</v>
      </c>
      <c r="G30" s="746"/>
      <c r="H30" s="746">
        <v>21392</v>
      </c>
      <c r="I30" s="746">
        <v>33659</v>
      </c>
      <c r="J30" s="746">
        <v>33659</v>
      </c>
      <c r="K30" s="746">
        <v>35947.812000000005</v>
      </c>
      <c r="L30" s="746">
        <v>17973.906000000003</v>
      </c>
      <c r="M30" s="746">
        <v>17973.906000000003</v>
      </c>
      <c r="N30" s="1607">
        <v>38068.732908000005</v>
      </c>
      <c r="O30" s="746">
        <v>19034.366454000003</v>
      </c>
      <c r="P30" s="746">
        <v>19034.366454000003</v>
      </c>
    </row>
    <row r="31" spans="1:16" s="341" customFormat="1" hidden="1" outlineLevel="1">
      <c r="A31" s="760" t="s">
        <v>91</v>
      </c>
      <c r="B31" s="761" t="s">
        <v>1245</v>
      </c>
      <c r="C31" s="746" t="e">
        <f t="shared" ref="C31:D31" si="3">SUM(C32:C43)+C45</f>
        <v>#VALUE!</v>
      </c>
      <c r="D31" s="746" t="e">
        <f t="shared" si="3"/>
        <v>#VALUE!</v>
      </c>
      <c r="E31" s="746"/>
      <c r="F31" s="746">
        <v>83086.498516000021</v>
      </c>
      <c r="G31" s="746">
        <v>0</v>
      </c>
      <c r="H31" s="746">
        <v>106067</v>
      </c>
      <c r="I31" s="746">
        <v>34228</v>
      </c>
      <c r="J31" s="746">
        <v>34228</v>
      </c>
      <c r="K31" s="746">
        <v>0</v>
      </c>
      <c r="L31" s="746">
        <v>0</v>
      </c>
      <c r="M31" s="746">
        <v>0</v>
      </c>
      <c r="N31" s="746">
        <v>0</v>
      </c>
      <c r="O31" s="746">
        <v>0</v>
      </c>
      <c r="P31" s="746">
        <v>0</v>
      </c>
    </row>
    <row r="32" spans="1:16" s="4" customFormat="1" ht="25.5" hidden="1" outlineLevel="1">
      <c r="A32" s="739" t="s">
        <v>1044</v>
      </c>
      <c r="B32" s="740" t="s">
        <v>1247</v>
      </c>
      <c r="C32" s="979">
        <f>'4.6_генерация_КТЭЦ с косв.'!C32+'4.6_транзит+сбыт_КТЭЦ с косв.'!C32</f>
        <v>0</v>
      </c>
      <c r="D32" s="979">
        <f>'4.6_генерация_КТЭЦ с косв.'!D32+'4.6_транзит+сбыт_КТЭЦ с косв.'!D32</f>
        <v>3837</v>
      </c>
      <c r="E32" s="750">
        <f>'4.6_генерация_КТЭЦ с косв.'!E32+'4.6_транзит+сбыт_КТЭЦ с косв.'!E32</f>
        <v>0</v>
      </c>
      <c r="F32" s="979">
        <v>5040.03024</v>
      </c>
      <c r="G32" s="979"/>
      <c r="H32" s="979">
        <v>4592</v>
      </c>
      <c r="I32" s="979">
        <v>4737</v>
      </c>
      <c r="J32" s="979">
        <v>4737</v>
      </c>
      <c r="K32" s="979">
        <v>0</v>
      </c>
      <c r="L32" s="979">
        <v>0</v>
      </c>
      <c r="M32" s="979">
        <v>0</v>
      </c>
      <c r="N32" s="1611">
        <v>0</v>
      </c>
      <c r="O32" s="979">
        <v>0</v>
      </c>
      <c r="P32" s="979">
        <v>0</v>
      </c>
    </row>
    <row r="33" spans="1:16" s="4" customFormat="1" ht="25.5" hidden="1" outlineLevel="1">
      <c r="A33" s="739" t="s">
        <v>1043</v>
      </c>
      <c r="B33" s="740" t="s">
        <v>1249</v>
      </c>
      <c r="C33" s="979">
        <f>'4.6_генерация_КТЭЦ с косв.'!C33+'4.6_транзит+сбыт_КТЭЦ с косв.'!C33</f>
        <v>0</v>
      </c>
      <c r="D33" s="979">
        <f>'4.6_генерация_КТЭЦ с косв.'!D33+'4.6_транзит+сбыт_КТЭЦ с косв.'!D33</f>
        <v>57</v>
      </c>
      <c r="E33" s="750">
        <f>'4.6_генерация_КТЭЦ с косв.'!E33+'4.6_транзит+сбыт_КТЭЦ с косв.'!E33</f>
        <v>0</v>
      </c>
      <c r="F33" s="979">
        <v>3.0000180000000003</v>
      </c>
      <c r="G33" s="979"/>
      <c r="H33" s="979">
        <v>0</v>
      </c>
      <c r="I33" s="979"/>
      <c r="J33" s="979">
        <v>0</v>
      </c>
      <c r="K33" s="979">
        <v>0</v>
      </c>
      <c r="L33" s="979">
        <v>0</v>
      </c>
      <c r="M33" s="979">
        <v>0</v>
      </c>
      <c r="N33" s="1611">
        <v>0</v>
      </c>
      <c r="O33" s="979">
        <v>0</v>
      </c>
      <c r="P33" s="979">
        <v>0</v>
      </c>
    </row>
    <row r="34" spans="1:16" s="4" customFormat="1" hidden="1" outlineLevel="1">
      <c r="A34" s="741" t="s">
        <v>1540</v>
      </c>
      <c r="B34" s="740" t="s">
        <v>1250</v>
      </c>
      <c r="C34" s="979">
        <f>'4.6_генерация_КТЭЦ с косв.'!C34+'4.6_транзит+сбыт_КТЭЦ с косв.'!C34</f>
        <v>0</v>
      </c>
      <c r="D34" s="979">
        <f>'4.6_генерация_КТЭЦ с косв.'!D34+'4.6_транзит+сбыт_КТЭЦ с косв.'!D34</f>
        <v>968</v>
      </c>
      <c r="E34" s="750">
        <f>'4.6_генерация_КТЭЦ с косв.'!E34+'4.6_транзит+сбыт_КТЭЦ с косв.'!E34</f>
        <v>0</v>
      </c>
      <c r="F34" s="979">
        <v>1287.0077220000001</v>
      </c>
      <c r="G34" s="979"/>
      <c r="H34" s="979">
        <v>1592</v>
      </c>
      <c r="I34" s="979"/>
      <c r="J34" s="979">
        <v>0</v>
      </c>
      <c r="K34" s="979">
        <v>0</v>
      </c>
      <c r="L34" s="979">
        <v>0</v>
      </c>
      <c r="M34" s="979">
        <v>0</v>
      </c>
      <c r="N34" s="1611">
        <v>0</v>
      </c>
      <c r="O34" s="979">
        <v>0</v>
      </c>
      <c r="P34" s="979">
        <v>0</v>
      </c>
    </row>
    <row r="35" spans="1:16" s="4" customFormat="1" ht="25.5" hidden="1" outlineLevel="1">
      <c r="A35" s="739" t="s">
        <v>1541</v>
      </c>
      <c r="B35" s="740" t="s">
        <v>1251</v>
      </c>
      <c r="C35" s="979">
        <f>'4.6_генерация_КТЭЦ с косв.'!C35+'4.6_транзит+сбыт_КТЭЦ с косв.'!C35</f>
        <v>0</v>
      </c>
      <c r="D35" s="979">
        <f>'4.6_генерация_КТЭЦ с косв.'!D35+'4.6_транзит+сбыт_КТЭЦ с косв.'!D35</f>
        <v>2408</v>
      </c>
      <c r="E35" s="750">
        <f>'4.6_генерация_КТЭЦ с косв.'!E35+'4.6_транзит+сбыт_КТЭЦ с косв.'!E35</f>
        <v>0</v>
      </c>
      <c r="F35" s="979">
        <v>4034.0242039999998</v>
      </c>
      <c r="G35" s="979"/>
      <c r="H35" s="979">
        <v>3080</v>
      </c>
      <c r="I35" s="979">
        <v>4747</v>
      </c>
      <c r="J35" s="979">
        <v>4747</v>
      </c>
      <c r="K35" s="979">
        <v>0</v>
      </c>
      <c r="L35" s="979">
        <v>0</v>
      </c>
      <c r="M35" s="979">
        <v>0</v>
      </c>
      <c r="N35" s="1611">
        <v>0</v>
      </c>
      <c r="O35" s="979">
        <v>0</v>
      </c>
      <c r="P35" s="979">
        <v>0</v>
      </c>
    </row>
    <row r="36" spans="1:16" s="4" customFormat="1" hidden="1" outlineLevel="1">
      <c r="A36" s="739" t="s">
        <v>1542</v>
      </c>
      <c r="B36" s="740" t="s">
        <v>1252</v>
      </c>
      <c r="C36" s="979">
        <f>'4.6_генерация_КТЭЦ с косв.'!C36+'4.6_транзит+сбыт_КТЭЦ с косв.'!C36</f>
        <v>0</v>
      </c>
      <c r="D36" s="979">
        <f>'4.6_генерация_КТЭЦ с косв.'!D36+'4.6_транзит+сбыт_КТЭЦ с косв.'!D36</f>
        <v>11786</v>
      </c>
      <c r="E36" s="750">
        <f>'4.6_генерация_КТЭЦ с косв.'!E36+'4.6_транзит+сбыт_КТЭЦ с косв.'!E36</f>
        <v>0</v>
      </c>
      <c r="F36" s="979">
        <v>11308.067848000001</v>
      </c>
      <c r="G36" s="979"/>
      <c r="H36" s="979">
        <v>17207</v>
      </c>
      <c r="I36" s="979">
        <v>19258</v>
      </c>
      <c r="J36" s="979">
        <v>19258</v>
      </c>
      <c r="K36" s="979">
        <v>0</v>
      </c>
      <c r="L36" s="979">
        <v>0</v>
      </c>
      <c r="M36" s="979">
        <v>0</v>
      </c>
      <c r="N36" s="1611">
        <v>0</v>
      </c>
      <c r="O36" s="979">
        <v>0</v>
      </c>
      <c r="P36" s="979">
        <v>0</v>
      </c>
    </row>
    <row r="37" spans="1:16" s="4" customFormat="1" hidden="1" outlineLevel="1">
      <c r="A37" s="739" t="s">
        <v>1543</v>
      </c>
      <c r="B37" s="740" t="s">
        <v>1253</v>
      </c>
      <c r="C37" s="979">
        <f>'4.6_генерация_КТЭЦ с косв.'!C37+'4.6_транзит+сбыт_КТЭЦ с косв.'!C37</f>
        <v>0</v>
      </c>
      <c r="D37" s="979">
        <f>'4.6_генерация_КТЭЦ с косв.'!D37+'4.6_транзит+сбыт_КТЭЦ с косв.'!D37</f>
        <v>10310</v>
      </c>
      <c r="E37" s="750">
        <f>'4.6_генерация_КТЭЦ с косв.'!E37+'4.6_транзит+сбыт_КТЭЦ с косв.'!E37</f>
        <v>0</v>
      </c>
      <c r="F37" s="979">
        <v>9959.0597540000017</v>
      </c>
      <c r="G37" s="979"/>
      <c r="H37" s="979">
        <v>19370</v>
      </c>
      <c r="I37" s="979"/>
      <c r="J37" s="979">
        <v>0</v>
      </c>
      <c r="K37" s="979">
        <v>0</v>
      </c>
      <c r="L37" s="979">
        <v>0</v>
      </c>
      <c r="M37" s="979">
        <v>0</v>
      </c>
      <c r="N37" s="1611">
        <v>0</v>
      </c>
      <c r="O37" s="979">
        <v>0</v>
      </c>
      <c r="P37" s="979">
        <v>0</v>
      </c>
    </row>
    <row r="38" spans="1:16" s="4" customFormat="1" hidden="1" outlineLevel="1">
      <c r="A38" s="739" t="s">
        <v>1544</v>
      </c>
      <c r="B38" s="742" t="s">
        <v>1254</v>
      </c>
      <c r="C38" s="979">
        <f>'4.6_генерация_КТЭЦ с косв.'!C38+'4.6_транзит+сбыт_КТЭЦ с косв.'!C38</f>
        <v>0</v>
      </c>
      <c r="D38" s="979">
        <f>'4.6_генерация_КТЭЦ с косв.'!D38+'4.6_транзит+сбыт_КТЭЦ с косв.'!D38</f>
        <v>1516</v>
      </c>
      <c r="E38" s="750">
        <f>'4.6_генерация_КТЭЦ с косв.'!E38+'4.6_транзит+сбыт_КТЭЦ с косв.'!E38</f>
        <v>0</v>
      </c>
      <c r="F38" s="979">
        <v>2480.0148800000002</v>
      </c>
      <c r="G38" s="979"/>
      <c r="H38" s="979">
        <v>2406</v>
      </c>
      <c r="I38" s="979"/>
      <c r="J38" s="979">
        <v>0</v>
      </c>
      <c r="K38" s="979">
        <v>0</v>
      </c>
      <c r="L38" s="979">
        <v>0</v>
      </c>
      <c r="M38" s="979">
        <v>0</v>
      </c>
      <c r="N38" s="1611">
        <v>0</v>
      </c>
      <c r="O38" s="979">
        <v>0</v>
      </c>
      <c r="P38" s="979">
        <v>0</v>
      </c>
    </row>
    <row r="39" spans="1:16" s="4" customFormat="1" hidden="1" outlineLevel="1">
      <c r="A39" s="739" t="s">
        <v>1545</v>
      </c>
      <c r="B39" s="740" t="s">
        <v>1255</v>
      </c>
      <c r="C39" s="979">
        <f>'4.6_генерация_КТЭЦ с косв.'!C39+'4.6_транзит+сбыт_КТЭЦ с косв.'!C39</f>
        <v>0</v>
      </c>
      <c r="D39" s="979">
        <f>'4.6_генерация_КТЭЦ с косв.'!D39+'4.6_транзит+сбыт_КТЭЦ с косв.'!D39</f>
        <v>261</v>
      </c>
      <c r="E39" s="750">
        <f>'4.6_генерация_КТЭЦ с косв.'!E39+'4.6_транзит+сбыт_КТЭЦ с косв.'!E39</f>
        <v>0</v>
      </c>
      <c r="F39" s="979">
        <v>365.00219000000004</v>
      </c>
      <c r="G39" s="979"/>
      <c r="H39" s="979">
        <v>510</v>
      </c>
      <c r="I39" s="979"/>
      <c r="J39" s="979">
        <v>0</v>
      </c>
      <c r="K39" s="979">
        <v>0</v>
      </c>
      <c r="L39" s="979">
        <v>0</v>
      </c>
      <c r="M39" s="979">
        <v>0</v>
      </c>
      <c r="N39" s="1611">
        <v>0</v>
      </c>
      <c r="O39" s="979">
        <v>0</v>
      </c>
      <c r="P39" s="979">
        <v>0</v>
      </c>
    </row>
    <row r="40" spans="1:16" s="4" customFormat="1" ht="25.5" hidden="1" outlineLevel="1">
      <c r="A40" s="739" t="s">
        <v>1546</v>
      </c>
      <c r="B40" s="742" t="s">
        <v>1256</v>
      </c>
      <c r="C40" s="979">
        <f>'4.6_генерация_КТЭЦ с косв.'!C40+'4.6_транзит+сбыт_КТЭЦ с косв.'!C40</f>
        <v>0</v>
      </c>
      <c r="D40" s="979">
        <f>'4.6_генерация_КТЭЦ с косв.'!D40+'4.6_транзит+сбыт_КТЭЦ с косв.'!D40</f>
        <v>745</v>
      </c>
      <c r="E40" s="750">
        <f>'4.6_генерация_КТЭЦ с косв.'!E40+'4.6_транзит+сбыт_КТЭЦ с косв.'!E40</f>
        <v>0</v>
      </c>
      <c r="F40" s="979">
        <v>1402.0084119999999</v>
      </c>
      <c r="G40" s="979"/>
      <c r="H40" s="979">
        <v>456</v>
      </c>
      <c r="I40" s="979"/>
      <c r="J40" s="979">
        <v>0</v>
      </c>
      <c r="K40" s="979">
        <v>0</v>
      </c>
      <c r="L40" s="979">
        <v>0</v>
      </c>
      <c r="M40" s="979">
        <v>0</v>
      </c>
      <c r="N40" s="1611">
        <v>0</v>
      </c>
      <c r="O40" s="979">
        <v>0</v>
      </c>
      <c r="P40" s="979">
        <v>0</v>
      </c>
    </row>
    <row r="41" spans="1:16" s="4" customFormat="1" hidden="1" outlineLevel="1">
      <c r="A41" s="739" t="s">
        <v>1547</v>
      </c>
      <c r="B41" s="742" t="s">
        <v>1257</v>
      </c>
      <c r="C41" s="979">
        <f>'4.6_генерация_КТЭЦ с косв.'!C41+'4.6_транзит+сбыт_КТЭЦ с косв.'!C41</f>
        <v>0</v>
      </c>
      <c r="D41" s="979">
        <f>'4.6_генерация_КТЭЦ с косв.'!D41+'4.6_транзит+сбыт_КТЭЦ с косв.'!D41</f>
        <v>30320</v>
      </c>
      <c r="E41" s="750">
        <f>'4.6_генерация_КТЭЦ с косв.'!E41+'4.6_транзит+сбыт_КТЭЦ с косв.'!E41</f>
        <v>0</v>
      </c>
      <c r="F41" s="979">
        <v>38733.232398000007</v>
      </c>
      <c r="G41" s="979"/>
      <c r="H41" s="979">
        <v>47132</v>
      </c>
      <c r="I41" s="979"/>
      <c r="J41" s="979">
        <v>0</v>
      </c>
      <c r="K41" s="979">
        <v>0</v>
      </c>
      <c r="L41" s="979">
        <v>0</v>
      </c>
      <c r="M41" s="979">
        <v>0</v>
      </c>
      <c r="N41" s="1611">
        <v>0</v>
      </c>
      <c r="O41" s="979">
        <v>0</v>
      </c>
      <c r="P41" s="979">
        <v>0</v>
      </c>
    </row>
    <row r="42" spans="1:16" s="4" customFormat="1" hidden="1" outlineLevel="1">
      <c r="A42" s="741" t="s">
        <v>1548</v>
      </c>
      <c r="B42" s="742" t="s">
        <v>1556</v>
      </c>
      <c r="C42" s="979">
        <f>'4.6_генерация_КТЭЦ с косв.'!C42+'4.6_транзит+сбыт_КТЭЦ с косв.'!C42</f>
        <v>0</v>
      </c>
      <c r="D42" s="979">
        <f>'4.6_генерация_КТЭЦ с косв.'!D42+'4.6_транзит+сбыт_КТЭЦ с косв.'!D42</f>
        <v>337</v>
      </c>
      <c r="E42" s="750">
        <f>'4.6_генерация_КТЭЦ с косв.'!E42+'4.6_транзит+сбыт_КТЭЦ с косв.'!E42</f>
        <v>0</v>
      </c>
      <c r="F42" s="979">
        <v>1059.0063540000001</v>
      </c>
      <c r="G42" s="979"/>
      <c r="H42" s="979">
        <v>533</v>
      </c>
      <c r="I42" s="979">
        <v>2941</v>
      </c>
      <c r="J42" s="979">
        <v>2941</v>
      </c>
      <c r="K42" s="979">
        <v>0</v>
      </c>
      <c r="L42" s="979">
        <v>0</v>
      </c>
      <c r="M42" s="979">
        <v>0</v>
      </c>
      <c r="N42" s="1611">
        <v>0</v>
      </c>
      <c r="O42" s="979">
        <v>0</v>
      </c>
      <c r="P42" s="979">
        <v>0</v>
      </c>
    </row>
    <row r="43" spans="1:16" s="4" customFormat="1" hidden="1" outlineLevel="1">
      <c r="A43" s="741" t="s">
        <v>1549</v>
      </c>
      <c r="B43" s="742" t="s">
        <v>1258</v>
      </c>
      <c r="C43" s="979">
        <f>'4.6_генерация_КТЭЦ с косв.'!C43+'4.6_транзит+сбыт_КТЭЦ с косв.'!C43</f>
        <v>0</v>
      </c>
      <c r="D43" s="979">
        <f>'4.6_генерация_КТЭЦ с косв.'!D43+'4.6_транзит+сбыт_КТЭЦ с косв.'!D43</f>
        <v>1682</v>
      </c>
      <c r="E43" s="750">
        <f>'4.6_генерация_КТЭЦ с косв.'!E43+'4.6_транзит+сбыт_КТЭЦ с косв.'!E43</f>
        <v>0</v>
      </c>
      <c r="F43" s="979">
        <v>1564.0093840000004</v>
      </c>
      <c r="G43" s="979"/>
      <c r="H43" s="979">
        <v>2007.0000000000002</v>
      </c>
      <c r="I43" s="979">
        <v>2545</v>
      </c>
      <c r="J43" s="979">
        <v>2545</v>
      </c>
      <c r="K43" s="979">
        <v>0</v>
      </c>
      <c r="L43" s="979">
        <v>0</v>
      </c>
      <c r="M43" s="979">
        <v>0</v>
      </c>
      <c r="N43" s="1611">
        <v>0</v>
      </c>
      <c r="O43" s="979">
        <v>0</v>
      </c>
      <c r="P43" s="979">
        <v>0</v>
      </c>
    </row>
    <row r="44" spans="1:16" s="4" customFormat="1" hidden="1" outlineLevel="1">
      <c r="A44" s="764" t="s">
        <v>1555</v>
      </c>
      <c r="B44" s="765" t="s">
        <v>1890</v>
      </c>
      <c r="C44" s="765" t="s">
        <v>1259</v>
      </c>
      <c r="D44" s="765" t="s">
        <v>1259</v>
      </c>
      <c r="E44" s="765"/>
      <c r="F44" s="979">
        <v>0</v>
      </c>
      <c r="G44" s="979"/>
      <c r="H44" s="979">
        <v>0</v>
      </c>
      <c r="I44" s="979"/>
      <c r="J44" s="979">
        <v>0</v>
      </c>
      <c r="K44" s="979">
        <v>0</v>
      </c>
      <c r="L44" s="979">
        <v>0</v>
      </c>
      <c r="M44" s="979">
        <v>0</v>
      </c>
      <c r="N44" s="979">
        <v>0</v>
      </c>
      <c r="O44" s="979">
        <v>0</v>
      </c>
      <c r="P44" s="979">
        <v>0</v>
      </c>
    </row>
    <row r="45" spans="1:16" s="341" customFormat="1" hidden="1" outlineLevel="1">
      <c r="A45" s="764" t="s">
        <v>1889</v>
      </c>
      <c r="B45" s="765" t="s">
        <v>1259</v>
      </c>
      <c r="C45" s="765" t="s">
        <v>1259</v>
      </c>
      <c r="D45" s="765" t="s">
        <v>1259</v>
      </c>
      <c r="E45" s="765"/>
      <c r="F45" s="746">
        <v>5852.0351120000005</v>
      </c>
      <c r="G45" s="746"/>
      <c r="H45" s="746">
        <v>7182</v>
      </c>
      <c r="I45" s="746">
        <v>0</v>
      </c>
      <c r="J45" s="746">
        <v>0</v>
      </c>
      <c r="K45" s="746">
        <v>0</v>
      </c>
      <c r="L45" s="746">
        <v>0</v>
      </c>
      <c r="M45" s="746">
        <v>0</v>
      </c>
      <c r="N45" s="1607">
        <v>0</v>
      </c>
      <c r="O45" s="746">
        <v>0</v>
      </c>
      <c r="P45" s="746">
        <v>0</v>
      </c>
    </row>
    <row r="46" spans="1:16" s="4" customFormat="1" hidden="1" outlineLevel="1">
      <c r="A46" s="744"/>
      <c r="B46" s="745" t="s">
        <v>1260</v>
      </c>
      <c r="C46" s="980">
        <f>'4.6_генерация_КТЭЦ с косв.'!C46+'4.6_транзит+сбыт_КТЭЦ с косв.'!C46</f>
        <v>0</v>
      </c>
      <c r="D46" s="980">
        <f>'4.6_генерация_КТЭЦ с косв.'!D46+'4.6_транзит+сбыт_КТЭЦ с косв.'!D46</f>
        <v>472</v>
      </c>
      <c r="E46" s="750">
        <f>'4.6_генерация_КТЭЦ с косв.'!E46+'4.6_транзит+сбыт_КТЭЦ с косв.'!E46</f>
        <v>0</v>
      </c>
      <c r="F46" s="980">
        <v>535.00321000000008</v>
      </c>
      <c r="G46" s="980"/>
      <c r="H46" s="980">
        <v>366</v>
      </c>
      <c r="I46" s="980"/>
      <c r="J46" s="980">
        <v>0</v>
      </c>
      <c r="K46" s="980">
        <v>0</v>
      </c>
      <c r="L46" s="980">
        <v>0</v>
      </c>
      <c r="M46" s="980">
        <v>0</v>
      </c>
      <c r="N46" s="1612">
        <v>0</v>
      </c>
      <c r="O46" s="980">
        <v>0</v>
      </c>
      <c r="P46" s="980">
        <v>0</v>
      </c>
    </row>
    <row r="47" spans="1:16" s="4" customFormat="1" hidden="1" outlineLevel="1">
      <c r="A47" s="744"/>
      <c r="B47" s="743" t="s">
        <v>1261</v>
      </c>
      <c r="C47" s="980">
        <f>'4.6_генерация_КТЭЦ с косв.'!C47+'4.6_транзит+сбыт_КТЭЦ с косв.'!C47</f>
        <v>0</v>
      </c>
      <c r="D47" s="980">
        <f>'4.6_генерация_КТЭЦ с косв.'!D47+'4.6_транзит+сбыт_КТЭЦ с косв.'!D47</f>
        <v>634</v>
      </c>
      <c r="E47" s="750">
        <f>'4.6_генерация_КТЭЦ с косв.'!E47+'4.6_транзит+сбыт_КТЭЦ с косв.'!E47</f>
        <v>0</v>
      </c>
      <c r="F47" s="980">
        <v>906.00543600000003</v>
      </c>
      <c r="G47" s="980"/>
      <c r="H47" s="980">
        <v>768</v>
      </c>
      <c r="I47" s="980"/>
      <c r="J47" s="980">
        <v>0</v>
      </c>
      <c r="K47" s="980">
        <v>0</v>
      </c>
      <c r="L47" s="980">
        <v>0</v>
      </c>
      <c r="M47" s="980">
        <v>0</v>
      </c>
      <c r="N47" s="1612">
        <v>0</v>
      </c>
      <c r="O47" s="980">
        <v>0</v>
      </c>
      <c r="P47" s="980">
        <v>0</v>
      </c>
    </row>
    <row r="48" spans="1:16" s="4" customFormat="1" hidden="1" outlineLevel="1">
      <c r="A48" s="744"/>
      <c r="B48" s="743" t="s">
        <v>1262</v>
      </c>
      <c r="C48" s="980">
        <f>'4.6_генерация_КТЭЦ с косв.'!C48+'4.6_транзит+сбыт_КТЭЦ с косв.'!C48</f>
        <v>0</v>
      </c>
      <c r="D48" s="980">
        <f>'4.6_генерация_КТЭЦ с косв.'!D48+'4.6_транзит+сбыт_КТЭЦ с косв.'!D48</f>
        <v>809</v>
      </c>
      <c r="E48" s="750">
        <f>'4.6_генерация_КТЭЦ с косв.'!E48+'4.6_транзит+сбыт_КТЭЦ с косв.'!E48</f>
        <v>0</v>
      </c>
      <c r="F48" s="980">
        <v>1102.0066120000001</v>
      </c>
      <c r="G48" s="980"/>
      <c r="H48" s="980">
        <v>1026</v>
      </c>
      <c r="I48" s="980"/>
      <c r="J48" s="980">
        <v>0</v>
      </c>
      <c r="K48" s="980">
        <v>0</v>
      </c>
      <c r="L48" s="980">
        <v>0</v>
      </c>
      <c r="M48" s="980">
        <v>0</v>
      </c>
      <c r="N48" s="1612">
        <v>0</v>
      </c>
      <c r="O48" s="980">
        <v>0</v>
      </c>
      <c r="P48" s="980">
        <v>0</v>
      </c>
    </row>
    <row r="49" spans="1:16" s="4" customFormat="1" hidden="1" outlineLevel="1">
      <c r="A49" s="744"/>
      <c r="B49" s="743" t="s">
        <v>1263</v>
      </c>
      <c r="C49" s="980">
        <f>'4.6_генерация_КТЭЦ с косв.'!C49+'4.6_транзит+сбыт_КТЭЦ с косв.'!C49</f>
        <v>0</v>
      </c>
      <c r="D49" s="980">
        <f>'4.6_генерация_КТЭЦ с косв.'!D49+'4.6_транзит+сбыт_КТЭЦ с косв.'!D49</f>
        <v>257</v>
      </c>
      <c r="E49" s="750">
        <f>'4.6_генерация_КТЭЦ с косв.'!E49+'4.6_транзит+сбыт_КТЭЦ с косв.'!E49</f>
        <v>0</v>
      </c>
      <c r="F49" s="980">
        <v>920.00551999999993</v>
      </c>
      <c r="G49" s="980"/>
      <c r="H49" s="980">
        <v>268</v>
      </c>
      <c r="I49" s="980"/>
      <c r="J49" s="980">
        <v>0</v>
      </c>
      <c r="K49" s="980">
        <v>0</v>
      </c>
      <c r="L49" s="980">
        <v>0</v>
      </c>
      <c r="M49" s="980">
        <v>0</v>
      </c>
      <c r="N49" s="1612">
        <v>0</v>
      </c>
      <c r="O49" s="980">
        <v>0</v>
      </c>
      <c r="P49" s="980">
        <v>0</v>
      </c>
    </row>
    <row r="50" spans="1:16" s="4" customFormat="1" ht="25.5" hidden="1" outlineLevel="1">
      <c r="A50" s="744"/>
      <c r="B50" s="743" t="s">
        <v>1891</v>
      </c>
      <c r="C50" s="980">
        <f>'4.6_генерация_КТЭЦ с косв.'!C50+'4.6_транзит+сбыт_КТЭЦ с косв.'!C50</f>
        <v>0</v>
      </c>
      <c r="D50" s="980">
        <f>'4.6_генерация_КТЭЦ с косв.'!D50+'4.6_транзит+сбыт_КТЭЦ с косв.'!D50</f>
        <v>974</v>
      </c>
      <c r="E50" s="750">
        <f>'4.6_генерация_КТЭЦ с косв.'!E50+'4.6_транзит+сбыт_КТЭЦ с косв.'!E50</f>
        <v>0</v>
      </c>
      <c r="F50" s="980">
        <v>2389.0143340000004</v>
      </c>
      <c r="G50" s="980"/>
      <c r="H50" s="980">
        <v>2294</v>
      </c>
      <c r="I50" s="980"/>
      <c r="J50" s="980">
        <v>0</v>
      </c>
      <c r="K50" s="980">
        <v>0</v>
      </c>
      <c r="L50" s="980">
        <v>0</v>
      </c>
      <c r="M50" s="980">
        <v>0</v>
      </c>
      <c r="N50" s="1612">
        <v>0</v>
      </c>
      <c r="O50" s="980">
        <v>0</v>
      </c>
      <c r="P50" s="980">
        <v>0</v>
      </c>
    </row>
    <row r="51" spans="1:16" s="4" customFormat="1" ht="25.5" hidden="1" outlineLevel="1">
      <c r="A51" s="744"/>
      <c r="B51" s="743" t="s">
        <v>1264</v>
      </c>
      <c r="C51" s="980">
        <f>'4.6_генерация_КТЭЦ с косв.'!C51+'4.6_транзит+сбыт_КТЭЦ с косв.'!C51</f>
        <v>0</v>
      </c>
      <c r="D51" s="980">
        <f>'4.6_генерация_КТЭЦ с косв.'!D51+'4.6_транзит+сбыт_КТЭЦ с косв.'!D51</f>
        <v>0</v>
      </c>
      <c r="E51" s="750">
        <f>'4.6_генерация_КТЭЦ с косв.'!E51+'4.6_транзит+сбыт_КТЭЦ с косв.'!E51</f>
        <v>0</v>
      </c>
      <c r="F51" s="980">
        <v>0</v>
      </c>
      <c r="G51" s="980"/>
      <c r="H51" s="980">
        <v>0</v>
      </c>
      <c r="I51" s="980"/>
      <c r="J51" s="980">
        <v>0</v>
      </c>
      <c r="K51" s="980">
        <v>0</v>
      </c>
      <c r="L51" s="980">
        <v>0</v>
      </c>
      <c r="M51" s="980">
        <v>0</v>
      </c>
      <c r="N51" s="1612">
        <v>0</v>
      </c>
      <c r="O51" s="980">
        <v>0</v>
      </c>
      <c r="P51" s="980">
        <v>0</v>
      </c>
    </row>
    <row r="52" spans="1:16" s="4" customFormat="1" hidden="1" outlineLevel="1">
      <c r="A52" s="744"/>
      <c r="B52" s="1391" t="s">
        <v>1883</v>
      </c>
      <c r="C52" s="980">
        <f>'4.6_генерация_КТЭЦ с косв.'!C52+'4.6_транзит+сбыт_КТЭЦ с косв.'!C52</f>
        <v>0</v>
      </c>
      <c r="D52" s="980">
        <f>'4.6_генерация_КТЭЦ с косв.'!D52+'4.6_транзит+сбыт_КТЭЦ с косв.'!D52</f>
        <v>0</v>
      </c>
      <c r="E52" s="750">
        <f>'4.6_генерация_КТЭЦ с косв.'!E52+'4.6_транзит+сбыт_КТЭЦ с косв.'!E52</f>
        <v>0</v>
      </c>
      <c r="F52" s="980">
        <v>0</v>
      </c>
      <c r="G52" s="980"/>
      <c r="H52" s="980">
        <v>168</v>
      </c>
      <c r="I52" s="980"/>
      <c r="J52" s="980">
        <v>0</v>
      </c>
      <c r="K52" s="980">
        <v>0</v>
      </c>
      <c r="L52" s="980">
        <v>0</v>
      </c>
      <c r="M52" s="980">
        <v>0</v>
      </c>
      <c r="N52" s="1612">
        <v>0</v>
      </c>
      <c r="O52" s="980">
        <v>0</v>
      </c>
      <c r="P52" s="980">
        <v>0</v>
      </c>
    </row>
    <row r="53" spans="1:16" s="4" customFormat="1" hidden="1" outlineLevel="1">
      <c r="A53" s="744"/>
      <c r="B53" s="743" t="s">
        <v>1884</v>
      </c>
      <c r="C53" s="308"/>
      <c r="D53" s="308"/>
      <c r="E53" s="750"/>
      <c r="F53" s="308"/>
      <c r="G53" s="308"/>
      <c r="H53" s="980">
        <v>2292</v>
      </c>
      <c r="I53" s="980"/>
      <c r="J53" s="980">
        <v>0</v>
      </c>
      <c r="K53" s="980"/>
      <c r="L53" s="308"/>
      <c r="M53" s="308"/>
      <c r="N53" s="982"/>
      <c r="O53" s="308"/>
      <c r="P53" s="308"/>
    </row>
    <row r="54" spans="1:16" s="4" customFormat="1" ht="25.5" hidden="1" outlineLevel="1">
      <c r="A54" s="17"/>
      <c r="B54" s="743" t="s">
        <v>1885</v>
      </c>
      <c r="C54" s="241"/>
      <c r="D54" s="241"/>
      <c r="E54" s="750"/>
      <c r="F54" s="241"/>
      <c r="G54" s="241"/>
      <c r="H54" s="980">
        <v>0</v>
      </c>
      <c r="I54" s="980"/>
      <c r="J54" s="980">
        <v>0</v>
      </c>
      <c r="K54" s="980"/>
      <c r="L54" s="241"/>
      <c r="M54" s="241"/>
      <c r="N54" s="982"/>
      <c r="O54" s="241"/>
      <c r="P54" s="241"/>
    </row>
    <row r="55" spans="1:16" s="341" customFormat="1" ht="25.5" hidden="1" outlineLevel="1">
      <c r="A55" s="339"/>
      <c r="B55" s="743" t="s">
        <v>1886</v>
      </c>
      <c r="C55" s="980">
        <f>'4.6_генерация_КТЭЦ с косв.'!C55+'4.6_транзит+сбыт_КТЭЦ с косв.'!C55</f>
        <v>0</v>
      </c>
      <c r="D55" s="980">
        <f>'4.6_генерация_КТЭЦ с косв.'!D55+'4.6_транзит+сбыт_КТЭЦ с косв.'!D55</f>
        <v>0</v>
      </c>
      <c r="E55" s="750">
        <f>'4.6_генерация_КТЭЦ с косв.'!E55+'4.6_транзит+сбыт_КТЭЦ с косв.'!E55</f>
        <v>0</v>
      </c>
      <c r="F55" s="980">
        <v>0</v>
      </c>
      <c r="G55" s="980"/>
      <c r="H55" s="980">
        <v>0</v>
      </c>
      <c r="I55" s="980"/>
      <c r="J55" s="980">
        <v>0</v>
      </c>
      <c r="K55" s="980">
        <v>0</v>
      </c>
      <c r="L55" s="308">
        <v>0</v>
      </c>
      <c r="M55" s="308">
        <v>0</v>
      </c>
      <c r="N55" s="982">
        <v>0</v>
      </c>
      <c r="O55" s="308">
        <v>0</v>
      </c>
      <c r="P55" s="308">
        <v>0</v>
      </c>
    </row>
    <row r="56" spans="1:16" s="1046" customFormat="1" ht="90" collapsed="1">
      <c r="A56" s="1044"/>
      <c r="B56" s="1045" t="s">
        <v>374</v>
      </c>
      <c r="C56" s="258">
        <f>'4.6_генерация_КТЭЦ с косв.'!C56+'4.6_транзит+сбыт_КТЭЦ с косв.'!C56</f>
        <v>942</v>
      </c>
      <c r="D56" s="258">
        <f>'4.6_генерация_КТЭЦ с косв.'!D56+'4.6_транзит+сбыт_КТЭЦ с косв.'!D56</f>
        <v>362</v>
      </c>
      <c r="E56" s="1047">
        <f>'4.6_генерация_КТЭЦ с косв.'!E56+'4.6_транзит+сбыт_КТЭЦ с косв.'!E56</f>
        <v>262</v>
      </c>
      <c r="F56" s="258">
        <v>322</v>
      </c>
      <c r="G56" s="258">
        <v>128.81211180124222</v>
      </c>
      <c r="H56" s="258">
        <v>219</v>
      </c>
      <c r="I56" s="258"/>
      <c r="J56" s="258">
        <v>1587</v>
      </c>
      <c r="K56" s="258">
        <v>126</v>
      </c>
      <c r="L56" s="258">
        <v>63</v>
      </c>
      <c r="M56" s="258">
        <v>63</v>
      </c>
      <c r="N56" s="982">
        <v>126</v>
      </c>
      <c r="O56" s="258">
        <v>63</v>
      </c>
      <c r="P56" s="258">
        <v>63</v>
      </c>
    </row>
    <row r="57" spans="1:16" s="1046" customFormat="1" ht="30">
      <c r="A57" s="1044"/>
      <c r="B57" s="1045" t="s">
        <v>375</v>
      </c>
      <c r="C57" s="258">
        <f>'4.6_генерация_КТЭЦ с косв.'!C57+'4.6_транзит+сбыт_КТЭЦ с косв.'!C57</f>
        <v>115180</v>
      </c>
      <c r="D57" s="258">
        <f>'4.6_генерация_КТЭЦ с косв.'!D57+'4.6_транзит+сбыт_КТЭЦ с косв.'!D57</f>
        <v>106412</v>
      </c>
      <c r="E57" s="1047">
        <f>'4.6_генерация_КТЭЦ с косв.'!E57+'4.6_транзит+сбыт_КТЭЦ с косв.'!E57</f>
        <v>0</v>
      </c>
      <c r="F57" s="258">
        <v>120588</v>
      </c>
      <c r="G57" s="258">
        <v>88768.948368928803</v>
      </c>
      <c r="H57" s="258">
        <v>105750</v>
      </c>
      <c r="I57" s="258"/>
      <c r="J57" s="258">
        <v>109737</v>
      </c>
      <c r="K57" s="258">
        <v>120688</v>
      </c>
      <c r="L57" s="258">
        <v>60344</v>
      </c>
      <c r="M57" s="258">
        <v>60344</v>
      </c>
      <c r="N57" s="982">
        <v>127809</v>
      </c>
      <c r="O57" s="258">
        <v>63904.5</v>
      </c>
      <c r="P57" s="258">
        <v>63904.5</v>
      </c>
    </row>
    <row r="58" spans="1:16" s="1046" customFormat="1" ht="15" customHeight="1">
      <c r="A58" s="1044"/>
      <c r="B58" s="1045" t="s">
        <v>376</v>
      </c>
      <c r="C58" s="258">
        <f>'4.6_генерация_КТЭЦ с косв.'!C58+'4.6_транзит+сбыт_КТЭЦ с косв.'!C58</f>
        <v>2756</v>
      </c>
      <c r="D58" s="258">
        <f>'4.6_генерация_КТЭЦ с косв.'!D58+'4.6_транзит+сбыт_КТЭЦ с косв.'!D58</f>
        <v>4012</v>
      </c>
      <c r="E58" s="1047">
        <f>'4.6_генерация_КТЭЦ с косв.'!E58+'4.6_транзит+сбыт_КТЭЦ с косв.'!E58</f>
        <v>1782</v>
      </c>
      <c r="F58" s="258">
        <v>5226</v>
      </c>
      <c r="G58" s="258">
        <v>4458.4372738462926</v>
      </c>
      <c r="H58" s="258">
        <v>4085</v>
      </c>
      <c r="I58" s="258"/>
      <c r="J58" s="258">
        <v>3552</v>
      </c>
      <c r="K58" s="258">
        <v>3755.6006400000001</v>
      </c>
      <c r="L58" s="258">
        <v>1877.8003200000001</v>
      </c>
      <c r="M58" s="258">
        <v>1877.8003200000001</v>
      </c>
      <c r="N58" s="982">
        <v>3937.4092669823995</v>
      </c>
      <c r="O58" s="258">
        <v>1968.7046334911997</v>
      </c>
      <c r="P58" s="258">
        <v>1968.7046334911997</v>
      </c>
    </row>
    <row r="59" spans="1:16" s="1046" customFormat="1" ht="15" customHeight="1">
      <c r="A59" s="1044"/>
      <c r="B59" s="1045" t="s">
        <v>377</v>
      </c>
      <c r="C59" s="258">
        <f>'4.6_генерация_КТЭЦ с косв.'!C59+'4.6_транзит+сбыт_КТЭЦ с косв.'!C59</f>
        <v>1457</v>
      </c>
      <c r="D59" s="258">
        <f>'4.6_генерация_КТЭЦ с косв.'!D59+'4.6_транзит+сбыт_КТЭЦ с косв.'!D59</f>
        <v>1578</v>
      </c>
      <c r="E59" s="1047">
        <f>'4.6_генерация_КТЭЦ с косв.'!E59+'4.6_транзит+сбыт_КТЭЦ с косв.'!E59</f>
        <v>375</v>
      </c>
      <c r="F59" s="258">
        <v>1457</v>
      </c>
      <c r="G59" s="258">
        <v>1558.0336200156371</v>
      </c>
      <c r="H59" s="258">
        <v>1615</v>
      </c>
      <c r="I59" s="258"/>
      <c r="J59" s="258">
        <v>1512</v>
      </c>
      <c r="K59" s="258">
        <v>1598.6678400000001</v>
      </c>
      <c r="L59" s="258">
        <v>799.33392000000003</v>
      </c>
      <c r="M59" s="258">
        <v>799.33392000000003</v>
      </c>
      <c r="N59" s="982">
        <v>1676.0593501343997</v>
      </c>
      <c r="O59" s="258">
        <v>838.02967506719983</v>
      </c>
      <c r="P59" s="258">
        <v>838.02967506719983</v>
      </c>
    </row>
    <row r="60" spans="1:16" s="1046" customFormat="1" ht="45" customHeight="1">
      <c r="A60" s="1044"/>
      <c r="B60" s="1045" t="s">
        <v>378</v>
      </c>
      <c r="C60" s="258">
        <f>'4.6_генерация_КТЭЦ с косв.'!C60+'4.6_транзит+сбыт_КТЭЦ с косв.'!C60</f>
        <v>1537</v>
      </c>
      <c r="D60" s="258">
        <f>'4.6_генерация_КТЭЦ с косв.'!D60+'4.6_транзит+сбыт_КТЭЦ с косв.'!D60</f>
        <v>4523</v>
      </c>
      <c r="E60" s="1047">
        <f>'4.6_генерация_КТЭЦ с косв.'!E60+'4.6_транзит+сбыт_КТЭЦ с косв.'!E60</f>
        <v>532</v>
      </c>
      <c r="F60" s="258">
        <v>5900</v>
      </c>
      <c r="G60" s="258">
        <v>1222.7876465989054</v>
      </c>
      <c r="H60" s="258">
        <v>6724</v>
      </c>
      <c r="I60" s="258"/>
      <c r="J60" s="258">
        <v>7768.5</v>
      </c>
      <c r="K60" s="258">
        <v>10741.3</v>
      </c>
      <c r="L60" s="258">
        <v>5370.65</v>
      </c>
      <c r="M60" s="258">
        <v>5370.65</v>
      </c>
      <c r="N60" s="982">
        <v>11375.3</v>
      </c>
      <c r="O60" s="258">
        <v>5687.65</v>
      </c>
      <c r="P60" s="258">
        <v>5687.65</v>
      </c>
    </row>
    <row r="61" spans="1:16" s="1046" customFormat="1" ht="30" customHeight="1">
      <c r="A61" s="1044"/>
      <c r="B61" s="1045" t="s">
        <v>379</v>
      </c>
      <c r="C61" s="258">
        <f>SUM(C62:C66)</f>
        <v>23735</v>
      </c>
      <c r="D61" s="258">
        <f t="shared" ref="D61:E61" si="4">SUM(D62:D66)</f>
        <v>13372</v>
      </c>
      <c r="E61" s="1047">
        <f t="shared" si="4"/>
        <v>7070</v>
      </c>
      <c r="F61" s="258">
        <v>18984</v>
      </c>
      <c r="G61" s="258">
        <v>20301.450983234514</v>
      </c>
      <c r="H61" s="258">
        <v>16856</v>
      </c>
      <c r="I61" s="258">
        <v>4465</v>
      </c>
      <c r="J61" s="258">
        <v>23891</v>
      </c>
      <c r="K61" s="258">
        <v>24696</v>
      </c>
      <c r="L61" s="258">
        <v>13674.5</v>
      </c>
      <c r="M61" s="258">
        <v>11021.5</v>
      </c>
      <c r="N61" s="982">
        <v>28357</v>
      </c>
      <c r="O61" s="258">
        <v>15184.5</v>
      </c>
      <c r="P61" s="258">
        <v>13172.5</v>
      </c>
    </row>
    <row r="62" spans="1:16" s="4" customFormat="1" ht="15" customHeight="1">
      <c r="A62" s="17"/>
      <c r="B62" s="51" t="s">
        <v>380</v>
      </c>
      <c r="C62" s="241">
        <f>'4.6_генерация_КТЭЦ с косв.'!C62+'4.6_транзит+сбыт_КТЭЦ с косв.'!C62</f>
        <v>13819</v>
      </c>
      <c r="D62" s="241">
        <f>'4.6_генерация_КТЭЦ с косв.'!D62+'4.6_транзит+сбыт_КТЭЦ с косв.'!D62</f>
        <v>4597</v>
      </c>
      <c r="E62" s="983">
        <f>'4.6_генерация_КТЭЦ с косв.'!E62+'4.6_транзит+сбыт_КТЭЦ с косв.'!E62</f>
        <v>2357</v>
      </c>
      <c r="F62" s="241">
        <v>10736</v>
      </c>
      <c r="G62" s="241">
        <v>11371.108126091658</v>
      </c>
      <c r="H62" s="241">
        <v>10203</v>
      </c>
      <c r="I62" s="241"/>
      <c r="J62" s="241">
        <v>13046</v>
      </c>
      <c r="K62" s="241">
        <v>14598</v>
      </c>
      <c r="L62" s="241">
        <v>8909</v>
      </c>
      <c r="M62" s="241">
        <v>5689</v>
      </c>
      <c r="N62" s="982">
        <v>17085</v>
      </c>
      <c r="O62" s="241">
        <v>9878</v>
      </c>
      <c r="P62" s="241">
        <v>7207</v>
      </c>
    </row>
    <row r="63" spans="1:16" s="4" customFormat="1" ht="15" customHeight="1">
      <c r="A63" s="17"/>
      <c r="B63" s="51" t="s">
        <v>381</v>
      </c>
      <c r="C63" s="241">
        <f>'4.6_генерация_КТЭЦ с косв.'!C63+'4.6_транзит+сбыт_КТЭЦ с косв.'!C63</f>
        <v>6261</v>
      </c>
      <c r="D63" s="241">
        <f>'4.6_генерация_КТЭЦ с косв.'!D63+'4.6_транзит+сбыт_КТЭЦ с косв.'!D63</f>
        <v>5250</v>
      </c>
      <c r="E63" s="983">
        <f>'4.6_генерация_КТЭЦ с косв.'!E63+'4.6_транзит+сбыт_КТЭЦ с косв.'!E63</f>
        <v>1862</v>
      </c>
      <c r="F63" s="241">
        <v>4589</v>
      </c>
      <c r="G63" s="241">
        <v>4771.3428571428567</v>
      </c>
      <c r="H63" s="241">
        <v>2443</v>
      </c>
      <c r="I63" s="241"/>
      <c r="J63" s="241">
        <v>3053</v>
      </c>
      <c r="K63" s="241">
        <v>3244</v>
      </c>
      <c r="L63" s="308">
        <v>1645.5</v>
      </c>
      <c r="M63" s="308">
        <v>1598.5</v>
      </c>
      <c r="N63" s="982">
        <v>3412</v>
      </c>
      <c r="O63" s="308">
        <v>1732.5</v>
      </c>
      <c r="P63" s="308">
        <v>1679.5</v>
      </c>
    </row>
    <row r="64" spans="1:16" s="4" customFormat="1" ht="15" customHeight="1">
      <c r="A64" s="17"/>
      <c r="B64" s="51" t="s">
        <v>382</v>
      </c>
      <c r="C64" s="241">
        <f>'4.6_генерация_КТЭЦ с косв.'!C64+'4.6_транзит+сбыт_КТЭЦ с косв.'!C64</f>
        <v>50</v>
      </c>
      <c r="D64" s="241">
        <f>'4.6_генерация_КТЭЦ с косв.'!D64+'4.6_транзит+сбыт_КТЭЦ с косв.'!D64</f>
        <v>79</v>
      </c>
      <c r="E64" s="983">
        <f>'4.6_генерация_КТЭЦ с косв.'!E64+'4.6_транзит+сбыт_КТЭЦ с косв.'!E64</f>
        <v>16</v>
      </c>
      <c r="F64" s="241">
        <v>114</v>
      </c>
      <c r="G64" s="241">
        <v>90</v>
      </c>
      <c r="H64" s="241">
        <v>105</v>
      </c>
      <c r="I64" s="241"/>
      <c r="J64" s="241">
        <v>191</v>
      </c>
      <c r="K64" s="241">
        <v>193</v>
      </c>
      <c r="L64" s="308">
        <v>105</v>
      </c>
      <c r="M64" s="308">
        <v>88</v>
      </c>
      <c r="N64" s="982">
        <v>193</v>
      </c>
      <c r="O64" s="308">
        <v>105</v>
      </c>
      <c r="P64" s="308">
        <v>88</v>
      </c>
    </row>
    <row r="65" spans="1:16" s="4" customFormat="1" ht="15" customHeight="1">
      <c r="A65" s="17"/>
      <c r="B65" s="51" t="s">
        <v>383</v>
      </c>
      <c r="C65" s="241">
        <f>'4.6_генерация_КТЭЦ с косв.'!C65+'4.6_транзит+сбыт_КТЭЦ с косв.'!C65</f>
        <v>3605</v>
      </c>
      <c r="D65" s="241">
        <f>'4.6_генерация_КТЭЦ с косв.'!D65+'4.6_транзит+сбыт_КТЭЦ с косв.'!D65</f>
        <v>3446</v>
      </c>
      <c r="E65" s="983">
        <f>'4.6_генерация_КТЭЦ с косв.'!E65+'4.6_транзит+сбыт_КТЭЦ с косв.'!E65</f>
        <v>1184</v>
      </c>
      <c r="F65" s="241">
        <v>3545</v>
      </c>
      <c r="G65" s="241">
        <v>4069</v>
      </c>
      <c r="H65" s="241">
        <v>4105</v>
      </c>
      <c r="I65" s="241">
        <v>4465</v>
      </c>
      <c r="J65" s="241">
        <v>7601</v>
      </c>
      <c r="K65" s="241">
        <v>6661</v>
      </c>
      <c r="L65" s="308">
        <v>3015</v>
      </c>
      <c r="M65" s="308">
        <v>3646</v>
      </c>
      <c r="N65" s="982">
        <v>7667</v>
      </c>
      <c r="O65" s="308">
        <v>3469</v>
      </c>
      <c r="P65" s="308">
        <v>4198</v>
      </c>
    </row>
    <row r="66" spans="1:16" s="4" customFormat="1" ht="15" customHeight="1">
      <c r="A66" s="17"/>
      <c r="B66" s="51" t="s">
        <v>384</v>
      </c>
      <c r="C66" s="241">
        <f>'4.6_генерация_КТЭЦ с косв.'!C66+'4.6_транзит+сбыт_КТЭЦ с косв.'!C66</f>
        <v>0</v>
      </c>
      <c r="D66" s="241">
        <f>'4.6_генерация_КТЭЦ с косв.'!D66+'4.6_транзит+сбыт_КТЭЦ с косв.'!D66</f>
        <v>0</v>
      </c>
      <c r="E66" s="983">
        <f>'4.6_генерация_КТЭЦ с косв.'!E66+'4.6_транзит+сбыт_КТЭЦ с косв.'!E66</f>
        <v>1651</v>
      </c>
      <c r="F66" s="241">
        <v>0</v>
      </c>
      <c r="G66" s="241">
        <v>0</v>
      </c>
      <c r="H66" s="241">
        <v>0</v>
      </c>
      <c r="I66" s="241"/>
      <c r="J66" s="241">
        <v>0</v>
      </c>
      <c r="K66" s="241">
        <v>0</v>
      </c>
      <c r="L66" s="241">
        <v>0</v>
      </c>
      <c r="M66" s="241">
        <v>0</v>
      </c>
      <c r="N66" s="982">
        <v>0</v>
      </c>
      <c r="O66" s="241">
        <v>0</v>
      </c>
      <c r="P66" s="241">
        <v>0</v>
      </c>
    </row>
    <row r="67" spans="1:16" s="1034" customFormat="1" ht="15" customHeight="1">
      <c r="A67" s="1030" t="s">
        <v>385</v>
      </c>
      <c r="B67" s="1031" t="s">
        <v>386</v>
      </c>
      <c r="C67" s="1032">
        <f>SUM(C68:C71)</f>
        <v>273026</v>
      </c>
      <c r="D67" s="1032">
        <f t="shared" ref="D67:E67" si="5">SUM(D68:D71)</f>
        <v>844419</v>
      </c>
      <c r="E67" s="1088">
        <f t="shared" si="5"/>
        <v>77517</v>
      </c>
      <c r="F67" s="1032">
        <v>1330008</v>
      </c>
      <c r="G67" s="1032">
        <v>96647.570831432822</v>
      </c>
      <c r="H67" s="1032">
        <v>1340327.5360000001</v>
      </c>
      <c r="I67" s="1032">
        <v>52332.396944683991</v>
      </c>
      <c r="J67" s="1032">
        <v>219511.77234963549</v>
      </c>
      <c r="K67" s="1032">
        <v>192077.65429248815</v>
      </c>
      <c r="L67" s="1032">
        <v>86282.398298728018</v>
      </c>
      <c r="M67" s="1032">
        <v>105795.25599376015</v>
      </c>
      <c r="N67" s="1383">
        <v>178970.73578038259</v>
      </c>
      <c r="O67" s="1032">
        <v>109136.00675466926</v>
      </c>
      <c r="P67" s="1032">
        <v>69834.729025713328</v>
      </c>
    </row>
    <row r="68" spans="1:16" s="1046" customFormat="1" ht="30" customHeight="1">
      <c r="A68" s="1044"/>
      <c r="B68" s="1045" t="s">
        <v>387</v>
      </c>
      <c r="C68" s="258">
        <f>'4.6_генерация_КТЭЦ с косв.'!C68+'4.6_транзит+сбыт_КТЭЦ с косв.'!C68</f>
        <v>0</v>
      </c>
      <c r="D68" s="258">
        <f>'4.6_генерация_КТЭЦ с косв.'!D68+'4.6_транзит+сбыт_КТЭЦ с косв.'!D68</f>
        <v>0</v>
      </c>
      <c r="E68" s="258">
        <f>'4.6_генерация_КТЭЦ с косв.'!E68+'4.6_транзит+сбыт_КТЭЦ с косв.'!E68</f>
        <v>0</v>
      </c>
      <c r="F68" s="258">
        <v>0</v>
      </c>
      <c r="G68" s="258">
        <v>0</v>
      </c>
      <c r="H68" s="258">
        <v>0</v>
      </c>
      <c r="I68" s="258">
        <v>0</v>
      </c>
      <c r="J68" s="258">
        <v>0</v>
      </c>
      <c r="K68" s="258">
        <v>0</v>
      </c>
      <c r="L68" s="258">
        <v>0</v>
      </c>
      <c r="M68" s="258">
        <v>0</v>
      </c>
      <c r="N68" s="982">
        <v>0</v>
      </c>
      <c r="O68" s="258">
        <v>0</v>
      </c>
      <c r="P68" s="258">
        <v>0</v>
      </c>
    </row>
    <row r="69" spans="1:16" s="1046" customFormat="1" ht="15" customHeight="1">
      <c r="A69" s="1044"/>
      <c r="B69" s="1045" t="s">
        <v>388</v>
      </c>
      <c r="C69" s="258">
        <f>'4.6_генерация_КТЭЦ с косв.'!C69+'4.6_транзит+сбыт_КТЭЦ с косв.'!C69</f>
        <v>162010</v>
      </c>
      <c r="D69" s="258">
        <f>'4.6_генерация_КТЭЦ с косв.'!D69+'4.6_транзит+сбыт_КТЭЦ с косв.'!D69</f>
        <v>701769</v>
      </c>
      <c r="E69" s="258">
        <f>'4.6_генерация_КТЭЦ с косв.'!E69+'4.6_транзит+сбыт_КТЭЦ с косв.'!E69</f>
        <v>0</v>
      </c>
      <c r="F69" s="258">
        <v>984562</v>
      </c>
      <c r="G69" s="258">
        <v>91217.556533430703</v>
      </c>
      <c r="H69" s="258">
        <v>1045989.444</v>
      </c>
      <c r="I69" s="258">
        <v>51834.396944683991</v>
      </c>
      <c r="J69" s="258">
        <v>51834.396944683991</v>
      </c>
      <c r="K69" s="258">
        <v>50529</v>
      </c>
      <c r="L69" s="258">
        <v>0</v>
      </c>
      <c r="M69" s="258">
        <v>50529</v>
      </c>
      <c r="N69" s="982">
        <v>0</v>
      </c>
      <c r="O69" s="258">
        <v>0</v>
      </c>
      <c r="P69" s="258">
        <v>0</v>
      </c>
    </row>
    <row r="70" spans="1:16" s="1046" customFormat="1" ht="45" customHeight="1">
      <c r="A70" s="1044"/>
      <c r="B70" s="1045" t="s">
        <v>389</v>
      </c>
      <c r="C70" s="258">
        <f>'4.6_генерация_КТЭЦ с косв.'!C70+'4.6_транзит+сбыт_КТЭЦ с косв.'!C70</f>
        <v>0</v>
      </c>
      <c r="D70" s="258">
        <f>'4.6_генерация_КТЭЦ с косв.'!D70+'4.6_транзит+сбыт_КТЭЦ с косв.'!D70</f>
        <v>0</v>
      </c>
      <c r="E70" s="258">
        <f>'4.6_генерация_КТЭЦ с косв.'!E70+'4.6_транзит+сбыт_КТЭЦ с косв.'!E70</f>
        <v>0</v>
      </c>
      <c r="F70" s="258">
        <v>205589</v>
      </c>
      <c r="G70" s="258">
        <v>2761</v>
      </c>
      <c r="H70" s="258">
        <v>200366.79199999999</v>
      </c>
      <c r="I70" s="258">
        <v>0</v>
      </c>
      <c r="J70" s="258">
        <v>0</v>
      </c>
      <c r="K70" s="258">
        <v>0</v>
      </c>
      <c r="L70" s="258">
        <v>0</v>
      </c>
      <c r="M70" s="258">
        <v>0</v>
      </c>
      <c r="N70" s="982">
        <v>0</v>
      </c>
      <c r="O70" s="258">
        <v>0</v>
      </c>
      <c r="P70" s="258">
        <v>0</v>
      </c>
    </row>
    <row r="71" spans="1:16" s="1046" customFormat="1" ht="15" customHeight="1">
      <c r="A71" s="1044"/>
      <c r="B71" s="1045" t="s">
        <v>390</v>
      </c>
      <c r="C71" s="258">
        <f>SUM(C72:C77)</f>
        <v>111016</v>
      </c>
      <c r="D71" s="258">
        <f t="shared" ref="D71:E71" si="6">SUM(D72:D77)</f>
        <v>142650</v>
      </c>
      <c r="E71" s="1047">
        <f t="shared" si="6"/>
        <v>77517</v>
      </c>
      <c r="F71" s="258">
        <v>139857</v>
      </c>
      <c r="G71" s="258">
        <v>2669.0142980021237</v>
      </c>
      <c r="H71" s="258">
        <v>93971.3</v>
      </c>
      <c r="I71" s="258">
        <v>498</v>
      </c>
      <c r="J71" s="258">
        <v>167677.37540495148</v>
      </c>
      <c r="K71" s="258">
        <v>141548.65429248815</v>
      </c>
      <c r="L71" s="258">
        <v>86282.398298728018</v>
      </c>
      <c r="M71" s="258">
        <v>55266.255993760147</v>
      </c>
      <c r="N71" s="982">
        <v>178970.73578038259</v>
      </c>
      <c r="O71" s="258">
        <v>109136.00675466926</v>
      </c>
      <c r="P71" s="258">
        <v>69834.729025713328</v>
      </c>
    </row>
    <row r="72" spans="1:16" s="4" customFormat="1" ht="15" customHeight="1">
      <c r="A72" s="17"/>
      <c r="B72" s="51" t="s">
        <v>961</v>
      </c>
      <c r="C72" s="241">
        <f>'4.6_генерация_КТЭЦ с косв.'!C72+'4.6_транзит+сбыт_КТЭЦ с косв.'!C72</f>
        <v>1129</v>
      </c>
      <c r="D72" s="241">
        <f>'4.6_генерация_КТЭЦ с косв.'!D72+'4.6_транзит+сбыт_КТЭЦ с косв.'!D72</f>
        <v>1106</v>
      </c>
      <c r="E72" s="983">
        <f>'4.6_генерация_КТЭЦ с косв.'!E72+'4.6_транзит+сбыт_КТЭЦ с косв.'!E72</f>
        <v>0</v>
      </c>
      <c r="F72" s="241">
        <v>414</v>
      </c>
      <c r="G72" s="241">
        <v>1535.6684167543931</v>
      </c>
      <c r="H72" s="241">
        <v>474</v>
      </c>
      <c r="I72" s="241">
        <v>498</v>
      </c>
      <c r="J72" s="241">
        <v>498</v>
      </c>
      <c r="K72" s="241">
        <v>526.54536000000007</v>
      </c>
      <c r="L72" s="241">
        <v>263.27268000000004</v>
      </c>
      <c r="M72" s="241">
        <v>263.27268000000004</v>
      </c>
      <c r="N72" s="982">
        <v>552.03542087760002</v>
      </c>
      <c r="O72" s="241">
        <v>276.01771043880001</v>
      </c>
      <c r="P72" s="241">
        <v>276.01771043880001</v>
      </c>
    </row>
    <row r="73" spans="1:16" s="4" customFormat="1" ht="15" customHeight="1">
      <c r="A73" s="17"/>
      <c r="B73" s="51" t="s">
        <v>962</v>
      </c>
      <c r="C73" s="241">
        <f>'4.6_генерация_КТЭЦ с косв.'!C73+'4.6_транзит+сбыт_КТЭЦ с косв.'!C73</f>
        <v>109721</v>
      </c>
      <c r="D73" s="241">
        <f>'4.6_генерация_КТЭЦ с косв.'!D73+'4.6_транзит+сбыт_КТЭЦ с косв.'!D73</f>
        <v>129979</v>
      </c>
      <c r="E73" s="983">
        <f>'4.6_генерация_КТЭЦ с косв.'!E73+'4.6_транзит+сбыт_КТЭЦ с косв.'!E73</f>
        <v>77338</v>
      </c>
      <c r="F73" s="241">
        <v>123989</v>
      </c>
      <c r="G73" s="241">
        <v>0</v>
      </c>
      <c r="H73" s="241">
        <v>72618</v>
      </c>
      <c r="I73" s="241"/>
      <c r="J73" s="241">
        <v>165948</v>
      </c>
      <c r="K73" s="241">
        <v>139707</v>
      </c>
      <c r="L73" s="241">
        <v>85361.571152483943</v>
      </c>
      <c r="M73" s="241">
        <v>54345.428847516057</v>
      </c>
      <c r="N73" s="982">
        <v>177026</v>
      </c>
      <c r="O73" s="241">
        <v>108163.63886447797</v>
      </c>
      <c r="P73" s="241">
        <v>68862.361135522035</v>
      </c>
    </row>
    <row r="74" spans="1:16" s="4" customFormat="1" ht="15" customHeight="1">
      <c r="A74" s="17"/>
      <c r="B74" s="51" t="s">
        <v>963</v>
      </c>
      <c r="C74" s="241">
        <f>'4.6_генерация_КТЭЦ с косв.'!C74+'4.6_транзит+сбыт_КТЭЦ с косв.'!C74</f>
        <v>166</v>
      </c>
      <c r="D74" s="241">
        <f>'4.6_генерация_КТЭЦ с косв.'!D74+'4.6_транзит+сбыт_КТЭЦ с косв.'!D74</f>
        <v>11565</v>
      </c>
      <c r="E74" s="983">
        <f>'4.6_генерация_КТЭЦ с косв.'!E74+'4.6_транзит+сбыт_КТЭЦ с косв.'!E74</f>
        <v>179</v>
      </c>
      <c r="F74" s="241">
        <v>15454</v>
      </c>
      <c r="G74" s="241">
        <v>1133.3458812477309</v>
      </c>
      <c r="H74" s="241">
        <v>20879.3</v>
      </c>
      <c r="I74" s="241"/>
      <c r="J74" s="241">
        <v>1231.3754049514746</v>
      </c>
      <c r="K74" s="241">
        <v>1315.1089324881748</v>
      </c>
      <c r="L74" s="241">
        <v>657.55446624408739</v>
      </c>
      <c r="M74" s="241">
        <v>657.55446624408739</v>
      </c>
      <c r="N74" s="982">
        <v>1392.7003595049771</v>
      </c>
      <c r="O74" s="241">
        <v>696.35017975248854</v>
      </c>
      <c r="P74" s="241">
        <v>696.35017975248854</v>
      </c>
    </row>
    <row r="75" spans="1:16" s="4" customFormat="1" ht="15" hidden="1" customHeight="1">
      <c r="A75" s="17"/>
      <c r="B75" s="51"/>
      <c r="C75" s="241">
        <f>'4.6_генерация_КТЭЦ с косв.'!C75+'4.6_транзит+сбыт_КТЭЦ с косв.'!C75</f>
        <v>0</v>
      </c>
      <c r="D75" s="241">
        <f>'4.6_генерация_КТЭЦ с косв.'!D75+'4.6_транзит+сбыт_КТЭЦ с косв.'!D75</f>
        <v>0</v>
      </c>
      <c r="E75" s="983">
        <f>'4.6_генерация_КТЭЦ с косв.'!E75+'4.6_транзит+сбыт_КТЭЦ с косв.'!E75</f>
        <v>0</v>
      </c>
      <c r="F75" s="241">
        <v>0</v>
      </c>
      <c r="G75" s="241">
        <v>0</v>
      </c>
      <c r="H75" s="241">
        <v>0</v>
      </c>
      <c r="I75" s="241">
        <v>0</v>
      </c>
      <c r="J75" s="241">
        <v>0</v>
      </c>
      <c r="K75" s="241">
        <v>0</v>
      </c>
      <c r="L75" s="241">
        <v>0</v>
      </c>
      <c r="M75" s="241">
        <v>0</v>
      </c>
      <c r="N75" s="982">
        <v>0</v>
      </c>
      <c r="O75" s="241">
        <v>0</v>
      </c>
      <c r="P75" s="241">
        <v>0</v>
      </c>
    </row>
    <row r="76" spans="1:16" s="4" customFormat="1" ht="15" hidden="1" customHeight="1">
      <c r="A76" s="17"/>
      <c r="B76" s="51"/>
      <c r="C76" s="241"/>
      <c r="D76" s="241"/>
      <c r="E76" s="983"/>
      <c r="F76" s="241"/>
      <c r="G76" s="241"/>
      <c r="H76" s="241"/>
      <c r="I76" s="241"/>
      <c r="J76" s="241"/>
      <c r="K76" s="241"/>
      <c r="L76" s="241"/>
      <c r="M76" s="241"/>
      <c r="N76" s="982"/>
      <c r="O76" s="241"/>
      <c r="P76" s="241"/>
    </row>
    <row r="77" spans="1:16" s="4" customFormat="1" ht="15" hidden="1" customHeight="1">
      <c r="A77" s="17"/>
      <c r="B77" s="51"/>
      <c r="C77" s="241"/>
      <c r="D77" s="241"/>
      <c r="E77" s="983"/>
      <c r="F77" s="241"/>
      <c r="G77" s="241"/>
      <c r="H77" s="241"/>
      <c r="I77" s="241"/>
      <c r="J77" s="241"/>
      <c r="K77" s="241"/>
      <c r="L77" s="241"/>
      <c r="M77" s="241"/>
      <c r="N77" s="982"/>
      <c r="O77" s="241"/>
      <c r="P77" s="241"/>
    </row>
    <row r="78" spans="1:16" s="1034" customFormat="1" ht="33.75" customHeight="1">
      <c r="A78" s="1030" t="s">
        <v>391</v>
      </c>
      <c r="B78" s="1031" t="s">
        <v>392</v>
      </c>
      <c r="C78" s="1032">
        <f>SUM(C79:C82)</f>
        <v>25136</v>
      </c>
      <c r="D78" s="1032">
        <f t="shared" ref="D78:E78" si="7">SUM(D79:D82)</f>
        <v>39096</v>
      </c>
      <c r="E78" s="1088">
        <f t="shared" si="7"/>
        <v>3305</v>
      </c>
      <c r="F78" s="1032">
        <v>233861</v>
      </c>
      <c r="G78" s="1032">
        <v>10160.57560124263</v>
      </c>
      <c r="H78" s="1032">
        <v>57781.299999999996</v>
      </c>
      <c r="I78" s="1032">
        <v>6672</v>
      </c>
      <c r="J78" s="1032">
        <v>115573.944</v>
      </c>
      <c r="K78" s="1032">
        <v>331561.12</v>
      </c>
      <c r="L78" s="1032">
        <v>6907.6800000000021</v>
      </c>
      <c r="M78" s="1032">
        <v>324653.44</v>
      </c>
      <c r="N78" s="1383">
        <v>283085.27023999998</v>
      </c>
      <c r="O78" s="1032">
        <v>7909.1351200000036</v>
      </c>
      <c r="P78" s="1032">
        <v>275176.13511999999</v>
      </c>
    </row>
    <row r="79" spans="1:16" s="1046" customFormat="1" ht="30">
      <c r="A79" s="1044"/>
      <c r="B79" s="1045" t="s">
        <v>393</v>
      </c>
      <c r="C79" s="258">
        <f>'4.6_генерация_КТЭЦ с косв.'!C79+'4.6_транзит+сбыт_КТЭЦ с косв.'!C79</f>
        <v>14700</v>
      </c>
      <c r="D79" s="258">
        <f>'4.6_генерация_КТЭЦ с косв.'!D79+'4.6_транзит+сбыт_КТЭЦ с косв.'!D79</f>
        <v>0</v>
      </c>
      <c r="E79" s="1047">
        <f>'4.6_генерация_КТЭЦ с косв.'!E79+'4.6_транзит+сбыт_КТЭЦ с косв.'!E79</f>
        <v>0</v>
      </c>
      <c r="F79" s="258">
        <v>1</v>
      </c>
      <c r="G79" s="258">
        <v>0</v>
      </c>
      <c r="H79" s="258">
        <v>0</v>
      </c>
      <c r="I79" s="258">
        <v>0</v>
      </c>
      <c r="J79" s="258">
        <v>0</v>
      </c>
      <c r="K79" s="258">
        <v>0</v>
      </c>
      <c r="L79" s="258">
        <v>0</v>
      </c>
      <c r="M79" s="258">
        <v>0</v>
      </c>
      <c r="N79" s="982">
        <v>0</v>
      </c>
      <c r="O79" s="258">
        <v>0</v>
      </c>
      <c r="P79" s="258">
        <v>0</v>
      </c>
    </row>
    <row r="80" spans="1:16" s="1046" customFormat="1" ht="30" customHeight="1">
      <c r="A80" s="1044"/>
      <c r="B80" s="1045" t="s">
        <v>394</v>
      </c>
      <c r="C80" s="258">
        <f>'4.6_генерация_КТЭЦ с косв.'!C80+'4.6_транзит+сбыт_КТЭЦ с косв.'!C80</f>
        <v>7470</v>
      </c>
      <c r="D80" s="258">
        <f>'4.6_генерация_КТЭЦ с косв.'!D80+'4.6_транзит+сбыт_КТЭЦ с косв.'!D80</f>
        <v>8881</v>
      </c>
      <c r="E80" s="1047">
        <f>'4.6_генерация_КТЭЦ с косв.'!E80+'4.6_транзит+сбыт_КТЭЦ с косв.'!E80</f>
        <v>2938</v>
      </c>
      <c r="F80" s="258">
        <v>9835</v>
      </c>
      <c r="G80" s="258">
        <v>9452.6188600746409</v>
      </c>
      <c r="H80" s="258">
        <v>10083</v>
      </c>
      <c r="I80" s="258"/>
      <c r="J80" s="258">
        <v>11768</v>
      </c>
      <c r="K80" s="258">
        <v>12568.224</v>
      </c>
      <c r="L80" s="258">
        <v>6284.1120000000001</v>
      </c>
      <c r="M80" s="258">
        <v>6284.1120000000001</v>
      </c>
      <c r="N80" s="982">
        <v>13309.749216</v>
      </c>
      <c r="O80" s="258">
        <v>6654.8746080000001</v>
      </c>
      <c r="P80" s="258">
        <v>6654.8746080000001</v>
      </c>
    </row>
    <row r="81" spans="1:16" s="1046" customFormat="1" ht="15" customHeight="1">
      <c r="A81" s="1044"/>
      <c r="B81" s="1045" t="s">
        <v>1568</v>
      </c>
      <c r="C81" s="258">
        <f>'4.6_генерация_КТЭЦ с косв.'!C81+'4.6_транзит+сбыт_КТЭЦ с косв.'!C81</f>
        <v>0</v>
      </c>
      <c r="D81" s="258">
        <f>'4.6_генерация_КТЭЦ с косв.'!D81+'4.6_транзит+сбыт_КТЭЦ с косв.'!D81</f>
        <v>28997</v>
      </c>
      <c r="E81" s="1047">
        <f>'4.6_генерация_КТЭЦ с косв.'!E81+'4.6_транзит+сбыт_КТЭЦ с косв.'!E81</f>
        <v>0</v>
      </c>
      <c r="F81" s="258">
        <v>221704</v>
      </c>
      <c r="G81" s="258">
        <v>0</v>
      </c>
      <c r="H81" s="258">
        <v>45526.299999999996</v>
      </c>
      <c r="I81" s="258">
        <v>0</v>
      </c>
      <c r="J81" s="258">
        <v>326.94400000000002</v>
      </c>
      <c r="K81" s="258">
        <v>202017.76</v>
      </c>
      <c r="L81" s="258">
        <v>0</v>
      </c>
      <c r="M81" s="258">
        <v>202017.76</v>
      </c>
      <c r="N81" s="982">
        <v>145699</v>
      </c>
      <c r="O81" s="258">
        <v>0</v>
      </c>
      <c r="P81" s="258">
        <v>145699</v>
      </c>
    </row>
    <row r="82" spans="1:16" s="1046" customFormat="1" ht="28.5" customHeight="1">
      <c r="A82" s="1044"/>
      <c r="B82" s="1045" t="s">
        <v>1957</v>
      </c>
      <c r="C82" s="258">
        <f>'4.6_генерация_КТЭЦ с косв.'!C82+'4.6_транзит+сбыт_КТЭЦ с косв.'!C82</f>
        <v>2966</v>
      </c>
      <c r="D82" s="258">
        <f>'4.6_генерация_КТЭЦ с косв.'!D82+'4.6_транзит+сбыт_КТЭЦ с косв.'!D82</f>
        <v>1218</v>
      </c>
      <c r="E82" s="1047">
        <f>'4.6_генерация_КТЭЦ с косв.'!E82+'4.6_транзит+сбыт_КТЭЦ с косв.'!E82</f>
        <v>367</v>
      </c>
      <c r="F82" s="258">
        <v>2321</v>
      </c>
      <c r="G82" s="258">
        <v>707.95674116798853</v>
      </c>
      <c r="H82" s="258">
        <v>2172</v>
      </c>
      <c r="I82" s="258">
        <v>6672</v>
      </c>
      <c r="J82" s="258">
        <v>103479</v>
      </c>
      <c r="K82" s="258">
        <v>116975.136</v>
      </c>
      <c r="L82" s="258">
        <v>623.56800000000226</v>
      </c>
      <c r="M82" s="258">
        <v>116351.568</v>
      </c>
      <c r="N82" s="982">
        <v>124076.521024</v>
      </c>
      <c r="O82" s="258">
        <v>1254.2605120000035</v>
      </c>
      <c r="P82" s="258">
        <v>122822.26051199999</v>
      </c>
    </row>
    <row r="83" spans="1:16" s="1034" customFormat="1" ht="18.75" customHeight="1">
      <c r="A83" s="1030" t="s">
        <v>395</v>
      </c>
      <c r="B83" s="1031" t="s">
        <v>396</v>
      </c>
      <c r="C83" s="1032">
        <f>(C68+C69+C70+C78)/0.8*0.2</f>
        <v>46786.5</v>
      </c>
      <c r="D83" s="1032">
        <f t="shared" ref="D83:E83" si="8">(D68+D69+D70+D78)/0.8*0.2</f>
        <v>185216.25</v>
      </c>
      <c r="E83" s="1088">
        <f t="shared" si="8"/>
        <v>826.25</v>
      </c>
      <c r="F83" s="1032">
        <v>58465.25</v>
      </c>
      <c r="G83" s="1032">
        <v>2540.1439003106575</v>
      </c>
      <c r="H83" s="1032">
        <v>275942.68599999999</v>
      </c>
      <c r="I83" s="1032">
        <v>14626.599236170998</v>
      </c>
      <c r="J83" s="1032">
        <v>41852.085236170999</v>
      </c>
      <c r="K83" s="1032">
        <v>95522.53</v>
      </c>
      <c r="L83" s="1032">
        <v>1726.9200000000005</v>
      </c>
      <c r="M83" s="1032">
        <v>93795.61</v>
      </c>
      <c r="N83" s="1032">
        <v>70771.317559999996</v>
      </c>
      <c r="O83" s="1032">
        <v>1977.2837800000009</v>
      </c>
      <c r="P83" s="1032">
        <v>68794.033779999998</v>
      </c>
    </row>
    <row r="84" spans="1:16" s="1034" customFormat="1" ht="17.25" customHeight="1">
      <c r="A84" s="1030" t="s">
        <v>397</v>
      </c>
      <c r="B84" s="1031" t="s">
        <v>398</v>
      </c>
      <c r="C84" s="1032">
        <f>C85-C88</f>
        <v>-170103</v>
      </c>
      <c r="D84" s="1032">
        <f t="shared" ref="D84:E84" si="9">D85-D88</f>
        <v>0</v>
      </c>
      <c r="E84" s="1088">
        <f t="shared" si="9"/>
        <v>-56497</v>
      </c>
      <c r="F84" s="1032">
        <v>0</v>
      </c>
      <c r="G84" s="1032">
        <v>271008.01938545186</v>
      </c>
      <c r="H84" s="1032">
        <v>0</v>
      </c>
      <c r="I84" s="1032">
        <v>-59759.982230986468</v>
      </c>
      <c r="J84" s="1032">
        <v>-59759.982230986468</v>
      </c>
      <c r="K84" s="1032">
        <v>1696697</v>
      </c>
      <c r="L84" s="1032">
        <v>0</v>
      </c>
      <c r="M84" s="1032">
        <v>1696697</v>
      </c>
      <c r="N84" s="1383">
        <v>0</v>
      </c>
      <c r="O84" s="1032">
        <v>0</v>
      </c>
      <c r="P84" s="1032">
        <v>0</v>
      </c>
    </row>
    <row r="85" spans="1:16" s="585" customFormat="1" ht="17.25" customHeight="1">
      <c r="A85" s="583"/>
      <c r="B85" s="582" t="s">
        <v>1140</v>
      </c>
      <c r="C85" s="587">
        <f>C86+C87</f>
        <v>87908</v>
      </c>
      <c r="D85" s="587">
        <f t="shared" ref="D85:E85" si="10">D86+D87</f>
        <v>0</v>
      </c>
      <c r="E85" s="985">
        <f t="shared" si="10"/>
        <v>112200</v>
      </c>
      <c r="F85" s="587">
        <v>0</v>
      </c>
      <c r="G85" s="587">
        <v>283683.23652781639</v>
      </c>
      <c r="H85" s="587">
        <v>0</v>
      </c>
      <c r="I85" s="587">
        <v>166991.87923451106</v>
      </c>
      <c r="J85" s="587">
        <v>166991.87923451106</v>
      </c>
      <c r="K85" s="587">
        <v>1777282</v>
      </c>
      <c r="L85" s="587">
        <v>0</v>
      </c>
      <c r="M85" s="587">
        <v>1777282</v>
      </c>
      <c r="N85" s="982">
        <v>0</v>
      </c>
      <c r="O85" s="587">
        <v>0</v>
      </c>
      <c r="P85" s="587">
        <v>0</v>
      </c>
    </row>
    <row r="86" spans="1:16" s="341" customFormat="1" ht="17.25" customHeight="1">
      <c r="A86" s="339"/>
      <c r="B86" s="340" t="s">
        <v>959</v>
      </c>
      <c r="C86" s="241">
        <f>'4.6_генерация_КТЭЦ с косв.'!C86+'4.6_транзит+сбыт_КТЭЦ с косв.'!C86</f>
        <v>87908</v>
      </c>
      <c r="D86" s="241">
        <f>'4.6_генерация_КТЭЦ с косв.'!D86+'4.6_транзит+сбыт_КТЭЦ с косв.'!D86</f>
        <v>0</v>
      </c>
      <c r="E86" s="983">
        <f>'4.6_генерация_КТЭЦ с косв.'!E86+'4.6_транзит+сбыт_КТЭЦ с косв.'!E86</f>
        <v>112200</v>
      </c>
      <c r="F86" s="241">
        <v>0</v>
      </c>
      <c r="G86" s="241"/>
      <c r="H86" s="241">
        <v>0</v>
      </c>
      <c r="I86" s="241"/>
      <c r="J86" s="241"/>
      <c r="K86" s="241">
        <v>920056</v>
      </c>
      <c r="L86" s="241">
        <v>0</v>
      </c>
      <c r="M86" s="241">
        <v>920056</v>
      </c>
      <c r="N86" s="982">
        <v>0</v>
      </c>
      <c r="O86" s="241">
        <v>0</v>
      </c>
      <c r="P86" s="241">
        <v>0</v>
      </c>
    </row>
    <row r="87" spans="1:16" s="341" customFormat="1" ht="30">
      <c r="A87" s="339"/>
      <c r="B87" s="51" t="s">
        <v>960</v>
      </c>
      <c r="C87" s="241">
        <f>'4.6_генерация_КТЭЦ с косв.'!C87+'4.6_транзит+сбыт_КТЭЦ с косв.'!C87</f>
        <v>0</v>
      </c>
      <c r="D87" s="241">
        <f>'4.6_генерация_КТЭЦ с косв.'!D87+'4.6_транзит+сбыт_КТЭЦ с косв.'!D87</f>
        <v>0</v>
      </c>
      <c r="E87" s="983">
        <f>'4.6_генерация_КТЭЦ с косв.'!E87+'4.6_транзит+сбыт_КТЭЦ с косв.'!E87</f>
        <v>0</v>
      </c>
      <c r="F87" s="241">
        <v>0</v>
      </c>
      <c r="G87" s="241"/>
      <c r="H87" s="241">
        <v>0</v>
      </c>
      <c r="I87" s="241"/>
      <c r="J87" s="241"/>
      <c r="K87" s="241">
        <v>857226</v>
      </c>
      <c r="L87" s="241">
        <v>0</v>
      </c>
      <c r="M87" s="241">
        <v>857226</v>
      </c>
      <c r="N87" s="982">
        <v>0</v>
      </c>
      <c r="O87" s="241">
        <v>0</v>
      </c>
      <c r="P87" s="241">
        <v>0</v>
      </c>
    </row>
    <row r="88" spans="1:16" s="588" customFormat="1" ht="18" customHeight="1">
      <c r="A88" s="586"/>
      <c r="B88" s="582" t="s">
        <v>1141</v>
      </c>
      <c r="C88" s="587">
        <f>C89+C90</f>
        <v>258011</v>
      </c>
      <c r="D88" s="587">
        <f t="shared" ref="D88:E88" si="11">D89+D90</f>
        <v>0</v>
      </c>
      <c r="E88" s="985">
        <f t="shared" si="11"/>
        <v>168697</v>
      </c>
      <c r="F88" s="587">
        <v>0</v>
      </c>
      <c r="G88" s="587">
        <v>12675.217142364556</v>
      </c>
      <c r="H88" s="587">
        <v>0</v>
      </c>
      <c r="I88" s="587">
        <v>226751.86146549752</v>
      </c>
      <c r="J88" s="587">
        <v>226751.86146549752</v>
      </c>
      <c r="K88" s="587">
        <v>80585</v>
      </c>
      <c r="L88" s="587">
        <v>0</v>
      </c>
      <c r="M88" s="587">
        <v>80585</v>
      </c>
      <c r="N88" s="982">
        <v>0</v>
      </c>
      <c r="O88" s="587">
        <v>0</v>
      </c>
      <c r="P88" s="587">
        <v>0</v>
      </c>
    </row>
    <row r="89" spans="1:16" s="341" customFormat="1" ht="18" customHeight="1">
      <c r="A89" s="339"/>
      <c r="B89" s="340" t="s">
        <v>959</v>
      </c>
      <c r="C89" s="241">
        <f>'4.6_генерация_КТЭЦ с косв.'!C89+'4.6_транзит+сбыт_КТЭЦ с косв.'!C89</f>
        <v>258011</v>
      </c>
      <c r="D89" s="241">
        <f>'4.6_генерация_КТЭЦ с косв.'!D89+'4.6_транзит+сбыт_КТЭЦ с косв.'!D89</f>
        <v>0</v>
      </c>
      <c r="E89" s="983">
        <f>'4.6_генерация_КТЭЦ с косв.'!E89+'4.6_транзит+сбыт_КТЭЦ с косв.'!E89</f>
        <v>168697</v>
      </c>
      <c r="F89" s="241">
        <v>0</v>
      </c>
      <c r="G89" s="241"/>
      <c r="H89" s="241">
        <v>0</v>
      </c>
      <c r="I89" s="241">
        <v>0</v>
      </c>
      <c r="J89" s="241">
        <v>0</v>
      </c>
      <c r="K89" s="241">
        <v>80585</v>
      </c>
      <c r="L89" s="241">
        <v>0</v>
      </c>
      <c r="M89" s="241">
        <v>80585</v>
      </c>
      <c r="N89" s="982">
        <v>0</v>
      </c>
      <c r="O89" s="241">
        <v>0</v>
      </c>
      <c r="P89" s="241">
        <v>0</v>
      </c>
    </row>
    <row r="90" spans="1:16" s="341" customFormat="1" ht="30">
      <c r="A90" s="339"/>
      <c r="B90" s="51" t="s">
        <v>960</v>
      </c>
      <c r="C90" s="241">
        <f>'4.6_генерация_КТЭЦ с косв.'!C90+'4.6_транзит+сбыт_КТЭЦ с косв.'!C90</f>
        <v>0</v>
      </c>
      <c r="D90" s="241">
        <f>'4.6_генерация_КТЭЦ с косв.'!D90+'4.6_транзит+сбыт_КТЭЦ с косв.'!D90</f>
        <v>0</v>
      </c>
      <c r="E90" s="983">
        <f>'4.6_генерация_КТЭЦ с косв.'!E90+'4.6_транзит+сбыт_КТЭЦ с косв.'!E90</f>
        <v>0</v>
      </c>
      <c r="F90" s="241">
        <v>0</v>
      </c>
      <c r="G90" s="241"/>
      <c r="H90" s="241">
        <v>0</v>
      </c>
      <c r="I90" s="241">
        <v>0</v>
      </c>
      <c r="J90" s="241">
        <v>0</v>
      </c>
      <c r="K90" s="241">
        <v>0</v>
      </c>
      <c r="L90" s="241">
        <v>0</v>
      </c>
      <c r="M90" s="241">
        <v>0</v>
      </c>
      <c r="N90" s="982">
        <v>0</v>
      </c>
      <c r="O90" s="241">
        <v>0</v>
      </c>
      <c r="P90" s="241">
        <v>0</v>
      </c>
    </row>
    <row r="91" spans="1:16" s="1055" customFormat="1" ht="27.75" customHeight="1">
      <c r="A91" s="1052" t="s">
        <v>399</v>
      </c>
      <c r="B91" s="1053" t="s">
        <v>400</v>
      </c>
      <c r="C91" s="1054">
        <f>C7+C67+C78+C83+C84+1</f>
        <v>2413372.1817738665</v>
      </c>
      <c r="D91" s="1054">
        <f t="shared" ref="D91:E91" si="12">D7+D67+D78+D83+D84</f>
        <v>3486893.0423790002</v>
      </c>
      <c r="E91" s="1087">
        <f t="shared" si="12"/>
        <v>1336249.7148770827</v>
      </c>
      <c r="F91" s="1054">
        <v>4320415.0902471468</v>
      </c>
      <c r="G91" s="1054">
        <v>3270276.0039719092</v>
      </c>
      <c r="H91" s="1054">
        <v>4492933.1998403072</v>
      </c>
      <c r="I91" s="1054">
        <v>111710.0139498685</v>
      </c>
      <c r="J91" s="1054">
        <v>3513457.9312658692</v>
      </c>
      <c r="K91" s="1054">
        <v>5817977.3451811364</v>
      </c>
      <c r="L91" s="1054">
        <v>1912787.6518185365</v>
      </c>
      <c r="M91" s="1054">
        <v>3905195.5241386001</v>
      </c>
      <c r="N91" s="1610">
        <v>4219332.1204449097</v>
      </c>
      <c r="O91" s="1054">
        <v>2038631.4105611008</v>
      </c>
      <c r="P91" s="1054">
        <v>2180701.7098838091</v>
      </c>
    </row>
    <row r="92" spans="1:16" s="4" customFormat="1" ht="15" customHeight="1">
      <c r="A92" s="17" t="s">
        <v>401</v>
      </c>
      <c r="B92" s="51" t="s">
        <v>402</v>
      </c>
      <c r="C92" s="241"/>
      <c r="D92" s="241"/>
      <c r="E92" s="983"/>
      <c r="F92" s="241"/>
      <c r="G92" s="241"/>
      <c r="H92" s="241"/>
      <c r="I92" s="241"/>
      <c r="J92" s="241"/>
      <c r="K92" s="241"/>
      <c r="L92" s="241"/>
      <c r="M92" s="241"/>
      <c r="N92" s="982"/>
      <c r="O92" s="241"/>
      <c r="P92" s="241"/>
    </row>
    <row r="93" spans="1:16" s="4" customFormat="1" ht="15" customHeight="1">
      <c r="A93" s="17" t="s">
        <v>403</v>
      </c>
      <c r="B93" s="51" t="s">
        <v>404</v>
      </c>
      <c r="C93" s="241">
        <f>C91-C94-C95</f>
        <v>2413372.1817738665</v>
      </c>
      <c r="D93" s="241">
        <f t="shared" ref="D93:E93" si="13">D91-D94-D95</f>
        <v>3383128.5211190004</v>
      </c>
      <c r="E93" s="983">
        <f t="shared" si="13"/>
        <v>1336249.7148770827</v>
      </c>
      <c r="F93" s="241">
        <v>4207445.0902471468</v>
      </c>
      <c r="G93" s="241">
        <v>3270276.0039719092</v>
      </c>
      <c r="H93" s="241">
        <v>4379155.1998403072</v>
      </c>
      <c r="I93" s="241">
        <v>111710.0139498685</v>
      </c>
      <c r="J93" s="241">
        <v>3404066.6905058688</v>
      </c>
      <c r="K93" s="241">
        <v>5702537.0634223372</v>
      </c>
      <c r="L93" s="241">
        <v>1849592.6181585365</v>
      </c>
      <c r="M93" s="241">
        <v>3852950.2760398001</v>
      </c>
      <c r="N93" s="982">
        <v>4095790.0544586037</v>
      </c>
      <c r="O93" s="241">
        <v>1969685.6288380409</v>
      </c>
      <c r="P93" s="241">
        <v>2126105.4256205633</v>
      </c>
    </row>
    <row r="94" spans="1:16" s="4" customFormat="1" ht="15" customHeight="1">
      <c r="A94" s="17" t="s">
        <v>405</v>
      </c>
      <c r="B94" s="51" t="s">
        <v>406</v>
      </c>
      <c r="C94" s="241"/>
      <c r="D94" s="308">
        <f>'4.6_генерация_КТЭЦ с косв.'!D94+'4.6_транзит+сбыт_КТЭЦ с косв.'!D94</f>
        <v>36976.728049999998</v>
      </c>
      <c r="E94" s="1134"/>
      <c r="F94" s="308">
        <v>42235</v>
      </c>
      <c r="G94" s="308"/>
      <c r="H94" s="308">
        <v>43043</v>
      </c>
      <c r="I94" s="308">
        <v>0</v>
      </c>
      <c r="J94" s="308">
        <v>33041.554759999999</v>
      </c>
      <c r="K94" s="308">
        <v>34671.721258800004</v>
      </c>
      <c r="L94" s="308">
        <v>22274.702659999999</v>
      </c>
      <c r="M94" s="308">
        <v>12397.018598800001</v>
      </c>
      <c r="N94" s="982">
        <v>37256.585037805999</v>
      </c>
      <c r="O94" s="308">
        <v>24301.700602060002</v>
      </c>
      <c r="P94" s="308">
        <v>12954.884435745998</v>
      </c>
    </row>
    <row r="95" spans="1:16" s="4" customFormat="1" ht="15" customHeight="1">
      <c r="A95" s="17" t="s">
        <v>407</v>
      </c>
      <c r="B95" s="51" t="s">
        <v>408</v>
      </c>
      <c r="C95" s="241"/>
      <c r="D95" s="308">
        <f>'4.6_генерация_КТЭЦ с косв.'!D95+'4.6_транзит+сбыт_КТЭЦ с косв.'!D95</f>
        <v>66787.793209999989</v>
      </c>
      <c r="E95" s="1134"/>
      <c r="F95" s="308">
        <v>70735</v>
      </c>
      <c r="G95" s="308"/>
      <c r="H95" s="308">
        <v>70735</v>
      </c>
      <c r="I95" s="308">
        <v>0</v>
      </c>
      <c r="J95" s="308">
        <v>76349.686000000002</v>
      </c>
      <c r="K95" s="308">
        <v>80768.560499999992</v>
      </c>
      <c r="L95" s="308">
        <v>40920.330999999998</v>
      </c>
      <c r="M95" s="308">
        <v>39848.229500000001</v>
      </c>
      <c r="N95" s="982">
        <v>86285.480948500001</v>
      </c>
      <c r="O95" s="308">
        <v>44644.081121000003</v>
      </c>
      <c r="P95" s="308">
        <v>41641.399827499998</v>
      </c>
    </row>
    <row r="96" spans="1:16" s="4" customFormat="1" ht="31.5" hidden="1">
      <c r="A96" s="1052" t="s">
        <v>1562</v>
      </c>
      <c r="B96" s="1053" t="s">
        <v>1563</v>
      </c>
      <c r="C96" s="1054"/>
      <c r="D96" s="1054">
        <v>3082375</v>
      </c>
      <c r="E96" s="1054"/>
      <c r="F96" s="1054"/>
      <c r="G96" s="1054"/>
      <c r="H96" s="1054"/>
      <c r="I96" s="1054"/>
      <c r="J96" s="1054"/>
      <c r="K96" s="1054"/>
      <c r="L96" s="1054"/>
      <c r="M96" s="1054"/>
      <c r="N96" s="1610"/>
      <c r="O96" s="1054"/>
      <c r="P96" s="1054"/>
    </row>
    <row r="97" spans="1:16" s="4" customFormat="1" ht="28.5">
      <c r="A97" s="17"/>
      <c r="B97" s="755" t="s">
        <v>1268</v>
      </c>
      <c r="C97" s="286">
        <f>'4.3_КТЭЦ'!E8</f>
        <v>922.65</v>
      </c>
      <c r="D97" s="286">
        <f>'4.3_КТЭЦ'!I8</f>
        <v>907.11299999999994</v>
      </c>
      <c r="E97" s="986">
        <f>'4.3_КТЭЦ'!M8</f>
        <v>911.197</v>
      </c>
      <c r="F97" s="286">
        <v>858.0397999999999</v>
      </c>
      <c r="G97" s="286">
        <v>904.44797589999973</v>
      </c>
      <c r="H97" s="286">
        <v>836.25261320499999</v>
      </c>
      <c r="I97" s="286">
        <v>0</v>
      </c>
      <c r="J97" s="286">
        <v>860.72499999999991</v>
      </c>
      <c r="K97" s="286">
        <v>860.72499999999991</v>
      </c>
      <c r="L97" s="286">
        <v>523.05800000000011</v>
      </c>
      <c r="M97" s="286">
        <v>337.66699999999992</v>
      </c>
      <c r="N97" s="286">
        <v>860.72499999999991</v>
      </c>
      <c r="O97" s="286">
        <v>523.05800000000011</v>
      </c>
      <c r="P97" s="286">
        <v>337.66699999999992</v>
      </c>
    </row>
    <row r="98" spans="1:16" s="4" customFormat="1" ht="15" customHeight="1">
      <c r="A98" s="17"/>
      <c r="B98" s="51"/>
      <c r="C98" s="241"/>
      <c r="D98" s="241"/>
      <c r="E98" s="983"/>
      <c r="F98" s="241"/>
      <c r="G98" s="241"/>
      <c r="H98" s="241"/>
      <c r="I98" s="241"/>
      <c r="J98" s="241"/>
      <c r="K98" s="241"/>
      <c r="L98" s="241"/>
      <c r="M98" s="241"/>
      <c r="N98" s="982"/>
      <c r="O98" s="241"/>
      <c r="P98" s="241"/>
    </row>
    <row r="99" spans="1:16" s="4" customFormat="1" ht="15" customHeight="1">
      <c r="A99" s="17"/>
      <c r="B99" s="253" t="s">
        <v>1266</v>
      </c>
      <c r="C99" s="428">
        <f>C93/C97</f>
        <v>2615.6962897890494</v>
      </c>
      <c r="D99" s="428">
        <f t="shared" ref="D99:E99" si="14">D93/D97</f>
        <v>3729.5557677147176</v>
      </c>
      <c r="E99" s="987">
        <f t="shared" si="14"/>
        <v>1466.4772984075703</v>
      </c>
      <c r="F99" s="428">
        <v>4903.5546955364389</v>
      </c>
      <c r="G99" s="428">
        <v>3615.770161592453</v>
      </c>
      <c r="H99" s="428">
        <v>5236.6415730013341</v>
      </c>
      <c r="I99" s="428" t="e">
        <v>#DIV/0!</v>
      </c>
      <c r="J99" s="428">
        <v>3954.8830236206327</v>
      </c>
      <c r="K99" s="428">
        <v>6625.2717922940983</v>
      </c>
      <c r="L99" s="428">
        <v>3536.1138117733331</v>
      </c>
      <c r="M99" s="428">
        <v>11410.502880174257</v>
      </c>
      <c r="N99" s="1128">
        <v>4758.5350192670185</v>
      </c>
      <c r="O99" s="428">
        <v>3765.7116970547063</v>
      </c>
      <c r="P99" s="428">
        <v>6296.4560517331092</v>
      </c>
    </row>
    <row r="100" spans="1:16" s="4" customFormat="1" ht="15" customHeight="1">
      <c r="A100" s="17"/>
      <c r="B100" s="253" t="s">
        <v>1267</v>
      </c>
      <c r="C100" s="428"/>
      <c r="D100" s="428"/>
      <c r="E100" s="987"/>
      <c r="F100" s="428"/>
      <c r="G100" s="428"/>
      <c r="H100" s="428"/>
      <c r="I100" s="428"/>
      <c r="J100" s="428"/>
      <c r="K100" s="1128"/>
      <c r="L100" s="428"/>
      <c r="M100" s="428"/>
      <c r="N100" s="1128"/>
      <c r="O100" s="428"/>
      <c r="P100" s="428"/>
    </row>
    <row r="101" spans="1:16" s="4" customFormat="1" ht="15" customHeight="1">
      <c r="A101" s="17"/>
      <c r="B101" s="1131" t="s">
        <v>1512</v>
      </c>
      <c r="C101" s="428"/>
      <c r="D101" s="428"/>
      <c r="E101" s="428">
        <f>'4.6_генерация_КТЭЦ с косв.'!E101</f>
        <v>87.370765027322406</v>
      </c>
      <c r="F101" s="428">
        <f>'4.6_генерация_КТЭЦ с косв.'!F101</f>
        <v>94.661339893919632</v>
      </c>
      <c r="G101" s="428" t="e">
        <f>'4.6_генерация_КТЭЦ с косв.'!G101</f>
        <v>#DIV/0!</v>
      </c>
      <c r="H101" s="428">
        <f>'4.6_генерация_КТЭЦ с косв.'!H101</f>
        <v>115.10979247123075</v>
      </c>
      <c r="I101" s="428">
        <f>'4.6_генерация_КТЭЦ с косв.'!I101</f>
        <v>0</v>
      </c>
      <c r="J101" s="428">
        <f>'4.6_генерация_КТЭЦ с косв.'!J101</f>
        <v>0</v>
      </c>
      <c r="K101" s="1128">
        <f>'4.6_генерация_КТЭЦ с косв.'!K101</f>
        <v>121.01190202251742</v>
      </c>
      <c r="L101" s="428">
        <f>'4.6_генерация_КТЭЦ с косв.'!L101</f>
        <v>107.95017013295001</v>
      </c>
      <c r="M101" s="428">
        <f>'4.6_генерация_КТЭЦ с косв.'!M101</f>
        <v>140.60449985686853</v>
      </c>
      <c r="N101" s="1128">
        <f>'4.6_генерация_КТЭЦ с косв.'!N101</f>
        <v>0</v>
      </c>
      <c r="O101" s="428">
        <f>'4.6_генерация_КТЭЦ с косв.'!O101</f>
        <v>0</v>
      </c>
      <c r="P101" s="428">
        <f>'4.6_генерация_КТЭЦ с косв.'!P101</f>
        <v>0</v>
      </c>
    </row>
    <row r="102" spans="1:16" s="4" customFormat="1" ht="15" customHeight="1">
      <c r="A102" s="17"/>
      <c r="B102" s="1131" t="s">
        <v>1513</v>
      </c>
      <c r="C102" s="428">
        <v>30.59</v>
      </c>
      <c r="D102" s="428">
        <f>'4.6_генерация_КТЭЦ с косв.'!D102</f>
        <v>30.383382196457696</v>
      </c>
      <c r="E102" s="428">
        <f>'4.6_генерация_КТЭЦ с косв.'!E102</f>
        <v>34.96</v>
      </c>
      <c r="F102" s="428">
        <f>'4.6_генерация_КТЭЦ с косв.'!F102</f>
        <v>35.786489339888192</v>
      </c>
      <c r="G102" s="428" t="e">
        <f>'4.6_генерация_КТЭЦ с косв.'!G102</f>
        <v>#DIV/0!</v>
      </c>
      <c r="H102" s="428">
        <f>'4.6_генерация_КТЭЦ с косв.'!H102</f>
        <v>46.220147322273768</v>
      </c>
      <c r="I102" s="428">
        <f>'4.6_генерация_КТЭЦ с косв.'!I102</f>
        <v>0</v>
      </c>
      <c r="J102" s="428">
        <f>'4.6_генерация_КТЭЦ с косв.'!J102</f>
        <v>0</v>
      </c>
      <c r="K102" s="1128">
        <f>'4.6_генерация_КТЭЦ с косв.'!K102</f>
        <v>44.504928875668064</v>
      </c>
      <c r="L102" s="428">
        <f>'4.6_генерация_КТЭЦ с косв.'!L102</f>
        <v>42.97</v>
      </c>
      <c r="M102" s="428">
        <f>'4.6_генерация_КТЭЦ с косв.'!M102</f>
        <v>46.88027000000001</v>
      </c>
      <c r="N102" s="1128">
        <f>'4.6_генерация_КТЭЦ с косв.'!N102</f>
        <v>0</v>
      </c>
      <c r="O102" s="428">
        <f>'4.6_генерация_КТЭЦ с косв.'!O102</f>
        <v>0</v>
      </c>
      <c r="P102" s="428">
        <f>'4.6_генерация_КТЭЦ с косв.'!P102</f>
        <v>0</v>
      </c>
    </row>
    <row r="103" spans="1:16" hidden="1">
      <c r="A103" s="253" t="s">
        <v>965</v>
      </c>
      <c r="B103" s="253"/>
      <c r="C103" s="308">
        <f>C67+C78+C83+C87-C90</f>
        <v>344948.5</v>
      </c>
      <c r="D103" s="308">
        <f t="shared" ref="D103:M103" si="15">D67+D78+D83+D87-D90</f>
        <v>1068731.25</v>
      </c>
      <c r="E103" s="308">
        <f t="shared" si="15"/>
        <v>81648.25</v>
      </c>
      <c r="F103" s="308">
        <f t="shared" si="15"/>
        <v>1622334.25</v>
      </c>
      <c r="G103" s="308"/>
      <c r="H103" s="308"/>
      <c r="I103" s="308"/>
      <c r="J103" s="308"/>
      <c r="K103" s="982">
        <f t="shared" si="15"/>
        <v>1476387.3042924881</v>
      </c>
      <c r="L103" s="308">
        <f t="shared" si="15"/>
        <v>94916.998298728024</v>
      </c>
      <c r="M103" s="308">
        <f t="shared" si="15"/>
        <v>1381470.30599376</v>
      </c>
      <c r="N103" s="762"/>
      <c r="O103" s="762"/>
      <c r="P103" s="762"/>
    </row>
    <row r="104" spans="1:16" s="26" customFormat="1">
      <c r="A104" s="26" t="s">
        <v>88</v>
      </c>
      <c r="H104" s="1775">
        <f>'4.6_генерация_КТЭЦ с косв.'!H93+'4.6_транзит_КТЭЦ с косв.'!H93+'4.6_сбыт_КТЭЦ с косв.'!H93</f>
        <v>4379155.1998403082</v>
      </c>
      <c r="J104" s="1775">
        <f>'4.6_генерация_КТЭЦ с косв.'!J93+'4.6_транзит_КТЭЦ с косв.'!J93+'4.6_сбыт_КТЭЦ с косв.'!J93</f>
        <v>3404066.715576089</v>
      </c>
      <c r="K104" s="1775">
        <f>'4.6_генерация_КТЭЦ с косв.'!K93+'4.6_транзит_КТЭЦ с косв.'!K93+'4.6_сбыт_КТЭЦ с косв.'!K93</f>
        <v>5702537.0634223372</v>
      </c>
      <c r="N104" s="1775">
        <f>'4.6_генерация_КТЭЦ с косв.'!N93+'4.6_транзит_КТЭЦ с косв.'!N93+'4.6_сбыт_КТЭЦ с косв.'!N93</f>
        <v>4095790.0544586033</v>
      </c>
    </row>
    <row r="105" spans="1:16" s="945" customFormat="1" ht="58.5" customHeight="1">
      <c r="A105" s="945" t="s">
        <v>89</v>
      </c>
      <c r="B105" s="1842" t="s">
        <v>409</v>
      </c>
      <c r="C105" s="1842"/>
      <c r="D105" s="1842"/>
      <c r="E105" s="1842"/>
      <c r="F105" s="1842"/>
      <c r="G105" s="1842"/>
      <c r="H105" s="1842"/>
      <c r="I105" s="1842"/>
      <c r="J105" s="1842"/>
      <c r="K105" s="1842"/>
      <c r="L105" s="1842"/>
      <c r="M105" s="1842"/>
      <c r="N105" s="1640"/>
      <c r="O105" s="1640"/>
      <c r="P105" s="1640"/>
    </row>
    <row r="106" spans="1:16" s="945" customFormat="1" ht="58.5" customHeight="1">
      <c r="A106" s="945" t="s">
        <v>91</v>
      </c>
      <c r="B106" s="1842" t="s">
        <v>410</v>
      </c>
      <c r="C106" s="1842"/>
      <c r="D106" s="1842"/>
      <c r="E106" s="1842"/>
      <c r="F106" s="1842"/>
      <c r="G106" s="1842"/>
      <c r="H106" s="1842"/>
      <c r="I106" s="1842"/>
      <c r="J106" s="1842"/>
      <c r="K106" s="1842"/>
      <c r="L106" s="1842"/>
      <c r="M106" s="1842"/>
      <c r="N106" s="1640"/>
      <c r="O106" s="1640"/>
      <c r="P106" s="1640"/>
    </row>
    <row r="107" spans="1:16" s="945" customFormat="1" ht="58.5" customHeight="1">
      <c r="A107" s="945" t="s">
        <v>93</v>
      </c>
      <c r="B107" s="1842" t="s">
        <v>411</v>
      </c>
      <c r="C107" s="1842"/>
      <c r="D107" s="1842"/>
      <c r="E107" s="1842"/>
      <c r="F107" s="1842"/>
      <c r="G107" s="1842"/>
      <c r="H107" s="1842"/>
      <c r="I107" s="1842"/>
      <c r="J107" s="1842"/>
      <c r="K107" s="1842"/>
      <c r="L107" s="1842"/>
      <c r="M107" s="1842"/>
      <c r="N107" s="1640"/>
      <c r="O107" s="1640"/>
      <c r="P107" s="1640"/>
    </row>
    <row r="108" spans="1:16" ht="18.75" customHeight="1"/>
  </sheetData>
  <mergeCells count="4">
    <mergeCell ref="B105:M105"/>
    <mergeCell ref="B106:M106"/>
    <mergeCell ref="B107:M107"/>
    <mergeCell ref="A3:J3"/>
  </mergeCells>
  <pageMargins left="0.78740157480314965" right="0.31496062992125984" top="0.17" bottom="0.39370078740157483" header="0.19685039370078741" footer="0.19685039370078741"/>
  <pageSetup paperSize="9" scale="50" orientation="portrait" r:id="rId1"/>
  <headerFooter alignWithMargins="0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</sheetPr>
  <dimension ref="A1:L108"/>
  <sheetViews>
    <sheetView view="pageBreakPreview" zoomScaleNormal="100" workbookViewId="0">
      <pane xSplit="2" ySplit="5" topLeftCell="E6" activePane="bottomRight" state="frozen"/>
      <selection activeCell="F4" sqref="F4"/>
      <selection pane="topRight" activeCell="F4" sqref="F4"/>
      <selection pane="bottomLeft" activeCell="F4" sqref="F4"/>
      <selection pane="bottomRight" activeCell="F4" sqref="F4"/>
    </sheetView>
  </sheetViews>
  <sheetFormatPr defaultColWidth="3.7109375" defaultRowHeight="15" outlineLevelRow="1"/>
  <cols>
    <col min="1" max="1" width="5.42578125" style="1" customWidth="1"/>
    <col min="2" max="2" width="45" style="1" customWidth="1"/>
    <col min="3" max="4" width="13.42578125" style="1" hidden="1" customWidth="1"/>
    <col min="5" max="9" width="13.42578125" style="1" customWidth="1"/>
    <col min="10" max="10" width="17" style="1" customWidth="1"/>
    <col min="11" max="11" width="13" style="1" customWidth="1"/>
    <col min="12" max="12" width="14" style="1" customWidth="1"/>
    <col min="13" max="48" width="9.140625" style="1" customWidth="1"/>
    <col min="49" max="16384" width="3.7109375" style="1"/>
  </cols>
  <sheetData>
    <row r="1" spans="1:12" ht="12.75" customHeight="1">
      <c r="A1" s="74" t="s">
        <v>1860</v>
      </c>
      <c r="J1" s="23"/>
      <c r="K1" s="23" t="s">
        <v>359</v>
      </c>
      <c r="L1" s="23"/>
    </row>
    <row r="2" spans="1:12" ht="12.75" customHeight="1">
      <c r="A2" s="105" t="str">
        <f>'3.1'!$A$2</f>
        <v>ПКГО - Комбинированная выработка КТЭЦ</v>
      </c>
    </row>
    <row r="3" spans="1:12" ht="18.75">
      <c r="A3" s="1877" t="s">
        <v>1146</v>
      </c>
      <c r="B3" s="1914"/>
      <c r="C3" s="1914"/>
      <c r="D3" s="1914"/>
      <c r="E3" s="1914"/>
      <c r="F3" s="1914"/>
      <c r="G3" s="1914"/>
      <c r="H3" s="1914"/>
      <c r="I3" s="1914"/>
      <c r="J3" s="1914"/>
      <c r="K3" s="1642"/>
      <c r="L3" s="1642"/>
    </row>
    <row r="4" spans="1:12" ht="14.25" customHeight="1">
      <c r="J4" s="23"/>
      <c r="K4" s="23" t="s">
        <v>360</v>
      </c>
      <c r="L4" s="23"/>
    </row>
    <row r="5" spans="1:12" s="3" customFormat="1" ht="66">
      <c r="A5" s="103" t="s">
        <v>0</v>
      </c>
      <c r="B5" s="103" t="s">
        <v>1</v>
      </c>
      <c r="C5" s="103" t="s">
        <v>1129</v>
      </c>
      <c r="D5" s="540" t="s">
        <v>1130</v>
      </c>
      <c r="E5" s="944" t="s">
        <v>1520</v>
      </c>
      <c r="F5" s="540" t="s">
        <v>1695</v>
      </c>
      <c r="G5" s="1284" t="s">
        <v>1696</v>
      </c>
      <c r="H5" s="1576" t="s">
        <v>1828</v>
      </c>
      <c r="I5" s="1661" t="s">
        <v>1842</v>
      </c>
      <c r="J5" s="1661" t="s">
        <v>1861</v>
      </c>
      <c r="K5" s="1661" t="s">
        <v>1862</v>
      </c>
      <c r="L5" s="1661" t="s">
        <v>1863</v>
      </c>
    </row>
    <row r="6" spans="1:12" s="2" customFormat="1">
      <c r="A6" s="13">
        <v>1</v>
      </c>
      <c r="B6" s="13">
        <v>2</v>
      </c>
      <c r="C6" s="13">
        <v>3</v>
      </c>
      <c r="D6" s="13">
        <v>4</v>
      </c>
      <c r="E6" s="13">
        <v>3</v>
      </c>
      <c r="F6" s="13">
        <v>4</v>
      </c>
      <c r="G6" s="13">
        <v>5</v>
      </c>
      <c r="H6" s="13">
        <v>6</v>
      </c>
      <c r="I6" s="13">
        <v>7</v>
      </c>
      <c r="J6" s="13">
        <v>8</v>
      </c>
      <c r="K6" s="13">
        <v>9</v>
      </c>
      <c r="L6" s="13">
        <v>10</v>
      </c>
    </row>
    <row r="7" spans="1:12" s="1041" customFormat="1" ht="30" customHeight="1">
      <c r="A7" s="1037" t="s">
        <v>361</v>
      </c>
      <c r="B7" s="1038" t="s">
        <v>362</v>
      </c>
      <c r="C7" s="1039">
        <f>C8+SUM(C10:C15)+C20+SUM(C22:C25)+SUM(C56:C61)+3</f>
        <v>2238525.6817738665</v>
      </c>
      <c r="D7" s="1039">
        <f>D8+SUM(D10:D15)+D20+SUM(D22:D25)+SUM(D56:D61)</f>
        <v>2164984.1810790002</v>
      </c>
      <c r="E7" s="1088">
        <f>E8+SUM(E10:E15)+E20+SUM(E22:E25)+SUM(E56:E61)</f>
        <v>1430741.2389284854</v>
      </c>
      <c r="F7" s="1039">
        <v>2402825.0661671469</v>
      </c>
      <c r="G7" s="1039">
        <v>2626358.5968975532</v>
      </c>
      <c r="H7" s="1039">
        <v>2493471.2342977878</v>
      </c>
      <c r="I7" s="1039">
        <v>251026.36610000001</v>
      </c>
      <c r="J7" s="1039">
        <v>2828524.3770510489</v>
      </c>
      <c r="K7" s="1039">
        <v>3102094.2380912085</v>
      </c>
      <c r="L7" s="1039">
        <v>3259698.8120159493</v>
      </c>
    </row>
    <row r="8" spans="1:12" s="1046" customFormat="1" ht="15" customHeight="1">
      <c r="A8" s="1044"/>
      <c r="B8" s="1045" t="s">
        <v>363</v>
      </c>
      <c r="C8" s="258">
        <f>'4.6_генерация_КТЭЦ'!C8+'4.6_транзит+сбыт_КТЭЦ'!C8</f>
        <v>54053</v>
      </c>
      <c r="D8" s="258">
        <f>'4.6_генерация_КТЭЦ'!D8+'4.6_транзит+сбыт_КТЭЦ'!D8</f>
        <v>30376</v>
      </c>
      <c r="E8" s="1047">
        <f>'4.6_генерация_КТЭЦ'!E8+'4.6_транзит+сбыт_КТЭЦ'!E8</f>
        <v>12031</v>
      </c>
      <c r="F8" s="258">
        <v>32437</v>
      </c>
      <c r="G8" s="258">
        <v>31344.067950220051</v>
      </c>
      <c r="H8" s="258">
        <v>36900</v>
      </c>
      <c r="I8" s="258">
        <v>81395</v>
      </c>
      <c r="J8" s="258">
        <v>82625</v>
      </c>
      <c r="K8" s="258">
        <v>88644.03688</v>
      </c>
      <c r="L8" s="258">
        <v>93459.153352633206</v>
      </c>
    </row>
    <row r="9" spans="1:12" s="4" customFormat="1" ht="15" customHeight="1">
      <c r="A9" s="17"/>
      <c r="B9" s="580" t="s">
        <v>1134</v>
      </c>
      <c r="C9" s="751">
        <f>'4.6_генерация_КТЭЦ'!C9+'4.6_транзит+сбыт_КТЭЦ'!C9</f>
        <v>15518</v>
      </c>
      <c r="D9" s="751">
        <f>'4.6_генерация_КТЭЦ'!D9+'4.6_транзит+сбыт_КТЭЦ'!D9</f>
        <v>12737</v>
      </c>
      <c r="E9" s="984">
        <f>'4.6_генерация_КТЭЦ'!E9+'4.6_транзит+сбыт_КТЭЦ'!E9</f>
        <v>0</v>
      </c>
      <c r="F9" s="751">
        <v>14709</v>
      </c>
      <c r="G9" s="751">
        <v>10820</v>
      </c>
      <c r="H9" s="751">
        <v>17646</v>
      </c>
      <c r="I9" s="751">
        <v>17961</v>
      </c>
      <c r="J9" s="751">
        <v>19191</v>
      </c>
      <c r="K9" s="751">
        <v>21574</v>
      </c>
      <c r="L9" s="1444">
        <v>23142.255987272398</v>
      </c>
    </row>
    <row r="10" spans="1:12" s="1046" customFormat="1" ht="15" customHeight="1">
      <c r="A10" s="1044"/>
      <c r="B10" s="1045" t="s">
        <v>364</v>
      </c>
      <c r="C10" s="258">
        <f>'4.6_генерация_КТЭЦ'!C10+'4.6_транзит+сбыт_КТЭЦ'!C10</f>
        <v>798114.68177386676</v>
      </c>
      <c r="D10" s="258">
        <f>'4.6_генерация_КТЭЦ'!D10+'4.6_транзит+сбыт_КТЭЦ'!D10</f>
        <v>745750.77094999992</v>
      </c>
      <c r="E10" s="1047">
        <f>'4.6_генерация_КТЭЦ'!E10+'4.6_транзит+сбыт_КТЭЦ'!E10</f>
        <v>946726</v>
      </c>
      <c r="F10" s="258">
        <v>820511.83115114667</v>
      </c>
      <c r="G10" s="258">
        <v>1004978.5599259571</v>
      </c>
      <c r="H10" s="258">
        <v>791710.72252619755</v>
      </c>
      <c r="I10" s="258">
        <v>0</v>
      </c>
      <c r="J10" s="258">
        <v>922221.98336478905</v>
      </c>
      <c r="K10" s="258">
        <v>940898.01732465264</v>
      </c>
      <c r="L10" s="258">
        <v>969831.47159815882</v>
      </c>
    </row>
    <row r="11" spans="1:12" s="1046" customFormat="1" ht="30">
      <c r="A11" s="1044"/>
      <c r="B11" s="1045" t="s">
        <v>365</v>
      </c>
      <c r="C11" s="258">
        <f>'4.6_генерация_КТЭЦ'!C11+'4.6_транзит+сбыт_КТЭЦ'!C11</f>
        <v>111508</v>
      </c>
      <c r="D11" s="258">
        <f>'4.6_генерация_КТЭЦ'!D11+'4.6_транзит+сбыт_КТЭЦ'!D11</f>
        <v>96621.292518999995</v>
      </c>
      <c r="E11" s="1047">
        <f>'4.6_генерация_КТЭЦ'!E11+'4.6_транзит+сбыт_КТЭЦ'!E11</f>
        <v>0</v>
      </c>
      <c r="F11" s="258">
        <v>103600.51057999999</v>
      </c>
      <c r="G11" s="258">
        <v>119109.27809312863</v>
      </c>
      <c r="H11" s="258">
        <v>112631.43554158999</v>
      </c>
      <c r="I11" s="258">
        <v>0</v>
      </c>
      <c r="J11" s="258">
        <v>125955.85906625999</v>
      </c>
      <c r="K11" s="258">
        <v>137662.18967315598</v>
      </c>
      <c r="L11" s="258">
        <v>150260.95930468291</v>
      </c>
    </row>
    <row r="12" spans="1:12" s="1046" customFormat="1" ht="15" customHeight="1">
      <c r="A12" s="1044"/>
      <c r="B12" s="1045" t="s">
        <v>366</v>
      </c>
      <c r="C12" s="258">
        <f>'4.6_генерация_КТЭЦ'!C12+'4.6_транзит+сбыт_КТЭЦ'!C12</f>
        <v>14662</v>
      </c>
      <c r="D12" s="258">
        <f>'4.6_генерация_КТЭЦ'!D12+'4.6_транзит+сбыт_КТЭЦ'!D12</f>
        <v>114943.23890999999</v>
      </c>
      <c r="E12" s="1047">
        <f>'4.6_генерация_КТЭЦ'!E12+'4.6_транзит+сбыт_КТЭЦ'!E12</f>
        <v>7870</v>
      </c>
      <c r="F12" s="258">
        <v>10631</v>
      </c>
      <c r="G12" s="258">
        <v>24480.192488316254</v>
      </c>
      <c r="H12" s="258">
        <v>18938.832200000001</v>
      </c>
      <c r="I12" s="258">
        <v>0</v>
      </c>
      <c r="J12" s="258">
        <v>17959.427759999999</v>
      </c>
      <c r="K12" s="258">
        <v>18368.823334600002</v>
      </c>
      <c r="L12" s="258">
        <v>19652.260752296999</v>
      </c>
    </row>
    <row r="13" spans="1:12" s="1046" customFormat="1" ht="15" customHeight="1">
      <c r="A13" s="1044"/>
      <c r="B13" s="1045" t="s">
        <v>367</v>
      </c>
      <c r="C13" s="258">
        <f>'4.6_генерация_КТЭЦ'!C13+'4.6_транзит+сбыт_КТЭЦ'!C13</f>
        <v>0</v>
      </c>
      <c r="D13" s="258">
        <f>'4.6_генерация_КТЭЦ'!D13+'4.6_транзит+сбыт_КТЭЦ'!D13</f>
        <v>0</v>
      </c>
      <c r="E13" s="1047">
        <f>'4.6_генерация_КТЭЦ'!E13+'4.6_транзит+сбыт_КТЭЦ'!E13</f>
        <v>0</v>
      </c>
      <c r="F13" s="258">
        <v>112970</v>
      </c>
      <c r="G13" s="258">
        <v>0</v>
      </c>
      <c r="H13" s="258">
        <v>113778</v>
      </c>
      <c r="I13" s="258">
        <v>0</v>
      </c>
      <c r="J13" s="258">
        <v>109391.24076000002</v>
      </c>
      <c r="K13" s="258">
        <v>115440.2817588</v>
      </c>
      <c r="L13" s="258">
        <v>123542.065986306</v>
      </c>
    </row>
    <row r="14" spans="1:12" s="1046" customFormat="1" ht="30">
      <c r="A14" s="1044"/>
      <c r="B14" s="1045" t="s">
        <v>368</v>
      </c>
      <c r="C14" s="258">
        <f>'4.6_генерация_КТЭЦ'!C14+'4.6_транзит+сбыт_КТЭЦ'!C14</f>
        <v>77044</v>
      </c>
      <c r="D14" s="258">
        <f>'4.6_генерация_КТЭЦ'!D14+'4.6_транзит+сбыт_КТЭЦ'!D14</f>
        <v>98068</v>
      </c>
      <c r="E14" s="1047">
        <f>'4.6_генерация_КТЭЦ'!E14+'4.6_транзит+сбыт_КТЭЦ'!E14</f>
        <v>60548</v>
      </c>
      <c r="F14" s="258">
        <v>119755</v>
      </c>
      <c r="G14" s="258">
        <v>115471.01553279003</v>
      </c>
      <c r="H14" s="258">
        <v>96597</v>
      </c>
      <c r="I14" s="258">
        <v>0</v>
      </c>
      <c r="J14" s="258">
        <v>112647</v>
      </c>
      <c r="K14" s="258">
        <v>130899</v>
      </c>
      <c r="L14" s="258">
        <v>140297</v>
      </c>
    </row>
    <row r="15" spans="1:12" s="1046" customFormat="1" ht="15" customHeight="1">
      <c r="A15" s="1044"/>
      <c r="B15" s="1045" t="s">
        <v>1135</v>
      </c>
      <c r="C15" s="258">
        <f>C16+C18+C19</f>
        <v>624403</v>
      </c>
      <c r="D15" s="258">
        <f t="shared" ref="D15:E15" si="0">D16+D18+D19</f>
        <v>532758</v>
      </c>
      <c r="E15" s="1047">
        <f t="shared" si="0"/>
        <v>218204.23892848552</v>
      </c>
      <c r="F15" s="258">
        <v>614452</v>
      </c>
      <c r="G15" s="258">
        <v>640658.70394780952</v>
      </c>
      <c r="H15" s="258">
        <v>661634</v>
      </c>
      <c r="I15" s="258">
        <v>0</v>
      </c>
      <c r="J15" s="258">
        <v>735494</v>
      </c>
      <c r="K15" s="258">
        <v>825564.5</v>
      </c>
      <c r="L15" s="258">
        <v>874020</v>
      </c>
    </row>
    <row r="16" spans="1:12" s="4" customFormat="1" ht="15" customHeight="1">
      <c r="A16" s="17"/>
      <c r="B16" s="581" t="s">
        <v>1136</v>
      </c>
      <c r="C16" s="766">
        <f>'4.6_генерация_КТЭЦ'!C16+'4.6_транзит+сбыт_КТЭЦ'!C16</f>
        <v>615578</v>
      </c>
      <c r="D16" s="766">
        <f>'4.6_генерация_КТЭЦ'!D16+'4.6_транзит+сбыт_КТЭЦ'!D16</f>
        <v>521964</v>
      </c>
      <c r="E16" s="984">
        <f>'4.6_генерация_КТЭЦ'!E16+'4.6_транзит+сбыт_КТЭЦ'!E16</f>
        <v>215208.23892848552</v>
      </c>
      <c r="F16" s="766">
        <v>604003</v>
      </c>
      <c r="G16" s="766">
        <v>630183.43807906157</v>
      </c>
      <c r="H16" s="766">
        <v>648898</v>
      </c>
      <c r="I16" s="766">
        <v>0</v>
      </c>
      <c r="J16" s="766">
        <v>721733</v>
      </c>
      <c r="K16" s="766">
        <v>808509.5</v>
      </c>
      <c r="L16" s="766">
        <v>856197</v>
      </c>
    </row>
    <row r="17" spans="1:12" s="4" customFormat="1" ht="15" customHeight="1">
      <c r="A17" s="17"/>
      <c r="B17" s="580" t="s">
        <v>1134</v>
      </c>
      <c r="C17" s="751">
        <f>'4.6_генерация_КТЭЦ'!C17+'4.6_транзит+сбыт_КТЭЦ'!C17</f>
        <v>34502</v>
      </c>
      <c r="D17" s="751">
        <f>'4.6_генерация_КТЭЦ'!D17+'4.6_транзит+сбыт_КТЭЦ'!D17</f>
        <v>37350</v>
      </c>
      <c r="E17" s="984">
        <f>'4.6_генерация_КТЭЦ'!E17+'4.6_транзит+сбыт_КТЭЦ'!E17</f>
        <v>0</v>
      </c>
      <c r="F17" s="751">
        <v>40367</v>
      </c>
      <c r="G17" s="751">
        <v>47440.919558010537</v>
      </c>
      <c r="H17" s="751">
        <v>43702</v>
      </c>
      <c r="I17" s="751">
        <v>0</v>
      </c>
      <c r="J17" s="751">
        <v>50690</v>
      </c>
      <c r="K17" s="751">
        <v>57726</v>
      </c>
      <c r="L17" s="1444">
        <v>61099</v>
      </c>
    </row>
    <row r="18" spans="1:12" s="4" customFormat="1" ht="15" customHeight="1">
      <c r="A18" s="17"/>
      <c r="B18" s="581" t="s">
        <v>1137</v>
      </c>
      <c r="C18" s="766">
        <f>'4.6_генерация_КТЭЦ'!C18+'4.6_транзит+сбыт_КТЭЦ'!C18</f>
        <v>8825</v>
      </c>
      <c r="D18" s="766">
        <f>'4.6_генерация_КТЭЦ'!D18+'4.6_транзит+сбыт_КТЭЦ'!D18</f>
        <v>9946</v>
      </c>
      <c r="E18" s="984">
        <f>'4.6_генерация_КТЭЦ'!E18+'4.6_транзит+сбыт_КТЭЦ'!E18</f>
        <v>2996</v>
      </c>
      <c r="F18" s="766">
        <v>10062</v>
      </c>
      <c r="G18" s="766">
        <v>10475.265868747942</v>
      </c>
      <c r="H18" s="766">
        <v>11977</v>
      </c>
      <c r="I18" s="766">
        <v>0</v>
      </c>
      <c r="J18" s="766">
        <v>13761</v>
      </c>
      <c r="K18" s="766">
        <v>17055</v>
      </c>
      <c r="L18" s="766">
        <v>17823</v>
      </c>
    </row>
    <row r="19" spans="1:12" s="4" customFormat="1" ht="15" customHeight="1">
      <c r="A19" s="17"/>
      <c r="B19" s="581" t="s">
        <v>1138</v>
      </c>
      <c r="C19" s="766">
        <f>'4.6_генерация_КТЭЦ'!C19+'4.6_транзит+сбыт_КТЭЦ'!C19</f>
        <v>0</v>
      </c>
      <c r="D19" s="766">
        <f>'4.6_генерация_КТЭЦ'!D19+'4.6_транзит+сбыт_КТЭЦ'!D19</f>
        <v>848</v>
      </c>
      <c r="E19" s="984">
        <f>'4.6_генерация_КТЭЦ'!E19+'4.6_транзит+сбыт_КТЭЦ'!E19</f>
        <v>0</v>
      </c>
      <c r="F19" s="766">
        <v>387</v>
      </c>
      <c r="G19" s="766">
        <v>0</v>
      </c>
      <c r="H19" s="766">
        <v>759</v>
      </c>
      <c r="I19" s="766">
        <v>0</v>
      </c>
      <c r="J19" s="766">
        <v>0</v>
      </c>
      <c r="K19" s="766">
        <v>0</v>
      </c>
      <c r="L19" s="766">
        <v>0</v>
      </c>
    </row>
    <row r="20" spans="1:12" s="1046" customFormat="1">
      <c r="A20" s="1044"/>
      <c r="B20" s="1045" t="s">
        <v>369</v>
      </c>
      <c r="C20" s="258">
        <f>'4.6_генерация_КТЭЦ'!C20+'4.6_транзит+сбыт_КТЭЦ'!C20</f>
        <v>179432</v>
      </c>
      <c r="D20" s="258">
        <f>'4.6_генерация_КТЭЦ'!D20+'4.6_транзит+сбыт_КТЭЦ'!D20</f>
        <v>145574</v>
      </c>
      <c r="E20" s="1047">
        <f>'4.6_генерация_КТЭЦ'!E20+'4.6_транзит+сбыт_КТЭЦ'!E20</f>
        <v>58923</v>
      </c>
      <c r="F20" s="258">
        <v>168420</v>
      </c>
      <c r="G20" s="258">
        <v>197633.69675718804</v>
      </c>
      <c r="H20" s="258">
        <v>185194</v>
      </c>
      <c r="I20" s="258">
        <v>0</v>
      </c>
      <c r="J20" s="258">
        <v>200643</v>
      </c>
      <c r="K20" s="258">
        <v>235825</v>
      </c>
      <c r="L20" s="982">
        <v>251334</v>
      </c>
    </row>
    <row r="21" spans="1:12" s="4" customFormat="1">
      <c r="A21" s="17"/>
      <c r="B21" s="580" t="s">
        <v>1134</v>
      </c>
      <c r="C21" s="751">
        <f>'4.6_генерация_КТЭЦ'!C21+'4.6_транзит+сбыт_КТЭЦ'!C21</f>
        <v>10057</v>
      </c>
      <c r="D21" s="751">
        <f>'4.6_генерация_КТЭЦ'!D21+'4.6_транзит+сбыт_КТЭЦ'!D21</f>
        <v>10529</v>
      </c>
      <c r="E21" s="984">
        <f>'4.6_генерация_КТЭЦ'!E21+'4.6_транзит+сбыт_КТЭЦ'!E21</f>
        <v>0</v>
      </c>
      <c r="F21" s="751">
        <v>11863</v>
      </c>
      <c r="G21" s="751">
        <v>13346.2105845528</v>
      </c>
      <c r="H21" s="751">
        <v>12992</v>
      </c>
      <c r="I21" s="751">
        <v>0</v>
      </c>
      <c r="J21" s="751">
        <v>14907</v>
      </c>
      <c r="K21" s="751">
        <v>17433</v>
      </c>
      <c r="L21" s="1444">
        <v>17629.387427980335</v>
      </c>
    </row>
    <row r="22" spans="1:12" s="1046" customFormat="1" ht="30" customHeight="1">
      <c r="A22" s="1044"/>
      <c r="B22" s="1045" t="s">
        <v>370</v>
      </c>
      <c r="C22" s="258">
        <f>'4.6_генерация_КТЭЦ'!C22+'4.6_транзит+сбыт_КТЭЦ'!C22</f>
        <v>70255</v>
      </c>
      <c r="D22" s="258">
        <f>'4.6_генерация_КТЭЦ'!D22+'4.6_транзит+сбыт_КТЭЦ'!D22</f>
        <v>80207</v>
      </c>
      <c r="E22" s="1047">
        <f>'4.6_генерация_КТЭЦ'!E22+'4.6_транзит+сбыт_КТЭЦ'!E22</f>
        <v>73774</v>
      </c>
      <c r="F22" s="258">
        <v>83651</v>
      </c>
      <c r="G22" s="258">
        <v>176431.50192189365</v>
      </c>
      <c r="H22" s="258">
        <v>140028</v>
      </c>
      <c r="I22" s="258">
        <v>99888</v>
      </c>
      <c r="J22" s="258">
        <v>201988</v>
      </c>
      <c r="K22" s="258">
        <v>260545</v>
      </c>
      <c r="L22" s="1443">
        <v>267654.18875757197</v>
      </c>
    </row>
    <row r="23" spans="1:12" s="1046" customFormat="1" ht="45">
      <c r="A23" s="1044"/>
      <c r="B23" s="1045" t="s">
        <v>1139</v>
      </c>
      <c r="C23" s="258">
        <f>'4.6_генерация_КТЭЦ'!C23+'4.6_транзит+сбыт_КТЭЦ'!C23</f>
        <v>78438</v>
      </c>
      <c r="D23" s="258">
        <f>'4.6_генерация_КТЭЦ'!D23+'4.6_транзит+сбыт_КТЭЦ'!D23</f>
        <v>99583</v>
      </c>
      <c r="E23" s="1047">
        <f>'4.6_генерация_КТЭЦ'!E23+'4.6_транзит+сбыт_КТЭЦ'!E23</f>
        <v>0</v>
      </c>
      <c r="F23" s="258">
        <v>94371</v>
      </c>
      <c r="G23" s="258">
        <v>108310</v>
      </c>
      <c r="H23" s="258">
        <v>94285</v>
      </c>
      <c r="I23" s="258">
        <v>0</v>
      </c>
      <c r="J23" s="258">
        <v>110132</v>
      </c>
      <c r="K23" s="258">
        <v>123132</v>
      </c>
      <c r="L23" s="258">
        <v>129952</v>
      </c>
    </row>
    <row r="24" spans="1:12" s="1046" customFormat="1" ht="60">
      <c r="A24" s="1044"/>
      <c r="B24" s="1045" t="s">
        <v>372</v>
      </c>
      <c r="C24" s="258">
        <f>'4.6_генерация_КТЭЦ'!C24+'4.6_транзит+сбыт_КТЭЦ'!C24</f>
        <v>33280</v>
      </c>
      <c r="D24" s="258">
        <f>'4.6_генерация_КТЭЦ'!D24+'4.6_транзит+сбыт_КТЭЦ'!D24</f>
        <v>34221</v>
      </c>
      <c r="E24" s="1047">
        <f>'4.6_генерация_КТЭЦ'!E24+'4.6_транзит+сбыт_КТЭЦ'!E24</f>
        <v>16365</v>
      </c>
      <c r="F24" s="258">
        <v>19715</v>
      </c>
      <c r="G24" s="258">
        <v>45622.217491173047</v>
      </c>
      <c r="H24" s="258">
        <v>21718</v>
      </c>
      <c r="I24" s="258">
        <v>61200</v>
      </c>
      <c r="J24" s="258">
        <v>61200</v>
      </c>
      <c r="K24" s="258">
        <v>64707.984000000004</v>
      </c>
      <c r="L24" s="258">
        <v>67840.497505439998</v>
      </c>
    </row>
    <row r="25" spans="1:12" s="1046" customFormat="1" ht="90">
      <c r="A25" s="1044"/>
      <c r="B25" s="1045" t="s">
        <v>373</v>
      </c>
      <c r="C25" s="258">
        <f>C27+C28+C29+C55</f>
        <v>51726</v>
      </c>
      <c r="D25" s="258">
        <f t="shared" ref="D25" si="1">D27+D28+D29+D55</f>
        <v>62408.878699999987</v>
      </c>
      <c r="E25" s="258">
        <f t="shared" ref="E25" si="2">E27+E28+E29</f>
        <v>26279</v>
      </c>
      <c r="F25" s="258">
        <v>76990.724436000019</v>
      </c>
      <c r="G25" s="258">
        <v>51832.090520774909</v>
      </c>
      <c r="H25" s="258">
        <v>91172.244030000016</v>
      </c>
      <c r="I25" s="258">
        <v>3479.3660999999997</v>
      </c>
      <c r="J25" s="258">
        <v>3479.3660999999997</v>
      </c>
      <c r="K25" s="258">
        <v>900.83663999999999</v>
      </c>
      <c r="L25" s="258">
        <v>944.44614174239985</v>
      </c>
    </row>
    <row r="26" spans="1:12" s="4" customFormat="1">
      <c r="A26" s="17"/>
      <c r="B26" s="51" t="s">
        <v>70</v>
      </c>
      <c r="C26" s="241"/>
      <c r="D26" s="241"/>
      <c r="E26" s="983"/>
      <c r="F26" s="241"/>
      <c r="G26" s="241"/>
      <c r="H26" s="241"/>
      <c r="I26" s="241"/>
      <c r="J26" s="241"/>
      <c r="K26" s="241"/>
      <c r="L26" s="241"/>
    </row>
    <row r="27" spans="1:12" s="4" customFormat="1">
      <c r="A27" s="17"/>
      <c r="B27" s="581" t="s">
        <v>1275</v>
      </c>
      <c r="C27" s="766">
        <f>'4.6_генерация_КТЭЦ'!C27+'4.6_транзит+сбыт_КТЭЦ'!C27</f>
        <v>393</v>
      </c>
      <c r="D27" s="766">
        <f>'4.6_генерация_КТЭЦ'!D27+'4.6_транзит+сбыт_КТЭЦ'!D27</f>
        <v>4</v>
      </c>
      <c r="E27" s="984">
        <f>'4.6_генерация_КТЭЦ'!E27+'4.6_транзит+сбыт_КТЭЦ'!E27</f>
        <v>567</v>
      </c>
      <c r="F27" s="766">
        <v>4</v>
      </c>
      <c r="G27" s="766">
        <v>0</v>
      </c>
      <c r="H27" s="766">
        <v>0</v>
      </c>
      <c r="I27" s="766">
        <v>0</v>
      </c>
      <c r="J27" s="766">
        <v>0</v>
      </c>
      <c r="K27" s="766">
        <v>0</v>
      </c>
      <c r="L27" s="766">
        <v>0</v>
      </c>
    </row>
    <row r="28" spans="1:12" s="4" customFormat="1">
      <c r="A28" s="17"/>
      <c r="B28" s="581" t="s">
        <v>1276</v>
      </c>
      <c r="C28" s="766">
        <f>'4.6_генерация_КТЭЦ'!C28+'4.6_транзит+сбыт_КТЭЦ'!C28</f>
        <v>482</v>
      </c>
      <c r="D28" s="766">
        <f>'4.6_генерация_КТЭЦ'!D28+'4.6_транзит+сбыт_КТЭЦ'!D28</f>
        <v>0</v>
      </c>
      <c r="E28" s="984">
        <f>'4.6_генерация_КТЭЦ'!E28+'4.6_транзит+сбыт_КТЭЦ'!E28</f>
        <v>398</v>
      </c>
      <c r="F28" s="766">
        <v>79</v>
      </c>
      <c r="G28" s="766">
        <v>0</v>
      </c>
      <c r="H28" s="766">
        <v>92</v>
      </c>
      <c r="I28" s="766">
        <v>852</v>
      </c>
      <c r="J28" s="766">
        <v>852</v>
      </c>
      <c r="K28" s="766">
        <v>900.83663999999999</v>
      </c>
      <c r="L28" s="766">
        <v>944.44614174239985</v>
      </c>
    </row>
    <row r="29" spans="1:12" s="4" customFormat="1">
      <c r="A29" s="17"/>
      <c r="B29" s="581" t="s">
        <v>1559</v>
      </c>
      <c r="C29" s="766">
        <f>'4.6_генерация_КТЭЦ'!C29+'4.6_транзит+сбыт_КТЭЦ'!C29</f>
        <v>50851</v>
      </c>
      <c r="D29" s="981">
        <f>'4.6_генерация_КТЭЦ'!$D$29+'4.6_транзит+сбыт_КТЭЦ'!D29</f>
        <v>62404.878699999987</v>
      </c>
      <c r="E29" s="984">
        <f>'4.6_генерация_КТЭЦ'!E29+'4.6_транзит+сбыт_КТЭЦ'!E29</f>
        <v>25314</v>
      </c>
      <c r="F29" s="766">
        <v>76907.724436000019</v>
      </c>
      <c r="G29" s="766">
        <v>51832.090520774909</v>
      </c>
      <c r="H29" s="766">
        <v>91080.244030000016</v>
      </c>
      <c r="I29" s="766">
        <v>2627.3660999999997</v>
      </c>
      <c r="J29" s="766">
        <v>2627.3660999999997</v>
      </c>
      <c r="K29" s="766">
        <v>0</v>
      </c>
      <c r="L29" s="766">
        <v>0</v>
      </c>
    </row>
    <row r="30" spans="1:12" s="4" customFormat="1" hidden="1" outlineLevel="1">
      <c r="A30" s="737" t="s">
        <v>89</v>
      </c>
      <c r="B30" s="738" t="s">
        <v>1244</v>
      </c>
      <c r="C30" s="1414">
        <f>'4.6_генерация_КТЭЦ'!C30+'4.6_транзит+сбыт_КТЭЦ'!C30</f>
        <v>0</v>
      </c>
      <c r="D30" s="1414">
        <f>'4.6_генерация_КТЭЦ'!D30+'4.6_транзит+сбыт_КТЭЦ'!D30</f>
        <v>16675.489999999998</v>
      </c>
      <c r="E30" s="1414">
        <f>'4.6_генерация_КТЭЦ'!E30+'4.6_транзит+сбыт_КТЭЦ'!E30</f>
        <v>0</v>
      </c>
      <c r="F30" s="1414">
        <v>17524</v>
      </c>
      <c r="G30" s="1414"/>
      <c r="H30" s="1414">
        <v>19010</v>
      </c>
      <c r="I30" s="1414">
        <v>0</v>
      </c>
      <c r="J30" s="1414">
        <v>0</v>
      </c>
      <c r="K30" s="1414">
        <v>0</v>
      </c>
      <c r="L30" s="1414">
        <v>0</v>
      </c>
    </row>
    <row r="31" spans="1:12" s="341" customFormat="1" hidden="1" outlineLevel="1">
      <c r="A31" s="760" t="s">
        <v>91</v>
      </c>
      <c r="B31" s="761" t="s">
        <v>1245</v>
      </c>
      <c r="C31" s="746">
        <f t="shared" ref="C31" si="3">SUM(C32:C43)+C45</f>
        <v>0</v>
      </c>
      <c r="D31" s="746">
        <f t="shared" ref="D31" si="4">SUM(D32:D43)+D45</f>
        <v>45729.388700000003</v>
      </c>
      <c r="E31" s="746">
        <f>SUM(E32:E45)</f>
        <v>0</v>
      </c>
      <c r="F31" s="746">
        <v>59383.724436000011</v>
      </c>
      <c r="G31" s="746">
        <v>0</v>
      </c>
      <c r="H31" s="746">
        <v>72070.244030000016</v>
      </c>
      <c r="I31" s="746">
        <v>2627.3660999999997</v>
      </c>
      <c r="J31" s="746">
        <v>2627.3660999999997</v>
      </c>
      <c r="K31" s="746">
        <v>0</v>
      </c>
      <c r="L31" s="746">
        <v>0</v>
      </c>
    </row>
    <row r="32" spans="1:12" s="4" customFormat="1" ht="25.5" hidden="1" outlineLevel="1">
      <c r="A32" s="739" t="s">
        <v>1044</v>
      </c>
      <c r="B32" s="740" t="s">
        <v>1247</v>
      </c>
      <c r="C32" s="750">
        <f>'4.6_генерация_КТЭЦ'!C32+'4.6_транзит+сбыт_КТЭЦ'!C32</f>
        <v>0</v>
      </c>
      <c r="D32" s="750">
        <f>'4.6_генерация_КТЭЦ'!D32+'4.6_транзит+сбыт_КТЭЦ'!D32</f>
        <v>2114.5706999999998</v>
      </c>
      <c r="E32" s="750">
        <f>'4.6_генерация_КТЭЦ'!E32+'4.6_транзит+сбыт_КТЭЦ'!E32</f>
        <v>0</v>
      </c>
      <c r="F32" s="750">
        <v>3602.2190400000004</v>
      </c>
      <c r="G32" s="750"/>
      <c r="H32" s="750">
        <v>3117.8302400000002</v>
      </c>
      <c r="I32" s="750">
        <v>0</v>
      </c>
      <c r="J32" s="750">
        <v>0</v>
      </c>
      <c r="K32" s="750">
        <v>0</v>
      </c>
      <c r="L32" s="750">
        <v>0</v>
      </c>
    </row>
    <row r="33" spans="1:12" s="4" customFormat="1" ht="25.5" hidden="1" outlineLevel="1">
      <c r="A33" s="739" t="s">
        <v>1043</v>
      </c>
      <c r="B33" s="740" t="s">
        <v>1249</v>
      </c>
      <c r="C33" s="750">
        <f>'4.6_генерация_КТЭЦ'!C33+'4.6_транзит+сбыт_КТЭЦ'!C33</f>
        <v>0</v>
      </c>
      <c r="D33" s="750">
        <f>'4.6_генерация_КТЭЦ'!D33+'4.6_транзит+сбыт_КТЭЦ'!D33</f>
        <v>31.412700000000001</v>
      </c>
      <c r="E33" s="750">
        <f>'4.6_генерация_КТЭЦ'!E33+'4.6_транзит+сбыт_КТЭЦ'!E33</f>
        <v>0</v>
      </c>
      <c r="F33" s="750">
        <v>2.1441780000000001</v>
      </c>
      <c r="G33" s="750"/>
      <c r="H33" s="750">
        <v>0</v>
      </c>
      <c r="I33" s="750">
        <v>0</v>
      </c>
      <c r="J33" s="750">
        <v>0</v>
      </c>
      <c r="K33" s="750">
        <v>0</v>
      </c>
      <c r="L33" s="750">
        <v>0</v>
      </c>
    </row>
    <row r="34" spans="1:12" s="4" customFormat="1" hidden="1" outlineLevel="1">
      <c r="A34" s="741" t="s">
        <v>1540</v>
      </c>
      <c r="B34" s="740" t="s">
        <v>1250</v>
      </c>
      <c r="C34" s="750">
        <f>'4.6_генерация_КТЭЦ'!C34+'4.6_транзит+сбыт_КТЭЦ'!C34</f>
        <v>0</v>
      </c>
      <c r="D34" s="750">
        <f>'4.6_генерация_КТЭЦ'!D34+'4.6_транзит+сбыт_КТЭЦ'!D34</f>
        <v>533.46479999999997</v>
      </c>
      <c r="E34" s="750">
        <f>'4.6_генерация_КТЭЦ'!E34+'4.6_транзит+сбыт_КТЭЦ'!E34</f>
        <v>0</v>
      </c>
      <c r="F34" s="750">
        <v>919.85236200000008</v>
      </c>
      <c r="G34" s="750"/>
      <c r="H34" s="750">
        <v>1080.9202399999999</v>
      </c>
      <c r="I34" s="750">
        <v>0</v>
      </c>
      <c r="J34" s="750">
        <v>0</v>
      </c>
      <c r="K34" s="750">
        <v>0</v>
      </c>
      <c r="L34" s="750">
        <v>0</v>
      </c>
    </row>
    <row r="35" spans="1:12" s="4" customFormat="1" ht="15" hidden="1" customHeight="1" outlineLevel="1">
      <c r="A35" s="739" t="s">
        <v>1541</v>
      </c>
      <c r="B35" s="740" t="s">
        <v>1251</v>
      </c>
      <c r="C35" s="750">
        <f>'4.6_генерация_КТЭЦ'!C35+'4.6_транзит+сбыт_КТЭЦ'!C35</f>
        <v>0</v>
      </c>
      <c r="D35" s="750">
        <f>'4.6_генерация_КТЭЦ'!D35+'4.6_транзит+сбыт_КТЭЦ'!D35</f>
        <v>1327.0488</v>
      </c>
      <c r="E35" s="750">
        <f>'4.6_генерация_КТЭЦ'!E35+'4.6_транзит+сбыт_КТЭЦ'!E35</f>
        <v>0</v>
      </c>
      <c r="F35" s="750">
        <v>2883.2046839999998</v>
      </c>
      <c r="G35" s="750"/>
      <c r="H35" s="750">
        <v>2091.2276000000002</v>
      </c>
      <c r="I35" s="750">
        <v>0</v>
      </c>
      <c r="J35" s="750">
        <v>0</v>
      </c>
      <c r="K35" s="750">
        <v>0</v>
      </c>
      <c r="L35" s="750">
        <v>0</v>
      </c>
    </row>
    <row r="36" spans="1:12" s="4" customFormat="1" hidden="1" outlineLevel="1">
      <c r="A36" s="739" t="s">
        <v>1542</v>
      </c>
      <c r="B36" s="740" t="s">
        <v>1252</v>
      </c>
      <c r="C36" s="750">
        <f>'4.6_генерация_КТЭЦ'!C36+'4.6_транзит+сбыт_КТЭЦ'!C36</f>
        <v>0</v>
      </c>
      <c r="D36" s="750">
        <f>'4.6_генерация_КТЭЦ'!D36+'4.6_транзит+сбыт_КТЭЦ'!D36</f>
        <v>6495.2645999999995</v>
      </c>
      <c r="E36" s="750">
        <f>'4.6_генерация_КТЭЦ'!E36+'4.6_транзит+сбыт_КТЭЦ'!E36</f>
        <v>0</v>
      </c>
      <c r="F36" s="750">
        <v>8082.1216080000013</v>
      </c>
      <c r="G36" s="750"/>
      <c r="H36" s="750">
        <v>11683.036790000002</v>
      </c>
      <c r="I36" s="750">
        <v>0</v>
      </c>
      <c r="J36" s="750">
        <v>0</v>
      </c>
      <c r="K36" s="750">
        <v>0</v>
      </c>
      <c r="L36" s="750">
        <v>0</v>
      </c>
    </row>
    <row r="37" spans="1:12" s="4" customFormat="1" hidden="1" outlineLevel="1">
      <c r="A37" s="739" t="s">
        <v>1543</v>
      </c>
      <c r="B37" s="740" t="s">
        <v>1253</v>
      </c>
      <c r="C37" s="750">
        <f>'4.6_генерация_КТЭЦ'!C37+'4.6_транзит+сбыт_КТЭЦ'!C37</f>
        <v>0</v>
      </c>
      <c r="D37" s="750">
        <f>'4.6_генерация_КТЭЦ'!D37+'4.6_транзит+сбыт_КТЭЦ'!D37</f>
        <v>5681.8409999999994</v>
      </c>
      <c r="E37" s="750">
        <f>'4.6_генерация_КТЭЦ'!E37+'4.6_транзит+сбыт_КТЭЦ'!E37</f>
        <v>0</v>
      </c>
      <c r="F37" s="750">
        <v>7117.9562340000011</v>
      </c>
      <c r="G37" s="750"/>
      <c r="H37" s="750">
        <v>13151.648900000002</v>
      </c>
      <c r="I37" s="750">
        <v>0</v>
      </c>
      <c r="J37" s="750">
        <v>0</v>
      </c>
      <c r="K37" s="750">
        <v>0</v>
      </c>
      <c r="L37" s="750">
        <v>0</v>
      </c>
    </row>
    <row r="38" spans="1:12" s="4" customFormat="1" hidden="1" outlineLevel="1">
      <c r="A38" s="739" t="s">
        <v>1544</v>
      </c>
      <c r="B38" s="742" t="s">
        <v>1254</v>
      </c>
      <c r="C38" s="750">
        <f>'4.6_генерация_КТЭЦ'!C38+'4.6_транзит+сбыт_КТЭЦ'!C38</f>
        <v>0</v>
      </c>
      <c r="D38" s="750">
        <f>'4.6_генерация_КТЭЦ'!D38+'4.6_транзит+сбыт_КТЭЦ'!D38</f>
        <v>835.46759999999995</v>
      </c>
      <c r="E38" s="750">
        <f>'4.6_генерация_КТЭЦ'!E38+'4.6_транзит+сбыт_КТЭЦ'!E38</f>
        <v>0</v>
      </c>
      <c r="F38" s="750">
        <v>1772.5204800000001</v>
      </c>
      <c r="G38" s="750"/>
      <c r="H38" s="750">
        <v>1633.6018199999999</v>
      </c>
      <c r="I38" s="750">
        <v>2627.3660999999997</v>
      </c>
      <c r="J38" s="750">
        <v>2627.3660999999997</v>
      </c>
      <c r="K38" s="750">
        <v>0</v>
      </c>
      <c r="L38" s="750">
        <v>0</v>
      </c>
    </row>
    <row r="39" spans="1:12" s="4" customFormat="1" hidden="1" outlineLevel="1">
      <c r="A39" s="739" t="s">
        <v>1545</v>
      </c>
      <c r="B39" s="740" t="s">
        <v>1255</v>
      </c>
      <c r="C39" s="750">
        <f>'4.6_генерация_КТЭЦ'!C39+'4.6_транзит+сбыт_КТЭЦ'!C39</f>
        <v>0</v>
      </c>
      <c r="D39" s="750">
        <f>'4.6_генерация_КТЭЦ'!D39+'4.6_транзит+сбыт_КТЭЦ'!D39</f>
        <v>143.83709999999999</v>
      </c>
      <c r="E39" s="750">
        <f>'4.6_генерация_КТЭЦ'!E39+'4.6_транзит+сбыт_КТЭЦ'!E39</f>
        <v>0</v>
      </c>
      <c r="F39" s="750">
        <v>260.87499000000003</v>
      </c>
      <c r="G39" s="750"/>
      <c r="H39" s="750">
        <v>346.27470000000005</v>
      </c>
      <c r="I39" s="750">
        <v>0</v>
      </c>
      <c r="J39" s="750">
        <v>0</v>
      </c>
      <c r="K39" s="750">
        <v>0</v>
      </c>
      <c r="L39" s="750">
        <v>0</v>
      </c>
    </row>
    <row r="40" spans="1:12" s="4" customFormat="1" ht="25.5" hidden="1" outlineLevel="1">
      <c r="A40" s="739" t="s">
        <v>1546</v>
      </c>
      <c r="B40" s="742" t="s">
        <v>1256</v>
      </c>
      <c r="C40" s="750">
        <f>'4.6_генерация_КТЭЦ'!C40+'4.6_транзит+сбыт_КТЭЦ'!C40</f>
        <v>0</v>
      </c>
      <c r="D40" s="750">
        <f>'4.6_генерация_КТЭЦ'!D40+'4.6_транзит+сбыт_КТЭЦ'!D40</f>
        <v>410.56949999999995</v>
      </c>
      <c r="E40" s="750">
        <f>'4.6_генерация_КТЭЦ'!E40+'4.6_транзит+сбыт_КТЭЦ'!E40</f>
        <v>0</v>
      </c>
      <c r="F40" s="750">
        <v>1002.045852</v>
      </c>
      <c r="G40" s="750"/>
      <c r="H40" s="750">
        <v>309.61032</v>
      </c>
      <c r="I40" s="750">
        <v>0</v>
      </c>
      <c r="J40" s="750">
        <v>0</v>
      </c>
      <c r="K40" s="750">
        <v>0</v>
      </c>
      <c r="L40" s="750">
        <v>0</v>
      </c>
    </row>
    <row r="41" spans="1:12" s="4" customFormat="1" hidden="1" outlineLevel="1">
      <c r="A41" s="739" t="s">
        <v>1547</v>
      </c>
      <c r="B41" s="742" t="s">
        <v>1257</v>
      </c>
      <c r="C41" s="750">
        <f>'4.6_генерация_КТЭЦ'!C41+'4.6_транзит+сбыт_КТЭЦ'!C41</f>
        <v>0</v>
      </c>
      <c r="D41" s="750">
        <f>'4.6_генерация_КТЭЦ'!D41+'4.6_транзит+сбыт_КТЭЦ'!D41</f>
        <v>25308.929300000003</v>
      </c>
      <c r="E41" s="750">
        <f>'4.6_генерация_КТЭЦ'!E41+'4.6_транзит+сбыт_КТЭЦ'!E41</f>
        <v>0</v>
      </c>
      <c r="F41" s="750">
        <v>27683.482158000006</v>
      </c>
      <c r="G41" s="750"/>
      <c r="H41" s="750">
        <v>32001.214039999999</v>
      </c>
      <c r="I41" s="750">
        <v>0</v>
      </c>
      <c r="J41" s="750">
        <v>0</v>
      </c>
      <c r="K41" s="750">
        <v>0</v>
      </c>
      <c r="L41" s="750">
        <v>0</v>
      </c>
    </row>
    <row r="42" spans="1:12" s="4" customFormat="1" hidden="1" outlineLevel="1">
      <c r="A42" s="741" t="s">
        <v>1548</v>
      </c>
      <c r="B42" s="742" t="s">
        <v>1556</v>
      </c>
      <c r="C42" s="750">
        <f>'4.6_генерация_КТЭЦ'!C42+'4.6_транзит+сбыт_КТЭЦ'!C42</f>
        <v>0</v>
      </c>
      <c r="D42" s="750">
        <f>'4.6_генерация_КТЭЦ'!D42+'4.6_транзит+сбыт_КТЭЦ'!D42</f>
        <v>185.72069999999999</v>
      </c>
      <c r="E42" s="750">
        <f>'4.6_генерация_КТЭЦ'!E42+'4.6_транзит+сбыт_КТЭЦ'!E42</f>
        <v>0</v>
      </c>
      <c r="F42" s="750">
        <v>756.89483400000006</v>
      </c>
      <c r="G42" s="750"/>
      <c r="H42" s="750">
        <v>361.89101000000005</v>
      </c>
      <c r="I42" s="750">
        <v>0</v>
      </c>
      <c r="J42" s="750">
        <v>0</v>
      </c>
      <c r="K42" s="750">
        <v>0</v>
      </c>
      <c r="L42" s="750">
        <v>0</v>
      </c>
    </row>
    <row r="43" spans="1:12" s="4" customFormat="1" hidden="1" outlineLevel="1">
      <c r="A43" s="741" t="s">
        <v>1549</v>
      </c>
      <c r="B43" s="742" t="s">
        <v>1258</v>
      </c>
      <c r="C43" s="750">
        <f>'4.6_генерация_КТЭЦ'!C43+'4.6_транзит+сбыт_КТЭЦ'!C43</f>
        <v>0</v>
      </c>
      <c r="D43" s="750">
        <f>'4.6_генерация_КТЭЦ'!D43+'4.6_транзит+сбыт_КТЭЦ'!D43</f>
        <v>926.9502</v>
      </c>
      <c r="E43" s="750">
        <f>'4.6_генерация_КТЭЦ'!E43+'4.6_транзит+сбыт_КТЭЦ'!E43</f>
        <v>0</v>
      </c>
      <c r="F43" s="750">
        <v>1117.8314640000001</v>
      </c>
      <c r="G43" s="750"/>
      <c r="H43" s="750">
        <v>1362.6927900000001</v>
      </c>
      <c r="I43" s="750">
        <v>0</v>
      </c>
      <c r="J43" s="750">
        <v>0</v>
      </c>
      <c r="K43" s="750">
        <v>0</v>
      </c>
      <c r="L43" s="750">
        <v>0</v>
      </c>
    </row>
    <row r="44" spans="1:12" s="4" customFormat="1" hidden="1" outlineLevel="1">
      <c r="A44" s="764" t="s">
        <v>1555</v>
      </c>
      <c r="B44" s="742" t="s">
        <v>1890</v>
      </c>
      <c r="C44" s="750">
        <f>'4.6_генерация_КТЭЦ'!C44+'4.6_транзит+сбыт_КТЭЦ'!C44</f>
        <v>0</v>
      </c>
      <c r="D44" s="750">
        <f>'4.6_генерация_КТЭЦ'!D44+'4.6_транзит+сбыт_КТЭЦ'!D44</f>
        <v>927</v>
      </c>
      <c r="E44" s="750">
        <f>'4.6_генерация_КТЭЦ'!E44+'4.6_транзит+сбыт_КТЭЦ'!E44</f>
        <v>0</v>
      </c>
      <c r="F44" s="750">
        <v>0</v>
      </c>
      <c r="G44" s="750"/>
      <c r="H44" s="750">
        <v>0</v>
      </c>
      <c r="I44" s="750">
        <v>0</v>
      </c>
      <c r="J44" s="750">
        <v>0</v>
      </c>
      <c r="K44" s="750">
        <v>0</v>
      </c>
      <c r="L44" s="750">
        <v>0</v>
      </c>
    </row>
    <row r="45" spans="1:12" s="341" customFormat="1" hidden="1" outlineLevel="1">
      <c r="A45" s="764" t="s">
        <v>1889</v>
      </c>
      <c r="B45" s="765" t="s">
        <v>1259</v>
      </c>
      <c r="C45" s="746">
        <f>SUM(C46:C55)</f>
        <v>0</v>
      </c>
      <c r="D45" s="746">
        <f t="shared" ref="D45:E45" si="5">SUM(D46:D55)</f>
        <v>1734.3117</v>
      </c>
      <c r="E45" s="746">
        <f t="shared" si="5"/>
        <v>0</v>
      </c>
      <c r="F45" s="746">
        <v>4182.5765520000004</v>
      </c>
      <c r="G45" s="746">
        <v>0</v>
      </c>
      <c r="H45" s="746">
        <v>4930.29558</v>
      </c>
      <c r="I45" s="746">
        <v>0</v>
      </c>
      <c r="J45" s="746">
        <v>0</v>
      </c>
      <c r="K45" s="746">
        <v>0</v>
      </c>
      <c r="L45" s="746">
        <v>0</v>
      </c>
    </row>
    <row r="46" spans="1:12" s="4" customFormat="1" hidden="1" outlineLevel="1">
      <c r="A46" s="744"/>
      <c r="B46" s="745" t="s">
        <v>1260</v>
      </c>
      <c r="C46" s="750">
        <f>'4.6_генерация_КТЭЦ'!C46+'4.6_транзит+сбыт_КТЭЦ'!C46</f>
        <v>0</v>
      </c>
      <c r="D46" s="750">
        <f>'4.6_генерация_КТЭЦ'!D46+'4.6_транзит+сбыт_КТЭЦ'!D46</f>
        <v>260.11919999999998</v>
      </c>
      <c r="E46" s="750">
        <f>'4.6_генерация_КТЭЦ'!E46+'4.6_транзит+сбыт_КТЭЦ'!E46</f>
        <v>0</v>
      </c>
      <c r="F46" s="750">
        <v>382.37841000000003</v>
      </c>
      <c r="G46" s="750"/>
      <c r="H46" s="750">
        <v>248.50301999999999</v>
      </c>
      <c r="I46" s="750">
        <v>0</v>
      </c>
      <c r="J46" s="750">
        <v>0</v>
      </c>
      <c r="K46" s="750">
        <v>0</v>
      </c>
      <c r="L46" s="750">
        <v>0</v>
      </c>
    </row>
    <row r="47" spans="1:12" s="4" customFormat="1" hidden="1" outlineLevel="1">
      <c r="A47" s="744"/>
      <c r="B47" s="743" t="s">
        <v>1261</v>
      </c>
      <c r="C47" s="750">
        <f>'4.6_генерация_КТЭЦ'!C47+'4.6_транзит+сбыт_КТЭЦ'!C47</f>
        <v>0</v>
      </c>
      <c r="D47" s="750">
        <f>'4.6_генерация_КТЭЦ'!D47+'4.6_транзит+сбыт_КТЭЦ'!D47</f>
        <v>349.3974</v>
      </c>
      <c r="E47" s="750">
        <f>'4.6_генерация_КТЭЦ'!E47+'4.6_транзит+сбыт_КТЭЦ'!E47</f>
        <v>0</v>
      </c>
      <c r="F47" s="750">
        <v>647.54175600000008</v>
      </c>
      <c r="G47" s="750"/>
      <c r="H47" s="750">
        <v>521.44895999999994</v>
      </c>
      <c r="I47" s="750">
        <v>0</v>
      </c>
      <c r="J47" s="750">
        <v>0</v>
      </c>
      <c r="K47" s="750">
        <v>0</v>
      </c>
      <c r="L47" s="750">
        <v>0</v>
      </c>
    </row>
    <row r="48" spans="1:12" s="4" customFormat="1" hidden="1" outlineLevel="1">
      <c r="A48" s="744"/>
      <c r="B48" s="743" t="s">
        <v>1262</v>
      </c>
      <c r="C48" s="750">
        <f>'4.6_генерация_КТЭЦ'!C48+'4.6_транзит+сбыт_КТЭЦ'!C48</f>
        <v>0</v>
      </c>
      <c r="D48" s="750">
        <f>'4.6_генерация_КТЭЦ'!D48+'4.6_транзит+сбыт_КТЭЦ'!D48</f>
        <v>445.83990000000006</v>
      </c>
      <c r="E48" s="750">
        <f>'4.6_генерация_КТЭЦ'!E48+'4.6_транзит+сбыт_КТЭЦ'!E48</f>
        <v>0</v>
      </c>
      <c r="F48" s="750">
        <v>787.62805200000003</v>
      </c>
      <c r="G48" s="750"/>
      <c r="H48" s="750">
        <v>696.62321999999995</v>
      </c>
      <c r="I48" s="750">
        <v>0</v>
      </c>
      <c r="J48" s="750">
        <v>0</v>
      </c>
      <c r="K48" s="750">
        <v>0</v>
      </c>
      <c r="L48" s="750">
        <v>0</v>
      </c>
    </row>
    <row r="49" spans="1:12" s="4" customFormat="1" hidden="1" outlineLevel="1">
      <c r="A49" s="744"/>
      <c r="B49" s="743" t="s">
        <v>1263</v>
      </c>
      <c r="C49" s="750">
        <f>'4.6_генерация_КТЭЦ'!C49+'4.6_транзит+сбыт_КТЭЦ'!C49</f>
        <v>0</v>
      </c>
      <c r="D49" s="750">
        <f>'4.6_генерация_КТЭЦ'!D49+'4.6_транзит+сбыт_КТЭЦ'!D49</f>
        <v>141.6327</v>
      </c>
      <c r="E49" s="750">
        <f>'4.6_генерация_КТЭЦ'!E49+'4.6_транзит+сбыт_КТЭЦ'!E49</f>
        <v>0</v>
      </c>
      <c r="F49" s="750">
        <v>657.54791999999998</v>
      </c>
      <c r="G49" s="750"/>
      <c r="H49" s="750">
        <v>181.96395999999999</v>
      </c>
      <c r="I49" s="750">
        <v>0</v>
      </c>
      <c r="J49" s="750">
        <v>0</v>
      </c>
      <c r="K49" s="750">
        <v>0</v>
      </c>
      <c r="L49" s="750">
        <v>0</v>
      </c>
    </row>
    <row r="50" spans="1:12" s="4" customFormat="1" ht="25.5" hidden="1" outlineLevel="1">
      <c r="A50" s="744"/>
      <c r="B50" s="743" t="s">
        <v>1891</v>
      </c>
      <c r="C50" s="750">
        <f>'4.6_генерация_КТЭЦ'!C50+'4.6_транзит+сбыт_КТЭЦ'!C50</f>
        <v>0</v>
      </c>
      <c r="D50" s="750">
        <f>'4.6_генерация_КТЭЦ'!D50+'4.6_транзит+сбыт_КТЭЦ'!D50</f>
        <v>537.32249999999999</v>
      </c>
      <c r="E50" s="750">
        <f>'4.6_генерация_КТЭЦ'!E50+'4.6_транзит+сбыт_КТЭЦ'!E50</f>
        <v>0</v>
      </c>
      <c r="F50" s="750">
        <v>1707.4804140000001</v>
      </c>
      <c r="G50" s="750"/>
      <c r="H50" s="750">
        <v>1557.55718</v>
      </c>
      <c r="I50" s="750">
        <v>0</v>
      </c>
      <c r="J50" s="750">
        <v>0</v>
      </c>
      <c r="K50" s="750">
        <v>0</v>
      </c>
      <c r="L50" s="750">
        <v>0</v>
      </c>
    </row>
    <row r="51" spans="1:12" s="4" customFormat="1" ht="25.5" hidden="1" outlineLevel="1">
      <c r="A51" s="744"/>
      <c r="B51" s="743" t="s">
        <v>1264</v>
      </c>
      <c r="C51" s="750">
        <f>'4.6_генерация_КТЭЦ'!C51+'4.6_транзит+сбыт_КТЭЦ'!C51</f>
        <v>0</v>
      </c>
      <c r="D51" s="750">
        <f>'4.6_генерация_КТЭЦ'!D51+'4.6_транзит+сбыт_КТЭЦ'!D51</f>
        <v>0</v>
      </c>
      <c r="E51" s="750">
        <f>'4.6_генерация_КТЭЦ'!E51+'4.6_транзит+сбыт_КТЭЦ'!E51</f>
        <v>0</v>
      </c>
      <c r="F51" s="750">
        <v>0</v>
      </c>
      <c r="G51" s="750"/>
      <c r="H51" s="750">
        <v>0</v>
      </c>
      <c r="I51" s="750">
        <v>0</v>
      </c>
      <c r="J51" s="750">
        <v>0</v>
      </c>
      <c r="K51" s="750">
        <v>0</v>
      </c>
      <c r="L51" s="750">
        <v>0</v>
      </c>
    </row>
    <row r="52" spans="1:12" s="4" customFormat="1" hidden="1" outlineLevel="1">
      <c r="A52" s="744"/>
      <c r="B52" s="1391" t="s">
        <v>1883</v>
      </c>
      <c r="C52" s="750">
        <f>'4.6_генерация_КТЭЦ'!C52+'4.6_транзит+сбыт_КТЭЦ'!C52</f>
        <v>0</v>
      </c>
      <c r="D52" s="750">
        <f>'4.6_генерация_КТЭЦ'!D52+'4.6_транзит+сбыт_КТЭЦ'!D52</f>
        <v>0</v>
      </c>
      <c r="E52" s="750">
        <f>'4.6_генерация_КТЭЦ'!E52+'4.6_транзит+сбыт_КТЭЦ'!E52</f>
        <v>0</v>
      </c>
      <c r="F52" s="750">
        <v>0</v>
      </c>
      <c r="G52" s="750"/>
      <c r="H52" s="750">
        <v>168</v>
      </c>
      <c r="I52" s="750">
        <v>0</v>
      </c>
      <c r="J52" s="750">
        <v>0</v>
      </c>
      <c r="K52" s="750">
        <v>0</v>
      </c>
      <c r="L52" s="750">
        <v>0</v>
      </c>
    </row>
    <row r="53" spans="1:12" s="4" customFormat="1" hidden="1" outlineLevel="1">
      <c r="A53" s="744"/>
      <c r="B53" s="743" t="s">
        <v>1884</v>
      </c>
      <c r="C53" s="750">
        <f>'4.6_генерация_КТЭЦ'!C53+'4.6_транзит+сбыт_КТЭЦ'!C53</f>
        <v>0</v>
      </c>
      <c r="D53" s="750">
        <f>'4.6_генерация_КТЭЦ'!D53+'4.6_транзит+сбыт_КТЭЦ'!D53</f>
        <v>0</v>
      </c>
      <c r="E53" s="750">
        <f>'4.6_генерация_КТЭЦ'!E53+'4.6_транзит+сбыт_КТЭЦ'!E53</f>
        <v>0</v>
      </c>
      <c r="F53" s="750">
        <v>0</v>
      </c>
      <c r="G53" s="750"/>
      <c r="H53" s="750">
        <v>1556.1992399999999</v>
      </c>
      <c r="I53" s="750">
        <v>0</v>
      </c>
      <c r="J53" s="750">
        <v>0</v>
      </c>
      <c r="K53" s="750">
        <v>0</v>
      </c>
      <c r="L53" s="750">
        <v>0</v>
      </c>
    </row>
    <row r="54" spans="1:12" s="4" customFormat="1" ht="25.5" hidden="1" outlineLevel="1">
      <c r="A54" s="17"/>
      <c r="B54" s="743" t="s">
        <v>1885</v>
      </c>
      <c r="C54" s="750">
        <f>'4.6_генерация_КТЭЦ'!C54+'4.6_транзит+сбыт_КТЭЦ'!C54</f>
        <v>0</v>
      </c>
      <c r="D54" s="750">
        <f>'4.6_генерация_КТЭЦ'!D54+'4.6_транзит+сбыт_КТЭЦ'!D54</f>
        <v>0</v>
      </c>
      <c r="E54" s="750">
        <f>'4.6_генерация_КТЭЦ'!E54+'4.6_транзит+сбыт_КТЭЦ'!E54</f>
        <v>0</v>
      </c>
      <c r="F54" s="750">
        <v>0</v>
      </c>
      <c r="G54" s="750"/>
      <c r="H54" s="750">
        <v>0</v>
      </c>
      <c r="I54" s="750">
        <v>0</v>
      </c>
      <c r="J54" s="750">
        <v>0</v>
      </c>
      <c r="K54" s="750">
        <v>0</v>
      </c>
      <c r="L54" s="750">
        <v>0</v>
      </c>
    </row>
    <row r="55" spans="1:12" s="341" customFormat="1" ht="25.5" hidden="1" outlineLevel="1">
      <c r="A55" s="339"/>
      <c r="B55" s="743" t="s">
        <v>1886</v>
      </c>
      <c r="C55" s="750">
        <f>'4.6_генерация_КТЭЦ'!C55+'4.6_транзит+сбыт_КТЭЦ'!C55</f>
        <v>0</v>
      </c>
      <c r="D55" s="750">
        <f>'4.6_генерация_КТЭЦ'!D55+'4.6_транзит+сбыт_КТЭЦ'!D55</f>
        <v>0</v>
      </c>
      <c r="E55" s="750">
        <f>'4.6_генерация_КТЭЦ'!E55+'4.6_транзит+сбыт_КТЭЦ'!E55</f>
        <v>0</v>
      </c>
      <c r="F55" s="750">
        <v>0</v>
      </c>
      <c r="G55" s="750"/>
      <c r="H55" s="750">
        <v>0</v>
      </c>
      <c r="I55" s="750">
        <v>0</v>
      </c>
      <c r="J55" s="750">
        <v>0</v>
      </c>
      <c r="K55" s="750">
        <v>0</v>
      </c>
      <c r="L55" s="750">
        <v>0</v>
      </c>
    </row>
    <row r="56" spans="1:12" s="1046" customFormat="1" ht="75" collapsed="1">
      <c r="A56" s="1044"/>
      <c r="B56" s="1045" t="s">
        <v>374</v>
      </c>
      <c r="C56" s="258">
        <f>'4.6_генерация_КТЭЦ'!C56+'4.6_транзит+сбыт_КТЭЦ'!C56</f>
        <v>942</v>
      </c>
      <c r="D56" s="258">
        <f>'4.6_генерация_КТЭЦ'!D56+'4.6_транзит+сбыт_КТЭЦ'!D56</f>
        <v>0</v>
      </c>
      <c r="E56" s="1047">
        <f>'4.6_генерация_КТЭЦ'!E56+'4.6_транзит+сбыт_КТЭЦ'!E56</f>
        <v>262</v>
      </c>
      <c r="F56" s="258">
        <v>0</v>
      </c>
      <c r="G56" s="258">
        <v>128.81211180124222</v>
      </c>
      <c r="H56" s="258">
        <v>0</v>
      </c>
      <c r="I56" s="258">
        <v>0</v>
      </c>
      <c r="J56" s="258">
        <v>0</v>
      </c>
      <c r="K56" s="258">
        <v>0</v>
      </c>
      <c r="L56" s="258">
        <v>0</v>
      </c>
    </row>
    <row r="57" spans="1:12" s="1046" customFormat="1" ht="30">
      <c r="A57" s="1044"/>
      <c r="B57" s="1045" t="s">
        <v>375</v>
      </c>
      <c r="C57" s="258">
        <f>'4.6_генерация_КТЭЦ'!C57+'4.6_транзит+сбыт_КТЭЦ'!C57</f>
        <v>115180</v>
      </c>
      <c r="D57" s="258">
        <f>'4.6_генерация_КТЭЦ'!D57+'4.6_транзит+сбыт_КТЭЦ'!D57</f>
        <v>106412</v>
      </c>
      <c r="E57" s="1047">
        <f>'4.6_генерация_КТЭЦ'!E57+'4.6_транзит+сбыт_КТЭЦ'!E57</f>
        <v>0</v>
      </c>
      <c r="F57" s="258">
        <v>120588</v>
      </c>
      <c r="G57" s="258">
        <v>88768.948368928803</v>
      </c>
      <c r="H57" s="258">
        <v>105717</v>
      </c>
      <c r="I57" s="258">
        <v>0</v>
      </c>
      <c r="J57" s="258">
        <v>109737</v>
      </c>
      <c r="K57" s="258">
        <v>120688</v>
      </c>
      <c r="L57" s="258">
        <v>127809</v>
      </c>
    </row>
    <row r="58" spans="1:12" s="1046" customFormat="1" ht="15" customHeight="1">
      <c r="A58" s="1044"/>
      <c r="B58" s="1045" t="s">
        <v>376</v>
      </c>
      <c r="C58" s="258">
        <f>'4.6_генерация_КТЭЦ'!C58+'4.6_транзит+сбыт_КТЭЦ'!C58</f>
        <v>2756</v>
      </c>
      <c r="D58" s="258">
        <f>'4.6_генерация_КТЭЦ'!D58+'4.6_транзит+сбыт_КТЭЦ'!D58</f>
        <v>495</v>
      </c>
      <c r="E58" s="1047">
        <f>'4.6_генерация_КТЭЦ'!E58+'4.6_транзит+сбыт_КТЭЦ'!E58</f>
        <v>1782</v>
      </c>
      <c r="F58" s="258">
        <v>1093</v>
      </c>
      <c r="G58" s="258">
        <v>1274.2799959159299</v>
      </c>
      <c r="H58" s="258">
        <v>719</v>
      </c>
      <c r="I58" s="258">
        <v>3552</v>
      </c>
      <c r="J58" s="258">
        <v>3552</v>
      </c>
      <c r="K58" s="258">
        <v>3755.6006400000001</v>
      </c>
      <c r="L58" s="258">
        <v>3937.4092669823995</v>
      </c>
    </row>
    <row r="59" spans="1:12" s="1046" customFormat="1" ht="15" customHeight="1">
      <c r="A59" s="1044"/>
      <c r="B59" s="1045" t="s">
        <v>377</v>
      </c>
      <c r="C59" s="258">
        <f>'4.6_генерация_КТЭЦ'!C59+'4.6_транзит+сбыт_КТЭЦ'!C59</f>
        <v>1457</v>
      </c>
      <c r="D59" s="258">
        <f>'4.6_генерация_КТЭЦ'!D59+'4.6_транзит+сбыт_КТЭЦ'!D59</f>
        <v>589</v>
      </c>
      <c r="E59" s="1047">
        <f>'4.6_генерация_КТЭЦ'!E59+'4.6_транзит+сбыт_КТЭЦ'!E59</f>
        <v>375</v>
      </c>
      <c r="F59" s="258">
        <v>814</v>
      </c>
      <c r="G59" s="258">
        <v>502.93002345582488</v>
      </c>
      <c r="H59" s="258">
        <v>714</v>
      </c>
      <c r="I59" s="258">
        <v>1512</v>
      </c>
      <c r="J59" s="258">
        <v>1512</v>
      </c>
      <c r="K59" s="258">
        <v>1598.6678400000001</v>
      </c>
      <c r="L59" s="258">
        <v>1676.0593501343997</v>
      </c>
    </row>
    <row r="60" spans="1:12" s="1046" customFormat="1" ht="45" customHeight="1">
      <c r="A60" s="1044"/>
      <c r="B60" s="1045" t="s">
        <v>378</v>
      </c>
      <c r="C60" s="258">
        <f>'4.6_генерация_КТЭЦ'!C60+'4.6_транзит+сбыт_КТЭЦ'!C60</f>
        <v>1537</v>
      </c>
      <c r="D60" s="258">
        <f>'4.6_генерация_КТЭЦ'!D60+'4.6_транзит+сбыт_КТЭЦ'!D60</f>
        <v>4174</v>
      </c>
      <c r="E60" s="1047">
        <f>'4.6_генерация_КТЭЦ'!E60+'4.6_транзит+сбыт_КТЭЦ'!E60</f>
        <v>532</v>
      </c>
      <c r="F60" s="258">
        <v>5603</v>
      </c>
      <c r="G60" s="258">
        <v>1194.0797856398228</v>
      </c>
      <c r="H60" s="258">
        <v>6495</v>
      </c>
      <c r="I60" s="258">
        <v>0</v>
      </c>
      <c r="J60" s="258">
        <v>7608.5</v>
      </c>
      <c r="K60" s="258">
        <v>10560.3</v>
      </c>
      <c r="L60" s="258">
        <v>11184.3</v>
      </c>
    </row>
    <row r="61" spans="1:12" s="1046" customFormat="1" ht="30" customHeight="1">
      <c r="A61" s="1044"/>
      <c r="B61" s="1045" t="s">
        <v>379</v>
      </c>
      <c r="C61" s="258">
        <f>SUM(C62:C66)</f>
        <v>23735</v>
      </c>
      <c r="D61" s="258">
        <f t="shared" ref="D61:E61" si="6">SUM(D62:D66)</f>
        <v>12803</v>
      </c>
      <c r="E61" s="1047">
        <f t="shared" si="6"/>
        <v>7070</v>
      </c>
      <c r="F61" s="258">
        <v>17222</v>
      </c>
      <c r="G61" s="258">
        <v>18618.22198256023</v>
      </c>
      <c r="H61" s="258">
        <v>15239</v>
      </c>
      <c r="I61" s="258">
        <v>0</v>
      </c>
      <c r="J61" s="258">
        <v>22378</v>
      </c>
      <c r="K61" s="258">
        <v>22904</v>
      </c>
      <c r="L61" s="258">
        <v>26304</v>
      </c>
    </row>
    <row r="62" spans="1:12" s="4" customFormat="1" ht="15" customHeight="1">
      <c r="A62" s="17"/>
      <c r="B62" s="51" t="s">
        <v>380</v>
      </c>
      <c r="C62" s="241">
        <f>'4.6_генерация_КТЭЦ'!C62+'4.6_транзит+сбыт_КТЭЦ'!C62</f>
        <v>13819</v>
      </c>
      <c r="D62" s="241">
        <f>'4.6_генерация_КТЭЦ'!D62+'4.6_транзит+сбыт_КТЭЦ'!D62</f>
        <v>4117</v>
      </c>
      <c r="E62" s="983">
        <f>'4.6_генерация_КТЭЦ'!E62+'4.6_транзит+сбыт_КТЭЦ'!E62</f>
        <v>2357</v>
      </c>
      <c r="F62" s="241">
        <v>9061</v>
      </c>
      <c r="G62" s="241">
        <v>9764.3754470598014</v>
      </c>
      <c r="H62" s="241">
        <v>8665</v>
      </c>
      <c r="I62" s="241">
        <v>0</v>
      </c>
      <c r="J62" s="241">
        <v>11609</v>
      </c>
      <c r="K62" s="241">
        <v>12883</v>
      </c>
      <c r="L62" s="241">
        <v>15110</v>
      </c>
    </row>
    <row r="63" spans="1:12" s="4" customFormat="1" ht="15" customHeight="1">
      <c r="A63" s="17"/>
      <c r="B63" s="51" t="s">
        <v>381</v>
      </c>
      <c r="C63" s="241">
        <f>'4.6_генерация_КТЭЦ'!C63+'4.6_транзит+сбыт_КТЭЦ'!C63</f>
        <v>6261</v>
      </c>
      <c r="D63" s="241">
        <f>'4.6_генерация_КТЭЦ'!D63+'4.6_транзит+сбыт_КТЭЦ'!D63</f>
        <v>5161</v>
      </c>
      <c r="E63" s="983">
        <f>'4.6_генерация_КТЭЦ'!E63+'4.6_транзит+сбыт_КТЭЦ'!E63</f>
        <v>1862</v>
      </c>
      <c r="F63" s="241">
        <v>4502</v>
      </c>
      <c r="G63" s="241">
        <v>4694.8465355004273</v>
      </c>
      <c r="H63" s="241">
        <v>2364</v>
      </c>
      <c r="I63" s="241">
        <v>0</v>
      </c>
      <c r="J63" s="241">
        <v>2977</v>
      </c>
      <c r="K63" s="241">
        <v>3167</v>
      </c>
      <c r="L63" s="241">
        <v>3334</v>
      </c>
    </row>
    <row r="64" spans="1:12" s="4" customFormat="1" ht="15" customHeight="1">
      <c r="A64" s="17"/>
      <c r="B64" s="51" t="s">
        <v>382</v>
      </c>
      <c r="C64" s="241">
        <f>'4.6_генерация_КТЭЦ'!C64+'4.6_транзит+сбыт_КТЭЦ'!C64</f>
        <v>50</v>
      </c>
      <c r="D64" s="241">
        <f>'4.6_генерация_КТЭЦ'!D64+'4.6_транзит+сбыт_КТЭЦ'!D64</f>
        <v>79</v>
      </c>
      <c r="E64" s="983">
        <f>'4.6_генерация_КТЭЦ'!E64+'4.6_транзит+сбыт_КТЭЦ'!E64</f>
        <v>16</v>
      </c>
      <c r="F64" s="241">
        <v>114</v>
      </c>
      <c r="G64" s="241">
        <v>90</v>
      </c>
      <c r="H64" s="241">
        <v>105</v>
      </c>
      <c r="I64" s="241">
        <v>0</v>
      </c>
      <c r="J64" s="241">
        <v>191</v>
      </c>
      <c r="K64" s="241">
        <v>193</v>
      </c>
      <c r="L64" s="241">
        <v>193</v>
      </c>
    </row>
    <row r="65" spans="1:12" s="4" customFormat="1" ht="15" customHeight="1">
      <c r="A65" s="17"/>
      <c r="B65" s="51" t="s">
        <v>383</v>
      </c>
      <c r="C65" s="241">
        <f>'4.6_генерация_КТЭЦ'!C65+'4.6_транзит+сбыт_КТЭЦ'!C65</f>
        <v>3605</v>
      </c>
      <c r="D65" s="241">
        <f>'4.6_генерация_КТЭЦ'!D65+'4.6_транзит+сбыт_КТЭЦ'!D65</f>
        <v>3446</v>
      </c>
      <c r="E65" s="983">
        <f>'4.6_генерация_КТЭЦ'!E65+'4.6_транзит+сбыт_КТЭЦ'!E65</f>
        <v>1184</v>
      </c>
      <c r="F65" s="241">
        <v>3545</v>
      </c>
      <c r="G65" s="241">
        <v>4069</v>
      </c>
      <c r="H65" s="241">
        <v>4105</v>
      </c>
      <c r="I65" s="241">
        <v>0</v>
      </c>
      <c r="J65" s="241">
        <v>7601</v>
      </c>
      <c r="K65" s="241">
        <v>6661</v>
      </c>
      <c r="L65" s="241">
        <v>7667</v>
      </c>
    </row>
    <row r="66" spans="1:12" s="4" customFormat="1" ht="15" customHeight="1">
      <c r="A66" s="17"/>
      <c r="B66" s="51" t="s">
        <v>384</v>
      </c>
      <c r="C66" s="241">
        <f>'4.6_генерация_КТЭЦ'!C66+'4.6_транзит+сбыт_КТЭЦ'!C66</f>
        <v>0</v>
      </c>
      <c r="D66" s="241">
        <f>'4.6_генерация_КТЭЦ'!D66+'4.6_транзит+сбыт_КТЭЦ'!D66</f>
        <v>0</v>
      </c>
      <c r="E66" s="983">
        <f>'4.6_генерация_КТЭЦ'!E66+'4.6_транзит+сбыт_КТЭЦ'!E66</f>
        <v>1651</v>
      </c>
      <c r="F66" s="241">
        <v>0</v>
      </c>
      <c r="G66" s="241">
        <v>0</v>
      </c>
      <c r="H66" s="241">
        <v>0</v>
      </c>
      <c r="I66" s="241">
        <v>0</v>
      </c>
      <c r="J66" s="241">
        <v>0</v>
      </c>
      <c r="K66" s="241">
        <v>0</v>
      </c>
      <c r="L66" s="241">
        <v>0</v>
      </c>
    </row>
    <row r="67" spans="1:12" s="1034" customFormat="1" ht="15" customHeight="1">
      <c r="A67" s="1030" t="s">
        <v>385</v>
      </c>
      <c r="B67" s="1031" t="s">
        <v>386</v>
      </c>
      <c r="C67" s="1032">
        <f>SUM(C68:C71)</f>
        <v>273026</v>
      </c>
      <c r="D67" s="1032">
        <f t="shared" ref="D67:E67" si="7">SUM(D68:D71)</f>
        <v>843313</v>
      </c>
      <c r="E67" s="1088">
        <f t="shared" si="7"/>
        <v>77517</v>
      </c>
      <c r="F67" s="1032">
        <v>1326835.5</v>
      </c>
      <c r="G67" s="1032">
        <v>92350.902414678436</v>
      </c>
      <c r="H67" s="1032">
        <v>1338355.0360000001</v>
      </c>
      <c r="I67" s="1032">
        <v>53563.772349635467</v>
      </c>
      <c r="J67" s="1032">
        <v>219511.77234963549</v>
      </c>
      <c r="K67" s="1032">
        <v>192077.65429248815</v>
      </c>
      <c r="L67" s="1032">
        <v>178970.73578038259</v>
      </c>
    </row>
    <row r="68" spans="1:12" s="1046" customFormat="1" ht="30" customHeight="1">
      <c r="A68" s="1044"/>
      <c r="B68" s="1045" t="s">
        <v>387</v>
      </c>
      <c r="C68" s="258">
        <f>'4.6_генерация_КТЭЦ'!C68+'4.6_транзит+сбыт_КТЭЦ'!C68</f>
        <v>0</v>
      </c>
      <c r="D68" s="258">
        <f>'4.6_генерация_КТЭЦ'!D68+'4.6_транзит+сбыт_КТЭЦ'!D68</f>
        <v>0</v>
      </c>
      <c r="E68" s="258">
        <f>'4.6_генерация_КТЭЦ'!E68+'4.6_транзит+сбыт_КТЭЦ'!E68</f>
        <v>0</v>
      </c>
      <c r="F68" s="258">
        <v>0</v>
      </c>
      <c r="G68" s="258">
        <v>0</v>
      </c>
      <c r="H68" s="258">
        <v>0</v>
      </c>
      <c r="I68" s="258">
        <v>0</v>
      </c>
      <c r="J68" s="258">
        <v>0</v>
      </c>
      <c r="K68" s="258">
        <v>0</v>
      </c>
      <c r="L68" s="258">
        <v>0</v>
      </c>
    </row>
    <row r="69" spans="1:12" s="1046" customFormat="1" ht="15" customHeight="1">
      <c r="A69" s="1044"/>
      <c r="B69" s="1045" t="s">
        <v>388</v>
      </c>
      <c r="C69" s="258">
        <f>'4.6_генерация_КТЭЦ'!C69+'4.6_транзит+сбыт_КТЭЦ'!C69</f>
        <v>162010</v>
      </c>
      <c r="D69" s="258">
        <f>'4.6_генерация_КТЭЦ'!D69+'4.6_транзит+сбыт_КТЭЦ'!D69</f>
        <v>701769</v>
      </c>
      <c r="E69" s="258">
        <f>'4.6_генерация_КТЭЦ'!E69+'4.6_транзит+сбыт_КТЭЦ'!E69</f>
        <v>0</v>
      </c>
      <c r="F69" s="258">
        <v>984562</v>
      </c>
      <c r="G69" s="258">
        <v>91217.556533430703</v>
      </c>
      <c r="H69" s="258">
        <v>1045989.444</v>
      </c>
      <c r="I69" s="258">
        <v>51834.396944683991</v>
      </c>
      <c r="J69" s="258">
        <v>51834.396944683991</v>
      </c>
      <c r="K69" s="258">
        <v>50529</v>
      </c>
      <c r="L69" s="258">
        <v>0</v>
      </c>
    </row>
    <row r="70" spans="1:12" s="1046" customFormat="1" ht="45" customHeight="1">
      <c r="A70" s="1044"/>
      <c r="B70" s="1045" t="s">
        <v>389</v>
      </c>
      <c r="C70" s="258">
        <f>'4.6_генерация_КТЭЦ'!C70+'4.6_транзит+сбыт_КТЭЦ'!C70</f>
        <v>0</v>
      </c>
      <c r="D70" s="258">
        <f>'4.6_генерация_КТЭЦ'!D70+'4.6_транзит+сбыт_КТЭЦ'!D70</f>
        <v>0</v>
      </c>
      <c r="E70" s="258">
        <f>'4.6_генерация_КТЭЦ'!E70+'4.6_транзит+сбыт_КТЭЦ'!E70</f>
        <v>0</v>
      </c>
      <c r="F70" s="258">
        <v>205589</v>
      </c>
      <c r="G70" s="258">
        <v>0</v>
      </c>
      <c r="H70" s="258">
        <v>200366.79199999999</v>
      </c>
      <c r="I70" s="258">
        <v>0</v>
      </c>
      <c r="J70" s="258">
        <v>0</v>
      </c>
      <c r="K70" s="258">
        <v>0</v>
      </c>
      <c r="L70" s="258">
        <v>0</v>
      </c>
    </row>
    <row r="71" spans="1:12" s="1046" customFormat="1" ht="15" customHeight="1">
      <c r="A71" s="1044"/>
      <c r="B71" s="1045" t="s">
        <v>390</v>
      </c>
      <c r="C71" s="258">
        <f>SUM(C72:C77)</f>
        <v>111016</v>
      </c>
      <c r="D71" s="258">
        <f t="shared" ref="D71:E71" si="8">SUM(D72:D77)</f>
        <v>141544</v>
      </c>
      <c r="E71" s="1047">
        <f t="shared" si="8"/>
        <v>77517</v>
      </c>
      <c r="F71" s="258">
        <v>136684.5</v>
      </c>
      <c r="G71" s="258">
        <v>1133.3458812477309</v>
      </c>
      <c r="H71" s="258">
        <v>91998.8</v>
      </c>
      <c r="I71" s="258">
        <v>1729.3754049514746</v>
      </c>
      <c r="J71" s="258">
        <v>167677.37540495148</v>
      </c>
      <c r="K71" s="258">
        <v>141548.65429248815</v>
      </c>
      <c r="L71" s="258">
        <v>178970.73578038259</v>
      </c>
    </row>
    <row r="72" spans="1:12" s="4" customFormat="1" ht="15" customHeight="1">
      <c r="A72" s="17"/>
      <c r="B72" s="51" t="s">
        <v>961</v>
      </c>
      <c r="C72" s="241">
        <f>'4.6_генерация_КТЭЦ'!C72+'4.6_транзит+сбыт_КТЭЦ'!C72</f>
        <v>1129</v>
      </c>
      <c r="D72" s="241">
        <f>'4.6_генерация_КТЭЦ'!D72+'4.6_транзит+сбыт_КТЭЦ'!D72</f>
        <v>0</v>
      </c>
      <c r="E72" s="983">
        <f>'4.6_генерация_КТЭЦ'!E72+'4.6_транзит+сбыт_КТЭЦ'!E72</f>
        <v>0</v>
      </c>
      <c r="F72" s="241">
        <v>414</v>
      </c>
      <c r="G72" s="241">
        <v>0</v>
      </c>
      <c r="H72" s="241">
        <v>474</v>
      </c>
      <c r="I72" s="241">
        <v>498</v>
      </c>
      <c r="J72" s="241">
        <v>498</v>
      </c>
      <c r="K72" s="241">
        <v>526.54536000000007</v>
      </c>
      <c r="L72" s="241">
        <v>552.03542087760002</v>
      </c>
    </row>
    <row r="73" spans="1:12" s="4" customFormat="1" ht="15" customHeight="1">
      <c r="A73" s="17"/>
      <c r="B73" s="51" t="s">
        <v>962</v>
      </c>
      <c r="C73" s="241">
        <f>'4.6_генерация_КТЭЦ'!C73+'4.6_транзит+сбыт_КТЭЦ'!C73</f>
        <v>109721</v>
      </c>
      <c r="D73" s="241">
        <f>'4.6_генерация_КТЭЦ'!D73+'4.6_транзит+сбыт_КТЭЦ'!D73</f>
        <v>129979</v>
      </c>
      <c r="E73" s="983">
        <f>'4.6_генерация_КТЭЦ'!E73+'4.6_транзит+сбыт_КТЭЦ'!E73</f>
        <v>77338</v>
      </c>
      <c r="F73" s="241">
        <v>123989</v>
      </c>
      <c r="G73" s="241">
        <v>0</v>
      </c>
      <c r="H73" s="241">
        <v>72618</v>
      </c>
      <c r="I73" s="241">
        <v>0</v>
      </c>
      <c r="J73" s="241">
        <v>165948</v>
      </c>
      <c r="K73" s="241">
        <v>139707</v>
      </c>
      <c r="L73" s="241">
        <v>177026</v>
      </c>
    </row>
    <row r="74" spans="1:12" s="4" customFormat="1" ht="15" customHeight="1">
      <c r="A74" s="17"/>
      <c r="B74" s="51" t="s">
        <v>963</v>
      </c>
      <c r="C74" s="241">
        <f>'4.6_генерация_КТЭЦ'!C74+'4.6_транзит+сбыт_КТЭЦ'!C74</f>
        <v>166</v>
      </c>
      <c r="D74" s="241">
        <f>'4.6_генерация_КТЭЦ'!D74+'4.6_транзит+сбыт_КТЭЦ'!D74</f>
        <v>11565</v>
      </c>
      <c r="E74" s="983">
        <f>'4.6_генерация_КТЭЦ'!E74+'4.6_транзит+сбыт_КТЭЦ'!E74</f>
        <v>179</v>
      </c>
      <c r="F74" s="241">
        <v>12281.5</v>
      </c>
      <c r="G74" s="241">
        <v>1133.3458812477309</v>
      </c>
      <c r="H74" s="241">
        <v>18906.8</v>
      </c>
      <c r="I74" s="241">
        <v>1231.3754049514746</v>
      </c>
      <c r="J74" s="241">
        <v>1231.3754049514746</v>
      </c>
      <c r="K74" s="241">
        <v>1315.1089324881748</v>
      </c>
      <c r="L74" s="241">
        <v>1392.7003595049771</v>
      </c>
    </row>
    <row r="75" spans="1:12" s="4" customFormat="1" ht="15" hidden="1" customHeight="1">
      <c r="A75" s="17"/>
      <c r="B75" s="51"/>
      <c r="C75" s="241">
        <f>'4.6_генерация_КТЭЦ'!C75+'4.6_транзит+сбыт_КТЭЦ'!C75</f>
        <v>0</v>
      </c>
      <c r="D75" s="241">
        <f>'4.6_генерация_КТЭЦ'!D75+'4.6_транзит+сбыт_КТЭЦ'!D75</f>
        <v>0</v>
      </c>
      <c r="E75" s="983">
        <f>'4.6_генерация_КТЭЦ'!E75+'4.6_транзит+сбыт_КТЭЦ'!E75</f>
        <v>0</v>
      </c>
      <c r="F75" s="241">
        <v>0</v>
      </c>
      <c r="G75" s="241"/>
      <c r="H75" s="241">
        <v>0</v>
      </c>
      <c r="I75" s="241">
        <v>0</v>
      </c>
      <c r="J75" s="241">
        <v>0</v>
      </c>
      <c r="K75" s="241">
        <v>0</v>
      </c>
      <c r="L75" s="241">
        <v>0</v>
      </c>
    </row>
    <row r="76" spans="1:12" s="4" customFormat="1" ht="15" hidden="1" customHeight="1">
      <c r="A76" s="17"/>
      <c r="B76" s="51"/>
      <c r="C76" s="241">
        <f>'4.6_генерация_КТЭЦ'!C76+'4.6_транзит+сбыт_КТЭЦ'!C76</f>
        <v>0</v>
      </c>
      <c r="D76" s="241">
        <f>'4.6_генерация_КТЭЦ'!D76+'4.6_транзит+сбыт_КТЭЦ'!D76</f>
        <v>0</v>
      </c>
      <c r="E76" s="983">
        <f>'4.6_генерация_КТЭЦ'!E76+'4.6_транзит+сбыт_КТЭЦ'!E76</f>
        <v>0</v>
      </c>
      <c r="F76" s="241">
        <v>0</v>
      </c>
      <c r="G76" s="241"/>
      <c r="H76" s="241">
        <v>0</v>
      </c>
      <c r="I76" s="241">
        <v>0</v>
      </c>
      <c r="J76" s="241">
        <v>0</v>
      </c>
      <c r="K76" s="241">
        <v>0</v>
      </c>
      <c r="L76" s="241">
        <v>0</v>
      </c>
    </row>
    <row r="77" spans="1:12" s="4" customFormat="1" ht="15" hidden="1" customHeight="1">
      <c r="A77" s="17"/>
      <c r="B77" s="51"/>
      <c r="C77" s="241">
        <f>'4.6_генерация_КТЭЦ'!C77+'4.6_транзит+сбыт_КТЭЦ'!C77</f>
        <v>0</v>
      </c>
      <c r="D77" s="241">
        <f>'4.6_генерация_КТЭЦ'!D77+'4.6_транзит+сбыт_КТЭЦ'!D77</f>
        <v>0</v>
      </c>
      <c r="E77" s="983">
        <f>'4.6_генерация_КТЭЦ'!E77+'4.6_транзит+сбыт_КТЭЦ'!E77</f>
        <v>0</v>
      </c>
      <c r="F77" s="241">
        <v>0</v>
      </c>
      <c r="G77" s="241"/>
      <c r="H77" s="241">
        <v>0</v>
      </c>
      <c r="I77" s="241">
        <v>0</v>
      </c>
      <c r="J77" s="241">
        <v>0</v>
      </c>
      <c r="K77" s="241">
        <v>0</v>
      </c>
      <c r="L77" s="241">
        <v>0</v>
      </c>
    </row>
    <row r="78" spans="1:12" s="1034" customFormat="1" ht="28.5" customHeight="1">
      <c r="A78" s="1030" t="s">
        <v>391</v>
      </c>
      <c r="B78" s="1031" t="s">
        <v>392</v>
      </c>
      <c r="C78" s="1032">
        <f>SUM(C79:C82)</f>
        <v>25136</v>
      </c>
      <c r="D78" s="1032">
        <f t="shared" ref="D78:E78" si="9">SUM(D79:D82)</f>
        <v>37140</v>
      </c>
      <c r="E78" s="1088">
        <f t="shared" si="9"/>
        <v>3305</v>
      </c>
      <c r="F78" s="1032">
        <v>232364</v>
      </c>
      <c r="G78" s="1032">
        <v>8137.6288701531621</v>
      </c>
      <c r="H78" s="1032">
        <v>56495.199999999997</v>
      </c>
      <c r="I78" s="1032">
        <v>18440</v>
      </c>
      <c r="J78" s="1032">
        <v>115573.944</v>
      </c>
      <c r="K78" s="1032">
        <v>331561.12</v>
      </c>
      <c r="L78" s="1032">
        <v>283085.27023999998</v>
      </c>
    </row>
    <row r="79" spans="1:12" s="1046" customFormat="1" ht="30">
      <c r="A79" s="1044"/>
      <c r="B79" s="1045" t="s">
        <v>393</v>
      </c>
      <c r="C79" s="258">
        <f>'4.6_генерация_КТЭЦ'!C79+'4.6_транзит+сбыт_КТЭЦ'!C79</f>
        <v>14700</v>
      </c>
      <c r="D79" s="258">
        <f>'4.6_генерация_КТЭЦ'!D79+'4.6_транзит+сбыт_КТЭЦ'!D79</f>
        <v>0</v>
      </c>
      <c r="E79" s="1047">
        <f>'4.6_генерация_КТЭЦ'!E79+'4.6_транзит+сбыт_КТЭЦ'!E79</f>
        <v>0</v>
      </c>
      <c r="F79" s="258">
        <v>0</v>
      </c>
      <c r="G79" s="258">
        <v>0</v>
      </c>
      <c r="H79" s="258">
        <v>0</v>
      </c>
      <c r="I79" s="258">
        <v>0</v>
      </c>
      <c r="J79" s="258">
        <v>0</v>
      </c>
      <c r="K79" s="258">
        <v>0</v>
      </c>
      <c r="L79" s="258">
        <v>0</v>
      </c>
    </row>
    <row r="80" spans="1:12" s="1046" customFormat="1" ht="30" customHeight="1">
      <c r="A80" s="1044"/>
      <c r="B80" s="1045" t="s">
        <v>394</v>
      </c>
      <c r="C80" s="258">
        <f>'4.6_генерация_КТЭЦ'!C80+'4.6_транзит+сбыт_КТЭЦ'!C80</f>
        <v>7470</v>
      </c>
      <c r="D80" s="258">
        <f>'4.6_генерация_КТЭЦ'!D80+'4.6_транзит+сбыт_КТЭЦ'!D80</f>
        <v>6925</v>
      </c>
      <c r="E80" s="1047">
        <f>'4.6_генерация_КТЭЦ'!E80+'4.6_транзит+сбыт_КТЭЦ'!E80</f>
        <v>2938</v>
      </c>
      <c r="F80" s="258">
        <v>8339</v>
      </c>
      <c r="G80" s="258">
        <v>7431.2210425087324</v>
      </c>
      <c r="H80" s="258">
        <v>8796.9</v>
      </c>
      <c r="I80" s="258">
        <v>11768</v>
      </c>
      <c r="J80" s="258">
        <v>11768</v>
      </c>
      <c r="K80" s="258">
        <v>12568.224</v>
      </c>
      <c r="L80" s="258">
        <v>13309.749216</v>
      </c>
    </row>
    <row r="81" spans="1:12" s="1046" customFormat="1" ht="15" customHeight="1">
      <c r="A81" s="1044"/>
      <c r="B81" s="1045" t="s">
        <v>1568</v>
      </c>
      <c r="C81" s="258">
        <f>'4.6_генерация_КТЭЦ'!C81+'4.6_транзит+сбыт_КТЭЦ'!C81</f>
        <v>0</v>
      </c>
      <c r="D81" s="258">
        <f>'4.6_генерация_КТЭЦ'!D81+'4.6_транзит+сбыт_КТЭЦ'!D81</f>
        <v>28997</v>
      </c>
      <c r="E81" s="1047">
        <f>'4.6_генерация_КТЭЦ'!E81+'4.6_транзит+сбыт_КТЭЦ'!E81</f>
        <v>0</v>
      </c>
      <c r="F81" s="258">
        <v>221704</v>
      </c>
      <c r="G81" s="258">
        <v>0</v>
      </c>
      <c r="H81" s="258">
        <v>45526.299999999996</v>
      </c>
      <c r="I81" s="258">
        <v>0</v>
      </c>
      <c r="J81" s="258">
        <v>326.94400000000002</v>
      </c>
      <c r="K81" s="258">
        <v>202017.76</v>
      </c>
      <c r="L81" s="258">
        <v>145699</v>
      </c>
    </row>
    <row r="82" spans="1:12" s="1046" customFormat="1" ht="28.5" customHeight="1">
      <c r="A82" s="1044"/>
      <c r="B82" s="1045" t="s">
        <v>1957</v>
      </c>
      <c r="C82" s="258">
        <f>'4.6_генерация_КТЭЦ'!C82+'4.6_транзит+сбыт_КТЭЦ'!C82</f>
        <v>2966</v>
      </c>
      <c r="D82" s="258">
        <f>'4.6_генерация_КТЭЦ'!D82+'4.6_транзит+сбыт_КТЭЦ'!D82</f>
        <v>1218</v>
      </c>
      <c r="E82" s="1047">
        <f>'4.6_генерация_КТЭЦ'!E82+'4.6_транзит+сбыт_КТЭЦ'!E82</f>
        <v>367</v>
      </c>
      <c r="F82" s="258">
        <v>2321</v>
      </c>
      <c r="G82" s="258">
        <v>706.40782764442963</v>
      </c>
      <c r="H82" s="258">
        <v>2172</v>
      </c>
      <c r="I82" s="258">
        <v>6672</v>
      </c>
      <c r="J82" s="258">
        <v>103479</v>
      </c>
      <c r="K82" s="258">
        <v>116975.136</v>
      </c>
      <c r="L82" s="258">
        <v>124076.521024</v>
      </c>
    </row>
    <row r="83" spans="1:12" s="1034" customFormat="1" ht="15" customHeight="1">
      <c r="A83" s="1030" t="s">
        <v>395</v>
      </c>
      <c r="B83" s="1031" t="s">
        <v>396</v>
      </c>
      <c r="C83" s="1032">
        <f>'4.6_генерация_КТЭЦ'!C83+'4.6_транзит+сбыт_КТЭЦ'!C83</f>
        <v>46786.5</v>
      </c>
      <c r="D83" s="1032">
        <f>'4.6_генерация_КТЭЦ'!D83+'4.6_транзит+сбыт_КТЭЦ'!D83</f>
        <v>184727.25</v>
      </c>
      <c r="E83" s="1088">
        <f>'4.6_генерация_КТЭЦ'!E83+'4.6_транзит+сбыт_КТЭЦ'!E83</f>
        <v>855</v>
      </c>
      <c r="F83" s="1032">
        <v>58091</v>
      </c>
      <c r="G83" s="1032">
        <v>2034.4072175382908</v>
      </c>
      <c r="H83" s="1032">
        <v>275621.16100000002</v>
      </c>
      <c r="I83" s="1032">
        <v>17568.599236170998</v>
      </c>
      <c r="J83" s="1032">
        <v>41852.085236170999</v>
      </c>
      <c r="K83" s="1032">
        <v>95522.530000000013</v>
      </c>
      <c r="L83" s="1032">
        <v>70771.317559999996</v>
      </c>
    </row>
    <row r="84" spans="1:12" s="1034" customFormat="1" ht="15" customHeight="1">
      <c r="A84" s="1030" t="s">
        <v>397</v>
      </c>
      <c r="B84" s="1031" t="s">
        <v>398</v>
      </c>
      <c r="C84" s="1032">
        <f>C85-C88</f>
        <v>-170103</v>
      </c>
      <c r="D84" s="1032">
        <f t="shared" ref="D84:E84" si="10">D85-D88</f>
        <v>0</v>
      </c>
      <c r="E84" s="1088">
        <f t="shared" si="10"/>
        <v>-56497</v>
      </c>
      <c r="F84" s="1032">
        <v>0</v>
      </c>
      <c r="G84" s="1032">
        <v>269509.17173964874</v>
      </c>
      <c r="H84" s="1032">
        <v>0</v>
      </c>
      <c r="I84" s="1032">
        <v>-59759.982230986468</v>
      </c>
      <c r="J84" s="1032">
        <v>-59759.982230986468</v>
      </c>
      <c r="K84" s="1032">
        <v>1696697</v>
      </c>
      <c r="L84" s="1032">
        <v>0</v>
      </c>
    </row>
    <row r="85" spans="1:12" s="585" customFormat="1" ht="15" customHeight="1">
      <c r="A85" s="583"/>
      <c r="B85" s="582" t="s">
        <v>1140</v>
      </c>
      <c r="C85" s="587">
        <f>C86+C87</f>
        <v>87908</v>
      </c>
      <c r="D85" s="587">
        <f t="shared" ref="D85:E85" si="11">D86+D87</f>
        <v>0</v>
      </c>
      <c r="E85" s="985">
        <f t="shared" si="11"/>
        <v>112200</v>
      </c>
      <c r="F85" s="587">
        <v>0</v>
      </c>
      <c r="G85" s="587">
        <v>282184.38888201327</v>
      </c>
      <c r="H85" s="587">
        <v>0</v>
      </c>
      <c r="I85" s="587">
        <v>166991.87923451106</v>
      </c>
      <c r="J85" s="587">
        <v>166991.87923451106</v>
      </c>
      <c r="K85" s="587">
        <v>1777282</v>
      </c>
      <c r="L85" s="587">
        <v>0</v>
      </c>
    </row>
    <row r="86" spans="1:12" s="341" customFormat="1" ht="15" customHeight="1">
      <c r="A86" s="339"/>
      <c r="B86" s="340" t="s">
        <v>959</v>
      </c>
      <c r="C86" s="241">
        <f>'4.6_генерация_КТЭЦ'!C86+'4.6_транзит+сбыт_КТЭЦ'!C86</f>
        <v>87908</v>
      </c>
      <c r="D86" s="241">
        <f>'4.6_генерация_КТЭЦ'!D86+'4.6_транзит+сбыт_КТЭЦ'!D86</f>
        <v>0</v>
      </c>
      <c r="E86" s="983">
        <f>'4.6_генерация_КТЭЦ'!E86+'4.6_транзит+сбыт_КТЭЦ'!E86</f>
        <v>112200</v>
      </c>
      <c r="F86" s="241">
        <v>0</v>
      </c>
      <c r="G86" s="241"/>
      <c r="H86" s="241">
        <v>0</v>
      </c>
      <c r="I86" s="241"/>
      <c r="J86" s="241"/>
      <c r="K86" s="241">
        <v>920056</v>
      </c>
      <c r="L86" s="241">
        <v>0</v>
      </c>
    </row>
    <row r="87" spans="1:12" s="341" customFormat="1" ht="30">
      <c r="A87" s="339"/>
      <c r="B87" s="51" t="s">
        <v>960</v>
      </c>
      <c r="C87" s="241">
        <f>'4.6_генерация_КТЭЦ'!C87+'4.6_транзит+сбыт_КТЭЦ'!C87</f>
        <v>0</v>
      </c>
      <c r="D87" s="241">
        <f>'4.6_генерация_КТЭЦ'!D87+'4.6_транзит+сбыт_КТЭЦ'!D87</f>
        <v>0</v>
      </c>
      <c r="E87" s="983">
        <f>'4.6_генерация_КТЭЦ'!E87+'4.6_транзит+сбыт_КТЭЦ'!E87</f>
        <v>0</v>
      </c>
      <c r="F87" s="241">
        <v>0</v>
      </c>
      <c r="G87" s="241"/>
      <c r="H87" s="241">
        <v>0</v>
      </c>
      <c r="I87" s="241"/>
      <c r="J87" s="241"/>
      <c r="K87" s="241">
        <v>857226</v>
      </c>
      <c r="L87" s="241">
        <v>0</v>
      </c>
    </row>
    <row r="88" spans="1:12" s="588" customFormat="1" ht="15" customHeight="1">
      <c r="A88" s="586"/>
      <c r="B88" s="582" t="s">
        <v>1141</v>
      </c>
      <c r="C88" s="587">
        <f>C89+C90</f>
        <v>258011</v>
      </c>
      <c r="D88" s="587">
        <f t="shared" ref="D88:E88" si="12">D89+D90</f>
        <v>0</v>
      </c>
      <c r="E88" s="985">
        <f t="shared" si="12"/>
        <v>168697</v>
      </c>
      <c r="F88" s="587">
        <v>0</v>
      </c>
      <c r="G88" s="587">
        <v>12675.217142364556</v>
      </c>
      <c r="H88" s="587">
        <v>0</v>
      </c>
      <c r="I88" s="587">
        <v>226751.86146549752</v>
      </c>
      <c r="J88" s="587">
        <v>226751.86146549752</v>
      </c>
      <c r="K88" s="587">
        <v>80585</v>
      </c>
      <c r="L88" s="587">
        <v>0</v>
      </c>
    </row>
    <row r="89" spans="1:12" s="341" customFormat="1" ht="15" customHeight="1">
      <c r="A89" s="339"/>
      <c r="B89" s="340" t="s">
        <v>959</v>
      </c>
      <c r="C89" s="241">
        <f>'4.6_генерация_КТЭЦ'!C89+'4.6_транзит+сбыт_КТЭЦ'!C89</f>
        <v>258011</v>
      </c>
      <c r="D89" s="241">
        <f>'4.6_генерация_КТЭЦ'!D89+'4.6_транзит+сбыт_КТЭЦ'!D89</f>
        <v>0</v>
      </c>
      <c r="E89" s="983">
        <f>'4.6_генерация_КТЭЦ'!E89+'4.6_транзит+сбыт_КТЭЦ'!E89</f>
        <v>168697</v>
      </c>
      <c r="F89" s="241">
        <v>0</v>
      </c>
      <c r="G89" s="241"/>
      <c r="H89" s="241">
        <v>0</v>
      </c>
      <c r="I89" s="241">
        <v>0</v>
      </c>
      <c r="J89" s="241">
        <v>0</v>
      </c>
      <c r="K89" s="241">
        <v>80585</v>
      </c>
      <c r="L89" s="241">
        <v>0</v>
      </c>
    </row>
    <row r="90" spans="1:12" s="341" customFormat="1" ht="30">
      <c r="A90" s="339"/>
      <c r="B90" s="51" t="s">
        <v>960</v>
      </c>
      <c r="C90" s="241">
        <f>'4.6_генерация_КТЭЦ'!C90+'4.6_транзит+сбыт_КТЭЦ'!C90</f>
        <v>0</v>
      </c>
      <c r="D90" s="241">
        <f>'4.6_генерация_КТЭЦ'!D90+'4.6_транзит+сбыт_КТЭЦ'!D90</f>
        <v>0</v>
      </c>
      <c r="E90" s="983">
        <f>'4.6_генерация_КТЭЦ'!E90+'4.6_транзит+сбыт_КТЭЦ'!E90</f>
        <v>0</v>
      </c>
      <c r="F90" s="241">
        <v>0</v>
      </c>
      <c r="G90" s="241"/>
      <c r="H90" s="241">
        <v>0</v>
      </c>
      <c r="I90" s="241">
        <v>0</v>
      </c>
      <c r="J90" s="241">
        <v>0</v>
      </c>
      <c r="K90" s="241">
        <v>0</v>
      </c>
      <c r="L90" s="241">
        <v>0</v>
      </c>
    </row>
    <row r="91" spans="1:12" s="1055" customFormat="1" ht="15" customHeight="1">
      <c r="A91" s="1052" t="s">
        <v>399</v>
      </c>
      <c r="B91" s="1053" t="s">
        <v>400</v>
      </c>
      <c r="C91" s="1054">
        <f>C7+C67+C78+C83+C84+1</f>
        <v>2413372.1817738665</v>
      </c>
      <c r="D91" s="1054">
        <f>D7+D67+D78+D83+D84</f>
        <v>3230164.4310790002</v>
      </c>
      <c r="E91" s="1087">
        <f>E7+E67+E78+E83+E84</f>
        <v>1455921.2389284854</v>
      </c>
      <c r="F91" s="1054">
        <v>4020115.5661671469</v>
      </c>
      <c r="G91" s="1054">
        <v>2998390.7071395721</v>
      </c>
      <c r="H91" s="1054">
        <v>4163942.6312977881</v>
      </c>
      <c r="I91" s="1054">
        <v>280838.75545482</v>
      </c>
      <c r="J91" s="1054">
        <v>3145702.196405869</v>
      </c>
      <c r="K91" s="1054">
        <v>5417952.5423836969</v>
      </c>
      <c r="L91" s="1054">
        <v>3792526.1355963317</v>
      </c>
    </row>
    <row r="92" spans="1:12" s="4" customFormat="1" ht="15" customHeight="1">
      <c r="A92" s="17" t="s">
        <v>401</v>
      </c>
      <c r="B92" s="51" t="s">
        <v>402</v>
      </c>
      <c r="C92" s="241">
        <f>'4.6_генерация_КТЭЦ'!C92+'4.6_транзит_КТЭЦ'!C92+'4.6_сбыт_КТЭЦ'!C92</f>
        <v>0</v>
      </c>
      <c r="D92" s="241">
        <f>'4.6_генерация_КТЭЦ'!D92+'4.6_транзит_КТЭЦ'!D92+'4.6_сбыт_КТЭЦ'!D92</f>
        <v>0</v>
      </c>
      <c r="E92" s="983">
        <f>'4.6_генерация_КТЭЦ'!E92+'4.6_транзит_КТЭЦ'!E92+'4.6_сбыт_КТЭЦ'!E92</f>
        <v>0</v>
      </c>
      <c r="F92" s="241">
        <v>0</v>
      </c>
      <c r="G92" s="241"/>
      <c r="H92" s="241">
        <v>0</v>
      </c>
      <c r="I92" s="241">
        <v>0</v>
      </c>
      <c r="J92" s="241">
        <v>0</v>
      </c>
      <c r="K92" s="241">
        <v>0</v>
      </c>
      <c r="L92" s="241">
        <v>0</v>
      </c>
    </row>
    <row r="93" spans="1:12" s="4" customFormat="1" ht="15" customHeight="1">
      <c r="A93" s="17" t="s">
        <v>403</v>
      </c>
      <c r="B93" s="51" t="s">
        <v>404</v>
      </c>
      <c r="C93" s="241">
        <f>C91-C94-C95</f>
        <v>2413372.1817738665</v>
      </c>
      <c r="D93" s="241">
        <f t="shared" ref="D93:E93" si="13">D91-D94-D95</f>
        <v>3126399.9098190004</v>
      </c>
      <c r="E93" s="983">
        <f t="shared" si="13"/>
        <v>1455921.2389284854</v>
      </c>
      <c r="F93" s="241">
        <v>3907145.5661671469</v>
      </c>
      <c r="G93" s="241">
        <v>2998390.7071395721</v>
      </c>
      <c r="H93" s="241">
        <v>4050164.6312977881</v>
      </c>
      <c r="I93" s="241">
        <v>280838.75545482</v>
      </c>
      <c r="J93" s="241">
        <v>3036310.9556458686</v>
      </c>
      <c r="K93" s="241">
        <v>5302512.2606248977</v>
      </c>
      <c r="L93" s="241">
        <v>3668984.0696100257</v>
      </c>
    </row>
    <row r="94" spans="1:12" s="4" customFormat="1" ht="15" customHeight="1">
      <c r="A94" s="17" t="s">
        <v>405</v>
      </c>
      <c r="B94" s="51" t="s">
        <v>406</v>
      </c>
      <c r="C94" s="241">
        <f>'4.6_генерация_КТЭЦ'!C94+'4.6_транзит_КТЭЦ'!C94+'4.6_сбыт_КТЭЦ'!C94</f>
        <v>0</v>
      </c>
      <c r="D94" s="241">
        <f>'4.6_генерация_КТЭЦ'!D94+'4.6_транзит_КТЭЦ'!D94+'4.6_сбыт_КТЭЦ'!D94</f>
        <v>36976.728049999998</v>
      </c>
      <c r="E94" s="983">
        <f>'4.6_генерация_КТЭЦ'!E94+'4.6_транзит_КТЭЦ'!E94+'4.6_сбыт_КТЭЦ'!E94</f>
        <v>0</v>
      </c>
      <c r="F94" s="241">
        <v>42235</v>
      </c>
      <c r="G94" s="241"/>
      <c r="H94" s="241">
        <v>43043</v>
      </c>
      <c r="I94" s="241">
        <v>0</v>
      </c>
      <c r="J94" s="241">
        <v>33041.554759999999</v>
      </c>
      <c r="K94" s="241">
        <v>34671.721258800004</v>
      </c>
      <c r="L94" s="241">
        <v>37256.585037805999</v>
      </c>
    </row>
    <row r="95" spans="1:12" s="4" customFormat="1" ht="15" customHeight="1">
      <c r="A95" s="17" t="s">
        <v>407</v>
      </c>
      <c r="B95" s="51" t="s">
        <v>408</v>
      </c>
      <c r="C95" s="241">
        <f>'4.6_генерация_КТЭЦ'!C95+'4.6_транзит_КТЭЦ'!C95+'4.6_сбыт_КТЭЦ'!C95</f>
        <v>0</v>
      </c>
      <c r="D95" s="241">
        <f>'4.6_генерация_КТЭЦ'!D95+'4.6_транзит_КТЭЦ'!D95+'4.6_сбыт_КТЭЦ'!D95</f>
        <v>66787.793209999989</v>
      </c>
      <c r="E95" s="983">
        <f>'4.6_генерация_КТЭЦ'!E95+'4.6_транзит_КТЭЦ'!E95+'4.6_сбыт_КТЭЦ'!E95</f>
        <v>0</v>
      </c>
      <c r="F95" s="241">
        <v>70735</v>
      </c>
      <c r="G95" s="241"/>
      <c r="H95" s="241">
        <v>70735</v>
      </c>
      <c r="I95" s="241">
        <v>0</v>
      </c>
      <c r="J95" s="241">
        <v>76349.686000000002</v>
      </c>
      <c r="K95" s="241">
        <v>80768.560499999992</v>
      </c>
      <c r="L95" s="241">
        <v>86285.480948500001</v>
      </c>
    </row>
    <row r="96" spans="1:12" s="4" customFormat="1" ht="15" customHeight="1">
      <c r="A96" s="17"/>
      <c r="B96" s="51"/>
      <c r="C96" s="241"/>
      <c r="D96" s="241"/>
      <c r="E96" s="241"/>
      <c r="F96" s="241"/>
      <c r="G96" s="241"/>
      <c r="H96" s="241"/>
      <c r="I96" s="241"/>
      <c r="J96" s="241"/>
      <c r="K96" s="241"/>
      <c r="L96" s="241"/>
    </row>
    <row r="97" spans="1:12" s="4" customFormat="1" ht="28.5">
      <c r="A97" s="17"/>
      <c r="B97" s="755" t="s">
        <v>1268</v>
      </c>
      <c r="C97" s="286">
        <f>'4.3_КТЭЦ'!E8</f>
        <v>922.65</v>
      </c>
      <c r="D97" s="286">
        <f>'4.3_КТЭЦ'!I8</f>
        <v>907.11299999999994</v>
      </c>
      <c r="E97" s="986">
        <f>'4.3_КТЭЦ'!M8</f>
        <v>911.197</v>
      </c>
      <c r="F97" s="286">
        <v>858.0397999999999</v>
      </c>
      <c r="G97" s="286">
        <v>904.44797589999973</v>
      </c>
      <c r="H97" s="286">
        <v>836.25261320499999</v>
      </c>
      <c r="I97" s="286">
        <v>0</v>
      </c>
      <c r="J97" s="286">
        <v>307.87799999999999</v>
      </c>
      <c r="K97" s="286">
        <v>860.72499999999991</v>
      </c>
      <c r="L97" s="286">
        <v>860.72499999999991</v>
      </c>
    </row>
    <row r="98" spans="1:12" s="4" customFormat="1" ht="15" customHeight="1">
      <c r="A98" s="17"/>
      <c r="B98" s="51"/>
      <c r="C98" s="241"/>
      <c r="D98" s="241"/>
      <c r="E98" s="983"/>
      <c r="F98" s="241"/>
      <c r="G98" s="241"/>
      <c r="H98" s="241"/>
      <c r="I98" s="241"/>
      <c r="J98" s="241"/>
      <c r="K98" s="241"/>
      <c r="L98" s="241"/>
    </row>
    <row r="99" spans="1:12" s="4" customFormat="1" ht="15" customHeight="1">
      <c r="A99" s="17"/>
      <c r="B99" s="253" t="s">
        <v>1266</v>
      </c>
      <c r="C99" s="428">
        <f>C93/C97</f>
        <v>2615.6962897890494</v>
      </c>
      <c r="D99" s="428">
        <f t="shared" ref="D99:E99" si="14">D93/D97</f>
        <v>3446.5385346908274</v>
      </c>
      <c r="E99" s="987">
        <f t="shared" si="14"/>
        <v>1597.8117124271539</v>
      </c>
      <c r="F99" s="428">
        <v>4553.5714848741836</v>
      </c>
      <c r="G99" s="428">
        <v>3315.1610562851092</v>
      </c>
      <c r="H99" s="428">
        <v>4843.2310612163383</v>
      </c>
      <c r="I99" s="428" t="e">
        <v>#DIV/0!</v>
      </c>
      <c r="J99" s="428">
        <v>9862.0588533310874</v>
      </c>
      <c r="K99" s="428">
        <v>6160.5184706205791</v>
      </c>
      <c r="L99" s="428">
        <v>4262.6670186296742</v>
      </c>
    </row>
    <row r="100" spans="1:12" s="4" customFormat="1" ht="15" customHeight="1">
      <c r="A100" s="17"/>
      <c r="B100" s="253" t="s">
        <v>1267</v>
      </c>
      <c r="C100" s="428"/>
      <c r="D100" s="428"/>
      <c r="E100" s="987"/>
      <c r="F100" s="428"/>
      <c r="G100" s="428"/>
      <c r="H100" s="428"/>
      <c r="I100" s="428"/>
      <c r="J100" s="428"/>
      <c r="K100" s="428"/>
      <c r="L100" s="978"/>
    </row>
    <row r="101" spans="1:12" s="4" customFormat="1" ht="15" customHeight="1">
      <c r="A101" s="17"/>
      <c r="B101" s="1131" t="s">
        <v>1512</v>
      </c>
      <c r="C101" s="428"/>
      <c r="D101" s="428"/>
      <c r="E101" s="428">
        <f>'4.6_генерация_КТЭЦ с косв.'!E101</f>
        <v>87.370765027322406</v>
      </c>
      <c r="F101" s="428">
        <f>'4.6_генерация_КТЭЦ с косв.'!F101</f>
        <v>94.661339893919632</v>
      </c>
      <c r="G101" s="428"/>
      <c r="H101" s="428"/>
      <c r="I101" s="428"/>
      <c r="J101" s="428"/>
      <c r="K101" s="428">
        <f>'4.6_генерация_КТЭЦ с косв.'!K101</f>
        <v>121.01190202251742</v>
      </c>
      <c r="L101" s="978"/>
    </row>
    <row r="102" spans="1:12" s="4" customFormat="1" ht="15" customHeight="1">
      <c r="A102" s="17"/>
      <c r="B102" s="1131" t="s">
        <v>1513</v>
      </c>
      <c r="C102" s="428"/>
      <c r="D102" s="428">
        <f>'4.6_генерация_КТЭЦ с косв.'!D102</f>
        <v>30.383382196457696</v>
      </c>
      <c r="E102" s="428">
        <f>'4.6_генерация_КТЭЦ с косв.'!E102</f>
        <v>34.96</v>
      </c>
      <c r="F102" s="428">
        <f>'4.6_генерация_КТЭЦ с косв.'!F102</f>
        <v>35.786489339888192</v>
      </c>
      <c r="G102" s="428"/>
      <c r="H102" s="428"/>
      <c r="I102" s="428"/>
      <c r="J102" s="428"/>
      <c r="K102" s="428">
        <f>'4.6_генерация_КТЭЦ с косв.'!K102</f>
        <v>44.504928875668064</v>
      </c>
      <c r="L102" s="978"/>
    </row>
    <row r="103" spans="1:12" hidden="1">
      <c r="A103" s="253" t="s">
        <v>965</v>
      </c>
      <c r="B103" s="253"/>
      <c r="C103" s="308">
        <f>C67+C78+C83+C87-C90</f>
        <v>344948.5</v>
      </c>
      <c r="D103" s="308">
        <f t="shared" ref="D103:K103" si="15">D67+D78+D83+D87-D90</f>
        <v>1065180.25</v>
      </c>
      <c r="E103" s="308">
        <f t="shared" si="15"/>
        <v>81677</v>
      </c>
      <c r="F103" s="308">
        <f t="shared" si="15"/>
        <v>1617290.5</v>
      </c>
      <c r="G103" s="308"/>
      <c r="H103" s="308"/>
      <c r="I103" s="308"/>
      <c r="J103" s="308"/>
      <c r="K103" s="308">
        <f t="shared" si="15"/>
        <v>1476387.3042924881</v>
      </c>
      <c r="L103" s="762"/>
    </row>
    <row r="104" spans="1:12" s="26" customFormat="1">
      <c r="A104" s="26" t="s">
        <v>88</v>
      </c>
    </row>
    <row r="105" spans="1:12" s="104" customFormat="1" ht="58.5" customHeight="1">
      <c r="A105" s="104" t="s">
        <v>89</v>
      </c>
      <c r="B105" s="1842" t="s">
        <v>409</v>
      </c>
      <c r="C105" s="1842"/>
      <c r="D105" s="1842"/>
      <c r="E105" s="1842"/>
      <c r="F105" s="1842"/>
      <c r="G105" s="1842"/>
      <c r="H105" s="1842"/>
      <c r="I105" s="1842"/>
      <c r="J105" s="1842"/>
      <c r="K105" s="1842"/>
      <c r="L105" s="1640"/>
    </row>
    <row r="106" spans="1:12" s="104" customFormat="1" ht="58.5" customHeight="1">
      <c r="A106" s="104" t="s">
        <v>91</v>
      </c>
      <c r="B106" s="1842" t="s">
        <v>410</v>
      </c>
      <c r="C106" s="1842"/>
      <c r="D106" s="1842"/>
      <c r="E106" s="1842"/>
      <c r="F106" s="1842"/>
      <c r="G106" s="1842"/>
      <c r="H106" s="1842"/>
      <c r="I106" s="1842"/>
      <c r="J106" s="1842"/>
      <c r="K106" s="1842"/>
      <c r="L106" s="1640"/>
    </row>
    <row r="107" spans="1:12" s="104" customFormat="1" ht="58.5" customHeight="1">
      <c r="A107" s="104" t="s">
        <v>93</v>
      </c>
      <c r="B107" s="1842" t="s">
        <v>411</v>
      </c>
      <c r="C107" s="1842"/>
      <c r="D107" s="1842"/>
      <c r="E107" s="1842"/>
      <c r="F107" s="1842"/>
      <c r="G107" s="1842"/>
      <c r="H107" s="1842"/>
      <c r="I107" s="1842"/>
      <c r="J107" s="1842"/>
      <c r="K107" s="1842"/>
      <c r="L107" s="1640"/>
    </row>
    <row r="108" spans="1:12" ht="18.75" customHeight="1"/>
  </sheetData>
  <mergeCells count="4">
    <mergeCell ref="B105:K105"/>
    <mergeCell ref="B106:K106"/>
    <mergeCell ref="B107:K107"/>
    <mergeCell ref="A3:J3"/>
  </mergeCells>
  <pageMargins left="0.78740157480314965" right="0.31496062992125984" top="0.19685039370078741" bottom="0.39370078740157483" header="0.19685039370078741" footer="0.19685039370078741"/>
  <pageSetup paperSize="9" scale="51" orientation="portrait" r:id="rId1"/>
  <headerFooter alignWithMargins="0"/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</sheetPr>
  <dimension ref="A1:P108"/>
  <sheetViews>
    <sheetView view="pageBreakPreview" zoomScaleNormal="100" zoomScaleSheetLayoutView="100" workbookViewId="0">
      <pane xSplit="2" ySplit="5" topLeftCell="I6" activePane="bottomRight" state="frozen"/>
      <selection activeCell="B82" sqref="B82"/>
      <selection pane="topRight" activeCell="B82" sqref="B82"/>
      <selection pane="bottomLeft" activeCell="B82" sqref="B82"/>
      <selection pane="bottomRight" activeCell="P14" sqref="P14"/>
    </sheetView>
  </sheetViews>
  <sheetFormatPr defaultColWidth="3.7109375" defaultRowHeight="15" outlineLevelRow="1"/>
  <cols>
    <col min="1" max="1" width="6.42578125" style="1" customWidth="1"/>
    <col min="2" max="2" width="42.140625" style="1" customWidth="1"/>
    <col min="3" max="4" width="13.42578125" style="1" hidden="1" customWidth="1"/>
    <col min="5" max="9" width="13.42578125" style="1" customWidth="1"/>
    <col min="10" max="10" width="17.28515625" style="1" customWidth="1"/>
    <col min="11" max="11" width="13" style="1603" customWidth="1"/>
    <col min="12" max="12" width="12.140625" style="1" customWidth="1"/>
    <col min="13" max="13" width="11.5703125" style="1" customWidth="1"/>
    <col min="14" max="14" width="13.5703125" style="1" customWidth="1"/>
    <col min="15" max="16" width="11.5703125" style="1" customWidth="1"/>
    <col min="17" max="50" width="9.140625" style="1" customWidth="1"/>
    <col min="51" max="16384" width="3.7109375" style="1"/>
  </cols>
  <sheetData>
    <row r="1" spans="1:16" ht="12.75" customHeight="1">
      <c r="A1" s="74" t="s">
        <v>1860</v>
      </c>
      <c r="J1" s="23"/>
      <c r="K1" s="23"/>
      <c r="M1" s="23" t="s">
        <v>359</v>
      </c>
      <c r="N1" s="23"/>
      <c r="O1" s="23"/>
      <c r="P1" s="23"/>
    </row>
    <row r="2" spans="1:16" ht="12.75" customHeight="1">
      <c r="A2" s="759" t="str">
        <f>'3.1'!$A$2</f>
        <v>ПКГО - Комбинированная выработка КТЭЦ</v>
      </c>
      <c r="K2" s="763"/>
    </row>
    <row r="3" spans="1:16" ht="18.75">
      <c r="A3" s="1877" t="s">
        <v>1147</v>
      </c>
      <c r="B3" s="1914"/>
      <c r="C3" s="1914"/>
      <c r="D3" s="1914"/>
      <c r="E3" s="1914"/>
      <c r="F3" s="1914"/>
      <c r="G3" s="1914"/>
      <c r="H3" s="1914"/>
      <c r="I3" s="1914"/>
      <c r="J3" s="1914"/>
      <c r="K3" s="1750"/>
      <c r="L3" s="1632"/>
      <c r="M3" s="1632"/>
      <c r="N3" s="1632"/>
      <c r="O3" s="1632"/>
      <c r="P3" s="1632"/>
    </row>
    <row r="4" spans="1:16" ht="14.25" customHeight="1">
      <c r="A4" s="1" t="s">
        <v>1531</v>
      </c>
      <c r="J4" s="23"/>
      <c r="K4" s="23"/>
      <c r="M4" s="23" t="s">
        <v>360</v>
      </c>
      <c r="N4" s="23"/>
      <c r="O4" s="23"/>
      <c r="P4" s="23"/>
    </row>
    <row r="5" spans="1:16" s="3" customFormat="1" ht="72.75" customHeight="1">
      <c r="A5" s="913" t="s">
        <v>0</v>
      </c>
      <c r="B5" s="913" t="s">
        <v>1</v>
      </c>
      <c r="C5" s="913" t="s">
        <v>1129</v>
      </c>
      <c r="D5" s="913" t="s">
        <v>1130</v>
      </c>
      <c r="E5" s="913" t="s">
        <v>1131</v>
      </c>
      <c r="F5" s="913" t="s">
        <v>1695</v>
      </c>
      <c r="G5" s="1284" t="s">
        <v>1696</v>
      </c>
      <c r="H5" s="1576" t="s">
        <v>1828</v>
      </c>
      <c r="I5" s="1576" t="s">
        <v>1833</v>
      </c>
      <c r="J5" s="1631" t="s">
        <v>1861</v>
      </c>
      <c r="K5" s="1745" t="s">
        <v>1862</v>
      </c>
      <c r="L5" s="1631" t="s">
        <v>763</v>
      </c>
      <c r="M5" s="1631" t="s">
        <v>764</v>
      </c>
      <c r="N5" s="1631" t="s">
        <v>1863</v>
      </c>
      <c r="O5" s="1631" t="s">
        <v>763</v>
      </c>
      <c r="P5" s="1631" t="s">
        <v>764</v>
      </c>
    </row>
    <row r="6" spans="1:16" s="2" customFormat="1">
      <c r="A6" s="13">
        <v>1</v>
      </c>
      <c r="B6" s="13">
        <v>2</v>
      </c>
      <c r="C6" s="13">
        <v>3</v>
      </c>
      <c r="D6" s="13">
        <v>4</v>
      </c>
      <c r="E6" s="13">
        <v>3</v>
      </c>
      <c r="F6" s="13">
        <v>4</v>
      </c>
      <c r="G6" s="13">
        <v>5</v>
      </c>
      <c r="H6" s="13">
        <v>6</v>
      </c>
      <c r="I6" s="13">
        <v>7</v>
      </c>
      <c r="J6" s="13">
        <v>8</v>
      </c>
      <c r="K6" s="13">
        <v>9</v>
      </c>
      <c r="L6" s="13">
        <v>10</v>
      </c>
      <c r="M6" s="13">
        <v>11</v>
      </c>
      <c r="N6" s="1604">
        <v>9</v>
      </c>
      <c r="O6" s="13">
        <v>10</v>
      </c>
      <c r="P6" s="13">
        <v>11</v>
      </c>
    </row>
    <row r="7" spans="1:16" s="1041" customFormat="1" ht="32.25" customHeight="1">
      <c r="A7" s="1037" t="s">
        <v>361</v>
      </c>
      <c r="B7" s="1038" t="s">
        <v>362</v>
      </c>
      <c r="C7" s="1039">
        <f>C8+SUM(C10:C15)+C20+SUM(C22:C25)+SUM(C56:C61)</f>
        <v>1326836.6817738668</v>
      </c>
      <c r="D7" s="1039">
        <f>D8+SUM(D10:D15)+D20+SUM(D22:D25)+SUM(D56:D61)</f>
        <v>1334087.6406599998</v>
      </c>
      <c r="E7" s="1039">
        <v>1430740.2389284854</v>
      </c>
      <c r="F7" s="1039">
        <v>1494986.0020111466</v>
      </c>
      <c r="G7" s="1039">
        <v>1452370.9619877937</v>
      </c>
      <c r="H7" s="1039">
        <v>1475723.6558267176</v>
      </c>
      <c r="I7" s="1039">
        <v>1520518.6187464662</v>
      </c>
      <c r="J7" s="1039">
        <v>1707101.1025247891</v>
      </c>
      <c r="K7" s="1039">
        <v>1913724.6418074528</v>
      </c>
      <c r="L7" s="1039">
        <v>1017453.2105235286</v>
      </c>
      <c r="M7" s="1039">
        <v>896276.26205992396</v>
      </c>
      <c r="N7" s="1605">
        <v>2003163.3323881505</v>
      </c>
      <c r="O7" s="1039">
        <v>1067382.697630377</v>
      </c>
      <c r="P7" s="1039">
        <v>935780.63475777395</v>
      </c>
    </row>
    <row r="8" spans="1:16" s="1046" customFormat="1" ht="15" customHeight="1">
      <c r="A8" s="1044"/>
      <c r="B8" s="1045" t="s">
        <v>363</v>
      </c>
      <c r="C8" s="258">
        <f>'4.6_генерация_КТЭЦ'!C8</f>
        <v>45018</v>
      </c>
      <c r="D8" s="258">
        <f>'4.6_генерация_КТЭЦ'!D8+'4.6_косв.'!I8</f>
        <v>13619</v>
      </c>
      <c r="E8" s="258">
        <v>12031</v>
      </c>
      <c r="F8" s="258">
        <v>14507</v>
      </c>
      <c r="G8" s="258">
        <v>23727</v>
      </c>
      <c r="H8" s="258">
        <v>16133</v>
      </c>
      <c r="I8" s="258">
        <v>49316</v>
      </c>
      <c r="J8" s="258">
        <v>47630</v>
      </c>
      <c r="K8" s="258">
        <v>49049.789000000004</v>
      </c>
      <c r="L8" s="258">
        <v>17167.426149999999</v>
      </c>
      <c r="M8" s="258">
        <v>31882.362850000005</v>
      </c>
      <c r="N8" s="258">
        <v>54667.025734939198</v>
      </c>
      <c r="O8" s="258">
        <v>19133.459007228717</v>
      </c>
      <c r="P8" s="258">
        <v>35533.56672771048</v>
      </c>
    </row>
    <row r="9" spans="1:16" s="4" customFormat="1" ht="15" customHeight="1">
      <c r="A9" s="17"/>
      <c r="B9" s="580" t="s">
        <v>1134</v>
      </c>
      <c r="C9" s="751">
        <f>'4.6_генерация_КТЭЦ'!C9</f>
        <v>14255</v>
      </c>
      <c r="D9" s="751">
        <f>'4.6_генерация_КТЭЦ'!D9+'4.6_косв.'!I9</f>
        <v>3466</v>
      </c>
      <c r="E9" s="751">
        <v>0</v>
      </c>
      <c r="F9" s="751">
        <v>4997</v>
      </c>
      <c r="G9" s="751">
        <v>9483</v>
      </c>
      <c r="H9" s="751">
        <v>5791</v>
      </c>
      <c r="I9" s="751">
        <v>10991</v>
      </c>
      <c r="J9" s="751">
        <v>9305</v>
      </c>
      <c r="K9" s="751">
        <v>8528</v>
      </c>
      <c r="L9" s="751">
        <v>2984.7999999999997</v>
      </c>
      <c r="M9" s="751">
        <v>5543.2000000000007</v>
      </c>
      <c r="N9" s="751">
        <v>12183.576929449198</v>
      </c>
      <c r="O9" s="751">
        <v>4264.2519253072196</v>
      </c>
      <c r="P9" s="751">
        <v>7919.3250041419788</v>
      </c>
    </row>
    <row r="10" spans="1:16" s="1046" customFormat="1" ht="15" customHeight="1">
      <c r="A10" s="1044"/>
      <c r="B10" s="1045" t="s">
        <v>364</v>
      </c>
      <c r="C10" s="258">
        <f>'4.6_генерация_КТЭЦ'!C10</f>
        <v>798114.68177386676</v>
      </c>
      <c r="D10" s="258">
        <f>' 4.4-КТЭЦ_комбинир.'!E256</f>
        <v>745750.77094999992</v>
      </c>
      <c r="E10" s="258">
        <v>946726</v>
      </c>
      <c r="F10" s="258">
        <v>820511.83115114667</v>
      </c>
      <c r="G10" s="258">
        <v>845707.96198779368</v>
      </c>
      <c r="H10" s="258">
        <v>791710.72252619755</v>
      </c>
      <c r="I10" s="258">
        <v>899891</v>
      </c>
      <c r="J10" s="258">
        <v>922221.98336478905</v>
      </c>
      <c r="K10" s="258">
        <v>940898.01732465264</v>
      </c>
      <c r="L10" s="258">
        <v>563451.80582552869</v>
      </c>
      <c r="M10" s="258">
        <v>377446.21149912395</v>
      </c>
      <c r="N10" s="258">
        <v>969831.47159815882</v>
      </c>
      <c r="O10" s="258">
        <v>581155.10307211999</v>
      </c>
      <c r="P10" s="258">
        <v>388676.36852603883</v>
      </c>
    </row>
    <row r="11" spans="1:16" s="1046" customFormat="1" ht="30">
      <c r="A11" s="1044"/>
      <c r="B11" s="1045" t="s">
        <v>365</v>
      </c>
      <c r="C11" s="258">
        <f>'4.6_генерация_КТЭЦ'!C11</f>
        <v>0</v>
      </c>
      <c r="D11" s="258">
        <f>'4.6_генерация_КТЭЦ'!D11+'4.6_косв.'!I11</f>
        <v>0</v>
      </c>
      <c r="E11" s="258">
        <v>0</v>
      </c>
      <c r="F11" s="258">
        <v>0</v>
      </c>
      <c r="G11" s="258">
        <v>0</v>
      </c>
      <c r="H11" s="258">
        <v>0</v>
      </c>
      <c r="I11" s="258">
        <v>0</v>
      </c>
      <c r="J11" s="258">
        <v>0</v>
      </c>
      <c r="K11" s="258">
        <v>0</v>
      </c>
      <c r="L11" s="258">
        <v>0</v>
      </c>
      <c r="M11" s="258">
        <v>0</v>
      </c>
      <c r="N11" s="258">
        <v>0</v>
      </c>
      <c r="O11" s="258">
        <v>0</v>
      </c>
      <c r="P11" s="258">
        <v>0</v>
      </c>
    </row>
    <row r="12" spans="1:16" s="1046" customFormat="1" ht="15" customHeight="1">
      <c r="A12" s="1044"/>
      <c r="B12" s="1045" t="s">
        <v>366</v>
      </c>
      <c r="C12" s="258">
        <f>'4.6_генерация_КТЭЦ'!C12</f>
        <v>3832</v>
      </c>
      <c r="D12" s="258">
        <f>'4.6_генерация_КТЭЦ'!D12+'4.6_косв.'!I12</f>
        <v>109146.23890999999</v>
      </c>
      <c r="E12" s="258">
        <v>7870</v>
      </c>
      <c r="F12" s="258">
        <v>5861</v>
      </c>
      <c r="G12" s="258">
        <v>7572</v>
      </c>
      <c r="H12" s="258">
        <v>6738</v>
      </c>
      <c r="I12" s="258">
        <v>6884</v>
      </c>
      <c r="J12" s="258">
        <v>7647.9910399999999</v>
      </c>
      <c r="K12" s="258">
        <v>7700.4474440000004</v>
      </c>
      <c r="L12" s="258">
        <v>4550.0933000000005</v>
      </c>
      <c r="M12" s="258">
        <v>3150.3541439999999</v>
      </c>
      <c r="N12" s="258">
        <v>8256.2718707799995</v>
      </c>
      <c r="O12" s="258">
        <v>4964.1517903000004</v>
      </c>
      <c r="P12" s="258">
        <v>3292.1200804799996</v>
      </c>
    </row>
    <row r="13" spans="1:16" s="1046" customFormat="1" ht="15" customHeight="1">
      <c r="A13" s="1044"/>
      <c r="B13" s="1045" t="s">
        <v>367</v>
      </c>
      <c r="C13" s="258">
        <f>'4.6_генерация_КТЭЦ'!C13</f>
        <v>0</v>
      </c>
      <c r="D13" s="258">
        <f>'4.6_генерация_КТЭЦ'!D13+'4.6_косв.'!I13</f>
        <v>0</v>
      </c>
      <c r="E13" s="258">
        <v>0</v>
      </c>
      <c r="F13" s="258">
        <v>112970</v>
      </c>
      <c r="G13" s="258">
        <v>0</v>
      </c>
      <c r="H13" s="258">
        <v>113778</v>
      </c>
      <c r="I13" s="258">
        <v>0</v>
      </c>
      <c r="J13" s="258">
        <v>109391.24076000002</v>
      </c>
      <c r="K13" s="258">
        <v>115440.2817588</v>
      </c>
      <c r="L13" s="258">
        <v>63195.033660000001</v>
      </c>
      <c r="M13" s="258">
        <v>52245.248098800002</v>
      </c>
      <c r="N13" s="258">
        <v>123542.065986306</v>
      </c>
      <c r="O13" s="258">
        <v>68945.781723060005</v>
      </c>
      <c r="P13" s="258">
        <v>54596.284263245994</v>
      </c>
    </row>
    <row r="14" spans="1:16" s="1046" customFormat="1" ht="30">
      <c r="A14" s="1044"/>
      <c r="B14" s="1045" t="s">
        <v>368</v>
      </c>
      <c r="C14" s="258">
        <f>'4.6_генерация_КТЭЦ'!C14</f>
        <v>53485</v>
      </c>
      <c r="D14" s="258">
        <f>'4.6_генерация_КТЭЦ'!D14+'4.6_косв.'!I14</f>
        <v>80015</v>
      </c>
      <c r="E14" s="258">
        <v>60548</v>
      </c>
      <c r="F14" s="258">
        <v>93360</v>
      </c>
      <c r="G14" s="258">
        <v>71146</v>
      </c>
      <c r="H14" s="258">
        <v>67293</v>
      </c>
      <c r="I14" s="258">
        <v>67590</v>
      </c>
      <c r="J14" s="258">
        <v>74292</v>
      </c>
      <c r="K14" s="258">
        <v>79244</v>
      </c>
      <c r="L14" s="258">
        <v>44029</v>
      </c>
      <c r="M14" s="258">
        <v>35215</v>
      </c>
      <c r="N14" s="258">
        <v>87642</v>
      </c>
      <c r="O14" s="258">
        <v>48551</v>
      </c>
      <c r="P14" s="258">
        <v>39091</v>
      </c>
    </row>
    <row r="15" spans="1:16" s="1046" customFormat="1" ht="15" customHeight="1">
      <c r="A15" s="1044"/>
      <c r="B15" s="1045" t="s">
        <v>1135</v>
      </c>
      <c r="C15" s="258">
        <f>C16+C18+C19+1</f>
        <v>200640</v>
      </c>
      <c r="D15" s="258">
        <f t="shared" ref="D15" si="0">D16+D18+D19</f>
        <v>223175</v>
      </c>
      <c r="E15" s="258">
        <v>218204.23892848552</v>
      </c>
      <c r="F15" s="258">
        <v>261491</v>
      </c>
      <c r="G15" s="258">
        <v>308898</v>
      </c>
      <c r="H15" s="258">
        <v>274071.85250052001</v>
      </c>
      <c r="I15" s="258">
        <v>253792</v>
      </c>
      <c r="J15" s="258">
        <v>306958.78736000002</v>
      </c>
      <c r="K15" s="258">
        <v>346028.61744</v>
      </c>
      <c r="L15" s="258">
        <v>166296.04919200001</v>
      </c>
      <c r="M15" s="258">
        <v>179737.39902399998</v>
      </c>
      <c r="N15" s="258">
        <v>366325.25292800006</v>
      </c>
      <c r="O15" s="258">
        <v>177456.08648000003</v>
      </c>
      <c r="P15" s="258">
        <v>188869.166448</v>
      </c>
    </row>
    <row r="16" spans="1:16" s="341" customFormat="1" ht="15" customHeight="1">
      <c r="A16" s="339"/>
      <c r="B16" s="581" t="s">
        <v>1136</v>
      </c>
      <c r="C16" s="766">
        <f>'4.6_генерация_КТЭЦ'!C16</f>
        <v>198223</v>
      </c>
      <c r="D16" s="766">
        <f>'4.6_генерация_КТЭЦ'!D16+'4.6_косв.'!I16</f>
        <v>216724</v>
      </c>
      <c r="E16" s="766">
        <v>215208.23892848552</v>
      </c>
      <c r="F16" s="981">
        <v>254859</v>
      </c>
      <c r="G16" s="766">
        <v>303442</v>
      </c>
      <c r="H16" s="981">
        <v>266850.85250052001</v>
      </c>
      <c r="I16" s="981">
        <v>250640</v>
      </c>
      <c r="J16" s="981">
        <v>299445.78736000002</v>
      </c>
      <c r="K16" s="981">
        <v>337771.61744</v>
      </c>
      <c r="L16" s="981">
        <v>162167.54919200001</v>
      </c>
      <c r="M16" s="981">
        <v>175608.89902399998</v>
      </c>
      <c r="N16" s="981">
        <v>357661.25292800006</v>
      </c>
      <c r="O16" s="981">
        <v>173124.08648000003</v>
      </c>
      <c r="P16" s="981">
        <v>184537.166448</v>
      </c>
    </row>
    <row r="17" spans="1:16" s="341" customFormat="1" ht="15" customHeight="1">
      <c r="A17" s="339"/>
      <c r="B17" s="580" t="s">
        <v>1134</v>
      </c>
      <c r="C17" s="751">
        <f>'4.6_генерация_КТЭЦ'!C17</f>
        <v>16591</v>
      </c>
      <c r="D17" s="751">
        <f>'4.6_генерация_КТЭЦ'!D17+'4.6_косв.'!I17</f>
        <v>18817</v>
      </c>
      <c r="E17" s="751">
        <v>0</v>
      </c>
      <c r="F17" s="751">
        <v>21345</v>
      </c>
      <c r="G17" s="751">
        <v>26579</v>
      </c>
      <c r="H17" s="751">
        <v>22789</v>
      </c>
      <c r="I17" s="751">
        <v>43088</v>
      </c>
      <c r="J17" s="751">
        <v>26597</v>
      </c>
      <c r="K17" s="751">
        <v>30189</v>
      </c>
      <c r="L17" s="752">
        <v>14104</v>
      </c>
      <c r="M17" s="751">
        <v>16085</v>
      </c>
      <c r="N17" s="751">
        <v>31954</v>
      </c>
      <c r="O17" s="752">
        <v>14104</v>
      </c>
      <c r="P17" s="751">
        <v>17850</v>
      </c>
    </row>
    <row r="18" spans="1:16" s="341" customFormat="1" ht="15" customHeight="1">
      <c r="A18" s="339"/>
      <c r="B18" s="581" t="s">
        <v>1137</v>
      </c>
      <c r="C18" s="766">
        <f>'4.6_генерация_КТЭЦ'!C18</f>
        <v>2416</v>
      </c>
      <c r="D18" s="766">
        <f>'4.6_генерация_КТЭЦ'!D18+'4.6_косв.'!I18</f>
        <v>2840</v>
      </c>
      <c r="E18" s="766">
        <v>2996</v>
      </c>
      <c r="F18" s="766">
        <v>3219</v>
      </c>
      <c r="G18" s="766">
        <v>5456</v>
      </c>
      <c r="H18" s="766">
        <v>3522</v>
      </c>
      <c r="I18" s="766">
        <v>3152</v>
      </c>
      <c r="J18" s="766">
        <v>3612</v>
      </c>
      <c r="K18" s="766">
        <v>5710</v>
      </c>
      <c r="L18" s="766">
        <v>2855</v>
      </c>
      <c r="M18" s="766">
        <v>2855</v>
      </c>
      <c r="N18" s="766">
        <v>5967</v>
      </c>
      <c r="O18" s="766">
        <v>2983.5</v>
      </c>
      <c r="P18" s="766">
        <v>2983.5</v>
      </c>
    </row>
    <row r="19" spans="1:16" s="341" customFormat="1" ht="15" customHeight="1">
      <c r="A19" s="339"/>
      <c r="B19" s="581" t="s">
        <v>1138</v>
      </c>
      <c r="C19" s="766">
        <f>'4.6_генерация_КТЭЦ'!C19</f>
        <v>0</v>
      </c>
      <c r="D19" s="766">
        <f>'4.6_генерация_КТЭЦ'!D19+'4.6_косв.'!I19</f>
        <v>3611</v>
      </c>
      <c r="E19" s="766">
        <v>0</v>
      </c>
      <c r="F19" s="766">
        <v>3413</v>
      </c>
      <c r="G19" s="766">
        <v>0</v>
      </c>
      <c r="H19" s="766">
        <v>3699</v>
      </c>
      <c r="I19" s="766">
        <v>0</v>
      </c>
      <c r="J19" s="766">
        <v>3901</v>
      </c>
      <c r="K19" s="766">
        <v>2547</v>
      </c>
      <c r="L19" s="981">
        <v>1273.5</v>
      </c>
      <c r="M19" s="766">
        <v>1273.5</v>
      </c>
      <c r="N19" s="766">
        <v>2697</v>
      </c>
      <c r="O19" s="981">
        <v>1348.5</v>
      </c>
      <c r="P19" s="766">
        <v>1348.5</v>
      </c>
    </row>
    <row r="20" spans="1:16" s="1046" customFormat="1">
      <c r="A20" s="1044"/>
      <c r="B20" s="1045" t="s">
        <v>369</v>
      </c>
      <c r="C20" s="258">
        <f>'4.6_генерация_КТЭЦ'!C20</f>
        <v>95665</v>
      </c>
      <c r="D20" s="258">
        <f>'4.6_генерация_КТЭЦ'!D20+'4.6_косв.'!I20</f>
        <v>53271</v>
      </c>
      <c r="E20" s="258">
        <v>58923</v>
      </c>
      <c r="F20" s="258">
        <v>64607</v>
      </c>
      <c r="G20" s="258">
        <v>69922</v>
      </c>
      <c r="H20" s="258">
        <v>70518</v>
      </c>
      <c r="I20" s="258">
        <v>118561</v>
      </c>
      <c r="J20" s="258">
        <v>79493</v>
      </c>
      <c r="K20" s="258">
        <v>91603</v>
      </c>
      <c r="L20" s="258">
        <v>52616</v>
      </c>
      <c r="M20" s="258">
        <v>38987</v>
      </c>
      <c r="N20" s="258">
        <v>98569</v>
      </c>
      <c r="O20" s="258">
        <v>56616</v>
      </c>
      <c r="P20" s="258">
        <v>41953</v>
      </c>
    </row>
    <row r="21" spans="1:16" s="341" customFormat="1">
      <c r="A21" s="339"/>
      <c r="B21" s="580" t="s">
        <v>1134</v>
      </c>
      <c r="C21" s="751">
        <f>'4.6_генерация_КТЭЦ'!C21</f>
        <v>4836</v>
      </c>
      <c r="D21" s="751">
        <f>'4.6_генерация_КТЭЦ'!D21+'4.6_косв.'!I21</f>
        <v>5054</v>
      </c>
      <c r="E21" s="751">
        <v>0</v>
      </c>
      <c r="F21" s="751">
        <v>6189</v>
      </c>
      <c r="G21" s="751">
        <v>10650</v>
      </c>
      <c r="H21" s="751">
        <v>6700</v>
      </c>
      <c r="I21" s="751">
        <v>13860</v>
      </c>
      <c r="J21" s="751">
        <v>7620</v>
      </c>
      <c r="K21" s="751">
        <v>9117</v>
      </c>
      <c r="L21" s="752">
        <v>3628.9238129556302</v>
      </c>
      <c r="M21" s="752">
        <v>5488.0761870443694</v>
      </c>
      <c r="N21" s="751">
        <v>9346.3112898259333</v>
      </c>
      <c r="O21" s="752">
        <v>3628.9238129556302</v>
      </c>
      <c r="P21" s="752">
        <v>5717.3874768703026</v>
      </c>
    </row>
    <row r="22" spans="1:16" s="1046" customFormat="1" ht="30" customHeight="1">
      <c r="A22" s="1044"/>
      <c r="B22" s="1045" t="s">
        <v>370</v>
      </c>
      <c r="C22" s="258">
        <f>'4.6_генерация_КТЭЦ'!C22</f>
        <v>50758</v>
      </c>
      <c r="D22" s="258">
        <f>'4.6_генерация_КТЭЦ'!D22+'4.6_косв.'!I22</f>
        <v>46924</v>
      </c>
      <c r="E22" s="258">
        <v>73774</v>
      </c>
      <c r="F22" s="258">
        <v>59525</v>
      </c>
      <c r="G22" s="258">
        <v>68473</v>
      </c>
      <c r="H22" s="258">
        <v>64688</v>
      </c>
      <c r="I22" s="258">
        <v>42977</v>
      </c>
      <c r="J22" s="258">
        <v>90775</v>
      </c>
      <c r="K22" s="258">
        <v>212225</v>
      </c>
      <c r="L22" s="258">
        <v>74278.75</v>
      </c>
      <c r="M22" s="258">
        <v>137946.25</v>
      </c>
      <c r="N22" s="258">
        <v>219092.83701622239</v>
      </c>
      <c r="O22" s="258">
        <v>76682.492955677837</v>
      </c>
      <c r="P22" s="258">
        <v>142410.34406054456</v>
      </c>
    </row>
    <row r="23" spans="1:16" s="1046" customFormat="1" ht="60">
      <c r="A23" s="1044"/>
      <c r="B23" s="1045" t="s">
        <v>1139</v>
      </c>
      <c r="C23" s="258">
        <f>'4.6_генерация_КТЭЦ'!C23</f>
        <v>0</v>
      </c>
      <c r="D23" s="258">
        <f>'4.6_генерация_КТЭЦ'!D23+'4.6_косв.'!I23</f>
        <v>0</v>
      </c>
      <c r="E23" s="258">
        <v>0</v>
      </c>
      <c r="F23" s="258">
        <v>0</v>
      </c>
      <c r="G23" s="258">
        <v>0</v>
      </c>
      <c r="H23" s="258">
        <v>0</v>
      </c>
      <c r="I23" s="258">
        <v>0</v>
      </c>
      <c r="J23" s="258">
        <v>0</v>
      </c>
      <c r="K23" s="258">
        <v>0</v>
      </c>
      <c r="L23" s="258">
        <v>0</v>
      </c>
      <c r="M23" s="258">
        <v>0</v>
      </c>
      <c r="N23" s="258">
        <v>0</v>
      </c>
      <c r="O23" s="258">
        <v>0</v>
      </c>
      <c r="P23" s="258">
        <v>0</v>
      </c>
    </row>
    <row r="24" spans="1:16" s="1046" customFormat="1" ht="60">
      <c r="A24" s="1044"/>
      <c r="B24" s="1045" t="s">
        <v>372</v>
      </c>
      <c r="C24" s="258">
        <f>'4.6_генерация_КТЭЦ'!C24</f>
        <v>31165</v>
      </c>
      <c r="D24" s="258">
        <f>'4.6_генерация_КТЭЦ'!D24+'4.6_косв.'!I24</f>
        <v>18372</v>
      </c>
      <c r="E24" s="258">
        <v>16365</v>
      </c>
      <c r="F24" s="258">
        <v>11454</v>
      </c>
      <c r="G24" s="258">
        <v>19103</v>
      </c>
      <c r="H24" s="258">
        <v>13115</v>
      </c>
      <c r="I24" s="258">
        <v>22388</v>
      </c>
      <c r="J24" s="258">
        <v>22388</v>
      </c>
      <c r="K24" s="258">
        <v>23671.280160000002</v>
      </c>
      <c r="L24" s="258">
        <v>8284.9480560000011</v>
      </c>
      <c r="M24" s="258">
        <v>15386.332104000001</v>
      </c>
      <c r="N24" s="258">
        <v>24817.206832545598</v>
      </c>
      <c r="O24" s="258">
        <v>8686.0223913909595</v>
      </c>
      <c r="P24" s="258">
        <v>16131.184441154639</v>
      </c>
    </row>
    <row r="25" spans="1:16" s="1046" customFormat="1" ht="105">
      <c r="A25" s="1044"/>
      <c r="B25" s="1045" t="s">
        <v>373</v>
      </c>
      <c r="C25" s="258">
        <f>C27+C28+C29+C55</f>
        <v>24090</v>
      </c>
      <c r="D25" s="258">
        <f t="shared" ref="D25" si="1">D27+D28+D29+D55</f>
        <v>30596.630799999999</v>
      </c>
      <c r="E25" s="258">
        <v>26279</v>
      </c>
      <c r="F25" s="258">
        <v>34308.170859999998</v>
      </c>
      <c r="G25" s="258">
        <v>24324</v>
      </c>
      <c r="H25" s="258">
        <v>40301.080799999996</v>
      </c>
      <c r="I25" s="258">
        <v>25763</v>
      </c>
      <c r="J25" s="258">
        <v>25763</v>
      </c>
      <c r="K25" s="258">
        <v>27239.73516</v>
      </c>
      <c r="L25" s="258">
        <v>13619.86758</v>
      </c>
      <c r="M25" s="258">
        <v>13619.86758</v>
      </c>
      <c r="N25" s="258">
        <v>28558.410739095594</v>
      </c>
      <c r="O25" s="258">
        <v>14279.205369547797</v>
      </c>
      <c r="P25" s="258">
        <v>14279.205369547797</v>
      </c>
    </row>
    <row r="26" spans="1:16" s="4" customFormat="1">
      <c r="A26" s="17"/>
      <c r="B26" s="51" t="s">
        <v>70</v>
      </c>
      <c r="C26" s="766"/>
      <c r="D26" s="241"/>
      <c r="E26" s="241"/>
      <c r="F26" s="241"/>
      <c r="G26" s="241"/>
      <c r="H26" s="241"/>
      <c r="I26" s="241"/>
      <c r="J26" s="241"/>
      <c r="K26" s="241"/>
      <c r="L26" s="241"/>
      <c r="M26" s="241"/>
      <c r="N26" s="241">
        <v>0</v>
      </c>
      <c r="O26" s="241"/>
      <c r="P26" s="241"/>
    </row>
    <row r="27" spans="1:16" s="4" customFormat="1">
      <c r="A27" s="17"/>
      <c r="B27" s="581" t="s">
        <v>1275</v>
      </c>
      <c r="C27" s="766">
        <f>'4.6_генерация_КТЭЦ'!C27</f>
        <v>182</v>
      </c>
      <c r="D27" s="766">
        <f>'4.6_генерация_КТЭЦ'!D27+'4.6_косв.'!I27</f>
        <v>929</v>
      </c>
      <c r="E27" s="766">
        <v>567</v>
      </c>
      <c r="F27" s="766">
        <v>783</v>
      </c>
      <c r="G27" s="766">
        <v>0</v>
      </c>
      <c r="H27" s="766">
        <v>721</v>
      </c>
      <c r="I27" s="766">
        <v>0</v>
      </c>
      <c r="J27" s="766">
        <v>0</v>
      </c>
      <c r="K27" s="766">
        <v>0</v>
      </c>
      <c r="L27" s="766">
        <v>0</v>
      </c>
      <c r="M27" s="766">
        <v>0</v>
      </c>
      <c r="N27" s="766">
        <v>0</v>
      </c>
      <c r="O27" s="766">
        <v>0</v>
      </c>
      <c r="P27" s="766">
        <v>0</v>
      </c>
    </row>
    <row r="28" spans="1:16" s="4" customFormat="1">
      <c r="A28" s="17"/>
      <c r="B28" s="581" t="s">
        <v>1276</v>
      </c>
      <c r="C28" s="766">
        <f>'4.6_генерация_КТЭЦ'!C28</f>
        <v>194</v>
      </c>
      <c r="D28" s="766">
        <f>'4.6_генерация_КТЭЦ'!D28+'4.6_косв.'!I28</f>
        <v>592</v>
      </c>
      <c r="E28" s="766">
        <v>398</v>
      </c>
      <c r="F28" s="766">
        <v>798</v>
      </c>
      <c r="G28" s="766">
        <v>239</v>
      </c>
      <c r="H28" s="766">
        <v>377</v>
      </c>
      <c r="I28" s="766">
        <v>175</v>
      </c>
      <c r="J28" s="766">
        <v>175</v>
      </c>
      <c r="K28" s="766">
        <v>185.03100000000001</v>
      </c>
      <c r="L28" s="766">
        <v>92.515500000000003</v>
      </c>
      <c r="M28" s="766">
        <v>92.515500000000003</v>
      </c>
      <c r="N28" s="766">
        <v>193.98835070999996</v>
      </c>
      <c r="O28" s="766">
        <v>96.994175354999982</v>
      </c>
      <c r="P28" s="766">
        <v>96.994175354999982</v>
      </c>
    </row>
    <row r="29" spans="1:16" s="4" customFormat="1">
      <c r="A29" s="17"/>
      <c r="B29" s="581" t="s">
        <v>1559</v>
      </c>
      <c r="C29" s="766">
        <f>'4.6_генерация_КТЭЦ'!C29</f>
        <v>23714</v>
      </c>
      <c r="D29" s="981">
        <f>'4.6_генерация_КТЭЦ'!$D$29+'4.6_косв.'!I29</f>
        <v>29075.630799999999</v>
      </c>
      <c r="E29" s="766">
        <v>25314</v>
      </c>
      <c r="F29" s="766">
        <v>32727.170859999998</v>
      </c>
      <c r="G29" s="766">
        <v>24084</v>
      </c>
      <c r="H29" s="766">
        <v>39203.080799999996</v>
      </c>
      <c r="I29" s="766">
        <v>25588</v>
      </c>
      <c r="J29" s="766">
        <v>25588</v>
      </c>
      <c r="K29" s="766">
        <v>27054.704160000001</v>
      </c>
      <c r="L29" s="766">
        <v>13527.352080000001</v>
      </c>
      <c r="M29" s="766">
        <v>13527.352080000001</v>
      </c>
      <c r="N29" s="766">
        <v>28364.422388385596</v>
      </c>
      <c r="O29" s="766">
        <v>14182.211194192798</v>
      </c>
      <c r="P29" s="766">
        <v>14182.211194192798</v>
      </c>
    </row>
    <row r="30" spans="1:16" s="4" customFormat="1" hidden="1" outlineLevel="1">
      <c r="A30" s="737" t="s">
        <v>89</v>
      </c>
      <c r="B30" s="738" t="s">
        <v>1244</v>
      </c>
      <c r="C30" s="746">
        <f>'4.6_генерация_КТЭЦ'!C30</f>
        <v>0</v>
      </c>
      <c r="D30" s="746">
        <f>'4.6_генерация_КТЭЦ'!D30+'4.6_косв.'!I30</f>
        <v>16419.489999999998</v>
      </c>
      <c r="E30" s="746">
        <v>0</v>
      </c>
      <c r="F30" s="746">
        <v>16940</v>
      </c>
      <c r="G30" s="746">
        <v>0</v>
      </c>
      <c r="H30" s="746">
        <v>18034</v>
      </c>
      <c r="I30" s="746">
        <v>8075</v>
      </c>
      <c r="J30" s="746">
        <v>8075</v>
      </c>
      <c r="K30" s="746">
        <v>0</v>
      </c>
      <c r="L30" s="308">
        <v>0</v>
      </c>
      <c r="M30" s="766">
        <v>0</v>
      </c>
      <c r="N30" s="746">
        <v>0</v>
      </c>
      <c r="O30" s="308">
        <v>0</v>
      </c>
      <c r="P30" s="766">
        <v>0</v>
      </c>
    </row>
    <row r="31" spans="1:16" s="341" customFormat="1" hidden="1" outlineLevel="1">
      <c r="A31" s="760" t="s">
        <v>91</v>
      </c>
      <c r="B31" s="761" t="s">
        <v>1245</v>
      </c>
      <c r="C31" s="746">
        <f t="shared" ref="C31:D31" si="2">SUM(C32:C43)+C45</f>
        <v>0</v>
      </c>
      <c r="D31" s="746">
        <f t="shared" si="2"/>
        <v>12656.140800000001</v>
      </c>
      <c r="E31" s="746">
        <v>0</v>
      </c>
      <c r="F31" s="746">
        <v>15787.17086</v>
      </c>
      <c r="G31" s="746">
        <v>0</v>
      </c>
      <c r="H31" s="746">
        <v>21169.080799999996</v>
      </c>
      <c r="I31" s="746">
        <v>9466</v>
      </c>
      <c r="J31" s="746"/>
      <c r="K31" s="746">
        <v>0</v>
      </c>
      <c r="L31" s="746">
        <v>0</v>
      </c>
      <c r="M31" s="746">
        <v>0</v>
      </c>
      <c r="N31" s="746">
        <v>0</v>
      </c>
      <c r="O31" s="746">
        <v>0</v>
      </c>
      <c r="P31" s="746">
        <v>0</v>
      </c>
    </row>
    <row r="32" spans="1:16" s="4" customFormat="1" ht="25.5" hidden="1" outlineLevel="1">
      <c r="A32" s="739" t="s">
        <v>1044</v>
      </c>
      <c r="B32" s="740" t="s">
        <v>1247</v>
      </c>
      <c r="C32" s="979">
        <f>'4.6_генерация_КТЭЦ'!C32</f>
        <v>0</v>
      </c>
      <c r="D32" s="979">
        <f>'4.6_генерация_КТЭЦ'!D32+'4.6_косв.'!I32</f>
        <v>1006.8288</v>
      </c>
      <c r="E32" s="979">
        <v>0</v>
      </c>
      <c r="F32" s="979">
        <v>957.65039999999999</v>
      </c>
      <c r="G32" s="979">
        <v>0</v>
      </c>
      <c r="H32" s="979">
        <v>914.72640000000001</v>
      </c>
      <c r="I32" s="979">
        <v>1310</v>
      </c>
      <c r="J32" s="979">
        <v>1310</v>
      </c>
      <c r="K32" s="979">
        <v>0</v>
      </c>
      <c r="L32" s="979">
        <v>0</v>
      </c>
      <c r="M32" s="979">
        <v>0</v>
      </c>
      <c r="N32" s="979">
        <v>0</v>
      </c>
      <c r="O32" s="979">
        <v>0</v>
      </c>
      <c r="P32" s="979">
        <v>0</v>
      </c>
    </row>
    <row r="33" spans="1:16" s="4" customFormat="1" ht="38.25" hidden="1" outlineLevel="1">
      <c r="A33" s="739" t="s">
        <v>1043</v>
      </c>
      <c r="B33" s="740" t="s">
        <v>1249</v>
      </c>
      <c r="C33" s="979">
        <f>'4.6_генерация_КТЭЦ'!C33</f>
        <v>0</v>
      </c>
      <c r="D33" s="979">
        <f>'4.6_генерация_КТЭЦ'!D33+'4.6_косв.'!I33</f>
        <v>14.956800000000001</v>
      </c>
      <c r="E33" s="979">
        <v>0</v>
      </c>
      <c r="F33" s="979">
        <v>0.57003000000000004</v>
      </c>
      <c r="G33" s="979">
        <v>0</v>
      </c>
      <c r="H33" s="979">
        <v>0</v>
      </c>
      <c r="I33" s="979">
        <v>0</v>
      </c>
      <c r="J33" s="979">
        <v>0</v>
      </c>
      <c r="K33" s="979">
        <v>0</v>
      </c>
      <c r="L33" s="979">
        <v>0</v>
      </c>
      <c r="M33" s="979">
        <v>0</v>
      </c>
      <c r="N33" s="979">
        <v>0</v>
      </c>
      <c r="O33" s="979">
        <v>0</v>
      </c>
      <c r="P33" s="979">
        <v>0</v>
      </c>
    </row>
    <row r="34" spans="1:16" s="4" customFormat="1" hidden="1" outlineLevel="1">
      <c r="A34" s="741" t="s">
        <v>1540</v>
      </c>
      <c r="B34" s="740" t="s">
        <v>1250</v>
      </c>
      <c r="C34" s="979">
        <f>'4.6_генерация_КТЭЦ'!C34</f>
        <v>0</v>
      </c>
      <c r="D34" s="979">
        <f>'4.6_генерация_КТЭЦ'!D34+'4.6_косв.'!I34</f>
        <v>254.00319999999999</v>
      </c>
      <c r="E34" s="979">
        <v>0</v>
      </c>
      <c r="F34" s="979">
        <v>244.54286999999999</v>
      </c>
      <c r="G34" s="979">
        <v>0</v>
      </c>
      <c r="H34" s="979">
        <v>317.12639999999999</v>
      </c>
      <c r="I34" s="979">
        <v>0</v>
      </c>
      <c r="J34" s="979">
        <v>0</v>
      </c>
      <c r="K34" s="979">
        <v>0</v>
      </c>
      <c r="L34" s="979">
        <v>0</v>
      </c>
      <c r="M34" s="979">
        <v>0</v>
      </c>
      <c r="N34" s="979">
        <v>0</v>
      </c>
      <c r="O34" s="979">
        <v>0</v>
      </c>
      <c r="P34" s="979">
        <v>0</v>
      </c>
    </row>
    <row r="35" spans="1:16" s="4" customFormat="1" ht="25.5" hidden="1" outlineLevel="1">
      <c r="A35" s="739" t="s">
        <v>1541</v>
      </c>
      <c r="B35" s="740" t="s">
        <v>1251</v>
      </c>
      <c r="C35" s="979">
        <f>'4.6_генерация_КТЭЦ'!C35</f>
        <v>0</v>
      </c>
      <c r="D35" s="979">
        <f>'4.6_генерация_КТЭЦ'!D35+'4.6_косв.'!I35</f>
        <v>631.8592000000001</v>
      </c>
      <c r="E35" s="979">
        <v>0</v>
      </c>
      <c r="F35" s="979">
        <v>766.50034000000005</v>
      </c>
      <c r="G35" s="979">
        <v>0</v>
      </c>
      <c r="H35" s="979">
        <v>613.53600000000006</v>
      </c>
      <c r="I35" s="979">
        <v>1313</v>
      </c>
      <c r="J35" s="979">
        <v>1313</v>
      </c>
      <c r="K35" s="979">
        <v>0</v>
      </c>
      <c r="L35" s="979">
        <v>0</v>
      </c>
      <c r="M35" s="979">
        <v>0</v>
      </c>
      <c r="N35" s="979">
        <v>0</v>
      </c>
      <c r="O35" s="979">
        <v>0</v>
      </c>
      <c r="P35" s="979">
        <v>0</v>
      </c>
    </row>
    <row r="36" spans="1:16" s="4" customFormat="1" ht="25.5" hidden="1" outlineLevel="1">
      <c r="A36" s="739" t="s">
        <v>1542</v>
      </c>
      <c r="B36" s="740" t="s">
        <v>1252</v>
      </c>
      <c r="C36" s="979">
        <f>'4.6_генерация_КТЭЦ'!C36</f>
        <v>0</v>
      </c>
      <c r="D36" s="979">
        <f>'4.6_генерация_КТЭЦ'!D36+'4.6_косв.'!I36</f>
        <v>3092.6464000000001</v>
      </c>
      <c r="E36" s="979">
        <v>0</v>
      </c>
      <c r="F36" s="979">
        <v>2148.6330800000001</v>
      </c>
      <c r="G36" s="979">
        <v>0</v>
      </c>
      <c r="H36" s="979">
        <v>3427.6343999999999</v>
      </c>
      <c r="I36" s="979">
        <v>5326</v>
      </c>
      <c r="J36" s="979">
        <v>5326</v>
      </c>
      <c r="K36" s="979">
        <v>0</v>
      </c>
      <c r="L36" s="979">
        <v>0</v>
      </c>
      <c r="M36" s="979">
        <v>0</v>
      </c>
      <c r="N36" s="979">
        <v>0</v>
      </c>
      <c r="O36" s="979">
        <v>0</v>
      </c>
      <c r="P36" s="979">
        <v>0</v>
      </c>
    </row>
    <row r="37" spans="1:16" s="4" customFormat="1" hidden="1" outlineLevel="1">
      <c r="A37" s="739" t="s">
        <v>1543</v>
      </c>
      <c r="B37" s="740" t="s">
        <v>1253</v>
      </c>
      <c r="C37" s="979">
        <f>'4.6_генерация_КТЭЦ'!C37</f>
        <v>0</v>
      </c>
      <c r="D37" s="979">
        <f>'4.6_генерация_КТЭЦ'!D37+'4.6_косв.'!I37</f>
        <v>2705.3440000000001</v>
      </c>
      <c r="E37" s="979">
        <v>0</v>
      </c>
      <c r="F37" s="979">
        <v>1892.3095900000001</v>
      </c>
      <c r="G37" s="979">
        <v>0</v>
      </c>
      <c r="H37" s="979">
        <v>3858.5039999999999</v>
      </c>
      <c r="I37" s="979">
        <v>0</v>
      </c>
      <c r="J37" s="979">
        <v>0</v>
      </c>
      <c r="K37" s="979">
        <v>0</v>
      </c>
      <c r="L37" s="979">
        <v>0</v>
      </c>
      <c r="M37" s="979">
        <v>0</v>
      </c>
      <c r="N37" s="979">
        <v>0</v>
      </c>
      <c r="O37" s="979">
        <v>0</v>
      </c>
      <c r="P37" s="979">
        <v>0</v>
      </c>
    </row>
    <row r="38" spans="1:16" s="4" customFormat="1" hidden="1" outlineLevel="1">
      <c r="A38" s="739" t="s">
        <v>1544</v>
      </c>
      <c r="B38" s="742" t="s">
        <v>1254</v>
      </c>
      <c r="C38" s="979">
        <f>'4.6_генерация_КТЭЦ'!C38</f>
        <v>0</v>
      </c>
      <c r="D38" s="979">
        <f>'4.6_генерация_КТЭЦ'!D38+'4.6_косв.'!I38</f>
        <v>397.79840000000002</v>
      </c>
      <c r="E38" s="979">
        <v>0</v>
      </c>
      <c r="F38" s="979">
        <v>471.22480000000002</v>
      </c>
      <c r="G38" s="979">
        <v>0</v>
      </c>
      <c r="H38" s="979">
        <v>479.27520000000004</v>
      </c>
      <c r="I38" s="979">
        <v>0</v>
      </c>
      <c r="J38" s="979">
        <v>0</v>
      </c>
      <c r="K38" s="979">
        <v>0</v>
      </c>
      <c r="L38" s="979">
        <v>0</v>
      </c>
      <c r="M38" s="979">
        <v>0</v>
      </c>
      <c r="N38" s="979">
        <v>0</v>
      </c>
      <c r="O38" s="979">
        <v>0</v>
      </c>
      <c r="P38" s="979">
        <v>0</v>
      </c>
    </row>
    <row r="39" spans="1:16" s="4" customFormat="1" hidden="1" outlineLevel="1">
      <c r="A39" s="739" t="s">
        <v>1545</v>
      </c>
      <c r="B39" s="740" t="s">
        <v>1255</v>
      </c>
      <c r="C39" s="979">
        <f>'4.6_генерация_КТЭЦ'!C39</f>
        <v>0</v>
      </c>
      <c r="D39" s="979">
        <f>'4.6_генерация_КТЭЦ'!D39+'4.6_косв.'!I39</f>
        <v>68.486400000000003</v>
      </c>
      <c r="E39" s="979">
        <v>0</v>
      </c>
      <c r="F39" s="979">
        <v>69.353649999999988</v>
      </c>
      <c r="G39" s="979">
        <v>0</v>
      </c>
      <c r="H39" s="979">
        <v>101.592</v>
      </c>
      <c r="I39" s="979">
        <v>0</v>
      </c>
      <c r="J39" s="979">
        <v>0</v>
      </c>
      <c r="K39" s="979">
        <v>0</v>
      </c>
      <c r="L39" s="979">
        <v>0</v>
      </c>
      <c r="M39" s="979">
        <v>0</v>
      </c>
      <c r="N39" s="979">
        <v>0</v>
      </c>
      <c r="O39" s="979">
        <v>0</v>
      </c>
      <c r="P39" s="979">
        <v>0</v>
      </c>
    </row>
    <row r="40" spans="1:16" s="4" customFormat="1" ht="25.5" hidden="1" outlineLevel="1">
      <c r="A40" s="739" t="s">
        <v>1546</v>
      </c>
      <c r="B40" s="742" t="s">
        <v>1256</v>
      </c>
      <c r="C40" s="979">
        <f>'4.6_генерация_КТЭЦ'!C40</f>
        <v>0</v>
      </c>
      <c r="D40" s="979">
        <f>'4.6_генерация_КТЭЦ'!D40+'4.6_косв.'!I40</f>
        <v>195.488</v>
      </c>
      <c r="E40" s="979">
        <v>0</v>
      </c>
      <c r="F40" s="979">
        <v>266.39401999999995</v>
      </c>
      <c r="G40" s="979">
        <v>0</v>
      </c>
      <c r="H40" s="979">
        <v>90.8352</v>
      </c>
      <c r="I40" s="979">
        <v>0</v>
      </c>
      <c r="J40" s="979">
        <v>0</v>
      </c>
      <c r="K40" s="979">
        <v>0</v>
      </c>
      <c r="L40" s="979">
        <v>0</v>
      </c>
      <c r="M40" s="979">
        <v>0</v>
      </c>
      <c r="N40" s="979">
        <v>0</v>
      </c>
      <c r="O40" s="979">
        <v>0</v>
      </c>
      <c r="P40" s="979">
        <v>0</v>
      </c>
    </row>
    <row r="41" spans="1:16" s="4" customFormat="1" hidden="1" outlineLevel="1">
      <c r="A41" s="739" t="s">
        <v>1547</v>
      </c>
      <c r="B41" s="742" t="s">
        <v>1257</v>
      </c>
      <c r="C41" s="979">
        <f>'4.6_генерация_КТЭЦ'!C41</f>
        <v>0</v>
      </c>
      <c r="D41" s="979">
        <f>'4.6_генерация_КТЭЦ'!D41+'4.6_косв.'!I41</f>
        <v>2929.1712000000002</v>
      </c>
      <c r="E41" s="979">
        <v>0</v>
      </c>
      <c r="F41" s="979">
        <v>7359.65733</v>
      </c>
      <c r="G41" s="979">
        <v>0</v>
      </c>
      <c r="H41" s="979">
        <v>9388.6944000000003</v>
      </c>
      <c r="I41" s="979">
        <v>0</v>
      </c>
      <c r="J41" s="979">
        <v>0</v>
      </c>
      <c r="K41" s="979">
        <v>0</v>
      </c>
      <c r="L41" s="979">
        <v>0</v>
      </c>
      <c r="M41" s="979">
        <v>0</v>
      </c>
      <c r="N41" s="979">
        <v>0</v>
      </c>
      <c r="O41" s="979">
        <v>0</v>
      </c>
      <c r="P41" s="979">
        <v>0</v>
      </c>
    </row>
    <row r="42" spans="1:16" s="4" customFormat="1" hidden="1" outlineLevel="1">
      <c r="A42" s="741" t="s">
        <v>1548</v>
      </c>
      <c r="B42" s="742" t="s">
        <v>1556</v>
      </c>
      <c r="C42" s="979">
        <f>'4.6_генерация_КТЭЦ'!C42</f>
        <v>0</v>
      </c>
      <c r="D42" s="979">
        <f>'4.6_генерация_КТЭЦ'!D42+'4.6_косв.'!I42</f>
        <v>88.428799999999995</v>
      </c>
      <c r="E42" s="979">
        <v>0</v>
      </c>
      <c r="F42" s="979">
        <v>201.22059000000002</v>
      </c>
      <c r="G42" s="979">
        <v>0</v>
      </c>
      <c r="H42" s="979">
        <v>106.17359999999999</v>
      </c>
      <c r="I42" s="979">
        <v>813</v>
      </c>
      <c r="J42" s="979">
        <v>813</v>
      </c>
      <c r="K42" s="979">
        <v>0</v>
      </c>
      <c r="L42" s="979">
        <v>0</v>
      </c>
      <c r="M42" s="979">
        <v>0</v>
      </c>
      <c r="N42" s="979">
        <v>0</v>
      </c>
      <c r="O42" s="979">
        <v>0</v>
      </c>
      <c r="P42" s="979">
        <v>0</v>
      </c>
    </row>
    <row r="43" spans="1:16" s="4" customFormat="1" hidden="1" outlineLevel="1">
      <c r="A43" s="741" t="s">
        <v>1549</v>
      </c>
      <c r="B43" s="742" t="s">
        <v>1258</v>
      </c>
      <c r="C43" s="979">
        <f>'4.6_генерация_КТЭЦ'!C43</f>
        <v>0</v>
      </c>
      <c r="D43" s="979">
        <f>'4.6_генерация_КТЭЦ'!D43+'4.6_косв.'!I43</f>
        <v>441.35680000000002</v>
      </c>
      <c r="E43" s="979">
        <v>0</v>
      </c>
      <c r="F43" s="979">
        <v>297.17564000000004</v>
      </c>
      <c r="G43" s="979">
        <v>0</v>
      </c>
      <c r="H43" s="979">
        <v>399.7944</v>
      </c>
      <c r="I43" s="979">
        <v>704</v>
      </c>
      <c r="J43" s="979">
        <v>704</v>
      </c>
      <c r="K43" s="979">
        <v>0</v>
      </c>
      <c r="L43" s="979">
        <v>0</v>
      </c>
      <c r="M43" s="979">
        <v>0</v>
      </c>
      <c r="N43" s="979">
        <v>0</v>
      </c>
      <c r="O43" s="979">
        <v>0</v>
      </c>
      <c r="P43" s="979">
        <v>0</v>
      </c>
    </row>
    <row r="44" spans="1:16" s="4" customFormat="1" hidden="1" outlineLevel="1">
      <c r="A44" s="764" t="s">
        <v>1555</v>
      </c>
      <c r="B44" s="742" t="s">
        <v>1890</v>
      </c>
      <c r="C44" s="979">
        <f>'4.6_генерация_КТЭЦ'!C44</f>
        <v>0</v>
      </c>
      <c r="D44" s="979">
        <f>'4.6_генерация_КТЭЦ'!D44+'4.6_косв.'!I44</f>
        <v>441</v>
      </c>
      <c r="E44" s="979">
        <v>0</v>
      </c>
      <c r="F44" s="979">
        <v>0</v>
      </c>
      <c r="G44" s="979">
        <v>0</v>
      </c>
      <c r="H44" s="979">
        <v>0</v>
      </c>
      <c r="I44" s="979">
        <v>0</v>
      </c>
      <c r="J44" s="979">
        <v>0</v>
      </c>
      <c r="K44" s="979">
        <v>0</v>
      </c>
      <c r="L44" s="980">
        <v>0</v>
      </c>
      <c r="M44" s="980">
        <v>0</v>
      </c>
      <c r="N44" s="980">
        <v>0</v>
      </c>
      <c r="O44" s="980">
        <v>0</v>
      </c>
      <c r="P44" s="980">
        <v>0</v>
      </c>
    </row>
    <row r="45" spans="1:16" s="341" customFormat="1" hidden="1" outlineLevel="1">
      <c r="A45" s="764" t="s">
        <v>1889</v>
      </c>
      <c r="B45" s="765" t="s">
        <v>1259</v>
      </c>
      <c r="C45" s="746">
        <f>SUM(C46:C55)</f>
        <v>0</v>
      </c>
      <c r="D45" s="746">
        <f t="shared" ref="D45" si="3">SUM(D46:D55)</f>
        <v>829.77279999999996</v>
      </c>
      <c r="E45" s="746">
        <v>0</v>
      </c>
      <c r="F45" s="746">
        <v>1111.9385199999999</v>
      </c>
      <c r="G45" s="746">
        <v>0</v>
      </c>
      <c r="H45" s="746">
        <v>1471.1887999999999</v>
      </c>
      <c r="I45" s="746">
        <v>0</v>
      </c>
      <c r="J45" s="746">
        <v>0</v>
      </c>
      <c r="K45" s="746">
        <v>0</v>
      </c>
      <c r="L45" s="746">
        <v>0</v>
      </c>
      <c r="M45" s="746">
        <v>0</v>
      </c>
      <c r="N45" s="746">
        <v>0</v>
      </c>
      <c r="O45" s="746">
        <v>0</v>
      </c>
      <c r="P45" s="746">
        <v>0</v>
      </c>
    </row>
    <row r="46" spans="1:16" s="4" customFormat="1" hidden="1" outlineLevel="1">
      <c r="A46" s="744"/>
      <c r="B46" s="745" t="s">
        <v>1260</v>
      </c>
      <c r="C46" s="980">
        <f>'4.6_генерация_КТЭЦ'!C46</f>
        <v>0</v>
      </c>
      <c r="D46" s="980">
        <f>'4.6_генерация_КТЭЦ'!D46+'4.6_косв.'!I46</f>
        <v>123.8528</v>
      </c>
      <c r="E46" s="980">
        <v>0</v>
      </c>
      <c r="F46" s="980">
        <v>101.65535</v>
      </c>
      <c r="G46" s="980">
        <v>0</v>
      </c>
      <c r="H46" s="980">
        <v>72.907200000000003</v>
      </c>
      <c r="I46" s="980">
        <v>0</v>
      </c>
      <c r="J46" s="980">
        <v>0</v>
      </c>
      <c r="K46" s="980">
        <v>0</v>
      </c>
      <c r="L46" s="980">
        <v>0</v>
      </c>
      <c r="M46" s="980">
        <v>0</v>
      </c>
      <c r="N46" s="980">
        <v>0</v>
      </c>
      <c r="O46" s="980">
        <v>0</v>
      </c>
      <c r="P46" s="980">
        <v>0</v>
      </c>
    </row>
    <row r="47" spans="1:16" s="4" customFormat="1" hidden="1" outlineLevel="1">
      <c r="A47" s="744"/>
      <c r="B47" s="743" t="s">
        <v>1261</v>
      </c>
      <c r="C47" s="980">
        <f>'4.6_генерация_КТЭЦ'!C47</f>
        <v>0</v>
      </c>
      <c r="D47" s="980">
        <f>'4.6_генерация_КТЭЦ'!D47+'4.6_косв.'!I47</f>
        <v>166.36160000000001</v>
      </c>
      <c r="E47" s="980">
        <v>0</v>
      </c>
      <c r="F47" s="980">
        <v>172.14905999999999</v>
      </c>
      <c r="G47" s="980">
        <v>0</v>
      </c>
      <c r="H47" s="980">
        <v>152.98559999999998</v>
      </c>
      <c r="I47" s="980">
        <v>0</v>
      </c>
      <c r="J47" s="980">
        <v>0</v>
      </c>
      <c r="K47" s="980">
        <v>0</v>
      </c>
      <c r="L47" s="980">
        <v>0</v>
      </c>
      <c r="M47" s="980">
        <v>0</v>
      </c>
      <c r="N47" s="980">
        <v>0</v>
      </c>
      <c r="O47" s="980">
        <v>0</v>
      </c>
      <c r="P47" s="980">
        <v>0</v>
      </c>
    </row>
    <row r="48" spans="1:16" s="4" customFormat="1" hidden="1" outlineLevel="1">
      <c r="A48" s="744"/>
      <c r="B48" s="743" t="s">
        <v>1262</v>
      </c>
      <c r="C48" s="980">
        <f>'4.6_генерация_КТЭЦ'!C48</f>
        <v>0</v>
      </c>
      <c r="D48" s="980">
        <f>'4.6_генерация_КТЭЦ'!D48+'4.6_косв.'!I48</f>
        <v>212.28160000000003</v>
      </c>
      <c r="E48" s="980">
        <v>0</v>
      </c>
      <c r="F48" s="980">
        <v>209.39102</v>
      </c>
      <c r="G48" s="980">
        <v>0</v>
      </c>
      <c r="H48" s="980">
        <v>204.3792</v>
      </c>
      <c r="I48" s="980">
        <v>0</v>
      </c>
      <c r="J48" s="980">
        <v>0</v>
      </c>
      <c r="K48" s="980">
        <v>0</v>
      </c>
      <c r="L48" s="980">
        <v>0</v>
      </c>
      <c r="M48" s="980">
        <v>0</v>
      </c>
      <c r="N48" s="980">
        <v>0</v>
      </c>
      <c r="O48" s="980">
        <v>0</v>
      </c>
      <c r="P48" s="980">
        <v>0</v>
      </c>
    </row>
    <row r="49" spans="1:16" s="4" customFormat="1" hidden="1" outlineLevel="1">
      <c r="A49" s="744"/>
      <c r="B49" s="743" t="s">
        <v>1263</v>
      </c>
      <c r="C49" s="980">
        <f>'4.6_генерация_КТЭЦ'!C49</f>
        <v>0</v>
      </c>
      <c r="D49" s="980">
        <f>'4.6_генерация_КТЭЦ'!D49+'4.6_косв.'!I49</f>
        <v>67.436800000000005</v>
      </c>
      <c r="E49" s="980">
        <v>0</v>
      </c>
      <c r="F49" s="980">
        <v>174.80919999999998</v>
      </c>
      <c r="G49" s="980">
        <v>0</v>
      </c>
      <c r="H49" s="980">
        <v>53.385599999999997</v>
      </c>
      <c r="I49" s="980">
        <v>0</v>
      </c>
      <c r="J49" s="980">
        <v>0</v>
      </c>
      <c r="K49" s="980">
        <v>0</v>
      </c>
      <c r="L49" s="980">
        <v>0</v>
      </c>
      <c r="M49" s="980">
        <v>0</v>
      </c>
      <c r="N49" s="980">
        <v>0</v>
      </c>
      <c r="O49" s="980">
        <v>0</v>
      </c>
      <c r="P49" s="980">
        <v>0</v>
      </c>
    </row>
    <row r="50" spans="1:16" s="4" customFormat="1" ht="38.25" hidden="1" outlineLevel="1">
      <c r="A50" s="744"/>
      <c r="B50" s="743" t="s">
        <v>1891</v>
      </c>
      <c r="C50" s="980">
        <f>'4.6_генерация_КТЭЦ'!C50</f>
        <v>0</v>
      </c>
      <c r="D50" s="980">
        <f>'4.6_генерация_КТЭЦ'!D50+'4.6_косв.'!I50</f>
        <v>259.83999999999997</v>
      </c>
      <c r="E50" s="980">
        <v>0</v>
      </c>
      <c r="F50" s="980">
        <v>453.93389000000002</v>
      </c>
      <c r="G50" s="980">
        <v>0</v>
      </c>
      <c r="H50" s="980">
        <v>456.96479999999997</v>
      </c>
      <c r="I50" s="980">
        <v>0</v>
      </c>
      <c r="J50" s="980">
        <v>0</v>
      </c>
      <c r="K50" s="980">
        <v>0</v>
      </c>
      <c r="L50" s="980">
        <v>0</v>
      </c>
      <c r="M50" s="980">
        <v>0</v>
      </c>
      <c r="N50" s="980">
        <v>0</v>
      </c>
      <c r="O50" s="980">
        <v>0</v>
      </c>
      <c r="P50" s="980">
        <v>0</v>
      </c>
    </row>
    <row r="51" spans="1:16" s="4" customFormat="1" ht="25.5" hidden="1" outlineLevel="1">
      <c r="A51" s="744"/>
      <c r="B51" s="743" t="s">
        <v>1264</v>
      </c>
      <c r="C51" s="980">
        <f>'4.6_генерация_КТЭЦ'!C51</f>
        <v>0</v>
      </c>
      <c r="D51" s="980">
        <f>'4.6_генерация_КТЭЦ'!D51+'4.6_косв.'!I51</f>
        <v>0</v>
      </c>
      <c r="E51" s="980">
        <v>0</v>
      </c>
      <c r="F51" s="980">
        <v>0</v>
      </c>
      <c r="G51" s="980">
        <v>0</v>
      </c>
      <c r="H51" s="980">
        <v>0</v>
      </c>
      <c r="I51" s="980">
        <v>0</v>
      </c>
      <c r="J51" s="980">
        <v>0</v>
      </c>
      <c r="K51" s="980">
        <v>0</v>
      </c>
      <c r="L51" s="980">
        <v>0</v>
      </c>
      <c r="M51" s="980">
        <v>0</v>
      </c>
      <c r="N51" s="980">
        <v>0</v>
      </c>
      <c r="O51" s="980">
        <v>0</v>
      </c>
      <c r="P51" s="980">
        <v>0</v>
      </c>
    </row>
    <row r="52" spans="1:16" s="4" customFormat="1" hidden="1" outlineLevel="1">
      <c r="A52" s="744"/>
      <c r="B52" s="1391" t="s">
        <v>1883</v>
      </c>
      <c r="C52" s="980">
        <f>'4.6_генерация_КТЭЦ'!C52</f>
        <v>0</v>
      </c>
      <c r="D52" s="980">
        <f>'4.6_генерация_КТЭЦ'!D52+'4.6_косв.'!I52</f>
        <v>0</v>
      </c>
      <c r="E52" s="980">
        <v>0</v>
      </c>
      <c r="F52" s="980">
        <v>0</v>
      </c>
      <c r="G52" s="980">
        <v>0</v>
      </c>
      <c r="H52" s="980">
        <v>74</v>
      </c>
      <c r="I52" s="980">
        <v>0</v>
      </c>
      <c r="J52" s="980">
        <v>0</v>
      </c>
      <c r="K52" s="980">
        <v>0</v>
      </c>
      <c r="L52" s="980">
        <v>0</v>
      </c>
      <c r="M52" s="980">
        <v>0</v>
      </c>
      <c r="N52" s="980">
        <v>0</v>
      </c>
      <c r="O52" s="980">
        <v>0</v>
      </c>
      <c r="P52" s="980">
        <v>0</v>
      </c>
    </row>
    <row r="53" spans="1:16" s="4" customFormat="1" hidden="1" outlineLevel="1">
      <c r="A53" s="744"/>
      <c r="B53" s="743" t="s">
        <v>1884</v>
      </c>
      <c r="C53" s="743"/>
      <c r="D53" s="308"/>
      <c r="E53" s="308"/>
      <c r="F53" s="308"/>
      <c r="G53" s="308"/>
      <c r="H53" s="980">
        <v>456.56640000000004</v>
      </c>
      <c r="I53" s="308">
        <v>0</v>
      </c>
      <c r="J53" s="308">
        <v>0</v>
      </c>
      <c r="K53" s="308">
        <v>0</v>
      </c>
      <c r="L53" s="980">
        <v>0</v>
      </c>
      <c r="M53" s="980">
        <v>0</v>
      </c>
      <c r="N53" s="308">
        <v>0</v>
      </c>
      <c r="O53" s="980">
        <v>0</v>
      </c>
      <c r="P53" s="980">
        <v>0</v>
      </c>
    </row>
    <row r="54" spans="1:16" s="4" customFormat="1" ht="25.5" hidden="1" outlineLevel="1">
      <c r="A54" s="17"/>
      <c r="B54" s="743" t="s">
        <v>1885</v>
      </c>
      <c r="C54" s="241"/>
      <c r="D54" s="241"/>
      <c r="E54" s="241"/>
      <c r="F54" s="241"/>
      <c r="G54" s="241"/>
      <c r="H54" s="980">
        <v>0</v>
      </c>
      <c r="I54" s="241">
        <v>0</v>
      </c>
      <c r="J54" s="241">
        <v>0</v>
      </c>
      <c r="K54" s="241">
        <v>0</v>
      </c>
      <c r="L54" s="980">
        <v>0</v>
      </c>
      <c r="M54" s="980">
        <v>0</v>
      </c>
      <c r="N54" s="241">
        <v>0</v>
      </c>
      <c r="O54" s="980">
        <v>0</v>
      </c>
      <c r="P54" s="980">
        <v>0</v>
      </c>
    </row>
    <row r="55" spans="1:16" s="341" customFormat="1" ht="25.5" hidden="1" outlineLevel="1">
      <c r="A55" s="339"/>
      <c r="B55" s="743" t="s">
        <v>1886</v>
      </c>
      <c r="C55" s="980">
        <f>'4.6_генерация_КТЭЦ'!C55</f>
        <v>0</v>
      </c>
      <c r="D55" s="980">
        <f>'4.6_генерация_КТЭЦ'!D55+'4.6_косв.'!I55</f>
        <v>0</v>
      </c>
      <c r="E55" s="980">
        <v>0</v>
      </c>
      <c r="F55" s="980">
        <v>0</v>
      </c>
      <c r="G55" s="980">
        <v>0</v>
      </c>
      <c r="H55" s="980">
        <v>0</v>
      </c>
      <c r="I55" s="980">
        <v>0</v>
      </c>
      <c r="J55" s="980">
        <v>0</v>
      </c>
      <c r="K55" s="980">
        <v>0</v>
      </c>
      <c r="L55" s="980">
        <v>0</v>
      </c>
      <c r="M55" s="980">
        <v>0</v>
      </c>
      <c r="N55" s="980">
        <v>0</v>
      </c>
      <c r="O55" s="980">
        <v>0</v>
      </c>
      <c r="P55" s="980">
        <v>0</v>
      </c>
    </row>
    <row r="56" spans="1:16" s="1046" customFormat="1" ht="90" collapsed="1">
      <c r="A56" s="1044"/>
      <c r="B56" s="1045" t="s">
        <v>374</v>
      </c>
      <c r="C56" s="258">
        <f>'4.6_генерация_КТЭЦ'!C56</f>
        <v>939</v>
      </c>
      <c r="D56" s="258">
        <f>'4.6_генерация_КТЭЦ'!D56+'4.6_косв.'!I56</f>
        <v>134</v>
      </c>
      <c r="E56" s="258">
        <v>262</v>
      </c>
      <c r="F56" s="258">
        <v>322</v>
      </c>
      <c r="G56" s="258">
        <v>98</v>
      </c>
      <c r="H56" s="258">
        <v>219</v>
      </c>
      <c r="I56" s="258">
        <v>166</v>
      </c>
      <c r="J56" s="258">
        <v>1587</v>
      </c>
      <c r="K56" s="258">
        <v>126</v>
      </c>
      <c r="L56" s="258">
        <v>63</v>
      </c>
      <c r="M56" s="258">
        <v>63</v>
      </c>
      <c r="N56" s="258">
        <v>126</v>
      </c>
      <c r="O56" s="258">
        <v>63</v>
      </c>
      <c r="P56" s="258">
        <v>63</v>
      </c>
    </row>
    <row r="57" spans="1:16" s="1046" customFormat="1" ht="30">
      <c r="A57" s="1044"/>
      <c r="B57" s="1045" t="s">
        <v>375</v>
      </c>
      <c r="C57" s="258">
        <f>'4.6_генерация_КТЭЦ'!C57</f>
        <v>0</v>
      </c>
      <c r="D57" s="258">
        <f>'4.6_генерация_КТЭЦ'!D57+'4.6_косв.'!I57</f>
        <v>98</v>
      </c>
      <c r="E57" s="258">
        <v>0</v>
      </c>
      <c r="F57" s="258">
        <v>94</v>
      </c>
      <c r="G57" s="258">
        <v>0</v>
      </c>
      <c r="H57" s="258">
        <v>70</v>
      </c>
      <c r="I57" s="258">
        <v>25658</v>
      </c>
      <c r="J57" s="258">
        <v>0</v>
      </c>
      <c r="K57" s="258">
        <v>0</v>
      </c>
      <c r="L57" s="258">
        <v>0</v>
      </c>
      <c r="M57" s="258">
        <v>0</v>
      </c>
      <c r="N57" s="258">
        <v>0</v>
      </c>
      <c r="O57" s="258">
        <v>0</v>
      </c>
      <c r="P57" s="258">
        <v>0</v>
      </c>
    </row>
    <row r="58" spans="1:16" s="1046" customFormat="1" ht="15" customHeight="1">
      <c r="A58" s="1044"/>
      <c r="B58" s="1045" t="s">
        <v>376</v>
      </c>
      <c r="C58" s="258">
        <f>'4.6_генерация_КТЭЦ'!C58</f>
        <v>1239</v>
      </c>
      <c r="D58" s="258">
        <f>'4.6_генерация_КТЭЦ'!D58+'4.6_косв.'!I58</f>
        <v>1584</v>
      </c>
      <c r="E58" s="258">
        <v>1782</v>
      </c>
      <c r="F58" s="258">
        <v>1975</v>
      </c>
      <c r="G58" s="258">
        <v>1580</v>
      </c>
      <c r="H58" s="258">
        <v>1535</v>
      </c>
      <c r="I58" s="258">
        <v>1147</v>
      </c>
      <c r="J58" s="258">
        <v>1147</v>
      </c>
      <c r="K58" s="258">
        <v>1212.74604</v>
      </c>
      <c r="L58" s="258">
        <v>606.37302</v>
      </c>
      <c r="M58" s="258">
        <v>606.37302</v>
      </c>
      <c r="N58" s="258">
        <v>1271.4550757963998</v>
      </c>
      <c r="O58" s="258">
        <v>635.7275378981999</v>
      </c>
      <c r="P58" s="258">
        <v>635.7275378981999</v>
      </c>
    </row>
    <row r="59" spans="1:16" s="1046" customFormat="1" ht="15" customHeight="1">
      <c r="A59" s="1044"/>
      <c r="B59" s="1045" t="s">
        <v>377</v>
      </c>
      <c r="C59" s="258">
        <f>'4.6_генерация_КТЭЦ'!C59</f>
        <v>549</v>
      </c>
      <c r="D59" s="258">
        <f>'4.6_генерация_КТЭЦ'!D59+'4.6_косв.'!I59</f>
        <v>650</v>
      </c>
      <c r="E59" s="258">
        <v>375</v>
      </c>
      <c r="F59" s="258">
        <v>610</v>
      </c>
      <c r="G59" s="258">
        <v>572</v>
      </c>
      <c r="H59" s="258">
        <v>596</v>
      </c>
      <c r="I59" s="258">
        <v>639</v>
      </c>
      <c r="J59" s="258">
        <v>639</v>
      </c>
      <c r="K59" s="258">
        <v>675.62747999999999</v>
      </c>
      <c r="L59" s="258">
        <v>337.81374</v>
      </c>
      <c r="M59" s="258">
        <v>337.81374</v>
      </c>
      <c r="N59" s="258">
        <v>708.33460630679986</v>
      </c>
      <c r="O59" s="258">
        <v>354.16730315339993</v>
      </c>
      <c r="P59" s="258">
        <v>354.16730315339993</v>
      </c>
    </row>
    <row r="60" spans="1:16" s="1046" customFormat="1" ht="45" customHeight="1">
      <c r="A60" s="1044"/>
      <c r="B60" s="1045" t="s">
        <v>378</v>
      </c>
      <c r="C60" s="258">
        <f>'4.6_генерация_КТЭЦ'!C60</f>
        <v>594</v>
      </c>
      <c r="D60" s="258">
        <f>'4.6_генерация_КТЭЦ'!D60+'4.6_косв.'!I60</f>
        <v>2576</v>
      </c>
      <c r="E60" s="258">
        <v>532</v>
      </c>
      <c r="F60" s="258">
        <v>3926</v>
      </c>
      <c r="G60" s="258">
        <v>474</v>
      </c>
      <c r="H60" s="258">
        <v>5156</v>
      </c>
      <c r="I60" s="258">
        <v>548</v>
      </c>
      <c r="J60" s="258">
        <v>3089.1</v>
      </c>
      <c r="K60" s="258">
        <v>4306.1000000000004</v>
      </c>
      <c r="L60" s="258">
        <v>2153.0500000000002</v>
      </c>
      <c r="M60" s="258">
        <v>2153.0500000000002</v>
      </c>
      <c r="N60" s="258">
        <v>4560</v>
      </c>
      <c r="O60" s="258">
        <v>2280</v>
      </c>
      <c r="P60" s="258">
        <v>2280</v>
      </c>
    </row>
    <row r="61" spans="1:16" s="1046" customFormat="1" ht="30" customHeight="1">
      <c r="A61" s="1044"/>
      <c r="B61" s="1045" t="s">
        <v>379</v>
      </c>
      <c r="C61" s="258">
        <f>SUM(C62:C66)</f>
        <v>20748</v>
      </c>
      <c r="D61" s="258">
        <f t="shared" ref="D61" si="4">SUM(D62:D66)</f>
        <v>8176</v>
      </c>
      <c r="E61" s="258">
        <v>7070</v>
      </c>
      <c r="F61" s="258">
        <v>9464</v>
      </c>
      <c r="G61" s="258">
        <v>10772</v>
      </c>
      <c r="H61" s="258">
        <v>9801</v>
      </c>
      <c r="I61" s="258">
        <v>5199.618746466188</v>
      </c>
      <c r="J61" s="258">
        <v>14078</v>
      </c>
      <c r="K61" s="258">
        <v>14304</v>
      </c>
      <c r="L61" s="258">
        <v>6804</v>
      </c>
      <c r="M61" s="258">
        <v>7500</v>
      </c>
      <c r="N61" s="258">
        <v>15196</v>
      </c>
      <c r="O61" s="258">
        <v>7580.5</v>
      </c>
      <c r="P61" s="258">
        <v>7615.5</v>
      </c>
    </row>
    <row r="62" spans="1:16" s="4" customFormat="1" ht="15" customHeight="1">
      <c r="A62" s="17"/>
      <c r="B62" s="51" t="s">
        <v>380</v>
      </c>
      <c r="C62" s="241">
        <f>'4.6_генерация_КТЭЦ'!C62</f>
        <v>12111</v>
      </c>
      <c r="D62" s="241">
        <f>'4.6_генерация_КТЭЦ'!D62+'4.6_косв.'!I62</f>
        <v>2714</v>
      </c>
      <c r="E62" s="241">
        <v>2357</v>
      </c>
      <c r="F62" s="241">
        <v>4700</v>
      </c>
      <c r="G62" s="241">
        <v>5194</v>
      </c>
      <c r="H62" s="241">
        <v>4560</v>
      </c>
      <c r="I62" s="241">
        <v>2440.8459122475429</v>
      </c>
      <c r="J62" s="241">
        <v>5259</v>
      </c>
      <c r="K62" s="241">
        <v>6355</v>
      </c>
      <c r="L62" s="308">
        <v>3143</v>
      </c>
      <c r="M62" s="308">
        <v>3212</v>
      </c>
      <c r="N62" s="241">
        <v>6186</v>
      </c>
      <c r="O62" s="308">
        <v>3435</v>
      </c>
      <c r="P62" s="308">
        <v>2751</v>
      </c>
    </row>
    <row r="63" spans="1:16" s="4" customFormat="1" ht="15" customHeight="1">
      <c r="A63" s="17"/>
      <c r="B63" s="51" t="s">
        <v>381</v>
      </c>
      <c r="C63" s="241">
        <f>'4.6_генерация_КТЭЦ'!C63</f>
        <v>5022</v>
      </c>
      <c r="D63" s="241">
        <f>'4.6_генерация_КТЭЦ'!D63+'4.6_косв.'!I63</f>
        <v>2001</v>
      </c>
      <c r="E63" s="241">
        <v>1862</v>
      </c>
      <c r="F63" s="241">
        <v>1197</v>
      </c>
      <c r="G63" s="241">
        <v>1493</v>
      </c>
      <c r="H63" s="241">
        <v>1160</v>
      </c>
      <c r="I63" s="241">
        <v>691.25146969068874</v>
      </c>
      <c r="J63" s="241">
        <v>1188</v>
      </c>
      <c r="K63" s="241">
        <v>1256</v>
      </c>
      <c r="L63" s="308">
        <v>628</v>
      </c>
      <c r="M63" s="308">
        <v>628</v>
      </c>
      <c r="N63" s="241">
        <v>1311</v>
      </c>
      <c r="O63" s="308">
        <v>658.5</v>
      </c>
      <c r="P63" s="308">
        <v>652.5</v>
      </c>
    </row>
    <row r="64" spans="1:16" s="4" customFormat="1" ht="15" customHeight="1">
      <c r="A64" s="17"/>
      <c r="B64" s="51" t="s">
        <v>382</v>
      </c>
      <c r="C64" s="241">
        <f>'4.6_генерация_КТЭЦ'!C64</f>
        <v>10</v>
      </c>
      <c r="D64" s="241">
        <f>'4.6_генерация_КТЭЦ'!D64+'4.6_косв.'!I64</f>
        <v>15</v>
      </c>
      <c r="E64" s="241">
        <v>16</v>
      </c>
      <c r="F64" s="241">
        <v>22</v>
      </c>
      <c r="G64" s="241">
        <v>16</v>
      </c>
      <c r="H64" s="241">
        <v>-24</v>
      </c>
      <c r="I64" s="241">
        <v>40.32322706141705</v>
      </c>
      <c r="J64" s="241">
        <v>30</v>
      </c>
      <c r="K64" s="241">
        <v>32</v>
      </c>
      <c r="L64" s="308">
        <v>18</v>
      </c>
      <c r="M64" s="308">
        <v>14</v>
      </c>
      <c r="N64" s="241">
        <v>32</v>
      </c>
      <c r="O64" s="308">
        <v>18</v>
      </c>
      <c r="P64" s="308">
        <v>14</v>
      </c>
    </row>
    <row r="65" spans="1:16" s="4" customFormat="1" ht="15" customHeight="1">
      <c r="A65" s="17"/>
      <c r="B65" s="51" t="s">
        <v>383</v>
      </c>
      <c r="C65" s="241">
        <f>'4.6_генерация_КТЭЦ'!C65</f>
        <v>3605</v>
      </c>
      <c r="D65" s="241">
        <f>'4.6_генерация_КТЭЦ'!D65+'4.6_косв.'!I65</f>
        <v>3446</v>
      </c>
      <c r="E65" s="241">
        <v>1184</v>
      </c>
      <c r="F65" s="241">
        <v>3545</v>
      </c>
      <c r="G65" s="241">
        <v>4069</v>
      </c>
      <c r="H65" s="241">
        <v>4105</v>
      </c>
      <c r="I65" s="241">
        <v>2027.1981374665393</v>
      </c>
      <c r="J65" s="241">
        <v>7601</v>
      </c>
      <c r="K65" s="241">
        <v>6661</v>
      </c>
      <c r="L65" s="308">
        <v>3015</v>
      </c>
      <c r="M65" s="308">
        <v>3646</v>
      </c>
      <c r="N65" s="241">
        <v>7667</v>
      </c>
      <c r="O65" s="308">
        <v>3469</v>
      </c>
      <c r="P65" s="308">
        <v>4198</v>
      </c>
    </row>
    <row r="66" spans="1:16" s="4" customFormat="1" ht="15" customHeight="1">
      <c r="A66" s="17"/>
      <c r="B66" s="51" t="s">
        <v>384</v>
      </c>
      <c r="C66" s="241">
        <f>'4.6_генерация_КТЭЦ'!C66</f>
        <v>0</v>
      </c>
      <c r="D66" s="241">
        <f>'4.6_генерация_КТЭЦ'!D66+'4.6_косв.'!I66</f>
        <v>0</v>
      </c>
      <c r="E66" s="241">
        <v>1651</v>
      </c>
      <c r="F66" s="241">
        <v>0</v>
      </c>
      <c r="G66" s="241">
        <v>0</v>
      </c>
      <c r="H66" s="241">
        <v>0</v>
      </c>
      <c r="I66" s="241">
        <v>0</v>
      </c>
      <c r="J66" s="241">
        <v>0</v>
      </c>
      <c r="K66" s="241">
        <v>0</v>
      </c>
      <c r="L66" s="308">
        <v>0</v>
      </c>
      <c r="M66" s="308">
        <v>0</v>
      </c>
      <c r="N66" s="241">
        <v>0</v>
      </c>
      <c r="O66" s="308">
        <v>0</v>
      </c>
      <c r="P66" s="308">
        <v>0</v>
      </c>
    </row>
    <row r="67" spans="1:16" s="1034" customFormat="1" ht="15" customHeight="1">
      <c r="A67" s="1030" t="s">
        <v>385</v>
      </c>
      <c r="B67" s="1031" t="s">
        <v>386</v>
      </c>
      <c r="C67" s="1032">
        <f>SUM(C68:C71)</f>
        <v>110884</v>
      </c>
      <c r="D67" s="1032">
        <f t="shared" ref="D67" si="5">SUM(D68:D71)</f>
        <v>131206</v>
      </c>
      <c r="E67" s="1032">
        <v>77517</v>
      </c>
      <c r="F67" s="1032">
        <v>331543.8</v>
      </c>
      <c r="G67" s="1032">
        <v>3142</v>
      </c>
      <c r="H67" s="1032">
        <v>274147.89199999999</v>
      </c>
      <c r="I67" s="1032">
        <v>33935.698226170498</v>
      </c>
      <c r="J67" s="1032">
        <v>166084.37540495148</v>
      </c>
      <c r="K67" s="1032">
        <v>139852.64893248817</v>
      </c>
      <c r="L67" s="1032">
        <v>85434.395618728027</v>
      </c>
      <c r="M67" s="1032">
        <v>54418.253313760142</v>
      </c>
      <c r="N67" s="1032">
        <v>177180.24221950499</v>
      </c>
      <c r="O67" s="1032">
        <v>108240.75997423046</v>
      </c>
      <c r="P67" s="1032">
        <v>68939.482245274528</v>
      </c>
    </row>
    <row r="68" spans="1:16" s="1046" customFormat="1" ht="30" customHeight="1">
      <c r="A68" s="1044"/>
      <c r="B68" s="1045" t="s">
        <v>387</v>
      </c>
      <c r="C68" s="258">
        <f>'4.6_генерация_КТЭЦ'!C68</f>
        <v>0</v>
      </c>
      <c r="D68" s="258">
        <f>'4.6_генерация_КТЭЦ'!D68+'4.6_косв.'!I68</f>
        <v>0</v>
      </c>
      <c r="E68" s="258">
        <v>0</v>
      </c>
      <c r="F68" s="258">
        <v>0</v>
      </c>
      <c r="G68" s="258">
        <v>0</v>
      </c>
      <c r="H68" s="258">
        <v>0</v>
      </c>
      <c r="I68" s="258">
        <v>0</v>
      </c>
      <c r="J68" s="258">
        <v>0</v>
      </c>
      <c r="K68" s="258">
        <v>0</v>
      </c>
      <c r="L68" s="258">
        <v>0</v>
      </c>
      <c r="M68" s="258">
        <v>0</v>
      </c>
      <c r="N68" s="258">
        <v>0</v>
      </c>
      <c r="O68" s="258">
        <v>0</v>
      </c>
      <c r="P68" s="258">
        <v>0</v>
      </c>
    </row>
    <row r="69" spans="1:16" s="1046" customFormat="1" ht="15" customHeight="1">
      <c r="A69" s="1044"/>
      <c r="B69" s="1045" t="s">
        <v>388</v>
      </c>
      <c r="C69" s="258">
        <f>'4.6_генерация_КТЭЦ'!C69</f>
        <v>0</v>
      </c>
      <c r="D69" s="258">
        <f>'4.6_генерация_КТЭЦ'!D69+'4.6_косв.'!I69</f>
        <v>0</v>
      </c>
      <c r="E69" s="258">
        <v>0</v>
      </c>
      <c r="F69" s="258">
        <v>0</v>
      </c>
      <c r="G69" s="258">
        <v>0</v>
      </c>
      <c r="H69" s="258">
        <v>0</v>
      </c>
      <c r="I69" s="258">
        <v>0</v>
      </c>
      <c r="J69" s="258">
        <v>0</v>
      </c>
      <c r="K69" s="258">
        <v>0</v>
      </c>
      <c r="L69" s="258"/>
      <c r="M69" s="258">
        <v>0</v>
      </c>
      <c r="N69" s="258">
        <v>0</v>
      </c>
      <c r="O69" s="258"/>
      <c r="P69" s="258">
        <v>0</v>
      </c>
    </row>
    <row r="70" spans="1:16" s="1046" customFormat="1" ht="45" customHeight="1">
      <c r="A70" s="1044"/>
      <c r="B70" s="1045" t="s">
        <v>389</v>
      </c>
      <c r="C70" s="258">
        <f>'4.6_генерация_КТЭЦ'!C70</f>
        <v>0</v>
      </c>
      <c r="D70" s="258">
        <f>'4.6_генерация_КТЭЦ'!D70+'4.6_косв.'!I70</f>
        <v>0</v>
      </c>
      <c r="E70" s="258">
        <v>0</v>
      </c>
      <c r="F70" s="258">
        <v>205589</v>
      </c>
      <c r="G70" s="258">
        <v>2761</v>
      </c>
      <c r="H70" s="258">
        <v>200366.79199999999</v>
      </c>
      <c r="I70" s="258">
        <v>0</v>
      </c>
      <c r="J70" s="258">
        <v>0</v>
      </c>
      <c r="K70" s="258">
        <v>0</v>
      </c>
      <c r="L70" s="258">
        <v>0</v>
      </c>
      <c r="M70" s="258">
        <v>0</v>
      </c>
      <c r="N70" s="258">
        <v>0</v>
      </c>
      <c r="O70" s="258">
        <v>0</v>
      </c>
      <c r="P70" s="258">
        <v>0</v>
      </c>
    </row>
    <row r="71" spans="1:16" s="1046" customFormat="1" ht="15" customHeight="1">
      <c r="A71" s="1044"/>
      <c r="B71" s="1045" t="s">
        <v>390</v>
      </c>
      <c r="C71" s="258">
        <f>SUM(C72:C77)</f>
        <v>110884</v>
      </c>
      <c r="D71" s="258">
        <f t="shared" ref="D71" si="6">SUM(D72:D77)</f>
        <v>131206</v>
      </c>
      <c r="E71" s="258">
        <v>77517</v>
      </c>
      <c r="F71" s="258">
        <v>125954.8</v>
      </c>
      <c r="G71" s="258">
        <v>380</v>
      </c>
      <c r="H71" s="258">
        <v>73781.100000000006</v>
      </c>
      <c r="I71" s="258">
        <v>33935.698226170498</v>
      </c>
      <c r="J71" s="258">
        <v>166084.37540495148</v>
      </c>
      <c r="K71" s="258">
        <v>139852.64893248817</v>
      </c>
      <c r="L71" s="258">
        <v>85434.395618728027</v>
      </c>
      <c r="M71" s="258">
        <v>54418.253313760142</v>
      </c>
      <c r="N71" s="258">
        <v>177180.24221950499</v>
      </c>
      <c r="O71" s="258">
        <v>108240.75997423046</v>
      </c>
      <c r="P71" s="258">
        <v>68939.482245274528</v>
      </c>
    </row>
    <row r="72" spans="1:16" s="4" customFormat="1" ht="15" customHeight="1">
      <c r="A72" s="17"/>
      <c r="B72" s="51" t="s">
        <v>961</v>
      </c>
      <c r="C72" s="241">
        <f>'4.6_генерация_КТЭЦ'!C72</f>
        <v>1129</v>
      </c>
      <c r="D72" s="241">
        <f>'4.6_генерация_КТЭЦ'!D72+'4.6_косв.'!I72</f>
        <v>0</v>
      </c>
      <c r="E72" s="241">
        <v>0</v>
      </c>
      <c r="F72" s="241">
        <v>0</v>
      </c>
      <c r="G72" s="241">
        <v>0</v>
      </c>
      <c r="H72" s="241">
        <v>0</v>
      </c>
      <c r="I72" s="241">
        <v>0</v>
      </c>
      <c r="J72" s="241">
        <v>0</v>
      </c>
      <c r="K72" s="241">
        <v>0</v>
      </c>
      <c r="L72" s="241">
        <v>0</v>
      </c>
      <c r="M72" s="241">
        <v>0</v>
      </c>
      <c r="N72" s="241">
        <v>0</v>
      </c>
      <c r="O72" s="241">
        <v>0</v>
      </c>
      <c r="P72" s="241">
        <v>0</v>
      </c>
    </row>
    <row r="73" spans="1:16" s="4" customFormat="1" ht="15" customHeight="1">
      <c r="A73" s="17"/>
      <c r="B73" s="51" t="s">
        <v>962</v>
      </c>
      <c r="C73" s="241">
        <f>'4.6_генерация_КТЭЦ'!C73</f>
        <v>109721</v>
      </c>
      <c r="D73" s="241">
        <f>'4.6_генерация_КТЭЦ'!D73+'4.6_косв.'!I73</f>
        <v>129979</v>
      </c>
      <c r="E73" s="241">
        <v>77338</v>
      </c>
      <c r="F73" s="241">
        <v>123989</v>
      </c>
      <c r="G73" s="241">
        <v>0</v>
      </c>
      <c r="H73" s="241">
        <v>72618</v>
      </c>
      <c r="I73" s="241">
        <v>33799.322821219022</v>
      </c>
      <c r="J73" s="241">
        <v>165948</v>
      </c>
      <c r="K73" s="241">
        <v>139707</v>
      </c>
      <c r="L73" s="241">
        <v>85361.571152483943</v>
      </c>
      <c r="M73" s="241">
        <v>54345.428847516057</v>
      </c>
      <c r="N73" s="241">
        <v>177026</v>
      </c>
      <c r="O73" s="241">
        <v>108163.63886447797</v>
      </c>
      <c r="P73" s="241">
        <v>68862.361135522035</v>
      </c>
    </row>
    <row r="74" spans="1:16" s="4" customFormat="1" ht="15" customHeight="1">
      <c r="A74" s="17"/>
      <c r="B74" s="51" t="s">
        <v>963</v>
      </c>
      <c r="C74" s="241">
        <f>'4.6_генерация_КТЭЦ'!C74</f>
        <v>34</v>
      </c>
      <c r="D74" s="241">
        <f>'4.6_генерация_КТЭЦ'!D74+'4.6_косв.'!I74</f>
        <v>1227</v>
      </c>
      <c r="E74" s="241">
        <v>179</v>
      </c>
      <c r="F74" s="241">
        <v>1965.8000000000002</v>
      </c>
      <c r="G74" s="241">
        <v>380</v>
      </c>
      <c r="H74" s="241">
        <v>1163.0999999999999</v>
      </c>
      <c r="I74" s="241">
        <v>136.37540495147456</v>
      </c>
      <c r="J74" s="241">
        <v>136.37540495147456</v>
      </c>
      <c r="K74" s="241">
        <v>145.64893248817484</v>
      </c>
      <c r="L74" s="241">
        <v>72.824466244087418</v>
      </c>
      <c r="M74" s="241">
        <v>72.824466244087418</v>
      </c>
      <c r="N74" s="241">
        <v>154.24221950497713</v>
      </c>
      <c r="O74" s="241">
        <v>77.121109752488564</v>
      </c>
      <c r="P74" s="241">
        <v>77.121109752488564</v>
      </c>
    </row>
    <row r="75" spans="1:16" s="4" customFormat="1" ht="15" hidden="1" customHeight="1">
      <c r="A75" s="17"/>
      <c r="B75" s="51"/>
      <c r="C75" s="241">
        <f>'4.6_генерация_КТЭЦ'!C75</f>
        <v>0</v>
      </c>
      <c r="D75" s="241">
        <f>'4.6_генерация_КТЭЦ'!D75+'4.6_косв.'!I75</f>
        <v>0</v>
      </c>
      <c r="E75" s="241">
        <v>0</v>
      </c>
      <c r="F75" s="241">
        <v>0</v>
      </c>
      <c r="G75" s="241">
        <v>0</v>
      </c>
      <c r="H75" s="241">
        <v>0</v>
      </c>
      <c r="I75" s="241">
        <v>0</v>
      </c>
      <c r="J75" s="241">
        <v>0</v>
      </c>
      <c r="K75" s="241">
        <v>0</v>
      </c>
      <c r="L75" s="241"/>
      <c r="M75" s="241">
        <v>0</v>
      </c>
      <c r="N75" s="241">
        <v>0</v>
      </c>
      <c r="O75" s="241"/>
      <c r="P75" s="241">
        <v>0</v>
      </c>
    </row>
    <row r="76" spans="1:16" s="4" customFormat="1" ht="15" hidden="1" customHeight="1">
      <c r="A76" s="17"/>
      <c r="B76" s="51"/>
      <c r="C76" s="241"/>
      <c r="D76" s="241"/>
      <c r="E76" s="241"/>
      <c r="F76" s="241"/>
      <c r="G76" s="241"/>
      <c r="H76" s="241"/>
      <c r="I76" s="241"/>
      <c r="J76" s="241"/>
      <c r="K76" s="241"/>
      <c r="L76" s="241"/>
      <c r="M76" s="241"/>
      <c r="N76" s="241"/>
      <c r="O76" s="241"/>
      <c r="P76" s="241"/>
    </row>
    <row r="77" spans="1:16" s="4" customFormat="1" ht="15" hidden="1" customHeight="1">
      <c r="A77" s="17"/>
      <c r="B77" s="51"/>
      <c r="C77" s="241"/>
      <c r="D77" s="241"/>
      <c r="E77" s="241"/>
      <c r="F77" s="241"/>
      <c r="G77" s="241"/>
      <c r="H77" s="241"/>
      <c r="I77" s="241"/>
      <c r="J77" s="241"/>
      <c r="K77" s="241"/>
      <c r="L77" s="241"/>
      <c r="M77" s="241"/>
      <c r="N77" s="241"/>
      <c r="O77" s="241"/>
      <c r="P77" s="241"/>
    </row>
    <row r="78" spans="1:16" s="1034" customFormat="1" ht="33.75" customHeight="1">
      <c r="A78" s="1030" t="s">
        <v>391</v>
      </c>
      <c r="B78" s="1031" t="s">
        <v>392</v>
      </c>
      <c r="C78" s="1032">
        <f>SUM(C79:C82)</f>
        <v>9078</v>
      </c>
      <c r="D78" s="1032">
        <f t="shared" ref="D78" si="7">SUM(D79:D82)</f>
        <v>3001</v>
      </c>
      <c r="E78" s="1032">
        <v>3305</v>
      </c>
      <c r="F78" s="1032">
        <v>3665</v>
      </c>
      <c r="G78" s="1032">
        <v>3047</v>
      </c>
      <c r="H78" s="1032">
        <v>3296</v>
      </c>
      <c r="I78" s="1032">
        <v>4607</v>
      </c>
      <c r="J78" s="1032">
        <v>4607</v>
      </c>
      <c r="K78" s="1032">
        <v>4920.2759999999998</v>
      </c>
      <c r="L78" s="1032">
        <v>2460.1379999999999</v>
      </c>
      <c r="M78" s="1032">
        <v>2460.1379999999999</v>
      </c>
      <c r="N78" s="1032">
        <v>5210.5722839999999</v>
      </c>
      <c r="O78" s="1032">
        <v>2605.2861419999999</v>
      </c>
      <c r="P78" s="1032">
        <v>2605.2861419999999</v>
      </c>
    </row>
    <row r="79" spans="1:16" s="1046" customFormat="1" ht="30">
      <c r="A79" s="1044"/>
      <c r="B79" s="1045" t="s">
        <v>393</v>
      </c>
      <c r="C79" s="258">
        <f>'4.6_генерация_КТЭЦ'!C79</f>
        <v>5796</v>
      </c>
      <c r="D79" s="258">
        <f>'4.6_генерация_КТЭЦ'!D79+'4.6_косв.'!I79</f>
        <v>0</v>
      </c>
      <c r="E79" s="258">
        <v>0</v>
      </c>
      <c r="F79" s="258">
        <v>0</v>
      </c>
      <c r="G79" s="258">
        <v>0</v>
      </c>
      <c r="H79" s="258">
        <v>0</v>
      </c>
      <c r="I79" s="258">
        <v>0</v>
      </c>
      <c r="J79" s="258">
        <v>0</v>
      </c>
      <c r="K79" s="258">
        <v>0</v>
      </c>
      <c r="L79" s="258">
        <v>0</v>
      </c>
      <c r="M79" s="258">
        <v>0</v>
      </c>
      <c r="N79" s="258">
        <v>0</v>
      </c>
      <c r="O79" s="258">
        <v>0</v>
      </c>
      <c r="P79" s="258">
        <v>0</v>
      </c>
    </row>
    <row r="80" spans="1:16" s="1046" customFormat="1" ht="30" customHeight="1">
      <c r="A80" s="1044"/>
      <c r="B80" s="1045" t="s">
        <v>394</v>
      </c>
      <c r="C80" s="258">
        <f>'4.6_генерация_КТЭЦ'!C80</f>
        <v>2130</v>
      </c>
      <c r="D80" s="258">
        <f>'4.6_генерация_КТЭЦ'!D80+'4.6_косв.'!I80</f>
        <v>2544</v>
      </c>
      <c r="E80" s="258">
        <v>2938</v>
      </c>
      <c r="F80" s="258">
        <v>2848</v>
      </c>
      <c r="G80" s="258">
        <v>2851</v>
      </c>
      <c r="H80" s="258">
        <v>2805</v>
      </c>
      <c r="I80" s="258">
        <v>4607</v>
      </c>
      <c r="J80" s="258">
        <v>4607</v>
      </c>
      <c r="K80" s="258">
        <v>4920.2759999999998</v>
      </c>
      <c r="L80" s="258">
        <v>2460.1379999999999</v>
      </c>
      <c r="M80" s="258">
        <v>2460.1379999999999</v>
      </c>
      <c r="N80" s="258">
        <v>5210.5722839999999</v>
      </c>
      <c r="O80" s="258">
        <v>2605.2861419999999</v>
      </c>
      <c r="P80" s="258">
        <v>2605.2861419999999</v>
      </c>
    </row>
    <row r="81" spans="1:16" s="1046" customFormat="1" ht="15" customHeight="1">
      <c r="A81" s="1044"/>
      <c r="B81" s="1045" t="s">
        <v>1568</v>
      </c>
      <c r="C81" s="258">
        <f>'4.6_генерация_КТЭЦ'!C81</f>
        <v>0</v>
      </c>
      <c r="D81" s="258">
        <f>'4.6_генерация_КТЭЦ'!D81+'4.6_косв.'!I81</f>
        <v>0</v>
      </c>
      <c r="E81" s="258">
        <v>0</v>
      </c>
      <c r="F81" s="258">
        <v>0</v>
      </c>
      <c r="G81" s="258">
        <v>0</v>
      </c>
      <c r="H81" s="258">
        <v>0</v>
      </c>
      <c r="I81" s="258">
        <v>0</v>
      </c>
      <c r="J81" s="258">
        <v>0</v>
      </c>
      <c r="K81" s="258">
        <v>0</v>
      </c>
      <c r="L81" s="258"/>
      <c r="M81" s="258">
        <v>0</v>
      </c>
      <c r="N81" s="258">
        <v>0</v>
      </c>
      <c r="O81" s="258"/>
      <c r="P81" s="258">
        <v>0</v>
      </c>
    </row>
    <row r="82" spans="1:16" s="1046" customFormat="1" ht="28.5" customHeight="1">
      <c r="A82" s="1044"/>
      <c r="B82" s="1045" t="s">
        <v>1957</v>
      </c>
      <c r="C82" s="258">
        <f>'4.6_генерация_КТЭЦ'!C82</f>
        <v>1152</v>
      </c>
      <c r="D82" s="258">
        <f>'4.6_генерация_КТЭЦ'!D82+'4.6_косв.'!I82</f>
        <v>457</v>
      </c>
      <c r="E82" s="258">
        <v>367</v>
      </c>
      <c r="F82" s="258">
        <v>817</v>
      </c>
      <c r="G82" s="258">
        <v>196</v>
      </c>
      <c r="H82" s="258">
        <v>491</v>
      </c>
      <c r="I82" s="258">
        <v>0</v>
      </c>
      <c r="J82" s="258">
        <v>0</v>
      </c>
      <c r="K82" s="258">
        <v>0</v>
      </c>
      <c r="L82" s="258">
        <v>0</v>
      </c>
      <c r="M82" s="258">
        <v>0</v>
      </c>
      <c r="N82" s="258">
        <v>0</v>
      </c>
      <c r="O82" s="258">
        <v>0</v>
      </c>
      <c r="P82" s="258">
        <v>0</v>
      </c>
    </row>
    <row r="83" spans="1:16" s="1034" customFormat="1" ht="18.75" customHeight="1">
      <c r="A83" s="1030" t="s">
        <v>395</v>
      </c>
      <c r="B83" s="1031" t="s">
        <v>396</v>
      </c>
      <c r="C83" s="1032">
        <f>(C68+C69+C70+C78)/0.8*0.2</f>
        <v>2269.5</v>
      </c>
      <c r="D83" s="1032">
        <f t="shared" ref="D83" si="8">(D68+D69+D70+D78)/0.8*0.2</f>
        <v>750.25</v>
      </c>
      <c r="E83" s="1032">
        <v>855</v>
      </c>
      <c r="F83" s="1032">
        <v>916.25</v>
      </c>
      <c r="G83" s="1032">
        <v>762</v>
      </c>
      <c r="H83" s="1032">
        <v>824</v>
      </c>
      <c r="I83" s="1032">
        <v>1152</v>
      </c>
      <c r="J83" s="1032">
        <v>1151.75</v>
      </c>
      <c r="K83" s="1032">
        <v>1230.069</v>
      </c>
      <c r="L83" s="1032">
        <v>615.03449999999998</v>
      </c>
      <c r="M83" s="1032">
        <v>615.03449999999998</v>
      </c>
      <c r="N83" s="1032">
        <v>1302.643071</v>
      </c>
      <c r="O83" s="1032">
        <v>651.32153549999998</v>
      </c>
      <c r="P83" s="1032">
        <v>651.32153549999998</v>
      </c>
    </row>
    <row r="84" spans="1:16" s="1034" customFormat="1" ht="17.25" customHeight="1">
      <c r="A84" s="1030" t="s">
        <v>397</v>
      </c>
      <c r="B84" s="1031" t="s">
        <v>398</v>
      </c>
      <c r="C84" s="1032">
        <f>C85-C88</f>
        <v>570</v>
      </c>
      <c r="D84" s="1032">
        <f t="shared" ref="D84" si="9">D85-D88</f>
        <v>0</v>
      </c>
      <c r="E84" s="1032">
        <v>-56497</v>
      </c>
      <c r="F84" s="1032">
        <v>0</v>
      </c>
      <c r="G84" s="1032">
        <v>73441</v>
      </c>
      <c r="H84" s="1032">
        <v>0</v>
      </c>
      <c r="I84" s="1032">
        <v>-268.95716076636529</v>
      </c>
      <c r="J84" s="1032">
        <v>-268.95716076636529</v>
      </c>
      <c r="K84" s="1032">
        <v>889079</v>
      </c>
      <c r="L84" s="1032">
        <v>0</v>
      </c>
      <c r="M84" s="1032">
        <v>889079</v>
      </c>
      <c r="N84" s="1032">
        <v>0</v>
      </c>
      <c r="O84" s="1032">
        <v>0</v>
      </c>
      <c r="P84" s="1032">
        <v>0</v>
      </c>
    </row>
    <row r="85" spans="1:16" s="585" customFormat="1" ht="17.25" customHeight="1">
      <c r="A85" s="583"/>
      <c r="B85" s="582" t="s">
        <v>1140</v>
      </c>
      <c r="C85" s="587">
        <f>C86+C87</f>
        <v>570</v>
      </c>
      <c r="D85" s="587">
        <f t="shared" ref="D85" si="10">D86+D87</f>
        <v>0</v>
      </c>
      <c r="E85" s="587">
        <v>112200</v>
      </c>
      <c r="F85" s="587">
        <v>0</v>
      </c>
      <c r="G85" s="587">
        <v>120432</v>
      </c>
      <c r="H85" s="587">
        <v>0</v>
      </c>
      <c r="I85" s="587">
        <v>0</v>
      </c>
      <c r="J85" s="587">
        <v>0</v>
      </c>
      <c r="K85" s="587">
        <v>929809</v>
      </c>
      <c r="L85" s="587">
        <v>0</v>
      </c>
      <c r="M85" s="587">
        <v>929809</v>
      </c>
      <c r="N85" s="587">
        <v>0</v>
      </c>
      <c r="O85" s="587">
        <v>0</v>
      </c>
      <c r="P85" s="587">
        <v>0</v>
      </c>
    </row>
    <row r="86" spans="1:16" s="341" customFormat="1" ht="17.25" customHeight="1">
      <c r="A86" s="339"/>
      <c r="B86" s="340" t="s">
        <v>959</v>
      </c>
      <c r="C86" s="241">
        <f>'4.6_генерация_КТЭЦ'!C86</f>
        <v>570</v>
      </c>
      <c r="D86" s="241">
        <f>'4.6_генерация_КТЭЦ'!D86+'4.6_косв.'!I86</f>
        <v>0</v>
      </c>
      <c r="E86" s="241">
        <v>112200</v>
      </c>
      <c r="F86" s="241">
        <v>0</v>
      </c>
      <c r="G86" s="241">
        <v>0</v>
      </c>
      <c r="H86" s="241">
        <v>0</v>
      </c>
      <c r="I86" s="241"/>
      <c r="J86" s="241"/>
      <c r="K86" s="241">
        <v>453996</v>
      </c>
      <c r="L86" s="308">
        <v>0</v>
      </c>
      <c r="M86" s="241">
        <v>453996</v>
      </c>
      <c r="N86" s="241">
        <v>0</v>
      </c>
      <c r="O86" s="308">
        <v>0</v>
      </c>
      <c r="P86" s="241">
        <v>0</v>
      </c>
    </row>
    <row r="87" spans="1:16" s="341" customFormat="1" ht="30">
      <c r="A87" s="339"/>
      <c r="B87" s="51" t="s">
        <v>960</v>
      </c>
      <c r="C87" s="241">
        <f>'4.6_генерация_КТЭЦ'!C87</f>
        <v>0</v>
      </c>
      <c r="D87" s="241">
        <f>'4.6_генерация_КТЭЦ'!D87+'4.6_косв.'!I87</f>
        <v>0</v>
      </c>
      <c r="E87" s="241">
        <v>0</v>
      </c>
      <c r="F87" s="241">
        <v>0</v>
      </c>
      <c r="G87" s="241">
        <v>0</v>
      </c>
      <c r="H87" s="241">
        <v>0</v>
      </c>
      <c r="I87" s="241"/>
      <c r="J87" s="241"/>
      <c r="K87" s="241">
        <v>475813</v>
      </c>
      <c r="L87" s="241">
        <v>0</v>
      </c>
      <c r="M87" s="241">
        <v>475813</v>
      </c>
      <c r="N87" s="241">
        <v>0</v>
      </c>
      <c r="O87" s="241">
        <v>0</v>
      </c>
      <c r="P87" s="241">
        <v>0</v>
      </c>
    </row>
    <row r="88" spans="1:16" s="588" customFormat="1" ht="18" customHeight="1">
      <c r="A88" s="586"/>
      <c r="B88" s="582" t="s">
        <v>1141</v>
      </c>
      <c r="C88" s="587">
        <f>C89+C90</f>
        <v>0</v>
      </c>
      <c r="D88" s="587">
        <f t="shared" ref="D88" si="11">D89+D90</f>
        <v>0</v>
      </c>
      <c r="E88" s="587">
        <v>168697</v>
      </c>
      <c r="F88" s="587">
        <v>0</v>
      </c>
      <c r="G88" s="587">
        <v>46991</v>
      </c>
      <c r="H88" s="587">
        <v>0</v>
      </c>
      <c r="I88" s="587">
        <v>268.95716076636529</v>
      </c>
      <c r="J88" s="587">
        <v>268.95716076636529</v>
      </c>
      <c r="K88" s="587">
        <v>40730</v>
      </c>
      <c r="L88" s="587">
        <v>0</v>
      </c>
      <c r="M88" s="587">
        <v>40730</v>
      </c>
      <c r="N88" s="587">
        <v>0</v>
      </c>
      <c r="O88" s="587">
        <v>0</v>
      </c>
      <c r="P88" s="587">
        <v>0</v>
      </c>
    </row>
    <row r="89" spans="1:16" s="341" customFormat="1" ht="18" customHeight="1">
      <c r="A89" s="339"/>
      <c r="B89" s="340" t="s">
        <v>959</v>
      </c>
      <c r="C89" s="241">
        <f>'4.6_генерация_КТЭЦ'!C89</f>
        <v>0</v>
      </c>
      <c r="D89" s="241">
        <f>'4.6_генерация_КТЭЦ'!D89+'4.6_косв.'!I89</f>
        <v>0</v>
      </c>
      <c r="E89" s="241">
        <v>168697</v>
      </c>
      <c r="F89" s="241">
        <v>0</v>
      </c>
      <c r="G89" s="241">
        <v>0</v>
      </c>
      <c r="H89" s="241">
        <v>0</v>
      </c>
      <c r="I89" s="241">
        <v>0</v>
      </c>
      <c r="J89" s="241">
        <v>0</v>
      </c>
      <c r="K89" s="241">
        <v>40730</v>
      </c>
      <c r="L89" s="241">
        <v>0</v>
      </c>
      <c r="M89" s="241">
        <v>40730</v>
      </c>
      <c r="N89" s="241">
        <v>0</v>
      </c>
      <c r="O89" s="241">
        <v>0</v>
      </c>
      <c r="P89" s="241">
        <v>0</v>
      </c>
    </row>
    <row r="90" spans="1:16" s="341" customFormat="1" ht="25.5" customHeight="1">
      <c r="A90" s="339"/>
      <c r="B90" s="51" t="s">
        <v>960</v>
      </c>
      <c r="C90" s="241">
        <f>'4.6_генерация_КТЭЦ'!C90</f>
        <v>0</v>
      </c>
      <c r="D90" s="241">
        <f>'4.6_генерация_КТЭЦ'!D90+'4.6_косв.'!I90</f>
        <v>0</v>
      </c>
      <c r="E90" s="241">
        <v>0</v>
      </c>
      <c r="F90" s="241">
        <v>0</v>
      </c>
      <c r="G90" s="241">
        <v>0</v>
      </c>
      <c r="H90" s="241">
        <v>0</v>
      </c>
      <c r="I90" s="241">
        <v>0</v>
      </c>
      <c r="J90" s="241">
        <v>0</v>
      </c>
      <c r="K90" s="241">
        <v>0</v>
      </c>
      <c r="L90" s="241">
        <v>0</v>
      </c>
      <c r="M90" s="241">
        <v>0</v>
      </c>
      <c r="N90" s="241">
        <v>0</v>
      </c>
      <c r="O90" s="241">
        <v>0</v>
      </c>
      <c r="P90" s="241">
        <v>0</v>
      </c>
    </row>
    <row r="91" spans="1:16" s="1055" customFormat="1" ht="27.75" customHeight="1">
      <c r="A91" s="1052" t="s">
        <v>399</v>
      </c>
      <c r="B91" s="1053" t="s">
        <v>400</v>
      </c>
      <c r="C91" s="1054">
        <f>C7+C67+C78+C83+C84+2</f>
        <v>1449640.1817738668</v>
      </c>
      <c r="D91" s="1054">
        <f t="shared" ref="D91" si="12">D7+D67+D78+D83+D84</f>
        <v>1469044.8906599998</v>
      </c>
      <c r="E91" s="1054">
        <v>1455920.2389284854</v>
      </c>
      <c r="F91" s="1054">
        <v>1831111.0520111467</v>
      </c>
      <c r="G91" s="1054">
        <v>1532762.9619877937</v>
      </c>
      <c r="H91" s="1054">
        <v>1753991.5478267176</v>
      </c>
      <c r="I91" s="1054">
        <v>1559944.3598118701</v>
      </c>
      <c r="J91" s="1054">
        <v>1878675.270768974</v>
      </c>
      <c r="K91" s="1054">
        <v>2948806.6357399411</v>
      </c>
      <c r="L91" s="1054">
        <v>1105962.7786422567</v>
      </c>
      <c r="M91" s="1054">
        <v>1842848.6878736841</v>
      </c>
      <c r="N91" s="1610">
        <v>2186856.7899626554</v>
      </c>
      <c r="O91" s="1054">
        <v>1178880.0652821076</v>
      </c>
      <c r="P91" s="1054">
        <v>1007976.7246805485</v>
      </c>
    </row>
    <row r="92" spans="1:16" s="4" customFormat="1" ht="15" customHeight="1">
      <c r="A92" s="17" t="s">
        <v>401</v>
      </c>
      <c r="B92" s="51" t="s">
        <v>402</v>
      </c>
      <c r="C92" s="241"/>
      <c r="D92" s="241"/>
      <c r="E92" s="241"/>
      <c r="F92" s="241"/>
      <c r="G92" s="241"/>
      <c r="H92" s="241"/>
      <c r="I92" s="241"/>
      <c r="J92" s="241"/>
      <c r="K92" s="241"/>
      <c r="L92" s="241"/>
      <c r="M92" s="241"/>
      <c r="N92" s="982"/>
      <c r="O92" s="241"/>
      <c r="P92" s="241"/>
    </row>
    <row r="93" spans="1:16" s="4" customFormat="1" ht="15" customHeight="1">
      <c r="A93" s="17" t="s">
        <v>403</v>
      </c>
      <c r="B93" s="51" t="s">
        <v>404</v>
      </c>
      <c r="C93" s="241">
        <f>C91-C94-C95</f>
        <v>1449640.1817738668</v>
      </c>
      <c r="D93" s="241">
        <f t="shared" ref="D93" si="13">D91-D94-D95</f>
        <v>1365280.3693999997</v>
      </c>
      <c r="E93" s="241">
        <v>1455920.2389284854</v>
      </c>
      <c r="F93" s="241">
        <v>1718141.0520111467</v>
      </c>
      <c r="G93" s="241">
        <v>1532762.9619877937</v>
      </c>
      <c r="H93" s="241">
        <v>1640213.5478267176</v>
      </c>
      <c r="I93" s="241">
        <v>1559944.3598118701</v>
      </c>
      <c r="J93" s="241">
        <v>1769284.030008974</v>
      </c>
      <c r="K93" s="241">
        <v>2833366.353981141</v>
      </c>
      <c r="L93" s="241">
        <v>1042767.7449822568</v>
      </c>
      <c r="M93" s="241">
        <v>1790603.4397748841</v>
      </c>
      <c r="N93" s="982">
        <v>2063314.7239763492</v>
      </c>
      <c r="O93" s="241">
        <v>1109934.2835590476</v>
      </c>
      <c r="P93" s="241">
        <v>953380.44041730254</v>
      </c>
    </row>
    <row r="94" spans="1:16" s="4" customFormat="1" ht="15" customHeight="1">
      <c r="A94" s="17" t="s">
        <v>405</v>
      </c>
      <c r="B94" s="51" t="s">
        <v>406</v>
      </c>
      <c r="C94" s="241"/>
      <c r="D94" s="308">
        <f>'4.8 - КТЭЦ'!H23</f>
        <v>36976.728049999998</v>
      </c>
      <c r="E94" s="241"/>
      <c r="F94" s="308">
        <v>42235</v>
      </c>
      <c r="G94" s="308">
        <v>0</v>
      </c>
      <c r="H94" s="308">
        <v>43043</v>
      </c>
      <c r="I94" s="308"/>
      <c r="J94" s="308">
        <v>33041.554759999999</v>
      </c>
      <c r="K94" s="308">
        <v>34671.721258800004</v>
      </c>
      <c r="L94" s="308">
        <v>22274.702659999999</v>
      </c>
      <c r="M94" s="308">
        <v>12397.018598800001</v>
      </c>
      <c r="N94" s="308">
        <v>37256.585037805999</v>
      </c>
      <c r="O94" s="308">
        <v>24301.700602060002</v>
      </c>
      <c r="P94" s="308">
        <v>12954.884435745998</v>
      </c>
    </row>
    <row r="95" spans="1:16" s="4" customFormat="1" ht="15" customHeight="1">
      <c r="A95" s="17" t="s">
        <v>407</v>
      </c>
      <c r="B95" s="51" t="s">
        <v>408</v>
      </c>
      <c r="C95" s="241"/>
      <c r="D95" s="308">
        <f>'4.8 - КТЭЦ'!H22</f>
        <v>66787.793209999989</v>
      </c>
      <c r="E95" s="241"/>
      <c r="F95" s="308">
        <v>70735</v>
      </c>
      <c r="G95" s="308">
        <v>0</v>
      </c>
      <c r="H95" s="308">
        <v>70735</v>
      </c>
      <c r="I95" s="308"/>
      <c r="J95" s="308">
        <v>76349.686000000002</v>
      </c>
      <c r="K95" s="308">
        <v>80768.560499999992</v>
      </c>
      <c r="L95" s="308">
        <v>40920.330999999998</v>
      </c>
      <c r="M95" s="308">
        <v>39848.229500000001</v>
      </c>
      <c r="N95" s="308">
        <v>86285.480948500001</v>
      </c>
      <c r="O95" s="308">
        <v>44644.081121000003</v>
      </c>
      <c r="P95" s="308">
        <v>41641.399827499998</v>
      </c>
    </row>
    <row r="96" spans="1:16" s="4" customFormat="1" ht="15" customHeight="1">
      <c r="A96" s="17"/>
      <c r="B96" s="51"/>
      <c r="C96" s="241"/>
      <c r="D96" s="241"/>
      <c r="E96" s="241"/>
      <c r="F96" s="241"/>
      <c r="G96" s="241"/>
      <c r="H96" s="241"/>
      <c r="I96" s="241"/>
      <c r="J96" s="241"/>
      <c r="K96" s="241"/>
      <c r="L96" s="241"/>
      <c r="M96" s="241"/>
      <c r="N96" s="982"/>
      <c r="O96" s="241"/>
      <c r="P96" s="241"/>
    </row>
    <row r="97" spans="1:16" s="4" customFormat="1" ht="15" customHeight="1">
      <c r="A97" s="17"/>
      <c r="B97" s="755" t="s">
        <v>1265</v>
      </c>
      <c r="C97" s="286">
        <f>'4.1_КТЭЦ'!C20</f>
        <v>1159.712</v>
      </c>
      <c r="D97" s="286">
        <f>'4.1_КТЭЦ'!N20</f>
        <v>1140.328</v>
      </c>
      <c r="E97" s="286">
        <v>1145.6870000000001</v>
      </c>
      <c r="F97" s="286">
        <v>1115.827</v>
      </c>
      <c r="G97" s="286">
        <v>1140.3279999999995</v>
      </c>
      <c r="H97" s="286">
        <v>1091.739</v>
      </c>
      <c r="I97" s="286">
        <v>1091.269</v>
      </c>
      <c r="J97" s="286">
        <v>1088.818</v>
      </c>
      <c r="K97" s="286">
        <v>1091.269</v>
      </c>
      <c r="L97" s="286">
        <v>666.77</v>
      </c>
      <c r="M97" s="286">
        <v>424.49899999999997</v>
      </c>
      <c r="N97" s="286">
        <v>1091.269</v>
      </c>
      <c r="O97" s="286">
        <v>666.77</v>
      </c>
      <c r="P97" s="286">
        <v>424.49899999999997</v>
      </c>
    </row>
    <row r="98" spans="1:16" s="4" customFormat="1" ht="15" customHeight="1">
      <c r="A98" s="17"/>
      <c r="B98" s="51"/>
      <c r="C98" s="241"/>
      <c r="D98" s="241"/>
      <c r="E98" s="241"/>
      <c r="F98" s="241"/>
      <c r="G98" s="241"/>
      <c r="H98" s="241"/>
      <c r="I98" s="241"/>
      <c r="J98" s="241"/>
      <c r="K98" s="241"/>
      <c r="L98" s="241"/>
      <c r="M98" s="241"/>
      <c r="N98" s="982"/>
      <c r="O98" s="241"/>
      <c r="P98" s="241"/>
    </row>
    <row r="99" spans="1:16" s="4" customFormat="1" ht="15" customHeight="1">
      <c r="A99" s="17"/>
      <c r="B99" s="253" t="s">
        <v>1266</v>
      </c>
      <c r="C99" s="428">
        <f>C93/C97</f>
        <v>1250.0001567405243</v>
      </c>
      <c r="D99" s="428">
        <f t="shared" ref="D99" si="14">D93/D97</f>
        <v>1197.2698814726989</v>
      </c>
      <c r="E99" s="428">
        <v>1270.7835900455232</v>
      </c>
      <c r="F99" s="428">
        <v>1539.7916092827531</v>
      </c>
      <c r="G99" s="428">
        <v>1344.1421783800752</v>
      </c>
      <c r="H99" s="428">
        <v>1502.3861452478272</v>
      </c>
      <c r="I99" s="428">
        <v>1429.4773880792638</v>
      </c>
      <c r="J99" s="428">
        <v>1624.9584687330428</v>
      </c>
      <c r="K99" s="428">
        <v>2596.395896869737</v>
      </c>
      <c r="L99" s="428">
        <v>1563.9092115455956</v>
      </c>
      <c r="M99" s="428">
        <v>4218.1570269302974</v>
      </c>
      <c r="N99" s="1128">
        <v>1890.7480410204535</v>
      </c>
      <c r="O99" s="428">
        <v>1664.6434056107018</v>
      </c>
      <c r="P99" s="428">
        <v>2245.8956096888392</v>
      </c>
    </row>
    <row r="100" spans="1:16" s="4" customFormat="1" ht="15" customHeight="1">
      <c r="A100" s="17"/>
      <c r="B100" s="253" t="s">
        <v>1267</v>
      </c>
      <c r="C100" s="428"/>
      <c r="D100" s="307"/>
      <c r="E100" s="307"/>
      <c r="F100" s="307"/>
      <c r="G100" s="307"/>
      <c r="H100" s="307"/>
      <c r="I100" s="307"/>
      <c r="J100" s="307"/>
      <c r="K100" s="1128"/>
      <c r="L100" s="307"/>
      <c r="M100" s="307"/>
      <c r="N100" s="1650"/>
      <c r="O100" s="1650"/>
      <c r="P100" s="1650"/>
    </row>
    <row r="101" spans="1:16" s="4" customFormat="1" ht="15" customHeight="1">
      <c r="A101" s="17"/>
      <c r="B101" s="1131" t="s">
        <v>1512</v>
      </c>
      <c r="C101" s="428"/>
      <c r="D101" s="307"/>
      <c r="E101" s="428">
        <f>'6.7_теплонос._1 контур'!F14</f>
        <v>87.370765027322406</v>
      </c>
      <c r="F101" s="428">
        <f>'6.7_теплонос._1 контур'!G14</f>
        <v>94.661339893919632</v>
      </c>
      <c r="G101" s="428" t="e">
        <f>'6.7_теплонос._1 контур'!H14</f>
        <v>#DIV/0!</v>
      </c>
      <c r="H101" s="428">
        <f>'6.7_теплонос._1 контур'!I14</f>
        <v>115.10979247123075</v>
      </c>
      <c r="I101" s="428"/>
      <c r="J101" s="428"/>
      <c r="K101" s="1128">
        <f>'6.7_теплонос._1 контур'!L14</f>
        <v>121.01190202251742</v>
      </c>
      <c r="L101" s="428">
        <f>'6.7_теплонос._1 контур'!M14</f>
        <v>107.95017013295001</v>
      </c>
      <c r="M101" s="428">
        <f>'6.7_теплонос._1 контур'!N14</f>
        <v>140.60449985686853</v>
      </c>
      <c r="N101" s="978"/>
      <c r="O101" s="978"/>
      <c r="P101" s="978"/>
    </row>
    <row r="102" spans="1:16" s="4" customFormat="1" ht="15" customHeight="1">
      <c r="A102" s="17"/>
      <c r="B102" s="1131" t="s">
        <v>1513</v>
      </c>
      <c r="C102" s="428"/>
      <c r="D102" s="307">
        <f>'4.6_генерация_КТЭЦ'!D102</f>
        <v>30.383382196457696</v>
      </c>
      <c r="E102" s="428">
        <f>'6.6_теплонос.ктэц_2 контур'!F26</f>
        <v>34.96</v>
      </c>
      <c r="F102" s="428">
        <f>'6.6_теплонос.ктэц_2 контур'!G26</f>
        <v>35.786489339888192</v>
      </c>
      <c r="G102" s="428" t="e">
        <f>'6.6_теплонос.ктэц_2 контур'!H26</f>
        <v>#DIV/0!</v>
      </c>
      <c r="H102" s="428">
        <f>'6.6_теплонос.ктэц_2 контур'!I26</f>
        <v>46.220147322273768</v>
      </c>
      <c r="I102" s="428"/>
      <c r="J102" s="428"/>
      <c r="K102" s="1128">
        <f>'6.6_теплонос.ктэц_2 контур'!L26</f>
        <v>44.504928875668064</v>
      </c>
      <c r="L102" s="428">
        <f>'6.6_теплонос.ктэц_2 контур'!M26</f>
        <v>42.97</v>
      </c>
      <c r="M102" s="428">
        <f>'6.6_теплонос.ктэц_2 контур'!N26</f>
        <v>46.88027000000001</v>
      </c>
      <c r="N102" s="978"/>
      <c r="O102" s="978"/>
      <c r="P102" s="978"/>
    </row>
    <row r="103" spans="1:16" hidden="1">
      <c r="A103" s="253" t="s">
        <v>965</v>
      </c>
      <c r="B103" s="253"/>
      <c r="C103" s="308">
        <f>C67+C78+C83+C87-C90</f>
        <v>122231.5</v>
      </c>
      <c r="D103" s="308">
        <f t="shared" ref="D103:M103" si="15">D67+D78+D83+D87-D90</f>
        <v>134957.25</v>
      </c>
      <c r="E103" s="308">
        <f t="shared" si="15"/>
        <v>81677</v>
      </c>
      <c r="F103" s="308">
        <f t="shared" si="15"/>
        <v>336125.05</v>
      </c>
      <c r="G103" s="308"/>
      <c r="H103" s="308"/>
      <c r="I103" s="308"/>
      <c r="J103" s="308"/>
      <c r="K103" s="982">
        <f t="shared" si="15"/>
        <v>621815.99393248814</v>
      </c>
      <c r="L103" s="308">
        <f t="shared" si="15"/>
        <v>88509.568118728028</v>
      </c>
      <c r="M103" s="308">
        <f t="shared" si="15"/>
        <v>533306.42581376014</v>
      </c>
      <c r="N103" s="762"/>
      <c r="O103" s="762"/>
      <c r="P103" s="762"/>
    </row>
    <row r="104" spans="1:16" s="26" customFormat="1">
      <c r="A104" s="26" t="s">
        <v>88</v>
      </c>
      <c r="H104" s="1775">
        <f>'4.6_генерация_КТЭЦ'!H93+'4.6_косв.'!K93</f>
        <v>1640213.6953261974</v>
      </c>
      <c r="J104" s="1775">
        <f>'4.6_генерация_КТЭЦ'!J93+'4.6_косв.'!L93</f>
        <v>1769284.2426489741</v>
      </c>
      <c r="K104" s="1775">
        <f>'4.6_генерация_КТЭЦ'!K93+'4.6_косв.'!M93</f>
        <v>2833369.7365411408</v>
      </c>
      <c r="N104" s="1775">
        <f>'4.6_генерация_КТЭЦ'!L93+'4.6_косв.'!N93</f>
        <v>2063315.4710483493</v>
      </c>
    </row>
    <row r="105" spans="1:16" s="914" customFormat="1" ht="58.5" customHeight="1">
      <c r="A105" s="914" t="s">
        <v>89</v>
      </c>
      <c r="B105" s="1842" t="s">
        <v>409</v>
      </c>
      <c r="C105" s="1842"/>
      <c r="D105" s="1842"/>
      <c r="E105" s="1842"/>
      <c r="F105" s="1842"/>
      <c r="G105" s="1842"/>
      <c r="H105" s="1842"/>
      <c r="I105" s="1842"/>
      <c r="J105" s="1842"/>
      <c r="K105" s="1842"/>
      <c r="L105" s="1842"/>
      <c r="M105" s="1842"/>
      <c r="N105" s="1629"/>
      <c r="O105" s="1629"/>
      <c r="P105" s="1629"/>
    </row>
    <row r="106" spans="1:16" s="914" customFormat="1" ht="58.5" customHeight="1">
      <c r="A106" s="914" t="s">
        <v>91</v>
      </c>
      <c r="B106" s="1842" t="s">
        <v>410</v>
      </c>
      <c r="C106" s="1842"/>
      <c r="D106" s="1842"/>
      <c r="E106" s="1842"/>
      <c r="F106" s="1842"/>
      <c r="G106" s="1842"/>
      <c r="H106" s="1842"/>
      <c r="I106" s="1842"/>
      <c r="J106" s="1842"/>
      <c r="K106" s="1842"/>
      <c r="L106" s="1842"/>
      <c r="M106" s="1842"/>
      <c r="N106" s="1629"/>
      <c r="O106" s="1629"/>
      <c r="P106" s="1629"/>
    </row>
    <row r="107" spans="1:16" s="914" customFormat="1" ht="58.5" customHeight="1">
      <c r="A107" s="914" t="s">
        <v>93</v>
      </c>
      <c r="B107" s="1842" t="s">
        <v>411</v>
      </c>
      <c r="C107" s="1842"/>
      <c r="D107" s="1842"/>
      <c r="E107" s="1842"/>
      <c r="F107" s="1842"/>
      <c r="G107" s="1842"/>
      <c r="H107" s="1842"/>
      <c r="I107" s="1842"/>
      <c r="J107" s="1842"/>
      <c r="K107" s="1842"/>
      <c r="L107" s="1842"/>
      <c r="M107" s="1842"/>
      <c r="N107" s="1629"/>
      <c r="O107" s="1629"/>
      <c r="P107" s="1629"/>
    </row>
    <row r="108" spans="1:16" ht="18.75" customHeight="1"/>
  </sheetData>
  <mergeCells count="4">
    <mergeCell ref="B105:M105"/>
    <mergeCell ref="B106:M106"/>
    <mergeCell ref="B107:M107"/>
    <mergeCell ref="A3:J3"/>
  </mergeCells>
  <pageMargins left="0.78740157480314965" right="0.31496062992125984" top="0.19685039370078741" bottom="0.23622047244094491" header="0.19685039370078741" footer="0.19685039370078741"/>
  <pageSetup paperSize="9" scale="50" orientation="portrait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316"/>
  <sheetViews>
    <sheetView view="pageBreakPreview" zoomScale="84" zoomScaleNormal="100" zoomScaleSheetLayoutView="84" workbookViewId="0">
      <pane xSplit="3" ySplit="7" topLeftCell="D140" activePane="bottomRight" state="frozen"/>
      <selection activeCell="Q33" sqref="Q33"/>
      <selection pane="topRight" activeCell="Q33" sqref="Q33"/>
      <selection pane="bottomLeft" activeCell="Q33" sqref="Q33"/>
      <selection pane="bottomRight" activeCell="P2" sqref="P2"/>
    </sheetView>
  </sheetViews>
  <sheetFormatPr defaultRowHeight="15"/>
  <cols>
    <col min="1" max="1" width="7.42578125" style="549" customWidth="1"/>
    <col min="2" max="2" width="37.7109375" style="546" customWidth="1"/>
    <col min="3" max="3" width="12.28515625" style="547" customWidth="1"/>
    <col min="4" max="4" width="10.5703125" style="377" customWidth="1"/>
    <col min="5" max="6" width="10.42578125" style="377" customWidth="1"/>
    <col min="7" max="8" width="10.140625" style="377" customWidth="1"/>
    <col min="9" max="9" width="17.42578125" style="377" customWidth="1"/>
    <col min="10" max="10" width="12.42578125" style="377" customWidth="1"/>
    <col min="11" max="12" width="9.140625" style="377" customWidth="1"/>
    <col min="13" max="13" width="11.85546875" style="377" customWidth="1"/>
    <col min="14" max="14" width="11.5703125" style="377" customWidth="1"/>
    <col min="15" max="15" width="11.140625" style="377" customWidth="1"/>
    <col min="16" max="16384" width="9.140625" style="377"/>
  </cols>
  <sheetData>
    <row r="1" spans="1:15" ht="26.25" customHeight="1">
      <c r="A1" s="530" t="s">
        <v>1860</v>
      </c>
    </row>
    <row r="2" spans="1:15">
      <c r="A2" s="531" t="str">
        <f>'[9]3.1'!$A$2</f>
        <v>ПКГО - выработка котельными</v>
      </c>
      <c r="B2" s="548"/>
      <c r="G2" s="1060"/>
      <c r="H2" s="1060"/>
      <c r="O2" s="1061" t="s">
        <v>1017</v>
      </c>
    </row>
    <row r="3" spans="1:15" ht="16.5" customHeight="1">
      <c r="B3" s="1060"/>
      <c r="C3" s="1060"/>
    </row>
    <row r="4" spans="1:15" ht="16.5" customHeight="1">
      <c r="A4" s="1062"/>
      <c r="B4" s="1063" t="s">
        <v>1016</v>
      </c>
      <c r="C4" s="1063"/>
      <c r="D4" s="1063"/>
      <c r="E4" s="1063"/>
      <c r="F4" s="1063"/>
      <c r="G4" s="550"/>
      <c r="H4" s="550"/>
    </row>
    <row r="5" spans="1:15">
      <c r="A5" s="551"/>
      <c r="B5" s="1064"/>
      <c r="C5" s="1064"/>
    </row>
    <row r="6" spans="1:15" ht="16.5" customHeight="1">
      <c r="A6" s="1828" t="s">
        <v>789</v>
      </c>
      <c r="B6" s="1830" t="s">
        <v>1</v>
      </c>
      <c r="C6" s="1830" t="s">
        <v>2</v>
      </c>
      <c r="D6" s="1820" t="s">
        <v>1133</v>
      </c>
      <c r="E6" s="1823" t="s">
        <v>1690</v>
      </c>
      <c r="F6" s="1820" t="s">
        <v>1717</v>
      </c>
      <c r="G6" s="1820" t="s">
        <v>1827</v>
      </c>
      <c r="H6" s="1820" t="s">
        <v>1879</v>
      </c>
      <c r="I6" s="1824" t="s">
        <v>1861</v>
      </c>
      <c r="J6" s="1824" t="s">
        <v>1862</v>
      </c>
      <c r="K6" s="1826" t="s">
        <v>791</v>
      </c>
      <c r="L6" s="1826"/>
      <c r="M6" s="1824" t="s">
        <v>1863</v>
      </c>
      <c r="N6" s="1826" t="s">
        <v>791</v>
      </c>
      <c r="O6" s="1826"/>
    </row>
    <row r="7" spans="1:15" ht="52.5" customHeight="1">
      <c r="A7" s="1829"/>
      <c r="B7" s="1831"/>
      <c r="C7" s="1831"/>
      <c r="D7" s="1821"/>
      <c r="E7" s="1823"/>
      <c r="F7" s="1821"/>
      <c r="G7" s="1821"/>
      <c r="H7" s="1821"/>
      <c r="I7" s="1825"/>
      <c r="J7" s="1825"/>
      <c r="K7" s="1638" t="s">
        <v>792</v>
      </c>
      <c r="L7" s="1638" t="s">
        <v>793</v>
      </c>
      <c r="M7" s="1825"/>
      <c r="N7" s="1638" t="s">
        <v>792</v>
      </c>
      <c r="O7" s="1638" t="s">
        <v>793</v>
      </c>
    </row>
    <row r="8" spans="1:15" s="554" customFormat="1" ht="15" customHeight="1">
      <c r="A8" s="552">
        <v>1</v>
      </c>
      <c r="B8" s="553">
        <v>2</v>
      </c>
      <c r="C8" s="1582">
        <v>3</v>
      </c>
      <c r="D8" s="1581">
        <v>4</v>
      </c>
      <c r="E8" s="1582">
        <v>5</v>
      </c>
      <c r="F8" s="1581">
        <v>6</v>
      </c>
      <c r="G8" s="1582">
        <v>7</v>
      </c>
      <c r="H8" s="1581">
        <v>8</v>
      </c>
      <c r="I8" s="1582">
        <v>9</v>
      </c>
      <c r="J8" s="1582">
        <v>10</v>
      </c>
      <c r="K8" s="1581">
        <v>11</v>
      </c>
      <c r="L8" s="1582">
        <v>12</v>
      </c>
      <c r="M8" s="1582">
        <v>13</v>
      </c>
      <c r="N8" s="1581">
        <v>14</v>
      </c>
      <c r="O8" s="1581">
        <v>15</v>
      </c>
    </row>
    <row r="9" spans="1:15" ht="43.5">
      <c r="A9" s="562" t="s">
        <v>4</v>
      </c>
      <c r="B9" s="436" t="s">
        <v>1061</v>
      </c>
      <c r="C9" s="435" t="s">
        <v>1010</v>
      </c>
      <c r="D9" s="1386">
        <f t="shared" ref="D9:L9" si="0">D30+D51+D72+D93</f>
        <v>133.83600000000001</v>
      </c>
      <c r="E9" s="1386">
        <f t="shared" si="0"/>
        <v>133.83600000000001</v>
      </c>
      <c r="F9" s="1386"/>
      <c r="G9" s="1386">
        <f t="shared" si="0"/>
        <v>133.86600000000001</v>
      </c>
      <c r="H9" s="1386">
        <f t="shared" si="0"/>
        <v>0</v>
      </c>
      <c r="I9" s="1386">
        <f t="shared" si="0"/>
        <v>134.48599999999999</v>
      </c>
      <c r="J9" s="1386">
        <f t="shared" si="0"/>
        <v>134.48599999999999</v>
      </c>
      <c r="K9" s="1386">
        <f t="shared" si="0"/>
        <v>134.48599999999999</v>
      </c>
      <c r="L9" s="1386">
        <f t="shared" si="0"/>
        <v>134.48599999999999</v>
      </c>
      <c r="M9" s="1386">
        <f t="shared" ref="M9:O9" si="1">M30+M51+M72+M93</f>
        <v>134.48599999999999</v>
      </c>
      <c r="N9" s="1386">
        <f t="shared" si="1"/>
        <v>134.48599999999999</v>
      </c>
      <c r="O9" s="1386">
        <f t="shared" si="1"/>
        <v>134.48599999999999</v>
      </c>
    </row>
    <row r="10" spans="1:15" ht="15" hidden="1" customHeight="1">
      <c r="A10" s="368" t="s">
        <v>5</v>
      </c>
      <c r="B10" s="556" t="s">
        <v>38</v>
      </c>
      <c r="C10" s="557" t="s">
        <v>1010</v>
      </c>
      <c r="D10" s="559"/>
      <c r="E10" s="559"/>
      <c r="F10" s="559"/>
      <c r="G10" s="559"/>
      <c r="H10" s="559"/>
      <c r="I10" s="559"/>
      <c r="J10" s="1066"/>
      <c r="K10" s="1066"/>
      <c r="L10" s="1066"/>
      <c r="M10" s="559"/>
      <c r="N10" s="559"/>
      <c r="O10" s="1065"/>
    </row>
    <row r="11" spans="1:15" ht="15" hidden="1" customHeight="1">
      <c r="A11" s="368" t="s">
        <v>6</v>
      </c>
      <c r="B11" s="560" t="s">
        <v>1014</v>
      </c>
      <c r="C11" s="557" t="s">
        <v>1010</v>
      </c>
      <c r="D11" s="559"/>
      <c r="E11" s="559"/>
      <c r="F11" s="559"/>
      <c r="G11" s="559"/>
      <c r="H11" s="559"/>
      <c r="I11" s="559"/>
      <c r="J11" s="1066"/>
      <c r="K11" s="1066"/>
      <c r="L11" s="1066"/>
      <c r="M11" s="559"/>
      <c r="N11" s="559"/>
      <c r="O11" s="1065"/>
    </row>
    <row r="12" spans="1:15" ht="15" hidden="1" customHeight="1">
      <c r="A12" s="368" t="s">
        <v>7</v>
      </c>
      <c r="B12" s="560" t="s">
        <v>1013</v>
      </c>
      <c r="C12" s="557" t="s">
        <v>1010</v>
      </c>
      <c r="D12" s="559"/>
      <c r="E12" s="559"/>
      <c r="F12" s="559"/>
      <c r="G12" s="559"/>
      <c r="H12" s="559"/>
      <c r="I12" s="559"/>
      <c r="J12" s="1066"/>
      <c r="K12" s="1066"/>
      <c r="L12" s="1066"/>
      <c r="M12" s="559"/>
      <c r="N12" s="559"/>
      <c r="O12" s="1065"/>
    </row>
    <row r="13" spans="1:15" ht="15" hidden="1" customHeight="1">
      <c r="A13" s="368" t="s">
        <v>8</v>
      </c>
      <c r="B13" s="560" t="s">
        <v>1012</v>
      </c>
      <c r="C13" s="557" t="s">
        <v>1010</v>
      </c>
      <c r="D13" s="559"/>
      <c r="E13" s="559"/>
      <c r="F13" s="559"/>
      <c r="G13" s="559"/>
      <c r="H13" s="559"/>
      <c r="I13" s="559"/>
      <c r="J13" s="1066"/>
      <c r="K13" s="1066"/>
      <c r="L13" s="1066"/>
      <c r="M13" s="559"/>
      <c r="N13" s="559"/>
      <c r="O13" s="1065"/>
    </row>
    <row r="14" spans="1:15" ht="15" hidden="1" customHeight="1">
      <c r="A14" s="368" t="s">
        <v>9</v>
      </c>
      <c r="B14" s="560" t="s">
        <v>1011</v>
      </c>
      <c r="C14" s="557" t="s">
        <v>1010</v>
      </c>
      <c r="D14" s="559"/>
      <c r="E14" s="559"/>
      <c r="F14" s="559"/>
      <c r="G14" s="559"/>
      <c r="H14" s="559"/>
      <c r="I14" s="559"/>
      <c r="J14" s="1066"/>
      <c r="K14" s="1066"/>
      <c r="L14" s="1066"/>
      <c r="M14" s="559"/>
      <c r="N14" s="559"/>
      <c r="O14" s="1065"/>
    </row>
    <row r="15" spans="1:15" ht="15" hidden="1" customHeight="1">
      <c r="A15" s="368" t="s">
        <v>10</v>
      </c>
      <c r="B15" s="560" t="s">
        <v>43</v>
      </c>
      <c r="C15" s="557" t="s">
        <v>1010</v>
      </c>
      <c r="D15" s="559"/>
      <c r="E15" s="559"/>
      <c r="F15" s="559"/>
      <c r="G15" s="559"/>
      <c r="H15" s="559"/>
      <c r="I15" s="559"/>
      <c r="J15" s="1066"/>
      <c r="K15" s="1066"/>
      <c r="L15" s="1066"/>
      <c r="M15" s="559"/>
      <c r="N15" s="559"/>
      <c r="O15" s="1065"/>
    </row>
    <row r="16" spans="1:15" ht="15" hidden="1" customHeight="1">
      <c r="A16" s="368" t="s">
        <v>11</v>
      </c>
      <c r="B16" s="561" t="s">
        <v>44</v>
      </c>
      <c r="C16" s="557" t="s">
        <v>1010</v>
      </c>
      <c r="D16" s="559"/>
      <c r="E16" s="559"/>
      <c r="F16" s="559"/>
      <c r="G16" s="559"/>
      <c r="H16" s="559"/>
      <c r="I16" s="559"/>
      <c r="J16" s="1066"/>
      <c r="K16" s="1066"/>
      <c r="L16" s="1066"/>
      <c r="M16" s="559"/>
      <c r="N16" s="559"/>
      <c r="O16" s="1065"/>
    </row>
    <row r="17" spans="1:15" ht="15" hidden="1" customHeight="1">
      <c r="A17" s="374" t="s">
        <v>12</v>
      </c>
      <c r="B17" s="560" t="s">
        <v>45</v>
      </c>
      <c r="C17" s="557" t="s">
        <v>1010</v>
      </c>
      <c r="D17" s="559"/>
      <c r="E17" s="559"/>
      <c r="F17" s="559"/>
      <c r="G17" s="559"/>
      <c r="H17" s="559"/>
      <c r="I17" s="559"/>
      <c r="J17" s="1066"/>
      <c r="K17" s="1066"/>
      <c r="L17" s="1066"/>
      <c r="M17" s="559"/>
      <c r="N17" s="559"/>
      <c r="O17" s="1065"/>
    </row>
    <row r="18" spans="1:15" ht="15" hidden="1" customHeight="1">
      <c r="A18" s="374" t="s">
        <v>13</v>
      </c>
      <c r="B18" s="560" t="s">
        <v>1014</v>
      </c>
      <c r="C18" s="557" t="s">
        <v>1010</v>
      </c>
      <c r="D18" s="559"/>
      <c r="E18" s="559"/>
      <c r="F18" s="559"/>
      <c r="G18" s="559"/>
      <c r="H18" s="559"/>
      <c r="I18" s="559"/>
      <c r="J18" s="1066"/>
      <c r="K18" s="1066"/>
      <c r="L18" s="1066"/>
      <c r="M18" s="559"/>
      <c r="N18" s="559"/>
      <c r="O18" s="1065"/>
    </row>
    <row r="19" spans="1:15" ht="15" hidden="1" customHeight="1">
      <c r="A19" s="374" t="s">
        <v>14</v>
      </c>
      <c r="B19" s="560" t="s">
        <v>1013</v>
      </c>
      <c r="C19" s="557" t="s">
        <v>1010</v>
      </c>
      <c r="D19" s="559"/>
      <c r="E19" s="559"/>
      <c r="F19" s="559"/>
      <c r="G19" s="559"/>
      <c r="H19" s="559"/>
      <c r="I19" s="559"/>
      <c r="J19" s="1066"/>
      <c r="K19" s="1066"/>
      <c r="L19" s="1066"/>
      <c r="M19" s="559"/>
      <c r="N19" s="559"/>
      <c r="O19" s="1065"/>
    </row>
    <row r="20" spans="1:15" ht="15" hidden="1" customHeight="1">
      <c r="A20" s="374" t="s">
        <v>15</v>
      </c>
      <c r="B20" s="560" t="s">
        <v>1012</v>
      </c>
      <c r="C20" s="557" t="s">
        <v>1010</v>
      </c>
      <c r="D20" s="559"/>
      <c r="E20" s="559"/>
      <c r="F20" s="559"/>
      <c r="G20" s="559"/>
      <c r="H20" s="559"/>
      <c r="I20" s="559"/>
      <c r="J20" s="1066"/>
      <c r="K20" s="1066"/>
      <c r="L20" s="1066"/>
      <c r="M20" s="559"/>
      <c r="N20" s="559"/>
      <c r="O20" s="1065"/>
    </row>
    <row r="21" spans="1:15" ht="15" hidden="1" customHeight="1">
      <c r="A21" s="374" t="s">
        <v>16</v>
      </c>
      <c r="B21" s="560" t="s">
        <v>1011</v>
      </c>
      <c r="C21" s="557" t="s">
        <v>1010</v>
      </c>
      <c r="D21" s="559"/>
      <c r="E21" s="559"/>
      <c r="F21" s="559"/>
      <c r="G21" s="559"/>
      <c r="H21" s="559"/>
      <c r="I21" s="559"/>
      <c r="J21" s="1066"/>
      <c r="K21" s="1066"/>
      <c r="L21" s="1066"/>
      <c r="M21" s="559"/>
      <c r="N21" s="559"/>
      <c r="O21" s="1065"/>
    </row>
    <row r="22" spans="1:15" ht="15" hidden="1" customHeight="1">
      <c r="A22" s="374" t="s">
        <v>17</v>
      </c>
      <c r="B22" s="560" t="s">
        <v>43</v>
      </c>
      <c r="C22" s="557" t="s">
        <v>1010</v>
      </c>
      <c r="D22" s="559"/>
      <c r="E22" s="559"/>
      <c r="F22" s="559"/>
      <c r="G22" s="559"/>
      <c r="H22" s="559"/>
      <c r="I22" s="559"/>
      <c r="J22" s="1066"/>
      <c r="K22" s="1066"/>
      <c r="L22" s="1066"/>
      <c r="M22" s="559"/>
      <c r="N22" s="559"/>
      <c r="O22" s="1065"/>
    </row>
    <row r="23" spans="1:15" ht="15" hidden="1" customHeight="1">
      <c r="A23" s="368" t="s">
        <v>18</v>
      </c>
      <c r="B23" s="560" t="s">
        <v>46</v>
      </c>
      <c r="C23" s="557" t="s">
        <v>1010</v>
      </c>
      <c r="D23" s="559"/>
      <c r="E23" s="559"/>
      <c r="F23" s="559"/>
      <c r="G23" s="559"/>
      <c r="H23" s="559"/>
      <c r="I23" s="559"/>
      <c r="J23" s="1066"/>
      <c r="K23" s="1066"/>
      <c r="L23" s="1066"/>
      <c r="M23" s="559"/>
      <c r="N23" s="559"/>
      <c r="O23" s="1065"/>
    </row>
    <row r="24" spans="1:15" ht="15" hidden="1" customHeight="1">
      <c r="A24" s="368" t="s">
        <v>19</v>
      </c>
      <c r="B24" s="560" t="s">
        <v>1014</v>
      </c>
      <c r="C24" s="557" t="s">
        <v>1010</v>
      </c>
      <c r="D24" s="559"/>
      <c r="E24" s="559"/>
      <c r="F24" s="559"/>
      <c r="G24" s="559"/>
      <c r="H24" s="559"/>
      <c r="I24" s="559"/>
      <c r="J24" s="1066"/>
      <c r="K24" s="1066"/>
      <c r="L24" s="1066"/>
      <c r="M24" s="559"/>
      <c r="N24" s="559"/>
      <c r="O24" s="1065"/>
    </row>
    <row r="25" spans="1:15" ht="15" hidden="1" customHeight="1">
      <c r="A25" s="368" t="s">
        <v>20</v>
      </c>
      <c r="B25" s="560" t="s">
        <v>1013</v>
      </c>
      <c r="C25" s="557" t="s">
        <v>1010</v>
      </c>
      <c r="D25" s="559"/>
      <c r="E25" s="559"/>
      <c r="F25" s="559"/>
      <c r="G25" s="559"/>
      <c r="H25" s="559"/>
      <c r="I25" s="559"/>
      <c r="J25" s="1066"/>
      <c r="K25" s="1066"/>
      <c r="L25" s="1066"/>
      <c r="M25" s="559"/>
      <c r="N25" s="559"/>
      <c r="O25" s="1065"/>
    </row>
    <row r="26" spans="1:15" ht="15" hidden="1" customHeight="1">
      <c r="A26" s="368" t="s">
        <v>21</v>
      </c>
      <c r="B26" s="560" t="s">
        <v>1012</v>
      </c>
      <c r="C26" s="557" t="s">
        <v>1010</v>
      </c>
      <c r="D26" s="559"/>
      <c r="E26" s="559"/>
      <c r="F26" s="559"/>
      <c r="G26" s="559"/>
      <c r="H26" s="559"/>
      <c r="I26" s="559"/>
      <c r="J26" s="1066"/>
      <c r="K26" s="1066"/>
      <c r="L26" s="1066"/>
      <c r="M26" s="559"/>
      <c r="N26" s="559"/>
      <c r="O26" s="1065"/>
    </row>
    <row r="27" spans="1:15" ht="15" hidden="1" customHeight="1">
      <c r="A27" s="368" t="s">
        <v>22</v>
      </c>
      <c r="B27" s="560" t="s">
        <v>1011</v>
      </c>
      <c r="C27" s="557" t="s">
        <v>1010</v>
      </c>
      <c r="D27" s="559"/>
      <c r="E27" s="559"/>
      <c r="F27" s="559"/>
      <c r="G27" s="559"/>
      <c r="H27" s="559"/>
      <c r="I27" s="559"/>
      <c r="J27" s="1066"/>
      <c r="K27" s="1066"/>
      <c r="L27" s="1066"/>
      <c r="M27" s="559"/>
      <c r="N27" s="559"/>
      <c r="O27" s="1065"/>
    </row>
    <row r="28" spans="1:15" ht="15" hidden="1" customHeight="1">
      <c r="A28" s="368" t="s">
        <v>3</v>
      </c>
      <c r="B28" s="560" t="s">
        <v>43</v>
      </c>
      <c r="C28" s="557" t="s">
        <v>1010</v>
      </c>
      <c r="D28" s="559"/>
      <c r="E28" s="559"/>
      <c r="F28" s="559"/>
      <c r="G28" s="559"/>
      <c r="H28" s="559"/>
      <c r="I28" s="559"/>
      <c r="J28" s="1066"/>
      <c r="K28" s="1066"/>
      <c r="L28" s="1066"/>
      <c r="M28" s="559"/>
      <c r="N28" s="559"/>
      <c r="O28" s="1065"/>
    </row>
    <row r="29" spans="1:15" ht="15" customHeight="1">
      <c r="A29" s="562"/>
      <c r="B29" s="436"/>
      <c r="C29" s="435"/>
      <c r="D29" s="559"/>
      <c r="E29" s="559"/>
      <c r="F29" s="559"/>
      <c r="G29" s="559"/>
      <c r="H29" s="559"/>
      <c r="I29" s="559"/>
      <c r="J29" s="1066"/>
      <c r="K29" s="1066"/>
      <c r="L29" s="1066"/>
      <c r="M29" s="559"/>
      <c r="N29" s="559"/>
      <c r="O29" s="1065"/>
    </row>
    <row r="30" spans="1:15">
      <c r="A30" s="368"/>
      <c r="B30" s="1067" t="s">
        <v>1062</v>
      </c>
      <c r="C30" s="558" t="s">
        <v>1010</v>
      </c>
      <c r="D30" s="435">
        <f t="shared" ref="D30:L30" si="2">D31+D37</f>
        <v>49.442999999999998</v>
      </c>
      <c r="E30" s="435">
        <f t="shared" si="2"/>
        <v>49.442999999999998</v>
      </c>
      <c r="F30" s="435"/>
      <c r="G30" s="435">
        <f t="shared" si="2"/>
        <v>49.472999999999999</v>
      </c>
      <c r="H30" s="435">
        <f t="shared" si="2"/>
        <v>0</v>
      </c>
      <c r="I30" s="435">
        <f t="shared" si="2"/>
        <v>50.092999999999996</v>
      </c>
      <c r="J30" s="435">
        <f t="shared" si="2"/>
        <v>50.092999999999996</v>
      </c>
      <c r="K30" s="435">
        <f t="shared" si="2"/>
        <v>50.092999999999996</v>
      </c>
      <c r="L30" s="435">
        <f t="shared" si="2"/>
        <v>50.092999999999996</v>
      </c>
      <c r="M30" s="435">
        <f t="shared" ref="M30:O30" si="3">M31+M37</f>
        <v>50.092999999999996</v>
      </c>
      <c r="N30" s="435">
        <f t="shared" si="3"/>
        <v>50.092999999999996</v>
      </c>
      <c r="O30" s="435">
        <f t="shared" si="3"/>
        <v>50.092999999999996</v>
      </c>
    </row>
    <row r="31" spans="1:15">
      <c r="A31" s="368"/>
      <c r="B31" s="556" t="s">
        <v>38</v>
      </c>
      <c r="C31" s="557" t="s">
        <v>1010</v>
      </c>
      <c r="D31" s="413">
        <f t="shared" ref="D31" si="4">SUM(D32:D36)</f>
        <v>13.541</v>
      </c>
      <c r="E31" s="413">
        <f t="shared" ref="E31" si="5">SUM(E32:E36)</f>
        <v>13.541</v>
      </c>
      <c r="F31" s="413"/>
      <c r="G31" s="413">
        <f t="shared" ref="G31" si="6">SUM(G32:G36)</f>
        <v>13.571</v>
      </c>
      <c r="H31" s="413"/>
      <c r="I31" s="413">
        <f t="shared" ref="I31:O31" si="7">SUM(I32:I36)</f>
        <v>13.571</v>
      </c>
      <c r="J31" s="413">
        <f t="shared" si="7"/>
        <v>13.571</v>
      </c>
      <c r="K31" s="413">
        <f t="shared" si="7"/>
        <v>13.571</v>
      </c>
      <c r="L31" s="413">
        <f t="shared" si="7"/>
        <v>13.571</v>
      </c>
      <c r="M31" s="413">
        <f t="shared" si="7"/>
        <v>13.571</v>
      </c>
      <c r="N31" s="413">
        <f t="shared" si="7"/>
        <v>13.571</v>
      </c>
      <c r="O31" s="413">
        <f t="shared" si="7"/>
        <v>13.571</v>
      </c>
    </row>
    <row r="32" spans="1:15">
      <c r="A32" s="368"/>
      <c r="B32" s="560" t="s">
        <v>1014</v>
      </c>
      <c r="C32" s="557" t="s">
        <v>1010</v>
      </c>
      <c r="D32" s="413">
        <v>10.179</v>
      </c>
      <c r="E32" s="413">
        <v>10.179</v>
      </c>
      <c r="F32" s="413"/>
      <c r="G32" s="413">
        <v>10.209</v>
      </c>
      <c r="H32" s="413"/>
      <c r="I32" s="413">
        <v>10.209</v>
      </c>
      <c r="J32" s="413">
        <v>10.209</v>
      </c>
      <c r="K32" s="413">
        <v>10.209</v>
      </c>
      <c r="L32" s="413">
        <v>10.209</v>
      </c>
      <c r="M32" s="413">
        <v>10.209</v>
      </c>
      <c r="N32" s="413">
        <v>10.209</v>
      </c>
      <c r="O32" s="413">
        <v>10.209</v>
      </c>
    </row>
    <row r="33" spans="1:15">
      <c r="A33" s="368"/>
      <c r="B33" s="560" t="s">
        <v>1013</v>
      </c>
      <c r="C33" s="557" t="s">
        <v>1010</v>
      </c>
      <c r="D33" s="413">
        <v>3.3620000000000001</v>
      </c>
      <c r="E33" s="413">
        <v>3.3620000000000001</v>
      </c>
      <c r="F33" s="413"/>
      <c r="G33" s="413">
        <v>3.3620000000000001</v>
      </c>
      <c r="H33" s="413"/>
      <c r="I33" s="413">
        <v>3.3620000000000001</v>
      </c>
      <c r="J33" s="413">
        <v>3.3620000000000001</v>
      </c>
      <c r="K33" s="413">
        <v>3.3620000000000001</v>
      </c>
      <c r="L33" s="413">
        <v>3.3620000000000001</v>
      </c>
      <c r="M33" s="413">
        <v>3.3620000000000001</v>
      </c>
      <c r="N33" s="413">
        <v>3.3620000000000001</v>
      </c>
      <c r="O33" s="413">
        <v>3.3620000000000001</v>
      </c>
    </row>
    <row r="34" spans="1:15">
      <c r="A34" s="368"/>
      <c r="B34" s="560" t="s">
        <v>1012</v>
      </c>
      <c r="C34" s="557" t="s">
        <v>1010</v>
      </c>
      <c r="D34" s="413">
        <v>0</v>
      </c>
      <c r="E34" s="413">
        <v>0</v>
      </c>
      <c r="F34" s="413"/>
      <c r="G34" s="413">
        <v>0</v>
      </c>
      <c r="H34" s="413"/>
      <c r="I34" s="413">
        <v>0</v>
      </c>
      <c r="J34" s="413">
        <v>0</v>
      </c>
      <c r="K34" s="413">
        <v>0</v>
      </c>
      <c r="L34" s="413">
        <v>0</v>
      </c>
      <c r="M34" s="413">
        <v>0</v>
      </c>
      <c r="N34" s="413">
        <v>0</v>
      </c>
      <c r="O34" s="413">
        <v>0</v>
      </c>
    </row>
    <row r="35" spans="1:15">
      <c r="A35" s="368"/>
      <c r="B35" s="560" t="s">
        <v>1011</v>
      </c>
      <c r="C35" s="557" t="s">
        <v>1010</v>
      </c>
      <c r="D35" s="413">
        <v>0</v>
      </c>
      <c r="E35" s="413">
        <v>0</v>
      </c>
      <c r="F35" s="413"/>
      <c r="G35" s="413">
        <v>0</v>
      </c>
      <c r="H35" s="413"/>
      <c r="I35" s="413">
        <v>0</v>
      </c>
      <c r="J35" s="413">
        <v>0</v>
      </c>
      <c r="K35" s="413">
        <v>0</v>
      </c>
      <c r="L35" s="413">
        <v>0</v>
      </c>
      <c r="M35" s="413">
        <v>0</v>
      </c>
      <c r="N35" s="413">
        <v>0</v>
      </c>
      <c r="O35" s="413">
        <v>0</v>
      </c>
    </row>
    <row r="36" spans="1:15">
      <c r="A36" s="368"/>
      <c r="B36" s="560" t="s">
        <v>43</v>
      </c>
      <c r="C36" s="557" t="s">
        <v>1010</v>
      </c>
      <c r="D36" s="413">
        <v>0</v>
      </c>
      <c r="E36" s="413">
        <v>0</v>
      </c>
      <c r="F36" s="413"/>
      <c r="G36" s="413">
        <v>0</v>
      </c>
      <c r="H36" s="413"/>
      <c r="I36" s="413">
        <v>0</v>
      </c>
      <c r="J36" s="413">
        <v>0</v>
      </c>
      <c r="K36" s="413">
        <v>0</v>
      </c>
      <c r="L36" s="413">
        <v>0</v>
      </c>
      <c r="M36" s="413">
        <v>0</v>
      </c>
      <c r="N36" s="413">
        <v>0</v>
      </c>
      <c r="O36" s="413">
        <v>0</v>
      </c>
    </row>
    <row r="37" spans="1:15">
      <c r="A37" s="368"/>
      <c r="B37" s="561" t="s">
        <v>44</v>
      </c>
      <c r="C37" s="557" t="s">
        <v>1010</v>
      </c>
      <c r="D37" s="413">
        <f t="shared" ref="D37:E37" si="8">SUM(D38,D44)</f>
        <v>35.902000000000001</v>
      </c>
      <c r="E37" s="413">
        <f t="shared" si="8"/>
        <v>35.902000000000001</v>
      </c>
      <c r="F37" s="413"/>
      <c r="G37" s="413">
        <f t="shared" ref="G37" si="9">SUM(G38,G44)</f>
        <v>35.902000000000001</v>
      </c>
      <c r="H37" s="413"/>
      <c r="I37" s="413">
        <f t="shared" ref="I37:O37" si="10">SUM(I38,I44)</f>
        <v>36.521999999999998</v>
      </c>
      <c r="J37" s="413">
        <f t="shared" si="10"/>
        <v>36.521999999999998</v>
      </c>
      <c r="K37" s="413">
        <f t="shared" si="10"/>
        <v>36.521999999999998</v>
      </c>
      <c r="L37" s="413">
        <f t="shared" si="10"/>
        <v>36.521999999999998</v>
      </c>
      <c r="M37" s="413">
        <f t="shared" si="10"/>
        <v>36.521999999999998</v>
      </c>
      <c r="N37" s="413">
        <f t="shared" si="10"/>
        <v>36.521999999999998</v>
      </c>
      <c r="O37" s="413">
        <f t="shared" si="10"/>
        <v>36.521999999999998</v>
      </c>
    </row>
    <row r="38" spans="1:15">
      <c r="A38" s="368"/>
      <c r="B38" s="560" t="s">
        <v>45</v>
      </c>
      <c r="C38" s="557" t="s">
        <v>1010</v>
      </c>
      <c r="D38" s="413">
        <f t="shared" ref="D38:E38" si="11">SUM(D39:D43)</f>
        <v>35.902000000000001</v>
      </c>
      <c r="E38" s="413">
        <f t="shared" si="11"/>
        <v>35.902000000000001</v>
      </c>
      <c r="F38" s="413"/>
      <c r="G38" s="413">
        <f t="shared" ref="G38" si="12">SUM(G39:G43)</f>
        <v>35.902000000000001</v>
      </c>
      <c r="H38" s="413"/>
      <c r="I38" s="413">
        <f t="shared" ref="I38:O38" si="13">SUM(I39:I43)</f>
        <v>35.902000000000001</v>
      </c>
      <c r="J38" s="413">
        <f t="shared" si="13"/>
        <v>35.902000000000001</v>
      </c>
      <c r="K38" s="413">
        <f t="shared" si="13"/>
        <v>35.902000000000001</v>
      </c>
      <c r="L38" s="413">
        <f t="shared" si="13"/>
        <v>35.902000000000001</v>
      </c>
      <c r="M38" s="413">
        <f t="shared" si="13"/>
        <v>35.902000000000001</v>
      </c>
      <c r="N38" s="413">
        <f t="shared" si="13"/>
        <v>35.902000000000001</v>
      </c>
      <c r="O38" s="413">
        <f t="shared" si="13"/>
        <v>35.902000000000001</v>
      </c>
    </row>
    <row r="39" spans="1:15">
      <c r="A39" s="368"/>
      <c r="B39" s="560" t="s">
        <v>1014</v>
      </c>
      <c r="C39" s="557" t="s">
        <v>1010</v>
      </c>
      <c r="D39" s="413">
        <v>27.067</v>
      </c>
      <c r="E39" s="413">
        <v>27.067</v>
      </c>
      <c r="F39" s="413"/>
      <c r="G39" s="413">
        <v>27.067</v>
      </c>
      <c r="H39" s="413"/>
      <c r="I39" s="413">
        <v>27.067</v>
      </c>
      <c r="J39" s="413">
        <v>27.067</v>
      </c>
      <c r="K39" s="413">
        <v>27.067</v>
      </c>
      <c r="L39" s="413">
        <v>27.067</v>
      </c>
      <c r="M39" s="413">
        <v>27.067</v>
      </c>
      <c r="N39" s="413">
        <v>27.067</v>
      </c>
      <c r="O39" s="413">
        <v>27.067</v>
      </c>
    </row>
    <row r="40" spans="1:15">
      <c r="A40" s="368"/>
      <c r="B40" s="560" t="s">
        <v>1013</v>
      </c>
      <c r="C40" s="557" t="s">
        <v>1010</v>
      </c>
      <c r="D40" s="413">
        <v>8.8350000000000009</v>
      </c>
      <c r="E40" s="413">
        <v>8.8350000000000009</v>
      </c>
      <c r="F40" s="413"/>
      <c r="G40" s="413">
        <v>8.8350000000000009</v>
      </c>
      <c r="H40" s="413"/>
      <c r="I40" s="413">
        <v>8.8350000000000009</v>
      </c>
      <c r="J40" s="413">
        <v>8.8350000000000009</v>
      </c>
      <c r="K40" s="413">
        <v>8.8350000000000009</v>
      </c>
      <c r="L40" s="413">
        <v>8.8350000000000009</v>
      </c>
      <c r="M40" s="413">
        <v>8.8350000000000009</v>
      </c>
      <c r="N40" s="413">
        <v>8.8350000000000009</v>
      </c>
      <c r="O40" s="413">
        <v>8.8350000000000009</v>
      </c>
    </row>
    <row r="41" spans="1:15">
      <c r="A41" s="368"/>
      <c r="B41" s="560" t="s">
        <v>1012</v>
      </c>
      <c r="C41" s="557" t="s">
        <v>1010</v>
      </c>
      <c r="D41" s="413">
        <v>0</v>
      </c>
      <c r="E41" s="413">
        <v>0</v>
      </c>
      <c r="F41" s="413"/>
      <c r="G41" s="413">
        <v>0</v>
      </c>
      <c r="H41" s="413"/>
      <c r="I41" s="413">
        <v>0</v>
      </c>
      <c r="J41" s="413">
        <v>0</v>
      </c>
      <c r="K41" s="413">
        <v>0</v>
      </c>
      <c r="L41" s="413">
        <v>0</v>
      </c>
      <c r="M41" s="413">
        <v>0</v>
      </c>
      <c r="N41" s="413">
        <v>0</v>
      </c>
      <c r="O41" s="413">
        <v>0</v>
      </c>
    </row>
    <row r="42" spans="1:15">
      <c r="A42" s="368"/>
      <c r="B42" s="560" t="s">
        <v>1011</v>
      </c>
      <c r="C42" s="557" t="s">
        <v>1010</v>
      </c>
      <c r="D42" s="413">
        <v>0</v>
      </c>
      <c r="E42" s="413">
        <v>0</v>
      </c>
      <c r="F42" s="413"/>
      <c r="G42" s="413">
        <v>0</v>
      </c>
      <c r="H42" s="413"/>
      <c r="I42" s="413">
        <v>0</v>
      </c>
      <c r="J42" s="413">
        <v>0</v>
      </c>
      <c r="K42" s="413">
        <v>0</v>
      </c>
      <c r="L42" s="413">
        <v>0</v>
      </c>
      <c r="M42" s="413">
        <v>0</v>
      </c>
      <c r="N42" s="413">
        <v>0</v>
      </c>
      <c r="O42" s="413">
        <v>0</v>
      </c>
    </row>
    <row r="43" spans="1:15">
      <c r="A43" s="368"/>
      <c r="B43" s="560" t="s">
        <v>43</v>
      </c>
      <c r="C43" s="557" t="s">
        <v>1010</v>
      </c>
      <c r="D43" s="413">
        <v>0</v>
      </c>
      <c r="E43" s="413">
        <v>0</v>
      </c>
      <c r="F43" s="413"/>
      <c r="G43" s="413">
        <v>0</v>
      </c>
      <c r="H43" s="413"/>
      <c r="I43" s="413">
        <v>0</v>
      </c>
      <c r="J43" s="413">
        <v>0</v>
      </c>
      <c r="K43" s="413">
        <v>0</v>
      </c>
      <c r="L43" s="413">
        <v>0</v>
      </c>
      <c r="M43" s="413">
        <v>0</v>
      </c>
      <c r="N43" s="413">
        <v>0</v>
      </c>
      <c r="O43" s="413">
        <v>0</v>
      </c>
    </row>
    <row r="44" spans="1:15">
      <c r="A44" s="368"/>
      <c r="B44" s="556" t="s">
        <v>46</v>
      </c>
      <c r="C44" s="557" t="s">
        <v>1010</v>
      </c>
      <c r="D44" s="413">
        <f t="shared" ref="D44:E44" si="14">SUM(D45:D49)</f>
        <v>0</v>
      </c>
      <c r="E44" s="413">
        <f t="shared" si="14"/>
        <v>0</v>
      </c>
      <c r="F44" s="413"/>
      <c r="G44" s="413">
        <f t="shared" ref="G44" si="15">SUM(G45:G49)</f>
        <v>0</v>
      </c>
      <c r="H44" s="413"/>
      <c r="I44" s="413">
        <f t="shared" ref="I44:O44" si="16">SUM(I45:I49)</f>
        <v>0.62</v>
      </c>
      <c r="J44" s="413">
        <f t="shared" si="16"/>
        <v>0.62</v>
      </c>
      <c r="K44" s="413">
        <f t="shared" si="16"/>
        <v>0.62</v>
      </c>
      <c r="L44" s="413">
        <f t="shared" si="16"/>
        <v>0.62</v>
      </c>
      <c r="M44" s="413">
        <f t="shared" si="16"/>
        <v>0.62</v>
      </c>
      <c r="N44" s="413">
        <f t="shared" si="16"/>
        <v>0.62</v>
      </c>
      <c r="O44" s="413">
        <f t="shared" si="16"/>
        <v>0.62</v>
      </c>
    </row>
    <row r="45" spans="1:15">
      <c r="A45" s="368"/>
      <c r="B45" s="560" t="s">
        <v>1014</v>
      </c>
      <c r="C45" s="557" t="s">
        <v>1010</v>
      </c>
      <c r="D45" s="413">
        <v>0</v>
      </c>
      <c r="E45" s="413">
        <v>0</v>
      </c>
      <c r="F45" s="413"/>
      <c r="G45" s="413">
        <v>0</v>
      </c>
      <c r="H45" s="413"/>
      <c r="I45" s="413">
        <v>0.62</v>
      </c>
      <c r="J45" s="413">
        <v>0.62</v>
      </c>
      <c r="K45" s="413">
        <v>0.62</v>
      </c>
      <c r="L45" s="413">
        <v>0.62</v>
      </c>
      <c r="M45" s="413">
        <v>0.62</v>
      </c>
      <c r="N45" s="413">
        <v>0.62</v>
      </c>
      <c r="O45" s="413">
        <v>0.62</v>
      </c>
    </row>
    <row r="46" spans="1:15">
      <c r="A46" s="368"/>
      <c r="B46" s="560" t="s">
        <v>1013</v>
      </c>
      <c r="C46" s="557" t="s">
        <v>1010</v>
      </c>
      <c r="D46" s="413">
        <v>0</v>
      </c>
      <c r="E46" s="413">
        <v>0</v>
      </c>
      <c r="F46" s="413"/>
      <c r="G46" s="413">
        <v>0</v>
      </c>
      <c r="H46" s="413"/>
      <c r="I46" s="413">
        <v>0</v>
      </c>
      <c r="J46" s="413">
        <v>0</v>
      </c>
      <c r="K46" s="413">
        <v>0</v>
      </c>
      <c r="L46" s="413">
        <v>0</v>
      </c>
      <c r="M46" s="413">
        <v>0</v>
      </c>
      <c r="N46" s="413">
        <v>0</v>
      </c>
      <c r="O46" s="413">
        <v>0</v>
      </c>
    </row>
    <row r="47" spans="1:15">
      <c r="A47" s="368"/>
      <c r="B47" s="560" t="s">
        <v>1012</v>
      </c>
      <c r="C47" s="557" t="s">
        <v>1010</v>
      </c>
      <c r="D47" s="413">
        <v>0</v>
      </c>
      <c r="E47" s="413">
        <v>0</v>
      </c>
      <c r="F47" s="413"/>
      <c r="G47" s="413">
        <v>0</v>
      </c>
      <c r="H47" s="413"/>
      <c r="I47" s="413">
        <v>0</v>
      </c>
      <c r="J47" s="413">
        <v>0</v>
      </c>
      <c r="K47" s="413">
        <v>0</v>
      </c>
      <c r="L47" s="413">
        <v>0</v>
      </c>
      <c r="M47" s="413">
        <v>0</v>
      </c>
      <c r="N47" s="413">
        <v>0</v>
      </c>
      <c r="O47" s="413">
        <v>0</v>
      </c>
    </row>
    <row r="48" spans="1:15">
      <c r="A48" s="368"/>
      <c r="B48" s="560" t="s">
        <v>1011</v>
      </c>
      <c r="C48" s="557" t="s">
        <v>1010</v>
      </c>
      <c r="D48" s="413">
        <v>0</v>
      </c>
      <c r="E48" s="413">
        <v>0</v>
      </c>
      <c r="F48" s="413"/>
      <c r="G48" s="413">
        <v>0</v>
      </c>
      <c r="H48" s="413"/>
      <c r="I48" s="413">
        <v>0</v>
      </c>
      <c r="J48" s="413">
        <v>0</v>
      </c>
      <c r="K48" s="413">
        <v>0</v>
      </c>
      <c r="L48" s="413">
        <v>0</v>
      </c>
      <c r="M48" s="413">
        <v>0</v>
      </c>
      <c r="N48" s="413">
        <v>0</v>
      </c>
      <c r="O48" s="413">
        <v>0</v>
      </c>
    </row>
    <row r="49" spans="1:15">
      <c r="A49" s="368"/>
      <c r="B49" s="560" t="s">
        <v>43</v>
      </c>
      <c r="C49" s="557" t="s">
        <v>1010</v>
      </c>
      <c r="D49" s="413">
        <v>0</v>
      </c>
      <c r="E49" s="413">
        <v>0</v>
      </c>
      <c r="F49" s="413"/>
      <c r="G49" s="413">
        <v>0</v>
      </c>
      <c r="H49" s="413"/>
      <c r="I49" s="413">
        <v>0</v>
      </c>
      <c r="J49" s="413">
        <v>0</v>
      </c>
      <c r="K49" s="413">
        <v>0</v>
      </c>
      <c r="L49" s="413">
        <v>0</v>
      </c>
      <c r="M49" s="413">
        <v>0</v>
      </c>
      <c r="N49" s="413">
        <v>0</v>
      </c>
      <c r="O49" s="413">
        <v>0</v>
      </c>
    </row>
    <row r="50" spans="1:15">
      <c r="A50" s="1069"/>
      <c r="B50" s="1070"/>
      <c r="C50" s="1070"/>
      <c r="D50" s="1070"/>
      <c r="E50" s="1070"/>
      <c r="F50" s="1070"/>
      <c r="G50" s="1070"/>
      <c r="H50" s="1070"/>
      <c r="I50" s="1070"/>
      <c r="J50" s="1070"/>
      <c r="K50" s="1070"/>
      <c r="L50" s="1071"/>
      <c r="M50" s="1070"/>
      <c r="N50" s="1070"/>
      <c r="O50" s="1070"/>
    </row>
    <row r="51" spans="1:15">
      <c r="A51" s="368"/>
      <c r="B51" s="1067" t="s">
        <v>1063</v>
      </c>
      <c r="C51" s="558" t="s">
        <v>1010</v>
      </c>
      <c r="D51" s="435">
        <f t="shared" ref="D51:G51" si="17">D52+D58</f>
        <v>46.737000000000002</v>
      </c>
      <c r="E51" s="435">
        <f t="shared" si="17"/>
        <v>46.737000000000002</v>
      </c>
      <c r="F51" s="435"/>
      <c r="G51" s="435">
        <f t="shared" si="17"/>
        <v>46.737000000000002</v>
      </c>
      <c r="H51" s="435"/>
      <c r="I51" s="435">
        <f t="shared" ref="I51:L51" si="18">I52+I58</f>
        <v>46.737000000000002</v>
      </c>
      <c r="J51" s="435">
        <f t="shared" si="18"/>
        <v>46.737000000000002</v>
      </c>
      <c r="K51" s="435">
        <f t="shared" si="18"/>
        <v>46.737000000000002</v>
      </c>
      <c r="L51" s="435">
        <f t="shared" si="18"/>
        <v>46.737000000000002</v>
      </c>
      <c r="M51" s="435">
        <f t="shared" ref="M51:O51" si="19">M52+M58</f>
        <v>46.737000000000002</v>
      </c>
      <c r="N51" s="435">
        <f t="shared" si="19"/>
        <v>46.737000000000002</v>
      </c>
      <c r="O51" s="435">
        <f t="shared" si="19"/>
        <v>46.737000000000002</v>
      </c>
    </row>
    <row r="52" spans="1:15">
      <c r="A52" s="368"/>
      <c r="B52" s="556" t="s">
        <v>38</v>
      </c>
      <c r="C52" s="557" t="s">
        <v>1010</v>
      </c>
      <c r="D52" s="413">
        <f t="shared" ref="D52:E52" si="20">SUM(D53:D57)</f>
        <v>25.173000000000002</v>
      </c>
      <c r="E52" s="413">
        <f t="shared" si="20"/>
        <v>25.173000000000002</v>
      </c>
      <c r="F52" s="413"/>
      <c r="G52" s="413">
        <f t="shared" ref="G52" si="21">SUM(G53:G57)</f>
        <v>25.173000000000002</v>
      </c>
      <c r="H52" s="413"/>
      <c r="I52" s="413">
        <f t="shared" ref="I52:O52" si="22">SUM(I53:I57)</f>
        <v>25.173000000000002</v>
      </c>
      <c r="J52" s="413">
        <f t="shared" si="22"/>
        <v>25.173000000000002</v>
      </c>
      <c r="K52" s="413">
        <f t="shared" si="22"/>
        <v>25.173000000000002</v>
      </c>
      <c r="L52" s="413">
        <f t="shared" si="22"/>
        <v>25.173000000000002</v>
      </c>
      <c r="M52" s="413">
        <f t="shared" si="22"/>
        <v>25.173000000000002</v>
      </c>
      <c r="N52" s="413">
        <f t="shared" si="22"/>
        <v>25.173000000000002</v>
      </c>
      <c r="O52" s="413">
        <f t="shared" si="22"/>
        <v>25.173000000000002</v>
      </c>
    </row>
    <row r="53" spans="1:15">
      <c r="A53" s="368"/>
      <c r="B53" s="560" t="s">
        <v>1014</v>
      </c>
      <c r="C53" s="557" t="s">
        <v>1010</v>
      </c>
      <c r="D53" s="413">
        <v>22.951000000000001</v>
      </c>
      <c r="E53" s="413">
        <v>22.951000000000001</v>
      </c>
      <c r="F53" s="413"/>
      <c r="G53" s="413">
        <v>22.951000000000001</v>
      </c>
      <c r="H53" s="413"/>
      <c r="I53" s="413">
        <v>22.951000000000001</v>
      </c>
      <c r="J53" s="413">
        <v>22.951000000000001</v>
      </c>
      <c r="K53" s="413">
        <v>22.951000000000001</v>
      </c>
      <c r="L53" s="413">
        <v>22.951000000000001</v>
      </c>
      <c r="M53" s="413">
        <v>22.951000000000001</v>
      </c>
      <c r="N53" s="413">
        <v>22.951000000000001</v>
      </c>
      <c r="O53" s="413">
        <v>22.951000000000001</v>
      </c>
    </row>
    <row r="54" spans="1:15">
      <c r="A54" s="368"/>
      <c r="B54" s="560" t="s">
        <v>1013</v>
      </c>
      <c r="C54" s="557" t="s">
        <v>1010</v>
      </c>
      <c r="D54" s="413">
        <v>2.222</v>
      </c>
      <c r="E54" s="413">
        <v>2.222</v>
      </c>
      <c r="F54" s="413"/>
      <c r="G54" s="413">
        <v>2.222</v>
      </c>
      <c r="H54" s="413"/>
      <c r="I54" s="413">
        <v>2.222</v>
      </c>
      <c r="J54" s="413">
        <v>2.222</v>
      </c>
      <c r="K54" s="413">
        <v>2.222</v>
      </c>
      <c r="L54" s="413">
        <v>2.222</v>
      </c>
      <c r="M54" s="413">
        <v>2.222</v>
      </c>
      <c r="N54" s="413">
        <v>2.222</v>
      </c>
      <c r="O54" s="413">
        <v>2.222</v>
      </c>
    </row>
    <row r="55" spans="1:15">
      <c r="A55" s="368"/>
      <c r="B55" s="560" t="s">
        <v>1012</v>
      </c>
      <c r="C55" s="557" t="s">
        <v>1010</v>
      </c>
      <c r="D55" s="413">
        <v>0</v>
      </c>
      <c r="E55" s="413">
        <v>0</v>
      </c>
      <c r="F55" s="413"/>
      <c r="G55" s="413">
        <v>0</v>
      </c>
      <c r="H55" s="413"/>
      <c r="I55" s="413">
        <v>0</v>
      </c>
      <c r="J55" s="413">
        <v>0</v>
      </c>
      <c r="K55" s="413">
        <v>0</v>
      </c>
      <c r="L55" s="413">
        <v>0</v>
      </c>
      <c r="M55" s="413">
        <v>0</v>
      </c>
      <c r="N55" s="413">
        <v>0</v>
      </c>
      <c r="O55" s="413">
        <v>0</v>
      </c>
    </row>
    <row r="56" spans="1:15">
      <c r="A56" s="368"/>
      <c r="B56" s="560" t="s">
        <v>1011</v>
      </c>
      <c r="C56" s="557" t="s">
        <v>1010</v>
      </c>
      <c r="D56" s="413">
        <v>0</v>
      </c>
      <c r="E56" s="413">
        <v>0</v>
      </c>
      <c r="F56" s="413"/>
      <c r="G56" s="413">
        <v>0</v>
      </c>
      <c r="H56" s="413"/>
      <c r="I56" s="413">
        <v>0</v>
      </c>
      <c r="J56" s="413">
        <v>0</v>
      </c>
      <c r="K56" s="413">
        <v>0</v>
      </c>
      <c r="L56" s="413">
        <v>0</v>
      </c>
      <c r="M56" s="413">
        <v>0</v>
      </c>
      <c r="N56" s="413">
        <v>0</v>
      </c>
      <c r="O56" s="413">
        <v>0</v>
      </c>
    </row>
    <row r="57" spans="1:15">
      <c r="A57" s="368"/>
      <c r="B57" s="560" t="s">
        <v>43</v>
      </c>
      <c r="C57" s="557" t="s">
        <v>1010</v>
      </c>
      <c r="D57" s="413">
        <v>0</v>
      </c>
      <c r="E57" s="413">
        <v>0</v>
      </c>
      <c r="F57" s="413"/>
      <c r="G57" s="413">
        <v>0</v>
      </c>
      <c r="H57" s="413"/>
      <c r="I57" s="413">
        <v>0</v>
      </c>
      <c r="J57" s="413">
        <v>0</v>
      </c>
      <c r="K57" s="413">
        <v>0</v>
      </c>
      <c r="L57" s="413">
        <v>0</v>
      </c>
      <c r="M57" s="413">
        <v>0</v>
      </c>
      <c r="N57" s="413">
        <v>0</v>
      </c>
      <c r="O57" s="413">
        <v>0</v>
      </c>
    </row>
    <row r="58" spans="1:15">
      <c r="A58" s="368"/>
      <c r="B58" s="561" t="s">
        <v>44</v>
      </c>
      <c r="C58" s="557" t="s">
        <v>1010</v>
      </c>
      <c r="D58" s="413">
        <f t="shared" ref="D58:E58" si="23">SUM(D59,D65)</f>
        <v>21.564</v>
      </c>
      <c r="E58" s="413">
        <f t="shared" si="23"/>
        <v>21.564</v>
      </c>
      <c r="F58" s="413"/>
      <c r="G58" s="413">
        <f t="shared" ref="G58" si="24">SUM(G59,G65)</f>
        <v>21.564</v>
      </c>
      <c r="H58" s="413"/>
      <c r="I58" s="413">
        <f t="shared" ref="I58:O58" si="25">SUM(I59,I65)</f>
        <v>21.564</v>
      </c>
      <c r="J58" s="413">
        <f t="shared" si="25"/>
        <v>21.564</v>
      </c>
      <c r="K58" s="413">
        <f t="shared" si="25"/>
        <v>21.564</v>
      </c>
      <c r="L58" s="413">
        <f t="shared" si="25"/>
        <v>21.564</v>
      </c>
      <c r="M58" s="413">
        <f t="shared" si="25"/>
        <v>21.564</v>
      </c>
      <c r="N58" s="413">
        <f t="shared" si="25"/>
        <v>21.564</v>
      </c>
      <c r="O58" s="413">
        <f t="shared" si="25"/>
        <v>21.564</v>
      </c>
    </row>
    <row r="59" spans="1:15">
      <c r="A59" s="368"/>
      <c r="B59" s="560" t="s">
        <v>45</v>
      </c>
      <c r="C59" s="557" t="s">
        <v>1010</v>
      </c>
      <c r="D59" s="1072">
        <f t="shared" ref="D59:E59" si="26">SUM(D60:D64)</f>
        <v>21.478999999999999</v>
      </c>
      <c r="E59" s="1072">
        <f t="shared" si="26"/>
        <v>21.478999999999999</v>
      </c>
      <c r="F59" s="1072"/>
      <c r="G59" s="1072">
        <f t="shared" ref="G59" si="27">SUM(G60:G64)</f>
        <v>21.478999999999999</v>
      </c>
      <c r="H59" s="1072"/>
      <c r="I59" s="1072">
        <f t="shared" ref="I59:O59" si="28">SUM(I60:I64)</f>
        <v>21.478999999999999</v>
      </c>
      <c r="J59" s="1072">
        <f t="shared" si="28"/>
        <v>21.478999999999999</v>
      </c>
      <c r="K59" s="1072">
        <f t="shared" si="28"/>
        <v>21.478999999999999</v>
      </c>
      <c r="L59" s="1072">
        <f t="shared" si="28"/>
        <v>21.478999999999999</v>
      </c>
      <c r="M59" s="1072">
        <f t="shared" si="28"/>
        <v>21.478999999999999</v>
      </c>
      <c r="N59" s="1072">
        <f t="shared" si="28"/>
        <v>21.478999999999999</v>
      </c>
      <c r="O59" s="1072">
        <f t="shared" si="28"/>
        <v>21.478999999999999</v>
      </c>
    </row>
    <row r="60" spans="1:15">
      <c r="A60" s="368"/>
      <c r="B60" s="560" t="s">
        <v>1014</v>
      </c>
      <c r="C60" s="557" t="s">
        <v>1010</v>
      </c>
      <c r="D60" s="413">
        <v>19.460999999999999</v>
      </c>
      <c r="E60" s="413">
        <v>19.460999999999999</v>
      </c>
      <c r="F60" s="413"/>
      <c r="G60" s="413">
        <v>19.460999999999999</v>
      </c>
      <c r="H60" s="413"/>
      <c r="I60" s="413">
        <v>19.460999999999999</v>
      </c>
      <c r="J60" s="413">
        <v>19.460999999999999</v>
      </c>
      <c r="K60" s="413">
        <v>19.460999999999999</v>
      </c>
      <c r="L60" s="413">
        <v>19.460999999999999</v>
      </c>
      <c r="M60" s="413">
        <v>19.460999999999999</v>
      </c>
      <c r="N60" s="413">
        <v>19.460999999999999</v>
      </c>
      <c r="O60" s="413">
        <v>19.460999999999999</v>
      </c>
    </row>
    <row r="61" spans="1:15">
      <c r="A61" s="368"/>
      <c r="B61" s="560" t="s">
        <v>1013</v>
      </c>
      <c r="C61" s="557" t="s">
        <v>1010</v>
      </c>
      <c r="D61" s="413">
        <v>2.0179999999999998</v>
      </c>
      <c r="E61" s="413">
        <v>2.0179999999999998</v>
      </c>
      <c r="F61" s="413"/>
      <c r="G61" s="413">
        <v>2.0179999999999998</v>
      </c>
      <c r="H61" s="413"/>
      <c r="I61" s="413">
        <v>2.0179999999999998</v>
      </c>
      <c r="J61" s="413">
        <v>2.0179999999999998</v>
      </c>
      <c r="K61" s="413">
        <v>2.0179999999999998</v>
      </c>
      <c r="L61" s="413">
        <v>2.0179999999999998</v>
      </c>
      <c r="M61" s="413">
        <v>2.0179999999999998</v>
      </c>
      <c r="N61" s="413">
        <v>2.0179999999999998</v>
      </c>
      <c r="O61" s="413">
        <v>2.0179999999999998</v>
      </c>
    </row>
    <row r="62" spans="1:15">
      <c r="A62" s="368"/>
      <c r="B62" s="560" t="s">
        <v>1012</v>
      </c>
      <c r="C62" s="557" t="s">
        <v>1010</v>
      </c>
      <c r="D62" s="413">
        <v>0</v>
      </c>
      <c r="E62" s="413">
        <v>0</v>
      </c>
      <c r="F62" s="413"/>
      <c r="G62" s="413">
        <v>0</v>
      </c>
      <c r="H62" s="413"/>
      <c r="I62" s="413">
        <v>0</v>
      </c>
      <c r="J62" s="413">
        <v>0</v>
      </c>
      <c r="K62" s="413">
        <v>0</v>
      </c>
      <c r="L62" s="413">
        <v>0</v>
      </c>
      <c r="M62" s="413">
        <v>0</v>
      </c>
      <c r="N62" s="413">
        <v>0</v>
      </c>
      <c r="O62" s="413">
        <v>0</v>
      </c>
    </row>
    <row r="63" spans="1:15">
      <c r="A63" s="368"/>
      <c r="B63" s="560" t="s">
        <v>1011</v>
      </c>
      <c r="C63" s="557" t="s">
        <v>1010</v>
      </c>
      <c r="D63" s="413">
        <v>0</v>
      </c>
      <c r="E63" s="413">
        <v>0</v>
      </c>
      <c r="F63" s="413"/>
      <c r="G63" s="413">
        <v>0</v>
      </c>
      <c r="H63" s="413"/>
      <c r="I63" s="413">
        <v>0</v>
      </c>
      <c r="J63" s="413">
        <v>0</v>
      </c>
      <c r="K63" s="413">
        <v>0</v>
      </c>
      <c r="L63" s="413">
        <v>0</v>
      </c>
      <c r="M63" s="413">
        <v>0</v>
      </c>
      <c r="N63" s="413">
        <v>0</v>
      </c>
      <c r="O63" s="413">
        <v>0</v>
      </c>
    </row>
    <row r="64" spans="1:15">
      <c r="A64" s="368"/>
      <c r="B64" s="560" t="s">
        <v>43</v>
      </c>
      <c r="C64" s="557" t="s">
        <v>1010</v>
      </c>
      <c r="D64" s="413">
        <v>0</v>
      </c>
      <c r="E64" s="413">
        <v>0</v>
      </c>
      <c r="F64" s="413"/>
      <c r="G64" s="413">
        <v>0</v>
      </c>
      <c r="H64" s="413"/>
      <c r="I64" s="413">
        <v>0</v>
      </c>
      <c r="J64" s="413">
        <v>0</v>
      </c>
      <c r="K64" s="413">
        <v>0</v>
      </c>
      <c r="L64" s="413">
        <v>0</v>
      </c>
      <c r="M64" s="413">
        <v>0</v>
      </c>
      <c r="N64" s="413">
        <v>0</v>
      </c>
      <c r="O64" s="413">
        <v>0</v>
      </c>
    </row>
    <row r="65" spans="1:15">
      <c r="A65" s="368"/>
      <c r="B65" s="560" t="s">
        <v>46</v>
      </c>
      <c r="C65" s="557" t="s">
        <v>1010</v>
      </c>
      <c r="D65" s="413">
        <f t="shared" ref="D65:E65" si="29">SUM(D66:D70)</f>
        <v>8.5000000000000006E-2</v>
      </c>
      <c r="E65" s="413">
        <f t="shared" si="29"/>
        <v>8.5000000000000006E-2</v>
      </c>
      <c r="F65" s="413"/>
      <c r="G65" s="413">
        <f t="shared" ref="G65" si="30">SUM(G66:G70)</f>
        <v>8.5000000000000006E-2</v>
      </c>
      <c r="H65" s="413"/>
      <c r="I65" s="413">
        <f t="shared" ref="I65:O65" si="31">SUM(I66:I70)</f>
        <v>8.5000000000000006E-2</v>
      </c>
      <c r="J65" s="413">
        <f t="shared" si="31"/>
        <v>8.5000000000000006E-2</v>
      </c>
      <c r="K65" s="413">
        <f t="shared" si="31"/>
        <v>8.5000000000000006E-2</v>
      </c>
      <c r="L65" s="413">
        <f t="shared" si="31"/>
        <v>8.5000000000000006E-2</v>
      </c>
      <c r="M65" s="413">
        <f t="shared" si="31"/>
        <v>8.5000000000000006E-2</v>
      </c>
      <c r="N65" s="413">
        <f t="shared" si="31"/>
        <v>8.5000000000000006E-2</v>
      </c>
      <c r="O65" s="413">
        <f t="shared" si="31"/>
        <v>8.5000000000000006E-2</v>
      </c>
    </row>
    <row r="66" spans="1:15">
      <c r="A66" s="368"/>
      <c r="B66" s="560" t="s">
        <v>1014</v>
      </c>
      <c r="C66" s="557" t="s">
        <v>1010</v>
      </c>
      <c r="D66" s="413">
        <v>0</v>
      </c>
      <c r="E66" s="413">
        <v>0</v>
      </c>
      <c r="F66" s="413"/>
      <c r="G66" s="413">
        <v>0</v>
      </c>
      <c r="H66" s="413"/>
      <c r="I66" s="413">
        <v>0</v>
      </c>
      <c r="J66" s="413">
        <v>0</v>
      </c>
      <c r="K66" s="413">
        <v>0</v>
      </c>
      <c r="L66" s="413">
        <v>0</v>
      </c>
      <c r="M66" s="413">
        <v>0</v>
      </c>
      <c r="N66" s="413">
        <v>0</v>
      </c>
      <c r="O66" s="413">
        <v>0</v>
      </c>
    </row>
    <row r="67" spans="1:15">
      <c r="A67" s="368"/>
      <c r="B67" s="560" t="s">
        <v>1013</v>
      </c>
      <c r="C67" s="557" t="s">
        <v>1010</v>
      </c>
      <c r="D67" s="413">
        <v>8.5000000000000006E-2</v>
      </c>
      <c r="E67" s="413">
        <v>8.5000000000000006E-2</v>
      </c>
      <c r="F67" s="413"/>
      <c r="G67" s="413">
        <v>8.5000000000000006E-2</v>
      </c>
      <c r="H67" s="413"/>
      <c r="I67" s="413">
        <v>8.5000000000000006E-2</v>
      </c>
      <c r="J67" s="413">
        <v>8.5000000000000006E-2</v>
      </c>
      <c r="K67" s="413">
        <v>8.5000000000000006E-2</v>
      </c>
      <c r="L67" s="413">
        <v>8.5000000000000006E-2</v>
      </c>
      <c r="M67" s="413">
        <v>8.5000000000000006E-2</v>
      </c>
      <c r="N67" s="413">
        <v>8.5000000000000006E-2</v>
      </c>
      <c r="O67" s="413">
        <v>8.5000000000000006E-2</v>
      </c>
    </row>
    <row r="68" spans="1:15">
      <c r="A68" s="368"/>
      <c r="B68" s="560" t="s">
        <v>1012</v>
      </c>
      <c r="C68" s="557" t="s">
        <v>1010</v>
      </c>
      <c r="D68" s="413">
        <v>0</v>
      </c>
      <c r="E68" s="413">
        <v>0</v>
      </c>
      <c r="F68" s="413"/>
      <c r="G68" s="413">
        <v>0</v>
      </c>
      <c r="H68" s="413"/>
      <c r="I68" s="413">
        <v>0</v>
      </c>
      <c r="J68" s="413">
        <v>0</v>
      </c>
      <c r="K68" s="413">
        <v>0</v>
      </c>
      <c r="L68" s="413">
        <v>0</v>
      </c>
      <c r="M68" s="413">
        <v>0</v>
      </c>
      <c r="N68" s="413">
        <v>0</v>
      </c>
      <c r="O68" s="413">
        <v>0</v>
      </c>
    </row>
    <row r="69" spans="1:15">
      <c r="A69" s="368"/>
      <c r="B69" s="560" t="s">
        <v>1011</v>
      </c>
      <c r="C69" s="557" t="s">
        <v>1010</v>
      </c>
      <c r="D69" s="413">
        <v>0</v>
      </c>
      <c r="E69" s="413">
        <v>0</v>
      </c>
      <c r="F69" s="413"/>
      <c r="G69" s="413">
        <v>0</v>
      </c>
      <c r="H69" s="413"/>
      <c r="I69" s="413">
        <v>0</v>
      </c>
      <c r="J69" s="413">
        <v>0</v>
      </c>
      <c r="K69" s="413">
        <v>0</v>
      </c>
      <c r="L69" s="413">
        <v>0</v>
      </c>
      <c r="M69" s="413">
        <v>0</v>
      </c>
      <c r="N69" s="413">
        <v>0</v>
      </c>
      <c r="O69" s="413">
        <v>0</v>
      </c>
    </row>
    <row r="70" spans="1:15">
      <c r="A70" s="368"/>
      <c r="B70" s="560" t="s">
        <v>43</v>
      </c>
      <c r="C70" s="557" t="s">
        <v>1010</v>
      </c>
      <c r="D70" s="413">
        <v>0</v>
      </c>
      <c r="E70" s="413">
        <v>0</v>
      </c>
      <c r="F70" s="413"/>
      <c r="G70" s="413">
        <v>0</v>
      </c>
      <c r="H70" s="413"/>
      <c r="I70" s="413">
        <v>0</v>
      </c>
      <c r="J70" s="413">
        <v>0</v>
      </c>
      <c r="K70" s="413">
        <v>0</v>
      </c>
      <c r="L70" s="413">
        <v>0</v>
      </c>
      <c r="M70" s="413">
        <v>0</v>
      </c>
      <c r="N70" s="413">
        <v>0</v>
      </c>
      <c r="O70" s="413">
        <v>0</v>
      </c>
    </row>
    <row r="71" spans="1:15">
      <c r="A71" s="1069"/>
      <c r="B71" s="1070"/>
      <c r="C71" s="1070"/>
      <c r="D71" s="1070"/>
      <c r="E71" s="1070"/>
      <c r="F71" s="1070"/>
      <c r="G71" s="1070"/>
      <c r="H71" s="1070"/>
      <c r="I71" s="1070"/>
      <c r="J71" s="1070"/>
      <c r="K71" s="1070"/>
      <c r="L71" s="1070"/>
      <c r="M71" s="1070"/>
      <c r="N71" s="1070"/>
      <c r="O71" s="1070"/>
    </row>
    <row r="72" spans="1:15">
      <c r="A72" s="368"/>
      <c r="B72" s="1067" t="s">
        <v>1064</v>
      </c>
      <c r="C72" s="558" t="s">
        <v>1010</v>
      </c>
      <c r="D72" s="1385">
        <f t="shared" ref="D72:G72" si="32">D73+D79</f>
        <v>16.23</v>
      </c>
      <c r="E72" s="1385">
        <f t="shared" si="32"/>
        <v>16.23</v>
      </c>
      <c r="F72" s="1385"/>
      <c r="G72" s="1385">
        <f t="shared" si="32"/>
        <v>16.23</v>
      </c>
      <c r="H72" s="1385"/>
      <c r="I72" s="1385">
        <f t="shared" ref="I72:L72" si="33">I73+I79</f>
        <v>16.23</v>
      </c>
      <c r="J72" s="1385">
        <f t="shared" si="33"/>
        <v>16.23</v>
      </c>
      <c r="K72" s="1385">
        <f t="shared" si="33"/>
        <v>16.23</v>
      </c>
      <c r="L72" s="1385">
        <f t="shared" si="33"/>
        <v>16.23</v>
      </c>
      <c r="M72" s="1385">
        <f t="shared" ref="M72:O72" si="34">M73+M79</f>
        <v>16.23</v>
      </c>
      <c r="N72" s="1385">
        <f t="shared" si="34"/>
        <v>16.23</v>
      </c>
      <c r="O72" s="1385">
        <f t="shared" si="34"/>
        <v>16.23</v>
      </c>
    </row>
    <row r="73" spans="1:15">
      <c r="A73" s="368"/>
      <c r="B73" s="556" t="s">
        <v>38</v>
      </c>
      <c r="C73" s="557" t="s">
        <v>1010</v>
      </c>
      <c r="D73" s="413">
        <f t="shared" ref="D73:E73" si="35">SUM(D74:D78)</f>
        <v>10.494</v>
      </c>
      <c r="E73" s="413">
        <f t="shared" si="35"/>
        <v>10.494</v>
      </c>
      <c r="F73" s="413"/>
      <c r="G73" s="413">
        <f t="shared" ref="G73" si="36">SUM(G74:G78)</f>
        <v>10.494</v>
      </c>
      <c r="H73" s="413"/>
      <c r="I73" s="413">
        <f t="shared" ref="I73:O73" si="37">SUM(I74:I78)</f>
        <v>10.494</v>
      </c>
      <c r="J73" s="413">
        <f t="shared" si="37"/>
        <v>10.494</v>
      </c>
      <c r="K73" s="413">
        <f t="shared" si="37"/>
        <v>10.494</v>
      </c>
      <c r="L73" s="413">
        <f t="shared" si="37"/>
        <v>10.494</v>
      </c>
      <c r="M73" s="413">
        <f t="shared" si="37"/>
        <v>10.494</v>
      </c>
      <c r="N73" s="413">
        <f t="shared" si="37"/>
        <v>10.494</v>
      </c>
      <c r="O73" s="413">
        <f t="shared" si="37"/>
        <v>10.494</v>
      </c>
    </row>
    <row r="74" spans="1:15">
      <c r="A74" s="368"/>
      <c r="B74" s="560" t="s">
        <v>1014</v>
      </c>
      <c r="C74" s="557" t="s">
        <v>1010</v>
      </c>
      <c r="D74" s="413">
        <v>6.02</v>
      </c>
      <c r="E74" s="413">
        <v>6.02</v>
      </c>
      <c r="F74" s="413"/>
      <c r="G74" s="413">
        <v>6.02</v>
      </c>
      <c r="H74" s="413"/>
      <c r="I74" s="413">
        <v>6.02</v>
      </c>
      <c r="J74" s="413">
        <v>6.02</v>
      </c>
      <c r="K74" s="413">
        <v>6.02</v>
      </c>
      <c r="L74" s="413">
        <v>6.02</v>
      </c>
      <c r="M74" s="413">
        <v>6.02</v>
      </c>
      <c r="N74" s="413">
        <v>6.02</v>
      </c>
      <c r="O74" s="413">
        <v>6.02</v>
      </c>
    </row>
    <row r="75" spans="1:15">
      <c r="A75" s="368"/>
      <c r="B75" s="560" t="s">
        <v>1013</v>
      </c>
      <c r="C75" s="557" t="s">
        <v>1010</v>
      </c>
      <c r="D75" s="413">
        <v>4.4740000000000002</v>
      </c>
      <c r="E75" s="413">
        <v>4.4740000000000002</v>
      </c>
      <c r="F75" s="413"/>
      <c r="G75" s="413">
        <v>4.4740000000000002</v>
      </c>
      <c r="H75" s="413"/>
      <c r="I75" s="413">
        <v>4.4740000000000002</v>
      </c>
      <c r="J75" s="413">
        <v>4.4740000000000002</v>
      </c>
      <c r="K75" s="413">
        <v>4.4740000000000002</v>
      </c>
      <c r="L75" s="413">
        <v>4.4740000000000002</v>
      </c>
      <c r="M75" s="413">
        <v>4.4740000000000002</v>
      </c>
      <c r="N75" s="413">
        <v>4.4740000000000002</v>
      </c>
      <c r="O75" s="413">
        <v>4.4740000000000002</v>
      </c>
    </row>
    <row r="76" spans="1:15">
      <c r="A76" s="368"/>
      <c r="B76" s="560" t="s">
        <v>1012</v>
      </c>
      <c r="C76" s="557" t="s">
        <v>1010</v>
      </c>
      <c r="D76" s="413">
        <v>0</v>
      </c>
      <c r="E76" s="413">
        <v>0</v>
      </c>
      <c r="F76" s="413"/>
      <c r="G76" s="413">
        <v>0</v>
      </c>
      <c r="H76" s="413"/>
      <c r="I76" s="413">
        <v>0</v>
      </c>
      <c r="J76" s="413">
        <v>0</v>
      </c>
      <c r="K76" s="413">
        <v>0</v>
      </c>
      <c r="L76" s="413">
        <v>0</v>
      </c>
      <c r="M76" s="413">
        <v>0</v>
      </c>
      <c r="N76" s="413">
        <v>0</v>
      </c>
      <c r="O76" s="413">
        <v>0</v>
      </c>
    </row>
    <row r="77" spans="1:15">
      <c r="A77" s="368"/>
      <c r="B77" s="560" t="s">
        <v>1011</v>
      </c>
      <c r="C77" s="557" t="s">
        <v>1010</v>
      </c>
      <c r="D77" s="413">
        <v>0</v>
      </c>
      <c r="E77" s="413">
        <v>0</v>
      </c>
      <c r="F77" s="413"/>
      <c r="G77" s="413">
        <v>0</v>
      </c>
      <c r="H77" s="413"/>
      <c r="I77" s="413">
        <v>0</v>
      </c>
      <c r="J77" s="413">
        <v>0</v>
      </c>
      <c r="K77" s="413">
        <v>0</v>
      </c>
      <c r="L77" s="413">
        <v>0</v>
      </c>
      <c r="M77" s="413">
        <v>0</v>
      </c>
      <c r="N77" s="413">
        <v>0</v>
      </c>
      <c r="O77" s="413">
        <v>0</v>
      </c>
    </row>
    <row r="78" spans="1:15">
      <c r="A78" s="368"/>
      <c r="B78" s="560" t="s">
        <v>43</v>
      </c>
      <c r="C78" s="557" t="s">
        <v>1010</v>
      </c>
      <c r="D78" s="413">
        <v>0</v>
      </c>
      <c r="E78" s="413">
        <v>0</v>
      </c>
      <c r="F78" s="413"/>
      <c r="G78" s="413">
        <v>0</v>
      </c>
      <c r="H78" s="413"/>
      <c r="I78" s="413">
        <v>0</v>
      </c>
      <c r="J78" s="413">
        <v>0</v>
      </c>
      <c r="K78" s="413">
        <v>0</v>
      </c>
      <c r="L78" s="413">
        <v>0</v>
      </c>
      <c r="M78" s="413">
        <v>0</v>
      </c>
      <c r="N78" s="413">
        <v>0</v>
      </c>
      <c r="O78" s="413">
        <v>0</v>
      </c>
    </row>
    <row r="79" spans="1:15">
      <c r="A79" s="368"/>
      <c r="B79" s="561" t="s">
        <v>44</v>
      </c>
      <c r="C79" s="557" t="s">
        <v>1010</v>
      </c>
      <c r="D79" s="413">
        <f t="shared" ref="D79:E79" si="38">SUM(D80,D86)</f>
        <v>5.7360000000000007</v>
      </c>
      <c r="E79" s="413">
        <f t="shared" si="38"/>
        <v>5.7360000000000007</v>
      </c>
      <c r="F79" s="413"/>
      <c r="G79" s="413">
        <f t="shared" ref="G79" si="39">SUM(G80,G86)</f>
        <v>5.7360000000000007</v>
      </c>
      <c r="H79" s="413"/>
      <c r="I79" s="413">
        <f t="shared" ref="I79:O79" si="40">SUM(I80,I86)</f>
        <v>5.7360000000000007</v>
      </c>
      <c r="J79" s="413">
        <f t="shared" si="40"/>
        <v>5.7360000000000007</v>
      </c>
      <c r="K79" s="413">
        <f t="shared" si="40"/>
        <v>5.7360000000000007</v>
      </c>
      <c r="L79" s="413">
        <f t="shared" si="40"/>
        <v>5.7360000000000007</v>
      </c>
      <c r="M79" s="413">
        <f t="shared" si="40"/>
        <v>5.7360000000000007</v>
      </c>
      <c r="N79" s="413">
        <f t="shared" si="40"/>
        <v>5.7360000000000007</v>
      </c>
      <c r="O79" s="413">
        <f t="shared" si="40"/>
        <v>5.7360000000000007</v>
      </c>
    </row>
    <row r="80" spans="1:15">
      <c r="A80" s="368"/>
      <c r="B80" s="560" t="s">
        <v>45</v>
      </c>
      <c r="C80" s="557" t="s">
        <v>1010</v>
      </c>
      <c r="D80" s="413">
        <f t="shared" ref="D80:E80" si="41">SUM(D81:D85)</f>
        <v>5.7360000000000007</v>
      </c>
      <c r="E80" s="413">
        <f t="shared" si="41"/>
        <v>5.7360000000000007</v>
      </c>
      <c r="F80" s="413"/>
      <c r="G80" s="413">
        <f t="shared" ref="G80" si="42">SUM(G81:G85)</f>
        <v>5.7360000000000007</v>
      </c>
      <c r="H80" s="413"/>
      <c r="I80" s="413">
        <f t="shared" ref="I80:O80" si="43">SUM(I81:I85)</f>
        <v>5.7360000000000007</v>
      </c>
      <c r="J80" s="413">
        <f t="shared" si="43"/>
        <v>5.7360000000000007</v>
      </c>
      <c r="K80" s="413">
        <f t="shared" si="43"/>
        <v>5.7360000000000007</v>
      </c>
      <c r="L80" s="413">
        <f t="shared" si="43"/>
        <v>5.7360000000000007</v>
      </c>
      <c r="M80" s="413">
        <f t="shared" si="43"/>
        <v>5.7360000000000007</v>
      </c>
      <c r="N80" s="413">
        <f t="shared" si="43"/>
        <v>5.7360000000000007</v>
      </c>
      <c r="O80" s="413">
        <f t="shared" si="43"/>
        <v>5.7360000000000007</v>
      </c>
    </row>
    <row r="81" spans="1:15">
      <c r="A81" s="368"/>
      <c r="B81" s="560" t="s">
        <v>1014</v>
      </c>
      <c r="C81" s="557" t="s">
        <v>1010</v>
      </c>
      <c r="D81" s="557">
        <v>3.431</v>
      </c>
      <c r="E81" s="557">
        <v>3.431</v>
      </c>
      <c r="F81" s="557"/>
      <c r="G81" s="557">
        <v>3.431</v>
      </c>
      <c r="H81" s="557"/>
      <c r="I81" s="557">
        <v>3.431</v>
      </c>
      <c r="J81" s="557">
        <v>3.431</v>
      </c>
      <c r="K81" s="557">
        <v>3.431</v>
      </c>
      <c r="L81" s="557">
        <v>3.431</v>
      </c>
      <c r="M81" s="557">
        <v>3.431</v>
      </c>
      <c r="N81" s="557">
        <v>3.431</v>
      </c>
      <c r="O81" s="557">
        <v>3.431</v>
      </c>
    </row>
    <row r="82" spans="1:15">
      <c r="A82" s="368"/>
      <c r="B82" s="560" t="s">
        <v>1013</v>
      </c>
      <c r="C82" s="557" t="s">
        <v>1010</v>
      </c>
      <c r="D82" s="413">
        <v>2.3050000000000002</v>
      </c>
      <c r="E82" s="413">
        <v>2.3050000000000002</v>
      </c>
      <c r="F82" s="413"/>
      <c r="G82" s="413">
        <v>2.3050000000000002</v>
      </c>
      <c r="H82" s="413"/>
      <c r="I82" s="413">
        <v>2.3050000000000002</v>
      </c>
      <c r="J82" s="413">
        <v>2.3050000000000002</v>
      </c>
      <c r="K82" s="413">
        <v>2.3050000000000002</v>
      </c>
      <c r="L82" s="413">
        <v>2.3050000000000002</v>
      </c>
      <c r="M82" s="413">
        <v>2.3050000000000002</v>
      </c>
      <c r="N82" s="413">
        <v>2.3050000000000002</v>
      </c>
      <c r="O82" s="413">
        <v>2.3050000000000002</v>
      </c>
    </row>
    <row r="83" spans="1:15">
      <c r="A83" s="368"/>
      <c r="B83" s="560" t="s">
        <v>1012</v>
      </c>
      <c r="C83" s="557" t="s">
        <v>1010</v>
      </c>
      <c r="D83" s="413">
        <v>0</v>
      </c>
      <c r="E83" s="413">
        <v>0</v>
      </c>
      <c r="F83" s="413"/>
      <c r="G83" s="413">
        <v>0</v>
      </c>
      <c r="H83" s="413"/>
      <c r="I83" s="413">
        <v>0</v>
      </c>
      <c r="J83" s="413">
        <v>0</v>
      </c>
      <c r="K83" s="413">
        <v>0</v>
      </c>
      <c r="L83" s="413">
        <v>0</v>
      </c>
      <c r="M83" s="413">
        <v>0</v>
      </c>
      <c r="N83" s="413">
        <v>0</v>
      </c>
      <c r="O83" s="413">
        <v>0</v>
      </c>
    </row>
    <row r="84" spans="1:15">
      <c r="A84" s="368"/>
      <c r="B84" s="560" t="s">
        <v>1011</v>
      </c>
      <c r="C84" s="557" t="s">
        <v>1010</v>
      </c>
      <c r="D84" s="413">
        <v>0</v>
      </c>
      <c r="E84" s="413">
        <v>0</v>
      </c>
      <c r="F84" s="413"/>
      <c r="G84" s="413">
        <v>0</v>
      </c>
      <c r="H84" s="413"/>
      <c r="I84" s="413">
        <v>0</v>
      </c>
      <c r="J84" s="413">
        <v>0</v>
      </c>
      <c r="K84" s="413">
        <v>0</v>
      </c>
      <c r="L84" s="413">
        <v>0</v>
      </c>
      <c r="M84" s="413">
        <v>0</v>
      </c>
      <c r="N84" s="413">
        <v>0</v>
      </c>
      <c r="O84" s="413">
        <v>0</v>
      </c>
    </row>
    <row r="85" spans="1:15">
      <c r="A85" s="368"/>
      <c r="B85" s="560" t="s">
        <v>43</v>
      </c>
      <c r="C85" s="557" t="s">
        <v>1010</v>
      </c>
      <c r="D85" s="413">
        <v>0</v>
      </c>
      <c r="E85" s="413">
        <v>0</v>
      </c>
      <c r="F85" s="413"/>
      <c r="G85" s="413">
        <v>0</v>
      </c>
      <c r="H85" s="413"/>
      <c r="I85" s="413">
        <v>0</v>
      </c>
      <c r="J85" s="413">
        <v>0</v>
      </c>
      <c r="K85" s="413">
        <v>0</v>
      </c>
      <c r="L85" s="413">
        <v>0</v>
      </c>
      <c r="M85" s="413">
        <v>0</v>
      </c>
      <c r="N85" s="413">
        <v>0</v>
      </c>
      <c r="O85" s="413">
        <v>0</v>
      </c>
    </row>
    <row r="86" spans="1:15">
      <c r="A86" s="368"/>
      <c r="B86" s="560" t="s">
        <v>46</v>
      </c>
      <c r="C86" s="557" t="s">
        <v>1010</v>
      </c>
      <c r="D86" s="413">
        <f t="shared" ref="D86:E86" si="44">SUM(D87:D91)</f>
        <v>0</v>
      </c>
      <c r="E86" s="413">
        <f t="shared" si="44"/>
        <v>0</v>
      </c>
      <c r="F86" s="413"/>
      <c r="G86" s="413">
        <f t="shared" ref="G86" si="45">SUM(G87:G91)</f>
        <v>0</v>
      </c>
      <c r="H86" s="413"/>
      <c r="I86" s="413">
        <f t="shared" ref="I86:O86" si="46">SUM(I87:I91)</f>
        <v>0</v>
      </c>
      <c r="J86" s="413">
        <f t="shared" si="46"/>
        <v>0</v>
      </c>
      <c r="K86" s="413">
        <f t="shared" si="46"/>
        <v>0</v>
      </c>
      <c r="L86" s="413">
        <f t="shared" si="46"/>
        <v>0</v>
      </c>
      <c r="M86" s="413">
        <f t="shared" si="46"/>
        <v>0</v>
      </c>
      <c r="N86" s="413">
        <f t="shared" si="46"/>
        <v>0</v>
      </c>
      <c r="O86" s="413">
        <f t="shared" si="46"/>
        <v>0</v>
      </c>
    </row>
    <row r="87" spans="1:15">
      <c r="A87" s="368"/>
      <c r="B87" s="560" t="s">
        <v>1014</v>
      </c>
      <c r="C87" s="557" t="s">
        <v>1010</v>
      </c>
      <c r="D87" s="413">
        <v>0</v>
      </c>
      <c r="E87" s="413">
        <v>0</v>
      </c>
      <c r="F87" s="413"/>
      <c r="G87" s="413">
        <v>0</v>
      </c>
      <c r="H87" s="413"/>
      <c r="I87" s="413">
        <v>0</v>
      </c>
      <c r="J87" s="413">
        <v>0</v>
      </c>
      <c r="K87" s="413">
        <v>0</v>
      </c>
      <c r="L87" s="413">
        <v>0</v>
      </c>
      <c r="M87" s="413">
        <v>0</v>
      </c>
      <c r="N87" s="413">
        <v>0</v>
      </c>
      <c r="O87" s="413">
        <v>0</v>
      </c>
    </row>
    <row r="88" spans="1:15">
      <c r="A88" s="368"/>
      <c r="B88" s="560" t="s">
        <v>1013</v>
      </c>
      <c r="C88" s="557" t="s">
        <v>1010</v>
      </c>
      <c r="D88" s="413">
        <v>0</v>
      </c>
      <c r="E88" s="413">
        <v>0</v>
      </c>
      <c r="F88" s="413"/>
      <c r="G88" s="413">
        <v>0</v>
      </c>
      <c r="H88" s="413"/>
      <c r="I88" s="413">
        <v>0</v>
      </c>
      <c r="J88" s="413">
        <v>0</v>
      </c>
      <c r="K88" s="413">
        <v>0</v>
      </c>
      <c r="L88" s="413">
        <v>0</v>
      </c>
      <c r="M88" s="413">
        <v>0</v>
      </c>
      <c r="N88" s="413">
        <v>0</v>
      </c>
      <c r="O88" s="413">
        <v>0</v>
      </c>
    </row>
    <row r="89" spans="1:15">
      <c r="A89" s="368"/>
      <c r="B89" s="560" t="s">
        <v>1012</v>
      </c>
      <c r="C89" s="557" t="s">
        <v>1010</v>
      </c>
      <c r="D89" s="413">
        <v>0</v>
      </c>
      <c r="E89" s="413">
        <v>0</v>
      </c>
      <c r="F89" s="413"/>
      <c r="G89" s="413">
        <v>0</v>
      </c>
      <c r="H89" s="413"/>
      <c r="I89" s="413">
        <v>0</v>
      </c>
      <c r="J89" s="413">
        <v>0</v>
      </c>
      <c r="K89" s="413">
        <v>0</v>
      </c>
      <c r="L89" s="413">
        <v>0</v>
      </c>
      <c r="M89" s="413">
        <v>0</v>
      </c>
      <c r="N89" s="413">
        <v>0</v>
      </c>
      <c r="O89" s="413">
        <v>0</v>
      </c>
    </row>
    <row r="90" spans="1:15">
      <c r="A90" s="368"/>
      <c r="B90" s="560" t="s">
        <v>1011</v>
      </c>
      <c r="C90" s="557" t="s">
        <v>1010</v>
      </c>
      <c r="D90" s="413">
        <v>0</v>
      </c>
      <c r="E90" s="413">
        <v>0</v>
      </c>
      <c r="F90" s="413"/>
      <c r="G90" s="413">
        <v>0</v>
      </c>
      <c r="H90" s="413"/>
      <c r="I90" s="413">
        <v>0</v>
      </c>
      <c r="J90" s="413">
        <v>0</v>
      </c>
      <c r="K90" s="413">
        <v>0</v>
      </c>
      <c r="L90" s="413">
        <v>0</v>
      </c>
      <c r="M90" s="413">
        <v>0</v>
      </c>
      <c r="N90" s="413">
        <v>0</v>
      </c>
      <c r="O90" s="413">
        <v>0</v>
      </c>
    </row>
    <row r="91" spans="1:15">
      <c r="A91" s="368"/>
      <c r="B91" s="560" t="s">
        <v>43</v>
      </c>
      <c r="C91" s="557" t="s">
        <v>1010</v>
      </c>
      <c r="D91" s="413">
        <v>0</v>
      </c>
      <c r="E91" s="413">
        <v>0</v>
      </c>
      <c r="F91" s="413"/>
      <c r="G91" s="413">
        <v>0</v>
      </c>
      <c r="H91" s="413"/>
      <c r="I91" s="413">
        <v>0</v>
      </c>
      <c r="J91" s="413">
        <v>0</v>
      </c>
      <c r="K91" s="413">
        <v>0</v>
      </c>
      <c r="L91" s="413">
        <v>0</v>
      </c>
      <c r="M91" s="413">
        <v>0</v>
      </c>
      <c r="N91" s="413">
        <v>0</v>
      </c>
      <c r="O91" s="413">
        <v>0</v>
      </c>
    </row>
    <row r="92" spans="1:15">
      <c r="A92" s="1069"/>
      <c r="B92" s="1070"/>
      <c r="C92" s="1070"/>
      <c r="D92" s="1070"/>
      <c r="E92" s="1070"/>
      <c r="F92" s="1070"/>
      <c r="G92" s="1070"/>
      <c r="H92" s="1070"/>
      <c r="I92" s="1070"/>
      <c r="J92" s="1070"/>
      <c r="K92" s="1070"/>
      <c r="L92" s="1071"/>
      <c r="M92" s="1070"/>
      <c r="N92" s="1070"/>
      <c r="O92" s="1070"/>
    </row>
    <row r="93" spans="1:15">
      <c r="A93" s="368"/>
      <c r="B93" s="1067" t="s">
        <v>1065</v>
      </c>
      <c r="C93" s="558" t="s">
        <v>1010</v>
      </c>
      <c r="D93" s="435">
        <f t="shared" ref="D93:G93" si="47">D94+D100</f>
        <v>21.426000000000002</v>
      </c>
      <c r="E93" s="435">
        <f t="shared" si="47"/>
        <v>21.426000000000002</v>
      </c>
      <c r="F93" s="435"/>
      <c r="G93" s="435">
        <f t="shared" si="47"/>
        <v>21.426000000000002</v>
      </c>
      <c r="H93" s="435"/>
      <c r="I93" s="435">
        <f t="shared" ref="I93:L93" si="48">I94+I100</f>
        <v>21.426000000000002</v>
      </c>
      <c r="J93" s="435">
        <f t="shared" si="48"/>
        <v>21.426000000000002</v>
      </c>
      <c r="K93" s="435">
        <f t="shared" si="48"/>
        <v>21.426000000000002</v>
      </c>
      <c r="L93" s="435">
        <f t="shared" si="48"/>
        <v>21.426000000000002</v>
      </c>
      <c r="M93" s="435">
        <f t="shared" ref="M93:O93" si="49">M94+M100</f>
        <v>21.426000000000002</v>
      </c>
      <c r="N93" s="435">
        <f t="shared" si="49"/>
        <v>21.426000000000002</v>
      </c>
      <c r="O93" s="435">
        <f t="shared" si="49"/>
        <v>21.426000000000002</v>
      </c>
    </row>
    <row r="94" spans="1:15">
      <c r="A94" s="368"/>
      <c r="B94" s="556" t="s">
        <v>38</v>
      </c>
      <c r="C94" s="557" t="s">
        <v>1010</v>
      </c>
      <c r="D94" s="413">
        <f t="shared" ref="D94:E94" si="50">SUM(D95:D99)</f>
        <v>4.9630000000000001</v>
      </c>
      <c r="E94" s="413">
        <f t="shared" si="50"/>
        <v>4.9630000000000001</v>
      </c>
      <c r="F94" s="413"/>
      <c r="G94" s="413">
        <f t="shared" ref="G94" si="51">SUM(G95:G99)</f>
        <v>4.9630000000000001</v>
      </c>
      <c r="H94" s="413"/>
      <c r="I94" s="413">
        <f t="shared" ref="I94:O94" si="52">SUM(I95:I99)</f>
        <v>4.9630000000000001</v>
      </c>
      <c r="J94" s="413">
        <f t="shared" si="52"/>
        <v>4.9630000000000001</v>
      </c>
      <c r="K94" s="413">
        <f t="shared" si="52"/>
        <v>4.9630000000000001</v>
      </c>
      <c r="L94" s="413">
        <f t="shared" si="52"/>
        <v>4.9630000000000001</v>
      </c>
      <c r="M94" s="413">
        <f t="shared" si="52"/>
        <v>4.9630000000000001</v>
      </c>
      <c r="N94" s="413">
        <f t="shared" si="52"/>
        <v>4.9630000000000001</v>
      </c>
      <c r="O94" s="413">
        <f t="shared" si="52"/>
        <v>4.9630000000000001</v>
      </c>
    </row>
    <row r="95" spans="1:15">
      <c r="A95" s="368"/>
      <c r="B95" s="560" t="s">
        <v>1014</v>
      </c>
      <c r="C95" s="557" t="s">
        <v>1010</v>
      </c>
      <c r="D95" s="413">
        <v>4.32</v>
      </c>
      <c r="E95" s="413">
        <v>4.32</v>
      </c>
      <c r="F95" s="413"/>
      <c r="G95" s="413">
        <v>4.32</v>
      </c>
      <c r="H95" s="413"/>
      <c r="I95" s="413">
        <v>4.32</v>
      </c>
      <c r="J95" s="413">
        <v>4.32</v>
      </c>
      <c r="K95" s="413">
        <v>4.32</v>
      </c>
      <c r="L95" s="413">
        <v>4.32</v>
      </c>
      <c r="M95" s="413">
        <v>4.32</v>
      </c>
      <c r="N95" s="413">
        <v>4.32</v>
      </c>
      <c r="O95" s="413">
        <v>4.32</v>
      </c>
    </row>
    <row r="96" spans="1:15">
      <c r="A96" s="368"/>
      <c r="B96" s="560" t="s">
        <v>1013</v>
      </c>
      <c r="C96" s="557" t="s">
        <v>1010</v>
      </c>
      <c r="D96" s="413">
        <v>0.64300000000000002</v>
      </c>
      <c r="E96" s="413">
        <v>0.64300000000000002</v>
      </c>
      <c r="F96" s="413"/>
      <c r="G96" s="413">
        <v>0.64300000000000002</v>
      </c>
      <c r="H96" s="413"/>
      <c r="I96" s="413">
        <v>0.64300000000000002</v>
      </c>
      <c r="J96" s="413">
        <v>0.64300000000000002</v>
      </c>
      <c r="K96" s="413">
        <v>0.64300000000000002</v>
      </c>
      <c r="L96" s="413">
        <v>0.64300000000000002</v>
      </c>
      <c r="M96" s="413">
        <v>0.64300000000000002</v>
      </c>
      <c r="N96" s="413">
        <v>0.64300000000000002</v>
      </c>
      <c r="O96" s="413">
        <v>0.64300000000000002</v>
      </c>
    </row>
    <row r="97" spans="1:15">
      <c r="A97" s="368"/>
      <c r="B97" s="560" t="s">
        <v>1012</v>
      </c>
      <c r="C97" s="557" t="s">
        <v>1010</v>
      </c>
      <c r="D97" s="413">
        <v>0</v>
      </c>
      <c r="E97" s="413">
        <v>0</v>
      </c>
      <c r="F97" s="413"/>
      <c r="G97" s="413">
        <v>0</v>
      </c>
      <c r="H97" s="413"/>
      <c r="I97" s="413">
        <v>0</v>
      </c>
      <c r="J97" s="413">
        <v>0</v>
      </c>
      <c r="K97" s="413">
        <v>0</v>
      </c>
      <c r="L97" s="413">
        <v>0</v>
      </c>
      <c r="M97" s="413">
        <v>0</v>
      </c>
      <c r="N97" s="413">
        <v>0</v>
      </c>
      <c r="O97" s="413">
        <v>0</v>
      </c>
    </row>
    <row r="98" spans="1:15">
      <c r="A98" s="368"/>
      <c r="B98" s="560" t="s">
        <v>1011</v>
      </c>
      <c r="C98" s="557" t="s">
        <v>1010</v>
      </c>
      <c r="D98" s="413">
        <v>0</v>
      </c>
      <c r="E98" s="413">
        <v>0</v>
      </c>
      <c r="F98" s="413"/>
      <c r="G98" s="413">
        <v>0</v>
      </c>
      <c r="H98" s="413"/>
      <c r="I98" s="413">
        <v>0</v>
      </c>
      <c r="J98" s="413">
        <v>0</v>
      </c>
      <c r="K98" s="413">
        <v>0</v>
      </c>
      <c r="L98" s="413">
        <v>0</v>
      </c>
      <c r="M98" s="413">
        <v>0</v>
      </c>
      <c r="N98" s="413">
        <v>0</v>
      </c>
      <c r="O98" s="413">
        <v>0</v>
      </c>
    </row>
    <row r="99" spans="1:15">
      <c r="A99" s="368"/>
      <c r="B99" s="560" t="s">
        <v>43</v>
      </c>
      <c r="C99" s="557" t="s">
        <v>1010</v>
      </c>
      <c r="D99" s="413">
        <v>0</v>
      </c>
      <c r="E99" s="413">
        <v>0</v>
      </c>
      <c r="F99" s="413"/>
      <c r="G99" s="413">
        <v>0</v>
      </c>
      <c r="H99" s="413"/>
      <c r="I99" s="413">
        <v>0</v>
      </c>
      <c r="J99" s="413">
        <v>0</v>
      </c>
      <c r="K99" s="413">
        <v>0</v>
      </c>
      <c r="L99" s="413">
        <v>0</v>
      </c>
      <c r="M99" s="413">
        <v>0</v>
      </c>
      <c r="N99" s="413">
        <v>0</v>
      </c>
      <c r="O99" s="413">
        <v>0</v>
      </c>
    </row>
    <row r="100" spans="1:15">
      <c r="A100" s="368"/>
      <c r="B100" s="561" t="s">
        <v>44</v>
      </c>
      <c r="C100" s="557" t="s">
        <v>1010</v>
      </c>
      <c r="D100" s="413">
        <f t="shared" ref="D100:E100" si="53">SUM(D101,D107)</f>
        <v>16.463000000000001</v>
      </c>
      <c r="E100" s="413">
        <f t="shared" si="53"/>
        <v>16.463000000000001</v>
      </c>
      <c r="F100" s="413"/>
      <c r="G100" s="413">
        <f t="shared" ref="G100" si="54">SUM(G101,G107)</f>
        <v>16.463000000000001</v>
      </c>
      <c r="H100" s="413"/>
      <c r="I100" s="413">
        <f t="shared" ref="I100:O100" si="55">SUM(I101,I107)</f>
        <v>16.463000000000001</v>
      </c>
      <c r="J100" s="413">
        <f t="shared" si="55"/>
        <v>16.463000000000001</v>
      </c>
      <c r="K100" s="413">
        <f t="shared" si="55"/>
        <v>16.463000000000001</v>
      </c>
      <c r="L100" s="413">
        <f t="shared" si="55"/>
        <v>16.463000000000001</v>
      </c>
      <c r="M100" s="413">
        <f t="shared" si="55"/>
        <v>16.463000000000001</v>
      </c>
      <c r="N100" s="413">
        <f t="shared" si="55"/>
        <v>16.463000000000001</v>
      </c>
      <c r="O100" s="413">
        <f t="shared" si="55"/>
        <v>16.463000000000001</v>
      </c>
    </row>
    <row r="101" spans="1:15">
      <c r="A101" s="368"/>
      <c r="B101" s="560" t="s">
        <v>45</v>
      </c>
      <c r="C101" s="557" t="s">
        <v>1010</v>
      </c>
      <c r="D101" s="413">
        <f t="shared" ref="D101:E101" si="56">SUM(D102:D106)</f>
        <v>16.463000000000001</v>
      </c>
      <c r="E101" s="413">
        <f t="shared" si="56"/>
        <v>16.463000000000001</v>
      </c>
      <c r="F101" s="413"/>
      <c r="G101" s="413">
        <f t="shared" ref="G101" si="57">SUM(G102:G106)</f>
        <v>16.463000000000001</v>
      </c>
      <c r="H101" s="413"/>
      <c r="I101" s="413">
        <f t="shared" ref="I101:O101" si="58">SUM(I102:I106)</f>
        <v>16.463000000000001</v>
      </c>
      <c r="J101" s="413">
        <f t="shared" si="58"/>
        <v>16.463000000000001</v>
      </c>
      <c r="K101" s="413">
        <f t="shared" si="58"/>
        <v>16.463000000000001</v>
      </c>
      <c r="L101" s="413">
        <f t="shared" si="58"/>
        <v>16.463000000000001</v>
      </c>
      <c r="M101" s="413">
        <f t="shared" si="58"/>
        <v>16.463000000000001</v>
      </c>
      <c r="N101" s="413">
        <f t="shared" si="58"/>
        <v>16.463000000000001</v>
      </c>
      <c r="O101" s="413">
        <f t="shared" si="58"/>
        <v>16.463000000000001</v>
      </c>
    </row>
    <row r="102" spans="1:15">
      <c r="A102" s="368"/>
      <c r="B102" s="560" t="s">
        <v>1014</v>
      </c>
      <c r="C102" s="557" t="s">
        <v>1010</v>
      </c>
      <c r="D102" s="413">
        <v>14.404</v>
      </c>
      <c r="E102" s="413">
        <v>14.404</v>
      </c>
      <c r="F102" s="413"/>
      <c r="G102" s="413">
        <v>14.404</v>
      </c>
      <c r="H102" s="413"/>
      <c r="I102" s="413">
        <v>14.404</v>
      </c>
      <c r="J102" s="413">
        <v>14.404</v>
      </c>
      <c r="K102" s="413">
        <v>14.404</v>
      </c>
      <c r="L102" s="413">
        <v>14.404</v>
      </c>
      <c r="M102" s="413">
        <v>14.404</v>
      </c>
      <c r="N102" s="413">
        <v>14.404</v>
      </c>
      <c r="O102" s="413">
        <v>14.404</v>
      </c>
    </row>
    <row r="103" spans="1:15">
      <c r="A103" s="368"/>
      <c r="B103" s="560" t="s">
        <v>1013</v>
      </c>
      <c r="C103" s="557" t="s">
        <v>1010</v>
      </c>
      <c r="D103" s="413">
        <v>2.0590000000000002</v>
      </c>
      <c r="E103" s="413">
        <v>2.0590000000000002</v>
      </c>
      <c r="F103" s="413"/>
      <c r="G103" s="413">
        <v>2.0590000000000002</v>
      </c>
      <c r="H103" s="413"/>
      <c r="I103" s="413">
        <v>2.0590000000000002</v>
      </c>
      <c r="J103" s="413">
        <v>2.0590000000000002</v>
      </c>
      <c r="K103" s="413">
        <v>2.0590000000000002</v>
      </c>
      <c r="L103" s="413">
        <v>2.0590000000000002</v>
      </c>
      <c r="M103" s="413">
        <v>2.0590000000000002</v>
      </c>
      <c r="N103" s="413">
        <v>2.0590000000000002</v>
      </c>
      <c r="O103" s="413">
        <v>2.0590000000000002</v>
      </c>
    </row>
    <row r="104" spans="1:15">
      <c r="A104" s="368"/>
      <c r="B104" s="560" t="s">
        <v>1012</v>
      </c>
      <c r="C104" s="557" t="s">
        <v>1010</v>
      </c>
      <c r="D104" s="413">
        <v>0</v>
      </c>
      <c r="E104" s="413">
        <v>0</v>
      </c>
      <c r="F104" s="413"/>
      <c r="G104" s="413">
        <v>0</v>
      </c>
      <c r="H104" s="413"/>
      <c r="I104" s="413">
        <v>0</v>
      </c>
      <c r="J104" s="413">
        <v>0</v>
      </c>
      <c r="K104" s="413">
        <v>0</v>
      </c>
      <c r="L104" s="413">
        <v>0</v>
      </c>
      <c r="M104" s="413">
        <v>0</v>
      </c>
      <c r="N104" s="413">
        <v>0</v>
      </c>
      <c r="O104" s="413">
        <v>0</v>
      </c>
    </row>
    <row r="105" spans="1:15">
      <c r="A105" s="368"/>
      <c r="B105" s="560" t="s">
        <v>1011</v>
      </c>
      <c r="C105" s="557" t="s">
        <v>1010</v>
      </c>
      <c r="D105" s="413">
        <v>0</v>
      </c>
      <c r="E105" s="413">
        <v>0</v>
      </c>
      <c r="F105" s="413"/>
      <c r="G105" s="413">
        <v>0</v>
      </c>
      <c r="H105" s="413"/>
      <c r="I105" s="413">
        <v>0</v>
      </c>
      <c r="J105" s="413">
        <v>0</v>
      </c>
      <c r="K105" s="413">
        <v>0</v>
      </c>
      <c r="L105" s="413">
        <v>0</v>
      </c>
      <c r="M105" s="413">
        <v>0</v>
      </c>
      <c r="N105" s="413">
        <v>0</v>
      </c>
      <c r="O105" s="413">
        <v>0</v>
      </c>
    </row>
    <row r="106" spans="1:15">
      <c r="A106" s="368"/>
      <c r="B106" s="560" t="s">
        <v>43</v>
      </c>
      <c r="C106" s="557" t="s">
        <v>1010</v>
      </c>
      <c r="D106" s="413">
        <v>0</v>
      </c>
      <c r="E106" s="413">
        <v>0</v>
      </c>
      <c r="F106" s="413"/>
      <c r="G106" s="413">
        <v>0</v>
      </c>
      <c r="H106" s="413"/>
      <c r="I106" s="413">
        <v>0</v>
      </c>
      <c r="J106" s="413">
        <v>0</v>
      </c>
      <c r="K106" s="413">
        <v>0</v>
      </c>
      <c r="L106" s="413">
        <v>0</v>
      </c>
      <c r="M106" s="413">
        <v>0</v>
      </c>
      <c r="N106" s="413">
        <v>0</v>
      </c>
      <c r="O106" s="413">
        <v>0</v>
      </c>
    </row>
    <row r="107" spans="1:15">
      <c r="A107" s="368"/>
      <c r="B107" s="560" t="s">
        <v>46</v>
      </c>
      <c r="C107" s="557" t="s">
        <v>1010</v>
      </c>
      <c r="D107" s="413">
        <f t="shared" ref="D107:E107" si="59">SUM(D108:D112)</f>
        <v>0</v>
      </c>
      <c r="E107" s="413">
        <f t="shared" si="59"/>
        <v>0</v>
      </c>
      <c r="F107" s="413"/>
      <c r="G107" s="413">
        <f t="shared" ref="G107" si="60">SUM(G108:G112)</f>
        <v>0</v>
      </c>
      <c r="H107" s="413"/>
      <c r="I107" s="413">
        <f t="shared" ref="I107:O107" si="61">SUM(I108:I112)</f>
        <v>0</v>
      </c>
      <c r="J107" s="413">
        <f t="shared" si="61"/>
        <v>0</v>
      </c>
      <c r="K107" s="413">
        <f t="shared" si="61"/>
        <v>0</v>
      </c>
      <c r="L107" s="413">
        <f t="shared" si="61"/>
        <v>0</v>
      </c>
      <c r="M107" s="413">
        <f t="shared" si="61"/>
        <v>0</v>
      </c>
      <c r="N107" s="413">
        <f t="shared" si="61"/>
        <v>0</v>
      </c>
      <c r="O107" s="413">
        <f t="shared" si="61"/>
        <v>0</v>
      </c>
    </row>
    <row r="108" spans="1:15">
      <c r="A108" s="368"/>
      <c r="B108" s="560" t="s">
        <v>1014</v>
      </c>
      <c r="C108" s="557" t="s">
        <v>1010</v>
      </c>
      <c r="D108" s="413">
        <v>0</v>
      </c>
      <c r="E108" s="413">
        <v>0</v>
      </c>
      <c r="F108" s="413"/>
      <c r="G108" s="413">
        <v>0</v>
      </c>
      <c r="H108" s="413"/>
      <c r="I108" s="413">
        <v>0</v>
      </c>
      <c r="J108" s="413">
        <v>0</v>
      </c>
      <c r="K108" s="413">
        <v>0</v>
      </c>
      <c r="L108" s="413">
        <v>0</v>
      </c>
      <c r="M108" s="413">
        <v>0</v>
      </c>
      <c r="N108" s="413">
        <v>0</v>
      </c>
      <c r="O108" s="413">
        <v>0</v>
      </c>
    </row>
    <row r="109" spans="1:15">
      <c r="A109" s="368"/>
      <c r="B109" s="560" t="s">
        <v>1013</v>
      </c>
      <c r="C109" s="557" t="s">
        <v>1010</v>
      </c>
      <c r="D109" s="413">
        <v>0</v>
      </c>
      <c r="E109" s="413">
        <v>0</v>
      </c>
      <c r="F109" s="413"/>
      <c r="G109" s="413">
        <v>0</v>
      </c>
      <c r="H109" s="413"/>
      <c r="I109" s="413">
        <v>0</v>
      </c>
      <c r="J109" s="413">
        <v>0</v>
      </c>
      <c r="K109" s="413">
        <v>0</v>
      </c>
      <c r="L109" s="413">
        <v>0</v>
      </c>
      <c r="M109" s="413">
        <v>0</v>
      </c>
      <c r="N109" s="413">
        <v>0</v>
      </c>
      <c r="O109" s="413">
        <v>0</v>
      </c>
    </row>
    <row r="110" spans="1:15">
      <c r="A110" s="368"/>
      <c r="B110" s="560" t="s">
        <v>1012</v>
      </c>
      <c r="C110" s="557" t="s">
        <v>1010</v>
      </c>
      <c r="D110" s="413">
        <v>0</v>
      </c>
      <c r="E110" s="413">
        <v>0</v>
      </c>
      <c r="F110" s="413"/>
      <c r="G110" s="413">
        <v>0</v>
      </c>
      <c r="H110" s="413"/>
      <c r="I110" s="413">
        <v>0</v>
      </c>
      <c r="J110" s="413">
        <v>0</v>
      </c>
      <c r="K110" s="413">
        <v>0</v>
      </c>
      <c r="L110" s="413">
        <v>0</v>
      </c>
      <c r="M110" s="413">
        <v>0</v>
      </c>
      <c r="N110" s="413">
        <v>0</v>
      </c>
      <c r="O110" s="413">
        <v>0</v>
      </c>
    </row>
    <row r="111" spans="1:15">
      <c r="A111" s="368"/>
      <c r="B111" s="560" t="s">
        <v>1011</v>
      </c>
      <c r="C111" s="557" t="s">
        <v>1010</v>
      </c>
      <c r="D111" s="413">
        <v>0</v>
      </c>
      <c r="E111" s="413">
        <v>0</v>
      </c>
      <c r="F111" s="413"/>
      <c r="G111" s="413">
        <v>0</v>
      </c>
      <c r="H111" s="413"/>
      <c r="I111" s="413">
        <v>0</v>
      </c>
      <c r="J111" s="413">
        <v>0</v>
      </c>
      <c r="K111" s="413">
        <v>0</v>
      </c>
      <c r="L111" s="413">
        <v>0</v>
      </c>
      <c r="M111" s="413">
        <v>0</v>
      </c>
      <c r="N111" s="413">
        <v>0</v>
      </c>
      <c r="O111" s="413">
        <v>0</v>
      </c>
    </row>
    <row r="112" spans="1:15">
      <c r="A112" s="368"/>
      <c r="B112" s="560" t="s">
        <v>43</v>
      </c>
      <c r="C112" s="557" t="s">
        <v>1010</v>
      </c>
      <c r="D112" s="413">
        <v>0</v>
      </c>
      <c r="E112" s="413">
        <v>0</v>
      </c>
      <c r="F112" s="413"/>
      <c r="G112" s="413">
        <v>0</v>
      </c>
      <c r="H112" s="413"/>
      <c r="I112" s="413">
        <v>0</v>
      </c>
      <c r="J112" s="413">
        <v>0</v>
      </c>
      <c r="K112" s="413">
        <v>0</v>
      </c>
      <c r="L112" s="413">
        <v>0</v>
      </c>
      <c r="M112" s="413">
        <v>0</v>
      </c>
      <c r="N112" s="413">
        <v>0</v>
      </c>
      <c r="O112" s="413">
        <v>0</v>
      </c>
    </row>
    <row r="113" spans="1:15" ht="43.5">
      <c r="A113" s="562" t="s">
        <v>30</v>
      </c>
      <c r="B113" s="1073" t="s">
        <v>54</v>
      </c>
      <c r="C113" s="558" t="s">
        <v>53</v>
      </c>
      <c r="D113" s="435"/>
      <c r="E113" s="435"/>
      <c r="F113" s="435"/>
      <c r="G113" s="435"/>
      <c r="H113" s="435"/>
      <c r="I113" s="435"/>
      <c r="J113" s="1066"/>
      <c r="K113" s="1066"/>
      <c r="L113" s="1066"/>
      <c r="M113" s="435"/>
      <c r="N113" s="435"/>
      <c r="O113" s="1074"/>
    </row>
    <row r="114" spans="1:15">
      <c r="A114" s="368" t="s">
        <v>31</v>
      </c>
      <c r="B114" s="560" t="s">
        <v>55</v>
      </c>
      <c r="C114" s="557" t="s">
        <v>53</v>
      </c>
      <c r="D114" s="413"/>
      <c r="E114" s="413"/>
      <c r="F114" s="413"/>
      <c r="G114" s="413"/>
      <c r="H114" s="413"/>
      <c r="I114" s="413"/>
      <c r="J114" s="1066"/>
      <c r="K114" s="1066"/>
      <c r="L114" s="1066"/>
      <c r="M114" s="413"/>
      <c r="N114" s="413"/>
      <c r="O114" s="1068"/>
    </row>
    <row r="115" spans="1:15">
      <c r="A115" s="368" t="s">
        <v>32</v>
      </c>
      <c r="B115" s="563" t="s">
        <v>1005</v>
      </c>
      <c r="C115" s="557" t="s">
        <v>53</v>
      </c>
      <c r="D115" s="413"/>
      <c r="E115" s="413"/>
      <c r="F115" s="413"/>
      <c r="G115" s="413"/>
      <c r="H115" s="413"/>
      <c r="I115" s="413"/>
      <c r="J115" s="1066"/>
      <c r="K115" s="1066"/>
      <c r="L115" s="1066"/>
      <c r="M115" s="413"/>
      <c r="N115" s="413"/>
      <c r="O115" s="1068"/>
    </row>
    <row r="116" spans="1:15">
      <c r="A116" s="368" t="s">
        <v>33</v>
      </c>
      <c r="B116" s="1075" t="s">
        <v>1066</v>
      </c>
      <c r="C116" s="1076"/>
      <c r="D116" s="1076"/>
      <c r="E116" s="1076"/>
      <c r="F116" s="1076"/>
      <c r="G116" s="1076"/>
      <c r="H116" s="1076"/>
      <c r="I116" s="1076"/>
      <c r="J116" s="1066"/>
      <c r="K116" s="1066"/>
      <c r="L116" s="1066"/>
      <c r="M116" s="1076"/>
      <c r="N116" s="1076"/>
      <c r="O116" s="1077"/>
    </row>
    <row r="117" spans="1:15" s="555" customFormat="1">
      <c r="A117" s="564" t="s">
        <v>1024</v>
      </c>
      <c r="B117" s="1078" t="s">
        <v>1067</v>
      </c>
      <c r="C117" s="558" t="s">
        <v>53</v>
      </c>
      <c r="D117" s="1079">
        <f>SUM(D118:D124)</f>
        <v>85.68</v>
      </c>
      <c r="E117" s="1079">
        <f t="shared" ref="E117:G117" si="62">SUM(E118:E124)</f>
        <v>79.150000000000006</v>
      </c>
      <c r="F117" s="1079"/>
      <c r="G117" s="1079">
        <f t="shared" si="62"/>
        <v>79.150000000000006</v>
      </c>
      <c r="H117" s="1079"/>
      <c r="I117" s="1079">
        <f t="shared" ref="I117" si="63">SUM(I118:I124)</f>
        <v>79.150000000000006</v>
      </c>
      <c r="J117" s="1079">
        <f t="shared" ref="J117:L117" si="64">SUM(J118:J124)</f>
        <v>79.150000000000006</v>
      </c>
      <c r="K117" s="1079">
        <f t="shared" si="64"/>
        <v>79.150000000000006</v>
      </c>
      <c r="L117" s="1080">
        <f t="shared" si="64"/>
        <v>79.150000000000006</v>
      </c>
      <c r="M117" s="1079">
        <f t="shared" ref="M117:O117" si="65">SUM(M118:M124)</f>
        <v>79.150000000000006</v>
      </c>
      <c r="N117" s="1079">
        <f t="shared" si="65"/>
        <v>79.150000000000006</v>
      </c>
      <c r="O117" s="1080">
        <f t="shared" si="65"/>
        <v>79.150000000000006</v>
      </c>
    </row>
    <row r="118" spans="1:15">
      <c r="A118" s="564" t="s">
        <v>1022</v>
      </c>
      <c r="B118" s="565" t="s">
        <v>1068</v>
      </c>
      <c r="C118" s="557" t="s">
        <v>53</v>
      </c>
      <c r="D118" s="566">
        <v>18.7</v>
      </c>
      <c r="E118" s="566">
        <v>16.3</v>
      </c>
      <c r="F118" s="566"/>
      <c r="G118" s="566">
        <v>16.3</v>
      </c>
      <c r="H118" s="566"/>
      <c r="I118" s="566">
        <v>16.3</v>
      </c>
      <c r="J118" s="566">
        <v>16.3</v>
      </c>
      <c r="K118" s="566">
        <v>16.3</v>
      </c>
      <c r="L118" s="566">
        <v>16.3</v>
      </c>
      <c r="M118" s="566">
        <v>16.3</v>
      </c>
      <c r="N118" s="566">
        <v>16.3</v>
      </c>
      <c r="O118" s="566">
        <v>16.3</v>
      </c>
    </row>
    <row r="119" spans="1:15">
      <c r="A119" s="564" t="s">
        <v>1020</v>
      </c>
      <c r="B119" s="565" t="s">
        <v>1069</v>
      </c>
      <c r="C119" s="557" t="s">
        <v>53</v>
      </c>
      <c r="D119" s="566">
        <v>1.3</v>
      </c>
      <c r="E119" s="566">
        <v>1.3</v>
      </c>
      <c r="F119" s="566"/>
      <c r="G119" s="566">
        <v>1.3</v>
      </c>
      <c r="H119" s="566"/>
      <c r="I119" s="566">
        <v>1.3</v>
      </c>
      <c r="J119" s="566">
        <v>1.3</v>
      </c>
      <c r="K119" s="566">
        <v>1.3</v>
      </c>
      <c r="L119" s="566">
        <v>1.3</v>
      </c>
      <c r="M119" s="566">
        <v>1.3</v>
      </c>
      <c r="N119" s="566">
        <v>1.3</v>
      </c>
      <c r="O119" s="566">
        <v>1.3</v>
      </c>
    </row>
    <row r="120" spans="1:15">
      <c r="A120" s="564" t="s">
        <v>1018</v>
      </c>
      <c r="B120" s="565" t="s">
        <v>1070</v>
      </c>
      <c r="C120" s="557" t="s">
        <v>53</v>
      </c>
      <c r="D120" s="566">
        <v>7.5</v>
      </c>
      <c r="E120" s="566">
        <v>7.5</v>
      </c>
      <c r="F120" s="566"/>
      <c r="G120" s="566">
        <v>7.5</v>
      </c>
      <c r="H120" s="566"/>
      <c r="I120" s="566">
        <v>7.5</v>
      </c>
      <c r="J120" s="566">
        <v>7.5</v>
      </c>
      <c r="K120" s="566">
        <v>7.5</v>
      </c>
      <c r="L120" s="566">
        <v>7.5</v>
      </c>
      <c r="M120" s="566">
        <v>7.5</v>
      </c>
      <c r="N120" s="566">
        <v>7.5</v>
      </c>
      <c r="O120" s="566">
        <v>7.5</v>
      </c>
    </row>
    <row r="121" spans="1:15">
      <c r="A121" s="564" t="s">
        <v>1071</v>
      </c>
      <c r="B121" s="565" t="s">
        <v>1072</v>
      </c>
      <c r="C121" s="557" t="s">
        <v>53</v>
      </c>
      <c r="D121" s="566">
        <v>11.84</v>
      </c>
      <c r="E121" s="566">
        <v>10.52</v>
      </c>
      <c r="F121" s="566"/>
      <c r="G121" s="566">
        <v>10.52</v>
      </c>
      <c r="H121" s="566"/>
      <c r="I121" s="566">
        <v>10.52</v>
      </c>
      <c r="J121" s="566">
        <v>10.52</v>
      </c>
      <c r="K121" s="566">
        <v>10.52</v>
      </c>
      <c r="L121" s="566">
        <v>10.52</v>
      </c>
      <c r="M121" s="566">
        <v>10.52</v>
      </c>
      <c r="N121" s="566">
        <v>10.52</v>
      </c>
      <c r="O121" s="566">
        <v>10.52</v>
      </c>
    </row>
    <row r="122" spans="1:15">
      <c r="A122" s="564" t="s">
        <v>1073</v>
      </c>
      <c r="B122" s="565" t="s">
        <v>1074</v>
      </c>
      <c r="C122" s="557" t="s">
        <v>53</v>
      </c>
      <c r="D122" s="567">
        <v>15</v>
      </c>
      <c r="E122" s="567">
        <v>15</v>
      </c>
      <c r="F122" s="567"/>
      <c r="G122" s="567">
        <v>15</v>
      </c>
      <c r="H122" s="567"/>
      <c r="I122" s="567">
        <v>15</v>
      </c>
      <c r="J122" s="567">
        <v>15</v>
      </c>
      <c r="K122" s="567">
        <v>15</v>
      </c>
      <c r="L122" s="567">
        <v>15</v>
      </c>
      <c r="M122" s="567">
        <v>15</v>
      </c>
      <c r="N122" s="567">
        <v>15</v>
      </c>
      <c r="O122" s="567">
        <v>15</v>
      </c>
    </row>
    <row r="123" spans="1:15">
      <c r="A123" s="564" t="s">
        <v>1075</v>
      </c>
      <c r="B123" s="565" t="s">
        <v>1076</v>
      </c>
      <c r="C123" s="557" t="s">
        <v>53</v>
      </c>
      <c r="D123" s="566">
        <v>11.84</v>
      </c>
      <c r="E123" s="566">
        <v>11.84</v>
      </c>
      <c r="F123" s="566"/>
      <c r="G123" s="566">
        <v>11.84</v>
      </c>
      <c r="H123" s="566"/>
      <c r="I123" s="566">
        <v>11.84</v>
      </c>
      <c r="J123" s="566">
        <v>11.84</v>
      </c>
      <c r="K123" s="566">
        <v>11.84</v>
      </c>
      <c r="L123" s="566">
        <v>11.84</v>
      </c>
      <c r="M123" s="566">
        <v>11.84</v>
      </c>
      <c r="N123" s="566">
        <v>11.84</v>
      </c>
      <c r="O123" s="566">
        <v>11.84</v>
      </c>
    </row>
    <row r="124" spans="1:15">
      <c r="A124" s="564" t="s">
        <v>1077</v>
      </c>
      <c r="B124" s="565" t="s">
        <v>1078</v>
      </c>
      <c r="C124" s="557" t="s">
        <v>53</v>
      </c>
      <c r="D124" s="566">
        <v>19.5</v>
      </c>
      <c r="E124" s="566">
        <v>16.690000000000001</v>
      </c>
      <c r="F124" s="566"/>
      <c r="G124" s="566">
        <v>16.690000000000001</v>
      </c>
      <c r="H124" s="566"/>
      <c r="I124" s="566">
        <v>16.690000000000001</v>
      </c>
      <c r="J124" s="566">
        <v>16.690000000000001</v>
      </c>
      <c r="K124" s="566">
        <v>16.690000000000001</v>
      </c>
      <c r="L124" s="566">
        <v>16.690000000000001</v>
      </c>
      <c r="M124" s="566">
        <v>16.690000000000001</v>
      </c>
      <c r="N124" s="566">
        <v>16.690000000000001</v>
      </c>
      <c r="O124" s="566">
        <v>16.690000000000001</v>
      </c>
    </row>
    <row r="125" spans="1:15" s="555" customFormat="1">
      <c r="A125" s="564" t="s">
        <v>1079</v>
      </c>
      <c r="B125" s="1078" t="s">
        <v>1080</v>
      </c>
      <c r="C125" s="558" t="s">
        <v>53</v>
      </c>
      <c r="D125" s="1081">
        <f t="shared" ref="D125:E125" si="66">SUM(D126:D139)</f>
        <v>95.699999999999989</v>
      </c>
      <c r="E125" s="1081">
        <f t="shared" si="66"/>
        <v>81.81</v>
      </c>
      <c r="F125" s="1081"/>
      <c r="G125" s="1081">
        <f>SUM(G126:G139)</f>
        <v>97.81</v>
      </c>
      <c r="H125" s="1081"/>
      <c r="I125" s="1081">
        <f t="shared" ref="I125:O125" si="67">SUM(I126:I139)</f>
        <v>97.81</v>
      </c>
      <c r="J125" s="1081">
        <f t="shared" si="67"/>
        <v>97.81</v>
      </c>
      <c r="K125" s="1081">
        <f t="shared" si="67"/>
        <v>97.81</v>
      </c>
      <c r="L125" s="1082">
        <f t="shared" si="67"/>
        <v>97.81</v>
      </c>
      <c r="M125" s="1081">
        <f t="shared" si="67"/>
        <v>97.81</v>
      </c>
      <c r="N125" s="1081">
        <f t="shared" si="67"/>
        <v>97.81</v>
      </c>
      <c r="O125" s="1082">
        <f t="shared" si="67"/>
        <v>97.81</v>
      </c>
    </row>
    <row r="126" spans="1:15">
      <c r="A126" s="564" t="s">
        <v>1081</v>
      </c>
      <c r="B126" s="565" t="s">
        <v>1082</v>
      </c>
      <c r="C126" s="557" t="s">
        <v>53</v>
      </c>
      <c r="D126" s="568">
        <v>19.5</v>
      </c>
      <c r="E126" s="568">
        <v>17.190000000000001</v>
      </c>
      <c r="F126" s="568"/>
      <c r="G126" s="568">
        <v>17.190000000000001</v>
      </c>
      <c r="H126" s="568"/>
      <c r="I126" s="568">
        <v>17.190000000000001</v>
      </c>
      <c r="J126" s="568">
        <v>17.190000000000001</v>
      </c>
      <c r="K126" s="568">
        <v>17.190000000000001</v>
      </c>
      <c r="L126" s="568">
        <v>17.190000000000001</v>
      </c>
      <c r="M126" s="568">
        <v>17.190000000000001</v>
      </c>
      <c r="N126" s="568">
        <v>17.190000000000001</v>
      </c>
      <c r="O126" s="568">
        <v>17.190000000000001</v>
      </c>
    </row>
    <row r="127" spans="1:15">
      <c r="A127" s="564" t="s">
        <v>1083</v>
      </c>
      <c r="B127" s="565" t="s">
        <v>1084</v>
      </c>
      <c r="C127" s="557" t="s">
        <v>53</v>
      </c>
      <c r="D127" s="568">
        <v>3.45</v>
      </c>
      <c r="E127" s="568">
        <v>3.15</v>
      </c>
      <c r="F127" s="568"/>
      <c r="G127" s="568">
        <v>3.15</v>
      </c>
      <c r="H127" s="568"/>
      <c r="I127" s="568">
        <v>3.15</v>
      </c>
      <c r="J127" s="568">
        <v>3.15</v>
      </c>
      <c r="K127" s="568">
        <v>3.15</v>
      </c>
      <c r="L127" s="568">
        <v>3.15</v>
      </c>
      <c r="M127" s="568">
        <v>3.15</v>
      </c>
      <c r="N127" s="568">
        <v>3.15</v>
      </c>
      <c r="O127" s="568">
        <v>3.15</v>
      </c>
    </row>
    <row r="128" spans="1:15">
      <c r="A128" s="564" t="s">
        <v>1085</v>
      </c>
      <c r="B128" s="569" t="s">
        <v>1086</v>
      </c>
      <c r="C128" s="557" t="s">
        <v>53</v>
      </c>
      <c r="D128" s="568">
        <v>2.8</v>
      </c>
      <c r="E128" s="568">
        <v>2.8</v>
      </c>
      <c r="F128" s="568"/>
      <c r="G128" s="568">
        <v>2.8</v>
      </c>
      <c r="H128" s="568"/>
      <c r="I128" s="568">
        <v>2.8</v>
      </c>
      <c r="J128" s="568">
        <v>2.8</v>
      </c>
      <c r="K128" s="568">
        <v>2.8</v>
      </c>
      <c r="L128" s="568">
        <v>2.8</v>
      </c>
      <c r="M128" s="568">
        <v>2.8</v>
      </c>
      <c r="N128" s="568">
        <v>2.8</v>
      </c>
      <c r="O128" s="568">
        <v>2.8</v>
      </c>
    </row>
    <row r="129" spans="1:15">
      <c r="A129" s="564" t="s">
        <v>1087</v>
      </c>
      <c r="B129" s="569" t="s">
        <v>1088</v>
      </c>
      <c r="C129" s="557" t="s">
        <v>53</v>
      </c>
      <c r="D129" s="568">
        <v>0.3</v>
      </c>
      <c r="E129" s="568">
        <v>0.3</v>
      </c>
      <c r="F129" s="568"/>
      <c r="G129" s="568">
        <v>0.3</v>
      </c>
      <c r="H129" s="568"/>
      <c r="I129" s="568">
        <v>0.3</v>
      </c>
      <c r="J129" s="568">
        <v>0.3</v>
      </c>
      <c r="K129" s="568">
        <v>0.3</v>
      </c>
      <c r="L129" s="568">
        <v>0.3</v>
      </c>
      <c r="M129" s="568">
        <v>0.3</v>
      </c>
      <c r="N129" s="568">
        <v>0.3</v>
      </c>
      <c r="O129" s="568">
        <v>0.3</v>
      </c>
    </row>
    <row r="130" spans="1:15">
      <c r="A130" s="564" t="s">
        <v>1089</v>
      </c>
      <c r="B130" s="569" t="s">
        <v>1092</v>
      </c>
      <c r="C130" s="557" t="s">
        <v>53</v>
      </c>
      <c r="D130" s="568">
        <v>7.5</v>
      </c>
      <c r="E130" s="568">
        <v>7.5</v>
      </c>
      <c r="F130" s="568"/>
      <c r="G130" s="568">
        <v>7.5</v>
      </c>
      <c r="H130" s="568"/>
      <c r="I130" s="568">
        <v>7.5</v>
      </c>
      <c r="J130" s="568">
        <v>7.5</v>
      </c>
      <c r="K130" s="568">
        <v>7.5</v>
      </c>
      <c r="L130" s="568">
        <v>7.5</v>
      </c>
      <c r="M130" s="568">
        <v>7.5</v>
      </c>
      <c r="N130" s="568">
        <v>7.5</v>
      </c>
      <c r="O130" s="568">
        <v>7.5</v>
      </c>
    </row>
    <row r="131" spans="1:15">
      <c r="A131" s="564" t="s">
        <v>1091</v>
      </c>
      <c r="B131" s="569" t="s">
        <v>1094</v>
      </c>
      <c r="C131" s="557" t="s">
        <v>53</v>
      </c>
      <c r="D131" s="568">
        <v>5</v>
      </c>
      <c r="E131" s="568">
        <v>5</v>
      </c>
      <c r="F131" s="568"/>
      <c r="G131" s="568">
        <v>5</v>
      </c>
      <c r="H131" s="568"/>
      <c r="I131" s="568">
        <v>5</v>
      </c>
      <c r="J131" s="568">
        <v>5</v>
      </c>
      <c r="K131" s="568">
        <v>5</v>
      </c>
      <c r="L131" s="568">
        <v>5</v>
      </c>
      <c r="M131" s="568">
        <v>5</v>
      </c>
      <c r="N131" s="568">
        <v>5</v>
      </c>
      <c r="O131" s="568">
        <v>5</v>
      </c>
    </row>
    <row r="132" spans="1:15">
      <c r="A132" s="564" t="s">
        <v>1093</v>
      </c>
      <c r="B132" s="565" t="s">
        <v>1096</v>
      </c>
      <c r="C132" s="557" t="s">
        <v>53</v>
      </c>
      <c r="D132" s="568">
        <v>4.9000000000000004</v>
      </c>
      <c r="E132" s="568">
        <v>4.9000000000000004</v>
      </c>
      <c r="F132" s="568"/>
      <c r="G132" s="568">
        <v>4.9000000000000004</v>
      </c>
      <c r="H132" s="568"/>
      <c r="I132" s="568">
        <v>4.9000000000000004</v>
      </c>
      <c r="J132" s="568">
        <v>4.9000000000000004</v>
      </c>
      <c r="K132" s="568">
        <v>4.9000000000000004</v>
      </c>
      <c r="L132" s="568">
        <v>4.9000000000000004</v>
      </c>
      <c r="M132" s="568">
        <v>4.9000000000000004</v>
      </c>
      <c r="N132" s="568">
        <v>4.9000000000000004</v>
      </c>
      <c r="O132" s="568">
        <v>4.9000000000000004</v>
      </c>
    </row>
    <row r="133" spans="1:15">
      <c r="A133" s="564" t="s">
        <v>1095</v>
      </c>
      <c r="B133" s="571" t="s">
        <v>1098</v>
      </c>
      <c r="C133" s="557" t="s">
        <v>53</v>
      </c>
      <c r="D133" s="568">
        <v>6.65</v>
      </c>
      <c r="E133" s="568">
        <v>6.65</v>
      </c>
      <c r="F133" s="568"/>
      <c r="G133" s="568">
        <v>6.65</v>
      </c>
      <c r="H133" s="568"/>
      <c r="I133" s="568">
        <v>6.65</v>
      </c>
      <c r="J133" s="568">
        <v>6.65</v>
      </c>
      <c r="K133" s="568">
        <v>6.65</v>
      </c>
      <c r="L133" s="568">
        <v>6.65</v>
      </c>
      <c r="M133" s="568">
        <v>6.65</v>
      </c>
      <c r="N133" s="568">
        <v>6.65</v>
      </c>
      <c r="O133" s="568">
        <v>6.65</v>
      </c>
    </row>
    <row r="134" spans="1:15">
      <c r="A134" s="564" t="s">
        <v>1097</v>
      </c>
      <c r="B134" s="565" t="s">
        <v>1100</v>
      </c>
      <c r="C134" s="557" t="s">
        <v>53</v>
      </c>
      <c r="D134" s="568">
        <f>0.45*5</f>
        <v>2.25</v>
      </c>
      <c r="E134" s="568">
        <v>2.25</v>
      </c>
      <c r="F134" s="568"/>
      <c r="G134" s="568">
        <v>2.25</v>
      </c>
      <c r="H134" s="568"/>
      <c r="I134" s="568">
        <v>2.25</v>
      </c>
      <c r="J134" s="568">
        <v>2.25</v>
      </c>
      <c r="K134" s="568">
        <v>2.25</v>
      </c>
      <c r="L134" s="568">
        <v>2.25</v>
      </c>
      <c r="M134" s="568">
        <v>2.25</v>
      </c>
      <c r="N134" s="568">
        <v>2.25</v>
      </c>
      <c r="O134" s="568">
        <v>2.25</v>
      </c>
    </row>
    <row r="135" spans="1:15">
      <c r="A135" s="564" t="s">
        <v>1099</v>
      </c>
      <c r="B135" s="569" t="s">
        <v>1102</v>
      </c>
      <c r="C135" s="557" t="s">
        <v>53</v>
      </c>
      <c r="D135" s="568">
        <v>0.8</v>
      </c>
      <c r="E135" s="568">
        <v>0.8</v>
      </c>
      <c r="F135" s="568"/>
      <c r="G135" s="568">
        <v>0.8</v>
      </c>
      <c r="H135" s="568"/>
      <c r="I135" s="568">
        <v>0.8</v>
      </c>
      <c r="J135" s="568">
        <v>0.8</v>
      </c>
      <c r="K135" s="568">
        <v>0.8</v>
      </c>
      <c r="L135" s="568">
        <v>0.8</v>
      </c>
      <c r="M135" s="568">
        <v>0.8</v>
      </c>
      <c r="N135" s="568">
        <v>0.8</v>
      </c>
      <c r="O135" s="568">
        <v>0.8</v>
      </c>
    </row>
    <row r="136" spans="1:15">
      <c r="A136" s="564" t="s">
        <v>1101</v>
      </c>
      <c r="B136" s="569" t="s">
        <v>1104</v>
      </c>
      <c r="C136" s="557" t="s">
        <v>53</v>
      </c>
      <c r="D136" s="568">
        <v>2.7</v>
      </c>
      <c r="E136" s="568">
        <v>2.7</v>
      </c>
      <c r="F136" s="568"/>
      <c r="G136" s="568">
        <v>2.7</v>
      </c>
      <c r="H136" s="568"/>
      <c r="I136" s="568">
        <v>2.7</v>
      </c>
      <c r="J136" s="568">
        <v>2.7</v>
      </c>
      <c r="K136" s="568">
        <v>2.7</v>
      </c>
      <c r="L136" s="568">
        <v>2.7</v>
      </c>
      <c r="M136" s="568">
        <v>2.7</v>
      </c>
      <c r="N136" s="568">
        <v>2.7</v>
      </c>
      <c r="O136" s="568">
        <v>2.7</v>
      </c>
    </row>
    <row r="137" spans="1:15">
      <c r="A137" s="564" t="s">
        <v>1103</v>
      </c>
      <c r="B137" s="569" t="s">
        <v>1106</v>
      </c>
      <c r="C137" s="557" t="s">
        <v>53</v>
      </c>
      <c r="D137" s="568">
        <v>1.2</v>
      </c>
      <c r="E137" s="568">
        <v>1.2</v>
      </c>
      <c r="F137" s="568"/>
      <c r="G137" s="568">
        <v>1.2</v>
      </c>
      <c r="H137" s="568"/>
      <c r="I137" s="568">
        <v>1.2</v>
      </c>
      <c r="J137" s="568">
        <v>1.2</v>
      </c>
      <c r="K137" s="568">
        <v>1.2</v>
      </c>
      <c r="L137" s="568">
        <v>1.2</v>
      </c>
      <c r="M137" s="568">
        <v>1.2</v>
      </c>
      <c r="N137" s="568">
        <v>1.2</v>
      </c>
      <c r="O137" s="568">
        <v>1.2</v>
      </c>
    </row>
    <row r="138" spans="1:15">
      <c r="A138" s="564" t="s">
        <v>1105</v>
      </c>
      <c r="B138" s="569" t="s">
        <v>1108</v>
      </c>
      <c r="C138" s="557" t="s">
        <v>53</v>
      </c>
      <c r="D138" s="568">
        <v>1.6</v>
      </c>
      <c r="E138" s="568">
        <v>1.7</v>
      </c>
      <c r="F138" s="568"/>
      <c r="G138" s="568">
        <v>17.7</v>
      </c>
      <c r="H138" s="568"/>
      <c r="I138" s="568">
        <v>17.7</v>
      </c>
      <c r="J138" s="568">
        <v>17.7</v>
      </c>
      <c r="K138" s="568">
        <v>17.7</v>
      </c>
      <c r="L138" s="568">
        <v>17.7</v>
      </c>
      <c r="M138" s="568">
        <v>17.7</v>
      </c>
      <c r="N138" s="568">
        <v>17.7</v>
      </c>
      <c r="O138" s="568">
        <v>17.7</v>
      </c>
    </row>
    <row r="139" spans="1:15">
      <c r="A139" s="564" t="s">
        <v>1107</v>
      </c>
      <c r="B139" s="569" t="s">
        <v>1110</v>
      </c>
      <c r="C139" s="557" t="s">
        <v>53</v>
      </c>
      <c r="D139" s="568">
        <v>37.049999999999997</v>
      </c>
      <c r="E139" s="568">
        <v>25.67</v>
      </c>
      <c r="F139" s="568"/>
      <c r="G139" s="568">
        <v>25.67</v>
      </c>
      <c r="H139" s="568"/>
      <c r="I139" s="568">
        <v>25.67</v>
      </c>
      <c r="J139" s="568">
        <v>25.67</v>
      </c>
      <c r="K139" s="568">
        <v>25.67</v>
      </c>
      <c r="L139" s="568">
        <v>25.67</v>
      </c>
      <c r="M139" s="568">
        <v>25.67</v>
      </c>
      <c r="N139" s="568">
        <v>25.67</v>
      </c>
      <c r="O139" s="568">
        <v>25.67</v>
      </c>
    </row>
    <row r="140" spans="1:15" s="555" customFormat="1" ht="14.25" customHeight="1">
      <c r="A140" s="564" t="s">
        <v>1109</v>
      </c>
      <c r="B140" s="1078" t="s">
        <v>1112</v>
      </c>
      <c r="C140" s="558" t="s">
        <v>53</v>
      </c>
      <c r="D140" s="1079">
        <f>SUM(D141:D146)</f>
        <v>89.259999999999991</v>
      </c>
      <c r="E140" s="1079">
        <f t="shared" ref="E140:G140" si="68">SUM(E141:E146)</f>
        <v>134.16</v>
      </c>
      <c r="F140" s="1079"/>
      <c r="G140" s="1079">
        <f t="shared" si="68"/>
        <v>134.16</v>
      </c>
      <c r="H140" s="1079"/>
      <c r="I140" s="1079">
        <f t="shared" ref="I140" si="69">SUM(I141:I146)</f>
        <v>134.16</v>
      </c>
      <c r="J140" s="1079">
        <f t="shared" ref="J140:L140" si="70">SUM(J141:J146)</f>
        <v>134.16</v>
      </c>
      <c r="K140" s="1079">
        <f t="shared" si="70"/>
        <v>134.16</v>
      </c>
      <c r="L140" s="1080">
        <f t="shared" si="70"/>
        <v>134.16</v>
      </c>
      <c r="M140" s="1079">
        <f t="shared" ref="M140:O140" si="71">SUM(M141:M146)</f>
        <v>134.16</v>
      </c>
      <c r="N140" s="1079">
        <f t="shared" si="71"/>
        <v>134.16</v>
      </c>
      <c r="O140" s="1080">
        <f t="shared" si="71"/>
        <v>134.16</v>
      </c>
    </row>
    <row r="141" spans="1:15">
      <c r="A141" s="564" t="s">
        <v>1111</v>
      </c>
      <c r="B141" s="569" t="s">
        <v>1114</v>
      </c>
      <c r="C141" s="557" t="s">
        <v>53</v>
      </c>
      <c r="D141" s="566">
        <v>54.11</v>
      </c>
      <c r="E141" s="566">
        <v>92.58</v>
      </c>
      <c r="F141" s="566"/>
      <c r="G141" s="566">
        <v>92.58</v>
      </c>
      <c r="H141" s="566"/>
      <c r="I141" s="566">
        <v>92.58</v>
      </c>
      <c r="J141" s="566">
        <v>92.58</v>
      </c>
      <c r="K141" s="566">
        <v>92.58</v>
      </c>
      <c r="L141" s="566">
        <v>92.58</v>
      </c>
      <c r="M141" s="566">
        <v>92.58</v>
      </c>
      <c r="N141" s="566">
        <v>92.58</v>
      </c>
      <c r="O141" s="566">
        <v>92.58</v>
      </c>
    </row>
    <row r="142" spans="1:15">
      <c r="A142" s="564" t="s">
        <v>1113</v>
      </c>
      <c r="B142" s="569" t="s">
        <v>1116</v>
      </c>
      <c r="C142" s="557" t="s">
        <v>53</v>
      </c>
      <c r="D142" s="566">
        <v>5.12</v>
      </c>
      <c r="E142" s="566">
        <v>5.0999999999999996</v>
      </c>
      <c r="F142" s="566"/>
      <c r="G142" s="566">
        <v>5.0999999999999996</v>
      </c>
      <c r="H142" s="566"/>
      <c r="I142" s="566">
        <v>5.0999999999999996</v>
      </c>
      <c r="J142" s="566">
        <v>5.0999999999999996</v>
      </c>
      <c r="K142" s="566">
        <v>5.0999999999999996</v>
      </c>
      <c r="L142" s="566">
        <v>5.0999999999999996</v>
      </c>
      <c r="M142" s="566">
        <v>5.0999999999999996</v>
      </c>
      <c r="N142" s="566">
        <v>5.0999999999999996</v>
      </c>
      <c r="O142" s="566">
        <v>5.0999999999999996</v>
      </c>
    </row>
    <row r="143" spans="1:15">
      <c r="A143" s="564" t="s">
        <v>1115</v>
      </c>
      <c r="B143" s="569" t="s">
        <v>1118</v>
      </c>
      <c r="C143" s="557" t="s">
        <v>53</v>
      </c>
      <c r="D143" s="566">
        <v>26</v>
      </c>
      <c r="E143" s="566">
        <v>32.450000000000003</v>
      </c>
      <c r="F143" s="566"/>
      <c r="G143" s="566">
        <v>32.450000000000003</v>
      </c>
      <c r="H143" s="566"/>
      <c r="I143" s="566">
        <v>32.450000000000003</v>
      </c>
      <c r="J143" s="566">
        <v>32.450000000000003</v>
      </c>
      <c r="K143" s="566">
        <v>32.450000000000003</v>
      </c>
      <c r="L143" s="566">
        <v>32.450000000000003</v>
      </c>
      <c r="M143" s="566">
        <v>32.450000000000003</v>
      </c>
      <c r="N143" s="566">
        <v>32.450000000000003</v>
      </c>
      <c r="O143" s="566">
        <v>32.450000000000003</v>
      </c>
    </row>
    <row r="144" spans="1:15">
      <c r="A144" s="564" t="s">
        <v>1117</v>
      </c>
      <c r="B144" s="569" t="s">
        <v>1120</v>
      </c>
      <c r="C144" s="557" t="s">
        <v>53</v>
      </c>
      <c r="D144" s="566">
        <v>0.2</v>
      </c>
      <c r="E144" s="566">
        <v>0.2</v>
      </c>
      <c r="F144" s="566"/>
      <c r="G144" s="566">
        <v>0.2</v>
      </c>
      <c r="H144" s="566"/>
      <c r="I144" s="566">
        <v>0.2</v>
      </c>
      <c r="J144" s="566">
        <v>0.2</v>
      </c>
      <c r="K144" s="566">
        <v>0.2</v>
      </c>
      <c r="L144" s="566">
        <v>0.2</v>
      </c>
      <c r="M144" s="566">
        <v>0.2</v>
      </c>
      <c r="N144" s="566">
        <v>0.2</v>
      </c>
      <c r="O144" s="566">
        <v>0.2</v>
      </c>
    </row>
    <row r="145" spans="1:28">
      <c r="A145" s="564" t="s">
        <v>1119</v>
      </c>
      <c r="B145" s="569" t="s">
        <v>1122</v>
      </c>
      <c r="C145" s="557" t="s">
        <v>53</v>
      </c>
      <c r="D145" s="566">
        <v>2.58</v>
      </c>
      <c r="E145" s="566">
        <v>2.58</v>
      </c>
      <c r="F145" s="566"/>
      <c r="G145" s="566">
        <v>2.58</v>
      </c>
      <c r="H145" s="566"/>
      <c r="I145" s="566">
        <v>2.58</v>
      </c>
      <c r="J145" s="566">
        <v>2.58</v>
      </c>
      <c r="K145" s="566">
        <v>2.58</v>
      </c>
      <c r="L145" s="566">
        <v>2.58</v>
      </c>
      <c r="M145" s="566">
        <v>2.58</v>
      </c>
      <c r="N145" s="566">
        <v>2.58</v>
      </c>
      <c r="O145" s="566">
        <v>2.58</v>
      </c>
    </row>
    <row r="146" spans="1:28">
      <c r="A146" s="564" t="s">
        <v>1121</v>
      </c>
      <c r="B146" s="569" t="s">
        <v>1123</v>
      </c>
      <c r="C146" s="557" t="s">
        <v>53</v>
      </c>
      <c r="D146" s="566">
        <v>1.25</v>
      </c>
      <c r="E146" s="566">
        <v>1.25</v>
      </c>
      <c r="F146" s="566"/>
      <c r="G146" s="566">
        <v>1.25</v>
      </c>
      <c r="H146" s="566"/>
      <c r="I146" s="566">
        <v>1.25</v>
      </c>
      <c r="J146" s="566">
        <v>1.25</v>
      </c>
      <c r="K146" s="566">
        <v>1.25</v>
      </c>
      <c r="L146" s="566">
        <v>1.25</v>
      </c>
      <c r="M146" s="566">
        <v>1.25</v>
      </c>
      <c r="N146" s="566">
        <v>1.25</v>
      </c>
      <c r="O146" s="566">
        <v>1.25</v>
      </c>
    </row>
    <row r="147" spans="1:28" ht="18.75" customHeight="1">
      <c r="A147" s="562" t="s">
        <v>34</v>
      </c>
      <c r="B147" s="1083" t="s">
        <v>1003</v>
      </c>
      <c r="C147" s="558" t="s">
        <v>53</v>
      </c>
      <c r="D147" s="1079">
        <f t="shared" ref="D147" si="72">D148</f>
        <v>0.86</v>
      </c>
      <c r="E147" s="1079">
        <f t="shared" ref="E147:I147" si="73">E148</f>
        <v>0.86</v>
      </c>
      <c r="F147" s="1079"/>
      <c r="G147" s="1079">
        <f t="shared" si="73"/>
        <v>0.86</v>
      </c>
      <c r="H147" s="1079"/>
      <c r="I147" s="1079">
        <f t="shared" si="73"/>
        <v>0.86</v>
      </c>
      <c r="J147" s="1079">
        <f t="shared" ref="J147:L147" si="74">J148</f>
        <v>0.86</v>
      </c>
      <c r="K147" s="1079">
        <f t="shared" si="74"/>
        <v>0.86</v>
      </c>
      <c r="L147" s="1079">
        <f t="shared" si="74"/>
        <v>0.86</v>
      </c>
      <c r="M147" s="1079">
        <f t="shared" ref="M147:O147" si="75">M148</f>
        <v>0.86</v>
      </c>
      <c r="N147" s="1079">
        <f t="shared" si="75"/>
        <v>0.86</v>
      </c>
      <c r="O147" s="1079">
        <f t="shared" si="75"/>
        <v>0.86</v>
      </c>
    </row>
    <row r="148" spans="1:28">
      <c r="A148" s="368" t="s">
        <v>1124</v>
      </c>
      <c r="B148" s="569" t="s">
        <v>1090</v>
      </c>
      <c r="C148" s="557" t="s">
        <v>53</v>
      </c>
      <c r="D148" s="570">
        <v>0.86</v>
      </c>
      <c r="E148" s="572">
        <v>0.86</v>
      </c>
      <c r="F148" s="572"/>
      <c r="G148" s="572">
        <v>0.86</v>
      </c>
      <c r="H148" s="572"/>
      <c r="I148" s="572">
        <v>0.86</v>
      </c>
      <c r="J148" s="572">
        <v>0.86</v>
      </c>
      <c r="K148" s="572">
        <v>0.86</v>
      </c>
      <c r="L148" s="572">
        <v>0.86</v>
      </c>
      <c r="M148" s="572">
        <v>0.86</v>
      </c>
      <c r="N148" s="572">
        <v>0.86</v>
      </c>
      <c r="O148" s="572">
        <v>0.86</v>
      </c>
    </row>
    <row r="149" spans="1:28">
      <c r="A149" s="573"/>
      <c r="B149" s="574"/>
      <c r="C149" s="575"/>
      <c r="D149" s="576"/>
      <c r="E149" s="576"/>
      <c r="F149" s="576"/>
      <c r="G149" s="576"/>
      <c r="H149" s="576"/>
    </row>
    <row r="150" spans="1:28">
      <c r="A150" s="1832"/>
      <c r="B150" s="1833"/>
      <c r="C150" s="1833"/>
      <c r="D150" s="576">
        <f>D117+D125+D140+D147</f>
        <v>271.5</v>
      </c>
      <c r="E150" s="576">
        <f t="shared" ref="E150:G150" si="76">E117+E125+E140+E147</f>
        <v>295.98</v>
      </c>
      <c r="F150" s="576">
        <f t="shared" si="76"/>
        <v>0</v>
      </c>
      <c r="G150" s="576">
        <f t="shared" si="76"/>
        <v>311.98</v>
      </c>
      <c r="H150" s="576"/>
    </row>
    <row r="151" spans="1:28" ht="63.75" customHeight="1"/>
    <row r="152" spans="1:28" ht="35.25" customHeight="1">
      <c r="A152" s="1827" t="s">
        <v>1561</v>
      </c>
      <c r="B152" s="1827"/>
      <c r="C152" s="1827"/>
      <c r="D152" s="1827"/>
      <c r="E152" s="1827"/>
      <c r="F152" s="1827"/>
      <c r="G152" s="1827"/>
      <c r="H152" s="1827"/>
    </row>
    <row r="153" spans="1:28" ht="18.75">
      <c r="B153" s="1084"/>
      <c r="C153" s="577"/>
      <c r="D153" s="578"/>
      <c r="E153" s="578"/>
      <c r="F153" s="578"/>
      <c r="G153" s="578"/>
      <c r="H153" s="578"/>
    </row>
    <row r="154" spans="1:28" ht="18.75">
      <c r="B154" s="1084"/>
      <c r="C154" s="577"/>
      <c r="D154" s="578"/>
      <c r="E154" s="578"/>
      <c r="F154" s="578"/>
      <c r="G154" s="578"/>
      <c r="H154" s="578"/>
    </row>
    <row r="155" spans="1:28" ht="33" customHeight="1">
      <c r="B155" s="1085"/>
    </row>
    <row r="156" spans="1:28">
      <c r="B156" s="1086"/>
    </row>
    <row r="158" spans="1:28" s="547" customFormat="1">
      <c r="A158" s="549"/>
      <c r="B158" s="546"/>
      <c r="D158" s="377"/>
      <c r="E158" s="377"/>
      <c r="F158" s="377"/>
      <c r="G158" s="377"/>
      <c r="H158" s="377"/>
      <c r="I158" s="377"/>
      <c r="J158" s="377"/>
      <c r="K158" s="377"/>
      <c r="L158" s="377"/>
      <c r="M158" s="377"/>
      <c r="N158" s="377"/>
      <c r="O158" s="377"/>
      <c r="P158" s="377"/>
      <c r="Q158" s="377"/>
      <c r="R158" s="377"/>
      <c r="S158" s="377"/>
      <c r="T158" s="377"/>
      <c r="U158" s="377"/>
      <c r="V158" s="377"/>
      <c r="W158" s="377"/>
      <c r="X158" s="377"/>
      <c r="Y158" s="377"/>
      <c r="Z158" s="377"/>
      <c r="AA158" s="377"/>
      <c r="AB158" s="377"/>
    </row>
    <row r="159" spans="1:28" s="547" customFormat="1">
      <c r="A159" s="549"/>
      <c r="B159" s="546"/>
      <c r="D159" s="377"/>
      <c r="E159" s="377"/>
      <c r="F159" s="377"/>
      <c r="G159" s="377"/>
      <c r="H159" s="377"/>
      <c r="I159" s="377"/>
      <c r="J159" s="377"/>
      <c r="K159" s="377"/>
      <c r="L159" s="377"/>
      <c r="M159" s="377"/>
      <c r="N159" s="377"/>
      <c r="O159" s="377"/>
      <c r="P159" s="377"/>
      <c r="Q159" s="377"/>
      <c r="R159" s="377"/>
      <c r="S159" s="377"/>
      <c r="T159" s="377"/>
      <c r="U159" s="377"/>
      <c r="V159" s="377"/>
      <c r="W159" s="377"/>
      <c r="X159" s="377"/>
      <c r="Y159" s="377"/>
      <c r="Z159" s="377"/>
      <c r="AA159" s="377"/>
      <c r="AB159" s="377"/>
    </row>
    <row r="160" spans="1:28" s="547" customFormat="1">
      <c r="A160" s="549"/>
      <c r="B160" s="546"/>
      <c r="D160" s="377"/>
      <c r="E160" s="377"/>
      <c r="F160" s="377"/>
      <c r="G160" s="377"/>
      <c r="H160" s="377"/>
      <c r="I160" s="377"/>
      <c r="J160" s="377"/>
      <c r="K160" s="377"/>
      <c r="L160" s="377"/>
      <c r="M160" s="377"/>
      <c r="N160" s="377"/>
      <c r="O160" s="377"/>
      <c r="P160" s="377"/>
      <c r="Q160" s="377"/>
      <c r="R160" s="377"/>
      <c r="S160" s="377"/>
      <c r="T160" s="377"/>
      <c r="U160" s="377"/>
      <c r="V160" s="377"/>
      <c r="W160" s="377"/>
      <c r="X160" s="377"/>
      <c r="Y160" s="377"/>
      <c r="Z160" s="377"/>
      <c r="AA160" s="377"/>
      <c r="AB160" s="377"/>
    </row>
    <row r="161" spans="1:28" s="547" customFormat="1">
      <c r="A161" s="549"/>
      <c r="B161" s="546"/>
      <c r="D161" s="377"/>
      <c r="E161" s="377"/>
      <c r="F161" s="377"/>
      <c r="G161" s="377"/>
      <c r="H161" s="377"/>
      <c r="I161" s="377"/>
      <c r="J161" s="377"/>
      <c r="K161" s="377"/>
      <c r="L161" s="377"/>
      <c r="M161" s="377"/>
      <c r="N161" s="377"/>
      <c r="O161" s="377"/>
      <c r="P161" s="377"/>
      <c r="Q161" s="377"/>
      <c r="R161" s="377"/>
      <c r="S161" s="377"/>
      <c r="T161" s="377"/>
      <c r="U161" s="377"/>
      <c r="V161" s="377"/>
      <c r="W161" s="377"/>
      <c r="X161" s="377"/>
      <c r="Y161" s="377"/>
      <c r="Z161" s="377"/>
      <c r="AA161" s="377"/>
      <c r="AB161" s="377"/>
    </row>
    <row r="162" spans="1:28" s="547" customFormat="1">
      <c r="A162" s="549"/>
      <c r="B162" s="546"/>
      <c r="D162" s="377"/>
      <c r="E162" s="377"/>
      <c r="F162" s="377"/>
      <c r="G162" s="377"/>
      <c r="H162" s="377"/>
      <c r="I162" s="377"/>
      <c r="J162" s="377"/>
      <c r="K162" s="377"/>
      <c r="L162" s="377"/>
      <c r="M162" s="377"/>
      <c r="N162" s="377"/>
      <c r="O162" s="377"/>
      <c r="P162" s="377"/>
      <c r="Q162" s="377"/>
      <c r="R162" s="377"/>
      <c r="S162" s="377"/>
      <c r="T162" s="377"/>
      <c r="U162" s="377"/>
      <c r="V162" s="377"/>
      <c r="W162" s="377"/>
      <c r="X162" s="377"/>
      <c r="Y162" s="377"/>
      <c r="Z162" s="377"/>
      <c r="AA162" s="377"/>
      <c r="AB162" s="377"/>
    </row>
    <row r="163" spans="1:28" s="547" customFormat="1">
      <c r="A163" s="549"/>
      <c r="B163" s="546"/>
      <c r="D163" s="377"/>
      <c r="E163" s="377"/>
      <c r="F163" s="377"/>
      <c r="G163" s="377"/>
      <c r="H163" s="377"/>
      <c r="I163" s="377"/>
      <c r="J163" s="377"/>
      <c r="K163" s="377"/>
      <c r="L163" s="377"/>
      <c r="M163" s="377"/>
      <c r="N163" s="377"/>
      <c r="O163" s="377"/>
      <c r="P163" s="377"/>
      <c r="Q163" s="377"/>
      <c r="R163" s="377"/>
      <c r="S163" s="377"/>
      <c r="T163" s="377"/>
      <c r="U163" s="377"/>
      <c r="V163" s="377"/>
      <c r="W163" s="377"/>
      <c r="X163" s="377"/>
      <c r="Y163" s="377"/>
      <c r="Z163" s="377"/>
      <c r="AA163" s="377"/>
      <c r="AB163" s="377"/>
    </row>
    <row r="164" spans="1:28" s="547" customFormat="1">
      <c r="A164" s="549"/>
      <c r="B164" s="546"/>
      <c r="D164" s="377"/>
      <c r="E164" s="377"/>
      <c r="F164" s="377"/>
      <c r="G164" s="377"/>
      <c r="H164" s="377"/>
      <c r="I164" s="377"/>
      <c r="J164" s="377"/>
      <c r="K164" s="377"/>
      <c r="L164" s="377"/>
      <c r="M164" s="377"/>
      <c r="N164" s="377"/>
      <c r="O164" s="377"/>
      <c r="P164" s="377"/>
      <c r="Q164" s="377"/>
      <c r="R164" s="377"/>
      <c r="S164" s="377"/>
      <c r="T164" s="377"/>
      <c r="U164" s="377"/>
      <c r="V164" s="377"/>
      <c r="W164" s="377"/>
      <c r="X164" s="377"/>
      <c r="Y164" s="377"/>
      <c r="Z164" s="377"/>
      <c r="AA164" s="377"/>
      <c r="AB164" s="377"/>
    </row>
    <row r="165" spans="1:28" s="547" customFormat="1">
      <c r="A165" s="549"/>
      <c r="B165" s="546"/>
      <c r="D165" s="377"/>
      <c r="E165" s="377"/>
      <c r="F165" s="377"/>
      <c r="G165" s="377"/>
      <c r="H165" s="377"/>
      <c r="I165" s="377"/>
      <c r="J165" s="377"/>
      <c r="K165" s="377"/>
      <c r="L165" s="377"/>
      <c r="M165" s="377"/>
      <c r="N165" s="377"/>
      <c r="O165" s="377"/>
      <c r="P165" s="377"/>
      <c r="Q165" s="377"/>
      <c r="R165" s="377"/>
      <c r="S165" s="377"/>
      <c r="T165" s="377"/>
      <c r="U165" s="377"/>
      <c r="V165" s="377"/>
      <c r="W165" s="377"/>
      <c r="X165" s="377"/>
      <c r="Y165" s="377"/>
      <c r="Z165" s="377"/>
      <c r="AA165" s="377"/>
      <c r="AB165" s="377"/>
    </row>
    <row r="166" spans="1:28" s="547" customFormat="1">
      <c r="A166" s="549"/>
      <c r="B166" s="546"/>
      <c r="D166" s="377"/>
      <c r="E166" s="377"/>
      <c r="F166" s="377"/>
      <c r="G166" s="377"/>
      <c r="H166" s="377"/>
      <c r="I166" s="377"/>
      <c r="J166" s="377"/>
      <c r="K166" s="377"/>
      <c r="L166" s="377"/>
      <c r="M166" s="377"/>
      <c r="N166" s="377"/>
      <c r="O166" s="377"/>
      <c r="P166" s="377"/>
      <c r="Q166" s="377"/>
      <c r="R166" s="377"/>
      <c r="S166" s="377"/>
      <c r="T166" s="377"/>
      <c r="U166" s="377"/>
      <c r="V166" s="377"/>
      <c r="W166" s="377"/>
      <c r="X166" s="377"/>
      <c r="Y166" s="377"/>
      <c r="Z166" s="377"/>
      <c r="AA166" s="377"/>
      <c r="AB166" s="377"/>
    </row>
    <row r="167" spans="1:28" s="547" customFormat="1">
      <c r="A167" s="549"/>
      <c r="B167" s="546"/>
      <c r="D167" s="377"/>
      <c r="E167" s="377"/>
      <c r="F167" s="377"/>
      <c r="G167" s="377"/>
      <c r="H167" s="377"/>
      <c r="I167" s="377"/>
      <c r="J167" s="377"/>
      <c r="K167" s="377"/>
      <c r="L167" s="377"/>
      <c r="M167" s="377"/>
      <c r="N167" s="377"/>
      <c r="O167" s="377"/>
      <c r="P167" s="377"/>
      <c r="Q167" s="377"/>
      <c r="R167" s="377"/>
      <c r="S167" s="377"/>
      <c r="T167" s="377"/>
      <c r="U167" s="377"/>
      <c r="V167" s="377"/>
      <c r="W167" s="377"/>
      <c r="X167" s="377"/>
      <c r="Y167" s="377"/>
      <c r="Z167" s="377"/>
      <c r="AA167" s="377"/>
      <c r="AB167" s="377"/>
    </row>
    <row r="168" spans="1:28" s="547" customFormat="1">
      <c r="A168" s="549"/>
      <c r="B168" s="546"/>
      <c r="D168" s="377"/>
      <c r="E168" s="377"/>
      <c r="F168" s="377"/>
      <c r="G168" s="377"/>
      <c r="H168" s="377"/>
      <c r="I168" s="377"/>
      <c r="J168" s="377"/>
      <c r="K168" s="377"/>
      <c r="L168" s="377"/>
      <c r="M168" s="377"/>
      <c r="N168" s="377"/>
      <c r="O168" s="377"/>
      <c r="P168" s="377"/>
      <c r="Q168" s="377"/>
      <c r="R168" s="377"/>
      <c r="S168" s="377"/>
      <c r="T168" s="377"/>
      <c r="U168" s="377"/>
      <c r="V168" s="377"/>
      <c r="W168" s="377"/>
      <c r="X168" s="377"/>
      <c r="Y168" s="377"/>
      <c r="Z168" s="377"/>
      <c r="AA168" s="377"/>
      <c r="AB168" s="377"/>
    </row>
    <row r="169" spans="1:28" s="547" customFormat="1">
      <c r="A169" s="549"/>
      <c r="B169" s="546"/>
      <c r="D169" s="377"/>
      <c r="E169" s="377"/>
      <c r="F169" s="377"/>
      <c r="G169" s="377"/>
      <c r="H169" s="377"/>
      <c r="I169" s="377"/>
      <c r="J169" s="377"/>
      <c r="K169" s="377"/>
      <c r="L169" s="377"/>
      <c r="M169" s="377"/>
      <c r="N169" s="377"/>
      <c r="O169" s="377"/>
      <c r="P169" s="377"/>
      <c r="Q169" s="377"/>
      <c r="R169" s="377"/>
      <c r="S169" s="377"/>
      <c r="T169" s="377"/>
      <c r="U169" s="377"/>
      <c r="V169" s="377"/>
      <c r="W169" s="377"/>
      <c r="X169" s="377"/>
      <c r="Y169" s="377"/>
      <c r="Z169" s="377"/>
      <c r="AA169" s="377"/>
      <c r="AB169" s="377"/>
    </row>
    <row r="170" spans="1:28" s="547" customFormat="1">
      <c r="A170" s="549"/>
      <c r="B170" s="546"/>
      <c r="D170" s="377"/>
      <c r="E170" s="377"/>
      <c r="F170" s="377"/>
      <c r="G170" s="377"/>
      <c r="H170" s="377"/>
      <c r="I170" s="377"/>
      <c r="J170" s="377"/>
      <c r="K170" s="377"/>
      <c r="L170" s="377"/>
      <c r="M170" s="377"/>
      <c r="N170" s="377"/>
      <c r="O170" s="377"/>
      <c r="P170" s="377"/>
      <c r="Q170" s="377"/>
      <c r="R170" s="377"/>
      <c r="S170" s="377"/>
      <c r="T170" s="377"/>
      <c r="U170" s="377"/>
      <c r="V170" s="377"/>
      <c r="W170" s="377"/>
      <c r="X170" s="377"/>
      <c r="Y170" s="377"/>
      <c r="Z170" s="377"/>
      <c r="AA170" s="377"/>
      <c r="AB170" s="377"/>
    </row>
    <row r="171" spans="1:28" s="547" customFormat="1">
      <c r="A171" s="549"/>
      <c r="B171" s="546"/>
      <c r="D171" s="377"/>
      <c r="E171" s="377"/>
      <c r="F171" s="377"/>
      <c r="G171" s="377"/>
      <c r="H171" s="377"/>
      <c r="I171" s="377"/>
      <c r="J171" s="377"/>
      <c r="K171" s="377"/>
      <c r="L171" s="377"/>
      <c r="M171" s="377"/>
      <c r="N171" s="377"/>
      <c r="O171" s="377"/>
      <c r="P171" s="377"/>
      <c r="Q171" s="377"/>
      <c r="R171" s="377"/>
      <c r="S171" s="377"/>
      <c r="T171" s="377"/>
      <c r="U171" s="377"/>
      <c r="V171" s="377"/>
      <c r="W171" s="377"/>
      <c r="X171" s="377"/>
      <c r="Y171" s="377"/>
      <c r="Z171" s="377"/>
      <c r="AA171" s="377"/>
      <c r="AB171" s="377"/>
    </row>
    <row r="172" spans="1:28" s="547" customFormat="1">
      <c r="A172" s="549"/>
      <c r="B172" s="546"/>
      <c r="D172" s="377"/>
      <c r="E172" s="377"/>
      <c r="F172" s="377"/>
      <c r="G172" s="377"/>
      <c r="H172" s="377"/>
      <c r="I172" s="377"/>
      <c r="J172" s="377"/>
      <c r="K172" s="377"/>
      <c r="L172" s="377"/>
      <c r="M172" s="377"/>
      <c r="N172" s="377"/>
      <c r="O172" s="377"/>
      <c r="P172" s="377"/>
      <c r="Q172" s="377"/>
      <c r="R172" s="377"/>
      <c r="S172" s="377"/>
      <c r="T172" s="377"/>
      <c r="U172" s="377"/>
      <c r="V172" s="377"/>
      <c r="W172" s="377"/>
      <c r="X172" s="377"/>
      <c r="Y172" s="377"/>
      <c r="Z172" s="377"/>
      <c r="AA172" s="377"/>
      <c r="AB172" s="377"/>
    </row>
    <row r="173" spans="1:28" s="547" customFormat="1">
      <c r="A173" s="549"/>
      <c r="B173" s="546"/>
      <c r="D173" s="377"/>
      <c r="E173" s="377"/>
      <c r="F173" s="377"/>
      <c r="G173" s="377"/>
      <c r="H173" s="377"/>
      <c r="I173" s="377"/>
      <c r="J173" s="377"/>
      <c r="K173" s="377"/>
      <c r="L173" s="377"/>
      <c r="M173" s="377"/>
      <c r="N173" s="377"/>
      <c r="O173" s="377"/>
      <c r="P173" s="377"/>
      <c r="Q173" s="377"/>
      <c r="R173" s="377"/>
      <c r="S173" s="377"/>
      <c r="T173" s="377"/>
      <c r="U173" s="377"/>
      <c r="V173" s="377"/>
      <c r="W173" s="377"/>
      <c r="X173" s="377"/>
      <c r="Y173" s="377"/>
      <c r="Z173" s="377"/>
      <c r="AA173" s="377"/>
      <c r="AB173" s="377"/>
    </row>
    <row r="174" spans="1:28" s="547" customFormat="1">
      <c r="A174" s="549"/>
      <c r="B174" s="546"/>
      <c r="D174" s="377"/>
      <c r="E174" s="377"/>
      <c r="F174" s="377"/>
      <c r="G174" s="377"/>
      <c r="H174" s="377"/>
      <c r="I174" s="377"/>
      <c r="J174" s="377"/>
      <c r="K174" s="377"/>
      <c r="L174" s="377"/>
      <c r="M174" s="377"/>
      <c r="N174" s="377"/>
      <c r="O174" s="377"/>
      <c r="P174" s="377"/>
      <c r="Q174" s="377"/>
      <c r="R174" s="377"/>
      <c r="S174" s="377"/>
      <c r="T174" s="377"/>
      <c r="U174" s="377"/>
      <c r="V174" s="377"/>
      <c r="W174" s="377"/>
      <c r="X174" s="377"/>
      <c r="Y174" s="377"/>
      <c r="Z174" s="377"/>
      <c r="AA174" s="377"/>
      <c r="AB174" s="377"/>
    </row>
    <row r="175" spans="1:28" s="547" customFormat="1">
      <c r="A175" s="549"/>
      <c r="B175" s="546"/>
      <c r="D175" s="377"/>
      <c r="E175" s="377"/>
      <c r="F175" s="377"/>
      <c r="G175" s="377"/>
      <c r="H175" s="377"/>
      <c r="I175" s="377"/>
      <c r="J175" s="377"/>
      <c r="K175" s="377"/>
      <c r="L175" s="377"/>
      <c r="M175" s="377"/>
      <c r="N175" s="377"/>
      <c r="O175" s="377"/>
      <c r="P175" s="377"/>
      <c r="Q175" s="377"/>
      <c r="R175" s="377"/>
      <c r="S175" s="377"/>
      <c r="T175" s="377"/>
      <c r="U175" s="377"/>
      <c r="V175" s="377"/>
      <c r="W175" s="377"/>
      <c r="X175" s="377"/>
      <c r="Y175" s="377"/>
      <c r="Z175" s="377"/>
      <c r="AA175" s="377"/>
      <c r="AB175" s="377"/>
    </row>
    <row r="176" spans="1:28" s="547" customFormat="1">
      <c r="A176" s="549"/>
      <c r="B176" s="546"/>
      <c r="D176" s="377"/>
      <c r="E176" s="377"/>
      <c r="F176" s="377"/>
      <c r="G176" s="377"/>
      <c r="H176" s="377"/>
      <c r="I176" s="377"/>
      <c r="J176" s="377"/>
      <c r="K176" s="377"/>
      <c r="L176" s="377"/>
      <c r="M176" s="377"/>
      <c r="N176" s="377"/>
      <c r="O176" s="377"/>
      <c r="P176" s="377"/>
      <c r="Q176" s="377"/>
      <c r="R176" s="377"/>
      <c r="S176" s="377"/>
      <c r="T176" s="377"/>
      <c r="U176" s="377"/>
      <c r="V176" s="377"/>
      <c r="W176" s="377"/>
      <c r="X176" s="377"/>
      <c r="Y176" s="377"/>
      <c r="Z176" s="377"/>
      <c r="AA176" s="377"/>
      <c r="AB176" s="377"/>
    </row>
    <row r="177" spans="1:28" s="547" customFormat="1">
      <c r="A177" s="549"/>
      <c r="B177" s="546"/>
      <c r="D177" s="377"/>
      <c r="E177" s="377"/>
      <c r="F177" s="377"/>
      <c r="G177" s="377"/>
      <c r="H177" s="377"/>
      <c r="I177" s="377"/>
      <c r="J177" s="377"/>
      <c r="K177" s="377"/>
      <c r="L177" s="377"/>
      <c r="M177" s="377"/>
      <c r="N177" s="377"/>
      <c r="O177" s="377"/>
      <c r="P177" s="377"/>
      <c r="Q177" s="377"/>
      <c r="R177" s="377"/>
      <c r="S177" s="377"/>
      <c r="T177" s="377"/>
      <c r="U177" s="377"/>
      <c r="V177" s="377"/>
      <c r="W177" s="377"/>
      <c r="X177" s="377"/>
      <c r="Y177" s="377"/>
      <c r="Z177" s="377"/>
      <c r="AA177" s="377"/>
      <c r="AB177" s="377"/>
    </row>
    <row r="178" spans="1:28" s="547" customFormat="1">
      <c r="A178" s="549"/>
      <c r="B178" s="546"/>
      <c r="D178" s="377"/>
      <c r="E178" s="377"/>
      <c r="F178" s="377"/>
      <c r="G178" s="377"/>
      <c r="H178" s="377"/>
      <c r="I178" s="377"/>
      <c r="J178" s="377"/>
      <c r="K178" s="377"/>
      <c r="L178" s="377"/>
      <c r="M178" s="377"/>
      <c r="N178" s="377"/>
      <c r="O178" s="377"/>
      <c r="P178" s="377"/>
      <c r="Q178" s="377"/>
      <c r="R178" s="377"/>
      <c r="S178" s="377"/>
      <c r="T178" s="377"/>
      <c r="U178" s="377"/>
      <c r="V178" s="377"/>
      <c r="W178" s="377"/>
      <c r="X178" s="377"/>
      <c r="Y178" s="377"/>
      <c r="Z178" s="377"/>
      <c r="AA178" s="377"/>
      <c r="AB178" s="377"/>
    </row>
    <row r="179" spans="1:28" s="547" customFormat="1">
      <c r="A179" s="549"/>
      <c r="B179" s="546"/>
      <c r="D179" s="377"/>
      <c r="E179" s="377"/>
      <c r="F179" s="377"/>
      <c r="G179" s="377"/>
      <c r="H179" s="377"/>
      <c r="I179" s="377"/>
      <c r="J179" s="377"/>
      <c r="K179" s="377"/>
      <c r="L179" s="377"/>
      <c r="M179" s="377"/>
      <c r="N179" s="377"/>
      <c r="O179" s="377"/>
      <c r="P179" s="377"/>
      <c r="Q179" s="377"/>
      <c r="R179" s="377"/>
      <c r="S179" s="377"/>
      <c r="T179" s="377"/>
      <c r="U179" s="377"/>
      <c r="V179" s="377"/>
      <c r="W179" s="377"/>
      <c r="X179" s="377"/>
      <c r="Y179" s="377"/>
      <c r="Z179" s="377"/>
      <c r="AA179" s="377"/>
      <c r="AB179" s="377"/>
    </row>
    <row r="180" spans="1:28" s="547" customFormat="1">
      <c r="A180" s="549"/>
      <c r="B180" s="546"/>
      <c r="D180" s="377"/>
      <c r="E180" s="377"/>
      <c r="F180" s="377"/>
      <c r="G180" s="377"/>
      <c r="H180" s="377"/>
      <c r="I180" s="377"/>
      <c r="J180" s="377"/>
      <c r="K180" s="377"/>
      <c r="L180" s="377"/>
      <c r="M180" s="377"/>
      <c r="N180" s="377"/>
      <c r="O180" s="377"/>
      <c r="P180" s="377"/>
      <c r="Q180" s="377"/>
      <c r="R180" s="377"/>
      <c r="S180" s="377"/>
      <c r="T180" s="377"/>
      <c r="U180" s="377"/>
      <c r="V180" s="377"/>
      <c r="W180" s="377"/>
      <c r="X180" s="377"/>
      <c r="Y180" s="377"/>
      <c r="Z180" s="377"/>
      <c r="AA180" s="377"/>
      <c r="AB180" s="377"/>
    </row>
    <row r="181" spans="1:28" s="547" customFormat="1">
      <c r="A181" s="549"/>
      <c r="B181" s="546"/>
      <c r="D181" s="377"/>
      <c r="E181" s="377"/>
      <c r="F181" s="377"/>
      <c r="G181" s="377"/>
      <c r="H181" s="377"/>
      <c r="I181" s="377"/>
      <c r="J181" s="377"/>
      <c r="K181" s="377"/>
      <c r="L181" s="377"/>
      <c r="M181" s="377"/>
      <c r="N181" s="377"/>
      <c r="O181" s="377"/>
      <c r="P181" s="377"/>
      <c r="Q181" s="377"/>
      <c r="R181" s="377"/>
      <c r="S181" s="377"/>
      <c r="T181" s="377"/>
      <c r="U181" s="377"/>
      <c r="V181" s="377"/>
      <c r="W181" s="377"/>
      <c r="X181" s="377"/>
      <c r="Y181" s="377"/>
      <c r="Z181" s="377"/>
      <c r="AA181" s="377"/>
      <c r="AB181" s="377"/>
    </row>
    <row r="182" spans="1:28" s="547" customFormat="1">
      <c r="A182" s="549"/>
      <c r="B182" s="546"/>
      <c r="D182" s="377"/>
      <c r="E182" s="377"/>
      <c r="F182" s="377"/>
      <c r="G182" s="377"/>
      <c r="H182" s="377"/>
      <c r="I182" s="377"/>
      <c r="J182" s="377"/>
      <c r="K182" s="377"/>
      <c r="L182" s="377"/>
      <c r="M182" s="377"/>
      <c r="N182" s="377"/>
      <c r="O182" s="377"/>
      <c r="P182" s="377"/>
      <c r="Q182" s="377"/>
      <c r="R182" s="377"/>
      <c r="S182" s="377"/>
      <c r="T182" s="377"/>
      <c r="U182" s="377"/>
      <c r="V182" s="377"/>
      <c r="W182" s="377"/>
      <c r="X182" s="377"/>
      <c r="Y182" s="377"/>
      <c r="Z182" s="377"/>
      <c r="AA182" s="377"/>
      <c r="AB182" s="377"/>
    </row>
    <row r="183" spans="1:28" s="547" customFormat="1">
      <c r="A183" s="549"/>
      <c r="B183" s="546"/>
      <c r="D183" s="377"/>
      <c r="E183" s="377"/>
      <c r="F183" s="377"/>
      <c r="G183" s="377"/>
      <c r="H183" s="377"/>
      <c r="I183" s="377"/>
      <c r="J183" s="377"/>
      <c r="K183" s="377"/>
      <c r="L183" s="377"/>
      <c r="M183" s="377"/>
      <c r="N183" s="377"/>
      <c r="O183" s="377"/>
      <c r="P183" s="377"/>
      <c r="Q183" s="377"/>
      <c r="R183" s="377"/>
      <c r="S183" s="377"/>
      <c r="T183" s="377"/>
      <c r="U183" s="377"/>
      <c r="V183" s="377"/>
      <c r="W183" s="377"/>
      <c r="X183" s="377"/>
      <c r="Y183" s="377"/>
      <c r="Z183" s="377"/>
      <c r="AA183" s="377"/>
      <c r="AB183" s="377"/>
    </row>
    <row r="184" spans="1:28" s="547" customFormat="1">
      <c r="A184" s="549"/>
      <c r="B184" s="546"/>
      <c r="D184" s="377"/>
      <c r="E184" s="377"/>
      <c r="F184" s="377"/>
      <c r="G184" s="377"/>
      <c r="H184" s="377"/>
      <c r="I184" s="377"/>
      <c r="J184" s="377"/>
      <c r="K184" s="377"/>
      <c r="L184" s="377"/>
      <c r="M184" s="377"/>
      <c r="N184" s="377"/>
      <c r="O184" s="377"/>
      <c r="P184" s="377"/>
      <c r="Q184" s="377"/>
      <c r="R184" s="377"/>
      <c r="S184" s="377"/>
      <c r="T184" s="377"/>
      <c r="U184" s="377"/>
      <c r="V184" s="377"/>
      <c r="W184" s="377"/>
      <c r="X184" s="377"/>
      <c r="Y184" s="377"/>
      <c r="Z184" s="377"/>
      <c r="AA184" s="377"/>
      <c r="AB184" s="377"/>
    </row>
    <row r="185" spans="1:28" s="547" customFormat="1">
      <c r="A185" s="549"/>
      <c r="B185" s="546"/>
      <c r="D185" s="377"/>
      <c r="E185" s="377"/>
      <c r="F185" s="377"/>
      <c r="G185" s="377"/>
      <c r="H185" s="377"/>
      <c r="I185" s="377"/>
      <c r="J185" s="377"/>
      <c r="K185" s="377"/>
      <c r="L185" s="377"/>
      <c r="M185" s="377"/>
      <c r="N185" s="377"/>
      <c r="O185" s="377"/>
      <c r="P185" s="377"/>
      <c r="Q185" s="377"/>
      <c r="R185" s="377"/>
      <c r="S185" s="377"/>
      <c r="T185" s="377"/>
      <c r="U185" s="377"/>
      <c r="V185" s="377"/>
      <c r="W185" s="377"/>
      <c r="X185" s="377"/>
      <c r="Y185" s="377"/>
      <c r="Z185" s="377"/>
      <c r="AA185" s="377"/>
      <c r="AB185" s="377"/>
    </row>
    <row r="186" spans="1:28" s="547" customFormat="1">
      <c r="A186" s="549"/>
      <c r="B186" s="546"/>
      <c r="D186" s="377"/>
      <c r="E186" s="377"/>
      <c r="F186" s="377"/>
      <c r="G186" s="377"/>
      <c r="H186" s="377"/>
      <c r="I186" s="377"/>
      <c r="J186" s="377"/>
      <c r="K186" s="377"/>
      <c r="L186" s="377"/>
      <c r="M186" s="377"/>
      <c r="N186" s="377"/>
      <c r="O186" s="377"/>
      <c r="P186" s="377"/>
      <c r="Q186" s="377"/>
      <c r="R186" s="377"/>
      <c r="S186" s="377"/>
      <c r="T186" s="377"/>
      <c r="U186" s="377"/>
      <c r="V186" s="377"/>
      <c r="W186" s="377"/>
      <c r="X186" s="377"/>
      <c r="Y186" s="377"/>
      <c r="Z186" s="377"/>
      <c r="AA186" s="377"/>
      <c r="AB186" s="377"/>
    </row>
    <row r="187" spans="1:28" s="547" customFormat="1">
      <c r="A187" s="549"/>
      <c r="B187" s="546"/>
      <c r="D187" s="377"/>
      <c r="E187" s="377"/>
      <c r="F187" s="377"/>
      <c r="G187" s="377"/>
      <c r="H187" s="377"/>
      <c r="I187" s="377"/>
      <c r="J187" s="377"/>
      <c r="K187" s="377"/>
      <c r="L187" s="377"/>
      <c r="M187" s="377"/>
      <c r="N187" s="377"/>
      <c r="O187" s="377"/>
      <c r="P187" s="377"/>
      <c r="Q187" s="377"/>
      <c r="R187" s="377"/>
      <c r="S187" s="377"/>
      <c r="T187" s="377"/>
      <c r="U187" s="377"/>
      <c r="V187" s="377"/>
      <c r="W187" s="377"/>
      <c r="X187" s="377"/>
      <c r="Y187" s="377"/>
      <c r="Z187" s="377"/>
      <c r="AA187" s="377"/>
      <c r="AB187" s="377"/>
    </row>
    <row r="188" spans="1:28" s="547" customFormat="1">
      <c r="A188" s="549"/>
      <c r="B188" s="546"/>
      <c r="D188" s="377"/>
      <c r="E188" s="377"/>
      <c r="F188" s="377"/>
      <c r="G188" s="377"/>
      <c r="H188" s="377"/>
      <c r="I188" s="377"/>
      <c r="J188" s="377"/>
      <c r="K188" s="377"/>
      <c r="L188" s="377"/>
      <c r="M188" s="377"/>
      <c r="N188" s="377"/>
      <c r="O188" s="377"/>
      <c r="P188" s="377"/>
      <c r="Q188" s="377"/>
      <c r="R188" s="377"/>
      <c r="S188" s="377"/>
      <c r="T188" s="377"/>
      <c r="U188" s="377"/>
      <c r="V188" s="377"/>
      <c r="W188" s="377"/>
      <c r="X188" s="377"/>
      <c r="Y188" s="377"/>
      <c r="Z188" s="377"/>
      <c r="AA188" s="377"/>
      <c r="AB188" s="377"/>
    </row>
    <row r="189" spans="1:28" s="547" customFormat="1">
      <c r="A189" s="549"/>
      <c r="B189" s="546"/>
      <c r="D189" s="377"/>
      <c r="E189" s="377"/>
      <c r="F189" s="377"/>
      <c r="G189" s="377"/>
      <c r="H189" s="377"/>
      <c r="I189" s="377"/>
      <c r="J189" s="377"/>
      <c r="K189" s="377"/>
      <c r="L189" s="377"/>
      <c r="M189" s="377"/>
      <c r="N189" s="377"/>
      <c r="O189" s="377"/>
      <c r="P189" s="377"/>
      <c r="Q189" s="377"/>
      <c r="R189" s="377"/>
      <c r="S189" s="377"/>
      <c r="T189" s="377"/>
      <c r="U189" s="377"/>
      <c r="V189" s="377"/>
      <c r="W189" s="377"/>
      <c r="X189" s="377"/>
      <c r="Y189" s="377"/>
      <c r="Z189" s="377"/>
      <c r="AA189" s="377"/>
      <c r="AB189" s="377"/>
    </row>
    <row r="190" spans="1:28" s="547" customFormat="1">
      <c r="A190" s="549"/>
      <c r="B190" s="546"/>
      <c r="D190" s="377"/>
      <c r="E190" s="377"/>
      <c r="F190" s="377"/>
      <c r="G190" s="377"/>
      <c r="H190" s="377"/>
      <c r="I190" s="377"/>
      <c r="J190" s="377"/>
      <c r="K190" s="377"/>
      <c r="L190" s="377"/>
      <c r="M190" s="377"/>
      <c r="N190" s="377"/>
      <c r="O190" s="377"/>
      <c r="P190" s="377"/>
      <c r="Q190" s="377"/>
      <c r="R190" s="377"/>
      <c r="S190" s="377"/>
      <c r="T190" s="377"/>
      <c r="U190" s="377"/>
      <c r="V190" s="377"/>
      <c r="W190" s="377"/>
      <c r="X190" s="377"/>
      <c r="Y190" s="377"/>
      <c r="Z190" s="377"/>
      <c r="AA190" s="377"/>
      <c r="AB190" s="377"/>
    </row>
    <row r="191" spans="1:28" s="547" customFormat="1">
      <c r="A191" s="549"/>
      <c r="B191" s="546"/>
      <c r="D191" s="377"/>
      <c r="E191" s="377"/>
      <c r="F191" s="377"/>
      <c r="G191" s="377"/>
      <c r="H191" s="377"/>
      <c r="I191" s="377"/>
      <c r="J191" s="377"/>
      <c r="K191" s="377"/>
      <c r="L191" s="377"/>
      <c r="M191" s="377"/>
      <c r="N191" s="377"/>
      <c r="O191" s="377"/>
      <c r="P191" s="377"/>
      <c r="Q191" s="377"/>
      <c r="R191" s="377"/>
      <c r="S191" s="377"/>
      <c r="T191" s="377"/>
      <c r="U191" s="377"/>
      <c r="V191" s="377"/>
      <c r="W191" s="377"/>
      <c r="X191" s="377"/>
      <c r="Y191" s="377"/>
      <c r="Z191" s="377"/>
      <c r="AA191" s="377"/>
      <c r="AB191" s="377"/>
    </row>
    <row r="192" spans="1:28" s="547" customFormat="1">
      <c r="A192" s="549"/>
      <c r="B192" s="546"/>
      <c r="D192" s="377"/>
      <c r="E192" s="377"/>
      <c r="F192" s="377"/>
      <c r="G192" s="377"/>
      <c r="H192" s="377"/>
      <c r="I192" s="377"/>
      <c r="J192" s="377"/>
      <c r="K192" s="377"/>
      <c r="L192" s="377"/>
      <c r="M192" s="377"/>
      <c r="N192" s="377"/>
      <c r="O192" s="377"/>
      <c r="P192" s="377"/>
      <c r="Q192" s="377"/>
      <c r="R192" s="377"/>
      <c r="S192" s="377"/>
      <c r="T192" s="377"/>
      <c r="U192" s="377"/>
      <c r="V192" s="377"/>
      <c r="W192" s="377"/>
      <c r="X192" s="377"/>
      <c r="Y192" s="377"/>
      <c r="Z192" s="377"/>
      <c r="AA192" s="377"/>
      <c r="AB192" s="377"/>
    </row>
    <row r="193" spans="1:28" s="547" customFormat="1">
      <c r="A193" s="549"/>
      <c r="B193" s="546"/>
      <c r="D193" s="377"/>
      <c r="E193" s="377"/>
      <c r="F193" s="377"/>
      <c r="G193" s="377"/>
      <c r="H193" s="377"/>
      <c r="I193" s="377"/>
      <c r="J193" s="377"/>
      <c r="K193" s="377"/>
      <c r="L193" s="377"/>
      <c r="M193" s="377"/>
      <c r="N193" s="377"/>
      <c r="O193" s="377"/>
      <c r="P193" s="377"/>
      <c r="Q193" s="377"/>
      <c r="R193" s="377"/>
      <c r="S193" s="377"/>
      <c r="T193" s="377"/>
      <c r="U193" s="377"/>
      <c r="V193" s="377"/>
      <c r="W193" s="377"/>
      <c r="X193" s="377"/>
      <c r="Y193" s="377"/>
      <c r="Z193" s="377"/>
      <c r="AA193" s="377"/>
      <c r="AB193" s="377"/>
    </row>
    <row r="194" spans="1:28" s="547" customFormat="1">
      <c r="A194" s="549"/>
      <c r="B194" s="546"/>
      <c r="D194" s="377"/>
      <c r="E194" s="377"/>
      <c r="F194" s="377"/>
      <c r="G194" s="377"/>
      <c r="H194" s="377"/>
      <c r="I194" s="377"/>
      <c r="J194" s="377"/>
      <c r="K194" s="377"/>
      <c r="L194" s="377"/>
      <c r="M194" s="377"/>
      <c r="N194" s="377"/>
      <c r="O194" s="377"/>
      <c r="P194" s="377"/>
      <c r="Q194" s="377"/>
      <c r="R194" s="377"/>
      <c r="S194" s="377"/>
      <c r="T194" s="377"/>
      <c r="U194" s="377"/>
      <c r="V194" s="377"/>
      <c r="W194" s="377"/>
      <c r="X194" s="377"/>
      <c r="Y194" s="377"/>
      <c r="Z194" s="377"/>
      <c r="AA194" s="377"/>
      <c r="AB194" s="377"/>
    </row>
    <row r="195" spans="1:28" s="547" customFormat="1">
      <c r="A195" s="549"/>
      <c r="B195" s="546"/>
      <c r="D195" s="377"/>
      <c r="E195" s="377"/>
      <c r="F195" s="377"/>
      <c r="G195" s="377"/>
      <c r="H195" s="377"/>
      <c r="I195" s="377"/>
      <c r="J195" s="377"/>
      <c r="K195" s="377"/>
      <c r="L195" s="377"/>
      <c r="M195" s="377"/>
      <c r="N195" s="377"/>
      <c r="O195" s="377"/>
      <c r="P195" s="377"/>
      <c r="Q195" s="377"/>
      <c r="R195" s="377"/>
      <c r="S195" s="377"/>
      <c r="T195" s="377"/>
      <c r="U195" s="377"/>
      <c r="V195" s="377"/>
      <c r="W195" s="377"/>
      <c r="X195" s="377"/>
      <c r="Y195" s="377"/>
      <c r="Z195" s="377"/>
      <c r="AA195" s="377"/>
      <c r="AB195" s="377"/>
    </row>
    <row r="196" spans="1:28" s="547" customFormat="1">
      <c r="A196" s="549"/>
      <c r="B196" s="546"/>
      <c r="D196" s="377"/>
      <c r="E196" s="377"/>
      <c r="F196" s="377"/>
      <c r="G196" s="377"/>
      <c r="H196" s="377"/>
      <c r="I196" s="377"/>
      <c r="J196" s="377"/>
      <c r="K196" s="377"/>
      <c r="L196" s="377"/>
      <c r="M196" s="377"/>
      <c r="N196" s="377"/>
      <c r="O196" s="377"/>
      <c r="P196" s="377"/>
      <c r="Q196" s="377"/>
      <c r="R196" s="377"/>
      <c r="S196" s="377"/>
      <c r="T196" s="377"/>
      <c r="U196" s="377"/>
      <c r="V196" s="377"/>
      <c r="W196" s="377"/>
      <c r="X196" s="377"/>
      <c r="Y196" s="377"/>
      <c r="Z196" s="377"/>
      <c r="AA196" s="377"/>
      <c r="AB196" s="377"/>
    </row>
    <row r="197" spans="1:28" s="547" customFormat="1">
      <c r="A197" s="549"/>
      <c r="B197" s="546"/>
      <c r="D197" s="377"/>
      <c r="E197" s="377"/>
      <c r="F197" s="377"/>
      <c r="G197" s="377"/>
      <c r="H197" s="377"/>
      <c r="I197" s="377"/>
      <c r="J197" s="377"/>
      <c r="K197" s="377"/>
      <c r="L197" s="377"/>
      <c r="M197" s="377"/>
      <c r="N197" s="377"/>
      <c r="O197" s="377"/>
      <c r="P197" s="377"/>
      <c r="Q197" s="377"/>
      <c r="R197" s="377"/>
      <c r="S197" s="377"/>
      <c r="T197" s="377"/>
      <c r="U197" s="377"/>
      <c r="V197" s="377"/>
      <c r="W197" s="377"/>
      <c r="X197" s="377"/>
      <c r="Y197" s="377"/>
      <c r="Z197" s="377"/>
      <c r="AA197" s="377"/>
      <c r="AB197" s="377"/>
    </row>
    <row r="198" spans="1:28" s="547" customFormat="1">
      <c r="A198" s="549"/>
      <c r="B198" s="546"/>
      <c r="D198" s="377"/>
      <c r="E198" s="377"/>
      <c r="F198" s="377"/>
      <c r="G198" s="377"/>
      <c r="H198" s="377"/>
      <c r="I198" s="377"/>
      <c r="J198" s="377"/>
      <c r="K198" s="377"/>
      <c r="L198" s="377"/>
      <c r="M198" s="377"/>
      <c r="N198" s="377"/>
      <c r="O198" s="377"/>
      <c r="P198" s="377"/>
      <c r="Q198" s="377"/>
      <c r="R198" s="377"/>
      <c r="S198" s="377"/>
      <c r="T198" s="377"/>
      <c r="U198" s="377"/>
      <c r="V198" s="377"/>
      <c r="W198" s="377"/>
      <c r="X198" s="377"/>
      <c r="Y198" s="377"/>
      <c r="Z198" s="377"/>
      <c r="AA198" s="377"/>
      <c r="AB198" s="377"/>
    </row>
    <row r="199" spans="1:28" s="547" customFormat="1">
      <c r="A199" s="549"/>
      <c r="B199" s="546"/>
      <c r="D199" s="377"/>
      <c r="E199" s="377"/>
      <c r="F199" s="377"/>
      <c r="G199" s="377"/>
      <c r="H199" s="377"/>
      <c r="I199" s="377"/>
      <c r="J199" s="377"/>
      <c r="K199" s="377"/>
      <c r="L199" s="377"/>
      <c r="M199" s="377"/>
      <c r="N199" s="377"/>
      <c r="O199" s="377"/>
      <c r="P199" s="377"/>
      <c r="Q199" s="377"/>
      <c r="R199" s="377"/>
      <c r="S199" s="377"/>
      <c r="T199" s="377"/>
      <c r="U199" s="377"/>
      <c r="V199" s="377"/>
      <c r="W199" s="377"/>
      <c r="X199" s="377"/>
      <c r="Y199" s="377"/>
      <c r="Z199" s="377"/>
      <c r="AA199" s="377"/>
      <c r="AB199" s="377"/>
    </row>
    <row r="200" spans="1:28" s="547" customFormat="1">
      <c r="A200" s="549"/>
      <c r="B200" s="546"/>
      <c r="D200" s="377"/>
      <c r="E200" s="377"/>
      <c r="F200" s="377"/>
      <c r="G200" s="377"/>
      <c r="H200" s="377"/>
      <c r="I200" s="377"/>
      <c r="J200" s="377"/>
      <c r="K200" s="377"/>
      <c r="L200" s="377"/>
      <c r="M200" s="377"/>
      <c r="N200" s="377"/>
      <c r="O200" s="377"/>
      <c r="P200" s="377"/>
      <c r="Q200" s="377"/>
      <c r="R200" s="377"/>
      <c r="S200" s="377"/>
      <c r="T200" s="377"/>
      <c r="U200" s="377"/>
      <c r="V200" s="377"/>
      <c r="W200" s="377"/>
      <c r="X200" s="377"/>
      <c r="Y200" s="377"/>
      <c r="Z200" s="377"/>
      <c r="AA200" s="377"/>
      <c r="AB200" s="377"/>
    </row>
    <row r="201" spans="1:28" s="547" customFormat="1">
      <c r="A201" s="549"/>
      <c r="B201" s="546"/>
      <c r="D201" s="377"/>
      <c r="E201" s="377"/>
      <c r="F201" s="377"/>
      <c r="G201" s="377"/>
      <c r="H201" s="377"/>
      <c r="I201" s="377"/>
      <c r="J201" s="377"/>
      <c r="K201" s="377"/>
      <c r="L201" s="377"/>
      <c r="M201" s="377"/>
      <c r="N201" s="377"/>
      <c r="O201" s="377"/>
      <c r="P201" s="377"/>
      <c r="Q201" s="377"/>
      <c r="R201" s="377"/>
      <c r="S201" s="377"/>
      <c r="T201" s="377"/>
      <c r="U201" s="377"/>
      <c r="V201" s="377"/>
      <c r="W201" s="377"/>
      <c r="X201" s="377"/>
      <c r="Y201" s="377"/>
      <c r="Z201" s="377"/>
      <c r="AA201" s="377"/>
      <c r="AB201" s="377"/>
    </row>
    <row r="202" spans="1:28" s="547" customFormat="1">
      <c r="A202" s="549"/>
      <c r="B202" s="546"/>
      <c r="D202" s="377"/>
      <c r="E202" s="377"/>
      <c r="F202" s="377"/>
      <c r="G202" s="377"/>
      <c r="H202" s="377"/>
      <c r="I202" s="377"/>
      <c r="J202" s="377"/>
      <c r="K202" s="377"/>
      <c r="L202" s="377"/>
      <c r="M202" s="377"/>
      <c r="N202" s="377"/>
      <c r="O202" s="377"/>
      <c r="P202" s="377"/>
      <c r="Q202" s="377"/>
      <c r="R202" s="377"/>
      <c r="S202" s="377"/>
      <c r="T202" s="377"/>
      <c r="U202" s="377"/>
      <c r="V202" s="377"/>
      <c r="W202" s="377"/>
      <c r="X202" s="377"/>
      <c r="Y202" s="377"/>
      <c r="Z202" s="377"/>
      <c r="AA202" s="377"/>
      <c r="AB202" s="377"/>
    </row>
    <row r="203" spans="1:28" s="547" customFormat="1">
      <c r="A203" s="549"/>
      <c r="B203" s="546"/>
      <c r="D203" s="377"/>
      <c r="E203" s="377"/>
      <c r="F203" s="377"/>
      <c r="G203" s="377"/>
      <c r="H203" s="377"/>
      <c r="I203" s="377"/>
      <c r="J203" s="377"/>
      <c r="K203" s="377"/>
      <c r="L203" s="377"/>
      <c r="M203" s="377"/>
      <c r="N203" s="377"/>
      <c r="O203" s="377"/>
      <c r="P203" s="377"/>
      <c r="Q203" s="377"/>
      <c r="R203" s="377"/>
      <c r="S203" s="377"/>
      <c r="T203" s="377"/>
      <c r="U203" s="377"/>
      <c r="V203" s="377"/>
      <c r="W203" s="377"/>
      <c r="X203" s="377"/>
      <c r="Y203" s="377"/>
      <c r="Z203" s="377"/>
      <c r="AA203" s="377"/>
      <c r="AB203" s="377"/>
    </row>
    <row r="204" spans="1:28" s="547" customFormat="1">
      <c r="A204" s="549"/>
      <c r="B204" s="546"/>
      <c r="D204" s="377"/>
      <c r="E204" s="377"/>
      <c r="F204" s="377"/>
      <c r="G204" s="377"/>
      <c r="H204" s="377"/>
      <c r="I204" s="377"/>
      <c r="J204" s="377"/>
      <c r="K204" s="377"/>
      <c r="L204" s="377"/>
      <c r="M204" s="377"/>
      <c r="N204" s="377"/>
      <c r="O204" s="377"/>
      <c r="P204" s="377"/>
      <c r="Q204" s="377"/>
      <c r="R204" s="377"/>
      <c r="S204" s="377"/>
      <c r="T204" s="377"/>
      <c r="U204" s="377"/>
      <c r="V204" s="377"/>
      <c r="W204" s="377"/>
      <c r="X204" s="377"/>
      <c r="Y204" s="377"/>
      <c r="Z204" s="377"/>
      <c r="AA204" s="377"/>
      <c r="AB204" s="377"/>
    </row>
    <row r="205" spans="1:28" s="547" customFormat="1">
      <c r="A205" s="549"/>
      <c r="B205" s="546"/>
      <c r="D205" s="377"/>
      <c r="E205" s="377"/>
      <c r="F205" s="377"/>
      <c r="G205" s="377"/>
      <c r="H205" s="377"/>
      <c r="I205" s="377"/>
      <c r="J205" s="377"/>
      <c r="K205" s="377"/>
      <c r="L205" s="377"/>
      <c r="M205" s="377"/>
      <c r="N205" s="377"/>
      <c r="O205" s="377"/>
      <c r="P205" s="377"/>
      <c r="Q205" s="377"/>
      <c r="R205" s="377"/>
      <c r="S205" s="377"/>
      <c r="T205" s="377"/>
      <c r="U205" s="377"/>
      <c r="V205" s="377"/>
      <c r="W205" s="377"/>
      <c r="X205" s="377"/>
      <c r="Y205" s="377"/>
      <c r="Z205" s="377"/>
      <c r="AA205" s="377"/>
      <c r="AB205" s="377"/>
    </row>
    <row r="206" spans="1:28" s="547" customFormat="1">
      <c r="A206" s="549"/>
      <c r="B206" s="546"/>
      <c r="D206" s="377"/>
      <c r="E206" s="377"/>
      <c r="F206" s="377"/>
      <c r="G206" s="377"/>
      <c r="H206" s="377"/>
      <c r="I206" s="377"/>
      <c r="J206" s="377"/>
      <c r="K206" s="377"/>
      <c r="L206" s="377"/>
      <c r="M206" s="377"/>
      <c r="N206" s="377"/>
      <c r="O206" s="377"/>
      <c r="P206" s="377"/>
      <c r="Q206" s="377"/>
      <c r="R206" s="377"/>
      <c r="S206" s="377"/>
      <c r="T206" s="377"/>
      <c r="U206" s="377"/>
      <c r="V206" s="377"/>
      <c r="W206" s="377"/>
      <c r="X206" s="377"/>
      <c r="Y206" s="377"/>
      <c r="Z206" s="377"/>
      <c r="AA206" s="377"/>
      <c r="AB206" s="377"/>
    </row>
    <row r="207" spans="1:28" s="547" customFormat="1">
      <c r="A207" s="549"/>
      <c r="B207" s="546"/>
      <c r="D207" s="377"/>
      <c r="E207" s="377"/>
      <c r="F207" s="377"/>
      <c r="G207" s="377"/>
      <c r="H207" s="377"/>
      <c r="I207" s="377"/>
      <c r="J207" s="377"/>
      <c r="K207" s="377"/>
      <c r="L207" s="377"/>
      <c r="M207" s="377"/>
      <c r="N207" s="377"/>
      <c r="O207" s="377"/>
      <c r="P207" s="377"/>
      <c r="Q207" s="377"/>
      <c r="R207" s="377"/>
      <c r="S207" s="377"/>
      <c r="T207" s="377"/>
      <c r="U207" s="377"/>
      <c r="V207" s="377"/>
      <c r="W207" s="377"/>
      <c r="X207" s="377"/>
      <c r="Y207" s="377"/>
      <c r="Z207" s="377"/>
      <c r="AA207" s="377"/>
      <c r="AB207" s="377"/>
    </row>
    <row r="208" spans="1:28" s="547" customFormat="1">
      <c r="A208" s="549"/>
      <c r="B208" s="546"/>
      <c r="D208" s="377"/>
      <c r="E208" s="377"/>
      <c r="F208" s="377"/>
      <c r="G208" s="377"/>
      <c r="H208" s="377"/>
      <c r="I208" s="377"/>
      <c r="J208" s="377"/>
      <c r="K208" s="377"/>
      <c r="L208" s="377"/>
      <c r="M208" s="377"/>
      <c r="N208" s="377"/>
      <c r="O208" s="377"/>
      <c r="P208" s="377"/>
      <c r="Q208" s="377"/>
      <c r="R208" s="377"/>
      <c r="S208" s="377"/>
      <c r="T208" s="377"/>
      <c r="U208" s="377"/>
      <c r="V208" s="377"/>
      <c r="W208" s="377"/>
      <c r="X208" s="377"/>
      <c r="Y208" s="377"/>
      <c r="Z208" s="377"/>
      <c r="AA208" s="377"/>
      <c r="AB208" s="377"/>
    </row>
    <row r="209" spans="1:28" s="547" customFormat="1">
      <c r="A209" s="549"/>
      <c r="B209" s="546"/>
      <c r="D209" s="377"/>
      <c r="E209" s="377"/>
      <c r="F209" s="377"/>
      <c r="G209" s="377"/>
      <c r="H209" s="377"/>
      <c r="I209" s="377"/>
      <c r="J209" s="377"/>
      <c r="K209" s="377"/>
      <c r="L209" s="377"/>
      <c r="M209" s="377"/>
      <c r="N209" s="377"/>
      <c r="O209" s="377"/>
      <c r="P209" s="377"/>
      <c r="Q209" s="377"/>
      <c r="R209" s="377"/>
      <c r="S209" s="377"/>
      <c r="T209" s="377"/>
      <c r="U209" s="377"/>
      <c r="V209" s="377"/>
      <c r="W209" s="377"/>
      <c r="X209" s="377"/>
      <c r="Y209" s="377"/>
      <c r="Z209" s="377"/>
      <c r="AA209" s="377"/>
      <c r="AB209" s="377"/>
    </row>
    <row r="210" spans="1:28" s="547" customFormat="1">
      <c r="A210" s="549"/>
      <c r="B210" s="546"/>
      <c r="D210" s="377"/>
      <c r="E210" s="377"/>
      <c r="F210" s="377"/>
      <c r="G210" s="377"/>
      <c r="H210" s="377"/>
      <c r="I210" s="377"/>
      <c r="J210" s="377"/>
      <c r="K210" s="377"/>
      <c r="L210" s="377"/>
      <c r="M210" s="377"/>
      <c r="N210" s="377"/>
      <c r="O210" s="377"/>
      <c r="P210" s="377"/>
      <c r="Q210" s="377"/>
      <c r="R210" s="377"/>
      <c r="S210" s="377"/>
      <c r="T210" s="377"/>
      <c r="U210" s="377"/>
      <c r="V210" s="377"/>
      <c r="W210" s="377"/>
      <c r="X210" s="377"/>
      <c r="Y210" s="377"/>
      <c r="Z210" s="377"/>
      <c r="AA210" s="377"/>
      <c r="AB210" s="377"/>
    </row>
    <row r="211" spans="1:28" s="547" customFormat="1">
      <c r="A211" s="549"/>
      <c r="B211" s="546"/>
      <c r="D211" s="377"/>
      <c r="E211" s="377"/>
      <c r="F211" s="377"/>
      <c r="G211" s="377"/>
      <c r="H211" s="377"/>
      <c r="I211" s="377"/>
      <c r="J211" s="377"/>
      <c r="K211" s="377"/>
      <c r="L211" s="377"/>
      <c r="M211" s="377"/>
      <c r="N211" s="377"/>
      <c r="O211" s="377"/>
      <c r="P211" s="377"/>
      <c r="Q211" s="377"/>
      <c r="R211" s="377"/>
      <c r="S211" s="377"/>
      <c r="T211" s="377"/>
      <c r="U211" s="377"/>
      <c r="V211" s="377"/>
      <c r="W211" s="377"/>
      <c r="X211" s="377"/>
      <c r="Y211" s="377"/>
      <c r="Z211" s="377"/>
      <c r="AA211" s="377"/>
      <c r="AB211" s="377"/>
    </row>
    <row r="212" spans="1:28" s="547" customFormat="1">
      <c r="A212" s="549"/>
      <c r="B212" s="546"/>
      <c r="D212" s="377"/>
      <c r="E212" s="377"/>
      <c r="F212" s="377"/>
      <c r="G212" s="377"/>
      <c r="H212" s="377"/>
      <c r="I212" s="377"/>
      <c r="J212" s="377"/>
      <c r="K212" s="377"/>
      <c r="L212" s="377"/>
      <c r="M212" s="377"/>
      <c r="N212" s="377"/>
      <c r="O212" s="377"/>
      <c r="P212" s="377"/>
      <c r="Q212" s="377"/>
      <c r="R212" s="377"/>
      <c r="S212" s="377"/>
      <c r="T212" s="377"/>
      <c r="U212" s="377"/>
      <c r="V212" s="377"/>
      <c r="W212" s="377"/>
      <c r="X212" s="377"/>
      <c r="Y212" s="377"/>
      <c r="Z212" s="377"/>
      <c r="AA212" s="377"/>
      <c r="AB212" s="377"/>
    </row>
    <row r="213" spans="1:28" s="547" customFormat="1">
      <c r="A213" s="549"/>
      <c r="B213" s="546"/>
      <c r="D213" s="377"/>
      <c r="E213" s="377"/>
      <c r="F213" s="377"/>
      <c r="G213" s="377"/>
      <c r="H213" s="377"/>
      <c r="I213" s="377"/>
      <c r="J213" s="377"/>
      <c r="K213" s="377"/>
      <c r="L213" s="377"/>
      <c r="M213" s="377"/>
      <c r="N213" s="377"/>
      <c r="O213" s="377"/>
      <c r="P213" s="377"/>
      <c r="Q213" s="377"/>
      <c r="R213" s="377"/>
      <c r="S213" s="377"/>
      <c r="T213" s="377"/>
      <c r="U213" s="377"/>
      <c r="V213" s="377"/>
      <c r="W213" s="377"/>
      <c r="X213" s="377"/>
      <c r="Y213" s="377"/>
      <c r="Z213" s="377"/>
      <c r="AA213" s="377"/>
      <c r="AB213" s="377"/>
    </row>
    <row r="214" spans="1:28" s="547" customFormat="1">
      <c r="A214" s="549"/>
      <c r="B214" s="546"/>
      <c r="D214" s="377"/>
      <c r="E214" s="377"/>
      <c r="F214" s="377"/>
      <c r="G214" s="377"/>
      <c r="H214" s="377"/>
      <c r="I214" s="377"/>
      <c r="J214" s="377"/>
      <c r="K214" s="377"/>
      <c r="L214" s="377"/>
      <c r="M214" s="377"/>
      <c r="N214" s="377"/>
      <c r="O214" s="377"/>
      <c r="P214" s="377"/>
      <c r="Q214" s="377"/>
      <c r="R214" s="377"/>
      <c r="S214" s="377"/>
      <c r="T214" s="377"/>
      <c r="U214" s="377"/>
      <c r="V214" s="377"/>
      <c r="W214" s="377"/>
      <c r="X214" s="377"/>
      <c r="Y214" s="377"/>
      <c r="Z214" s="377"/>
      <c r="AA214" s="377"/>
      <c r="AB214" s="377"/>
    </row>
    <row r="215" spans="1:28" s="547" customFormat="1">
      <c r="A215" s="549"/>
      <c r="B215" s="546"/>
      <c r="D215" s="377"/>
      <c r="E215" s="377"/>
      <c r="F215" s="377"/>
      <c r="G215" s="377"/>
      <c r="H215" s="377"/>
      <c r="I215" s="377"/>
      <c r="J215" s="377"/>
      <c r="K215" s="377"/>
      <c r="L215" s="377"/>
      <c r="M215" s="377"/>
      <c r="N215" s="377"/>
      <c r="O215" s="377"/>
      <c r="P215" s="377"/>
      <c r="Q215" s="377"/>
      <c r="R215" s="377"/>
      <c r="S215" s="377"/>
      <c r="T215" s="377"/>
      <c r="U215" s="377"/>
      <c r="V215" s="377"/>
      <c r="W215" s="377"/>
      <c r="X215" s="377"/>
      <c r="Y215" s="377"/>
      <c r="Z215" s="377"/>
      <c r="AA215" s="377"/>
      <c r="AB215" s="377"/>
    </row>
    <row r="216" spans="1:28" s="547" customFormat="1">
      <c r="A216" s="549"/>
      <c r="B216" s="546"/>
      <c r="D216" s="377"/>
      <c r="E216" s="377"/>
      <c r="F216" s="377"/>
      <c r="G216" s="377"/>
      <c r="H216" s="377"/>
      <c r="I216" s="377"/>
      <c r="J216" s="377"/>
      <c r="K216" s="377"/>
      <c r="L216" s="377"/>
      <c r="M216" s="377"/>
      <c r="N216" s="377"/>
      <c r="O216" s="377"/>
      <c r="P216" s="377"/>
      <c r="Q216" s="377"/>
      <c r="R216" s="377"/>
      <c r="S216" s="377"/>
      <c r="T216" s="377"/>
      <c r="U216" s="377"/>
      <c r="V216" s="377"/>
      <c r="W216" s="377"/>
      <c r="X216" s="377"/>
      <c r="Y216" s="377"/>
      <c r="Z216" s="377"/>
      <c r="AA216" s="377"/>
      <c r="AB216" s="377"/>
    </row>
    <row r="217" spans="1:28" s="547" customFormat="1">
      <c r="A217" s="549"/>
      <c r="B217" s="546"/>
      <c r="D217" s="377"/>
      <c r="E217" s="377"/>
      <c r="F217" s="377"/>
      <c r="G217" s="377"/>
      <c r="H217" s="377"/>
      <c r="I217" s="377"/>
      <c r="J217" s="377"/>
      <c r="K217" s="377"/>
      <c r="L217" s="377"/>
      <c r="M217" s="377"/>
      <c r="N217" s="377"/>
      <c r="O217" s="377"/>
      <c r="P217" s="377"/>
      <c r="Q217" s="377"/>
      <c r="R217" s="377"/>
      <c r="S217" s="377"/>
      <c r="T217" s="377"/>
      <c r="U217" s="377"/>
      <c r="V217" s="377"/>
      <c r="W217" s="377"/>
      <c r="X217" s="377"/>
      <c r="Y217" s="377"/>
      <c r="Z217" s="377"/>
      <c r="AA217" s="377"/>
      <c r="AB217" s="377"/>
    </row>
    <row r="218" spans="1:28" s="547" customFormat="1">
      <c r="A218" s="549"/>
      <c r="B218" s="546"/>
      <c r="D218" s="377"/>
      <c r="E218" s="377"/>
      <c r="F218" s="377"/>
      <c r="G218" s="377"/>
      <c r="H218" s="377"/>
      <c r="I218" s="377"/>
      <c r="J218" s="377"/>
      <c r="K218" s="377"/>
      <c r="L218" s="377"/>
      <c r="M218" s="377"/>
      <c r="N218" s="377"/>
      <c r="O218" s="377"/>
      <c r="P218" s="377"/>
      <c r="Q218" s="377"/>
      <c r="R218" s="377"/>
      <c r="S218" s="377"/>
      <c r="T218" s="377"/>
      <c r="U218" s="377"/>
      <c r="V218" s="377"/>
      <c r="W218" s="377"/>
      <c r="X218" s="377"/>
      <c r="Y218" s="377"/>
      <c r="Z218" s="377"/>
      <c r="AA218" s="377"/>
      <c r="AB218" s="377"/>
    </row>
    <row r="219" spans="1:28" s="547" customFormat="1">
      <c r="A219" s="549"/>
      <c r="B219" s="546"/>
      <c r="D219" s="377"/>
      <c r="E219" s="377"/>
      <c r="F219" s="377"/>
      <c r="G219" s="377"/>
      <c r="H219" s="377"/>
      <c r="I219" s="377"/>
      <c r="J219" s="377"/>
      <c r="K219" s="377"/>
      <c r="L219" s="377"/>
      <c r="M219" s="377"/>
      <c r="N219" s="377"/>
      <c r="O219" s="377"/>
      <c r="P219" s="377"/>
      <c r="Q219" s="377"/>
      <c r="R219" s="377"/>
      <c r="S219" s="377"/>
      <c r="T219" s="377"/>
      <c r="U219" s="377"/>
      <c r="V219" s="377"/>
      <c r="W219" s="377"/>
      <c r="X219" s="377"/>
      <c r="Y219" s="377"/>
      <c r="Z219" s="377"/>
      <c r="AA219" s="377"/>
      <c r="AB219" s="377"/>
    </row>
    <row r="220" spans="1:28" s="547" customFormat="1">
      <c r="A220" s="549"/>
      <c r="B220" s="546"/>
      <c r="D220" s="377"/>
      <c r="E220" s="377"/>
      <c r="F220" s="377"/>
      <c r="G220" s="377"/>
      <c r="H220" s="377"/>
      <c r="I220" s="377"/>
      <c r="J220" s="377"/>
      <c r="K220" s="377"/>
      <c r="L220" s="377"/>
      <c r="M220" s="377"/>
      <c r="N220" s="377"/>
      <c r="O220" s="377"/>
      <c r="P220" s="377"/>
      <c r="Q220" s="377"/>
      <c r="R220" s="377"/>
      <c r="S220" s="377"/>
      <c r="T220" s="377"/>
      <c r="U220" s="377"/>
      <c r="V220" s="377"/>
      <c r="W220" s="377"/>
      <c r="X220" s="377"/>
      <c r="Y220" s="377"/>
      <c r="Z220" s="377"/>
      <c r="AA220" s="377"/>
      <c r="AB220" s="377"/>
    </row>
    <row r="221" spans="1:28" s="547" customFormat="1">
      <c r="A221" s="549"/>
      <c r="B221" s="546"/>
      <c r="D221" s="377"/>
      <c r="E221" s="377"/>
      <c r="F221" s="377"/>
      <c r="G221" s="377"/>
      <c r="H221" s="377"/>
      <c r="I221" s="377"/>
      <c r="J221" s="377"/>
      <c r="K221" s="377"/>
      <c r="L221" s="377"/>
      <c r="M221" s="377"/>
      <c r="N221" s="377"/>
      <c r="O221" s="377"/>
      <c r="P221" s="377"/>
      <c r="Q221" s="377"/>
      <c r="R221" s="377"/>
      <c r="S221" s="377"/>
      <c r="T221" s="377"/>
      <c r="U221" s="377"/>
      <c r="V221" s="377"/>
      <c r="W221" s="377"/>
      <c r="X221" s="377"/>
      <c r="Y221" s="377"/>
      <c r="Z221" s="377"/>
      <c r="AA221" s="377"/>
      <c r="AB221" s="377"/>
    </row>
    <row r="222" spans="1:28" s="547" customFormat="1">
      <c r="A222" s="549"/>
      <c r="B222" s="546"/>
      <c r="D222" s="377"/>
      <c r="E222" s="377"/>
      <c r="F222" s="377"/>
      <c r="G222" s="377"/>
      <c r="H222" s="377"/>
      <c r="I222" s="377"/>
      <c r="J222" s="377"/>
      <c r="K222" s="377"/>
      <c r="L222" s="377"/>
      <c r="M222" s="377"/>
      <c r="N222" s="377"/>
      <c r="O222" s="377"/>
      <c r="P222" s="377"/>
      <c r="Q222" s="377"/>
      <c r="R222" s="377"/>
      <c r="S222" s="377"/>
      <c r="T222" s="377"/>
      <c r="U222" s="377"/>
      <c r="V222" s="377"/>
      <c r="W222" s="377"/>
      <c r="X222" s="377"/>
      <c r="Y222" s="377"/>
      <c r="Z222" s="377"/>
      <c r="AA222" s="377"/>
      <c r="AB222" s="377"/>
    </row>
    <row r="223" spans="1:28" s="547" customFormat="1">
      <c r="A223" s="549"/>
      <c r="B223" s="546"/>
      <c r="D223" s="377"/>
      <c r="E223" s="377"/>
      <c r="F223" s="377"/>
      <c r="G223" s="377"/>
      <c r="H223" s="377"/>
      <c r="I223" s="377"/>
      <c r="J223" s="377"/>
      <c r="K223" s="377"/>
      <c r="L223" s="377"/>
      <c r="M223" s="377"/>
      <c r="N223" s="377"/>
      <c r="O223" s="377"/>
      <c r="P223" s="377"/>
      <c r="Q223" s="377"/>
      <c r="R223" s="377"/>
      <c r="S223" s="377"/>
      <c r="T223" s="377"/>
      <c r="U223" s="377"/>
      <c r="V223" s="377"/>
      <c r="W223" s="377"/>
      <c r="X223" s="377"/>
      <c r="Y223" s="377"/>
      <c r="Z223" s="377"/>
      <c r="AA223" s="377"/>
      <c r="AB223" s="377"/>
    </row>
    <row r="224" spans="1:28" s="547" customFormat="1">
      <c r="A224" s="549"/>
      <c r="B224" s="546"/>
      <c r="D224" s="377"/>
      <c r="E224" s="377"/>
      <c r="F224" s="377"/>
      <c r="G224" s="377"/>
      <c r="H224" s="377"/>
      <c r="I224" s="377"/>
      <c r="J224" s="377"/>
      <c r="K224" s="377"/>
      <c r="L224" s="377"/>
      <c r="M224" s="377"/>
      <c r="N224" s="377"/>
      <c r="O224" s="377"/>
      <c r="P224" s="377"/>
      <c r="Q224" s="377"/>
      <c r="R224" s="377"/>
      <c r="S224" s="377"/>
      <c r="T224" s="377"/>
      <c r="U224" s="377"/>
      <c r="V224" s="377"/>
      <c r="W224" s="377"/>
      <c r="X224" s="377"/>
      <c r="Y224" s="377"/>
      <c r="Z224" s="377"/>
      <c r="AA224" s="377"/>
      <c r="AB224" s="377"/>
    </row>
    <row r="225" spans="1:28" s="547" customFormat="1">
      <c r="A225" s="549"/>
      <c r="B225" s="546"/>
      <c r="D225" s="377"/>
      <c r="E225" s="377"/>
      <c r="F225" s="377"/>
      <c r="G225" s="377"/>
      <c r="H225" s="377"/>
      <c r="I225" s="377"/>
      <c r="J225" s="377"/>
      <c r="K225" s="377"/>
      <c r="L225" s="377"/>
      <c r="M225" s="377"/>
      <c r="N225" s="377"/>
      <c r="O225" s="377"/>
      <c r="P225" s="377"/>
      <c r="Q225" s="377"/>
      <c r="R225" s="377"/>
      <c r="S225" s="377"/>
      <c r="T225" s="377"/>
      <c r="U225" s="377"/>
      <c r="V225" s="377"/>
      <c r="W225" s="377"/>
      <c r="X225" s="377"/>
      <c r="Y225" s="377"/>
      <c r="Z225" s="377"/>
      <c r="AA225" s="377"/>
      <c r="AB225" s="377"/>
    </row>
    <row r="226" spans="1:28" s="547" customFormat="1">
      <c r="A226" s="549"/>
      <c r="B226" s="546"/>
      <c r="D226" s="377"/>
      <c r="E226" s="377"/>
      <c r="F226" s="377"/>
      <c r="G226" s="377"/>
      <c r="H226" s="377"/>
      <c r="I226" s="377"/>
      <c r="J226" s="377"/>
      <c r="K226" s="377"/>
      <c r="L226" s="377"/>
      <c r="M226" s="377"/>
      <c r="N226" s="377"/>
      <c r="O226" s="377"/>
      <c r="P226" s="377"/>
      <c r="Q226" s="377"/>
      <c r="R226" s="377"/>
      <c r="S226" s="377"/>
      <c r="T226" s="377"/>
      <c r="U226" s="377"/>
      <c r="V226" s="377"/>
      <c r="W226" s="377"/>
      <c r="X226" s="377"/>
      <c r="Y226" s="377"/>
      <c r="Z226" s="377"/>
      <c r="AA226" s="377"/>
      <c r="AB226" s="377"/>
    </row>
    <row r="227" spans="1:28" s="547" customFormat="1">
      <c r="A227" s="549"/>
      <c r="B227" s="546"/>
      <c r="D227" s="377"/>
      <c r="E227" s="377"/>
      <c r="F227" s="377"/>
      <c r="G227" s="377"/>
      <c r="H227" s="377"/>
      <c r="I227" s="377"/>
      <c r="J227" s="377"/>
      <c r="K227" s="377"/>
      <c r="L227" s="377"/>
      <c r="M227" s="377"/>
      <c r="N227" s="377"/>
      <c r="O227" s="377"/>
      <c r="P227" s="377"/>
      <c r="Q227" s="377"/>
      <c r="R227" s="377"/>
      <c r="S227" s="377"/>
      <c r="T227" s="377"/>
      <c r="U227" s="377"/>
      <c r="V227" s="377"/>
      <c r="W227" s="377"/>
      <c r="X227" s="377"/>
      <c r="Y227" s="377"/>
      <c r="Z227" s="377"/>
      <c r="AA227" s="377"/>
      <c r="AB227" s="377"/>
    </row>
    <row r="228" spans="1:28" s="547" customFormat="1">
      <c r="A228" s="549"/>
      <c r="B228" s="546"/>
      <c r="D228" s="377"/>
      <c r="E228" s="377"/>
      <c r="F228" s="377"/>
      <c r="G228" s="377"/>
      <c r="H228" s="377"/>
      <c r="I228" s="377"/>
      <c r="J228" s="377"/>
      <c r="K228" s="377"/>
      <c r="L228" s="377"/>
      <c r="M228" s="377"/>
      <c r="N228" s="377"/>
      <c r="O228" s="377"/>
      <c r="P228" s="377"/>
      <c r="Q228" s="377"/>
      <c r="R228" s="377"/>
      <c r="S228" s="377"/>
      <c r="T228" s="377"/>
      <c r="U228" s="377"/>
      <c r="V228" s="377"/>
      <c r="W228" s="377"/>
      <c r="X228" s="377"/>
      <c r="Y228" s="377"/>
      <c r="Z228" s="377"/>
      <c r="AA228" s="377"/>
      <c r="AB228" s="377"/>
    </row>
    <row r="229" spans="1:28" s="547" customFormat="1">
      <c r="A229" s="549"/>
      <c r="B229" s="546"/>
      <c r="D229" s="377"/>
      <c r="E229" s="377"/>
      <c r="F229" s="377"/>
      <c r="G229" s="377"/>
      <c r="H229" s="377"/>
      <c r="I229" s="377"/>
      <c r="J229" s="377"/>
      <c r="K229" s="377"/>
      <c r="L229" s="377"/>
      <c r="M229" s="377"/>
      <c r="N229" s="377"/>
      <c r="O229" s="377"/>
      <c r="P229" s="377"/>
      <c r="Q229" s="377"/>
      <c r="R229" s="377"/>
      <c r="S229" s="377"/>
      <c r="T229" s="377"/>
      <c r="U229" s="377"/>
      <c r="V229" s="377"/>
      <c r="W229" s="377"/>
      <c r="X229" s="377"/>
      <c r="Y229" s="377"/>
      <c r="Z229" s="377"/>
      <c r="AA229" s="377"/>
      <c r="AB229" s="377"/>
    </row>
    <row r="230" spans="1:28" s="547" customFormat="1">
      <c r="A230" s="549"/>
      <c r="B230" s="546"/>
      <c r="D230" s="377"/>
      <c r="E230" s="377"/>
      <c r="F230" s="377"/>
      <c r="G230" s="377"/>
      <c r="H230" s="377"/>
      <c r="I230" s="377"/>
      <c r="J230" s="377"/>
      <c r="K230" s="377"/>
      <c r="L230" s="377"/>
      <c r="M230" s="377"/>
      <c r="N230" s="377"/>
      <c r="O230" s="377"/>
      <c r="P230" s="377"/>
      <c r="Q230" s="377"/>
      <c r="R230" s="377"/>
      <c r="S230" s="377"/>
      <c r="T230" s="377"/>
      <c r="U230" s="377"/>
      <c r="V230" s="377"/>
      <c r="W230" s="377"/>
      <c r="X230" s="377"/>
      <c r="Y230" s="377"/>
      <c r="Z230" s="377"/>
      <c r="AA230" s="377"/>
      <c r="AB230" s="377"/>
    </row>
    <row r="231" spans="1:28" s="547" customFormat="1">
      <c r="A231" s="549"/>
      <c r="B231" s="546"/>
      <c r="D231" s="377"/>
      <c r="E231" s="377"/>
      <c r="F231" s="377"/>
      <c r="G231" s="377"/>
      <c r="H231" s="377"/>
      <c r="I231" s="377"/>
      <c r="J231" s="377"/>
      <c r="K231" s="377"/>
      <c r="L231" s="377"/>
      <c r="M231" s="377"/>
      <c r="N231" s="377"/>
      <c r="O231" s="377"/>
      <c r="P231" s="377"/>
      <c r="Q231" s="377"/>
      <c r="R231" s="377"/>
      <c r="S231" s="377"/>
      <c r="T231" s="377"/>
      <c r="U231" s="377"/>
      <c r="V231" s="377"/>
      <c r="W231" s="377"/>
      <c r="X231" s="377"/>
      <c r="Y231" s="377"/>
      <c r="Z231" s="377"/>
      <c r="AA231" s="377"/>
      <c r="AB231" s="377"/>
    </row>
    <row r="232" spans="1:28" s="547" customFormat="1">
      <c r="A232" s="549"/>
      <c r="B232" s="546"/>
      <c r="D232" s="377"/>
      <c r="E232" s="377"/>
      <c r="F232" s="377"/>
      <c r="G232" s="377"/>
      <c r="H232" s="377"/>
      <c r="I232" s="377"/>
      <c r="J232" s="377"/>
      <c r="K232" s="377"/>
      <c r="L232" s="377"/>
      <c r="M232" s="377"/>
      <c r="N232" s="377"/>
      <c r="O232" s="377"/>
      <c r="P232" s="377"/>
      <c r="Q232" s="377"/>
      <c r="R232" s="377"/>
      <c r="S232" s="377"/>
      <c r="T232" s="377"/>
      <c r="U232" s="377"/>
      <c r="V232" s="377"/>
      <c r="W232" s="377"/>
      <c r="X232" s="377"/>
      <c r="Y232" s="377"/>
      <c r="Z232" s="377"/>
      <c r="AA232" s="377"/>
      <c r="AB232" s="377"/>
    </row>
    <row r="233" spans="1:28" s="547" customFormat="1">
      <c r="A233" s="549"/>
      <c r="B233" s="546"/>
      <c r="D233" s="377"/>
      <c r="E233" s="377"/>
      <c r="F233" s="377"/>
      <c r="G233" s="377"/>
      <c r="H233" s="377"/>
      <c r="I233" s="377"/>
      <c r="J233" s="377"/>
      <c r="K233" s="377"/>
      <c r="L233" s="377"/>
      <c r="M233" s="377"/>
      <c r="N233" s="377"/>
      <c r="O233" s="377"/>
      <c r="P233" s="377"/>
      <c r="Q233" s="377"/>
      <c r="R233" s="377"/>
      <c r="S233" s="377"/>
      <c r="T233" s="377"/>
      <c r="U233" s="377"/>
      <c r="V233" s="377"/>
      <c r="W233" s="377"/>
      <c r="X233" s="377"/>
      <c r="Y233" s="377"/>
      <c r="Z233" s="377"/>
      <c r="AA233" s="377"/>
      <c r="AB233" s="377"/>
    </row>
    <row r="234" spans="1:28" s="547" customFormat="1">
      <c r="A234" s="549"/>
      <c r="B234" s="546"/>
      <c r="D234" s="377"/>
      <c r="E234" s="377"/>
      <c r="F234" s="377"/>
      <c r="G234" s="377"/>
      <c r="H234" s="377"/>
      <c r="I234" s="377"/>
      <c r="J234" s="377"/>
      <c r="K234" s="377"/>
      <c r="L234" s="377"/>
      <c r="M234" s="377"/>
      <c r="N234" s="377"/>
      <c r="O234" s="377"/>
      <c r="P234" s="377"/>
      <c r="Q234" s="377"/>
      <c r="R234" s="377"/>
      <c r="S234" s="377"/>
      <c r="T234" s="377"/>
      <c r="U234" s="377"/>
      <c r="V234" s="377"/>
      <c r="W234" s="377"/>
      <c r="X234" s="377"/>
      <c r="Y234" s="377"/>
      <c r="Z234" s="377"/>
      <c r="AA234" s="377"/>
      <c r="AB234" s="377"/>
    </row>
    <row r="235" spans="1:28" s="547" customFormat="1">
      <c r="A235" s="549"/>
      <c r="B235" s="546"/>
      <c r="D235" s="377"/>
      <c r="E235" s="377"/>
      <c r="F235" s="377"/>
      <c r="G235" s="377"/>
      <c r="H235" s="377"/>
      <c r="I235" s="377"/>
      <c r="J235" s="377"/>
      <c r="K235" s="377"/>
      <c r="L235" s="377"/>
      <c r="M235" s="377"/>
      <c r="N235" s="377"/>
      <c r="O235" s="377"/>
      <c r="P235" s="377"/>
      <c r="Q235" s="377"/>
      <c r="R235" s="377"/>
      <c r="S235" s="377"/>
      <c r="T235" s="377"/>
      <c r="U235" s="377"/>
      <c r="V235" s="377"/>
      <c r="W235" s="377"/>
      <c r="X235" s="377"/>
      <c r="Y235" s="377"/>
      <c r="Z235" s="377"/>
      <c r="AA235" s="377"/>
      <c r="AB235" s="377"/>
    </row>
    <row r="236" spans="1:28" s="547" customFormat="1">
      <c r="A236" s="549"/>
      <c r="B236" s="546"/>
      <c r="D236" s="377"/>
      <c r="E236" s="377"/>
      <c r="F236" s="377"/>
      <c r="G236" s="377"/>
      <c r="H236" s="377"/>
      <c r="I236" s="377"/>
      <c r="J236" s="377"/>
      <c r="K236" s="377"/>
      <c r="L236" s="377"/>
      <c r="M236" s="377"/>
      <c r="N236" s="377"/>
      <c r="O236" s="377"/>
      <c r="P236" s="377"/>
      <c r="Q236" s="377"/>
      <c r="R236" s="377"/>
      <c r="S236" s="377"/>
      <c r="T236" s="377"/>
      <c r="U236" s="377"/>
      <c r="V236" s="377"/>
      <c r="W236" s="377"/>
      <c r="X236" s="377"/>
      <c r="Y236" s="377"/>
      <c r="Z236" s="377"/>
      <c r="AA236" s="377"/>
      <c r="AB236" s="377"/>
    </row>
    <row r="237" spans="1:28" s="547" customFormat="1">
      <c r="A237" s="549"/>
      <c r="B237" s="546"/>
      <c r="D237" s="377"/>
      <c r="E237" s="377"/>
      <c r="F237" s="377"/>
      <c r="G237" s="377"/>
      <c r="H237" s="377"/>
      <c r="I237" s="377"/>
      <c r="J237" s="377"/>
      <c r="K237" s="377"/>
      <c r="L237" s="377"/>
      <c r="M237" s="377"/>
      <c r="N237" s="377"/>
      <c r="O237" s="377"/>
      <c r="P237" s="377"/>
      <c r="Q237" s="377"/>
      <c r="R237" s="377"/>
      <c r="S237" s="377"/>
      <c r="T237" s="377"/>
      <c r="U237" s="377"/>
      <c r="V237" s="377"/>
      <c r="W237" s="377"/>
      <c r="X237" s="377"/>
      <c r="Y237" s="377"/>
      <c r="Z237" s="377"/>
      <c r="AA237" s="377"/>
      <c r="AB237" s="377"/>
    </row>
    <row r="238" spans="1:28" s="547" customFormat="1">
      <c r="A238" s="549"/>
      <c r="B238" s="546"/>
      <c r="D238" s="377"/>
      <c r="E238" s="377"/>
      <c r="F238" s="377"/>
      <c r="G238" s="377"/>
      <c r="H238" s="377"/>
      <c r="I238" s="377"/>
      <c r="J238" s="377"/>
      <c r="K238" s="377"/>
      <c r="L238" s="377"/>
      <c r="M238" s="377"/>
      <c r="N238" s="377"/>
      <c r="O238" s="377"/>
      <c r="P238" s="377"/>
      <c r="Q238" s="377"/>
      <c r="R238" s="377"/>
      <c r="S238" s="377"/>
      <c r="T238" s="377"/>
      <c r="U238" s="377"/>
      <c r="V238" s="377"/>
      <c r="W238" s="377"/>
      <c r="X238" s="377"/>
      <c r="Y238" s="377"/>
      <c r="Z238" s="377"/>
      <c r="AA238" s="377"/>
      <c r="AB238" s="377"/>
    </row>
    <row r="239" spans="1:28" s="547" customFormat="1">
      <c r="A239" s="549"/>
      <c r="B239" s="546"/>
      <c r="D239" s="377"/>
      <c r="E239" s="377"/>
      <c r="F239" s="377"/>
      <c r="G239" s="377"/>
      <c r="H239" s="377"/>
      <c r="I239" s="377"/>
      <c r="J239" s="377"/>
      <c r="K239" s="377"/>
      <c r="L239" s="377"/>
      <c r="M239" s="377"/>
      <c r="N239" s="377"/>
      <c r="O239" s="377"/>
      <c r="P239" s="377"/>
      <c r="Q239" s="377"/>
      <c r="R239" s="377"/>
      <c r="S239" s="377"/>
      <c r="T239" s="377"/>
      <c r="U239" s="377"/>
      <c r="V239" s="377"/>
      <c r="W239" s="377"/>
      <c r="X239" s="377"/>
      <c r="Y239" s="377"/>
      <c r="Z239" s="377"/>
      <c r="AA239" s="377"/>
      <c r="AB239" s="377"/>
    </row>
    <row r="240" spans="1:28" s="547" customFormat="1">
      <c r="A240" s="549"/>
      <c r="B240" s="546"/>
      <c r="D240" s="377"/>
      <c r="E240" s="377"/>
      <c r="F240" s="377"/>
      <c r="G240" s="377"/>
      <c r="H240" s="377"/>
      <c r="I240" s="377"/>
      <c r="J240" s="377"/>
      <c r="K240" s="377"/>
      <c r="L240" s="377"/>
      <c r="M240" s="377"/>
      <c r="N240" s="377"/>
      <c r="O240" s="377"/>
      <c r="P240" s="377"/>
      <c r="Q240" s="377"/>
      <c r="R240" s="377"/>
      <c r="S240" s="377"/>
      <c r="T240" s="377"/>
      <c r="U240" s="377"/>
      <c r="V240" s="377"/>
      <c r="W240" s="377"/>
      <c r="X240" s="377"/>
      <c r="Y240" s="377"/>
      <c r="Z240" s="377"/>
      <c r="AA240" s="377"/>
      <c r="AB240" s="377"/>
    </row>
    <row r="241" spans="1:28" s="547" customFormat="1">
      <c r="A241" s="549"/>
      <c r="B241" s="546"/>
      <c r="D241" s="377"/>
      <c r="E241" s="377"/>
      <c r="F241" s="377"/>
      <c r="G241" s="377"/>
      <c r="H241" s="377"/>
      <c r="I241" s="377"/>
      <c r="J241" s="377"/>
      <c r="K241" s="377"/>
      <c r="L241" s="377"/>
      <c r="M241" s="377"/>
      <c r="N241" s="377"/>
      <c r="O241" s="377"/>
      <c r="P241" s="377"/>
      <c r="Q241" s="377"/>
      <c r="R241" s="377"/>
      <c r="S241" s="377"/>
      <c r="T241" s="377"/>
      <c r="U241" s="377"/>
      <c r="V241" s="377"/>
      <c r="W241" s="377"/>
      <c r="X241" s="377"/>
      <c r="Y241" s="377"/>
      <c r="Z241" s="377"/>
      <c r="AA241" s="377"/>
      <c r="AB241" s="377"/>
    </row>
    <row r="242" spans="1:28" s="547" customFormat="1">
      <c r="A242" s="549"/>
      <c r="B242" s="546"/>
      <c r="D242" s="377"/>
      <c r="E242" s="377"/>
      <c r="F242" s="377"/>
      <c r="G242" s="377"/>
      <c r="H242" s="377"/>
      <c r="I242" s="377"/>
      <c r="J242" s="377"/>
      <c r="K242" s="377"/>
      <c r="L242" s="377"/>
      <c r="M242" s="377"/>
      <c r="N242" s="377"/>
      <c r="O242" s="377"/>
      <c r="P242" s="377"/>
      <c r="Q242" s="377"/>
      <c r="R242" s="377"/>
      <c r="S242" s="377"/>
      <c r="T242" s="377"/>
      <c r="U242" s="377"/>
      <c r="V242" s="377"/>
      <c r="W242" s="377"/>
      <c r="X242" s="377"/>
      <c r="Y242" s="377"/>
      <c r="Z242" s="377"/>
      <c r="AA242" s="377"/>
      <c r="AB242" s="377"/>
    </row>
    <row r="243" spans="1:28" s="547" customFormat="1">
      <c r="A243" s="549"/>
      <c r="B243" s="546"/>
      <c r="D243" s="377"/>
      <c r="E243" s="377"/>
      <c r="F243" s="377"/>
      <c r="G243" s="377"/>
      <c r="H243" s="377"/>
      <c r="I243" s="377"/>
      <c r="J243" s="377"/>
      <c r="K243" s="377"/>
      <c r="L243" s="377"/>
      <c r="M243" s="377"/>
      <c r="N243" s="377"/>
      <c r="O243" s="377"/>
      <c r="P243" s="377"/>
      <c r="Q243" s="377"/>
      <c r="R243" s="377"/>
      <c r="S243" s="377"/>
      <c r="T243" s="377"/>
      <c r="U243" s="377"/>
      <c r="V243" s="377"/>
      <c r="W243" s="377"/>
      <c r="X243" s="377"/>
      <c r="Y243" s="377"/>
      <c r="Z243" s="377"/>
      <c r="AA243" s="377"/>
      <c r="AB243" s="377"/>
    </row>
    <row r="244" spans="1:28" s="547" customFormat="1">
      <c r="A244" s="549"/>
      <c r="B244" s="546"/>
      <c r="D244" s="377"/>
      <c r="E244" s="377"/>
      <c r="F244" s="377"/>
      <c r="G244" s="377"/>
      <c r="H244" s="377"/>
      <c r="I244" s="377"/>
      <c r="J244" s="377"/>
      <c r="K244" s="377"/>
      <c r="L244" s="377"/>
      <c r="M244" s="377"/>
      <c r="N244" s="377"/>
      <c r="O244" s="377"/>
      <c r="P244" s="377"/>
      <c r="Q244" s="377"/>
      <c r="R244" s="377"/>
      <c r="S244" s="377"/>
      <c r="T244" s="377"/>
      <c r="U244" s="377"/>
      <c r="V244" s="377"/>
      <c r="W244" s="377"/>
      <c r="X244" s="377"/>
      <c r="Y244" s="377"/>
      <c r="Z244" s="377"/>
      <c r="AA244" s="377"/>
      <c r="AB244" s="377"/>
    </row>
    <row r="245" spans="1:28" s="547" customFormat="1">
      <c r="A245" s="549"/>
      <c r="B245" s="546"/>
      <c r="D245" s="377"/>
      <c r="E245" s="377"/>
      <c r="F245" s="377"/>
      <c r="G245" s="377"/>
      <c r="H245" s="377"/>
      <c r="I245" s="377"/>
      <c r="J245" s="377"/>
      <c r="K245" s="377"/>
      <c r="L245" s="377"/>
      <c r="M245" s="377"/>
      <c r="N245" s="377"/>
      <c r="O245" s="377"/>
      <c r="P245" s="377"/>
      <c r="Q245" s="377"/>
      <c r="R245" s="377"/>
      <c r="S245" s="377"/>
      <c r="T245" s="377"/>
      <c r="U245" s="377"/>
      <c r="V245" s="377"/>
      <c r="W245" s="377"/>
      <c r="X245" s="377"/>
      <c r="Y245" s="377"/>
      <c r="Z245" s="377"/>
      <c r="AA245" s="377"/>
      <c r="AB245" s="377"/>
    </row>
    <row r="246" spans="1:28" s="547" customFormat="1">
      <c r="A246" s="549"/>
      <c r="B246" s="546"/>
      <c r="D246" s="377"/>
      <c r="E246" s="377"/>
      <c r="F246" s="377"/>
      <c r="G246" s="377"/>
      <c r="H246" s="377"/>
      <c r="I246" s="377"/>
      <c r="J246" s="377"/>
      <c r="K246" s="377"/>
      <c r="L246" s="377"/>
      <c r="M246" s="377"/>
      <c r="N246" s="377"/>
      <c r="O246" s="377"/>
      <c r="P246" s="377"/>
      <c r="Q246" s="377"/>
      <c r="R246" s="377"/>
      <c r="S246" s="377"/>
      <c r="T246" s="377"/>
      <c r="U246" s="377"/>
      <c r="V246" s="377"/>
      <c r="W246" s="377"/>
      <c r="X246" s="377"/>
      <c r="Y246" s="377"/>
      <c r="Z246" s="377"/>
      <c r="AA246" s="377"/>
      <c r="AB246" s="377"/>
    </row>
    <row r="247" spans="1:28" s="547" customFormat="1">
      <c r="A247" s="549"/>
      <c r="B247" s="546"/>
      <c r="D247" s="377"/>
      <c r="E247" s="377"/>
      <c r="F247" s="377"/>
      <c r="G247" s="377"/>
      <c r="H247" s="377"/>
      <c r="I247" s="377"/>
      <c r="J247" s="377"/>
      <c r="K247" s="377"/>
      <c r="L247" s="377"/>
      <c r="M247" s="377"/>
      <c r="N247" s="377"/>
      <c r="O247" s="377"/>
      <c r="P247" s="377"/>
      <c r="Q247" s="377"/>
      <c r="R247" s="377"/>
      <c r="S247" s="377"/>
      <c r="T247" s="377"/>
      <c r="U247" s="377"/>
      <c r="V247" s="377"/>
      <c r="W247" s="377"/>
      <c r="X247" s="377"/>
      <c r="Y247" s="377"/>
      <c r="Z247" s="377"/>
      <c r="AA247" s="377"/>
      <c r="AB247" s="377"/>
    </row>
    <row r="248" spans="1:28" s="547" customFormat="1">
      <c r="A248" s="549"/>
      <c r="B248" s="546"/>
      <c r="D248" s="377"/>
      <c r="E248" s="377"/>
      <c r="F248" s="377"/>
      <c r="G248" s="377"/>
      <c r="H248" s="377"/>
      <c r="I248" s="377"/>
      <c r="J248" s="377"/>
      <c r="K248" s="377"/>
      <c r="L248" s="377"/>
      <c r="M248" s="377"/>
      <c r="N248" s="377"/>
      <c r="O248" s="377"/>
      <c r="P248" s="377"/>
      <c r="Q248" s="377"/>
      <c r="R248" s="377"/>
      <c r="S248" s="377"/>
      <c r="T248" s="377"/>
      <c r="U248" s="377"/>
      <c r="V248" s="377"/>
      <c r="W248" s="377"/>
      <c r="X248" s="377"/>
      <c r="Y248" s="377"/>
      <c r="Z248" s="377"/>
      <c r="AA248" s="377"/>
      <c r="AB248" s="377"/>
    </row>
    <row r="249" spans="1:28" s="547" customFormat="1">
      <c r="A249" s="549"/>
      <c r="B249" s="546"/>
      <c r="D249" s="377"/>
      <c r="E249" s="377"/>
      <c r="F249" s="377"/>
      <c r="G249" s="377"/>
      <c r="H249" s="377"/>
      <c r="I249" s="377"/>
      <c r="J249" s="377"/>
      <c r="K249" s="377"/>
      <c r="L249" s="377"/>
      <c r="M249" s="377"/>
      <c r="N249" s="377"/>
      <c r="O249" s="377"/>
      <c r="P249" s="377"/>
      <c r="Q249" s="377"/>
      <c r="R249" s="377"/>
      <c r="S249" s="377"/>
      <c r="T249" s="377"/>
      <c r="U249" s="377"/>
      <c r="V249" s="377"/>
      <c r="W249" s="377"/>
      <c r="X249" s="377"/>
      <c r="Y249" s="377"/>
      <c r="Z249" s="377"/>
      <c r="AA249" s="377"/>
      <c r="AB249" s="377"/>
    </row>
    <row r="250" spans="1:28" s="547" customFormat="1">
      <c r="A250" s="549"/>
      <c r="B250" s="546"/>
      <c r="D250" s="377"/>
      <c r="E250" s="377"/>
      <c r="F250" s="377"/>
      <c r="G250" s="377"/>
      <c r="H250" s="377"/>
      <c r="I250" s="377"/>
      <c r="J250" s="377"/>
      <c r="K250" s="377"/>
      <c r="L250" s="377"/>
      <c r="M250" s="377"/>
      <c r="N250" s="377"/>
      <c r="O250" s="377"/>
      <c r="P250" s="377"/>
      <c r="Q250" s="377"/>
      <c r="R250" s="377"/>
      <c r="S250" s="377"/>
      <c r="T250" s="377"/>
      <c r="U250" s="377"/>
      <c r="V250" s="377"/>
      <c r="W250" s="377"/>
      <c r="X250" s="377"/>
      <c r="Y250" s="377"/>
      <c r="Z250" s="377"/>
      <c r="AA250" s="377"/>
      <c r="AB250" s="377"/>
    </row>
    <row r="251" spans="1:28" s="547" customFormat="1">
      <c r="A251" s="549"/>
      <c r="B251" s="546"/>
      <c r="D251" s="377"/>
      <c r="E251" s="377"/>
      <c r="F251" s="377"/>
      <c r="G251" s="377"/>
      <c r="H251" s="377"/>
      <c r="I251" s="377"/>
      <c r="J251" s="377"/>
      <c r="K251" s="377"/>
      <c r="L251" s="377"/>
      <c r="M251" s="377"/>
      <c r="N251" s="377"/>
      <c r="O251" s="377"/>
      <c r="P251" s="377"/>
      <c r="Q251" s="377"/>
      <c r="R251" s="377"/>
      <c r="S251" s="377"/>
      <c r="T251" s="377"/>
      <c r="U251" s="377"/>
      <c r="V251" s="377"/>
      <c r="W251" s="377"/>
      <c r="X251" s="377"/>
      <c r="Y251" s="377"/>
      <c r="Z251" s="377"/>
      <c r="AA251" s="377"/>
      <c r="AB251" s="377"/>
    </row>
    <row r="252" spans="1:28" s="547" customFormat="1">
      <c r="A252" s="549"/>
      <c r="B252" s="546"/>
      <c r="D252" s="377"/>
      <c r="E252" s="377"/>
      <c r="F252" s="377"/>
      <c r="G252" s="377"/>
      <c r="H252" s="377"/>
      <c r="I252" s="377"/>
      <c r="J252" s="377"/>
      <c r="K252" s="377"/>
      <c r="L252" s="377"/>
      <c r="M252" s="377"/>
      <c r="N252" s="377"/>
      <c r="O252" s="377"/>
      <c r="P252" s="377"/>
      <c r="Q252" s="377"/>
      <c r="R252" s="377"/>
      <c r="S252" s="377"/>
      <c r="T252" s="377"/>
      <c r="U252" s="377"/>
      <c r="V252" s="377"/>
      <c r="W252" s="377"/>
      <c r="X252" s="377"/>
      <c r="Y252" s="377"/>
      <c r="Z252" s="377"/>
      <c r="AA252" s="377"/>
      <c r="AB252" s="377"/>
    </row>
    <row r="253" spans="1:28" s="547" customFormat="1">
      <c r="A253" s="549"/>
      <c r="B253" s="546"/>
      <c r="D253" s="377"/>
      <c r="E253" s="377"/>
      <c r="F253" s="377"/>
      <c r="G253" s="377"/>
      <c r="H253" s="377"/>
      <c r="I253" s="377"/>
      <c r="J253" s="377"/>
      <c r="K253" s="377"/>
      <c r="L253" s="377"/>
      <c r="M253" s="377"/>
      <c r="N253" s="377"/>
      <c r="O253" s="377"/>
      <c r="P253" s="377"/>
      <c r="Q253" s="377"/>
      <c r="R253" s="377"/>
      <c r="S253" s="377"/>
      <c r="T253" s="377"/>
      <c r="U253" s="377"/>
      <c r="V253" s="377"/>
      <c r="W253" s="377"/>
      <c r="X253" s="377"/>
      <c r="Y253" s="377"/>
      <c r="Z253" s="377"/>
      <c r="AA253" s="377"/>
      <c r="AB253" s="377"/>
    </row>
    <row r="254" spans="1:28" s="547" customFormat="1">
      <c r="A254" s="549"/>
      <c r="B254" s="546"/>
      <c r="D254" s="377"/>
      <c r="E254" s="377"/>
      <c r="F254" s="377"/>
      <c r="G254" s="377"/>
      <c r="H254" s="377"/>
      <c r="I254" s="377"/>
      <c r="J254" s="377"/>
      <c r="K254" s="377"/>
      <c r="L254" s="377"/>
      <c r="M254" s="377"/>
      <c r="N254" s="377"/>
      <c r="O254" s="377"/>
      <c r="P254" s="377"/>
      <c r="Q254" s="377"/>
      <c r="R254" s="377"/>
      <c r="S254" s="377"/>
      <c r="T254" s="377"/>
      <c r="U254" s="377"/>
      <c r="V254" s="377"/>
      <c r="W254" s="377"/>
      <c r="X254" s="377"/>
      <c r="Y254" s="377"/>
      <c r="Z254" s="377"/>
      <c r="AA254" s="377"/>
      <c r="AB254" s="377"/>
    </row>
    <row r="255" spans="1:28" s="547" customFormat="1">
      <c r="A255" s="549"/>
      <c r="B255" s="546"/>
      <c r="D255" s="377"/>
      <c r="E255" s="377"/>
      <c r="F255" s="377"/>
      <c r="G255" s="377"/>
      <c r="H255" s="377"/>
      <c r="I255" s="377"/>
      <c r="J255" s="377"/>
      <c r="K255" s="377"/>
      <c r="L255" s="377"/>
      <c r="M255" s="377"/>
      <c r="N255" s="377"/>
      <c r="O255" s="377"/>
      <c r="P255" s="377"/>
      <c r="Q255" s="377"/>
      <c r="R255" s="377"/>
      <c r="S255" s="377"/>
      <c r="T255" s="377"/>
      <c r="U255" s="377"/>
      <c r="V255" s="377"/>
      <c r="W255" s="377"/>
      <c r="X255" s="377"/>
      <c r="Y255" s="377"/>
      <c r="Z255" s="377"/>
      <c r="AA255" s="377"/>
      <c r="AB255" s="377"/>
    </row>
    <row r="256" spans="1:28" s="547" customFormat="1">
      <c r="A256" s="549"/>
      <c r="B256" s="546"/>
      <c r="D256" s="377"/>
      <c r="E256" s="377"/>
      <c r="F256" s="377"/>
      <c r="G256" s="377"/>
      <c r="H256" s="377"/>
      <c r="I256" s="377"/>
      <c r="J256" s="377"/>
      <c r="K256" s="377"/>
      <c r="L256" s="377"/>
      <c r="M256" s="377"/>
      <c r="N256" s="377"/>
      <c r="O256" s="377"/>
      <c r="P256" s="377"/>
      <c r="Q256" s="377"/>
      <c r="R256" s="377"/>
      <c r="S256" s="377"/>
      <c r="T256" s="377"/>
      <c r="U256" s="377"/>
      <c r="V256" s="377"/>
      <c r="W256" s="377"/>
      <c r="X256" s="377"/>
      <c r="Y256" s="377"/>
      <c r="Z256" s="377"/>
      <c r="AA256" s="377"/>
      <c r="AB256" s="377"/>
    </row>
    <row r="257" spans="1:28" s="547" customFormat="1">
      <c r="A257" s="549"/>
      <c r="B257" s="546"/>
      <c r="D257" s="377"/>
      <c r="E257" s="377"/>
      <c r="F257" s="377"/>
      <c r="G257" s="377"/>
      <c r="H257" s="377"/>
      <c r="I257" s="377"/>
      <c r="J257" s="377"/>
      <c r="K257" s="377"/>
      <c r="L257" s="377"/>
      <c r="M257" s="377"/>
      <c r="N257" s="377"/>
      <c r="O257" s="377"/>
      <c r="P257" s="377"/>
      <c r="Q257" s="377"/>
      <c r="R257" s="377"/>
      <c r="S257" s="377"/>
      <c r="T257" s="377"/>
      <c r="U257" s="377"/>
      <c r="V257" s="377"/>
      <c r="W257" s="377"/>
      <c r="X257" s="377"/>
      <c r="Y257" s="377"/>
      <c r="Z257" s="377"/>
      <c r="AA257" s="377"/>
      <c r="AB257" s="377"/>
    </row>
    <row r="258" spans="1:28" s="547" customFormat="1">
      <c r="A258" s="549"/>
      <c r="B258" s="546"/>
      <c r="D258" s="377"/>
      <c r="E258" s="377"/>
      <c r="F258" s="377"/>
      <c r="G258" s="377"/>
      <c r="H258" s="377"/>
      <c r="I258" s="377"/>
      <c r="J258" s="377"/>
      <c r="K258" s="377"/>
      <c r="L258" s="377"/>
      <c r="M258" s="377"/>
      <c r="N258" s="377"/>
      <c r="O258" s="377"/>
      <c r="P258" s="377"/>
      <c r="Q258" s="377"/>
      <c r="R258" s="377"/>
      <c r="S258" s="377"/>
      <c r="T258" s="377"/>
      <c r="U258" s="377"/>
      <c r="V258" s="377"/>
      <c r="W258" s="377"/>
      <c r="X258" s="377"/>
      <c r="Y258" s="377"/>
      <c r="Z258" s="377"/>
      <c r="AA258" s="377"/>
      <c r="AB258" s="377"/>
    </row>
    <row r="259" spans="1:28" s="547" customFormat="1">
      <c r="A259" s="549"/>
      <c r="B259" s="546"/>
      <c r="D259" s="377"/>
      <c r="E259" s="377"/>
      <c r="F259" s="377"/>
      <c r="G259" s="377"/>
      <c r="H259" s="377"/>
      <c r="I259" s="377"/>
      <c r="J259" s="377"/>
      <c r="K259" s="377"/>
      <c r="L259" s="377"/>
      <c r="M259" s="377"/>
      <c r="N259" s="377"/>
      <c r="O259" s="377"/>
      <c r="P259" s="377"/>
      <c r="Q259" s="377"/>
      <c r="R259" s="377"/>
      <c r="S259" s="377"/>
      <c r="T259" s="377"/>
      <c r="U259" s="377"/>
      <c r="V259" s="377"/>
      <c r="W259" s="377"/>
      <c r="X259" s="377"/>
      <c r="Y259" s="377"/>
      <c r="Z259" s="377"/>
      <c r="AA259" s="377"/>
      <c r="AB259" s="377"/>
    </row>
    <row r="260" spans="1:28" s="547" customFormat="1">
      <c r="A260" s="549"/>
      <c r="B260" s="546"/>
      <c r="D260" s="377"/>
      <c r="E260" s="377"/>
      <c r="F260" s="377"/>
      <c r="G260" s="377"/>
      <c r="H260" s="377"/>
      <c r="I260" s="377"/>
      <c r="J260" s="377"/>
      <c r="K260" s="377"/>
      <c r="L260" s="377"/>
      <c r="M260" s="377"/>
      <c r="N260" s="377"/>
      <c r="O260" s="377"/>
      <c r="P260" s="377"/>
      <c r="Q260" s="377"/>
      <c r="R260" s="377"/>
      <c r="S260" s="377"/>
      <c r="T260" s="377"/>
      <c r="U260" s="377"/>
      <c r="V260" s="377"/>
      <c r="W260" s="377"/>
      <c r="X260" s="377"/>
      <c r="Y260" s="377"/>
      <c r="Z260" s="377"/>
      <c r="AA260" s="377"/>
      <c r="AB260" s="377"/>
    </row>
    <row r="261" spans="1:28" s="547" customFormat="1">
      <c r="A261" s="549"/>
      <c r="B261" s="546"/>
      <c r="D261" s="377"/>
      <c r="E261" s="377"/>
      <c r="F261" s="377"/>
      <c r="G261" s="377"/>
      <c r="H261" s="377"/>
      <c r="I261" s="377"/>
      <c r="J261" s="377"/>
      <c r="K261" s="377"/>
      <c r="L261" s="377"/>
      <c r="M261" s="377"/>
      <c r="N261" s="377"/>
      <c r="O261" s="377"/>
      <c r="P261" s="377"/>
      <c r="Q261" s="377"/>
      <c r="R261" s="377"/>
      <c r="S261" s="377"/>
      <c r="T261" s="377"/>
      <c r="U261" s="377"/>
      <c r="V261" s="377"/>
      <c r="W261" s="377"/>
      <c r="X261" s="377"/>
      <c r="Y261" s="377"/>
      <c r="Z261" s="377"/>
      <c r="AA261" s="377"/>
      <c r="AB261" s="377"/>
    </row>
    <row r="262" spans="1:28" s="547" customFormat="1">
      <c r="A262" s="549"/>
      <c r="B262" s="546"/>
      <c r="D262" s="377"/>
      <c r="E262" s="377"/>
      <c r="F262" s="377"/>
      <c r="G262" s="377"/>
      <c r="H262" s="377"/>
      <c r="I262" s="377"/>
      <c r="J262" s="377"/>
      <c r="K262" s="377"/>
      <c r="L262" s="377"/>
      <c r="M262" s="377"/>
      <c r="N262" s="377"/>
      <c r="O262" s="377"/>
      <c r="P262" s="377"/>
      <c r="Q262" s="377"/>
      <c r="R262" s="377"/>
      <c r="S262" s="377"/>
      <c r="T262" s="377"/>
      <c r="U262" s="377"/>
      <c r="V262" s="377"/>
      <c r="W262" s="377"/>
      <c r="X262" s="377"/>
      <c r="Y262" s="377"/>
      <c r="Z262" s="377"/>
      <c r="AA262" s="377"/>
      <c r="AB262" s="377"/>
    </row>
    <row r="263" spans="1:28" s="547" customFormat="1">
      <c r="A263" s="549"/>
      <c r="B263" s="546"/>
      <c r="D263" s="377"/>
      <c r="E263" s="377"/>
      <c r="F263" s="377"/>
      <c r="G263" s="377"/>
      <c r="H263" s="377"/>
      <c r="I263" s="377"/>
      <c r="J263" s="377"/>
      <c r="K263" s="377"/>
      <c r="L263" s="377"/>
      <c r="M263" s="377"/>
      <c r="N263" s="377"/>
      <c r="O263" s="377"/>
      <c r="P263" s="377"/>
      <c r="Q263" s="377"/>
      <c r="R263" s="377"/>
      <c r="S263" s="377"/>
      <c r="T263" s="377"/>
      <c r="U263" s="377"/>
      <c r="V263" s="377"/>
      <c r="W263" s="377"/>
      <c r="X263" s="377"/>
      <c r="Y263" s="377"/>
      <c r="Z263" s="377"/>
      <c r="AA263" s="377"/>
      <c r="AB263" s="377"/>
    </row>
    <row r="264" spans="1:28" s="547" customFormat="1">
      <c r="A264" s="549"/>
      <c r="B264" s="546"/>
      <c r="D264" s="377"/>
      <c r="E264" s="377"/>
      <c r="F264" s="377"/>
      <c r="G264" s="377"/>
      <c r="H264" s="377"/>
      <c r="I264" s="377"/>
      <c r="J264" s="377"/>
      <c r="K264" s="377"/>
      <c r="L264" s="377"/>
      <c r="M264" s="377"/>
      <c r="N264" s="377"/>
      <c r="O264" s="377"/>
      <c r="P264" s="377"/>
      <c r="Q264" s="377"/>
      <c r="R264" s="377"/>
      <c r="S264" s="377"/>
      <c r="T264" s="377"/>
      <c r="U264" s="377"/>
      <c r="V264" s="377"/>
      <c r="W264" s="377"/>
      <c r="X264" s="377"/>
      <c r="Y264" s="377"/>
      <c r="Z264" s="377"/>
      <c r="AA264" s="377"/>
      <c r="AB264" s="377"/>
    </row>
    <row r="265" spans="1:28" s="547" customFormat="1">
      <c r="A265" s="549"/>
      <c r="B265" s="546"/>
      <c r="D265" s="377"/>
      <c r="E265" s="377"/>
      <c r="F265" s="377"/>
      <c r="G265" s="377"/>
      <c r="H265" s="377"/>
      <c r="I265" s="377"/>
      <c r="J265" s="377"/>
      <c r="K265" s="377"/>
      <c r="L265" s="377"/>
      <c r="M265" s="377"/>
      <c r="N265" s="377"/>
      <c r="O265" s="377"/>
      <c r="P265" s="377"/>
      <c r="Q265" s="377"/>
      <c r="R265" s="377"/>
      <c r="S265" s="377"/>
      <c r="T265" s="377"/>
      <c r="U265" s="377"/>
      <c r="V265" s="377"/>
      <c r="W265" s="377"/>
      <c r="X265" s="377"/>
      <c r="Y265" s="377"/>
      <c r="Z265" s="377"/>
      <c r="AA265" s="377"/>
      <c r="AB265" s="377"/>
    </row>
    <row r="266" spans="1:28" s="547" customFormat="1">
      <c r="A266" s="549"/>
      <c r="B266" s="546"/>
      <c r="D266" s="377"/>
      <c r="E266" s="377"/>
      <c r="F266" s="377"/>
      <c r="G266" s="377"/>
      <c r="H266" s="377"/>
      <c r="I266" s="377"/>
      <c r="J266" s="377"/>
      <c r="K266" s="377"/>
      <c r="L266" s="377"/>
      <c r="M266" s="377"/>
      <c r="N266" s="377"/>
      <c r="O266" s="377"/>
      <c r="P266" s="377"/>
      <c r="Q266" s="377"/>
      <c r="R266" s="377"/>
      <c r="S266" s="377"/>
      <c r="T266" s="377"/>
      <c r="U266" s="377"/>
      <c r="V266" s="377"/>
      <c r="W266" s="377"/>
      <c r="X266" s="377"/>
      <c r="Y266" s="377"/>
      <c r="Z266" s="377"/>
      <c r="AA266" s="377"/>
      <c r="AB266" s="377"/>
    </row>
    <row r="267" spans="1:28" s="547" customFormat="1">
      <c r="A267" s="549"/>
      <c r="B267" s="546"/>
      <c r="D267" s="377"/>
      <c r="E267" s="377"/>
      <c r="F267" s="377"/>
      <c r="G267" s="377"/>
      <c r="H267" s="377"/>
      <c r="I267" s="377"/>
      <c r="J267" s="377"/>
      <c r="K267" s="377"/>
      <c r="L267" s="377"/>
      <c r="M267" s="377"/>
      <c r="N267" s="377"/>
      <c r="O267" s="377"/>
      <c r="P267" s="377"/>
      <c r="Q267" s="377"/>
      <c r="R267" s="377"/>
      <c r="S267" s="377"/>
      <c r="T267" s="377"/>
      <c r="U267" s="377"/>
      <c r="V267" s="377"/>
      <c r="W267" s="377"/>
      <c r="X267" s="377"/>
      <c r="Y267" s="377"/>
      <c r="Z267" s="377"/>
      <c r="AA267" s="377"/>
      <c r="AB267" s="377"/>
    </row>
    <row r="268" spans="1:28" s="547" customFormat="1">
      <c r="A268" s="549"/>
      <c r="B268" s="546"/>
      <c r="D268" s="377"/>
      <c r="E268" s="377"/>
      <c r="F268" s="377"/>
      <c r="G268" s="377"/>
      <c r="H268" s="377"/>
      <c r="I268" s="377"/>
      <c r="J268" s="377"/>
      <c r="K268" s="377"/>
      <c r="L268" s="377"/>
      <c r="M268" s="377"/>
      <c r="N268" s="377"/>
      <c r="O268" s="377"/>
      <c r="P268" s="377"/>
      <c r="Q268" s="377"/>
      <c r="R268" s="377"/>
      <c r="S268" s="377"/>
      <c r="T268" s="377"/>
      <c r="U268" s="377"/>
      <c r="V268" s="377"/>
      <c r="W268" s="377"/>
      <c r="X268" s="377"/>
      <c r="Y268" s="377"/>
      <c r="Z268" s="377"/>
      <c r="AA268" s="377"/>
      <c r="AB268" s="377"/>
    </row>
    <row r="269" spans="1:28" s="547" customFormat="1">
      <c r="A269" s="549"/>
      <c r="B269" s="546"/>
      <c r="D269" s="377"/>
      <c r="E269" s="377"/>
      <c r="F269" s="377"/>
      <c r="G269" s="377"/>
      <c r="H269" s="377"/>
      <c r="I269" s="377"/>
      <c r="J269" s="377"/>
      <c r="K269" s="377"/>
      <c r="L269" s="377"/>
      <c r="M269" s="377"/>
      <c r="N269" s="377"/>
      <c r="O269" s="377"/>
      <c r="P269" s="377"/>
      <c r="Q269" s="377"/>
      <c r="R269" s="377"/>
      <c r="S269" s="377"/>
      <c r="T269" s="377"/>
      <c r="U269" s="377"/>
      <c r="V269" s="377"/>
      <c r="W269" s="377"/>
      <c r="X269" s="377"/>
      <c r="Y269" s="377"/>
      <c r="Z269" s="377"/>
      <c r="AA269" s="377"/>
      <c r="AB269" s="377"/>
    </row>
    <row r="270" spans="1:28" s="547" customFormat="1">
      <c r="A270" s="549"/>
      <c r="B270" s="546"/>
      <c r="D270" s="377"/>
      <c r="E270" s="377"/>
      <c r="F270" s="377"/>
      <c r="G270" s="377"/>
      <c r="H270" s="377"/>
      <c r="I270" s="377"/>
      <c r="J270" s="377"/>
      <c r="K270" s="377"/>
      <c r="L270" s="377"/>
      <c r="M270" s="377"/>
      <c r="N270" s="377"/>
      <c r="O270" s="377"/>
      <c r="P270" s="377"/>
      <c r="Q270" s="377"/>
      <c r="R270" s="377"/>
      <c r="S270" s="377"/>
      <c r="T270" s="377"/>
      <c r="U270" s="377"/>
      <c r="V270" s="377"/>
      <c r="W270" s="377"/>
      <c r="X270" s="377"/>
      <c r="Y270" s="377"/>
      <c r="Z270" s="377"/>
      <c r="AA270" s="377"/>
      <c r="AB270" s="377"/>
    </row>
    <row r="271" spans="1:28" s="547" customFormat="1">
      <c r="A271" s="549"/>
      <c r="B271" s="546"/>
      <c r="D271" s="377"/>
      <c r="E271" s="377"/>
      <c r="F271" s="377"/>
      <c r="G271" s="377"/>
      <c r="H271" s="377"/>
      <c r="I271" s="377"/>
      <c r="J271" s="377"/>
      <c r="K271" s="377"/>
      <c r="L271" s="377"/>
      <c r="M271" s="377"/>
      <c r="N271" s="377"/>
      <c r="O271" s="377"/>
      <c r="P271" s="377"/>
      <c r="Q271" s="377"/>
      <c r="R271" s="377"/>
      <c r="S271" s="377"/>
      <c r="T271" s="377"/>
      <c r="U271" s="377"/>
      <c r="V271" s="377"/>
      <c r="W271" s="377"/>
      <c r="X271" s="377"/>
      <c r="Y271" s="377"/>
      <c r="Z271" s="377"/>
      <c r="AA271" s="377"/>
      <c r="AB271" s="377"/>
    </row>
    <row r="272" spans="1:28" s="547" customFormat="1">
      <c r="A272" s="549"/>
      <c r="B272" s="546"/>
      <c r="D272" s="377"/>
      <c r="E272" s="377"/>
      <c r="F272" s="377"/>
      <c r="G272" s="377"/>
      <c r="H272" s="377"/>
      <c r="I272" s="377"/>
      <c r="J272" s="377"/>
      <c r="K272" s="377"/>
      <c r="L272" s="377"/>
      <c r="M272" s="377"/>
      <c r="N272" s="377"/>
      <c r="O272" s="377"/>
      <c r="P272" s="377"/>
      <c r="Q272" s="377"/>
      <c r="R272" s="377"/>
      <c r="S272" s="377"/>
      <c r="T272" s="377"/>
      <c r="U272" s="377"/>
      <c r="V272" s="377"/>
      <c r="W272" s="377"/>
      <c r="X272" s="377"/>
      <c r="Y272" s="377"/>
      <c r="Z272" s="377"/>
      <c r="AA272" s="377"/>
      <c r="AB272" s="377"/>
    </row>
    <row r="273" spans="1:28" s="547" customFormat="1">
      <c r="A273" s="549"/>
      <c r="B273" s="546"/>
      <c r="D273" s="377"/>
      <c r="E273" s="377"/>
      <c r="F273" s="377"/>
      <c r="G273" s="377"/>
      <c r="H273" s="377"/>
      <c r="I273" s="377"/>
      <c r="J273" s="377"/>
      <c r="K273" s="377"/>
      <c r="L273" s="377"/>
      <c r="M273" s="377"/>
      <c r="N273" s="377"/>
      <c r="O273" s="377"/>
      <c r="P273" s="377"/>
      <c r="Q273" s="377"/>
      <c r="R273" s="377"/>
      <c r="S273" s="377"/>
      <c r="T273" s="377"/>
      <c r="U273" s="377"/>
      <c r="V273" s="377"/>
      <c r="W273" s="377"/>
      <c r="X273" s="377"/>
      <c r="Y273" s="377"/>
      <c r="Z273" s="377"/>
      <c r="AA273" s="377"/>
      <c r="AB273" s="377"/>
    </row>
    <row r="274" spans="1:28" s="547" customFormat="1">
      <c r="A274" s="549"/>
      <c r="B274" s="546"/>
      <c r="D274" s="377"/>
      <c r="E274" s="377"/>
      <c r="F274" s="377"/>
      <c r="G274" s="377"/>
      <c r="H274" s="377"/>
      <c r="I274" s="377"/>
      <c r="J274" s="377"/>
      <c r="K274" s="377"/>
      <c r="L274" s="377"/>
      <c r="M274" s="377"/>
      <c r="N274" s="377"/>
      <c r="O274" s="377"/>
      <c r="P274" s="377"/>
      <c r="Q274" s="377"/>
      <c r="R274" s="377"/>
      <c r="S274" s="377"/>
      <c r="T274" s="377"/>
      <c r="U274" s="377"/>
      <c r="V274" s="377"/>
      <c r="W274" s="377"/>
      <c r="X274" s="377"/>
      <c r="Y274" s="377"/>
      <c r="Z274" s="377"/>
      <c r="AA274" s="377"/>
      <c r="AB274" s="377"/>
    </row>
    <row r="275" spans="1:28" s="547" customFormat="1">
      <c r="A275" s="549"/>
      <c r="B275" s="546"/>
      <c r="D275" s="377"/>
      <c r="E275" s="377"/>
      <c r="F275" s="377"/>
      <c r="G275" s="377"/>
      <c r="H275" s="377"/>
      <c r="I275" s="377"/>
      <c r="J275" s="377"/>
      <c r="K275" s="377"/>
      <c r="L275" s="377"/>
      <c r="M275" s="377"/>
      <c r="N275" s="377"/>
      <c r="O275" s="377"/>
      <c r="P275" s="377"/>
      <c r="Q275" s="377"/>
      <c r="R275" s="377"/>
      <c r="S275" s="377"/>
      <c r="T275" s="377"/>
      <c r="U275" s="377"/>
      <c r="V275" s="377"/>
      <c r="W275" s="377"/>
      <c r="X275" s="377"/>
      <c r="Y275" s="377"/>
      <c r="Z275" s="377"/>
      <c r="AA275" s="377"/>
      <c r="AB275" s="377"/>
    </row>
    <row r="276" spans="1:28" s="547" customFormat="1">
      <c r="A276" s="549"/>
      <c r="B276" s="546"/>
      <c r="D276" s="377"/>
      <c r="E276" s="377"/>
      <c r="F276" s="377"/>
      <c r="G276" s="377"/>
      <c r="H276" s="377"/>
      <c r="I276" s="377"/>
      <c r="J276" s="377"/>
      <c r="K276" s="377"/>
      <c r="L276" s="377"/>
      <c r="M276" s="377"/>
      <c r="N276" s="377"/>
      <c r="O276" s="377"/>
      <c r="P276" s="377"/>
      <c r="Q276" s="377"/>
      <c r="R276" s="377"/>
      <c r="S276" s="377"/>
      <c r="T276" s="377"/>
      <c r="U276" s="377"/>
      <c r="V276" s="377"/>
      <c r="W276" s="377"/>
      <c r="X276" s="377"/>
      <c r="Y276" s="377"/>
      <c r="Z276" s="377"/>
      <c r="AA276" s="377"/>
      <c r="AB276" s="377"/>
    </row>
    <row r="277" spans="1:28" s="547" customFormat="1">
      <c r="A277" s="549"/>
      <c r="B277" s="546"/>
      <c r="D277" s="377"/>
      <c r="E277" s="377"/>
      <c r="F277" s="377"/>
      <c r="G277" s="377"/>
      <c r="H277" s="377"/>
      <c r="I277" s="377"/>
      <c r="J277" s="377"/>
      <c r="K277" s="377"/>
      <c r="L277" s="377"/>
      <c r="M277" s="377"/>
      <c r="N277" s="377"/>
      <c r="O277" s="377"/>
      <c r="P277" s="377"/>
      <c r="Q277" s="377"/>
      <c r="R277" s="377"/>
      <c r="S277" s="377"/>
      <c r="T277" s="377"/>
      <c r="U277" s="377"/>
      <c r="V277" s="377"/>
      <c r="W277" s="377"/>
      <c r="X277" s="377"/>
      <c r="Y277" s="377"/>
      <c r="Z277" s="377"/>
      <c r="AA277" s="377"/>
      <c r="AB277" s="377"/>
    </row>
    <row r="278" spans="1:28" s="547" customFormat="1">
      <c r="A278" s="549"/>
      <c r="B278" s="546"/>
      <c r="D278" s="377"/>
      <c r="E278" s="377"/>
      <c r="F278" s="377"/>
      <c r="G278" s="377"/>
      <c r="H278" s="377"/>
      <c r="I278" s="377"/>
      <c r="J278" s="377"/>
      <c r="K278" s="377"/>
      <c r="L278" s="377"/>
      <c r="M278" s="377"/>
      <c r="N278" s="377"/>
      <c r="O278" s="377"/>
      <c r="P278" s="377"/>
      <c r="Q278" s="377"/>
      <c r="R278" s="377"/>
      <c r="S278" s="377"/>
      <c r="T278" s="377"/>
      <c r="U278" s="377"/>
      <c r="V278" s="377"/>
      <c r="W278" s="377"/>
      <c r="X278" s="377"/>
      <c r="Y278" s="377"/>
      <c r="Z278" s="377"/>
      <c r="AA278" s="377"/>
      <c r="AB278" s="377"/>
    </row>
    <row r="279" spans="1:28" s="547" customFormat="1">
      <c r="A279" s="549"/>
      <c r="B279" s="546"/>
      <c r="D279" s="377"/>
      <c r="E279" s="377"/>
      <c r="F279" s="377"/>
      <c r="G279" s="377"/>
      <c r="H279" s="377"/>
      <c r="I279" s="377"/>
      <c r="J279" s="377"/>
      <c r="K279" s="377"/>
      <c r="L279" s="377"/>
      <c r="M279" s="377"/>
      <c r="N279" s="377"/>
      <c r="O279" s="377"/>
      <c r="P279" s="377"/>
      <c r="Q279" s="377"/>
      <c r="R279" s="377"/>
      <c r="S279" s="377"/>
      <c r="T279" s="377"/>
      <c r="U279" s="377"/>
      <c r="V279" s="377"/>
      <c r="W279" s="377"/>
      <c r="X279" s="377"/>
      <c r="Y279" s="377"/>
      <c r="Z279" s="377"/>
      <c r="AA279" s="377"/>
      <c r="AB279" s="377"/>
    </row>
    <row r="280" spans="1:28" s="547" customFormat="1">
      <c r="A280" s="549"/>
      <c r="B280" s="546"/>
      <c r="D280" s="377"/>
      <c r="E280" s="377"/>
      <c r="F280" s="377"/>
      <c r="G280" s="377"/>
      <c r="H280" s="377"/>
      <c r="I280" s="377"/>
      <c r="J280" s="377"/>
      <c r="K280" s="377"/>
      <c r="L280" s="377"/>
      <c r="M280" s="377"/>
      <c r="N280" s="377"/>
      <c r="O280" s="377"/>
      <c r="P280" s="377"/>
      <c r="Q280" s="377"/>
      <c r="R280" s="377"/>
      <c r="S280" s="377"/>
      <c r="T280" s="377"/>
      <c r="U280" s="377"/>
      <c r="V280" s="377"/>
      <c r="W280" s="377"/>
      <c r="X280" s="377"/>
      <c r="Y280" s="377"/>
      <c r="Z280" s="377"/>
      <c r="AA280" s="377"/>
      <c r="AB280" s="377"/>
    </row>
    <row r="281" spans="1:28" s="547" customFormat="1">
      <c r="A281" s="549"/>
      <c r="B281" s="546"/>
      <c r="D281" s="377"/>
      <c r="E281" s="377"/>
      <c r="F281" s="377"/>
      <c r="G281" s="377"/>
      <c r="H281" s="377"/>
      <c r="I281" s="377"/>
      <c r="J281" s="377"/>
      <c r="K281" s="377"/>
      <c r="L281" s="377"/>
      <c r="M281" s="377"/>
      <c r="N281" s="377"/>
      <c r="O281" s="377"/>
      <c r="P281" s="377"/>
      <c r="Q281" s="377"/>
      <c r="R281" s="377"/>
      <c r="S281" s="377"/>
      <c r="T281" s="377"/>
      <c r="U281" s="377"/>
      <c r="V281" s="377"/>
      <c r="W281" s="377"/>
      <c r="X281" s="377"/>
      <c r="Y281" s="377"/>
      <c r="Z281" s="377"/>
      <c r="AA281" s="377"/>
      <c r="AB281" s="377"/>
    </row>
    <row r="282" spans="1:28" s="547" customFormat="1">
      <c r="A282" s="549"/>
      <c r="B282" s="546"/>
      <c r="D282" s="377"/>
      <c r="E282" s="377"/>
      <c r="F282" s="377"/>
      <c r="G282" s="377"/>
      <c r="H282" s="377"/>
      <c r="I282" s="377"/>
      <c r="J282" s="377"/>
      <c r="K282" s="377"/>
      <c r="L282" s="377"/>
      <c r="M282" s="377"/>
      <c r="N282" s="377"/>
      <c r="O282" s="377"/>
      <c r="P282" s="377"/>
      <c r="Q282" s="377"/>
      <c r="R282" s="377"/>
      <c r="S282" s="377"/>
      <c r="T282" s="377"/>
      <c r="U282" s="377"/>
      <c r="V282" s="377"/>
      <c r="W282" s="377"/>
      <c r="X282" s="377"/>
      <c r="Y282" s="377"/>
      <c r="Z282" s="377"/>
      <c r="AA282" s="377"/>
      <c r="AB282" s="377"/>
    </row>
    <row r="283" spans="1:28" s="547" customFormat="1">
      <c r="A283" s="549"/>
      <c r="B283" s="546"/>
      <c r="D283" s="377"/>
      <c r="E283" s="377"/>
      <c r="F283" s="377"/>
      <c r="G283" s="377"/>
      <c r="H283" s="377"/>
      <c r="I283" s="377"/>
      <c r="J283" s="377"/>
      <c r="K283" s="377"/>
      <c r="L283" s="377"/>
      <c r="M283" s="377"/>
      <c r="N283" s="377"/>
      <c r="O283" s="377"/>
      <c r="P283" s="377"/>
      <c r="Q283" s="377"/>
      <c r="R283" s="377"/>
      <c r="S283" s="377"/>
      <c r="T283" s="377"/>
      <c r="U283" s="377"/>
      <c r="V283" s="377"/>
      <c r="W283" s="377"/>
      <c r="X283" s="377"/>
      <c r="Y283" s="377"/>
      <c r="Z283" s="377"/>
      <c r="AA283" s="377"/>
      <c r="AB283" s="377"/>
    </row>
    <row r="284" spans="1:28" s="547" customFormat="1">
      <c r="A284" s="549"/>
      <c r="B284" s="546"/>
      <c r="D284" s="377"/>
      <c r="E284" s="377"/>
      <c r="F284" s="377"/>
      <c r="G284" s="377"/>
      <c r="H284" s="377"/>
      <c r="I284" s="377"/>
      <c r="J284" s="377"/>
      <c r="K284" s="377"/>
      <c r="L284" s="377"/>
      <c r="M284" s="377"/>
      <c r="N284" s="377"/>
      <c r="O284" s="377"/>
      <c r="P284" s="377"/>
      <c r="Q284" s="377"/>
      <c r="R284" s="377"/>
      <c r="S284" s="377"/>
      <c r="T284" s="377"/>
      <c r="U284" s="377"/>
      <c r="V284" s="377"/>
      <c r="W284" s="377"/>
      <c r="X284" s="377"/>
      <c r="Y284" s="377"/>
      <c r="Z284" s="377"/>
      <c r="AA284" s="377"/>
      <c r="AB284" s="377"/>
    </row>
    <row r="285" spans="1:28" s="547" customFormat="1">
      <c r="A285" s="549"/>
      <c r="B285" s="546"/>
      <c r="D285" s="377"/>
      <c r="E285" s="377"/>
      <c r="F285" s="377"/>
      <c r="G285" s="377"/>
      <c r="H285" s="377"/>
      <c r="I285" s="377"/>
      <c r="J285" s="377"/>
      <c r="K285" s="377"/>
      <c r="L285" s="377"/>
      <c r="M285" s="377"/>
      <c r="N285" s="377"/>
      <c r="O285" s="377"/>
      <c r="P285" s="377"/>
      <c r="Q285" s="377"/>
      <c r="R285" s="377"/>
      <c r="S285" s="377"/>
      <c r="T285" s="377"/>
      <c r="U285" s="377"/>
      <c r="V285" s="377"/>
      <c r="W285" s="377"/>
      <c r="X285" s="377"/>
      <c r="Y285" s="377"/>
      <c r="Z285" s="377"/>
      <c r="AA285" s="377"/>
      <c r="AB285" s="377"/>
    </row>
    <row r="286" spans="1:28" s="547" customFormat="1">
      <c r="A286" s="549"/>
      <c r="B286" s="546"/>
      <c r="D286" s="377"/>
      <c r="E286" s="377"/>
      <c r="F286" s="377"/>
      <c r="G286" s="377"/>
      <c r="H286" s="377"/>
      <c r="I286" s="377"/>
      <c r="J286" s="377"/>
      <c r="K286" s="377"/>
      <c r="L286" s="377"/>
      <c r="M286" s="377"/>
      <c r="N286" s="377"/>
      <c r="O286" s="377"/>
      <c r="P286" s="377"/>
      <c r="Q286" s="377"/>
      <c r="R286" s="377"/>
      <c r="S286" s="377"/>
      <c r="T286" s="377"/>
      <c r="U286" s="377"/>
      <c r="V286" s="377"/>
      <c r="W286" s="377"/>
      <c r="X286" s="377"/>
      <c r="Y286" s="377"/>
      <c r="Z286" s="377"/>
      <c r="AA286" s="377"/>
      <c r="AB286" s="377"/>
    </row>
    <row r="287" spans="1:28" s="547" customFormat="1">
      <c r="A287" s="549"/>
      <c r="B287" s="546"/>
      <c r="D287" s="377"/>
      <c r="E287" s="377"/>
      <c r="F287" s="377"/>
      <c r="G287" s="377"/>
      <c r="H287" s="377"/>
      <c r="I287" s="377"/>
      <c r="J287" s="377"/>
      <c r="K287" s="377"/>
      <c r="L287" s="377"/>
      <c r="M287" s="377"/>
      <c r="N287" s="377"/>
      <c r="O287" s="377"/>
      <c r="P287" s="377"/>
      <c r="Q287" s="377"/>
      <c r="R287" s="377"/>
      <c r="S287" s="377"/>
      <c r="T287" s="377"/>
      <c r="U287" s="377"/>
      <c r="V287" s="377"/>
      <c r="W287" s="377"/>
      <c r="X287" s="377"/>
      <c r="Y287" s="377"/>
      <c r="Z287" s="377"/>
      <c r="AA287" s="377"/>
      <c r="AB287" s="377"/>
    </row>
    <row r="288" spans="1:28" s="547" customFormat="1">
      <c r="A288" s="549"/>
      <c r="B288" s="546"/>
      <c r="D288" s="377"/>
      <c r="E288" s="377"/>
      <c r="F288" s="377"/>
      <c r="G288" s="377"/>
      <c r="H288" s="377"/>
      <c r="I288" s="377"/>
      <c r="J288" s="377"/>
      <c r="K288" s="377"/>
      <c r="L288" s="377"/>
      <c r="M288" s="377"/>
      <c r="N288" s="377"/>
      <c r="O288" s="377"/>
      <c r="P288" s="377"/>
      <c r="Q288" s="377"/>
      <c r="R288" s="377"/>
      <c r="S288" s="377"/>
      <c r="T288" s="377"/>
      <c r="U288" s="377"/>
      <c r="V288" s="377"/>
      <c r="W288" s="377"/>
      <c r="X288" s="377"/>
      <c r="Y288" s="377"/>
      <c r="Z288" s="377"/>
      <c r="AA288" s="377"/>
      <c r="AB288" s="377"/>
    </row>
    <row r="289" spans="1:28" s="547" customFormat="1">
      <c r="A289" s="549"/>
      <c r="B289" s="546"/>
      <c r="D289" s="377"/>
      <c r="E289" s="377"/>
      <c r="F289" s="377"/>
      <c r="G289" s="377"/>
      <c r="H289" s="377"/>
      <c r="I289" s="377"/>
      <c r="J289" s="377"/>
      <c r="K289" s="377"/>
      <c r="L289" s="377"/>
      <c r="M289" s="377"/>
      <c r="N289" s="377"/>
      <c r="O289" s="377"/>
      <c r="P289" s="377"/>
      <c r="Q289" s="377"/>
      <c r="R289" s="377"/>
      <c r="S289" s="377"/>
      <c r="T289" s="377"/>
      <c r="U289" s="377"/>
      <c r="V289" s="377"/>
      <c r="W289" s="377"/>
      <c r="X289" s="377"/>
      <c r="Y289" s="377"/>
      <c r="Z289" s="377"/>
      <c r="AA289" s="377"/>
      <c r="AB289" s="377"/>
    </row>
    <row r="290" spans="1:28" s="547" customFormat="1">
      <c r="A290" s="549"/>
      <c r="B290" s="546"/>
      <c r="D290" s="377"/>
      <c r="E290" s="377"/>
      <c r="F290" s="377"/>
      <c r="G290" s="377"/>
      <c r="H290" s="377"/>
      <c r="I290" s="377"/>
      <c r="J290" s="377"/>
      <c r="K290" s="377"/>
      <c r="L290" s="377"/>
      <c r="M290" s="377"/>
      <c r="N290" s="377"/>
      <c r="O290" s="377"/>
      <c r="P290" s="377"/>
      <c r="Q290" s="377"/>
      <c r="R290" s="377"/>
      <c r="S290" s="377"/>
      <c r="T290" s="377"/>
      <c r="U290" s="377"/>
      <c r="V290" s="377"/>
      <c r="W290" s="377"/>
      <c r="X290" s="377"/>
      <c r="Y290" s="377"/>
      <c r="Z290" s="377"/>
      <c r="AA290" s="377"/>
      <c r="AB290" s="377"/>
    </row>
    <row r="291" spans="1:28" s="547" customFormat="1">
      <c r="A291" s="549"/>
      <c r="B291" s="546"/>
      <c r="D291" s="377"/>
      <c r="E291" s="377"/>
      <c r="F291" s="377"/>
      <c r="G291" s="377"/>
      <c r="H291" s="377"/>
      <c r="I291" s="377"/>
      <c r="J291" s="377"/>
      <c r="K291" s="377"/>
      <c r="L291" s="377"/>
      <c r="M291" s="377"/>
      <c r="N291" s="377"/>
      <c r="O291" s="377"/>
      <c r="P291" s="377"/>
      <c r="Q291" s="377"/>
      <c r="R291" s="377"/>
      <c r="S291" s="377"/>
      <c r="T291" s="377"/>
      <c r="U291" s="377"/>
      <c r="V291" s="377"/>
      <c r="W291" s="377"/>
      <c r="X291" s="377"/>
      <c r="Y291" s="377"/>
      <c r="Z291" s="377"/>
      <c r="AA291" s="377"/>
      <c r="AB291" s="377"/>
    </row>
    <row r="292" spans="1:28" s="547" customFormat="1">
      <c r="A292" s="549"/>
      <c r="B292" s="546"/>
      <c r="D292" s="377"/>
      <c r="E292" s="377"/>
      <c r="F292" s="377"/>
      <c r="G292" s="377"/>
      <c r="H292" s="377"/>
      <c r="I292" s="377"/>
      <c r="J292" s="377"/>
      <c r="K292" s="377"/>
      <c r="L292" s="377"/>
      <c r="M292" s="377"/>
      <c r="N292" s="377"/>
      <c r="O292" s="377"/>
      <c r="P292" s="377"/>
      <c r="Q292" s="377"/>
      <c r="R292" s="377"/>
      <c r="S292" s="377"/>
      <c r="T292" s="377"/>
      <c r="U292" s="377"/>
      <c r="V292" s="377"/>
      <c r="W292" s="377"/>
      <c r="X292" s="377"/>
      <c r="Y292" s="377"/>
      <c r="Z292" s="377"/>
      <c r="AA292" s="377"/>
      <c r="AB292" s="377"/>
    </row>
    <row r="293" spans="1:28" s="547" customFormat="1">
      <c r="A293" s="549"/>
      <c r="B293" s="546"/>
      <c r="D293" s="377"/>
      <c r="E293" s="377"/>
      <c r="F293" s="377"/>
      <c r="G293" s="377"/>
      <c r="H293" s="377"/>
      <c r="I293" s="377"/>
      <c r="J293" s="377"/>
      <c r="K293" s="377"/>
      <c r="L293" s="377"/>
      <c r="M293" s="377"/>
      <c r="N293" s="377"/>
      <c r="O293" s="377"/>
      <c r="P293" s="377"/>
      <c r="Q293" s="377"/>
      <c r="R293" s="377"/>
      <c r="S293" s="377"/>
      <c r="T293" s="377"/>
      <c r="U293" s="377"/>
      <c r="V293" s="377"/>
      <c r="W293" s="377"/>
      <c r="X293" s="377"/>
      <c r="Y293" s="377"/>
      <c r="Z293" s="377"/>
      <c r="AA293" s="377"/>
      <c r="AB293" s="377"/>
    </row>
    <row r="294" spans="1:28" s="547" customFormat="1">
      <c r="A294" s="549"/>
      <c r="B294" s="546"/>
      <c r="D294" s="377"/>
      <c r="E294" s="377"/>
      <c r="F294" s="377"/>
      <c r="G294" s="377"/>
      <c r="H294" s="377"/>
      <c r="I294" s="377"/>
      <c r="J294" s="377"/>
      <c r="K294" s="377"/>
      <c r="L294" s="377"/>
      <c r="M294" s="377"/>
      <c r="N294" s="377"/>
      <c r="O294" s="377"/>
      <c r="P294" s="377"/>
      <c r="Q294" s="377"/>
      <c r="R294" s="377"/>
      <c r="S294" s="377"/>
      <c r="T294" s="377"/>
      <c r="U294" s="377"/>
      <c r="V294" s="377"/>
      <c r="W294" s="377"/>
      <c r="X294" s="377"/>
      <c r="Y294" s="377"/>
      <c r="Z294" s="377"/>
      <c r="AA294" s="377"/>
      <c r="AB294" s="377"/>
    </row>
    <row r="295" spans="1:28" s="547" customFormat="1">
      <c r="A295" s="549"/>
      <c r="B295" s="546"/>
      <c r="D295" s="377"/>
      <c r="E295" s="377"/>
      <c r="F295" s="377"/>
      <c r="G295" s="377"/>
      <c r="H295" s="377"/>
      <c r="I295" s="377"/>
      <c r="J295" s="377"/>
      <c r="K295" s="377"/>
      <c r="L295" s="377"/>
      <c r="M295" s="377"/>
      <c r="N295" s="377"/>
      <c r="O295" s="377"/>
      <c r="P295" s="377"/>
      <c r="Q295" s="377"/>
      <c r="R295" s="377"/>
      <c r="S295" s="377"/>
      <c r="T295" s="377"/>
      <c r="U295" s="377"/>
      <c r="V295" s="377"/>
      <c r="W295" s="377"/>
      <c r="X295" s="377"/>
      <c r="Y295" s="377"/>
      <c r="Z295" s="377"/>
      <c r="AA295" s="377"/>
      <c r="AB295" s="377"/>
    </row>
    <row r="296" spans="1:28" s="547" customFormat="1">
      <c r="A296" s="549"/>
      <c r="B296" s="546"/>
      <c r="D296" s="377"/>
      <c r="E296" s="377"/>
      <c r="F296" s="377"/>
      <c r="G296" s="377"/>
      <c r="H296" s="377"/>
      <c r="I296" s="377"/>
      <c r="J296" s="377"/>
      <c r="K296" s="377"/>
      <c r="L296" s="377"/>
      <c r="M296" s="377"/>
      <c r="N296" s="377"/>
      <c r="O296" s="377"/>
      <c r="P296" s="377"/>
      <c r="Q296" s="377"/>
      <c r="R296" s="377"/>
      <c r="S296" s="377"/>
      <c r="T296" s="377"/>
      <c r="U296" s="377"/>
      <c r="V296" s="377"/>
      <c r="W296" s="377"/>
      <c r="X296" s="377"/>
      <c r="Y296" s="377"/>
      <c r="Z296" s="377"/>
      <c r="AA296" s="377"/>
      <c r="AB296" s="377"/>
    </row>
    <row r="297" spans="1:28" s="547" customFormat="1">
      <c r="A297" s="549"/>
      <c r="B297" s="546"/>
      <c r="D297" s="377"/>
      <c r="E297" s="377"/>
      <c r="F297" s="377"/>
      <c r="G297" s="377"/>
      <c r="H297" s="377"/>
      <c r="I297" s="377"/>
      <c r="J297" s="377"/>
      <c r="K297" s="377"/>
      <c r="L297" s="377"/>
      <c r="M297" s="377"/>
      <c r="N297" s="377"/>
      <c r="O297" s="377"/>
      <c r="P297" s="377"/>
      <c r="Q297" s="377"/>
      <c r="R297" s="377"/>
      <c r="S297" s="377"/>
      <c r="T297" s="377"/>
      <c r="U297" s="377"/>
      <c r="V297" s="377"/>
      <c r="W297" s="377"/>
      <c r="X297" s="377"/>
      <c r="Y297" s="377"/>
      <c r="Z297" s="377"/>
      <c r="AA297" s="377"/>
      <c r="AB297" s="377"/>
    </row>
    <row r="298" spans="1:28" s="547" customFormat="1">
      <c r="A298" s="549"/>
      <c r="B298" s="546"/>
      <c r="D298" s="377"/>
      <c r="E298" s="377"/>
      <c r="F298" s="377"/>
      <c r="G298" s="377"/>
      <c r="H298" s="377"/>
      <c r="I298" s="377"/>
      <c r="J298" s="377"/>
      <c r="K298" s="377"/>
      <c r="L298" s="377"/>
      <c r="M298" s="377"/>
      <c r="N298" s="377"/>
      <c r="O298" s="377"/>
      <c r="P298" s="377"/>
      <c r="Q298" s="377"/>
      <c r="R298" s="377"/>
      <c r="S298" s="377"/>
      <c r="T298" s="377"/>
      <c r="U298" s="377"/>
      <c r="V298" s="377"/>
      <c r="W298" s="377"/>
      <c r="X298" s="377"/>
      <c r="Y298" s="377"/>
      <c r="Z298" s="377"/>
      <c r="AA298" s="377"/>
      <c r="AB298" s="377"/>
    </row>
    <row r="299" spans="1:28" s="547" customFormat="1">
      <c r="A299" s="549"/>
      <c r="B299" s="546"/>
      <c r="D299" s="377"/>
      <c r="E299" s="377"/>
      <c r="F299" s="377"/>
      <c r="G299" s="377"/>
      <c r="H299" s="377"/>
      <c r="I299" s="377"/>
      <c r="J299" s="377"/>
      <c r="K299" s="377"/>
      <c r="L299" s="377"/>
      <c r="M299" s="377"/>
      <c r="N299" s="377"/>
      <c r="O299" s="377"/>
      <c r="P299" s="377"/>
      <c r="Q299" s="377"/>
      <c r="R299" s="377"/>
      <c r="S299" s="377"/>
      <c r="T299" s="377"/>
      <c r="U299" s="377"/>
      <c r="V299" s="377"/>
      <c r="W299" s="377"/>
      <c r="X299" s="377"/>
      <c r="Y299" s="377"/>
      <c r="Z299" s="377"/>
      <c r="AA299" s="377"/>
      <c r="AB299" s="377"/>
    </row>
    <row r="300" spans="1:28" s="547" customFormat="1">
      <c r="A300" s="549"/>
      <c r="B300" s="546"/>
      <c r="D300" s="377"/>
      <c r="E300" s="377"/>
      <c r="F300" s="377"/>
      <c r="G300" s="377"/>
      <c r="H300" s="377"/>
      <c r="I300" s="377"/>
      <c r="J300" s="377"/>
      <c r="K300" s="377"/>
      <c r="L300" s="377"/>
      <c r="M300" s="377"/>
      <c r="N300" s="377"/>
      <c r="O300" s="377"/>
      <c r="P300" s="377"/>
      <c r="Q300" s="377"/>
      <c r="R300" s="377"/>
      <c r="S300" s="377"/>
      <c r="T300" s="377"/>
      <c r="U300" s="377"/>
      <c r="V300" s="377"/>
      <c r="W300" s="377"/>
      <c r="X300" s="377"/>
      <c r="Y300" s="377"/>
      <c r="Z300" s="377"/>
      <c r="AA300" s="377"/>
      <c r="AB300" s="377"/>
    </row>
    <row r="301" spans="1:28" s="547" customFormat="1">
      <c r="A301" s="549"/>
      <c r="B301" s="546"/>
      <c r="D301" s="377"/>
      <c r="E301" s="377"/>
      <c r="F301" s="377"/>
      <c r="G301" s="377"/>
      <c r="H301" s="377"/>
      <c r="I301" s="377"/>
      <c r="J301" s="377"/>
      <c r="K301" s="377"/>
      <c r="L301" s="377"/>
      <c r="M301" s="377"/>
      <c r="N301" s="377"/>
      <c r="O301" s="377"/>
      <c r="P301" s="377"/>
      <c r="Q301" s="377"/>
      <c r="R301" s="377"/>
      <c r="S301" s="377"/>
      <c r="T301" s="377"/>
      <c r="U301" s="377"/>
      <c r="V301" s="377"/>
      <c r="W301" s="377"/>
      <c r="X301" s="377"/>
      <c r="Y301" s="377"/>
      <c r="Z301" s="377"/>
      <c r="AA301" s="377"/>
      <c r="AB301" s="377"/>
    </row>
    <row r="302" spans="1:28" s="547" customFormat="1">
      <c r="A302" s="549"/>
      <c r="B302" s="546"/>
      <c r="D302" s="377"/>
      <c r="E302" s="377"/>
      <c r="F302" s="377"/>
      <c r="G302" s="377"/>
      <c r="H302" s="377"/>
      <c r="I302" s="377"/>
      <c r="J302" s="377"/>
      <c r="K302" s="377"/>
      <c r="L302" s="377"/>
      <c r="M302" s="377"/>
      <c r="N302" s="377"/>
      <c r="O302" s="377"/>
      <c r="P302" s="377"/>
      <c r="Q302" s="377"/>
      <c r="R302" s="377"/>
      <c r="S302" s="377"/>
      <c r="T302" s="377"/>
      <c r="U302" s="377"/>
      <c r="V302" s="377"/>
      <c r="W302" s="377"/>
      <c r="X302" s="377"/>
      <c r="Y302" s="377"/>
      <c r="Z302" s="377"/>
      <c r="AA302" s="377"/>
      <c r="AB302" s="377"/>
    </row>
    <row r="303" spans="1:28" s="547" customFormat="1">
      <c r="A303" s="549"/>
      <c r="B303" s="546"/>
      <c r="D303" s="377"/>
      <c r="E303" s="377"/>
      <c r="F303" s="377"/>
      <c r="G303" s="377"/>
      <c r="H303" s="377"/>
      <c r="I303" s="377"/>
      <c r="J303" s="377"/>
      <c r="K303" s="377"/>
      <c r="L303" s="377"/>
      <c r="M303" s="377"/>
      <c r="N303" s="377"/>
      <c r="O303" s="377"/>
      <c r="P303" s="377"/>
      <c r="Q303" s="377"/>
      <c r="R303" s="377"/>
      <c r="S303" s="377"/>
      <c r="T303" s="377"/>
      <c r="U303" s="377"/>
      <c r="V303" s="377"/>
      <c r="W303" s="377"/>
      <c r="X303" s="377"/>
      <c r="Y303" s="377"/>
      <c r="Z303" s="377"/>
      <c r="AA303" s="377"/>
      <c r="AB303" s="377"/>
    </row>
    <row r="304" spans="1:28" s="547" customFormat="1">
      <c r="A304" s="549"/>
      <c r="B304" s="546"/>
      <c r="D304" s="377"/>
      <c r="E304" s="377"/>
      <c r="F304" s="377"/>
      <c r="G304" s="377"/>
      <c r="H304" s="377"/>
      <c r="I304" s="377"/>
      <c r="J304" s="377"/>
      <c r="K304" s="377"/>
      <c r="L304" s="377"/>
      <c r="M304" s="377"/>
      <c r="N304" s="377"/>
      <c r="O304" s="377"/>
      <c r="P304" s="377"/>
      <c r="Q304" s="377"/>
      <c r="R304" s="377"/>
      <c r="S304" s="377"/>
      <c r="T304" s="377"/>
      <c r="U304" s="377"/>
      <c r="V304" s="377"/>
      <c r="W304" s="377"/>
      <c r="X304" s="377"/>
      <c r="Y304" s="377"/>
      <c r="Z304" s="377"/>
      <c r="AA304" s="377"/>
      <c r="AB304" s="377"/>
    </row>
    <row r="305" spans="1:28" s="547" customFormat="1">
      <c r="A305" s="549"/>
      <c r="B305" s="546"/>
      <c r="D305" s="377"/>
      <c r="E305" s="377"/>
      <c r="F305" s="377"/>
      <c r="G305" s="377"/>
      <c r="H305" s="377"/>
      <c r="I305" s="377"/>
      <c r="J305" s="377"/>
      <c r="K305" s="377"/>
      <c r="L305" s="377"/>
      <c r="M305" s="377"/>
      <c r="N305" s="377"/>
      <c r="O305" s="377"/>
      <c r="P305" s="377"/>
      <c r="Q305" s="377"/>
      <c r="R305" s="377"/>
      <c r="S305" s="377"/>
      <c r="T305" s="377"/>
      <c r="U305" s="377"/>
      <c r="V305" s="377"/>
      <c r="W305" s="377"/>
      <c r="X305" s="377"/>
      <c r="Y305" s="377"/>
      <c r="Z305" s="377"/>
      <c r="AA305" s="377"/>
      <c r="AB305" s="377"/>
    </row>
    <row r="306" spans="1:28" s="547" customFormat="1">
      <c r="A306" s="549"/>
      <c r="B306" s="546"/>
      <c r="D306" s="377"/>
      <c r="E306" s="377"/>
      <c r="F306" s="377"/>
      <c r="G306" s="377"/>
      <c r="H306" s="377"/>
      <c r="I306" s="377"/>
      <c r="J306" s="377"/>
      <c r="K306" s="377"/>
      <c r="L306" s="377"/>
      <c r="M306" s="377"/>
      <c r="N306" s="377"/>
      <c r="O306" s="377"/>
      <c r="P306" s="377"/>
      <c r="Q306" s="377"/>
      <c r="R306" s="377"/>
      <c r="S306" s="377"/>
      <c r="T306" s="377"/>
      <c r="U306" s="377"/>
      <c r="V306" s="377"/>
      <c r="W306" s="377"/>
      <c r="X306" s="377"/>
      <c r="Y306" s="377"/>
      <c r="Z306" s="377"/>
      <c r="AA306" s="377"/>
      <c r="AB306" s="377"/>
    </row>
    <row r="307" spans="1:28" s="547" customFormat="1">
      <c r="A307" s="549"/>
      <c r="B307" s="546"/>
      <c r="D307" s="377"/>
      <c r="E307" s="377"/>
      <c r="F307" s="377"/>
      <c r="G307" s="377"/>
      <c r="H307" s="377"/>
      <c r="I307" s="377"/>
      <c r="J307" s="377"/>
      <c r="K307" s="377"/>
      <c r="L307" s="377"/>
      <c r="M307" s="377"/>
      <c r="N307" s="377"/>
      <c r="O307" s="377"/>
      <c r="P307" s="377"/>
      <c r="Q307" s="377"/>
      <c r="R307" s="377"/>
      <c r="S307" s="377"/>
      <c r="T307" s="377"/>
      <c r="U307" s="377"/>
      <c r="V307" s="377"/>
      <c r="W307" s="377"/>
      <c r="X307" s="377"/>
      <c r="Y307" s="377"/>
      <c r="Z307" s="377"/>
      <c r="AA307" s="377"/>
      <c r="AB307" s="377"/>
    </row>
    <row r="308" spans="1:28" s="547" customFormat="1">
      <c r="A308" s="549"/>
      <c r="B308" s="546"/>
      <c r="D308" s="377"/>
      <c r="E308" s="377"/>
      <c r="F308" s="377"/>
      <c r="G308" s="377"/>
      <c r="H308" s="377"/>
      <c r="I308" s="377"/>
      <c r="J308" s="377"/>
      <c r="K308" s="377"/>
      <c r="L308" s="377"/>
      <c r="M308" s="377"/>
      <c r="N308" s="377"/>
      <c r="O308" s="377"/>
      <c r="P308" s="377"/>
      <c r="Q308" s="377"/>
      <c r="R308" s="377"/>
      <c r="S308" s="377"/>
      <c r="T308" s="377"/>
      <c r="U308" s="377"/>
      <c r="V308" s="377"/>
      <c r="W308" s="377"/>
      <c r="X308" s="377"/>
      <c r="Y308" s="377"/>
      <c r="Z308" s="377"/>
      <c r="AA308" s="377"/>
      <c r="AB308" s="377"/>
    </row>
    <row r="309" spans="1:28" s="547" customFormat="1">
      <c r="A309" s="549"/>
      <c r="B309" s="546"/>
      <c r="D309" s="377"/>
      <c r="E309" s="377"/>
      <c r="F309" s="377"/>
      <c r="G309" s="377"/>
      <c r="H309" s="377"/>
      <c r="I309" s="377"/>
      <c r="J309" s="377"/>
      <c r="K309" s="377"/>
      <c r="L309" s="377"/>
      <c r="M309" s="377"/>
      <c r="N309" s="377"/>
      <c r="O309" s="377"/>
      <c r="P309" s="377"/>
      <c r="Q309" s="377"/>
      <c r="R309" s="377"/>
      <c r="S309" s="377"/>
      <c r="T309" s="377"/>
      <c r="U309" s="377"/>
      <c r="V309" s="377"/>
      <c r="W309" s="377"/>
      <c r="X309" s="377"/>
      <c r="Y309" s="377"/>
      <c r="Z309" s="377"/>
      <c r="AA309" s="377"/>
      <c r="AB309" s="377"/>
    </row>
    <row r="310" spans="1:28" s="547" customFormat="1">
      <c r="A310" s="549"/>
      <c r="B310" s="546"/>
      <c r="D310" s="377"/>
      <c r="E310" s="377"/>
      <c r="F310" s="377"/>
      <c r="G310" s="377"/>
      <c r="H310" s="377"/>
      <c r="I310" s="377"/>
      <c r="J310" s="377"/>
      <c r="K310" s="377"/>
      <c r="L310" s="377"/>
      <c r="M310" s="377"/>
      <c r="N310" s="377"/>
      <c r="O310" s="377"/>
      <c r="P310" s="377"/>
      <c r="Q310" s="377"/>
      <c r="R310" s="377"/>
      <c r="S310" s="377"/>
      <c r="T310" s="377"/>
      <c r="U310" s="377"/>
      <c r="V310" s="377"/>
      <c r="W310" s="377"/>
      <c r="X310" s="377"/>
      <c r="Y310" s="377"/>
      <c r="Z310" s="377"/>
      <c r="AA310" s="377"/>
      <c r="AB310" s="377"/>
    </row>
    <row r="311" spans="1:28" s="547" customFormat="1">
      <c r="A311" s="549"/>
      <c r="B311" s="546"/>
      <c r="D311" s="377"/>
      <c r="E311" s="377"/>
      <c r="F311" s="377"/>
      <c r="G311" s="377"/>
      <c r="H311" s="377"/>
      <c r="I311" s="377"/>
      <c r="J311" s="377"/>
      <c r="K311" s="377"/>
      <c r="L311" s="377"/>
      <c r="M311" s="377"/>
      <c r="N311" s="377"/>
      <c r="O311" s="377"/>
      <c r="P311" s="377"/>
      <c r="Q311" s="377"/>
      <c r="R311" s="377"/>
      <c r="S311" s="377"/>
      <c r="T311" s="377"/>
      <c r="U311" s="377"/>
      <c r="V311" s="377"/>
      <c r="W311" s="377"/>
      <c r="X311" s="377"/>
      <c r="Y311" s="377"/>
      <c r="Z311" s="377"/>
      <c r="AA311" s="377"/>
      <c r="AB311" s="377"/>
    </row>
    <row r="312" spans="1:28" s="547" customFormat="1">
      <c r="A312" s="549"/>
      <c r="B312" s="546"/>
      <c r="D312" s="377"/>
      <c r="E312" s="377"/>
      <c r="F312" s="377"/>
      <c r="G312" s="377"/>
      <c r="H312" s="377"/>
      <c r="I312" s="377"/>
      <c r="J312" s="377"/>
      <c r="K312" s="377"/>
      <c r="L312" s="377"/>
      <c r="M312" s="377"/>
      <c r="N312" s="377"/>
      <c r="O312" s="377"/>
      <c r="P312" s="377"/>
      <c r="Q312" s="377"/>
      <c r="R312" s="377"/>
      <c r="S312" s="377"/>
      <c r="T312" s="377"/>
      <c r="U312" s="377"/>
      <c r="V312" s="377"/>
      <c r="W312" s="377"/>
      <c r="X312" s="377"/>
      <c r="Y312" s="377"/>
      <c r="Z312" s="377"/>
      <c r="AA312" s="377"/>
      <c r="AB312" s="377"/>
    </row>
    <row r="313" spans="1:28" s="547" customFormat="1">
      <c r="A313" s="549"/>
      <c r="B313" s="546"/>
      <c r="D313" s="377"/>
      <c r="E313" s="377"/>
      <c r="F313" s="377"/>
      <c r="G313" s="377"/>
      <c r="H313" s="377"/>
      <c r="I313" s="377"/>
      <c r="J313" s="377"/>
      <c r="K313" s="377"/>
      <c r="L313" s="377"/>
      <c r="M313" s="377"/>
      <c r="N313" s="377"/>
      <c r="O313" s="377"/>
      <c r="P313" s="377"/>
      <c r="Q313" s="377"/>
      <c r="R313" s="377"/>
      <c r="S313" s="377"/>
      <c r="T313" s="377"/>
      <c r="U313" s="377"/>
      <c r="V313" s="377"/>
      <c r="W313" s="377"/>
      <c r="X313" s="377"/>
      <c r="Y313" s="377"/>
      <c r="Z313" s="377"/>
      <c r="AA313" s="377"/>
      <c r="AB313" s="377"/>
    </row>
    <row r="314" spans="1:28" s="547" customFormat="1">
      <c r="A314" s="549"/>
      <c r="B314" s="546"/>
      <c r="D314" s="377"/>
      <c r="E314" s="377"/>
      <c r="F314" s="377"/>
      <c r="G314" s="377"/>
      <c r="H314" s="377"/>
      <c r="I314" s="377"/>
      <c r="J314" s="377"/>
      <c r="K314" s="377"/>
      <c r="L314" s="377"/>
      <c r="M314" s="377"/>
      <c r="N314" s="377"/>
      <c r="O314" s="377"/>
      <c r="P314" s="377"/>
      <c r="Q314" s="377"/>
      <c r="R314" s="377"/>
      <c r="S314" s="377"/>
      <c r="T314" s="377"/>
      <c r="U314" s="377"/>
      <c r="V314" s="377"/>
      <c r="W314" s="377"/>
      <c r="X314" s="377"/>
      <c r="Y314" s="377"/>
      <c r="Z314" s="377"/>
      <c r="AA314" s="377"/>
      <c r="AB314" s="377"/>
    </row>
    <row r="315" spans="1:28" s="547" customFormat="1">
      <c r="A315" s="549"/>
      <c r="B315" s="546"/>
      <c r="D315" s="377"/>
      <c r="E315" s="377"/>
      <c r="F315" s="377"/>
      <c r="G315" s="377"/>
      <c r="H315" s="377"/>
      <c r="I315" s="377"/>
      <c r="J315" s="377"/>
      <c r="K315" s="377"/>
      <c r="L315" s="377"/>
      <c r="M315" s="377"/>
      <c r="N315" s="377"/>
      <c r="O315" s="377"/>
      <c r="P315" s="377"/>
      <c r="Q315" s="377"/>
      <c r="R315" s="377"/>
      <c r="S315" s="377"/>
      <c r="T315" s="377"/>
      <c r="U315" s="377"/>
      <c r="V315" s="377"/>
      <c r="W315" s="377"/>
      <c r="X315" s="377"/>
      <c r="Y315" s="377"/>
      <c r="Z315" s="377"/>
      <c r="AA315" s="377"/>
      <c r="AB315" s="377"/>
    </row>
    <row r="316" spans="1:28" s="547" customFormat="1">
      <c r="A316" s="549"/>
      <c r="B316" s="546"/>
      <c r="D316" s="377"/>
      <c r="E316" s="377"/>
      <c r="F316" s="377"/>
      <c r="G316" s="377"/>
      <c r="H316" s="377"/>
      <c r="I316" s="377"/>
      <c r="J316" s="377"/>
      <c r="K316" s="377"/>
      <c r="L316" s="377"/>
      <c r="M316" s="377"/>
      <c r="N316" s="377"/>
      <c r="O316" s="377"/>
      <c r="P316" s="377"/>
      <c r="Q316" s="377"/>
      <c r="R316" s="377"/>
      <c r="S316" s="377"/>
      <c r="T316" s="377"/>
      <c r="U316" s="377"/>
      <c r="V316" s="377"/>
      <c r="W316" s="377"/>
      <c r="X316" s="377"/>
      <c r="Y316" s="377"/>
      <c r="Z316" s="377"/>
      <c r="AA316" s="377"/>
      <c r="AB316" s="377"/>
    </row>
  </sheetData>
  <mergeCells count="15">
    <mergeCell ref="M6:M7"/>
    <mergeCell ref="N6:O6"/>
    <mergeCell ref="H6:H7"/>
    <mergeCell ref="J6:J7"/>
    <mergeCell ref="K6:L6"/>
    <mergeCell ref="A152:H152"/>
    <mergeCell ref="I6:I7"/>
    <mergeCell ref="A6:A7"/>
    <mergeCell ref="B6:B7"/>
    <mergeCell ref="C6:C7"/>
    <mergeCell ref="G6:G7"/>
    <mergeCell ref="D6:D7"/>
    <mergeCell ref="E6:E7"/>
    <mergeCell ref="F6:F7"/>
    <mergeCell ref="A150:C150"/>
  </mergeCells>
  <pageMargins left="0.47244094488188981" right="0.23622047244094491" top="0.27559055118110237" bottom="0.62992125984251968" header="0.19685039370078741" footer="0.15748031496062992"/>
  <pageSetup paperSize="9" scale="51" fitToHeight="0" orientation="portrait" blackAndWhite="1" r:id="rId1"/>
  <rowBreaks count="1" manualBreakCount="1">
    <brk id="115" max="14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P108"/>
  <sheetViews>
    <sheetView view="pageBreakPreview" zoomScaleNormal="100" zoomScaleSheetLayoutView="100" workbookViewId="0">
      <pane xSplit="2" ySplit="5" topLeftCell="E6" activePane="bottomRight" state="frozen"/>
      <selection activeCell="F4" sqref="F4"/>
      <selection pane="topRight" activeCell="F4" sqref="F4"/>
      <selection pane="bottomLeft" activeCell="F4" sqref="F4"/>
      <selection pane="bottomRight" activeCell="F4" sqref="F4"/>
    </sheetView>
  </sheetViews>
  <sheetFormatPr defaultColWidth="3.7109375" defaultRowHeight="15" outlineLevelRow="1"/>
  <cols>
    <col min="1" max="1" width="6.28515625" style="1" customWidth="1"/>
    <col min="2" max="2" width="41.85546875" style="1" customWidth="1"/>
    <col min="3" max="4" width="13.42578125" style="1" hidden="1" customWidth="1"/>
    <col min="5" max="9" width="13.42578125" style="1" customWidth="1"/>
    <col min="10" max="10" width="15.7109375" style="1" customWidth="1"/>
    <col min="11" max="12" width="14.85546875" style="1" customWidth="1"/>
    <col min="13" max="51" width="9.140625" style="1" customWidth="1"/>
    <col min="52" max="16384" width="3.7109375" style="1"/>
  </cols>
  <sheetData>
    <row r="1" spans="1:16" ht="12.75" customHeight="1">
      <c r="A1" s="74" t="s">
        <v>1860</v>
      </c>
      <c r="J1" s="23"/>
      <c r="K1" s="23" t="s">
        <v>412</v>
      </c>
      <c r="L1" s="23"/>
    </row>
    <row r="2" spans="1:16" ht="12.75" customHeight="1">
      <c r="A2" s="105" t="str">
        <f>'3.1'!$A$2</f>
        <v>ПКГО - Комбинированная выработка КТЭЦ</v>
      </c>
    </row>
    <row r="3" spans="1:16" ht="35.25" customHeight="1">
      <c r="A3" s="1915" t="s">
        <v>1147</v>
      </c>
      <c r="B3" s="1916"/>
      <c r="C3" s="1916"/>
      <c r="D3" s="1916"/>
      <c r="E3" s="1916"/>
      <c r="F3" s="1916"/>
      <c r="G3" s="1916"/>
      <c r="H3" s="1916"/>
      <c r="I3" s="1916"/>
      <c r="J3" s="1916"/>
      <c r="K3" s="1636"/>
      <c r="L3" s="1636"/>
    </row>
    <row r="4" spans="1:16" ht="14.25" customHeight="1">
      <c r="J4" s="23"/>
      <c r="K4" s="23" t="s">
        <v>360</v>
      </c>
      <c r="L4" s="23"/>
    </row>
    <row r="5" spans="1:16" s="3" customFormat="1" ht="79.5" customHeight="1">
      <c r="A5" s="12" t="s">
        <v>0</v>
      </c>
      <c r="B5" s="12" t="s">
        <v>1</v>
      </c>
      <c r="C5" s="12" t="s">
        <v>1129</v>
      </c>
      <c r="D5" s="540" t="s">
        <v>1130</v>
      </c>
      <c r="E5" s="1631" t="s">
        <v>1520</v>
      </c>
      <c r="F5" s="1631" t="s">
        <v>1695</v>
      </c>
      <c r="G5" s="1631" t="s">
        <v>1702</v>
      </c>
      <c r="H5" s="1631" t="s">
        <v>1828</v>
      </c>
      <c r="I5" s="1631" t="s">
        <v>1842</v>
      </c>
      <c r="J5" s="1631" t="s">
        <v>1861</v>
      </c>
      <c r="K5" s="1631" t="s">
        <v>1862</v>
      </c>
      <c r="L5" s="1631" t="s">
        <v>1863</v>
      </c>
    </row>
    <row r="6" spans="1:16" s="2" customFormat="1">
      <c r="A6" s="13">
        <v>1</v>
      </c>
      <c r="B6" s="13">
        <v>2</v>
      </c>
      <c r="C6" s="13">
        <v>3</v>
      </c>
      <c r="D6" s="13">
        <v>4</v>
      </c>
      <c r="E6" s="13">
        <v>3</v>
      </c>
      <c r="F6" s="13">
        <v>4</v>
      </c>
      <c r="G6" s="13">
        <v>5</v>
      </c>
      <c r="H6" s="13">
        <v>6</v>
      </c>
      <c r="I6" s="13">
        <v>7</v>
      </c>
      <c r="J6" s="13">
        <v>8</v>
      </c>
      <c r="K6" s="13">
        <v>9</v>
      </c>
      <c r="L6" s="13">
        <v>10</v>
      </c>
      <c r="M6" s="2">
        <v>10</v>
      </c>
      <c r="N6" s="2">
        <v>11</v>
      </c>
      <c r="O6" s="1790">
        <v>1.0680000000000001</v>
      </c>
      <c r="P6" s="1790">
        <v>1.0589999999999999</v>
      </c>
    </row>
    <row r="7" spans="1:16" s="1041" customFormat="1" ht="32.25" customHeight="1">
      <c r="A7" s="1037" t="s">
        <v>361</v>
      </c>
      <c r="B7" s="1038" t="s">
        <v>362</v>
      </c>
      <c r="C7" s="1039">
        <f>C8+SUM(C10:C15)+C20+SUM(C22:C25)+SUM(C56:C61)</f>
        <v>1326836.6817738668</v>
      </c>
      <c r="D7" s="1039">
        <f>D8+SUM(D10:D15)+D20+SUM(D22:D25)+SUM(D56:D61)</f>
        <v>1240440.4092599999</v>
      </c>
      <c r="E7" s="1039">
        <v>1430740.2389284854</v>
      </c>
      <c r="F7" s="1039">
        <v>1384672.6984511467</v>
      </c>
      <c r="G7" s="1039">
        <v>1452370.9619877937</v>
      </c>
      <c r="H7" s="1039">
        <v>1358604.9997361975</v>
      </c>
      <c r="I7" s="1039">
        <v>141697</v>
      </c>
      <c r="J7" s="1039">
        <v>1603972.3151647891</v>
      </c>
      <c r="K7" s="1039">
        <v>1802744.0243674528</v>
      </c>
      <c r="L7" s="1039">
        <v>1883769.2313739283</v>
      </c>
      <c r="O7" s="1790">
        <f>'5.2_пр-во КТЭЦ+котельн'!H21</f>
        <v>1.05732</v>
      </c>
      <c r="P7" s="1790">
        <f>'5.2_пр-во КТЭЦ+котельн'!I21</f>
        <v>1.0484099999999998</v>
      </c>
    </row>
    <row r="8" spans="1:16" s="1046" customFormat="1" ht="15" customHeight="1">
      <c r="A8" s="1044"/>
      <c r="B8" s="1045" t="s">
        <v>363</v>
      </c>
      <c r="C8" s="258">
        <f>48850-3832</f>
        <v>45018</v>
      </c>
      <c r="D8" s="258">
        <f>16488-4777</f>
        <v>11711</v>
      </c>
      <c r="E8" s="258">
        <v>12031</v>
      </c>
      <c r="F8" s="258">
        <v>12545</v>
      </c>
      <c r="G8" s="258">
        <v>23727</v>
      </c>
      <c r="H8" s="258">
        <v>14056</v>
      </c>
      <c r="I8" s="1719">
        <v>49316</v>
      </c>
      <c r="J8" s="1719">
        <v>47630</v>
      </c>
      <c r="K8" s="1719">
        <v>49049.789000000004</v>
      </c>
      <c r="L8" s="1443">
        <v>54667.025734939198</v>
      </c>
    </row>
    <row r="9" spans="1:16" s="4" customFormat="1" ht="15" customHeight="1">
      <c r="A9" s="17"/>
      <c r="B9" s="580" t="s">
        <v>1134</v>
      </c>
      <c r="C9" s="751">
        <v>14255</v>
      </c>
      <c r="D9" s="751">
        <v>3466</v>
      </c>
      <c r="E9" s="751"/>
      <c r="F9" s="751">
        <v>4997</v>
      </c>
      <c r="G9" s="751">
        <v>9483</v>
      </c>
      <c r="H9" s="751">
        <v>5791</v>
      </c>
      <c r="I9" s="751">
        <v>10991</v>
      </c>
      <c r="J9" s="752">
        <v>9305</v>
      </c>
      <c r="K9" s="752">
        <v>8528</v>
      </c>
      <c r="L9" s="1444">
        <v>12183.576929449198</v>
      </c>
    </row>
    <row r="10" spans="1:16" s="1046" customFormat="1" ht="15" customHeight="1">
      <c r="A10" s="1044"/>
      <c r="B10" s="1045" t="s">
        <v>364</v>
      </c>
      <c r="C10" s="258">
        <f>' 4.4-КТЭЦ_комбинир.'!D256</f>
        <v>798114.68177386676</v>
      </c>
      <c r="D10" s="258">
        <f>' 4.4-КТЭЦ_комбинир.'!E256</f>
        <v>745750.77094999992</v>
      </c>
      <c r="E10" s="258">
        <v>946726</v>
      </c>
      <c r="F10" s="258">
        <v>820511.83115114667</v>
      </c>
      <c r="G10" s="258">
        <v>845707.96198779368</v>
      </c>
      <c r="H10" s="258">
        <v>791710.72252619755</v>
      </c>
      <c r="I10" s="258"/>
      <c r="J10" s="258">
        <v>922221.98336478905</v>
      </c>
      <c r="K10" s="258">
        <v>940898.01732465264</v>
      </c>
      <c r="L10" s="258">
        <v>969831.47159815882</v>
      </c>
    </row>
    <row r="11" spans="1:16" s="1046" customFormat="1" ht="30">
      <c r="A11" s="1044"/>
      <c r="B11" s="1045" t="s">
        <v>365</v>
      </c>
      <c r="C11" s="258">
        <v>0</v>
      </c>
      <c r="D11" s="258">
        <f>'4. 7_КТЭЦ'!O98</f>
        <v>0</v>
      </c>
      <c r="E11" s="258"/>
      <c r="F11" s="258">
        <v>0</v>
      </c>
      <c r="G11" s="258">
        <v>0</v>
      </c>
      <c r="H11" s="258">
        <v>0</v>
      </c>
      <c r="I11" s="258"/>
      <c r="J11" s="258">
        <v>0</v>
      </c>
      <c r="K11" s="258">
        <v>0</v>
      </c>
      <c r="L11" s="258">
        <v>0</v>
      </c>
    </row>
    <row r="12" spans="1:16" s="1046" customFormat="1" ht="15" customHeight="1">
      <c r="A12" s="1044"/>
      <c r="B12" s="1045" t="s">
        <v>366</v>
      </c>
      <c r="C12" s="258">
        <v>3832</v>
      </c>
      <c r="D12" s="258">
        <f>'4.8 - КТЭЦ'!H13+'4.8 - КТЭЦ'!H20+'4.8 - КТЭЦ'!H21</f>
        <v>109146.23890999999</v>
      </c>
      <c r="E12" s="258">
        <v>7870</v>
      </c>
      <c r="F12" s="258">
        <v>5861</v>
      </c>
      <c r="G12" s="258">
        <v>7572</v>
      </c>
      <c r="H12" s="258">
        <v>6738</v>
      </c>
      <c r="I12" s="258"/>
      <c r="J12" s="258">
        <v>7647.9910399999999</v>
      </c>
      <c r="K12" s="258">
        <v>7700.4474440000004</v>
      </c>
      <c r="L12" s="258">
        <v>8256.2718707799995</v>
      </c>
    </row>
    <row r="13" spans="1:16" s="1046" customFormat="1" ht="15" customHeight="1">
      <c r="A13" s="1044"/>
      <c r="B13" s="1045" t="s">
        <v>367</v>
      </c>
      <c r="C13" s="258"/>
      <c r="D13" s="258"/>
      <c r="E13" s="258"/>
      <c r="F13" s="258">
        <v>112970</v>
      </c>
      <c r="G13" s="258"/>
      <c r="H13" s="258">
        <v>113778</v>
      </c>
      <c r="I13" s="258"/>
      <c r="J13" s="258">
        <v>109391.24076000002</v>
      </c>
      <c r="K13" s="258">
        <v>115440.2817588</v>
      </c>
      <c r="L13" s="258">
        <v>123542.065986306</v>
      </c>
    </row>
    <row r="14" spans="1:16" s="1046" customFormat="1" ht="30">
      <c r="A14" s="1044"/>
      <c r="B14" s="1045" t="s">
        <v>368</v>
      </c>
      <c r="C14" s="258">
        <v>53485</v>
      </c>
      <c r="D14" s="258">
        <f>'4.10_пр-во_КТЭЦ'!E97</f>
        <v>78628</v>
      </c>
      <c r="E14" s="258">
        <v>60548</v>
      </c>
      <c r="F14" s="258">
        <v>91564</v>
      </c>
      <c r="G14" s="258">
        <v>71146</v>
      </c>
      <c r="H14" s="258">
        <v>65368</v>
      </c>
      <c r="I14" s="258">
        <v>0</v>
      </c>
      <c r="J14" s="258">
        <v>71881</v>
      </c>
      <c r="K14" s="258">
        <v>76176</v>
      </c>
      <c r="L14" s="258">
        <v>83573</v>
      </c>
    </row>
    <row r="15" spans="1:16" s="1046" customFormat="1" ht="15" customHeight="1">
      <c r="A15" s="1044"/>
      <c r="B15" s="1045" t="s">
        <v>1135</v>
      </c>
      <c r="C15" s="258">
        <f>C16+C18+C19+1</f>
        <v>200640</v>
      </c>
      <c r="D15" s="258">
        <f t="shared" ref="D15" si="0">D16+D18+D19</f>
        <v>163477</v>
      </c>
      <c r="E15" s="258">
        <v>218203.23892848552</v>
      </c>
      <c r="F15" s="258">
        <v>189956</v>
      </c>
      <c r="G15" s="258">
        <v>308898</v>
      </c>
      <c r="H15" s="258">
        <v>200433</v>
      </c>
      <c r="I15" s="258">
        <v>0</v>
      </c>
      <c r="J15" s="258">
        <v>228452</v>
      </c>
      <c r="K15" s="258">
        <v>259733</v>
      </c>
      <c r="L15" s="258">
        <v>274961</v>
      </c>
    </row>
    <row r="16" spans="1:16" s="341" customFormat="1" ht="15" customHeight="1">
      <c r="A16" s="339"/>
      <c r="B16" s="581" t="s">
        <v>1136</v>
      </c>
      <c r="C16" s="981">
        <v>198223</v>
      </c>
      <c r="D16" s="981">
        <v>160856</v>
      </c>
      <c r="E16" s="981">
        <v>215208.23892848552</v>
      </c>
      <c r="F16" s="981">
        <v>187341</v>
      </c>
      <c r="G16" s="766">
        <v>303442</v>
      </c>
      <c r="H16" s="981">
        <v>197300</v>
      </c>
      <c r="I16" s="981"/>
      <c r="J16" s="981">
        <v>225775</v>
      </c>
      <c r="K16" s="981">
        <v>255110</v>
      </c>
      <c r="L16" s="981">
        <v>270130</v>
      </c>
    </row>
    <row r="17" spans="1:14" s="341" customFormat="1" ht="15" customHeight="1">
      <c r="A17" s="339"/>
      <c r="B17" s="580" t="s">
        <v>1134</v>
      </c>
      <c r="C17" s="752">
        <v>16591</v>
      </c>
      <c r="D17" s="752">
        <f>18638+179</f>
        <v>18817</v>
      </c>
      <c r="E17" s="752"/>
      <c r="F17" s="752">
        <v>21345</v>
      </c>
      <c r="G17" s="751">
        <v>26579</v>
      </c>
      <c r="H17" s="752">
        <v>22789</v>
      </c>
      <c r="I17" s="752"/>
      <c r="J17" s="752">
        <v>26597</v>
      </c>
      <c r="K17" s="752">
        <v>30189</v>
      </c>
      <c r="L17" s="752">
        <v>31954</v>
      </c>
    </row>
    <row r="18" spans="1:14" s="341" customFormat="1" ht="15" customHeight="1">
      <c r="A18" s="339"/>
      <c r="B18" s="581" t="s">
        <v>1137</v>
      </c>
      <c r="C18" s="981">
        <v>2416</v>
      </c>
      <c r="D18" s="981">
        <v>2132</v>
      </c>
      <c r="E18" s="981">
        <v>2996</v>
      </c>
      <c r="F18" s="981">
        <v>2303</v>
      </c>
      <c r="G18" s="766">
        <v>5456</v>
      </c>
      <c r="H18" s="981">
        <v>2623</v>
      </c>
      <c r="I18" s="981"/>
      <c r="J18" s="981">
        <v>2677</v>
      </c>
      <c r="K18" s="981">
        <v>4623</v>
      </c>
      <c r="L18" s="981">
        <v>4831</v>
      </c>
    </row>
    <row r="19" spans="1:14" s="341" customFormat="1" ht="15" customHeight="1">
      <c r="A19" s="339"/>
      <c r="B19" s="581" t="s">
        <v>1138</v>
      </c>
      <c r="C19" s="981">
        <v>0</v>
      </c>
      <c r="D19" s="981">
        <v>489</v>
      </c>
      <c r="E19" s="981"/>
      <c r="F19" s="981">
        <v>312</v>
      </c>
      <c r="G19" s="766">
        <v>0</v>
      </c>
      <c r="H19" s="981">
        <v>510</v>
      </c>
      <c r="I19" s="981"/>
      <c r="J19" s="981">
        <v>0</v>
      </c>
      <c r="K19" s="981">
        <v>0</v>
      </c>
      <c r="L19" s="981">
        <v>0</v>
      </c>
    </row>
    <row r="20" spans="1:14" s="1046" customFormat="1">
      <c r="A20" s="1044"/>
      <c r="B20" s="1045" t="s">
        <v>369</v>
      </c>
      <c r="C20" s="258">
        <v>95665</v>
      </c>
      <c r="D20" s="258">
        <v>41481</v>
      </c>
      <c r="E20" s="258">
        <v>58923</v>
      </c>
      <c r="F20" s="258">
        <v>50309</v>
      </c>
      <c r="G20" s="258">
        <v>69922</v>
      </c>
      <c r="H20" s="258">
        <v>55209</v>
      </c>
      <c r="I20" s="258"/>
      <c r="J20" s="258">
        <v>60785</v>
      </c>
      <c r="K20" s="258">
        <v>71494</v>
      </c>
      <c r="L20" s="258">
        <v>77015</v>
      </c>
    </row>
    <row r="21" spans="1:14" s="341" customFormat="1">
      <c r="A21" s="339"/>
      <c r="B21" s="580" t="s">
        <v>1134</v>
      </c>
      <c r="C21" s="752">
        <v>4836</v>
      </c>
      <c r="D21" s="752">
        <v>5054</v>
      </c>
      <c r="E21" s="752"/>
      <c r="F21" s="752">
        <v>6189</v>
      </c>
      <c r="G21" s="751">
        <v>10046</v>
      </c>
      <c r="H21" s="752">
        <v>6700</v>
      </c>
      <c r="I21" s="752"/>
      <c r="J21" s="752">
        <v>7620</v>
      </c>
      <c r="K21" s="752">
        <v>9117</v>
      </c>
      <c r="L21" s="1444">
        <v>9346.3112898259333</v>
      </c>
    </row>
    <row r="22" spans="1:14" s="1046" customFormat="1" ht="30" customHeight="1">
      <c r="A22" s="1044"/>
      <c r="B22" s="1045" t="s">
        <v>370</v>
      </c>
      <c r="C22" s="258">
        <v>50758</v>
      </c>
      <c r="D22" s="258">
        <v>45533</v>
      </c>
      <c r="E22" s="258">
        <v>73774</v>
      </c>
      <c r="F22" s="258">
        <v>58092</v>
      </c>
      <c r="G22" s="258">
        <v>68473</v>
      </c>
      <c r="H22" s="258">
        <v>63529</v>
      </c>
      <c r="I22" s="258">
        <v>42444</v>
      </c>
      <c r="J22" s="258">
        <v>89523</v>
      </c>
      <c r="K22" s="258">
        <v>211626</v>
      </c>
      <c r="L22" s="1443">
        <v>217704.98892999999</v>
      </c>
    </row>
    <row r="23" spans="1:14" s="1046" customFormat="1" ht="60">
      <c r="A23" s="1044"/>
      <c r="B23" s="1045" t="s">
        <v>1139</v>
      </c>
      <c r="C23" s="258">
        <v>0</v>
      </c>
      <c r="D23" s="258">
        <v>0</v>
      </c>
      <c r="E23" s="258"/>
      <c r="F23" s="258">
        <v>0</v>
      </c>
      <c r="G23" s="258"/>
      <c r="H23" s="258">
        <v>0</v>
      </c>
      <c r="I23" s="258">
        <v>0</v>
      </c>
      <c r="J23" s="258">
        <v>0</v>
      </c>
      <c r="K23" s="258">
        <v>0</v>
      </c>
      <c r="L23" s="258">
        <v>0</v>
      </c>
    </row>
    <row r="24" spans="1:14" s="1046" customFormat="1" ht="60">
      <c r="A24" s="1044"/>
      <c r="B24" s="1045" t="s">
        <v>372</v>
      </c>
      <c r="C24" s="258">
        <f>81923-50758</f>
        <v>31165</v>
      </c>
      <c r="D24" s="258">
        <f>59040-45533</f>
        <v>13507</v>
      </c>
      <c r="E24" s="258">
        <v>16365</v>
      </c>
      <c r="F24" s="258">
        <v>5407</v>
      </c>
      <c r="G24" s="258">
        <v>19103</v>
      </c>
      <c r="H24" s="258">
        <v>6709</v>
      </c>
      <c r="I24" s="1719">
        <v>22388</v>
      </c>
      <c r="J24" s="1719">
        <v>22388</v>
      </c>
      <c r="K24" s="1719">
        <v>23671.280160000002</v>
      </c>
      <c r="L24" s="1443">
        <v>24817.206832545598</v>
      </c>
    </row>
    <row r="25" spans="1:14" s="1046" customFormat="1" ht="105">
      <c r="A25" s="1044"/>
      <c r="B25" s="1045" t="s">
        <v>373</v>
      </c>
      <c r="C25" s="258">
        <f>C27+C28+C29+C55</f>
        <v>24090</v>
      </c>
      <c r="D25" s="258">
        <f t="shared" ref="D25:N25" si="1">D27+D28+D29+D55</f>
        <v>20129.399399999998</v>
      </c>
      <c r="E25" s="258">
        <v>26279</v>
      </c>
      <c r="F25" s="258">
        <v>23961.867299999998</v>
      </c>
      <c r="G25" s="258">
        <v>24324</v>
      </c>
      <c r="H25" s="258">
        <v>26125.27721</v>
      </c>
      <c r="I25" s="1719">
        <v>25763</v>
      </c>
      <c r="J25" s="1719">
        <v>25763</v>
      </c>
      <c r="K25" s="1719">
        <v>27239.73516</v>
      </c>
      <c r="L25" s="1443">
        <v>28558.410739095594</v>
      </c>
      <c r="M25" s="258"/>
      <c r="N25" s="258"/>
    </row>
    <row r="26" spans="1:14" s="4" customFormat="1">
      <c r="A26" s="17"/>
      <c r="B26" s="51" t="s">
        <v>70</v>
      </c>
      <c r="C26" s="241"/>
      <c r="D26" s="241"/>
      <c r="E26" s="241"/>
      <c r="F26" s="241"/>
      <c r="G26" s="241"/>
      <c r="H26" s="241"/>
      <c r="I26" s="241"/>
      <c r="J26" s="241"/>
      <c r="K26" s="241"/>
      <c r="L26" s="241"/>
    </row>
    <row r="27" spans="1:14" s="4" customFormat="1">
      <c r="A27" s="17"/>
      <c r="B27" s="581" t="s">
        <v>1275</v>
      </c>
      <c r="C27" s="766">
        <v>182</v>
      </c>
      <c r="D27" s="766">
        <v>0</v>
      </c>
      <c r="E27" s="766">
        <v>567</v>
      </c>
      <c r="F27" s="766">
        <v>0</v>
      </c>
      <c r="G27" s="766"/>
      <c r="H27" s="766">
        <v>0</v>
      </c>
      <c r="I27" s="766">
        <v>0</v>
      </c>
      <c r="J27" s="766">
        <v>0</v>
      </c>
      <c r="K27" s="766">
        <v>0</v>
      </c>
      <c r="L27" s="766">
        <v>0</v>
      </c>
    </row>
    <row r="28" spans="1:14" s="4" customFormat="1">
      <c r="A28" s="17"/>
      <c r="B28" s="581" t="s">
        <v>1276</v>
      </c>
      <c r="C28" s="766">
        <v>194</v>
      </c>
      <c r="D28" s="766">
        <v>0</v>
      </c>
      <c r="E28" s="766">
        <v>398</v>
      </c>
      <c r="F28" s="766">
        <v>0</v>
      </c>
      <c r="G28" s="766">
        <v>239</v>
      </c>
      <c r="H28" s="766">
        <v>0</v>
      </c>
      <c r="I28" s="1720">
        <v>175</v>
      </c>
      <c r="J28" s="1720">
        <v>175</v>
      </c>
      <c r="K28" s="1720">
        <v>185.03100000000001</v>
      </c>
      <c r="L28" s="1720">
        <v>193.98835070999996</v>
      </c>
    </row>
    <row r="29" spans="1:14" s="4" customFormat="1">
      <c r="A29" s="17"/>
      <c r="B29" s="581" t="s">
        <v>1559</v>
      </c>
      <c r="C29" s="766">
        <f>27319-C65</f>
        <v>23714</v>
      </c>
      <c r="D29" s="766">
        <f>D30+D31</f>
        <v>20129.399399999998</v>
      </c>
      <c r="E29" s="766">
        <v>25314</v>
      </c>
      <c r="F29" s="766">
        <v>23961.867299999998</v>
      </c>
      <c r="G29" s="766">
        <v>24084</v>
      </c>
      <c r="H29" s="766">
        <v>26125.27721</v>
      </c>
      <c r="I29" s="1720">
        <v>25588</v>
      </c>
      <c r="J29" s="1720">
        <v>25588</v>
      </c>
      <c r="K29" s="1720">
        <v>27054.704160000001</v>
      </c>
      <c r="L29" s="1720">
        <v>28364.422388385596</v>
      </c>
    </row>
    <row r="30" spans="1:14" s="4" customFormat="1" hidden="1" outlineLevel="1">
      <c r="A30" s="737" t="s">
        <v>89</v>
      </c>
      <c r="B30" s="738" t="s">
        <v>1244</v>
      </c>
      <c r="C30" s="746"/>
      <c r="D30" s="308">
        <v>15392.489999999998</v>
      </c>
      <c r="E30" s="308"/>
      <c r="F30" s="308">
        <v>16023</v>
      </c>
      <c r="G30" s="308"/>
      <c r="H30" s="308">
        <v>17178</v>
      </c>
      <c r="I30" s="308"/>
      <c r="J30" s="308"/>
      <c r="K30" s="308"/>
      <c r="L30" s="1442"/>
      <c r="M30" s="1"/>
    </row>
    <row r="31" spans="1:14" s="341" customFormat="1" hidden="1" outlineLevel="1">
      <c r="A31" s="760" t="s">
        <v>91</v>
      </c>
      <c r="B31" s="761" t="s">
        <v>1245</v>
      </c>
      <c r="C31" s="746">
        <f t="shared" ref="C31:D31" si="2">SUM(C32:C43)+C45</f>
        <v>0</v>
      </c>
      <c r="D31" s="746">
        <f t="shared" si="2"/>
        <v>4736.9094000000005</v>
      </c>
      <c r="E31" s="746">
        <v>0</v>
      </c>
      <c r="F31" s="746">
        <v>7938.8672999999999</v>
      </c>
      <c r="G31" s="746">
        <v>0</v>
      </c>
      <c r="H31" s="746">
        <v>8947.2772100000002</v>
      </c>
      <c r="I31" s="746">
        <v>0</v>
      </c>
      <c r="J31" s="746">
        <v>0</v>
      </c>
      <c r="K31" s="746">
        <v>0</v>
      </c>
      <c r="L31" s="746">
        <v>0</v>
      </c>
      <c r="M31" s="763"/>
    </row>
    <row r="32" spans="1:14" s="4" customFormat="1" ht="26.25" hidden="1" outlineLevel="1">
      <c r="A32" s="739" t="s">
        <v>1044</v>
      </c>
      <c r="B32" s="740" t="s">
        <v>1247</v>
      </c>
      <c r="C32" s="740"/>
      <c r="D32" s="952">
        <f>3837*0.0982</f>
        <v>376.79339999999996</v>
      </c>
      <c r="E32" s="308"/>
      <c r="F32" s="308">
        <v>481.572</v>
      </c>
      <c r="G32" s="952"/>
      <c r="H32" s="308">
        <v>384.76368000000002</v>
      </c>
      <c r="I32" s="308"/>
      <c r="J32" s="308"/>
      <c r="K32" s="308"/>
      <c r="L32" s="308"/>
      <c r="M32" s="1"/>
    </row>
    <row r="33" spans="1:14" s="4" customFormat="1" ht="39" hidden="1" outlineLevel="1">
      <c r="A33" s="739" t="s">
        <v>1043</v>
      </c>
      <c r="B33" s="740" t="s">
        <v>1249</v>
      </c>
      <c r="C33" s="740"/>
      <c r="D33" s="952">
        <f>57*0.0982</f>
        <v>5.5973999999999995</v>
      </c>
      <c r="E33" s="308"/>
      <c r="F33" s="879">
        <v>0.28664999999999996</v>
      </c>
      <c r="G33" s="952"/>
      <c r="H33" s="879"/>
      <c r="I33" s="879"/>
      <c r="J33" s="879"/>
      <c r="K33" s="879"/>
      <c r="L33" s="879"/>
      <c r="M33" s="1"/>
    </row>
    <row r="34" spans="1:14" s="4" customFormat="1" hidden="1" outlineLevel="1">
      <c r="A34" s="741" t="s">
        <v>1540</v>
      </c>
      <c r="B34" s="740" t="s">
        <v>1250</v>
      </c>
      <c r="C34" s="740"/>
      <c r="D34" s="952">
        <f>968*0.0982</f>
        <v>95.057599999999994</v>
      </c>
      <c r="E34" s="308"/>
      <c r="F34" s="308">
        <v>122.97284999999999</v>
      </c>
      <c r="G34" s="952"/>
      <c r="H34" s="308">
        <v>133.39368000000002</v>
      </c>
      <c r="I34" s="308"/>
      <c r="J34" s="308"/>
      <c r="K34" s="308"/>
      <c r="L34" s="308"/>
      <c r="M34" s="1"/>
    </row>
    <row r="35" spans="1:14" s="4" customFormat="1" ht="15" hidden="1" customHeight="1" outlineLevel="1">
      <c r="A35" s="739" t="s">
        <v>1541</v>
      </c>
      <c r="B35" s="740" t="s">
        <v>1251</v>
      </c>
      <c r="C35" s="740"/>
      <c r="D35" s="952">
        <f>2408*0.0982</f>
        <v>236.46559999999999</v>
      </c>
      <c r="E35" s="308"/>
      <c r="F35" s="308">
        <v>385.44869999999997</v>
      </c>
      <c r="G35" s="952"/>
      <c r="H35" s="308">
        <v>258.07319999999999</v>
      </c>
      <c r="I35" s="308"/>
      <c r="J35" s="308"/>
      <c r="K35" s="308"/>
      <c r="L35" s="308"/>
      <c r="M35" s="1"/>
    </row>
    <row r="36" spans="1:14" s="4" customFormat="1" ht="26.25" hidden="1" outlineLevel="1">
      <c r="A36" s="739" t="s">
        <v>1542</v>
      </c>
      <c r="B36" s="740" t="s">
        <v>1252</v>
      </c>
      <c r="C36" s="740"/>
      <c r="D36" s="952">
        <f>11786*0.0982</f>
        <v>1157.3851999999999</v>
      </c>
      <c r="E36" s="308"/>
      <c r="F36" s="308">
        <v>1080.4793999999999</v>
      </c>
      <c r="G36" s="952"/>
      <c r="H36" s="308">
        <v>1441.7745300000001</v>
      </c>
      <c r="I36" s="308"/>
      <c r="J36" s="308"/>
      <c r="K36" s="308"/>
      <c r="L36" s="1442"/>
      <c r="M36" s="1"/>
    </row>
    <row r="37" spans="1:14" s="4" customFormat="1" hidden="1" outlineLevel="1">
      <c r="A37" s="739" t="s">
        <v>1543</v>
      </c>
      <c r="B37" s="740" t="s">
        <v>1253</v>
      </c>
      <c r="C37" s="740"/>
      <c r="D37" s="952">
        <f>10310*0.0982</f>
        <v>1012.442</v>
      </c>
      <c r="E37" s="308"/>
      <c r="F37" s="308">
        <v>951.58244999999999</v>
      </c>
      <c r="G37" s="952"/>
      <c r="H37" s="308">
        <v>1623.0123000000001</v>
      </c>
      <c r="I37" s="308"/>
      <c r="J37" s="308"/>
      <c r="K37" s="308"/>
      <c r="L37" s="308"/>
      <c r="M37" s="1"/>
    </row>
    <row r="38" spans="1:14" s="4" customFormat="1" hidden="1" outlineLevel="1">
      <c r="A38" s="739" t="s">
        <v>1544</v>
      </c>
      <c r="B38" s="742" t="s">
        <v>1254</v>
      </c>
      <c r="C38" s="742"/>
      <c r="D38" s="952">
        <f>1516*0.0982</f>
        <v>148.87119999999999</v>
      </c>
      <c r="E38" s="308"/>
      <c r="F38" s="308">
        <v>236.964</v>
      </c>
      <c r="G38" s="952"/>
      <c r="H38" s="308">
        <v>201.59874000000002</v>
      </c>
      <c r="I38" s="308">
        <v>0</v>
      </c>
      <c r="J38" s="308">
        <v>0</v>
      </c>
      <c r="K38" s="308"/>
      <c r="L38" s="308"/>
      <c r="M38" s="1"/>
    </row>
    <row r="39" spans="1:14" s="4" customFormat="1" hidden="1" outlineLevel="1">
      <c r="A39" s="739" t="s">
        <v>1545</v>
      </c>
      <c r="B39" s="740" t="s">
        <v>1255</v>
      </c>
      <c r="C39" s="740"/>
      <c r="D39" s="952">
        <f>261*0.0982</f>
        <v>25.630199999999999</v>
      </c>
      <c r="E39" s="308"/>
      <c r="F39" s="308">
        <v>34.875749999999996</v>
      </c>
      <c r="G39" s="952"/>
      <c r="H39" s="308">
        <v>42.732900000000001</v>
      </c>
      <c r="I39" s="308"/>
      <c r="J39" s="308"/>
      <c r="K39" s="308"/>
      <c r="L39" s="308"/>
      <c r="M39" s="1"/>
    </row>
    <row r="40" spans="1:14" s="4" customFormat="1" ht="25.5" hidden="1" outlineLevel="1">
      <c r="A40" s="739" t="s">
        <v>1546</v>
      </c>
      <c r="B40" s="742" t="s">
        <v>1256</v>
      </c>
      <c r="C40" s="742"/>
      <c r="D40" s="952">
        <f>745*0.0982</f>
        <v>73.158999999999992</v>
      </c>
      <c r="E40" s="308"/>
      <c r="F40" s="308">
        <v>133.96109999999999</v>
      </c>
      <c r="G40" s="952"/>
      <c r="H40" s="308">
        <v>38.208240000000004</v>
      </c>
      <c r="I40" s="308"/>
      <c r="J40" s="308"/>
      <c r="K40" s="308"/>
      <c r="L40" s="308"/>
      <c r="M40" s="1"/>
    </row>
    <row r="41" spans="1:14" s="4" customFormat="1" hidden="1" outlineLevel="1">
      <c r="A41" s="739" t="s">
        <v>1547</v>
      </c>
      <c r="B41" s="742" t="s">
        <v>1257</v>
      </c>
      <c r="C41" s="742"/>
      <c r="D41" s="952">
        <f>11163*0.0982</f>
        <v>1096.2066</v>
      </c>
      <c r="E41" s="308"/>
      <c r="F41" s="308">
        <v>3700.93815</v>
      </c>
      <c r="G41" s="952"/>
      <c r="H41" s="308">
        <v>3949.1902800000003</v>
      </c>
      <c r="I41" s="308"/>
      <c r="J41" s="308"/>
      <c r="K41" s="308"/>
      <c r="L41" s="308"/>
      <c r="M41" s="1"/>
    </row>
    <row r="42" spans="1:14" s="4" customFormat="1" hidden="1" outlineLevel="1">
      <c r="A42" s="741" t="s">
        <v>1548</v>
      </c>
      <c r="B42" s="742" t="s">
        <v>1556</v>
      </c>
      <c r="C42" s="742"/>
      <c r="D42" s="952">
        <f>337*0.0982</f>
        <v>33.093399999999995</v>
      </c>
      <c r="E42" s="308"/>
      <c r="F42" s="308">
        <v>101.18745</v>
      </c>
      <c r="G42" s="952"/>
      <c r="H42" s="308">
        <v>44.660070000000005</v>
      </c>
      <c r="I42" s="308"/>
      <c r="J42" s="308"/>
      <c r="K42" s="308"/>
      <c r="L42" s="308"/>
      <c r="M42" s="1"/>
    </row>
    <row r="43" spans="1:14" s="4" customFormat="1" hidden="1" outlineLevel="1">
      <c r="A43" s="741" t="s">
        <v>1549</v>
      </c>
      <c r="B43" s="742" t="s">
        <v>1258</v>
      </c>
      <c r="C43" s="742"/>
      <c r="D43" s="952">
        <f>1682*0.0982</f>
        <v>165.17239999999998</v>
      </c>
      <c r="E43" s="308"/>
      <c r="F43" s="308">
        <v>149.4402</v>
      </c>
      <c r="G43" s="952"/>
      <c r="H43" s="308">
        <v>168.16652999999999</v>
      </c>
      <c r="I43" s="308"/>
      <c r="J43" s="308"/>
      <c r="K43" s="308"/>
      <c r="L43" s="308"/>
      <c r="M43" s="1"/>
    </row>
    <row r="44" spans="1:14" s="4" customFormat="1" hidden="1" outlineLevel="1">
      <c r="A44" s="764" t="s">
        <v>1555</v>
      </c>
      <c r="B44" s="742" t="s">
        <v>1890</v>
      </c>
      <c r="C44" s="742"/>
      <c r="D44" s="952">
        <v>165</v>
      </c>
      <c r="E44" s="308"/>
      <c r="F44" s="308"/>
      <c r="G44" s="952"/>
      <c r="H44" s="308"/>
      <c r="I44" s="308"/>
      <c r="J44" s="308"/>
      <c r="K44" s="308"/>
      <c r="L44" s="952"/>
      <c r="M44" s="1"/>
    </row>
    <row r="45" spans="1:14" s="341" customFormat="1" hidden="1" outlineLevel="1">
      <c r="A45" s="764" t="s">
        <v>1889</v>
      </c>
      <c r="B45" s="765" t="s">
        <v>1259</v>
      </c>
      <c r="C45" s="746">
        <f>SUM(C46:C55)</f>
        <v>0</v>
      </c>
      <c r="D45" s="746">
        <f t="shared" ref="D45" si="3">SUM(D46:D55)</f>
        <v>311.03539999999998</v>
      </c>
      <c r="E45" s="746">
        <v>0</v>
      </c>
      <c r="F45" s="746">
        <v>559.15859999999998</v>
      </c>
      <c r="G45" s="746">
        <v>0</v>
      </c>
      <c r="H45" s="746">
        <v>661.70306000000005</v>
      </c>
      <c r="I45" s="746">
        <v>0</v>
      </c>
      <c r="J45" s="746">
        <v>0</v>
      </c>
      <c r="K45" s="746">
        <v>0</v>
      </c>
      <c r="L45" s="746">
        <v>0</v>
      </c>
      <c r="M45" s="746"/>
      <c r="N45" s="746"/>
    </row>
    <row r="46" spans="1:14" s="4" customFormat="1" hidden="1" outlineLevel="1">
      <c r="A46" s="744"/>
      <c r="B46" s="745" t="s">
        <v>1260</v>
      </c>
      <c r="C46" s="745"/>
      <c r="D46" s="952">
        <f>472*0.0982</f>
        <v>46.3504</v>
      </c>
      <c r="E46" s="308"/>
      <c r="F46" s="308">
        <v>51.119250000000001</v>
      </c>
      <c r="G46" s="952"/>
      <c r="H46" s="308">
        <v>30.66714</v>
      </c>
      <c r="I46" s="308"/>
      <c r="J46" s="308"/>
      <c r="K46" s="308"/>
      <c r="L46" s="308"/>
      <c r="M46" s="1"/>
    </row>
    <row r="47" spans="1:14" s="4" customFormat="1" hidden="1" outlineLevel="1">
      <c r="A47" s="744"/>
      <c r="B47" s="743" t="s">
        <v>1261</v>
      </c>
      <c r="C47" s="743"/>
      <c r="D47" s="952">
        <f>634*0.0982</f>
        <v>62.258799999999994</v>
      </c>
      <c r="E47" s="308"/>
      <c r="F47" s="308">
        <v>86.568299999999994</v>
      </c>
      <c r="G47" s="952"/>
      <c r="H47" s="308">
        <v>64.350719999999995</v>
      </c>
      <c r="I47" s="308"/>
      <c r="J47" s="308"/>
      <c r="K47" s="308"/>
      <c r="L47" s="308"/>
      <c r="M47" s="1"/>
    </row>
    <row r="48" spans="1:14" s="4" customFormat="1" hidden="1" outlineLevel="1">
      <c r="A48" s="744"/>
      <c r="B48" s="743" t="s">
        <v>1262</v>
      </c>
      <c r="C48" s="743"/>
      <c r="D48" s="952">
        <f>809*0.0982</f>
        <v>79.443799999999996</v>
      </c>
      <c r="E48" s="308"/>
      <c r="F48" s="308">
        <v>105.2961</v>
      </c>
      <c r="G48" s="952"/>
      <c r="H48" s="308">
        <v>85.968540000000004</v>
      </c>
      <c r="I48" s="308"/>
      <c r="J48" s="308"/>
      <c r="K48" s="308"/>
      <c r="L48" s="308"/>
      <c r="M48" s="1"/>
    </row>
    <row r="49" spans="1:13" s="4" customFormat="1" hidden="1" outlineLevel="1">
      <c r="A49" s="744"/>
      <c r="B49" s="743" t="s">
        <v>1263</v>
      </c>
      <c r="C49" s="743"/>
      <c r="D49" s="952">
        <f>257*0.0982</f>
        <v>25.237399999999997</v>
      </c>
      <c r="E49" s="308"/>
      <c r="F49" s="308">
        <v>87.905999999999992</v>
      </c>
      <c r="G49" s="952"/>
      <c r="H49" s="308">
        <v>22.455719999999999</v>
      </c>
      <c r="I49" s="308"/>
      <c r="J49" s="308"/>
      <c r="K49" s="308"/>
      <c r="L49" s="308"/>
      <c r="M49" s="1"/>
    </row>
    <row r="50" spans="1:13" s="4" customFormat="1" ht="38.25" hidden="1" outlineLevel="1">
      <c r="A50" s="744"/>
      <c r="B50" s="743" t="s">
        <v>1891</v>
      </c>
      <c r="C50" s="743"/>
      <c r="D50" s="952">
        <f>975*0.0982+2</f>
        <v>97.74499999999999</v>
      </c>
      <c r="E50" s="308"/>
      <c r="F50" s="308">
        <v>228.26894999999999</v>
      </c>
      <c r="G50" s="952"/>
      <c r="H50" s="308">
        <v>192.21426</v>
      </c>
      <c r="I50" s="308"/>
      <c r="J50" s="308"/>
      <c r="K50" s="308"/>
      <c r="L50" s="308"/>
      <c r="M50" s="1"/>
    </row>
    <row r="51" spans="1:13" s="4" customFormat="1" ht="25.5" hidden="1" outlineLevel="1">
      <c r="A51" s="744"/>
      <c r="B51" s="743" t="s">
        <v>1264</v>
      </c>
      <c r="C51" s="743"/>
      <c r="D51" s="308"/>
      <c r="E51" s="308"/>
      <c r="F51" s="308"/>
      <c r="G51" s="308"/>
      <c r="H51" s="1302"/>
      <c r="I51" s="308"/>
      <c r="J51" s="308"/>
      <c r="K51" s="308"/>
      <c r="L51" s="308"/>
      <c r="M51" s="1"/>
    </row>
    <row r="52" spans="1:13" s="4" customFormat="1" hidden="1" outlineLevel="1">
      <c r="A52" s="744"/>
      <c r="B52" s="1391" t="s">
        <v>1883</v>
      </c>
      <c r="C52" s="743"/>
      <c r="D52" s="308"/>
      <c r="E52" s="308"/>
      <c r="F52" s="308"/>
      <c r="G52" s="308"/>
      <c r="H52" s="1302">
        <v>74</v>
      </c>
      <c r="I52" s="308"/>
      <c r="J52" s="308"/>
      <c r="K52" s="308"/>
      <c r="L52" s="1443"/>
      <c r="M52" s="1"/>
    </row>
    <row r="53" spans="1:13" s="4" customFormat="1" hidden="1" outlineLevel="1">
      <c r="A53" s="744"/>
      <c r="B53" s="743" t="s">
        <v>1884</v>
      </c>
      <c r="C53" s="743"/>
      <c r="D53" s="308"/>
      <c r="E53" s="308"/>
      <c r="F53" s="308"/>
      <c r="G53" s="308"/>
      <c r="H53" s="308">
        <v>192.04668000000001</v>
      </c>
      <c r="I53" s="308"/>
      <c r="J53" s="308"/>
      <c r="K53" s="308"/>
      <c r="L53" s="308"/>
      <c r="M53" s="1"/>
    </row>
    <row r="54" spans="1:13" s="4" customFormat="1" ht="25.5" hidden="1" outlineLevel="1">
      <c r="A54" s="17"/>
      <c r="B54" s="743" t="s">
        <v>1885</v>
      </c>
      <c r="C54" s="241"/>
      <c r="D54" s="241"/>
      <c r="E54" s="241"/>
      <c r="F54" s="241"/>
      <c r="G54" s="241"/>
      <c r="H54" s="308"/>
      <c r="I54" s="308"/>
      <c r="J54" s="308"/>
      <c r="K54" s="308"/>
      <c r="L54" s="241"/>
    </row>
    <row r="55" spans="1:13" s="341" customFormat="1" ht="25.5" hidden="1" outlineLevel="1">
      <c r="A55" s="339"/>
      <c r="B55" s="743" t="s">
        <v>1886</v>
      </c>
      <c r="C55" s="308"/>
      <c r="D55" s="308"/>
      <c r="E55" s="308"/>
      <c r="F55" s="308"/>
      <c r="G55" s="308"/>
      <c r="H55" s="308"/>
      <c r="I55" s="308"/>
      <c r="J55" s="308"/>
      <c r="K55" s="308"/>
      <c r="L55" s="308"/>
    </row>
    <row r="56" spans="1:13" s="1046" customFormat="1" ht="90" collapsed="1">
      <c r="A56" s="1044"/>
      <c r="B56" s="1045" t="s">
        <v>374</v>
      </c>
      <c r="C56" s="258">
        <v>939</v>
      </c>
      <c r="D56" s="258">
        <v>0</v>
      </c>
      <c r="E56" s="258">
        <v>262</v>
      </c>
      <c r="F56" s="258">
        <v>0</v>
      </c>
      <c r="G56" s="258">
        <v>98</v>
      </c>
      <c r="H56" s="258">
        <v>0</v>
      </c>
      <c r="I56" s="258">
        <v>0</v>
      </c>
      <c r="J56" s="258">
        <v>0</v>
      </c>
      <c r="K56" s="258">
        <v>0</v>
      </c>
      <c r="L56" s="1443">
        <v>0</v>
      </c>
    </row>
    <row r="57" spans="1:13" s="1046" customFormat="1" ht="30">
      <c r="A57" s="1044"/>
      <c r="B57" s="1045" t="s">
        <v>375</v>
      </c>
      <c r="C57" s="258">
        <v>0</v>
      </c>
      <c r="D57" s="258">
        <v>98</v>
      </c>
      <c r="E57" s="258"/>
      <c r="F57" s="258">
        <v>94</v>
      </c>
      <c r="G57" s="258"/>
      <c r="H57" s="258">
        <v>58</v>
      </c>
      <c r="I57" s="258"/>
      <c r="J57" s="258"/>
      <c r="K57" s="258"/>
      <c r="L57" s="258"/>
    </row>
    <row r="58" spans="1:13" s="1046" customFormat="1" ht="15" customHeight="1">
      <c r="A58" s="1044"/>
      <c r="B58" s="1045" t="s">
        <v>376</v>
      </c>
      <c r="C58" s="258">
        <v>1239</v>
      </c>
      <c r="D58" s="258">
        <v>283</v>
      </c>
      <c r="E58" s="258">
        <v>1782</v>
      </c>
      <c r="F58" s="258">
        <v>419</v>
      </c>
      <c r="G58" s="258">
        <v>1580</v>
      </c>
      <c r="H58" s="258">
        <v>325</v>
      </c>
      <c r="I58" s="1719">
        <v>1147</v>
      </c>
      <c r="J58" s="1719">
        <v>1147</v>
      </c>
      <c r="K58" s="1719">
        <v>1212.74604</v>
      </c>
      <c r="L58" s="1443">
        <v>1271.4550757963998</v>
      </c>
    </row>
    <row r="59" spans="1:13" s="1046" customFormat="1" ht="15" customHeight="1">
      <c r="A59" s="1044"/>
      <c r="B59" s="1045" t="s">
        <v>377</v>
      </c>
      <c r="C59" s="258">
        <v>549</v>
      </c>
      <c r="D59" s="258">
        <v>284</v>
      </c>
      <c r="E59" s="258">
        <v>375</v>
      </c>
      <c r="F59" s="258">
        <v>368</v>
      </c>
      <c r="G59" s="258">
        <v>572</v>
      </c>
      <c r="H59" s="258">
        <v>272</v>
      </c>
      <c r="I59" s="1719">
        <v>639</v>
      </c>
      <c r="J59" s="1719">
        <v>639</v>
      </c>
      <c r="K59" s="1719">
        <v>675.62747999999999</v>
      </c>
      <c r="L59" s="1443">
        <v>708.33460630679986</v>
      </c>
    </row>
    <row r="60" spans="1:13" s="1046" customFormat="1" ht="45" customHeight="1">
      <c r="A60" s="1044"/>
      <c r="B60" s="1045" t="s">
        <v>378</v>
      </c>
      <c r="C60" s="258">
        <v>594</v>
      </c>
      <c r="D60" s="258">
        <v>2447</v>
      </c>
      <c r="E60" s="258">
        <v>532</v>
      </c>
      <c r="F60" s="258">
        <v>3814</v>
      </c>
      <c r="G60" s="258">
        <v>474</v>
      </c>
      <c r="H60" s="258">
        <v>5074</v>
      </c>
      <c r="I60" s="258"/>
      <c r="J60" s="258">
        <v>3037.1</v>
      </c>
      <c r="K60" s="258">
        <v>4247.1000000000004</v>
      </c>
      <c r="L60" s="1442">
        <v>4498</v>
      </c>
    </row>
    <row r="61" spans="1:13" s="1046" customFormat="1" ht="30" customHeight="1">
      <c r="A61" s="1044"/>
      <c r="B61" s="1045" t="s">
        <v>379</v>
      </c>
      <c r="C61" s="258">
        <f>SUM(C62:C66)</f>
        <v>20748</v>
      </c>
      <c r="D61" s="258">
        <f t="shared" ref="D61" si="4">SUM(D62:D66)</f>
        <v>7965</v>
      </c>
      <c r="E61" s="258">
        <v>7070</v>
      </c>
      <c r="F61" s="258">
        <v>8800</v>
      </c>
      <c r="G61" s="258">
        <v>10772</v>
      </c>
      <c r="H61" s="258">
        <v>9220</v>
      </c>
      <c r="I61" s="258">
        <v>0</v>
      </c>
      <c r="J61" s="258">
        <v>13466</v>
      </c>
      <c r="K61" s="258">
        <v>13580</v>
      </c>
      <c r="L61" s="258">
        <v>14365</v>
      </c>
    </row>
    <row r="62" spans="1:13" s="4" customFormat="1" ht="15" customHeight="1">
      <c r="A62" s="17"/>
      <c r="B62" s="51" t="s">
        <v>380</v>
      </c>
      <c r="C62" s="241">
        <v>12111</v>
      </c>
      <c r="D62" s="241">
        <v>2536</v>
      </c>
      <c r="E62" s="241">
        <v>2357</v>
      </c>
      <c r="F62" s="241">
        <v>4069</v>
      </c>
      <c r="G62" s="241">
        <v>5194</v>
      </c>
      <c r="H62" s="241">
        <v>4007</v>
      </c>
      <c r="I62" s="241"/>
      <c r="J62" s="241">
        <v>4677</v>
      </c>
      <c r="K62" s="241">
        <v>5661</v>
      </c>
      <c r="L62" s="1443">
        <v>5386</v>
      </c>
    </row>
    <row r="63" spans="1:13" s="4" customFormat="1" ht="15" customHeight="1">
      <c r="A63" s="17"/>
      <c r="B63" s="51" t="s">
        <v>381</v>
      </c>
      <c r="C63" s="241">
        <v>5022</v>
      </c>
      <c r="D63" s="241">
        <v>1968</v>
      </c>
      <c r="E63" s="241">
        <v>1862</v>
      </c>
      <c r="F63" s="241">
        <v>1164</v>
      </c>
      <c r="G63" s="241">
        <v>1493</v>
      </c>
      <c r="H63" s="241">
        <v>1132</v>
      </c>
      <c r="I63" s="241"/>
      <c r="J63" s="308">
        <v>1158</v>
      </c>
      <c r="K63" s="308">
        <v>1226</v>
      </c>
      <c r="L63" s="1443">
        <v>1280</v>
      </c>
    </row>
    <row r="64" spans="1:13" s="4" customFormat="1" ht="15" customHeight="1">
      <c r="A64" s="17"/>
      <c r="B64" s="51" t="s">
        <v>382</v>
      </c>
      <c r="C64" s="241">
        <v>10</v>
      </c>
      <c r="D64" s="241">
        <v>15</v>
      </c>
      <c r="E64" s="241">
        <v>16</v>
      </c>
      <c r="F64" s="241">
        <v>22</v>
      </c>
      <c r="G64" s="241">
        <v>16</v>
      </c>
      <c r="H64" s="241">
        <v>-24</v>
      </c>
      <c r="I64" s="241"/>
      <c r="J64" s="241">
        <v>30</v>
      </c>
      <c r="K64" s="241">
        <v>32</v>
      </c>
      <c r="L64" s="1443">
        <v>32</v>
      </c>
    </row>
    <row r="65" spans="1:12" s="4" customFormat="1" ht="15" customHeight="1">
      <c r="A65" s="17"/>
      <c r="B65" s="51" t="s">
        <v>383</v>
      </c>
      <c r="C65" s="241">
        <v>3605</v>
      </c>
      <c r="D65" s="308">
        <f>3324+122</f>
        <v>3446</v>
      </c>
      <c r="E65" s="241">
        <v>1184</v>
      </c>
      <c r="F65" s="241">
        <v>3545</v>
      </c>
      <c r="G65" s="241">
        <v>4069</v>
      </c>
      <c r="H65" s="308">
        <v>4105</v>
      </c>
      <c r="I65" s="241"/>
      <c r="J65" s="308">
        <v>7601</v>
      </c>
      <c r="K65" s="308">
        <v>6661</v>
      </c>
      <c r="L65" s="982">
        <v>7667</v>
      </c>
    </row>
    <row r="66" spans="1:12" s="4" customFormat="1" ht="15" customHeight="1">
      <c r="A66" s="17"/>
      <c r="B66" s="51" t="s">
        <v>384</v>
      </c>
      <c r="C66" s="241"/>
      <c r="D66" s="241"/>
      <c r="E66" s="241">
        <v>1651</v>
      </c>
      <c r="F66" s="241"/>
      <c r="G66" s="241">
        <v>0</v>
      </c>
      <c r="H66" s="241"/>
      <c r="I66" s="241"/>
      <c r="J66" s="241"/>
      <c r="K66" s="241"/>
      <c r="L66" s="241"/>
    </row>
    <row r="67" spans="1:12" s="1034" customFormat="1" ht="15" customHeight="1">
      <c r="A67" s="1030" t="s">
        <v>385</v>
      </c>
      <c r="B67" s="1031" t="s">
        <v>386</v>
      </c>
      <c r="C67" s="1032">
        <f>SUM(C68:C71)</f>
        <v>110884</v>
      </c>
      <c r="D67" s="1032">
        <f t="shared" ref="D67" si="5">SUM(D68:D71)</f>
        <v>131206</v>
      </c>
      <c r="E67" s="1032">
        <v>77517</v>
      </c>
      <c r="F67" s="1032">
        <v>330349.90000000002</v>
      </c>
      <c r="G67" s="1032">
        <v>3142</v>
      </c>
      <c r="H67" s="1032">
        <v>273442.39199999999</v>
      </c>
      <c r="I67" s="1032">
        <v>136.37540495147456</v>
      </c>
      <c r="J67" s="1032">
        <v>166084.37540495148</v>
      </c>
      <c r="K67" s="1032">
        <v>139852.64893248817</v>
      </c>
      <c r="L67" s="1032">
        <v>177180.24221950499</v>
      </c>
    </row>
    <row r="68" spans="1:12" s="1046" customFormat="1" ht="45">
      <c r="A68" s="1044"/>
      <c r="B68" s="1045" t="s">
        <v>387</v>
      </c>
      <c r="C68" s="258"/>
      <c r="D68" s="258"/>
      <c r="E68" s="258"/>
      <c r="F68" s="258"/>
      <c r="G68" s="258"/>
      <c r="H68" s="258"/>
      <c r="I68" s="258"/>
      <c r="J68" s="258"/>
      <c r="K68" s="258"/>
      <c r="L68" s="258"/>
    </row>
    <row r="69" spans="1:12" s="1046" customFormat="1" ht="15" customHeight="1">
      <c r="A69" s="1044"/>
      <c r="B69" s="1045" t="s">
        <v>388</v>
      </c>
      <c r="C69" s="258"/>
      <c r="D69" s="258"/>
      <c r="E69" s="258"/>
      <c r="F69" s="258"/>
      <c r="G69" s="258"/>
      <c r="H69" s="258"/>
      <c r="I69" s="258"/>
      <c r="J69" s="258"/>
      <c r="K69" s="258"/>
      <c r="L69" s="258"/>
    </row>
    <row r="70" spans="1:12" s="1046" customFormat="1" ht="60">
      <c r="A70" s="1044"/>
      <c r="B70" s="1045" t="s">
        <v>389</v>
      </c>
      <c r="C70" s="1045"/>
      <c r="D70" s="1045"/>
      <c r="E70" s="1045"/>
      <c r="F70" s="258">
        <v>205589</v>
      </c>
      <c r="G70" s="258">
        <v>2761</v>
      </c>
      <c r="H70" s="258">
        <v>200366.79199999999</v>
      </c>
      <c r="I70" s="1045"/>
      <c r="J70" s="1045"/>
      <c r="K70" s="1045"/>
      <c r="L70" s="1045"/>
    </row>
    <row r="71" spans="1:12" s="1046" customFormat="1" ht="15" customHeight="1">
      <c r="A71" s="1044"/>
      <c r="B71" s="1045" t="s">
        <v>390</v>
      </c>
      <c r="C71" s="258">
        <f>SUM(C72:C77)</f>
        <v>110884</v>
      </c>
      <c r="D71" s="258">
        <f t="shared" ref="D71" si="6">SUM(D72:D77)</f>
        <v>131206</v>
      </c>
      <c r="E71" s="258">
        <v>77517</v>
      </c>
      <c r="F71" s="258">
        <v>124760.9</v>
      </c>
      <c r="G71" s="258">
        <v>380</v>
      </c>
      <c r="H71" s="258">
        <v>73075.600000000006</v>
      </c>
      <c r="I71" s="258">
        <v>136.37540495147456</v>
      </c>
      <c r="J71" s="258">
        <v>166084.37540495148</v>
      </c>
      <c r="K71" s="258">
        <v>139852.64893248817</v>
      </c>
      <c r="L71" s="258">
        <v>177180.24221950499</v>
      </c>
    </row>
    <row r="72" spans="1:12" s="4" customFormat="1" ht="15" customHeight="1">
      <c r="A72" s="17"/>
      <c r="B72" s="51" t="s">
        <v>961</v>
      </c>
      <c r="C72" s="308">
        <v>1129</v>
      </c>
      <c r="D72" s="308">
        <v>0</v>
      </c>
      <c r="E72" s="308"/>
      <c r="F72" s="308">
        <v>0</v>
      </c>
      <c r="G72" s="308"/>
      <c r="H72" s="308"/>
      <c r="I72" s="308"/>
      <c r="J72" s="308"/>
      <c r="K72" s="308">
        <v>0</v>
      </c>
      <c r="L72" s="1443">
        <v>0</v>
      </c>
    </row>
    <row r="73" spans="1:12" s="4" customFormat="1" ht="15" customHeight="1">
      <c r="A73" s="17"/>
      <c r="B73" s="51" t="s">
        <v>962</v>
      </c>
      <c r="C73" s="308">
        <v>109721</v>
      </c>
      <c r="D73" s="308">
        <v>129979</v>
      </c>
      <c r="E73" s="308">
        <v>77338</v>
      </c>
      <c r="F73" s="308">
        <v>123989</v>
      </c>
      <c r="G73" s="308">
        <v>0</v>
      </c>
      <c r="H73" s="308">
        <v>72618</v>
      </c>
      <c r="I73" s="308"/>
      <c r="J73" s="308">
        <v>165948</v>
      </c>
      <c r="K73" s="308">
        <v>139707</v>
      </c>
      <c r="L73" s="1443">
        <v>177026</v>
      </c>
    </row>
    <row r="74" spans="1:12" s="4" customFormat="1" ht="15" customHeight="1">
      <c r="A74" s="17"/>
      <c r="B74" s="51" t="s">
        <v>963</v>
      </c>
      <c r="C74" s="308">
        <v>34</v>
      </c>
      <c r="D74" s="308">
        <f>134+1+45+1047</f>
        <v>1227</v>
      </c>
      <c r="E74" s="308">
        <v>179</v>
      </c>
      <c r="F74" s="308">
        <v>771.9</v>
      </c>
      <c r="G74" s="308">
        <v>380</v>
      </c>
      <c r="H74" s="308">
        <v>457.6</v>
      </c>
      <c r="I74" s="1719">
        <v>136.37540495147456</v>
      </c>
      <c r="J74" s="1719">
        <v>136.37540495147456</v>
      </c>
      <c r="K74" s="1719">
        <v>145.64893248817484</v>
      </c>
      <c r="L74" s="1443">
        <v>154.24221950497713</v>
      </c>
    </row>
    <row r="75" spans="1:12" s="4" customFormat="1" ht="15" hidden="1" customHeight="1">
      <c r="A75" s="17"/>
      <c r="B75" s="51"/>
      <c r="C75" s="241"/>
      <c r="D75" s="241"/>
      <c r="E75" s="241"/>
      <c r="F75" s="241"/>
      <c r="G75" s="241"/>
      <c r="H75" s="241"/>
      <c r="I75" s="241"/>
      <c r="J75" s="241"/>
      <c r="K75" s="241"/>
      <c r="L75" s="241"/>
    </row>
    <row r="76" spans="1:12" s="4" customFormat="1" ht="15" hidden="1" customHeight="1">
      <c r="A76" s="17"/>
      <c r="B76" s="51"/>
      <c r="C76" s="241"/>
      <c r="D76" s="241"/>
      <c r="E76" s="241"/>
      <c r="F76" s="241"/>
      <c r="G76" s="241"/>
      <c r="H76" s="241"/>
      <c r="I76" s="241"/>
      <c r="J76" s="241"/>
      <c r="K76" s="241"/>
      <c r="L76" s="241"/>
    </row>
    <row r="77" spans="1:12" s="4" customFormat="1" ht="15" hidden="1" customHeight="1">
      <c r="A77" s="17"/>
      <c r="B77" s="51"/>
      <c r="C77" s="241"/>
      <c r="D77" s="241"/>
      <c r="E77" s="241"/>
      <c r="F77" s="241"/>
      <c r="G77" s="241"/>
      <c r="H77" s="241"/>
      <c r="I77" s="241"/>
      <c r="J77" s="241"/>
      <c r="K77" s="241"/>
      <c r="L77" s="241"/>
    </row>
    <row r="78" spans="1:12" s="1034" customFormat="1" ht="33.75" customHeight="1">
      <c r="A78" s="1030" t="s">
        <v>391</v>
      </c>
      <c r="B78" s="1031" t="s">
        <v>392</v>
      </c>
      <c r="C78" s="1032">
        <f>SUM(C79:C82)</f>
        <v>9078</v>
      </c>
      <c r="D78" s="1032">
        <f t="shared" ref="D78" si="7">SUM(D79:D82)</f>
        <v>2345</v>
      </c>
      <c r="E78" s="1032">
        <v>3305</v>
      </c>
      <c r="F78" s="1032">
        <v>3102</v>
      </c>
      <c r="G78" s="1032">
        <v>3047</v>
      </c>
      <c r="H78" s="1032">
        <v>2836</v>
      </c>
      <c r="I78" s="1032">
        <v>4607</v>
      </c>
      <c r="J78" s="1032">
        <v>4607</v>
      </c>
      <c r="K78" s="1032">
        <v>4920.2759999999998</v>
      </c>
      <c r="L78" s="1032">
        <v>5210.5722839999999</v>
      </c>
    </row>
    <row r="79" spans="1:12" s="1046" customFormat="1" ht="30">
      <c r="A79" s="1044"/>
      <c r="B79" s="1045" t="s">
        <v>393</v>
      </c>
      <c r="C79" s="258">
        <v>5796</v>
      </c>
      <c r="D79" s="258"/>
      <c r="E79" s="258"/>
      <c r="F79" s="258"/>
      <c r="G79" s="258"/>
      <c r="H79" s="258"/>
      <c r="I79" s="258"/>
      <c r="J79" s="258"/>
      <c r="K79" s="258"/>
      <c r="L79" s="258"/>
    </row>
    <row r="80" spans="1:12" s="1046" customFormat="1" ht="30" customHeight="1">
      <c r="A80" s="1044"/>
      <c r="B80" s="1045" t="s">
        <v>394</v>
      </c>
      <c r="C80" s="258">
        <v>2130</v>
      </c>
      <c r="D80" s="258">
        <v>1888</v>
      </c>
      <c r="E80" s="258">
        <v>2938</v>
      </c>
      <c r="F80" s="258">
        <v>2285</v>
      </c>
      <c r="G80" s="258">
        <v>2851</v>
      </c>
      <c r="H80" s="258">
        <v>2345</v>
      </c>
      <c r="I80" s="1719">
        <v>4607</v>
      </c>
      <c r="J80" s="1719">
        <v>4607</v>
      </c>
      <c r="K80" s="1719">
        <v>4920.2759999999998</v>
      </c>
      <c r="L80" s="1443">
        <v>5210.5722839999999</v>
      </c>
    </row>
    <row r="81" spans="1:12" s="1046" customFormat="1" ht="15" customHeight="1">
      <c r="A81" s="1044"/>
      <c r="B81" s="1045" t="s">
        <v>1568</v>
      </c>
      <c r="C81" s="258"/>
      <c r="D81" s="258"/>
      <c r="E81" s="258"/>
      <c r="F81" s="258"/>
      <c r="G81" s="258"/>
      <c r="H81" s="258"/>
      <c r="I81" s="258"/>
      <c r="J81" s="258"/>
      <c r="K81" s="258"/>
      <c r="L81" s="258"/>
    </row>
    <row r="82" spans="1:12" s="1046" customFormat="1" ht="28.5" customHeight="1">
      <c r="A82" s="1044"/>
      <c r="B82" s="1045" t="s">
        <v>1957</v>
      </c>
      <c r="C82" s="258">
        <f>420+732</f>
        <v>1152</v>
      </c>
      <c r="D82" s="258">
        <f>166+145+91+55</f>
        <v>457</v>
      </c>
      <c r="E82" s="258">
        <v>367</v>
      </c>
      <c r="F82" s="258">
        <v>817</v>
      </c>
      <c r="G82" s="258">
        <v>196</v>
      </c>
      <c r="H82" s="258">
        <v>491</v>
      </c>
      <c r="I82" s="1719">
        <v>0</v>
      </c>
      <c r="J82" s="1719">
        <v>0</v>
      </c>
      <c r="K82" s="1719">
        <v>0</v>
      </c>
      <c r="L82" s="1443">
        <v>0</v>
      </c>
    </row>
    <row r="83" spans="1:12" s="1034" customFormat="1" ht="18.75" customHeight="1">
      <c r="A83" s="1030" t="s">
        <v>395</v>
      </c>
      <c r="B83" s="1031" t="s">
        <v>396</v>
      </c>
      <c r="C83" s="1383">
        <f>(C68+C69+C70+C78)/0.8*0.2</f>
        <v>2269.5</v>
      </c>
      <c r="D83" s="1383">
        <f t="shared" ref="D83" si="8">(D68+D69+D70+D78)/0.8*0.2</f>
        <v>586.25</v>
      </c>
      <c r="E83" s="1032">
        <v>855</v>
      </c>
      <c r="F83" s="1032">
        <v>775.5</v>
      </c>
      <c r="G83" s="1032">
        <v>762</v>
      </c>
      <c r="H83" s="1032">
        <v>709</v>
      </c>
      <c r="I83" s="1032">
        <v>1151.75</v>
      </c>
      <c r="J83" s="1032">
        <v>1151.75</v>
      </c>
      <c r="K83" s="1032">
        <v>1230.069</v>
      </c>
      <c r="L83" s="1032">
        <v>1302.643071</v>
      </c>
    </row>
    <row r="84" spans="1:12" s="1034" customFormat="1" ht="17.25" customHeight="1">
      <c r="A84" s="1030" t="s">
        <v>397</v>
      </c>
      <c r="B84" s="1031" t="s">
        <v>398</v>
      </c>
      <c r="C84" s="1032">
        <f>C85-C88</f>
        <v>570</v>
      </c>
      <c r="D84" s="1032">
        <f t="shared" ref="D84" si="9">D85-D88</f>
        <v>0</v>
      </c>
      <c r="E84" s="1032">
        <v>-56497</v>
      </c>
      <c r="F84" s="1032">
        <v>0</v>
      </c>
      <c r="G84" s="1032">
        <v>73441</v>
      </c>
      <c r="H84" s="1032">
        <v>0</v>
      </c>
      <c r="I84" s="1032">
        <v>0</v>
      </c>
      <c r="J84" s="1032">
        <v>-268.95716076636529</v>
      </c>
      <c r="K84" s="1032">
        <v>889079</v>
      </c>
      <c r="L84" s="1032">
        <v>0</v>
      </c>
    </row>
    <row r="85" spans="1:12" s="585" customFormat="1" ht="17.25" customHeight="1">
      <c r="A85" s="583"/>
      <c r="B85" s="582" t="s">
        <v>1140</v>
      </c>
      <c r="C85" s="587">
        <f>C86+C87</f>
        <v>570</v>
      </c>
      <c r="D85" s="587">
        <f t="shared" ref="D85" si="10">D86+D87</f>
        <v>0</v>
      </c>
      <c r="E85" s="587">
        <v>112200</v>
      </c>
      <c r="F85" s="587">
        <v>0</v>
      </c>
      <c r="G85" s="587">
        <v>120432</v>
      </c>
      <c r="H85" s="587">
        <v>0</v>
      </c>
      <c r="I85" s="587">
        <v>0</v>
      </c>
      <c r="J85" s="587">
        <v>0</v>
      </c>
      <c r="K85" s="587">
        <v>929809</v>
      </c>
      <c r="L85" s="587">
        <v>0</v>
      </c>
    </row>
    <row r="86" spans="1:12" s="341" customFormat="1" ht="17.25" customHeight="1">
      <c r="A86" s="339"/>
      <c r="B86" s="340" t="s">
        <v>959</v>
      </c>
      <c r="C86" s="308">
        <v>570</v>
      </c>
      <c r="D86" s="308"/>
      <c r="E86" s="308">
        <v>112200</v>
      </c>
      <c r="F86" s="308"/>
      <c r="G86" s="308"/>
      <c r="H86" s="308"/>
      <c r="I86" s="308"/>
      <c r="J86" s="308"/>
      <c r="K86" s="308">
        <v>453996</v>
      </c>
      <c r="L86" s="1431"/>
    </row>
    <row r="87" spans="1:12" s="341" customFormat="1" ht="30">
      <c r="A87" s="339"/>
      <c r="B87" s="51" t="s">
        <v>960</v>
      </c>
      <c r="C87" s="241"/>
      <c r="D87" s="241"/>
      <c r="E87" s="241"/>
      <c r="F87" s="241"/>
      <c r="G87" s="241"/>
      <c r="H87" s="241"/>
      <c r="I87" s="241"/>
      <c r="J87" s="241"/>
      <c r="K87" s="241">
        <v>475813</v>
      </c>
      <c r="L87" s="1431"/>
    </row>
    <row r="88" spans="1:12" s="588" customFormat="1" ht="18" customHeight="1">
      <c r="A88" s="586"/>
      <c r="B88" s="582" t="s">
        <v>1141</v>
      </c>
      <c r="C88" s="587">
        <f>C89+C90</f>
        <v>0</v>
      </c>
      <c r="D88" s="587">
        <f t="shared" ref="D88" si="11">D89+D90</f>
        <v>0</v>
      </c>
      <c r="E88" s="587">
        <v>168697</v>
      </c>
      <c r="F88" s="587">
        <v>0</v>
      </c>
      <c r="G88" s="587">
        <v>46991</v>
      </c>
      <c r="H88" s="587">
        <v>0</v>
      </c>
      <c r="I88" s="587">
        <v>0</v>
      </c>
      <c r="J88" s="587">
        <v>268.95716076636529</v>
      </c>
      <c r="K88" s="587">
        <v>40730</v>
      </c>
      <c r="L88" s="587">
        <v>0</v>
      </c>
    </row>
    <row r="89" spans="1:12" s="341" customFormat="1" ht="18" customHeight="1">
      <c r="A89" s="339"/>
      <c r="B89" s="340" t="s">
        <v>959</v>
      </c>
      <c r="C89" s="241"/>
      <c r="D89" s="241"/>
      <c r="E89" s="241">
        <v>168697</v>
      </c>
      <c r="F89" s="241"/>
      <c r="G89" s="241"/>
      <c r="H89" s="241"/>
      <c r="I89" s="241"/>
      <c r="J89" s="241"/>
      <c r="K89" s="241">
        <v>40730</v>
      </c>
      <c r="L89" s="308"/>
    </row>
    <row r="90" spans="1:12" s="341" customFormat="1" ht="30">
      <c r="A90" s="339"/>
      <c r="B90" s="51" t="s">
        <v>960</v>
      </c>
      <c r="C90" s="241"/>
      <c r="D90" s="241"/>
      <c r="E90" s="241"/>
      <c r="F90" s="241"/>
      <c r="G90" s="241"/>
      <c r="H90" s="241"/>
      <c r="I90" s="241"/>
      <c r="J90" s="241"/>
      <c r="K90" s="241"/>
      <c r="L90" s="308"/>
    </row>
    <row r="91" spans="1:12" s="1055" customFormat="1" ht="27.75" customHeight="1">
      <c r="A91" s="1052" t="s">
        <v>399</v>
      </c>
      <c r="B91" s="1053" t="s">
        <v>400</v>
      </c>
      <c r="C91" s="1054">
        <f>C7+C67+C78+C83+C84+2</f>
        <v>1449640.1817738668</v>
      </c>
      <c r="D91" s="1054">
        <f>D7+D67+D78+D83+D84</f>
        <v>1374577.6592599999</v>
      </c>
      <c r="E91" s="1054">
        <v>1455920.2389284854</v>
      </c>
      <c r="F91" s="1054">
        <v>1718900.0984511469</v>
      </c>
      <c r="G91" s="1054">
        <v>1532762.9619877937</v>
      </c>
      <c r="H91" s="1054">
        <v>1635592.3917361975</v>
      </c>
      <c r="I91" s="1054">
        <v>147592.12540495148</v>
      </c>
      <c r="J91" s="1054">
        <v>1775546.483408974</v>
      </c>
      <c r="K91" s="1054">
        <v>2837826.018299941</v>
      </c>
      <c r="L91" s="1054">
        <v>2067462.6889484331</v>
      </c>
    </row>
    <row r="92" spans="1:12" s="4" customFormat="1" ht="15" customHeight="1">
      <c r="A92" s="17" t="s">
        <v>401</v>
      </c>
      <c r="B92" s="51" t="s">
        <v>402</v>
      </c>
      <c r="C92" s="241"/>
      <c r="D92" s="241"/>
      <c r="E92" s="241"/>
      <c r="F92" s="241"/>
      <c r="G92" s="241"/>
      <c r="H92" s="241"/>
      <c r="I92" s="241"/>
      <c r="J92" s="241"/>
      <c r="K92" s="241"/>
      <c r="L92" s="241"/>
    </row>
    <row r="93" spans="1:12" s="4" customFormat="1" ht="15" customHeight="1">
      <c r="A93" s="17" t="s">
        <v>403</v>
      </c>
      <c r="B93" s="51" t="s">
        <v>404</v>
      </c>
      <c r="C93" s="241">
        <f>C91-C94-C95</f>
        <v>1449640.1817738668</v>
      </c>
      <c r="D93" s="241">
        <f t="shared" ref="D93" si="12">D91-D94-D95</f>
        <v>1270813.1379999998</v>
      </c>
      <c r="E93" s="241">
        <v>1455920.2389284854</v>
      </c>
      <c r="F93" s="241">
        <v>1605930.0984511469</v>
      </c>
      <c r="G93" s="241">
        <v>1532762.9619877937</v>
      </c>
      <c r="H93" s="241">
        <v>1521814.3917361975</v>
      </c>
      <c r="I93" s="241">
        <v>147592.12540495148</v>
      </c>
      <c r="J93" s="241">
        <v>1666155.2426489741</v>
      </c>
      <c r="K93" s="241">
        <v>2722385.7365411408</v>
      </c>
      <c r="L93" s="241">
        <v>1943920.622962127</v>
      </c>
    </row>
    <row r="94" spans="1:12" s="4" customFormat="1" ht="15" customHeight="1">
      <c r="A94" s="17" t="s">
        <v>405</v>
      </c>
      <c r="B94" s="51" t="s">
        <v>406</v>
      </c>
      <c r="C94" s="241"/>
      <c r="D94" s="308">
        <f>'4.8 - КТЭЦ'!H23</f>
        <v>36976.728049999998</v>
      </c>
      <c r="E94" s="241"/>
      <c r="F94" s="308">
        <v>42235</v>
      </c>
      <c r="G94" s="308">
        <v>0</v>
      </c>
      <c r="H94" s="308">
        <v>43043</v>
      </c>
      <c r="I94" s="308"/>
      <c r="J94" s="308">
        <v>33041.554759999999</v>
      </c>
      <c r="K94" s="308">
        <v>34671.721258800004</v>
      </c>
      <c r="L94" s="308">
        <v>37256.585037805999</v>
      </c>
    </row>
    <row r="95" spans="1:12" s="4" customFormat="1" ht="15" customHeight="1">
      <c r="A95" s="17" t="s">
        <v>407</v>
      </c>
      <c r="B95" s="51" t="s">
        <v>408</v>
      </c>
      <c r="C95" s="241"/>
      <c r="D95" s="308">
        <f>'4.8 - КТЭЦ'!H22</f>
        <v>66787.793209999989</v>
      </c>
      <c r="E95" s="241"/>
      <c r="F95" s="308">
        <v>70735</v>
      </c>
      <c r="G95" s="308">
        <v>0</v>
      </c>
      <c r="H95" s="308">
        <v>70735</v>
      </c>
      <c r="I95" s="308"/>
      <c r="J95" s="308">
        <v>76349.686000000002</v>
      </c>
      <c r="K95" s="308">
        <v>80768.560499999992</v>
      </c>
      <c r="L95" s="308">
        <v>86285.480948500001</v>
      </c>
    </row>
    <row r="96" spans="1:12" s="4" customFormat="1" ht="15" customHeight="1">
      <c r="A96" s="17"/>
      <c r="B96" s="51"/>
      <c r="C96" s="241"/>
      <c r="D96" s="241"/>
      <c r="E96" s="241"/>
      <c r="F96" s="241"/>
      <c r="G96" s="241"/>
      <c r="H96" s="241"/>
      <c r="I96" s="241"/>
      <c r="J96" s="241"/>
      <c r="K96" s="241"/>
      <c r="L96" s="241"/>
    </row>
    <row r="97" spans="1:12" s="4" customFormat="1" ht="15" customHeight="1">
      <c r="A97" s="17"/>
      <c r="B97" s="755" t="s">
        <v>1265</v>
      </c>
      <c r="C97" s="286">
        <f>'4.1_КТЭЦ'!C20</f>
        <v>1159.712</v>
      </c>
      <c r="D97" s="286">
        <f>'4.1_КТЭЦ'!N20</f>
        <v>1140.328</v>
      </c>
      <c r="E97" s="286">
        <v>1145.6870000000001</v>
      </c>
      <c r="F97" s="286">
        <v>1115.827</v>
      </c>
      <c r="G97" s="286">
        <v>1140.3279999999995</v>
      </c>
      <c r="H97" s="286">
        <v>1091.739</v>
      </c>
      <c r="I97" s="286">
        <v>1088.818</v>
      </c>
      <c r="J97" s="286">
        <v>1088.818</v>
      </c>
      <c r="K97" s="286">
        <v>1091.269</v>
      </c>
      <c r="L97" s="286">
        <v>1091.269</v>
      </c>
    </row>
    <row r="98" spans="1:12" s="4" customFormat="1" ht="15" customHeight="1">
      <c r="A98" s="17"/>
      <c r="B98" s="51"/>
      <c r="C98" s="241"/>
      <c r="D98" s="241"/>
      <c r="E98" s="241"/>
      <c r="F98" s="241"/>
      <c r="G98" s="241"/>
      <c r="H98" s="241"/>
      <c r="I98" s="241"/>
      <c r="J98" s="241"/>
      <c r="K98" s="241"/>
      <c r="L98" s="241"/>
    </row>
    <row r="99" spans="1:12" s="4" customFormat="1" ht="15" customHeight="1">
      <c r="A99" s="17"/>
      <c r="B99" s="253" t="s">
        <v>1266</v>
      </c>
      <c r="C99" s="428">
        <f>C93/C97</f>
        <v>1250.0001567405243</v>
      </c>
      <c r="D99" s="428">
        <f t="shared" ref="D99" si="13">D93/D97</f>
        <v>1114.4277243038844</v>
      </c>
      <c r="E99" s="428">
        <v>1270.7835900455232</v>
      </c>
      <c r="F99" s="428">
        <v>1439.2285707830576</v>
      </c>
      <c r="G99" s="428">
        <v>1344.1421783800752</v>
      </c>
      <c r="H99" s="428">
        <v>1393.9360888785666</v>
      </c>
      <c r="I99" s="428">
        <v>135.55261338896995</v>
      </c>
      <c r="J99" s="428">
        <v>1530.2421916692911</v>
      </c>
      <c r="K99" s="428">
        <v>2494.6972163060996</v>
      </c>
      <c r="L99" s="428">
        <v>1781.3395441106886</v>
      </c>
    </row>
    <row r="100" spans="1:12" s="4" customFormat="1" ht="15" customHeight="1">
      <c r="A100" s="17"/>
      <c r="B100" s="253" t="s">
        <v>1267</v>
      </c>
      <c r="C100" s="428"/>
      <c r="D100" s="307"/>
      <c r="E100" s="428"/>
      <c r="F100" s="307"/>
      <c r="G100" s="307"/>
      <c r="H100" s="307"/>
      <c r="I100" s="307"/>
      <c r="J100" s="307"/>
      <c r="K100" s="307"/>
      <c r="L100" s="1650"/>
    </row>
    <row r="101" spans="1:12" s="4" customFormat="1" ht="15" customHeight="1">
      <c r="A101" s="17"/>
      <c r="B101" s="1131" t="s">
        <v>1512</v>
      </c>
      <c r="C101" s="428"/>
      <c r="D101" s="307"/>
      <c r="E101" s="428">
        <f>'6.7_теплонос._1 контур'!F14</f>
        <v>87.370765027322406</v>
      </c>
      <c r="F101" s="428">
        <f>'6.7_теплонос._1 контур'!G14</f>
        <v>94.661339893919632</v>
      </c>
      <c r="G101" s="428"/>
      <c r="H101" s="428"/>
      <c r="I101" s="428"/>
      <c r="J101" s="428"/>
      <c r="K101" s="428">
        <f>'6.7_теплонос._1 контур'!L14</f>
        <v>121.01190202251742</v>
      </c>
      <c r="L101" s="978"/>
    </row>
    <row r="102" spans="1:12" s="4" customFormat="1" ht="15" customHeight="1">
      <c r="A102" s="17"/>
      <c r="B102" s="1131" t="s">
        <v>1513</v>
      </c>
      <c r="C102" s="428"/>
      <c r="D102" s="307">
        <f>'4.8 - КТЭЦ'!G23*1000</f>
        <v>30.383382196457696</v>
      </c>
      <c r="E102" s="428">
        <f>'6.6_теплонос.ктэц_2 контур'!F26</f>
        <v>34.96</v>
      </c>
      <c r="F102" s="428">
        <f>'6.6_теплонос.ктэц_2 контур'!G26</f>
        <v>35.786489339888192</v>
      </c>
      <c r="G102" s="428"/>
      <c r="H102" s="428"/>
      <c r="I102" s="428"/>
      <c r="J102" s="428"/>
      <c r="K102" s="428">
        <f>'6.6_теплонос.ктэц_2 контур'!L26</f>
        <v>44.504928875668064</v>
      </c>
      <c r="L102" s="978"/>
    </row>
    <row r="103" spans="1:12" hidden="1">
      <c r="A103" s="253" t="s">
        <v>965</v>
      </c>
      <c r="B103" s="253"/>
      <c r="C103" s="308">
        <f>C67+C78+C83+C87-C90</f>
        <v>122231.5</v>
      </c>
      <c r="D103" s="308">
        <f t="shared" ref="D103:K103" si="14">D67+D78+D83+D87-D90</f>
        <v>134137.25</v>
      </c>
      <c r="E103" s="308">
        <f t="shared" si="14"/>
        <v>81677</v>
      </c>
      <c r="F103" s="308">
        <f t="shared" si="14"/>
        <v>334227.40000000002</v>
      </c>
      <c r="G103" s="308"/>
      <c r="H103" s="308"/>
      <c r="I103" s="308"/>
      <c r="J103" s="308"/>
      <c r="K103" s="308">
        <f t="shared" si="14"/>
        <v>621815.99393248814</v>
      </c>
      <c r="L103" s="762"/>
    </row>
    <row r="104" spans="1:12" s="26" customFormat="1">
      <c r="A104" s="26" t="s">
        <v>88</v>
      </c>
    </row>
    <row r="105" spans="1:12" s="28" customFormat="1" ht="58.5" customHeight="1">
      <c r="A105" s="28" t="s">
        <v>89</v>
      </c>
      <c r="B105" s="1842" t="s">
        <v>409</v>
      </c>
      <c r="C105" s="1842"/>
      <c r="D105" s="1842"/>
      <c r="E105" s="1842"/>
      <c r="F105" s="1842"/>
      <c r="G105" s="1842"/>
      <c r="H105" s="1842"/>
      <c r="I105" s="1842"/>
      <c r="J105" s="1842"/>
      <c r="K105" s="1842"/>
      <c r="L105" s="1629"/>
    </row>
    <row r="106" spans="1:12" s="28" customFormat="1" ht="58.5" customHeight="1">
      <c r="A106" s="28" t="s">
        <v>91</v>
      </c>
      <c r="B106" s="1842" t="s">
        <v>410</v>
      </c>
      <c r="C106" s="1842"/>
      <c r="D106" s="1842"/>
      <c r="E106" s="1842"/>
      <c r="F106" s="1842"/>
      <c r="G106" s="1842"/>
      <c r="H106" s="1842"/>
      <c r="I106" s="1842"/>
      <c r="J106" s="1842"/>
      <c r="K106" s="1842"/>
      <c r="L106" s="1629"/>
    </row>
    <row r="107" spans="1:12" s="28" customFormat="1" ht="58.5" customHeight="1">
      <c r="A107" s="28" t="s">
        <v>93</v>
      </c>
      <c r="B107" s="1842" t="s">
        <v>411</v>
      </c>
      <c r="C107" s="1842"/>
      <c r="D107" s="1842"/>
      <c r="E107" s="1842"/>
      <c r="F107" s="1842"/>
      <c r="G107" s="1842"/>
      <c r="H107" s="1842"/>
      <c r="I107" s="1842"/>
      <c r="J107" s="1842"/>
      <c r="K107" s="1842"/>
      <c r="L107" s="1629"/>
    </row>
    <row r="108" spans="1:12" ht="18.75" customHeight="1"/>
  </sheetData>
  <mergeCells count="4">
    <mergeCell ref="B105:K105"/>
    <mergeCell ref="B106:K106"/>
    <mergeCell ref="B107:K107"/>
    <mergeCell ref="A3:J3"/>
  </mergeCells>
  <pageMargins left="0.78740157480314965" right="0.31496062992125984" top="0.19685039370078741" bottom="0.39370078740157483" header="0.19685039370078741" footer="0.19685039370078741"/>
  <pageSetup paperSize="9" scale="48" orientation="portrait" r:id="rId1"/>
  <headerFooter alignWithMargins="0"/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</sheetPr>
  <dimension ref="A1:P110"/>
  <sheetViews>
    <sheetView view="pageBreakPreview" zoomScaleNormal="100" workbookViewId="0">
      <pane xSplit="2" ySplit="5" topLeftCell="E6" activePane="bottomRight" state="frozen"/>
      <selection activeCell="B82" sqref="B82"/>
      <selection pane="topRight" activeCell="B82" sqref="B82"/>
      <selection pane="bottomLeft" activeCell="B82" sqref="B82"/>
      <selection pane="bottomRight" activeCell="O19" sqref="O19"/>
    </sheetView>
  </sheetViews>
  <sheetFormatPr defaultColWidth="3.7109375" defaultRowHeight="15" outlineLevelRow="1"/>
  <cols>
    <col min="1" max="1" width="6.7109375" style="1" customWidth="1"/>
    <col min="2" max="2" width="42.42578125" style="1" customWidth="1"/>
    <col min="3" max="4" width="13.42578125" style="1" hidden="1" customWidth="1"/>
    <col min="5" max="9" width="13.42578125" style="1" customWidth="1"/>
    <col min="10" max="10" width="16.5703125" style="1" customWidth="1"/>
    <col min="11" max="11" width="13" style="1603" customWidth="1"/>
    <col min="12" max="12" width="12.140625" style="1" customWidth="1"/>
    <col min="13" max="16" width="12.28515625" style="1" customWidth="1"/>
    <col min="17" max="51" width="9.140625" style="1" customWidth="1"/>
    <col min="52" max="16384" width="3.7109375" style="1"/>
  </cols>
  <sheetData>
    <row r="1" spans="1:16" ht="12.75" customHeight="1">
      <c r="A1" s="74" t="s">
        <v>1860</v>
      </c>
      <c r="J1" s="23"/>
      <c r="K1" s="23"/>
      <c r="M1" s="23" t="s">
        <v>359</v>
      </c>
      <c r="N1" s="23"/>
      <c r="O1" s="23"/>
      <c r="P1" s="23"/>
    </row>
    <row r="2" spans="1:16" ht="12.75" customHeight="1">
      <c r="A2" s="759" t="str">
        <f>'3.1'!$A$2</f>
        <v>ПКГО - Комбинированная выработка КТЭЦ</v>
      </c>
      <c r="K2" s="763"/>
    </row>
    <row r="3" spans="1:16" ht="18.75">
      <c r="A3" s="1877" t="s">
        <v>1535</v>
      </c>
      <c r="B3" s="1914"/>
      <c r="C3" s="1914"/>
      <c r="D3" s="1914"/>
      <c r="E3" s="1914"/>
      <c r="F3" s="1914"/>
      <c r="G3" s="1914"/>
      <c r="H3" s="1914"/>
      <c r="I3" s="1914"/>
      <c r="J3" s="1914"/>
      <c r="K3" s="1750"/>
      <c r="L3" s="1632"/>
      <c r="M3" s="1632"/>
      <c r="N3" s="1632"/>
      <c r="O3" s="1632"/>
      <c r="P3" s="1632"/>
    </row>
    <row r="4" spans="1:16" ht="14.25" customHeight="1">
      <c r="A4" s="1" t="s">
        <v>1531</v>
      </c>
      <c r="J4" s="23"/>
      <c r="K4" s="23"/>
      <c r="M4" s="23" t="s">
        <v>360</v>
      </c>
      <c r="N4" s="23"/>
      <c r="O4" s="23"/>
      <c r="P4" s="23"/>
    </row>
    <row r="5" spans="1:16" s="3" customFormat="1" ht="66">
      <c r="A5" s="944" t="s">
        <v>0</v>
      </c>
      <c r="B5" s="944" t="s">
        <v>1</v>
      </c>
      <c r="C5" s="944" t="s">
        <v>1129</v>
      </c>
      <c r="D5" s="944" t="s">
        <v>1130</v>
      </c>
      <c r="E5" s="944" t="s">
        <v>1520</v>
      </c>
      <c r="F5" s="944" t="s">
        <v>1695</v>
      </c>
      <c r="G5" s="1284" t="s">
        <v>1702</v>
      </c>
      <c r="H5" s="1576" t="s">
        <v>1828</v>
      </c>
      <c r="I5" s="1631" t="s">
        <v>1842</v>
      </c>
      <c r="J5" s="1631" t="s">
        <v>1861</v>
      </c>
      <c r="K5" s="1631" t="s">
        <v>1862</v>
      </c>
      <c r="L5" s="1631" t="s">
        <v>763</v>
      </c>
      <c r="M5" s="1631" t="s">
        <v>764</v>
      </c>
      <c r="N5" s="1631" t="s">
        <v>1863</v>
      </c>
      <c r="O5" s="1631" t="s">
        <v>763</v>
      </c>
      <c r="P5" s="1631" t="s">
        <v>764</v>
      </c>
    </row>
    <row r="6" spans="1:16" s="2" customFormat="1">
      <c r="A6" s="13">
        <v>1</v>
      </c>
      <c r="B6" s="13">
        <v>2</v>
      </c>
      <c r="C6" s="13">
        <v>3</v>
      </c>
      <c r="D6" s="13">
        <v>4</v>
      </c>
      <c r="E6" s="13">
        <v>3</v>
      </c>
      <c r="F6" s="13">
        <v>4</v>
      </c>
      <c r="G6" s="13">
        <v>5</v>
      </c>
      <c r="H6" s="13">
        <v>6</v>
      </c>
      <c r="I6" s="13">
        <v>7</v>
      </c>
      <c r="J6" s="13">
        <v>8</v>
      </c>
      <c r="K6" s="13">
        <v>9</v>
      </c>
      <c r="L6" s="13">
        <v>10</v>
      </c>
      <c r="M6" s="13">
        <v>11</v>
      </c>
      <c r="N6" s="1604">
        <v>12</v>
      </c>
      <c r="O6" s="13">
        <v>13</v>
      </c>
      <c r="P6" s="13">
        <v>14</v>
      </c>
    </row>
    <row r="7" spans="1:16" s="1041" customFormat="1" ht="30" customHeight="1">
      <c r="A7" s="1037" t="s">
        <v>361</v>
      </c>
      <c r="B7" s="1038" t="s">
        <v>362</v>
      </c>
      <c r="C7" s="1039">
        <f>C8+SUM(C10:C15)+C20+SUM(C22:C25)+SUM(C56:C61)+2</f>
        <v>911689</v>
      </c>
      <c r="D7" s="1039">
        <f t="shared" ref="D7:E7" si="0">D8+SUM(D10:D15)+D20+SUM(D22:D25)+SUM(D56:D61)</f>
        <v>1084074.151719</v>
      </c>
      <c r="E7" s="1039">
        <f t="shared" si="0"/>
        <v>0</v>
      </c>
      <c r="F7" s="1039">
        <v>1203094.8382359999</v>
      </c>
      <c r="G7" s="1039">
        <v>125259.61406699999</v>
      </c>
      <c r="H7" s="1039">
        <v>1343158.0220135902</v>
      </c>
      <c r="I7" s="1039">
        <v>201322</v>
      </c>
      <c r="J7" s="1039">
        <v>1489179.0093862598</v>
      </c>
      <c r="K7" s="1039">
        <v>1588394.3990811962</v>
      </c>
      <c r="L7" s="1039">
        <v>800417.44299628004</v>
      </c>
      <c r="M7" s="1039">
        <v>787977.9560849159</v>
      </c>
      <c r="N7" s="1605">
        <v>1683341.4644763763</v>
      </c>
      <c r="O7" s="1039">
        <v>852226.28727605485</v>
      </c>
      <c r="P7" s="1039">
        <v>831116.17720032181</v>
      </c>
    </row>
    <row r="8" spans="1:16" s="1046" customFormat="1" ht="15" customHeight="1">
      <c r="A8" s="1044"/>
      <c r="B8" s="1045" t="s">
        <v>363</v>
      </c>
      <c r="C8" s="258">
        <f>'4.6_транзит+сбыт_КТЭЦ'!C8</f>
        <v>9035</v>
      </c>
      <c r="D8" s="258">
        <f>'4.6_транзит_КТЭЦ с косв.'!D8+'4.6_сбыт_КТЭЦ с косв.'!D8</f>
        <v>21915</v>
      </c>
      <c r="E8" s="258">
        <f>'4.6_транзит+сбыт_КТЭЦ'!E8</f>
        <v>0</v>
      </c>
      <c r="F8" s="258">
        <v>23140</v>
      </c>
      <c r="G8" s="258">
        <v>0</v>
      </c>
      <c r="H8" s="258">
        <v>26543</v>
      </c>
      <c r="I8" s="258">
        <v>32079</v>
      </c>
      <c r="J8" s="258">
        <v>34995</v>
      </c>
      <c r="K8" s="258">
        <v>39594.247880000003</v>
      </c>
      <c r="L8" s="258">
        <v>13857.986758000001</v>
      </c>
      <c r="M8" s="258">
        <v>25736.261122</v>
      </c>
      <c r="N8" s="982">
        <v>38792.127617694001</v>
      </c>
      <c r="O8" s="258">
        <v>13577.244666192899</v>
      </c>
      <c r="P8" s="258">
        <v>25214.882951501098</v>
      </c>
    </row>
    <row r="9" spans="1:16" s="4" customFormat="1" ht="15" customHeight="1">
      <c r="A9" s="17"/>
      <c r="B9" s="580" t="s">
        <v>1134</v>
      </c>
      <c r="C9" s="751">
        <f>'4.6_транзит+сбыт_КТЭЦ'!C9</f>
        <v>1263</v>
      </c>
      <c r="D9" s="751">
        <f>'4.6_транзит_КТЭЦ с косв.'!D9+'4.6_сбыт_КТЭЦ с косв.'!D9</f>
        <v>9271</v>
      </c>
      <c r="E9" s="751">
        <f>'4.6_транзит+сбыт_КТЭЦ'!E9</f>
        <v>0</v>
      </c>
      <c r="F9" s="751">
        <v>9712</v>
      </c>
      <c r="G9" s="751">
        <v>0</v>
      </c>
      <c r="H9" s="751">
        <v>11855</v>
      </c>
      <c r="I9" s="751">
        <v>6970</v>
      </c>
      <c r="J9" s="751">
        <v>9886</v>
      </c>
      <c r="K9" s="751">
        <v>13046</v>
      </c>
      <c r="L9" s="751">
        <v>4566.0999999999995</v>
      </c>
      <c r="M9" s="751">
        <v>8479.9000000000015</v>
      </c>
      <c r="N9" s="1606">
        <v>10958.679057823199</v>
      </c>
      <c r="O9" s="751">
        <v>3835.5376702381195</v>
      </c>
      <c r="P9" s="751">
        <v>7123.1413875850794</v>
      </c>
    </row>
    <row r="10" spans="1:16" s="1046" customFormat="1" ht="15" customHeight="1">
      <c r="A10" s="1044"/>
      <c r="B10" s="1045" t="s">
        <v>364</v>
      </c>
      <c r="C10" s="258">
        <f>'4.6_транзит+сбыт_КТЭЦ'!C10</f>
        <v>0</v>
      </c>
      <c r="D10" s="258">
        <f>'4.6_транзит_КТЭЦ с косв.'!D10+'4.6_сбыт_КТЭЦ с косв.'!D10</f>
        <v>0</v>
      </c>
      <c r="E10" s="258">
        <f>'4.6_транзит+сбыт_КТЭЦ'!E10</f>
        <v>0</v>
      </c>
      <c r="F10" s="258">
        <v>0</v>
      </c>
      <c r="G10" s="258">
        <v>0</v>
      </c>
      <c r="H10" s="258">
        <v>0</v>
      </c>
      <c r="I10" s="258">
        <v>0</v>
      </c>
      <c r="J10" s="258">
        <v>0</v>
      </c>
      <c r="K10" s="258">
        <v>0</v>
      </c>
      <c r="L10" s="258">
        <v>0</v>
      </c>
      <c r="M10" s="258">
        <v>0</v>
      </c>
      <c r="N10" s="982">
        <v>0</v>
      </c>
      <c r="O10" s="258">
        <v>0</v>
      </c>
      <c r="P10" s="258">
        <v>0</v>
      </c>
    </row>
    <row r="11" spans="1:16" s="1046" customFormat="1" ht="30">
      <c r="A11" s="1044"/>
      <c r="B11" s="1045" t="s">
        <v>365</v>
      </c>
      <c r="C11" s="258">
        <f>'4.6_транзит+сбыт_КТЭЦ'!C11</f>
        <v>111508</v>
      </c>
      <c r="D11" s="258">
        <f>'4.6_транзит_КТЭЦ с косв.'!D11+'4.6_сбыт_КТЭЦ с косв.'!D11</f>
        <v>96621.292518999995</v>
      </c>
      <c r="E11" s="258">
        <f>'4.6_транзит+сбыт_КТЭЦ'!E11</f>
        <v>0</v>
      </c>
      <c r="F11" s="258">
        <v>103600.51057999999</v>
      </c>
      <c r="G11" s="258">
        <v>119427.15758699999</v>
      </c>
      <c r="H11" s="258">
        <v>112631.43554158999</v>
      </c>
      <c r="I11" s="258">
        <v>0</v>
      </c>
      <c r="J11" s="258">
        <v>125955.85906625999</v>
      </c>
      <c r="K11" s="258">
        <v>137662.18967315598</v>
      </c>
      <c r="L11" s="258">
        <v>78187.192576999994</v>
      </c>
      <c r="M11" s="258">
        <v>59474.997096155988</v>
      </c>
      <c r="N11" s="982">
        <v>150260.95930468291</v>
      </c>
      <c r="O11" s="258">
        <v>85849.537449545969</v>
      </c>
      <c r="P11" s="258">
        <v>64411.421855136941</v>
      </c>
    </row>
    <row r="12" spans="1:16" s="1046" customFormat="1" ht="15" customHeight="1">
      <c r="A12" s="1044"/>
      <c r="B12" s="1045" t="s">
        <v>366</v>
      </c>
      <c r="C12" s="258">
        <f>'4.6_транзит+сбыт_КТЭЦ'!C12</f>
        <v>10830</v>
      </c>
      <c r="D12" s="258">
        <f>'4.6_транзит_КТЭЦ с косв.'!D12+'4.6_сбыт_КТЭЦ с косв.'!D12</f>
        <v>5797</v>
      </c>
      <c r="E12" s="258">
        <f>'4.6_транзит+сбыт_КТЭЦ'!E12</f>
        <v>0</v>
      </c>
      <c r="F12" s="258">
        <v>4770</v>
      </c>
      <c r="G12" s="258">
        <v>5832.4564799999998</v>
      </c>
      <c r="H12" s="258">
        <v>12200.832200000001</v>
      </c>
      <c r="I12" s="258">
        <v>0</v>
      </c>
      <c r="J12" s="258">
        <v>10311.43672</v>
      </c>
      <c r="K12" s="258">
        <v>10668.3758906</v>
      </c>
      <c r="L12" s="258">
        <v>5381.2190399999999</v>
      </c>
      <c r="M12" s="258">
        <v>5287.1568506000003</v>
      </c>
      <c r="N12" s="982">
        <v>11395.988881517002</v>
      </c>
      <c r="O12" s="258">
        <v>5870.90997264</v>
      </c>
      <c r="P12" s="258">
        <v>5525.0789088769998</v>
      </c>
    </row>
    <row r="13" spans="1:16" s="1046" customFormat="1" ht="15" customHeight="1">
      <c r="A13" s="1044"/>
      <c r="B13" s="1045" t="s">
        <v>367</v>
      </c>
      <c r="C13" s="258">
        <f>'4.6_транзит+сбыт_КТЭЦ'!C13</f>
        <v>0</v>
      </c>
      <c r="D13" s="258">
        <f>'4.6_транзит_КТЭЦ с косв.'!D13+'4.6_сбыт_КТЭЦ с косв.'!D13</f>
        <v>0</v>
      </c>
      <c r="E13" s="258">
        <f>'4.6_транзит+сбыт_КТЭЦ'!E13</f>
        <v>0</v>
      </c>
      <c r="F13" s="258">
        <v>0</v>
      </c>
      <c r="G13" s="258">
        <v>0</v>
      </c>
      <c r="H13" s="258">
        <v>0</v>
      </c>
      <c r="I13" s="258">
        <v>0</v>
      </c>
      <c r="J13" s="258">
        <v>0</v>
      </c>
      <c r="K13" s="258">
        <v>0</v>
      </c>
      <c r="L13" s="258">
        <v>0</v>
      </c>
      <c r="M13" s="258">
        <v>0</v>
      </c>
      <c r="N13" s="982">
        <v>0</v>
      </c>
      <c r="O13" s="258">
        <v>0</v>
      </c>
      <c r="P13" s="258">
        <v>0</v>
      </c>
    </row>
    <row r="14" spans="1:16" s="1046" customFormat="1" ht="30">
      <c r="A14" s="1044"/>
      <c r="B14" s="1045" t="s">
        <v>368</v>
      </c>
      <c r="C14" s="258">
        <f>'4.6_транзит+сбыт_КТЭЦ'!C14</f>
        <v>23559</v>
      </c>
      <c r="D14" s="258">
        <f>'4.6_транзит_КТЭЦ с косв.'!D14+'4.6_сбыт_КТЭЦ с косв.'!D14</f>
        <v>21803</v>
      </c>
      <c r="E14" s="258">
        <f>'4.6_транзит+сбыт_КТЭЦ'!E14</f>
        <v>0</v>
      </c>
      <c r="F14" s="258">
        <v>31164</v>
      </c>
      <c r="G14" s="258">
        <v>0</v>
      </c>
      <c r="H14" s="258">
        <v>34659</v>
      </c>
      <c r="I14" s="258">
        <v>0</v>
      </c>
      <c r="J14" s="258">
        <v>44013</v>
      </c>
      <c r="K14" s="258">
        <v>58854</v>
      </c>
      <c r="L14" s="258">
        <v>29234</v>
      </c>
      <c r="M14" s="258">
        <v>29620</v>
      </c>
      <c r="N14" s="982">
        <v>62204</v>
      </c>
      <c r="O14" s="258">
        <v>30919</v>
      </c>
      <c r="P14" s="258">
        <v>31285</v>
      </c>
    </row>
    <row r="15" spans="1:16" s="1046" customFormat="1" ht="15" customHeight="1">
      <c r="A15" s="1044"/>
      <c r="B15" s="1045" t="s">
        <v>1135</v>
      </c>
      <c r="C15" s="258">
        <f>C16+C18+C19</f>
        <v>423764</v>
      </c>
      <c r="D15" s="258">
        <f t="shared" ref="D15" si="1">D16+D18+D19</f>
        <v>470976</v>
      </c>
      <c r="E15" s="258">
        <f>E16+E18+E19</f>
        <v>0</v>
      </c>
      <c r="F15" s="258">
        <v>542914</v>
      </c>
      <c r="G15" s="258">
        <v>0</v>
      </c>
      <c r="H15" s="258">
        <v>592411.83507200005</v>
      </c>
      <c r="I15" s="258">
        <v>0</v>
      </c>
      <c r="J15" s="258">
        <v>647092.31359999999</v>
      </c>
      <c r="K15" s="258">
        <v>721557.32431743992</v>
      </c>
      <c r="L15" s="258">
        <v>346823.01953727996</v>
      </c>
      <c r="M15" s="258">
        <v>374735.30478016002</v>
      </c>
      <c r="N15" s="982">
        <v>763946.76979123987</v>
      </c>
      <c r="O15" s="258">
        <v>370116.41341339995</v>
      </c>
      <c r="P15" s="258">
        <v>393831.35637783993</v>
      </c>
    </row>
    <row r="16" spans="1:16" s="341" customFormat="1" ht="15" customHeight="1">
      <c r="A16" s="339"/>
      <c r="B16" s="581" t="s">
        <v>1136</v>
      </c>
      <c r="C16" s="766">
        <f>'4.6_транзит+сбыт_КТЭЦ'!C16</f>
        <v>417355</v>
      </c>
      <c r="D16" s="766">
        <f>'4.6_транзит_КТЭЦ с косв.'!D16+'4.6_сбыт_КТЭЦ с косв.'!D16</f>
        <v>456278</v>
      </c>
      <c r="E16" s="766">
        <f>'4.6_транзит+сбыт_КТЭЦ'!E16</f>
        <v>0</v>
      </c>
      <c r="F16" s="766">
        <v>528430</v>
      </c>
      <c r="G16" s="766">
        <v>0</v>
      </c>
      <c r="H16" s="766">
        <v>575523.83507200005</v>
      </c>
      <c r="I16" s="766">
        <v>0</v>
      </c>
      <c r="J16" s="766">
        <v>628712.31359999999</v>
      </c>
      <c r="K16" s="766">
        <v>701843.32431743992</v>
      </c>
      <c r="L16" s="766">
        <v>336965.51953727996</v>
      </c>
      <c r="M16" s="766">
        <v>364877.80478016002</v>
      </c>
      <c r="N16" s="993">
        <v>743269.76979123987</v>
      </c>
      <c r="O16" s="766">
        <v>359777.41341339995</v>
      </c>
      <c r="P16" s="766">
        <v>383492.35637783993</v>
      </c>
    </row>
    <row r="17" spans="1:16" s="341" customFormat="1" ht="15" customHeight="1">
      <c r="A17" s="339"/>
      <c r="B17" s="580" t="s">
        <v>1134</v>
      </c>
      <c r="C17" s="751">
        <f>'4.6_транзит+сбыт_КТЭЦ'!C17</f>
        <v>17911</v>
      </c>
      <c r="D17" s="751">
        <f>'4.6_транзит_КТЭЦ с косв.'!D17+'4.6_сбыт_КТЭЦ с косв.'!D17</f>
        <v>18533</v>
      </c>
      <c r="E17" s="751">
        <f>'4.6_транзит+сбыт_КТЭЦ'!E17</f>
        <v>0</v>
      </c>
      <c r="F17" s="751">
        <v>19022</v>
      </c>
      <c r="G17" s="751">
        <v>0</v>
      </c>
      <c r="H17" s="751">
        <v>20913</v>
      </c>
      <c r="I17" s="751">
        <v>0</v>
      </c>
      <c r="J17" s="751">
        <v>24093</v>
      </c>
      <c r="K17" s="751">
        <v>27537</v>
      </c>
      <c r="L17" s="751">
        <v>13219</v>
      </c>
      <c r="M17" s="751">
        <v>14318</v>
      </c>
      <c r="N17" s="1606">
        <v>29145</v>
      </c>
      <c r="O17" s="751">
        <v>13219</v>
      </c>
      <c r="P17" s="751">
        <v>15926</v>
      </c>
    </row>
    <row r="18" spans="1:16" s="341" customFormat="1" ht="15" customHeight="1">
      <c r="A18" s="339"/>
      <c r="B18" s="581" t="s">
        <v>1137</v>
      </c>
      <c r="C18" s="766">
        <f>'4.6_транзит+сбыт_КТЭЦ'!C18</f>
        <v>6409</v>
      </c>
      <c r="D18" s="766">
        <f>'4.6_транзит_КТЭЦ с косв.'!D18+'4.6_сбыт_КТЭЦ с косв.'!D18</f>
        <v>9020</v>
      </c>
      <c r="E18" s="766">
        <f>'4.6_транзит+сбыт_КТЭЦ'!E18</f>
        <v>0</v>
      </c>
      <c r="F18" s="766">
        <v>9276</v>
      </c>
      <c r="G18" s="766">
        <v>0</v>
      </c>
      <c r="H18" s="766">
        <v>10957</v>
      </c>
      <c r="I18" s="766">
        <v>0</v>
      </c>
      <c r="J18" s="766">
        <v>12433</v>
      </c>
      <c r="K18" s="766">
        <v>14383</v>
      </c>
      <c r="L18" s="766">
        <v>7192</v>
      </c>
      <c r="M18" s="766">
        <v>7192</v>
      </c>
      <c r="N18" s="993">
        <v>15031</v>
      </c>
      <c r="O18" s="766">
        <v>7516</v>
      </c>
      <c r="P18" s="766">
        <v>7516</v>
      </c>
    </row>
    <row r="19" spans="1:16" s="341" customFormat="1" ht="15" customHeight="1">
      <c r="A19" s="339"/>
      <c r="B19" s="581" t="s">
        <v>1138</v>
      </c>
      <c r="C19" s="766">
        <f>'4.6_транзит+сбыт_КТЭЦ'!C19</f>
        <v>0</v>
      </c>
      <c r="D19" s="766">
        <f>'4.6_транзит_КТЭЦ с косв.'!D19+'4.6_сбыт_КТЭЦ с косв.'!D19</f>
        <v>5678</v>
      </c>
      <c r="E19" s="766">
        <f>'4.6_транзит+сбыт_КТЭЦ'!E19</f>
        <v>0</v>
      </c>
      <c r="F19" s="766">
        <v>5208</v>
      </c>
      <c r="G19" s="766">
        <v>0</v>
      </c>
      <c r="H19" s="766">
        <v>5931</v>
      </c>
      <c r="I19" s="766">
        <v>0</v>
      </c>
      <c r="J19" s="766">
        <v>5947</v>
      </c>
      <c r="K19" s="766">
        <v>5331</v>
      </c>
      <c r="L19" s="766">
        <v>2665.5</v>
      </c>
      <c r="M19" s="766">
        <v>2665.5</v>
      </c>
      <c r="N19" s="993">
        <v>5646</v>
      </c>
      <c r="O19" s="766">
        <v>2823</v>
      </c>
      <c r="P19" s="766">
        <v>2823</v>
      </c>
    </row>
    <row r="20" spans="1:16" s="1046" customFormat="1">
      <c r="A20" s="1044"/>
      <c r="B20" s="1045" t="s">
        <v>369</v>
      </c>
      <c r="C20" s="258">
        <f>'4.6_транзит+сбыт_КТЭЦ'!C20</f>
        <v>83767</v>
      </c>
      <c r="D20" s="258">
        <f>'4.6_транзит_КТЭЦ с косв.'!D20+'4.6_сбыт_КТЭЦ с косв.'!D20</f>
        <v>123945</v>
      </c>
      <c r="E20" s="258">
        <f>'4.6_транзит+сбыт_КТЭЦ'!E20</f>
        <v>0</v>
      </c>
      <c r="F20" s="258">
        <v>141780</v>
      </c>
      <c r="G20" s="258">
        <v>0</v>
      </c>
      <c r="H20" s="258">
        <v>157262</v>
      </c>
      <c r="I20" s="258">
        <v>0</v>
      </c>
      <c r="J20" s="258">
        <v>168376</v>
      </c>
      <c r="K20" s="258">
        <v>193268</v>
      </c>
      <c r="L20" s="258">
        <v>112117</v>
      </c>
      <c r="M20" s="258">
        <v>81151</v>
      </c>
      <c r="N20" s="982">
        <v>205336</v>
      </c>
      <c r="O20" s="258">
        <v>119030</v>
      </c>
      <c r="P20" s="258">
        <v>86306</v>
      </c>
    </row>
    <row r="21" spans="1:16" s="341" customFormat="1">
      <c r="A21" s="339"/>
      <c r="B21" s="580" t="s">
        <v>1134</v>
      </c>
      <c r="C21" s="751">
        <f>'4.6_транзит+сбыт_КТЭЦ'!C21</f>
        <v>5221</v>
      </c>
      <c r="D21" s="751">
        <f>'4.6_транзит_КТЭЦ с косв.'!D21+'4.6_сбыт_КТЭЦ с косв.'!D21</f>
        <v>5475</v>
      </c>
      <c r="E21" s="751">
        <f>'4.6_транзит+сбыт_КТЭЦ'!E21</f>
        <v>0</v>
      </c>
      <c r="F21" s="751">
        <v>5674</v>
      </c>
      <c r="G21" s="751">
        <v>0</v>
      </c>
      <c r="H21" s="751">
        <v>6292</v>
      </c>
      <c r="I21" s="751">
        <v>0</v>
      </c>
      <c r="J21" s="751">
        <v>7287</v>
      </c>
      <c r="K21" s="751">
        <v>8316</v>
      </c>
      <c r="L21" s="751">
        <v>3546.4863521145062</v>
      </c>
      <c r="M21" s="751">
        <v>4769.5136478854938</v>
      </c>
      <c r="N21" s="1606">
        <v>8283.0761381544016</v>
      </c>
      <c r="O21" s="751">
        <v>3546.4863521145062</v>
      </c>
      <c r="P21" s="751">
        <v>4736.5897860398954</v>
      </c>
    </row>
    <row r="22" spans="1:16" s="1046" customFormat="1" ht="30" customHeight="1">
      <c r="A22" s="1044"/>
      <c r="B22" s="1045" t="s">
        <v>370</v>
      </c>
      <c r="C22" s="258">
        <f>'4.6_транзит+сбыт_КТЭЦ'!C22</f>
        <v>19497</v>
      </c>
      <c r="D22" s="258">
        <f>'4.6_транзит_КТЭЦ с косв.'!D22+'4.6_сбыт_КТЭЦ с косв.'!D22</f>
        <v>37044</v>
      </c>
      <c r="E22" s="258">
        <f>'4.6_транзит+сбыт_КТЭЦ'!E22</f>
        <v>0</v>
      </c>
      <c r="F22" s="258">
        <v>27931</v>
      </c>
      <c r="G22" s="258">
        <v>0</v>
      </c>
      <c r="H22" s="258">
        <v>78564</v>
      </c>
      <c r="I22" s="258">
        <v>59542</v>
      </c>
      <c r="J22" s="258">
        <v>114373</v>
      </c>
      <c r="K22" s="258">
        <v>50154</v>
      </c>
      <c r="L22" s="258">
        <v>17553.899999999998</v>
      </c>
      <c r="M22" s="258">
        <v>32600.100000000002</v>
      </c>
      <c r="N22" s="982">
        <v>52064.227102741592</v>
      </c>
      <c r="O22" s="258">
        <v>18222.479485959557</v>
      </c>
      <c r="P22" s="258">
        <v>33841.747616782035</v>
      </c>
    </row>
    <row r="23" spans="1:16" s="1046" customFormat="1" ht="60">
      <c r="A23" s="1044"/>
      <c r="B23" s="1045" t="s">
        <v>1139</v>
      </c>
      <c r="C23" s="258">
        <f>'4.6_транзит+сбыт_КТЭЦ'!C23</f>
        <v>78438</v>
      </c>
      <c r="D23" s="258">
        <f>'4.6_транзит_КТЭЦ с косв.'!D23+'4.6_сбыт_КТЭЦ с косв.'!D23</f>
        <v>99583</v>
      </c>
      <c r="E23" s="258">
        <f>'4.6_транзит+сбыт_КТЭЦ'!E23</f>
        <v>0</v>
      </c>
      <c r="F23" s="258">
        <v>94371</v>
      </c>
      <c r="G23" s="258">
        <v>0</v>
      </c>
      <c r="H23" s="258">
        <v>94285</v>
      </c>
      <c r="I23" s="258">
        <v>0</v>
      </c>
      <c r="J23" s="258">
        <v>110132</v>
      </c>
      <c r="K23" s="258">
        <v>123132</v>
      </c>
      <c r="L23" s="258">
        <v>74992</v>
      </c>
      <c r="M23" s="258">
        <v>48140</v>
      </c>
      <c r="N23" s="982">
        <v>129952</v>
      </c>
      <c r="O23" s="258">
        <v>79376</v>
      </c>
      <c r="P23" s="258">
        <v>50576</v>
      </c>
    </row>
    <row r="24" spans="1:16" s="1046" customFormat="1" ht="60">
      <c r="A24" s="1044"/>
      <c r="B24" s="1045" t="s">
        <v>372</v>
      </c>
      <c r="C24" s="258">
        <f>'4.6_транзит+сбыт_КТЭЦ'!C24</f>
        <v>2115</v>
      </c>
      <c r="D24" s="258">
        <f>'4.6_транзит_КТЭЦ с косв.'!D24+'4.6_сбыт_КТЭЦ с косв.'!D24</f>
        <v>29003</v>
      </c>
      <c r="E24" s="258">
        <f>'4.6_транзит+сбыт_КТЭЦ'!E24</f>
        <v>0</v>
      </c>
      <c r="F24" s="258">
        <v>24317</v>
      </c>
      <c r="G24" s="258">
        <v>0</v>
      </c>
      <c r="H24" s="258">
        <v>26422</v>
      </c>
      <c r="I24" s="258">
        <v>38812</v>
      </c>
      <c r="J24" s="258">
        <v>38812</v>
      </c>
      <c r="K24" s="258">
        <v>41036.703840000002</v>
      </c>
      <c r="L24" s="258">
        <v>14362.846344000001</v>
      </c>
      <c r="M24" s="258">
        <v>26673.857496000004</v>
      </c>
      <c r="N24" s="982">
        <v>43023.290672894393</v>
      </c>
      <c r="O24" s="258">
        <v>15058.151735513038</v>
      </c>
      <c r="P24" s="258">
        <v>27965.138937381358</v>
      </c>
    </row>
    <row r="25" spans="1:16" s="1046" customFormat="1" ht="105">
      <c r="A25" s="1044"/>
      <c r="B25" s="1045" t="s">
        <v>373</v>
      </c>
      <c r="C25" s="258">
        <f>C27+C28+C29+C55</f>
        <v>27636</v>
      </c>
      <c r="D25" s="258">
        <f t="shared" ref="D25" si="2">D27+D28+D29+D55</f>
        <v>60345.859199999992</v>
      </c>
      <c r="E25" s="258">
        <f>E27+E28+E29</f>
        <v>0</v>
      </c>
      <c r="F25" s="258">
        <v>73021.327656000009</v>
      </c>
      <c r="G25" s="258">
        <v>0</v>
      </c>
      <c r="H25" s="258">
        <v>90306.919200000004</v>
      </c>
      <c r="I25" s="258">
        <v>67611</v>
      </c>
      <c r="J25" s="258">
        <v>67611</v>
      </c>
      <c r="K25" s="258">
        <v>71486.462520000001</v>
      </c>
      <c r="L25" s="258">
        <v>35743.23126</v>
      </c>
      <c r="M25" s="258">
        <v>35743.23126</v>
      </c>
      <c r="N25" s="258">
        <v>74947.122170593197</v>
      </c>
      <c r="O25" s="258">
        <v>37473.561085296598</v>
      </c>
      <c r="P25" s="258">
        <v>37473.561085296598</v>
      </c>
    </row>
    <row r="26" spans="1:16" s="4" customFormat="1">
      <c r="A26" s="17"/>
      <c r="B26" s="51" t="s">
        <v>70</v>
      </c>
      <c r="C26" s="766"/>
      <c r="D26" s="766"/>
      <c r="E26" s="766"/>
      <c r="F26" s="766"/>
      <c r="G26" s="766"/>
      <c r="H26" s="766"/>
      <c r="I26" s="766"/>
      <c r="J26" s="766"/>
      <c r="K26" s="766"/>
      <c r="L26" s="241"/>
      <c r="M26" s="241"/>
      <c r="N26" s="982"/>
      <c r="O26" s="241"/>
      <c r="P26" s="241"/>
    </row>
    <row r="27" spans="1:16" s="4" customFormat="1">
      <c r="A27" s="17"/>
      <c r="B27" s="581" t="s">
        <v>1275</v>
      </c>
      <c r="C27" s="766">
        <f>'4.6_транзит+сбыт_КТЭЦ'!C27</f>
        <v>211</v>
      </c>
      <c r="D27" s="766">
        <f>'4.6_транзит_КТЭЦ с косв.'!D27+'4.6_сбыт_КТЭЦ с косв.'!D27</f>
        <v>1587</v>
      </c>
      <c r="E27" s="766">
        <f>'4.6_транзит+сбыт_КТЭЦ'!E27</f>
        <v>0</v>
      </c>
      <c r="F27" s="766">
        <v>1301</v>
      </c>
      <c r="G27" s="766">
        <v>0</v>
      </c>
      <c r="H27" s="766">
        <v>1286</v>
      </c>
      <c r="I27" s="766">
        <v>0</v>
      </c>
      <c r="J27" s="766">
        <v>0</v>
      </c>
      <c r="K27" s="766">
        <v>0</v>
      </c>
      <c r="L27" s="766">
        <v>0</v>
      </c>
      <c r="M27" s="766">
        <v>0</v>
      </c>
      <c r="N27" s="993">
        <v>0</v>
      </c>
      <c r="O27" s="766">
        <v>0</v>
      </c>
      <c r="P27" s="766">
        <v>0</v>
      </c>
    </row>
    <row r="28" spans="1:16" s="4" customFormat="1">
      <c r="A28" s="17"/>
      <c r="B28" s="581" t="s">
        <v>1276</v>
      </c>
      <c r="C28" s="766">
        <f>'4.6_транзит+сбыт_КТЭЦ'!C28</f>
        <v>288</v>
      </c>
      <c r="D28" s="766">
        <f>'4.6_транзит_КТЭЦ с косв.'!D28+'4.6_сбыт_КТЭЦ с косв.'!D28</f>
        <v>1009</v>
      </c>
      <c r="E28" s="766">
        <f>'4.6_транзит+сбыт_КТЭЦ'!E28</f>
        <v>0</v>
      </c>
      <c r="F28" s="766">
        <v>1401</v>
      </c>
      <c r="G28" s="766">
        <v>0</v>
      </c>
      <c r="H28" s="766">
        <v>765</v>
      </c>
      <c r="I28" s="766">
        <v>677</v>
      </c>
      <c r="J28" s="766">
        <v>677</v>
      </c>
      <c r="K28" s="766">
        <v>715.80564000000004</v>
      </c>
      <c r="L28" s="766">
        <v>357.90282000000002</v>
      </c>
      <c r="M28" s="766">
        <v>357.90282000000002</v>
      </c>
      <c r="N28" s="766">
        <v>750.45779103239988</v>
      </c>
      <c r="O28" s="766">
        <v>375.22889551619994</v>
      </c>
      <c r="P28" s="766">
        <v>375.22889551619994</v>
      </c>
    </row>
    <row r="29" spans="1:16" s="4" customFormat="1">
      <c r="A29" s="17"/>
      <c r="B29" s="581" t="s">
        <v>1559</v>
      </c>
      <c r="C29" s="766">
        <f>'4.6_транзит+сбыт_КТЭЦ'!C29</f>
        <v>27137</v>
      </c>
      <c r="D29" s="981">
        <f>'4.6_транзит_КТЭЦ с косв.'!D29+'4.6_сбыт_КТЭЦ с косв.'!D29</f>
        <v>57749.859199999992</v>
      </c>
      <c r="E29" s="766">
        <f>'4.6_транзит+сбыт_КТЭЦ'!E29</f>
        <v>0</v>
      </c>
      <c r="F29" s="766">
        <v>70319.327656000009</v>
      </c>
      <c r="G29" s="766">
        <v>0</v>
      </c>
      <c r="H29" s="766">
        <v>88255.919200000004</v>
      </c>
      <c r="I29" s="766">
        <v>66934</v>
      </c>
      <c r="J29" s="766">
        <v>66934</v>
      </c>
      <c r="K29" s="766">
        <v>70770.65688000001</v>
      </c>
      <c r="L29" s="766">
        <v>35385.328440000005</v>
      </c>
      <c r="M29" s="766">
        <v>35385.328440000005</v>
      </c>
      <c r="N29" s="766">
        <v>74196.664379560796</v>
      </c>
      <c r="O29" s="766">
        <v>37098.332189780398</v>
      </c>
      <c r="P29" s="766">
        <v>37098.332189780398</v>
      </c>
    </row>
    <row r="30" spans="1:16" s="4" customFormat="1" hidden="1" outlineLevel="1">
      <c r="A30" s="737" t="s">
        <v>89</v>
      </c>
      <c r="B30" s="738" t="s">
        <v>1244</v>
      </c>
      <c r="C30" s="746">
        <f>'4.6_транзит_КТЭЦ'!C30</f>
        <v>0</v>
      </c>
      <c r="D30" s="746">
        <f>'4.6_транзит_КТЭЦ с косв.'!D30+'4.6_сбыт_КТЭЦ с косв.'!D30</f>
        <v>3033</v>
      </c>
      <c r="E30" s="746">
        <f>'4.6_транзит_КТЭЦ'!E30</f>
        <v>0</v>
      </c>
      <c r="F30" s="746">
        <v>3020</v>
      </c>
      <c r="G30" s="746">
        <v>0</v>
      </c>
      <c r="H30" s="746">
        <v>3358</v>
      </c>
      <c r="I30" s="746">
        <v>0</v>
      </c>
      <c r="J30" s="746">
        <v>0</v>
      </c>
      <c r="K30" s="746">
        <v>0</v>
      </c>
      <c r="L30" s="746">
        <v>0</v>
      </c>
      <c r="M30" s="746">
        <v>0</v>
      </c>
      <c r="N30" s="1607">
        <v>0</v>
      </c>
      <c r="O30" s="746">
        <v>0</v>
      </c>
      <c r="P30" s="746">
        <v>0</v>
      </c>
    </row>
    <row r="31" spans="1:16" s="341" customFormat="1" hidden="1" outlineLevel="1">
      <c r="A31" s="760" t="s">
        <v>91</v>
      </c>
      <c r="B31" s="761" t="s">
        <v>1245</v>
      </c>
      <c r="C31" s="746">
        <f t="shared" ref="C31:D31" si="3">SUM(C32:C43)+C45</f>
        <v>0</v>
      </c>
      <c r="D31" s="746">
        <f t="shared" si="3"/>
        <v>54716.859199999999</v>
      </c>
      <c r="E31" s="746">
        <f>SUM(E32:E45)</f>
        <v>0</v>
      </c>
      <c r="F31" s="746">
        <v>67299.327656000009</v>
      </c>
      <c r="G31" s="746">
        <v>0</v>
      </c>
      <c r="H31" s="746">
        <v>84897.919200000004</v>
      </c>
      <c r="I31" s="746">
        <v>24762</v>
      </c>
      <c r="J31" s="746">
        <v>24762</v>
      </c>
      <c r="K31" s="746">
        <v>0</v>
      </c>
      <c r="L31" s="746">
        <v>0</v>
      </c>
      <c r="M31" s="746">
        <v>0</v>
      </c>
      <c r="N31" s="746">
        <v>0</v>
      </c>
      <c r="O31" s="746">
        <v>0</v>
      </c>
      <c r="P31" s="746">
        <v>0</v>
      </c>
    </row>
    <row r="32" spans="1:16" s="4" customFormat="1" ht="25.5" hidden="1" outlineLevel="1">
      <c r="A32" s="739" t="s">
        <v>1044</v>
      </c>
      <c r="B32" s="740" t="s">
        <v>1247</v>
      </c>
      <c r="C32" s="979">
        <f>'4.6_транзит_КТЭЦ'!C32</f>
        <v>0</v>
      </c>
      <c r="D32" s="979">
        <f>'4.6_транзит_КТЭЦ с косв.'!D32+'4.6_сбыт_КТЭЦ с косв.'!D32</f>
        <v>2830.1711999999998</v>
      </c>
      <c r="E32" s="979">
        <f>'4.6_транзит_КТЭЦ'!E32</f>
        <v>0</v>
      </c>
      <c r="F32" s="979">
        <v>4082.3798400000005</v>
      </c>
      <c r="G32" s="979">
        <v>0</v>
      </c>
      <c r="H32" s="979">
        <v>3677.2736000000004</v>
      </c>
      <c r="I32" s="979">
        <v>3427</v>
      </c>
      <c r="J32" s="979">
        <v>3427</v>
      </c>
      <c r="K32" s="979">
        <v>0</v>
      </c>
      <c r="L32" s="979">
        <v>0</v>
      </c>
      <c r="M32" s="979">
        <v>0</v>
      </c>
      <c r="N32" s="1611">
        <v>0</v>
      </c>
      <c r="O32" s="979">
        <v>0</v>
      </c>
      <c r="P32" s="979">
        <v>0</v>
      </c>
    </row>
    <row r="33" spans="1:16" s="4" customFormat="1" ht="38.25" hidden="1" outlineLevel="1">
      <c r="A33" s="739" t="s">
        <v>1043</v>
      </c>
      <c r="B33" s="740" t="s">
        <v>1249</v>
      </c>
      <c r="C33" s="979">
        <f>'4.6_транзит_КТЭЦ'!C33</f>
        <v>0</v>
      </c>
      <c r="D33" s="979">
        <f>'4.6_транзит_КТЭЦ с косв.'!D33+'4.6_сбыт_КТЭЦ с косв.'!D33</f>
        <v>42.043199999999999</v>
      </c>
      <c r="E33" s="979">
        <f>'4.6_транзит_КТЭЦ'!E33</f>
        <v>0</v>
      </c>
      <c r="F33" s="979">
        <v>2.4299880000000003</v>
      </c>
      <c r="G33" s="979">
        <v>0</v>
      </c>
      <c r="H33" s="979">
        <v>0</v>
      </c>
      <c r="I33" s="979">
        <v>0</v>
      </c>
      <c r="J33" s="979">
        <v>0</v>
      </c>
      <c r="K33" s="979">
        <v>0</v>
      </c>
      <c r="L33" s="979">
        <v>0</v>
      </c>
      <c r="M33" s="979">
        <v>0</v>
      </c>
      <c r="N33" s="1611">
        <v>0</v>
      </c>
      <c r="O33" s="979">
        <v>0</v>
      </c>
      <c r="P33" s="979">
        <v>0</v>
      </c>
    </row>
    <row r="34" spans="1:16" s="4" customFormat="1" hidden="1" outlineLevel="1">
      <c r="A34" s="741" t="s">
        <v>1540</v>
      </c>
      <c r="B34" s="740" t="s">
        <v>1250</v>
      </c>
      <c r="C34" s="979">
        <f>'4.6_транзит_КТЭЦ'!C34</f>
        <v>0</v>
      </c>
      <c r="D34" s="979">
        <f>'4.6_транзит_КТЭЦ с косв.'!D34+'4.6_сбыт_КТЭЦ с косв.'!D34</f>
        <v>713.99680000000001</v>
      </c>
      <c r="E34" s="979">
        <f>'4.6_транзит_КТЭЦ'!E34</f>
        <v>0</v>
      </c>
      <c r="F34" s="979">
        <v>1042.4648520000001</v>
      </c>
      <c r="G34" s="979">
        <v>0</v>
      </c>
      <c r="H34" s="979">
        <v>1274.8736000000001</v>
      </c>
      <c r="I34" s="979">
        <v>0</v>
      </c>
      <c r="J34" s="979">
        <v>0</v>
      </c>
      <c r="K34" s="979">
        <v>0</v>
      </c>
      <c r="L34" s="979">
        <v>0</v>
      </c>
      <c r="M34" s="979">
        <v>0</v>
      </c>
      <c r="N34" s="1611">
        <v>0</v>
      </c>
      <c r="O34" s="979">
        <v>0</v>
      </c>
      <c r="P34" s="979">
        <v>0</v>
      </c>
    </row>
    <row r="35" spans="1:16" s="4" customFormat="1" ht="25.5" hidden="1" outlineLevel="1">
      <c r="A35" s="739" t="s">
        <v>1541</v>
      </c>
      <c r="B35" s="740" t="s">
        <v>1251</v>
      </c>
      <c r="C35" s="979">
        <f>'4.6_транзит_КТЭЦ'!C35</f>
        <v>0</v>
      </c>
      <c r="D35" s="979">
        <f>'4.6_транзит_КТЭЦ с косв.'!D35+'4.6_сбыт_КТЭЦ с косв.'!D35</f>
        <v>1776.1408000000001</v>
      </c>
      <c r="E35" s="979">
        <f>'4.6_транзит_КТЭЦ'!E35</f>
        <v>0</v>
      </c>
      <c r="F35" s="979">
        <v>3267.5238639999998</v>
      </c>
      <c r="G35" s="979">
        <v>0</v>
      </c>
      <c r="H35" s="979">
        <v>2466.4639999999999</v>
      </c>
      <c r="I35" s="979">
        <v>3434</v>
      </c>
      <c r="J35" s="979">
        <v>3434</v>
      </c>
      <c r="K35" s="979">
        <v>0</v>
      </c>
      <c r="L35" s="979">
        <v>0</v>
      </c>
      <c r="M35" s="979">
        <v>0</v>
      </c>
      <c r="N35" s="1611">
        <v>0</v>
      </c>
      <c r="O35" s="979">
        <v>0</v>
      </c>
      <c r="P35" s="979">
        <v>0</v>
      </c>
    </row>
    <row r="36" spans="1:16" s="4" customFormat="1" ht="25.5" hidden="1" outlineLevel="1">
      <c r="A36" s="739" t="s">
        <v>1542</v>
      </c>
      <c r="B36" s="740" t="s">
        <v>1252</v>
      </c>
      <c r="C36" s="979">
        <f>'4.6_транзит_КТЭЦ'!C36</f>
        <v>0</v>
      </c>
      <c r="D36" s="979">
        <f>'4.6_транзит_КТЭЦ с косв.'!D36+'4.6_сбыт_КТЭЦ с косв.'!D36</f>
        <v>8693.3536000000004</v>
      </c>
      <c r="E36" s="979">
        <f>'4.6_транзит_КТЭЦ'!E36</f>
        <v>0</v>
      </c>
      <c r="F36" s="979">
        <v>9159.434768000001</v>
      </c>
      <c r="G36" s="979">
        <v>0</v>
      </c>
      <c r="H36" s="979">
        <v>13779.365600000001</v>
      </c>
      <c r="I36" s="979">
        <v>13932</v>
      </c>
      <c r="J36" s="979">
        <v>13932</v>
      </c>
      <c r="K36" s="979">
        <v>0</v>
      </c>
      <c r="L36" s="979">
        <v>0</v>
      </c>
      <c r="M36" s="979">
        <v>0</v>
      </c>
      <c r="N36" s="1611">
        <v>0</v>
      </c>
      <c r="O36" s="979">
        <v>0</v>
      </c>
      <c r="P36" s="979">
        <v>0</v>
      </c>
    </row>
    <row r="37" spans="1:16" s="4" customFormat="1" hidden="1" outlineLevel="1">
      <c r="A37" s="739" t="s">
        <v>1543</v>
      </c>
      <c r="B37" s="740" t="s">
        <v>1253</v>
      </c>
      <c r="C37" s="979">
        <f>'4.6_транзит_КТЭЦ'!C37</f>
        <v>0</v>
      </c>
      <c r="D37" s="979">
        <f>'4.6_транзит_КТЭЦ с косв.'!D37+'4.6_сбыт_КТЭЦ с косв.'!D37</f>
        <v>7604.6559999999999</v>
      </c>
      <c r="E37" s="979">
        <f>'4.6_транзит_КТЭЦ'!E37</f>
        <v>0</v>
      </c>
      <c r="F37" s="979">
        <v>8066.750164000001</v>
      </c>
      <c r="G37" s="979">
        <v>0</v>
      </c>
      <c r="H37" s="979">
        <v>15511.496000000001</v>
      </c>
      <c r="I37" s="979">
        <v>0</v>
      </c>
      <c r="J37" s="979">
        <v>0</v>
      </c>
      <c r="K37" s="979">
        <v>0</v>
      </c>
      <c r="L37" s="979">
        <v>0</v>
      </c>
      <c r="M37" s="979">
        <v>0</v>
      </c>
      <c r="N37" s="1611">
        <v>0</v>
      </c>
      <c r="O37" s="979">
        <v>0</v>
      </c>
      <c r="P37" s="979">
        <v>0</v>
      </c>
    </row>
    <row r="38" spans="1:16" s="4" customFormat="1" hidden="1" outlineLevel="1">
      <c r="A38" s="739" t="s">
        <v>1544</v>
      </c>
      <c r="B38" s="742" t="s">
        <v>1254</v>
      </c>
      <c r="C38" s="979">
        <f>'4.6_транзит_КТЭЦ'!C38</f>
        <v>0</v>
      </c>
      <c r="D38" s="979">
        <f>'4.6_транзит_КТЭЦ с косв.'!D38+'4.6_сбыт_КТЭЦ с косв.'!D38</f>
        <v>1118.2015999999999</v>
      </c>
      <c r="E38" s="979">
        <f>'4.6_транзит_КТЭЦ'!E38</f>
        <v>0</v>
      </c>
      <c r="F38" s="979">
        <v>2008.79008</v>
      </c>
      <c r="G38" s="979">
        <v>0</v>
      </c>
      <c r="H38" s="979">
        <v>1926.7248000000002</v>
      </c>
      <c r="I38" s="979">
        <v>0</v>
      </c>
      <c r="J38" s="979">
        <v>0</v>
      </c>
      <c r="K38" s="979">
        <v>0</v>
      </c>
      <c r="L38" s="979">
        <v>0</v>
      </c>
      <c r="M38" s="979">
        <v>0</v>
      </c>
      <c r="N38" s="1611">
        <v>0</v>
      </c>
      <c r="O38" s="979">
        <v>0</v>
      </c>
      <c r="P38" s="979">
        <v>0</v>
      </c>
    </row>
    <row r="39" spans="1:16" s="4" customFormat="1" hidden="1" outlineLevel="1">
      <c r="A39" s="739" t="s">
        <v>1545</v>
      </c>
      <c r="B39" s="740" t="s">
        <v>1255</v>
      </c>
      <c r="C39" s="979">
        <f>'4.6_транзит_КТЭЦ'!C39</f>
        <v>0</v>
      </c>
      <c r="D39" s="979">
        <f>'4.6_транзит_КТЭЦ с косв.'!D39+'4.6_сбыт_КТЭЦ с косв.'!D39</f>
        <v>192.5136</v>
      </c>
      <c r="E39" s="979">
        <f>'4.6_транзит_КТЭЦ'!E39</f>
        <v>0</v>
      </c>
      <c r="F39" s="979">
        <v>295.64854000000003</v>
      </c>
      <c r="G39" s="979">
        <v>0</v>
      </c>
      <c r="H39" s="979">
        <v>408.40800000000002</v>
      </c>
      <c r="I39" s="979">
        <v>0</v>
      </c>
      <c r="J39" s="979">
        <v>0</v>
      </c>
      <c r="K39" s="979">
        <v>0</v>
      </c>
      <c r="L39" s="979">
        <v>0</v>
      </c>
      <c r="M39" s="979">
        <v>0</v>
      </c>
      <c r="N39" s="1611">
        <v>0</v>
      </c>
      <c r="O39" s="979">
        <v>0</v>
      </c>
      <c r="P39" s="979">
        <v>0</v>
      </c>
    </row>
    <row r="40" spans="1:16" s="4" customFormat="1" ht="25.5" hidden="1" outlineLevel="1">
      <c r="A40" s="739" t="s">
        <v>1546</v>
      </c>
      <c r="B40" s="742" t="s">
        <v>1256</v>
      </c>
      <c r="C40" s="979">
        <f>'4.6_транзит_КТЭЦ'!C40</f>
        <v>0</v>
      </c>
      <c r="D40" s="979">
        <f>'4.6_транзит_КТЭЦ с косв.'!D40+'4.6_сбыт_КТЭЦ с косв.'!D40</f>
        <v>549.51199999999994</v>
      </c>
      <c r="E40" s="979">
        <f>'4.6_транзит_КТЭЦ'!E40</f>
        <v>0</v>
      </c>
      <c r="F40" s="979">
        <v>1135.614392</v>
      </c>
      <c r="G40" s="979">
        <v>0</v>
      </c>
      <c r="H40" s="979">
        <v>365.16480000000001</v>
      </c>
      <c r="I40" s="979">
        <v>0</v>
      </c>
      <c r="J40" s="979">
        <v>0</v>
      </c>
      <c r="K40" s="979">
        <v>0</v>
      </c>
      <c r="L40" s="979">
        <v>0</v>
      </c>
      <c r="M40" s="979">
        <v>0</v>
      </c>
      <c r="N40" s="1611">
        <v>0</v>
      </c>
      <c r="O40" s="979">
        <v>0</v>
      </c>
      <c r="P40" s="979">
        <v>0</v>
      </c>
    </row>
    <row r="41" spans="1:16" s="4" customFormat="1" hidden="1" outlineLevel="1">
      <c r="A41" s="739" t="s">
        <v>1547</v>
      </c>
      <c r="B41" s="742" t="s">
        <v>1257</v>
      </c>
      <c r="C41" s="979">
        <f>'4.6_транзит_КТЭЦ'!C41</f>
        <v>0</v>
      </c>
      <c r="D41" s="979">
        <f>'4.6_транзит_КТЭЦ с косв.'!D41+'4.6_сбыт_КТЭЦ с косв.'!D41</f>
        <v>27390.828799999999</v>
      </c>
      <c r="E41" s="979">
        <f>'4.6_транзит_КТЭЦ'!E41</f>
        <v>0</v>
      </c>
      <c r="F41" s="979">
        <v>31373.575068000006</v>
      </c>
      <c r="G41" s="979">
        <v>0</v>
      </c>
      <c r="H41" s="979">
        <v>37743.3056</v>
      </c>
      <c r="I41" s="979">
        <v>0</v>
      </c>
      <c r="J41" s="979">
        <v>0</v>
      </c>
      <c r="K41" s="979">
        <v>0</v>
      </c>
      <c r="L41" s="979">
        <v>0</v>
      </c>
      <c r="M41" s="979">
        <v>0</v>
      </c>
      <c r="N41" s="1611">
        <v>0</v>
      </c>
      <c r="O41" s="979">
        <v>0</v>
      </c>
      <c r="P41" s="979">
        <v>0</v>
      </c>
    </row>
    <row r="42" spans="1:16" s="4" customFormat="1" hidden="1" outlineLevel="1">
      <c r="A42" s="741" t="s">
        <v>1548</v>
      </c>
      <c r="B42" s="742" t="s">
        <v>1556</v>
      </c>
      <c r="C42" s="979">
        <f>'4.6_транзит_КТЭЦ'!C42</f>
        <v>0</v>
      </c>
      <c r="D42" s="979">
        <f>'4.6_транзит_КТЭЦ с косв.'!D42+'4.6_сбыт_КТЭЦ с косв.'!D42</f>
        <v>248.57119999999998</v>
      </c>
      <c r="E42" s="979">
        <f>'4.6_транзит_КТЭЦ'!E42</f>
        <v>0</v>
      </c>
      <c r="F42" s="979">
        <v>857.78576399999997</v>
      </c>
      <c r="G42" s="979">
        <v>0</v>
      </c>
      <c r="H42" s="979">
        <v>426.82640000000004</v>
      </c>
      <c r="I42" s="979">
        <v>2128</v>
      </c>
      <c r="J42" s="979">
        <v>2128</v>
      </c>
      <c r="K42" s="979">
        <v>0</v>
      </c>
      <c r="L42" s="979">
        <v>0</v>
      </c>
      <c r="M42" s="979">
        <v>0</v>
      </c>
      <c r="N42" s="1611">
        <v>0</v>
      </c>
      <c r="O42" s="979">
        <v>0</v>
      </c>
      <c r="P42" s="979">
        <v>0</v>
      </c>
    </row>
    <row r="43" spans="1:16" s="4" customFormat="1" hidden="1" outlineLevel="1">
      <c r="A43" s="741" t="s">
        <v>1549</v>
      </c>
      <c r="B43" s="742" t="s">
        <v>1258</v>
      </c>
      <c r="C43" s="979">
        <f>'4.6_транзит_КТЭЦ'!C43</f>
        <v>0</v>
      </c>
      <c r="D43" s="979">
        <f>'4.6_транзит_КТЭЦ с косв.'!D43+'4.6_сбыт_КТЭЦ с косв.'!D43</f>
        <v>1240.6432</v>
      </c>
      <c r="E43" s="979">
        <f>'4.6_транзит_КТЭЦ'!E43</f>
        <v>0</v>
      </c>
      <c r="F43" s="979">
        <v>1266.8337440000003</v>
      </c>
      <c r="G43" s="979">
        <v>0</v>
      </c>
      <c r="H43" s="979">
        <v>1607.2056000000002</v>
      </c>
      <c r="I43" s="979">
        <v>1841</v>
      </c>
      <c r="J43" s="979">
        <v>1841</v>
      </c>
      <c r="K43" s="979">
        <v>0</v>
      </c>
      <c r="L43" s="979">
        <v>0</v>
      </c>
      <c r="M43" s="979">
        <v>0</v>
      </c>
      <c r="N43" s="1611">
        <v>0</v>
      </c>
      <c r="O43" s="979">
        <v>0</v>
      </c>
      <c r="P43" s="979">
        <v>0</v>
      </c>
    </row>
    <row r="44" spans="1:16" s="4" customFormat="1" hidden="1" outlineLevel="1">
      <c r="A44" s="764" t="s">
        <v>1555</v>
      </c>
      <c r="B44" s="742" t="s">
        <v>1890</v>
      </c>
      <c r="C44" s="979">
        <f>'4.6_транзит_КТЭЦ'!C44</f>
        <v>0</v>
      </c>
      <c r="D44" s="979">
        <f>'4.6_транзит_КТЭЦ с косв.'!D44+'4.6_сбыт_КТЭЦ с косв.'!D44</f>
        <v>1241</v>
      </c>
      <c r="E44" s="979">
        <f>'4.6_транзит_КТЭЦ'!E44</f>
        <v>0</v>
      </c>
      <c r="F44" s="979">
        <v>0</v>
      </c>
      <c r="G44" s="979">
        <v>0</v>
      </c>
      <c r="H44" s="979">
        <v>0</v>
      </c>
      <c r="I44" s="979">
        <v>0</v>
      </c>
      <c r="J44" s="979">
        <v>0</v>
      </c>
      <c r="K44" s="979">
        <v>0</v>
      </c>
      <c r="L44" s="980">
        <v>0</v>
      </c>
      <c r="M44" s="980">
        <v>0</v>
      </c>
      <c r="N44" s="1612">
        <v>0</v>
      </c>
      <c r="O44" s="980">
        <v>0</v>
      </c>
      <c r="P44" s="980">
        <v>0</v>
      </c>
    </row>
    <row r="45" spans="1:16" s="341" customFormat="1" hidden="1" outlineLevel="1">
      <c r="A45" s="764" t="s">
        <v>1889</v>
      </c>
      <c r="B45" s="765" t="s">
        <v>1259</v>
      </c>
      <c r="C45" s="746">
        <f>SUM(C46:C55)</f>
        <v>0</v>
      </c>
      <c r="D45" s="746">
        <f t="shared" ref="D45:E45" si="4">SUM(D46:D55)</f>
        <v>2316.2272000000003</v>
      </c>
      <c r="E45" s="746">
        <f t="shared" si="4"/>
        <v>0</v>
      </c>
      <c r="F45" s="746">
        <v>4740.0965919999999</v>
      </c>
      <c r="G45" s="746">
        <v>0</v>
      </c>
      <c r="H45" s="746">
        <v>5710.8112000000001</v>
      </c>
      <c r="I45" s="746">
        <v>0</v>
      </c>
      <c r="J45" s="746">
        <v>0</v>
      </c>
      <c r="K45" s="746">
        <v>0</v>
      </c>
      <c r="L45" s="746">
        <v>0</v>
      </c>
      <c r="M45" s="746">
        <v>0</v>
      </c>
      <c r="N45" s="1607">
        <v>0</v>
      </c>
      <c r="O45" s="746">
        <v>0</v>
      </c>
      <c r="P45" s="746">
        <v>0</v>
      </c>
    </row>
    <row r="46" spans="1:16" s="4" customFormat="1" hidden="1" outlineLevel="1">
      <c r="A46" s="744"/>
      <c r="B46" s="745" t="s">
        <v>1260</v>
      </c>
      <c r="C46" s="980">
        <f>'4.6_транзит_КТЭЦ'!C46</f>
        <v>0</v>
      </c>
      <c r="D46" s="980">
        <f>'4.6_транзит_КТЭЦ с косв.'!D46+'4.6_сбыт_КТЭЦ с косв.'!D46</f>
        <v>348.1472</v>
      </c>
      <c r="E46" s="980">
        <f>'4.6_транзит_КТЭЦ'!E46</f>
        <v>0</v>
      </c>
      <c r="F46" s="980">
        <v>433.34786000000008</v>
      </c>
      <c r="G46" s="980">
        <v>0</v>
      </c>
      <c r="H46" s="980">
        <v>293.09280000000001</v>
      </c>
      <c r="I46" s="980">
        <v>0</v>
      </c>
      <c r="J46" s="980">
        <v>0</v>
      </c>
      <c r="K46" s="980">
        <v>0</v>
      </c>
      <c r="L46" s="980">
        <v>0</v>
      </c>
      <c r="M46" s="980">
        <v>0</v>
      </c>
      <c r="N46" s="1612">
        <v>0</v>
      </c>
      <c r="O46" s="980">
        <v>0</v>
      </c>
      <c r="P46" s="980">
        <v>0</v>
      </c>
    </row>
    <row r="47" spans="1:16" s="4" customFormat="1" hidden="1" outlineLevel="1">
      <c r="A47" s="744"/>
      <c r="B47" s="743" t="s">
        <v>1261</v>
      </c>
      <c r="C47" s="980">
        <f>'4.6_транзит_КТЭЦ'!C47</f>
        <v>0</v>
      </c>
      <c r="D47" s="980">
        <f>'4.6_транзит_КТЭЦ с косв.'!D47+'4.6_сбыт_КТЭЦ с косв.'!D47</f>
        <v>467.63839999999993</v>
      </c>
      <c r="E47" s="980">
        <f>'4.6_транзит_КТЭЦ'!E47</f>
        <v>0</v>
      </c>
      <c r="F47" s="980">
        <v>733.85637600000007</v>
      </c>
      <c r="G47" s="980">
        <v>0</v>
      </c>
      <c r="H47" s="980">
        <v>615.01440000000002</v>
      </c>
      <c r="I47" s="980">
        <v>0</v>
      </c>
      <c r="J47" s="980">
        <v>0</v>
      </c>
      <c r="K47" s="980">
        <v>0</v>
      </c>
      <c r="L47" s="980">
        <v>0</v>
      </c>
      <c r="M47" s="980">
        <v>0</v>
      </c>
      <c r="N47" s="1612">
        <v>0</v>
      </c>
      <c r="O47" s="980">
        <v>0</v>
      </c>
      <c r="P47" s="980">
        <v>0</v>
      </c>
    </row>
    <row r="48" spans="1:16" s="4" customFormat="1" hidden="1" outlineLevel="1">
      <c r="A48" s="744"/>
      <c r="B48" s="743" t="s">
        <v>1262</v>
      </c>
      <c r="C48" s="980">
        <f>'4.6_транзит_КТЭЦ'!C48</f>
        <v>0</v>
      </c>
      <c r="D48" s="980">
        <f>'4.6_транзит_КТЭЦ с косв.'!D48+'4.6_сбыт_КТЭЦ с косв.'!D48</f>
        <v>596.71839999999997</v>
      </c>
      <c r="E48" s="980">
        <f>'4.6_транзит_КТЭЦ'!E48</f>
        <v>0</v>
      </c>
      <c r="F48" s="980">
        <v>892.61559200000011</v>
      </c>
      <c r="G48" s="980">
        <v>0</v>
      </c>
      <c r="H48" s="980">
        <v>821.62080000000003</v>
      </c>
      <c r="I48" s="980">
        <v>0</v>
      </c>
      <c r="J48" s="980">
        <v>0</v>
      </c>
      <c r="K48" s="980">
        <v>0</v>
      </c>
      <c r="L48" s="980">
        <v>0</v>
      </c>
      <c r="M48" s="980">
        <v>0</v>
      </c>
      <c r="N48" s="1612">
        <v>0</v>
      </c>
      <c r="O48" s="980">
        <v>0</v>
      </c>
      <c r="P48" s="980">
        <v>0</v>
      </c>
    </row>
    <row r="49" spans="1:16" s="4" customFormat="1" hidden="1" outlineLevel="1">
      <c r="A49" s="744"/>
      <c r="B49" s="743" t="s">
        <v>1263</v>
      </c>
      <c r="C49" s="980">
        <f>'4.6_транзит_КТЭЦ'!C49</f>
        <v>0</v>
      </c>
      <c r="D49" s="980">
        <f>'4.6_транзит_КТЭЦ с косв.'!D49+'4.6_сбыт_КТЭЦ с косв.'!D49</f>
        <v>189.56319999999999</v>
      </c>
      <c r="E49" s="980">
        <f>'4.6_транзит_КТЭЦ'!E49</f>
        <v>0</v>
      </c>
      <c r="F49" s="980">
        <v>745.19632000000001</v>
      </c>
      <c r="G49" s="980">
        <v>0</v>
      </c>
      <c r="H49" s="980">
        <v>214.61440000000002</v>
      </c>
      <c r="I49" s="980">
        <v>0</v>
      </c>
      <c r="J49" s="980">
        <v>0</v>
      </c>
      <c r="K49" s="980">
        <v>0</v>
      </c>
      <c r="L49" s="980">
        <v>0</v>
      </c>
      <c r="M49" s="980">
        <v>0</v>
      </c>
      <c r="N49" s="1612">
        <v>0</v>
      </c>
      <c r="O49" s="980">
        <v>0</v>
      </c>
      <c r="P49" s="980">
        <v>0</v>
      </c>
    </row>
    <row r="50" spans="1:16" s="4" customFormat="1" ht="25.5" hidden="1" outlineLevel="1">
      <c r="A50" s="744"/>
      <c r="B50" s="743" t="s">
        <v>1891</v>
      </c>
      <c r="C50" s="980">
        <f>'4.6_транзит_КТЭЦ'!C50</f>
        <v>0</v>
      </c>
      <c r="D50" s="980">
        <f>'4.6_транзит_КТЭЦ с косв.'!D50+'4.6_сбыт_КТЭЦ с косв.'!D50</f>
        <v>714.16000000000008</v>
      </c>
      <c r="E50" s="980">
        <f>'4.6_транзит_КТЭЦ'!E50</f>
        <v>0</v>
      </c>
      <c r="F50" s="980">
        <v>1935.0804440000002</v>
      </c>
      <c r="G50" s="980">
        <v>0</v>
      </c>
      <c r="H50" s="980">
        <v>1837.0352000000003</v>
      </c>
      <c r="I50" s="980">
        <v>0</v>
      </c>
      <c r="J50" s="980">
        <v>0</v>
      </c>
      <c r="K50" s="980">
        <v>0</v>
      </c>
      <c r="L50" s="980">
        <v>0</v>
      </c>
      <c r="M50" s="980">
        <v>0</v>
      </c>
      <c r="N50" s="1612">
        <v>0</v>
      </c>
      <c r="O50" s="980">
        <v>0</v>
      </c>
      <c r="P50" s="980">
        <v>0</v>
      </c>
    </row>
    <row r="51" spans="1:16" s="4" customFormat="1" ht="25.5" hidden="1" outlineLevel="1">
      <c r="A51" s="744"/>
      <c r="B51" s="743" t="s">
        <v>1264</v>
      </c>
      <c r="C51" s="980">
        <f>'4.6_транзит_КТЭЦ'!C51</f>
        <v>0</v>
      </c>
      <c r="D51" s="980">
        <f>'4.6_транзит_КТЭЦ с косв.'!D51+'4.6_сбыт_КТЭЦ с косв.'!D51</f>
        <v>0</v>
      </c>
      <c r="E51" s="980">
        <f>'4.6_транзит_КТЭЦ'!E51</f>
        <v>0</v>
      </c>
      <c r="F51" s="980">
        <v>0</v>
      </c>
      <c r="G51" s="980">
        <v>0</v>
      </c>
      <c r="H51" s="980">
        <v>0</v>
      </c>
      <c r="I51" s="980">
        <v>0</v>
      </c>
      <c r="J51" s="980">
        <v>0</v>
      </c>
      <c r="K51" s="980">
        <v>0</v>
      </c>
      <c r="L51" s="980">
        <v>0</v>
      </c>
      <c r="M51" s="980">
        <v>0</v>
      </c>
      <c r="N51" s="1612">
        <v>0</v>
      </c>
      <c r="O51" s="980">
        <v>0</v>
      </c>
      <c r="P51" s="980">
        <v>0</v>
      </c>
    </row>
    <row r="52" spans="1:16" s="4" customFormat="1" hidden="1" outlineLevel="1">
      <c r="A52" s="744"/>
      <c r="B52" s="1391" t="s">
        <v>1883</v>
      </c>
      <c r="C52" s="980">
        <f>'4.6_транзит_КТЭЦ'!C52</f>
        <v>0</v>
      </c>
      <c r="D52" s="980">
        <f>'4.6_транзит_КТЭЦ с косв.'!D52+'4.6_сбыт_КТЭЦ с косв.'!D52</f>
        <v>0</v>
      </c>
      <c r="E52" s="980">
        <f>'4.6_транзит_КТЭЦ'!E52</f>
        <v>0</v>
      </c>
      <c r="F52" s="980">
        <v>0</v>
      </c>
      <c r="G52" s="980">
        <v>0</v>
      </c>
      <c r="H52" s="980">
        <v>94</v>
      </c>
      <c r="I52" s="980">
        <v>0</v>
      </c>
      <c r="J52" s="980">
        <v>0</v>
      </c>
      <c r="K52" s="980">
        <v>0</v>
      </c>
      <c r="L52" s="980">
        <v>0</v>
      </c>
      <c r="M52" s="980">
        <v>0</v>
      </c>
      <c r="N52" s="1612">
        <v>0</v>
      </c>
      <c r="O52" s="980">
        <v>0</v>
      </c>
      <c r="P52" s="980">
        <v>0</v>
      </c>
    </row>
    <row r="53" spans="1:16" s="4" customFormat="1" hidden="1" outlineLevel="1">
      <c r="A53" s="744"/>
      <c r="B53" s="743" t="s">
        <v>1884</v>
      </c>
      <c r="C53" s="743"/>
      <c r="D53" s="743"/>
      <c r="E53" s="743"/>
      <c r="F53" s="743"/>
      <c r="G53" s="743"/>
      <c r="H53" s="980">
        <v>1835.4336000000001</v>
      </c>
      <c r="I53" s="980">
        <v>0</v>
      </c>
      <c r="J53" s="980">
        <v>0</v>
      </c>
      <c r="K53" s="980">
        <v>0</v>
      </c>
      <c r="L53" s="980">
        <v>0</v>
      </c>
      <c r="M53" s="980">
        <v>0</v>
      </c>
      <c r="N53" s="980">
        <v>0</v>
      </c>
      <c r="O53" s="980">
        <v>0</v>
      </c>
      <c r="P53" s="980">
        <v>0</v>
      </c>
    </row>
    <row r="54" spans="1:16" s="4" customFormat="1" ht="25.5" hidden="1" outlineLevel="1">
      <c r="A54" s="17"/>
      <c r="B54" s="743" t="s">
        <v>1885</v>
      </c>
      <c r="C54" s="241"/>
      <c r="D54" s="241"/>
      <c r="E54" s="241"/>
      <c r="F54" s="241"/>
      <c r="G54" s="241"/>
      <c r="H54" s="980">
        <v>0</v>
      </c>
      <c r="I54" s="980">
        <v>0</v>
      </c>
      <c r="J54" s="980">
        <v>0</v>
      </c>
      <c r="K54" s="980">
        <v>0</v>
      </c>
      <c r="L54" s="980">
        <v>0</v>
      </c>
      <c r="M54" s="980">
        <v>0</v>
      </c>
      <c r="N54" s="980">
        <v>0</v>
      </c>
      <c r="O54" s="980">
        <v>0</v>
      </c>
      <c r="P54" s="980">
        <v>0</v>
      </c>
    </row>
    <row r="55" spans="1:16" s="341" customFormat="1" ht="25.5" hidden="1" outlineLevel="1">
      <c r="A55" s="339"/>
      <c r="B55" s="743" t="s">
        <v>1886</v>
      </c>
      <c r="C55" s="980">
        <f>'4.6_транзит_КТЭЦ'!C55</f>
        <v>0</v>
      </c>
      <c r="D55" s="980">
        <f>'4.6_транзит_КТЭЦ с косв.'!D55+'4.6_сбыт_КТЭЦ с косв.'!D55</f>
        <v>0</v>
      </c>
      <c r="E55" s="980">
        <f>'4.6_транзит_КТЭЦ'!E55</f>
        <v>0</v>
      </c>
      <c r="F55" s="980">
        <v>0</v>
      </c>
      <c r="G55" s="980">
        <v>0</v>
      </c>
      <c r="H55" s="980">
        <v>0</v>
      </c>
      <c r="I55" s="980">
        <v>0</v>
      </c>
      <c r="J55" s="980">
        <v>0</v>
      </c>
      <c r="K55" s="980">
        <v>0</v>
      </c>
      <c r="L55" s="308">
        <v>0</v>
      </c>
      <c r="M55" s="308">
        <v>0</v>
      </c>
      <c r="N55" s="982">
        <v>0</v>
      </c>
      <c r="O55" s="308">
        <v>0</v>
      </c>
      <c r="P55" s="308">
        <v>0</v>
      </c>
    </row>
    <row r="56" spans="1:16" s="1046" customFormat="1" ht="90" collapsed="1">
      <c r="A56" s="1044"/>
      <c r="B56" s="1045" t="s">
        <v>374</v>
      </c>
      <c r="C56" s="258">
        <f>'4.6_транзит+сбыт_КТЭЦ'!C56</f>
        <v>3</v>
      </c>
      <c r="D56" s="258">
        <f>'4.6_транзит_КТЭЦ с косв.'!D56+'4.6_сбыт_КТЭЦ с косв.'!D56</f>
        <v>228</v>
      </c>
      <c r="E56" s="258">
        <f>'4.6_транзит+сбыт_КТЭЦ'!E56</f>
        <v>0</v>
      </c>
      <c r="F56" s="258">
        <v>0</v>
      </c>
      <c r="G56" s="258">
        <v>0</v>
      </c>
      <c r="H56" s="258">
        <v>0</v>
      </c>
      <c r="I56" s="258">
        <v>0</v>
      </c>
      <c r="J56" s="258">
        <v>0</v>
      </c>
      <c r="K56" s="258">
        <v>0</v>
      </c>
      <c r="L56" s="258">
        <v>0</v>
      </c>
      <c r="M56" s="258">
        <v>0</v>
      </c>
      <c r="N56" s="982">
        <v>0</v>
      </c>
      <c r="O56" s="258">
        <v>0</v>
      </c>
      <c r="P56" s="258">
        <v>0</v>
      </c>
    </row>
    <row r="57" spans="1:16" s="1046" customFormat="1" ht="30">
      <c r="A57" s="1044"/>
      <c r="B57" s="1045" t="s">
        <v>375</v>
      </c>
      <c r="C57" s="258">
        <f>'4.6_транзит+сбыт_КТЭЦ'!C57</f>
        <v>115180</v>
      </c>
      <c r="D57" s="258">
        <f>'4.6_транзит_КТЭЦ с косв.'!D57+'4.6_сбыт_КТЭЦ с косв.'!D57</f>
        <v>106314</v>
      </c>
      <c r="E57" s="258">
        <f>'4.6_транзит+сбыт_КТЭЦ'!E57</f>
        <v>0</v>
      </c>
      <c r="F57" s="258">
        <v>120494</v>
      </c>
      <c r="G57" s="258">
        <v>0</v>
      </c>
      <c r="H57" s="258">
        <v>105680</v>
      </c>
      <c r="I57" s="258">
        <v>0</v>
      </c>
      <c r="J57" s="258">
        <v>109737</v>
      </c>
      <c r="K57" s="258">
        <v>120688</v>
      </c>
      <c r="L57" s="258">
        <v>60344</v>
      </c>
      <c r="M57" s="258">
        <v>60344</v>
      </c>
      <c r="N57" s="982">
        <v>127809</v>
      </c>
      <c r="O57" s="258">
        <v>63904.5</v>
      </c>
      <c r="P57" s="258">
        <v>63904.5</v>
      </c>
    </row>
    <row r="58" spans="1:16" s="1046" customFormat="1" ht="15" customHeight="1">
      <c r="A58" s="1044"/>
      <c r="B58" s="1045" t="s">
        <v>376</v>
      </c>
      <c r="C58" s="258">
        <f>'4.6_транзит+сбыт_КТЭЦ'!C58</f>
        <v>1517</v>
      </c>
      <c r="D58" s="258">
        <f>'4.6_транзит_КТЭЦ с косв.'!D58+'4.6_сбыт_КТЭЦ с косв.'!D58</f>
        <v>2428</v>
      </c>
      <c r="E58" s="258">
        <f>'4.6_транзит+сбыт_КТЭЦ'!E58</f>
        <v>0</v>
      </c>
      <c r="F58" s="258">
        <v>3251</v>
      </c>
      <c r="G58" s="258">
        <v>0</v>
      </c>
      <c r="H58" s="258">
        <v>2550</v>
      </c>
      <c r="I58" s="258">
        <v>2405</v>
      </c>
      <c r="J58" s="258">
        <v>2405</v>
      </c>
      <c r="K58" s="258">
        <v>2542.8546000000001</v>
      </c>
      <c r="L58" s="258">
        <v>1271.4273000000001</v>
      </c>
      <c r="M58" s="258">
        <v>1271.4273000000001</v>
      </c>
      <c r="N58" s="982">
        <v>2665.9541911859997</v>
      </c>
      <c r="O58" s="258">
        <v>1332.9770955929998</v>
      </c>
      <c r="P58" s="258">
        <v>1332.9770955929998</v>
      </c>
    </row>
    <row r="59" spans="1:16" s="1046" customFormat="1" ht="15" customHeight="1">
      <c r="A59" s="1044"/>
      <c r="B59" s="1045" t="s">
        <v>377</v>
      </c>
      <c r="C59" s="258">
        <f>'4.6_транзит+сбыт_КТЭЦ'!C59</f>
        <v>908</v>
      </c>
      <c r="D59" s="258">
        <f>'4.6_транзит_КТЭЦ с косв.'!D59+'4.6_сбыт_КТЭЦ с косв.'!D59</f>
        <v>928</v>
      </c>
      <c r="E59" s="258">
        <f>'4.6_транзит+сбыт_КТЭЦ'!E59</f>
        <v>0</v>
      </c>
      <c r="F59" s="258">
        <v>847</v>
      </c>
      <c r="G59" s="258">
        <v>0</v>
      </c>
      <c r="H59" s="258">
        <v>1019</v>
      </c>
      <c r="I59" s="258">
        <v>873</v>
      </c>
      <c r="J59" s="258">
        <v>873</v>
      </c>
      <c r="K59" s="258">
        <v>923.04035999999996</v>
      </c>
      <c r="L59" s="258">
        <v>461.52017999999998</v>
      </c>
      <c r="M59" s="258">
        <v>461.52017999999998</v>
      </c>
      <c r="N59" s="982">
        <v>967.72474382759981</v>
      </c>
      <c r="O59" s="258">
        <v>483.8623719137999</v>
      </c>
      <c r="P59" s="258">
        <v>483.8623719137999</v>
      </c>
    </row>
    <row r="60" spans="1:16" s="1046" customFormat="1" ht="45" customHeight="1">
      <c r="A60" s="1044"/>
      <c r="B60" s="1045" t="s">
        <v>378</v>
      </c>
      <c r="C60" s="258">
        <f>'4.6_транзит+сбыт_КТЭЦ'!C60</f>
        <v>943</v>
      </c>
      <c r="D60" s="258">
        <f>'4.6_транзит_КТЭЦ с косв.'!D60+'4.6_сбыт_КТЭЦ с косв.'!D60</f>
        <v>1947</v>
      </c>
      <c r="E60" s="258">
        <f>'4.6_транзит+сбыт_КТЭЦ'!E60</f>
        <v>0</v>
      </c>
      <c r="F60" s="258">
        <v>1974</v>
      </c>
      <c r="G60" s="258">
        <v>0</v>
      </c>
      <c r="H60" s="258">
        <v>1568</v>
      </c>
      <c r="I60" s="258">
        <v>0</v>
      </c>
      <c r="J60" s="258">
        <v>4679.4000000000005</v>
      </c>
      <c r="K60" s="258">
        <v>6435.2</v>
      </c>
      <c r="L60" s="258">
        <v>3217.6</v>
      </c>
      <c r="M60" s="258">
        <v>3217.6</v>
      </c>
      <c r="N60" s="982">
        <v>6815.3</v>
      </c>
      <c r="O60" s="258">
        <v>3407.65</v>
      </c>
      <c r="P60" s="258">
        <v>3407.65</v>
      </c>
    </row>
    <row r="61" spans="1:16" s="1046" customFormat="1" ht="30" customHeight="1">
      <c r="A61" s="1044"/>
      <c r="B61" s="1045" t="s">
        <v>379</v>
      </c>
      <c r="C61" s="258">
        <f>SUM(C62:C66)</f>
        <v>2987</v>
      </c>
      <c r="D61" s="258">
        <f t="shared" ref="D61" si="5">SUM(D62:D66)</f>
        <v>5196</v>
      </c>
      <c r="E61" s="258">
        <f>SUM(E62:E66)</f>
        <v>0</v>
      </c>
      <c r="F61" s="258">
        <v>9520</v>
      </c>
      <c r="G61" s="258">
        <v>0</v>
      </c>
      <c r="H61" s="258">
        <v>7055</v>
      </c>
      <c r="I61" s="258">
        <v>0</v>
      </c>
      <c r="J61" s="258">
        <v>9813</v>
      </c>
      <c r="K61" s="258">
        <v>10392</v>
      </c>
      <c r="L61" s="258">
        <v>6870.5</v>
      </c>
      <c r="M61" s="258">
        <v>3521.5</v>
      </c>
      <c r="N61" s="982">
        <v>13161</v>
      </c>
      <c r="O61" s="258">
        <v>7604</v>
      </c>
      <c r="P61" s="258">
        <v>5557</v>
      </c>
    </row>
    <row r="62" spans="1:16" s="4" customFormat="1" ht="15" customHeight="1">
      <c r="A62" s="17"/>
      <c r="B62" s="51" t="s">
        <v>380</v>
      </c>
      <c r="C62" s="241">
        <f>'4.6_транзит+сбыт_КТЭЦ'!C62</f>
        <v>1708</v>
      </c>
      <c r="D62" s="241">
        <f>'4.6_транзит_КТЭЦ с косв.'!D62+'4.6_сбыт_КТЭЦ с косв.'!D62</f>
        <v>1883</v>
      </c>
      <c r="E62" s="241">
        <f>'4.6_транзит+сбыт_КТЭЦ'!E62</f>
        <v>0</v>
      </c>
      <c r="F62" s="241">
        <v>6036</v>
      </c>
      <c r="G62" s="241">
        <v>0</v>
      </c>
      <c r="H62" s="241">
        <v>5643</v>
      </c>
      <c r="I62" s="241">
        <v>0</v>
      </c>
      <c r="J62" s="241">
        <v>7787</v>
      </c>
      <c r="K62" s="241">
        <v>8243</v>
      </c>
      <c r="L62" s="241">
        <v>5766</v>
      </c>
      <c r="M62" s="241">
        <v>2477</v>
      </c>
      <c r="N62" s="982">
        <v>10899</v>
      </c>
      <c r="O62" s="241">
        <v>6443</v>
      </c>
      <c r="P62" s="241">
        <v>4456</v>
      </c>
    </row>
    <row r="63" spans="1:16" s="4" customFormat="1" ht="15" customHeight="1">
      <c r="A63" s="17"/>
      <c r="B63" s="51" t="s">
        <v>381</v>
      </c>
      <c r="C63" s="241">
        <f>'4.6_транзит+сбыт_КТЭЦ'!C63</f>
        <v>1239</v>
      </c>
      <c r="D63" s="241">
        <f>'4.6_транзит_КТЭЦ с косв.'!D63+'4.6_сбыт_КТЭЦ с косв.'!D63</f>
        <v>3249</v>
      </c>
      <c r="E63" s="241">
        <f>'4.6_транзит+сбыт_КТЭЦ'!E63</f>
        <v>0</v>
      </c>
      <c r="F63" s="241">
        <v>3392</v>
      </c>
      <c r="G63" s="241">
        <v>0</v>
      </c>
      <c r="H63" s="241">
        <v>1283</v>
      </c>
      <c r="I63" s="241">
        <v>0</v>
      </c>
      <c r="J63" s="241">
        <v>1865</v>
      </c>
      <c r="K63" s="241">
        <v>1988</v>
      </c>
      <c r="L63" s="241">
        <v>1017.5</v>
      </c>
      <c r="M63" s="241">
        <v>970.5</v>
      </c>
      <c r="N63" s="982">
        <v>2101</v>
      </c>
      <c r="O63" s="241">
        <v>1074</v>
      </c>
      <c r="P63" s="241">
        <v>1027</v>
      </c>
    </row>
    <row r="64" spans="1:16" s="4" customFormat="1" ht="15" customHeight="1">
      <c r="A64" s="17"/>
      <c r="B64" s="51" t="s">
        <v>382</v>
      </c>
      <c r="C64" s="241">
        <f>'4.6_транзит+сбыт_КТЭЦ'!C64</f>
        <v>40</v>
      </c>
      <c r="D64" s="241">
        <f>'4.6_транзит_КТЭЦ с косв.'!D64+'4.6_сбыт_КТЭЦ с косв.'!D64</f>
        <v>64</v>
      </c>
      <c r="E64" s="241">
        <f>'4.6_транзит+сбыт_КТЭЦ'!E64</f>
        <v>0</v>
      </c>
      <c r="F64" s="241">
        <v>92</v>
      </c>
      <c r="G64" s="241">
        <v>0</v>
      </c>
      <c r="H64" s="241">
        <v>129</v>
      </c>
      <c r="I64" s="241">
        <v>0</v>
      </c>
      <c r="J64" s="241">
        <v>161</v>
      </c>
      <c r="K64" s="241">
        <v>161</v>
      </c>
      <c r="L64" s="241">
        <v>87</v>
      </c>
      <c r="M64" s="241">
        <v>74</v>
      </c>
      <c r="N64" s="982">
        <v>161</v>
      </c>
      <c r="O64" s="241">
        <v>87</v>
      </c>
      <c r="P64" s="241">
        <v>74</v>
      </c>
    </row>
    <row r="65" spans="1:16" s="4" customFormat="1" ht="15" customHeight="1">
      <c r="A65" s="17"/>
      <c r="B65" s="51" t="s">
        <v>383</v>
      </c>
      <c r="C65" s="241">
        <f>'4.6_транзит+сбыт_КТЭЦ'!C65</f>
        <v>0</v>
      </c>
      <c r="D65" s="241">
        <f>'4.6_транзит_КТЭЦ с косв.'!D65+'4.6_сбыт_КТЭЦ с косв.'!D65</f>
        <v>0</v>
      </c>
      <c r="E65" s="241">
        <f>'4.6_транзит+сбыт_КТЭЦ'!E65</f>
        <v>0</v>
      </c>
      <c r="F65" s="241">
        <v>0</v>
      </c>
      <c r="G65" s="241">
        <v>0</v>
      </c>
      <c r="H65" s="241">
        <v>0</v>
      </c>
      <c r="I65" s="241">
        <v>0</v>
      </c>
      <c r="J65" s="241">
        <v>0</v>
      </c>
      <c r="K65" s="241">
        <v>0</v>
      </c>
      <c r="L65" s="241">
        <v>0</v>
      </c>
      <c r="M65" s="241">
        <v>0</v>
      </c>
      <c r="N65" s="982">
        <v>0</v>
      </c>
      <c r="O65" s="241">
        <v>0</v>
      </c>
      <c r="P65" s="241">
        <v>0</v>
      </c>
    </row>
    <row r="66" spans="1:16" s="4" customFormat="1" ht="15" customHeight="1">
      <c r="A66" s="17"/>
      <c r="B66" s="51" t="s">
        <v>384</v>
      </c>
      <c r="C66" s="241">
        <f>'4.6_транзит+сбыт_КТЭЦ'!C66</f>
        <v>0</v>
      </c>
      <c r="D66" s="241">
        <f>'4.6_транзит_КТЭЦ с косв.'!D66+'4.6_сбыт_КТЭЦ с косв.'!D66</f>
        <v>0</v>
      </c>
      <c r="E66" s="241">
        <f>'4.6_транзит+сбыт_КТЭЦ'!E66</f>
        <v>0</v>
      </c>
      <c r="F66" s="241">
        <v>0</v>
      </c>
      <c r="G66" s="241">
        <v>0</v>
      </c>
      <c r="H66" s="241">
        <v>0</v>
      </c>
      <c r="I66" s="241">
        <v>0</v>
      </c>
      <c r="J66" s="241">
        <v>0</v>
      </c>
      <c r="K66" s="241">
        <v>0</v>
      </c>
      <c r="L66" s="241">
        <v>0</v>
      </c>
      <c r="M66" s="241">
        <v>0</v>
      </c>
      <c r="N66" s="982">
        <v>0</v>
      </c>
      <c r="O66" s="241">
        <v>0</v>
      </c>
      <c r="P66" s="241">
        <v>0</v>
      </c>
    </row>
    <row r="67" spans="1:16" s="1034" customFormat="1" ht="15" customHeight="1">
      <c r="A67" s="1030" t="s">
        <v>385</v>
      </c>
      <c r="B67" s="1031" t="s">
        <v>386</v>
      </c>
      <c r="C67" s="1032">
        <f>SUM(C68:C71)</f>
        <v>162142</v>
      </c>
      <c r="D67" s="1032">
        <f t="shared" ref="D67" si="6">SUM(D68:D71)</f>
        <v>713213</v>
      </c>
      <c r="E67" s="1032">
        <f>SUM(E68:E71)</f>
        <v>0</v>
      </c>
      <c r="F67" s="1032">
        <v>998464.2</v>
      </c>
      <c r="G67" s="1032">
        <v>91218</v>
      </c>
      <c r="H67" s="1032">
        <v>1066179.6440000001</v>
      </c>
      <c r="I67" s="1032">
        <v>53427.396944683991</v>
      </c>
      <c r="J67" s="1032">
        <v>53427.396944683991</v>
      </c>
      <c r="K67" s="1032">
        <v>52225.005360000003</v>
      </c>
      <c r="L67" s="1032">
        <v>848.00268000000005</v>
      </c>
      <c r="M67" s="1032">
        <v>51377.002679999998</v>
      </c>
      <c r="N67" s="1383">
        <v>1790.4935608776</v>
      </c>
      <c r="O67" s="1032">
        <v>895.24678043879999</v>
      </c>
      <c r="P67" s="1032">
        <v>895.24678043879999</v>
      </c>
    </row>
    <row r="68" spans="1:16" s="1046" customFormat="1" ht="45">
      <c r="A68" s="1044"/>
      <c r="B68" s="1045" t="s">
        <v>387</v>
      </c>
      <c r="C68" s="258">
        <f>'4.6_транзит+сбыт_КТЭЦ'!C68</f>
        <v>0</v>
      </c>
      <c r="D68" s="258">
        <f>'4.6_транзит_КТЭЦ с косв.'!D68+'4.6_сбыт_КТЭЦ с косв.'!D68</f>
        <v>0</v>
      </c>
      <c r="E68" s="258">
        <f>'4.6_транзит+сбыт_КТЭЦ'!E68</f>
        <v>0</v>
      </c>
      <c r="F68" s="258">
        <v>0</v>
      </c>
      <c r="G68" s="258">
        <v>0</v>
      </c>
      <c r="H68" s="258">
        <v>0</v>
      </c>
      <c r="I68" s="258">
        <v>0</v>
      </c>
      <c r="J68" s="258">
        <v>0</v>
      </c>
      <c r="K68" s="258">
        <v>0</v>
      </c>
      <c r="L68" s="258">
        <v>0</v>
      </c>
      <c r="M68" s="258">
        <v>0</v>
      </c>
      <c r="N68" s="982">
        <v>0</v>
      </c>
      <c r="O68" s="258">
        <v>0</v>
      </c>
      <c r="P68" s="258">
        <v>0</v>
      </c>
    </row>
    <row r="69" spans="1:16" s="1046" customFormat="1" ht="15" customHeight="1">
      <c r="A69" s="1044"/>
      <c r="B69" s="1045" t="s">
        <v>388</v>
      </c>
      <c r="C69" s="258">
        <f>'4.6_транзит+сбыт_КТЭЦ'!C69</f>
        <v>162010</v>
      </c>
      <c r="D69" s="258">
        <f>'4.6_транзит_КТЭЦ с косв.'!D69+'4.6_сбыт_КТЭЦ с косв.'!D69</f>
        <v>701769</v>
      </c>
      <c r="E69" s="258">
        <f>'4.6_транзит+сбыт_КТЭЦ'!E69</f>
        <v>0</v>
      </c>
      <c r="F69" s="258">
        <v>984562</v>
      </c>
      <c r="G69" s="258">
        <v>91218</v>
      </c>
      <c r="H69" s="258">
        <v>1045989.444</v>
      </c>
      <c r="I69" s="258">
        <v>51834.396944683991</v>
      </c>
      <c r="J69" s="258">
        <v>51834.396944683991</v>
      </c>
      <c r="K69" s="258">
        <v>50529</v>
      </c>
      <c r="L69" s="258">
        <v>0</v>
      </c>
      <c r="M69" s="258">
        <v>50529</v>
      </c>
      <c r="N69" s="982">
        <v>0</v>
      </c>
      <c r="O69" s="258">
        <v>0</v>
      </c>
      <c r="P69" s="258">
        <v>0</v>
      </c>
    </row>
    <row r="70" spans="1:16" s="1046" customFormat="1" ht="45" customHeight="1">
      <c r="A70" s="1044"/>
      <c r="B70" s="1045" t="s">
        <v>389</v>
      </c>
      <c r="C70" s="258">
        <f>'4.6_транзит+сбыт_КТЭЦ'!C70</f>
        <v>0</v>
      </c>
      <c r="D70" s="258">
        <f>'4.6_транзит_КТЭЦ с косв.'!D70+'4.6_сбыт_КТЭЦ с косв.'!D70</f>
        <v>0</v>
      </c>
      <c r="E70" s="258">
        <f>'4.6_транзит+сбыт_КТЭЦ'!E70</f>
        <v>0</v>
      </c>
      <c r="F70" s="258">
        <v>0</v>
      </c>
      <c r="G70" s="258">
        <v>0</v>
      </c>
      <c r="H70" s="258">
        <v>0</v>
      </c>
      <c r="I70" s="258">
        <v>0</v>
      </c>
      <c r="J70" s="258">
        <v>0</v>
      </c>
      <c r="K70" s="258">
        <v>0</v>
      </c>
      <c r="L70" s="258">
        <v>0</v>
      </c>
      <c r="M70" s="258">
        <v>0</v>
      </c>
      <c r="N70" s="982">
        <v>0</v>
      </c>
      <c r="O70" s="258">
        <v>0</v>
      </c>
      <c r="P70" s="258">
        <v>0</v>
      </c>
    </row>
    <row r="71" spans="1:16" s="1046" customFormat="1" ht="15" customHeight="1">
      <c r="A71" s="1044"/>
      <c r="B71" s="1045" t="s">
        <v>390</v>
      </c>
      <c r="C71" s="258">
        <f>SUM(C72:C77)</f>
        <v>132</v>
      </c>
      <c r="D71" s="258">
        <f t="shared" ref="D71" si="7">SUM(D72:D77)</f>
        <v>11444</v>
      </c>
      <c r="E71" s="258">
        <f>SUM(E72:E77)</f>
        <v>0</v>
      </c>
      <c r="F71" s="258">
        <v>13902.2</v>
      </c>
      <c r="G71" s="258">
        <v>0</v>
      </c>
      <c r="H71" s="258">
        <v>20190.2</v>
      </c>
      <c r="I71" s="258">
        <v>1593</v>
      </c>
      <c r="J71" s="258">
        <v>1593</v>
      </c>
      <c r="K71" s="258">
        <v>1696.0053600000001</v>
      </c>
      <c r="L71" s="258">
        <v>848.00268000000005</v>
      </c>
      <c r="M71" s="258">
        <v>848.00268000000005</v>
      </c>
      <c r="N71" s="982">
        <v>1790.4935608776</v>
      </c>
      <c r="O71" s="258">
        <v>895.24678043879999</v>
      </c>
      <c r="P71" s="258">
        <v>895.24678043879999</v>
      </c>
    </row>
    <row r="72" spans="1:16" s="4" customFormat="1" ht="15" customHeight="1">
      <c r="A72" s="17"/>
      <c r="B72" s="51" t="s">
        <v>961</v>
      </c>
      <c r="C72" s="241">
        <f>'4.6_транзит+сбыт_КТЭЦ'!C72</f>
        <v>0</v>
      </c>
      <c r="D72" s="241">
        <f>'4.6_транзит_КТЭЦ с косв.'!D72+'4.6_сбыт_КТЭЦ с косв.'!D72</f>
        <v>1106</v>
      </c>
      <c r="E72" s="241">
        <f>'4.6_транзит+сбыт_КТЭЦ'!E72</f>
        <v>0</v>
      </c>
      <c r="F72" s="241">
        <v>414</v>
      </c>
      <c r="G72" s="241">
        <v>0</v>
      </c>
      <c r="H72" s="241">
        <v>474</v>
      </c>
      <c r="I72" s="241">
        <v>498</v>
      </c>
      <c r="J72" s="241">
        <v>498</v>
      </c>
      <c r="K72" s="241">
        <v>526.54536000000007</v>
      </c>
      <c r="L72" s="241">
        <v>263.27268000000004</v>
      </c>
      <c r="M72" s="241">
        <v>263.27268000000004</v>
      </c>
      <c r="N72" s="982">
        <v>552.03542087760002</v>
      </c>
      <c r="O72" s="241">
        <v>276.01771043880001</v>
      </c>
      <c r="P72" s="241">
        <v>276.01771043880001</v>
      </c>
    </row>
    <row r="73" spans="1:16" s="4" customFormat="1" ht="15" customHeight="1">
      <c r="A73" s="17"/>
      <c r="B73" s="51" t="s">
        <v>962</v>
      </c>
      <c r="C73" s="241">
        <f>'4.6_транзит+сбыт_КТЭЦ'!C73</f>
        <v>0</v>
      </c>
      <c r="D73" s="241">
        <f>'4.6_транзит_КТЭЦ с косв.'!D73+'4.6_сбыт_КТЭЦ с косв.'!D73</f>
        <v>0</v>
      </c>
      <c r="E73" s="241">
        <f>'4.6_транзит+сбыт_КТЭЦ'!E73</f>
        <v>0</v>
      </c>
      <c r="F73" s="241">
        <v>0</v>
      </c>
      <c r="G73" s="241">
        <v>0</v>
      </c>
      <c r="H73" s="241">
        <v>0</v>
      </c>
      <c r="I73" s="241">
        <v>0</v>
      </c>
      <c r="J73" s="241">
        <v>0</v>
      </c>
      <c r="K73" s="241">
        <v>0</v>
      </c>
      <c r="L73" s="241">
        <v>0</v>
      </c>
      <c r="M73" s="241">
        <v>0</v>
      </c>
      <c r="N73" s="982">
        <v>0</v>
      </c>
      <c r="O73" s="241">
        <v>0</v>
      </c>
      <c r="P73" s="241">
        <v>0</v>
      </c>
    </row>
    <row r="74" spans="1:16" s="4" customFormat="1" ht="15" customHeight="1">
      <c r="A74" s="17"/>
      <c r="B74" s="51" t="s">
        <v>963</v>
      </c>
      <c r="C74" s="241">
        <f>'4.6_транзит+сбыт_КТЭЦ'!C74</f>
        <v>132</v>
      </c>
      <c r="D74" s="241">
        <f>'4.6_транзит_КТЭЦ с косв.'!D74+'4.6_сбыт_КТЭЦ с косв.'!D74</f>
        <v>10338</v>
      </c>
      <c r="E74" s="241">
        <f>'4.6_транзит+сбыт_КТЭЦ'!E74</f>
        <v>0</v>
      </c>
      <c r="F74" s="241">
        <v>13488.2</v>
      </c>
      <c r="G74" s="241">
        <v>0</v>
      </c>
      <c r="H74" s="241">
        <v>19716.2</v>
      </c>
      <c r="I74" s="241">
        <v>1095</v>
      </c>
      <c r="J74" s="241">
        <v>1095</v>
      </c>
      <c r="K74" s="241">
        <v>1169.46</v>
      </c>
      <c r="L74" s="241">
        <v>584.73</v>
      </c>
      <c r="M74" s="241">
        <v>584.73</v>
      </c>
      <c r="N74" s="982">
        <v>1238.45814</v>
      </c>
      <c r="O74" s="241">
        <v>619.22906999999998</v>
      </c>
      <c r="P74" s="241">
        <v>619.22906999999998</v>
      </c>
    </row>
    <row r="75" spans="1:16" s="4" customFormat="1" ht="15" hidden="1" customHeight="1">
      <c r="A75" s="17"/>
      <c r="B75" s="51"/>
      <c r="C75" s="241">
        <f>'4.6_транзит+сбыт_КТЭЦ'!C75</f>
        <v>0</v>
      </c>
      <c r="D75" s="241">
        <f>'4.6_транзит_КТЭЦ с косв.'!D75+'4.6_сбыт_КТЭЦ с косв.'!D75</f>
        <v>0</v>
      </c>
      <c r="E75" s="241">
        <f>'4.6_транзит+сбыт_КТЭЦ'!E75</f>
        <v>0</v>
      </c>
      <c r="F75" s="241">
        <v>0</v>
      </c>
      <c r="G75" s="241">
        <v>0</v>
      </c>
      <c r="H75" s="241">
        <v>0</v>
      </c>
      <c r="I75" s="241">
        <v>0</v>
      </c>
      <c r="J75" s="241">
        <v>0</v>
      </c>
      <c r="K75" s="241">
        <v>0</v>
      </c>
      <c r="L75" s="241">
        <v>0</v>
      </c>
      <c r="M75" s="241">
        <v>0</v>
      </c>
      <c r="N75" s="982">
        <v>0</v>
      </c>
      <c r="O75" s="241">
        <v>0</v>
      </c>
      <c r="P75" s="241">
        <v>0</v>
      </c>
    </row>
    <row r="76" spans="1:16" s="4" customFormat="1" ht="15" hidden="1" customHeight="1">
      <c r="A76" s="17"/>
      <c r="B76" s="51"/>
      <c r="C76" s="241"/>
      <c r="D76" s="241"/>
      <c r="E76" s="241"/>
      <c r="F76" s="241"/>
      <c r="G76" s="241"/>
      <c r="H76" s="241"/>
      <c r="I76" s="241"/>
      <c r="J76" s="241"/>
      <c r="K76" s="241"/>
      <c r="L76" s="241"/>
      <c r="M76" s="241"/>
      <c r="N76" s="982"/>
      <c r="O76" s="241"/>
      <c r="P76" s="241"/>
    </row>
    <row r="77" spans="1:16" s="4" customFormat="1" ht="15" hidden="1" customHeight="1">
      <c r="A77" s="17"/>
      <c r="B77" s="51"/>
      <c r="C77" s="241"/>
      <c r="D77" s="241"/>
      <c r="E77" s="241"/>
      <c r="F77" s="241"/>
      <c r="G77" s="241"/>
      <c r="H77" s="241"/>
      <c r="I77" s="241"/>
      <c r="J77" s="241"/>
      <c r="K77" s="241"/>
      <c r="L77" s="241"/>
      <c r="M77" s="241"/>
      <c r="N77" s="982"/>
      <c r="O77" s="241"/>
      <c r="P77" s="241"/>
    </row>
    <row r="78" spans="1:16" s="1034" customFormat="1" ht="30.75" customHeight="1">
      <c r="A78" s="1030" t="s">
        <v>391</v>
      </c>
      <c r="B78" s="1031" t="s">
        <v>392</v>
      </c>
      <c r="C78" s="1032">
        <f>SUM(C79:C82)</f>
        <v>16058</v>
      </c>
      <c r="D78" s="1032">
        <f t="shared" ref="D78" si="8">SUM(D79:D82)</f>
        <v>36095</v>
      </c>
      <c r="E78" s="1032">
        <f>SUM(E79:E82)</f>
        <v>0</v>
      </c>
      <c r="F78" s="1032">
        <v>230195</v>
      </c>
      <c r="G78" s="1032">
        <v>0</v>
      </c>
      <c r="H78" s="1032">
        <v>54485.299999999996</v>
      </c>
      <c r="I78" s="1032">
        <v>13833</v>
      </c>
      <c r="J78" s="1032">
        <v>110966.944</v>
      </c>
      <c r="K78" s="1032">
        <v>326640.84400000004</v>
      </c>
      <c r="L78" s="1032">
        <v>4447.5420000000022</v>
      </c>
      <c r="M78" s="1032">
        <v>322193.30200000003</v>
      </c>
      <c r="N78" s="1383">
        <v>277874.69795599999</v>
      </c>
      <c r="O78" s="1032">
        <v>5303.8489780000036</v>
      </c>
      <c r="P78" s="1032">
        <v>272570.84897799999</v>
      </c>
    </row>
    <row r="79" spans="1:16" s="1046" customFormat="1" ht="30">
      <c r="A79" s="1044"/>
      <c r="B79" s="1045" t="s">
        <v>393</v>
      </c>
      <c r="C79" s="258">
        <f>'4.6_транзит+сбыт_КТЭЦ'!C79</f>
        <v>8904</v>
      </c>
      <c r="D79" s="258">
        <f>'4.6_транзит_КТЭЦ с косв.'!D79+'4.6_сбыт_КТЭЦ с косв.'!D79</f>
        <v>0</v>
      </c>
      <c r="E79" s="258">
        <f>'4.6_транзит+сбыт_КТЭЦ'!E79</f>
        <v>0</v>
      </c>
      <c r="F79" s="258">
        <v>0</v>
      </c>
      <c r="G79" s="258">
        <v>0</v>
      </c>
      <c r="H79" s="258">
        <v>0</v>
      </c>
      <c r="I79" s="258">
        <v>0</v>
      </c>
      <c r="J79" s="258">
        <v>0</v>
      </c>
      <c r="K79" s="258">
        <v>0</v>
      </c>
      <c r="L79" s="258">
        <v>0</v>
      </c>
      <c r="M79" s="258">
        <v>0</v>
      </c>
      <c r="N79" s="982">
        <v>0</v>
      </c>
      <c r="O79" s="258">
        <v>0</v>
      </c>
      <c r="P79" s="258">
        <v>0</v>
      </c>
    </row>
    <row r="80" spans="1:16" s="1046" customFormat="1" ht="30" customHeight="1">
      <c r="A80" s="1044"/>
      <c r="B80" s="1045" t="s">
        <v>394</v>
      </c>
      <c r="C80" s="258">
        <f>'4.6_транзит+сбыт_КТЭЦ'!C80</f>
        <v>5340</v>
      </c>
      <c r="D80" s="258">
        <f>'4.6_транзит_КТЭЦ с косв.'!D80+'4.6_сбыт_КТЭЦ с косв.'!D80</f>
        <v>6337</v>
      </c>
      <c r="E80" s="258">
        <f>'4.6_транзит+сбыт_КТЭЦ'!E80</f>
        <v>0</v>
      </c>
      <c r="F80" s="258">
        <v>6987</v>
      </c>
      <c r="G80" s="258">
        <v>0</v>
      </c>
      <c r="H80" s="258">
        <v>7278</v>
      </c>
      <c r="I80" s="258">
        <v>7161</v>
      </c>
      <c r="J80" s="258">
        <v>7161</v>
      </c>
      <c r="K80" s="258">
        <v>7647.9480000000003</v>
      </c>
      <c r="L80" s="258">
        <v>3823.9740000000002</v>
      </c>
      <c r="M80" s="258">
        <v>3823.9740000000002</v>
      </c>
      <c r="N80" s="982">
        <v>8099.1769320000003</v>
      </c>
      <c r="O80" s="258">
        <v>4049.5884660000002</v>
      </c>
      <c r="P80" s="258">
        <v>4049.5884660000002</v>
      </c>
    </row>
    <row r="81" spans="1:16" s="1046" customFormat="1" ht="15" customHeight="1">
      <c r="A81" s="1044"/>
      <c r="B81" s="1045" t="s">
        <v>1568</v>
      </c>
      <c r="C81" s="258">
        <f>'4.6_транзит+сбыт_КТЭЦ'!C81</f>
        <v>0</v>
      </c>
      <c r="D81" s="258">
        <f>'4.6_транзит_КТЭЦ с косв.'!D81+'4.6_сбыт_КТЭЦ с косв.'!D81</f>
        <v>28997</v>
      </c>
      <c r="E81" s="258">
        <f>'4.6_транзит+сбыт_КТЭЦ'!E81</f>
        <v>0</v>
      </c>
      <c r="F81" s="258">
        <v>221704</v>
      </c>
      <c r="G81" s="258">
        <v>0</v>
      </c>
      <c r="H81" s="258">
        <v>45526.299999999996</v>
      </c>
      <c r="I81" s="258">
        <v>0</v>
      </c>
      <c r="J81" s="258">
        <v>326.94400000000002</v>
      </c>
      <c r="K81" s="258">
        <v>202017.76</v>
      </c>
      <c r="L81" s="258">
        <v>0</v>
      </c>
      <c r="M81" s="258">
        <v>202017.76</v>
      </c>
      <c r="N81" s="982">
        <v>145699</v>
      </c>
      <c r="O81" s="258">
        <v>0</v>
      </c>
      <c r="P81" s="258">
        <v>145699</v>
      </c>
    </row>
    <row r="82" spans="1:16" s="1046" customFormat="1" ht="28.5" customHeight="1">
      <c r="A82" s="1044"/>
      <c r="B82" s="1045" t="s">
        <v>1957</v>
      </c>
      <c r="C82" s="258">
        <f>'4.6_транзит+сбыт_КТЭЦ'!C82</f>
        <v>1814</v>
      </c>
      <c r="D82" s="258">
        <f>'4.6_транзит_КТЭЦ с косв.'!D82+'4.6_сбыт_КТЭЦ с косв.'!D82</f>
        <v>761</v>
      </c>
      <c r="E82" s="258">
        <f>'4.6_транзит+сбыт_КТЭЦ'!E82</f>
        <v>0</v>
      </c>
      <c r="F82" s="258">
        <v>1504</v>
      </c>
      <c r="G82" s="258">
        <v>0</v>
      </c>
      <c r="H82" s="258">
        <v>1681</v>
      </c>
      <c r="I82" s="258">
        <v>6672</v>
      </c>
      <c r="J82" s="258">
        <v>103479</v>
      </c>
      <c r="K82" s="258">
        <v>116975.136</v>
      </c>
      <c r="L82" s="258">
        <v>623.56800000000226</v>
      </c>
      <c r="M82" s="258">
        <v>116351.568</v>
      </c>
      <c r="N82" s="982">
        <v>124076.521024</v>
      </c>
      <c r="O82" s="258">
        <v>1254.2605120000035</v>
      </c>
      <c r="P82" s="258">
        <v>122822.26051199999</v>
      </c>
    </row>
    <row r="83" spans="1:16" s="1034" customFormat="1" ht="15" customHeight="1">
      <c r="A83" s="1030" t="s">
        <v>395</v>
      </c>
      <c r="B83" s="1031" t="s">
        <v>396</v>
      </c>
      <c r="C83" s="1032">
        <f>(C68+C69+C70+C78)/0.8*0.2</f>
        <v>44517</v>
      </c>
      <c r="D83" s="1032">
        <f t="shared" ref="D83" si="9">(D68+D69+D70+D78)/0.8*0.2</f>
        <v>184466</v>
      </c>
      <c r="E83" s="1032">
        <f>E78/0.8*0.2</f>
        <v>0</v>
      </c>
      <c r="F83" s="1032">
        <v>57548.75</v>
      </c>
      <c r="G83" s="1032">
        <v>0</v>
      </c>
      <c r="H83" s="1032">
        <v>275118.68599999999</v>
      </c>
      <c r="I83" s="1032">
        <v>16416.849236170998</v>
      </c>
      <c r="J83" s="1032">
        <v>40700.335236170999</v>
      </c>
      <c r="K83" s="1032">
        <v>94292.46100000001</v>
      </c>
      <c r="L83" s="1032">
        <v>1111.8855000000005</v>
      </c>
      <c r="M83" s="1032">
        <v>93180.575500000006</v>
      </c>
      <c r="N83" s="1032">
        <v>69468.674488999997</v>
      </c>
      <c r="O83" s="1032">
        <v>1325.9622445000009</v>
      </c>
      <c r="P83" s="1032">
        <v>68142.712244499999</v>
      </c>
    </row>
    <row r="84" spans="1:16" s="1034" customFormat="1" ht="15" customHeight="1">
      <c r="A84" s="1030" t="s">
        <v>397</v>
      </c>
      <c r="B84" s="1031" t="s">
        <v>398</v>
      </c>
      <c r="C84" s="1032">
        <f>C85-C88</f>
        <v>-170673</v>
      </c>
      <c r="D84" s="1032">
        <f t="shared" ref="D84" si="10">D85-D88</f>
        <v>0</v>
      </c>
      <c r="E84" s="1032">
        <f>E85-E88</f>
        <v>0</v>
      </c>
      <c r="F84" s="1032">
        <v>0</v>
      </c>
      <c r="G84" s="1032">
        <v>0</v>
      </c>
      <c r="H84" s="1032">
        <v>0</v>
      </c>
      <c r="I84" s="1032">
        <v>-59491</v>
      </c>
      <c r="J84" s="1032">
        <v>-59491</v>
      </c>
      <c r="K84" s="1032">
        <v>807618</v>
      </c>
      <c r="L84" s="1032">
        <v>0</v>
      </c>
      <c r="M84" s="1032">
        <v>807618</v>
      </c>
      <c r="N84" s="1383">
        <v>0</v>
      </c>
      <c r="O84" s="1032">
        <v>0</v>
      </c>
      <c r="P84" s="1032">
        <v>0</v>
      </c>
    </row>
    <row r="85" spans="1:16" s="585" customFormat="1" ht="15" customHeight="1">
      <c r="A85" s="583"/>
      <c r="B85" s="582" t="s">
        <v>1140</v>
      </c>
      <c r="C85" s="587">
        <f>C86+C87</f>
        <v>87338</v>
      </c>
      <c r="D85" s="587">
        <f t="shared" ref="D85" si="11">D86+D87</f>
        <v>0</v>
      </c>
      <c r="E85" s="587">
        <f>E86+E87</f>
        <v>0</v>
      </c>
      <c r="F85" s="587">
        <v>0</v>
      </c>
      <c r="G85" s="587">
        <v>0</v>
      </c>
      <c r="H85" s="587">
        <v>0</v>
      </c>
      <c r="I85" s="587">
        <v>166992</v>
      </c>
      <c r="J85" s="587">
        <v>166992</v>
      </c>
      <c r="K85" s="587">
        <v>847473</v>
      </c>
      <c r="L85" s="587">
        <v>0</v>
      </c>
      <c r="M85" s="587">
        <v>847473</v>
      </c>
      <c r="N85" s="982">
        <v>0</v>
      </c>
      <c r="O85" s="587">
        <v>0</v>
      </c>
      <c r="P85" s="587">
        <v>0</v>
      </c>
    </row>
    <row r="86" spans="1:16" s="341" customFormat="1" ht="15" customHeight="1">
      <c r="A86" s="339"/>
      <c r="B86" s="340" t="s">
        <v>959</v>
      </c>
      <c r="C86" s="241">
        <f>'4.6_транзит+сбыт_КТЭЦ'!C86</f>
        <v>87338</v>
      </c>
      <c r="D86" s="241">
        <f>'4.6_транзит_КТЭЦ с косв.'!D86+'4.6_сбыт_КТЭЦ с косв.'!D86</f>
        <v>0</v>
      </c>
      <c r="E86" s="241">
        <f>'4.6_транзит+сбыт_КТЭЦ'!E86</f>
        <v>0</v>
      </c>
      <c r="F86" s="241">
        <v>0</v>
      </c>
      <c r="G86" s="241">
        <v>0</v>
      </c>
      <c r="H86" s="241">
        <v>0</v>
      </c>
      <c r="I86" s="241">
        <v>0</v>
      </c>
      <c r="J86" s="241">
        <v>0</v>
      </c>
      <c r="K86" s="241">
        <v>466060</v>
      </c>
      <c r="L86" s="241">
        <v>0</v>
      </c>
      <c r="M86" s="241">
        <v>466060</v>
      </c>
      <c r="N86" s="982">
        <v>0</v>
      </c>
      <c r="O86" s="241">
        <v>0</v>
      </c>
      <c r="P86" s="241">
        <v>0</v>
      </c>
    </row>
    <row r="87" spans="1:16" s="341" customFormat="1" ht="15" customHeight="1">
      <c r="A87" s="339"/>
      <c r="B87" s="51" t="s">
        <v>960</v>
      </c>
      <c r="C87" s="241">
        <f>'4.6_транзит+сбыт_КТЭЦ'!C87</f>
        <v>0</v>
      </c>
      <c r="D87" s="241">
        <f>'4.6_транзит_КТЭЦ с косв.'!D87+'4.6_сбыт_КТЭЦ с косв.'!D87</f>
        <v>0</v>
      </c>
      <c r="E87" s="241">
        <f>'4.6_транзит+сбыт_КТЭЦ'!E87</f>
        <v>0</v>
      </c>
      <c r="F87" s="241">
        <v>0</v>
      </c>
      <c r="G87" s="241">
        <v>0</v>
      </c>
      <c r="H87" s="241">
        <v>0</v>
      </c>
      <c r="I87" s="241">
        <v>0</v>
      </c>
      <c r="J87" s="241">
        <v>0</v>
      </c>
      <c r="K87" s="241">
        <v>381413</v>
      </c>
      <c r="L87" s="241">
        <v>0</v>
      </c>
      <c r="M87" s="241">
        <v>381413</v>
      </c>
      <c r="N87" s="982">
        <v>0</v>
      </c>
      <c r="O87" s="241">
        <v>0</v>
      </c>
      <c r="P87" s="241">
        <v>0</v>
      </c>
    </row>
    <row r="88" spans="1:16" s="588" customFormat="1" ht="15" customHeight="1">
      <c r="A88" s="586"/>
      <c r="B88" s="582" t="s">
        <v>1141</v>
      </c>
      <c r="C88" s="587">
        <f>C89+C90</f>
        <v>258011</v>
      </c>
      <c r="D88" s="587">
        <f t="shared" ref="D88" si="12">D89+D90</f>
        <v>0</v>
      </c>
      <c r="E88" s="587">
        <f>E89+E90</f>
        <v>0</v>
      </c>
      <c r="F88" s="587">
        <v>0</v>
      </c>
      <c r="G88" s="587">
        <v>0</v>
      </c>
      <c r="H88" s="587">
        <v>0</v>
      </c>
      <c r="I88" s="587">
        <v>226483</v>
      </c>
      <c r="J88" s="587">
        <v>226483</v>
      </c>
      <c r="K88" s="587">
        <v>39855</v>
      </c>
      <c r="L88" s="587">
        <v>0</v>
      </c>
      <c r="M88" s="587">
        <v>39855</v>
      </c>
      <c r="N88" s="982">
        <v>0</v>
      </c>
      <c r="O88" s="587">
        <v>0</v>
      </c>
      <c r="P88" s="587">
        <v>0</v>
      </c>
    </row>
    <row r="89" spans="1:16" s="341" customFormat="1" ht="15" customHeight="1">
      <c r="A89" s="339"/>
      <c r="B89" s="340" t="s">
        <v>959</v>
      </c>
      <c r="C89" s="241">
        <f>'4.6_транзит+сбыт_КТЭЦ'!C89</f>
        <v>258011</v>
      </c>
      <c r="D89" s="241">
        <f>'4.6_транзит_КТЭЦ с косв.'!D89+'4.6_сбыт_КТЭЦ с косв.'!D89</f>
        <v>0</v>
      </c>
      <c r="E89" s="241">
        <f>'4.6_транзит+сбыт_КТЭЦ'!E89</f>
        <v>0</v>
      </c>
      <c r="F89" s="241">
        <v>0</v>
      </c>
      <c r="G89" s="241">
        <v>0</v>
      </c>
      <c r="H89" s="241">
        <v>0</v>
      </c>
      <c r="I89" s="241">
        <v>0</v>
      </c>
      <c r="J89" s="241">
        <v>0</v>
      </c>
      <c r="K89" s="241">
        <v>39855</v>
      </c>
      <c r="L89" s="241">
        <v>0</v>
      </c>
      <c r="M89" s="241">
        <v>39855</v>
      </c>
      <c r="N89" s="982">
        <v>0</v>
      </c>
      <c r="O89" s="241">
        <v>0</v>
      </c>
      <c r="P89" s="241">
        <v>0</v>
      </c>
    </row>
    <row r="90" spans="1:16" s="341" customFormat="1" ht="15" customHeight="1">
      <c r="A90" s="339"/>
      <c r="B90" s="51" t="s">
        <v>960</v>
      </c>
      <c r="C90" s="241">
        <f>'4.6_транзит+сбыт_КТЭЦ'!C90</f>
        <v>0</v>
      </c>
      <c r="D90" s="241">
        <f>'4.6_транзит_КТЭЦ с косв.'!D90+'4.6_сбыт_КТЭЦ с косв.'!D90</f>
        <v>0</v>
      </c>
      <c r="E90" s="241">
        <f>'4.6_транзит+сбыт_КТЭЦ'!E90</f>
        <v>0</v>
      </c>
      <c r="F90" s="241">
        <v>0</v>
      </c>
      <c r="G90" s="241">
        <v>0</v>
      </c>
      <c r="H90" s="241">
        <v>0</v>
      </c>
      <c r="I90" s="241">
        <v>0</v>
      </c>
      <c r="J90" s="241">
        <v>0</v>
      </c>
      <c r="K90" s="241">
        <v>0</v>
      </c>
      <c r="L90" s="241">
        <v>0</v>
      </c>
      <c r="M90" s="241">
        <v>0</v>
      </c>
      <c r="N90" s="982">
        <v>0</v>
      </c>
      <c r="O90" s="241">
        <v>0</v>
      </c>
      <c r="P90" s="241">
        <v>0</v>
      </c>
    </row>
    <row r="91" spans="1:16" s="1055" customFormat="1" ht="15" customHeight="1">
      <c r="A91" s="1052" t="s">
        <v>399</v>
      </c>
      <c r="B91" s="1053" t="s">
        <v>400</v>
      </c>
      <c r="C91" s="1054">
        <f>C7+C67+C78+C83+C84-1</f>
        <v>963732</v>
      </c>
      <c r="D91" s="1054">
        <f t="shared" ref="D91:E91" si="13">D7+D67+D78+D83+D84</f>
        <v>2017848.151719</v>
      </c>
      <c r="E91" s="1054">
        <f t="shared" si="13"/>
        <v>0</v>
      </c>
      <c r="F91" s="1054">
        <v>2489302.7882359996</v>
      </c>
      <c r="G91" s="1054">
        <v>216477.61406699999</v>
      </c>
      <c r="H91" s="1054">
        <v>2738941.6520135896</v>
      </c>
      <c r="I91" s="1054">
        <v>225508.24618085497</v>
      </c>
      <c r="J91" s="1054">
        <v>1634782.6855671147</v>
      </c>
      <c r="K91" s="1054">
        <v>2869170.7094411962</v>
      </c>
      <c r="L91" s="1054">
        <v>806824.87317628006</v>
      </c>
      <c r="M91" s="1054">
        <v>2062346.836264916</v>
      </c>
      <c r="N91" s="1610">
        <v>2032475.3304822538</v>
      </c>
      <c r="O91" s="1054">
        <v>859751.34527899371</v>
      </c>
      <c r="P91" s="1054">
        <v>1172724.9852032606</v>
      </c>
    </row>
    <row r="92" spans="1:16" s="4" customFormat="1" ht="15" customHeight="1">
      <c r="A92" s="17" t="s">
        <v>401</v>
      </c>
      <c r="B92" s="51" t="s">
        <v>1269</v>
      </c>
      <c r="C92" s="241"/>
      <c r="D92" s="241"/>
      <c r="E92" s="241"/>
      <c r="F92" s="241"/>
      <c r="G92" s="241"/>
      <c r="H92" s="241"/>
      <c r="I92" s="241"/>
      <c r="J92" s="241"/>
      <c r="K92" s="241"/>
      <c r="L92" s="241"/>
      <c r="M92" s="241"/>
      <c r="N92" s="982"/>
      <c r="O92" s="241"/>
      <c r="P92" s="241"/>
    </row>
    <row r="93" spans="1:16" s="4" customFormat="1" ht="15" customHeight="1">
      <c r="A93" s="17" t="s">
        <v>403</v>
      </c>
      <c r="B93" s="51" t="s">
        <v>1270</v>
      </c>
      <c r="C93" s="241">
        <f>C91-C94-C95</f>
        <v>963732</v>
      </c>
      <c r="D93" s="241">
        <f t="shared" ref="D93:E93" si="14">D91-D94-D95</f>
        <v>2017848.151719</v>
      </c>
      <c r="E93" s="241">
        <f t="shared" si="14"/>
        <v>0</v>
      </c>
      <c r="F93" s="241">
        <v>2489302.7882359996</v>
      </c>
      <c r="G93" s="241">
        <v>216477.61406699999</v>
      </c>
      <c r="H93" s="241">
        <v>2738941.6520135896</v>
      </c>
      <c r="I93" s="241">
        <v>225508.24618085497</v>
      </c>
      <c r="J93" s="241">
        <v>1634782.6855671147</v>
      </c>
      <c r="K93" s="241">
        <v>2869170.7094411962</v>
      </c>
      <c r="L93" s="241">
        <v>806824.87317628006</v>
      </c>
      <c r="M93" s="241">
        <v>2062346.836264916</v>
      </c>
      <c r="N93" s="982">
        <v>2032475.3304822538</v>
      </c>
      <c r="O93" s="241">
        <v>859751.34527899371</v>
      </c>
      <c r="P93" s="241">
        <v>1172724.9852032606</v>
      </c>
    </row>
    <row r="94" spans="1:16" s="4" customFormat="1" ht="15" customHeight="1">
      <c r="A94" s="17" t="s">
        <v>405</v>
      </c>
      <c r="B94" s="51" t="s">
        <v>1271</v>
      </c>
      <c r="C94" s="241"/>
      <c r="D94" s="241"/>
      <c r="E94" s="241"/>
      <c r="F94" s="241"/>
      <c r="G94" s="241"/>
      <c r="H94" s="241"/>
      <c r="I94" s="241"/>
      <c r="J94" s="241"/>
      <c r="K94" s="241"/>
      <c r="L94" s="241"/>
      <c r="M94" s="241"/>
      <c r="N94" s="982"/>
      <c r="O94" s="241"/>
      <c r="P94" s="241"/>
    </row>
    <row r="95" spans="1:16" s="4" customFormat="1" ht="15" customHeight="1">
      <c r="A95" s="17" t="s">
        <v>407</v>
      </c>
      <c r="B95" s="51" t="s">
        <v>408</v>
      </c>
      <c r="C95" s="241"/>
      <c r="D95" s="241"/>
      <c r="E95" s="241"/>
      <c r="F95" s="241"/>
      <c r="G95" s="241"/>
      <c r="H95" s="241"/>
      <c r="I95" s="241"/>
      <c r="J95" s="241"/>
      <c r="K95" s="241"/>
      <c r="L95" s="241"/>
      <c r="M95" s="241"/>
      <c r="N95" s="982"/>
      <c r="O95" s="241"/>
      <c r="P95" s="241"/>
    </row>
    <row r="96" spans="1:16" s="4" customFormat="1" ht="15" customHeight="1">
      <c r="A96" s="17"/>
      <c r="B96" s="51"/>
      <c r="C96" s="241"/>
      <c r="D96" s="241"/>
      <c r="E96" s="241"/>
      <c r="F96" s="241"/>
      <c r="G96" s="241"/>
      <c r="H96" s="241"/>
      <c r="I96" s="241"/>
      <c r="J96" s="241"/>
      <c r="K96" s="241"/>
      <c r="L96" s="241"/>
      <c r="M96" s="241"/>
      <c r="N96" s="982"/>
      <c r="O96" s="241"/>
      <c r="P96" s="241"/>
    </row>
    <row r="97" spans="1:16" s="4" customFormat="1" ht="28.5">
      <c r="A97" s="17"/>
      <c r="B97" s="755" t="s">
        <v>1268</v>
      </c>
      <c r="C97" s="286">
        <v>911.68700000000001</v>
      </c>
      <c r="D97" s="286">
        <f>'4.3_КТЭЦ'!I8</f>
        <v>907.11299999999994</v>
      </c>
      <c r="E97" s="286">
        <f>'4.3_КТЭЦ'!M8</f>
        <v>911.197</v>
      </c>
      <c r="F97" s="286">
        <v>858.0397999999999</v>
      </c>
      <c r="G97" s="286">
        <v>904.44797589999962</v>
      </c>
      <c r="H97" s="286">
        <v>836.25261320499999</v>
      </c>
      <c r="I97" s="286">
        <v>0</v>
      </c>
      <c r="J97" s="286">
        <v>860.72499999999991</v>
      </c>
      <c r="K97" s="286">
        <v>860.72499999999991</v>
      </c>
      <c r="L97" s="286">
        <v>523.05800000000011</v>
      </c>
      <c r="M97" s="286">
        <v>337.66699999999992</v>
      </c>
      <c r="N97" s="286">
        <v>860.72499999999991</v>
      </c>
      <c r="O97" s="286">
        <v>523.05800000000011</v>
      </c>
      <c r="P97" s="286">
        <v>337.66699999999992</v>
      </c>
    </row>
    <row r="98" spans="1:16" s="4" customFormat="1" ht="15" customHeight="1">
      <c r="A98" s="17"/>
      <c r="B98" s="51"/>
      <c r="C98" s="241"/>
      <c r="D98" s="241"/>
      <c r="E98" s="241"/>
      <c r="F98" s="241"/>
      <c r="G98" s="241"/>
      <c r="H98" s="241"/>
      <c r="I98" s="241"/>
      <c r="J98" s="241"/>
      <c r="K98" s="241"/>
      <c r="L98" s="241"/>
      <c r="M98" s="241"/>
      <c r="N98" s="982"/>
      <c r="O98" s="241"/>
      <c r="P98" s="241"/>
    </row>
    <row r="99" spans="1:16" s="4" customFormat="1" ht="15" customHeight="1">
      <c r="A99" s="17"/>
      <c r="B99" s="253" t="s">
        <v>1266</v>
      </c>
      <c r="C99" s="428">
        <f>C93/C97</f>
        <v>1057.0864781443631</v>
      </c>
      <c r="D99" s="428">
        <f t="shared" ref="D99:E99" si="15">D93/D97</f>
        <v>2224.4727522579878</v>
      </c>
      <c r="E99" s="428">
        <f t="shared" si="15"/>
        <v>0</v>
      </c>
      <c r="F99" s="428">
        <v>2901.1507254511971</v>
      </c>
      <c r="G99" s="428">
        <v>239.34777879466984</v>
      </c>
      <c r="H99" s="428">
        <v>3275.2563146157395</v>
      </c>
      <c r="I99" s="428" t="e">
        <v>#DIV/0!</v>
      </c>
      <c r="J99" s="428">
        <v>1899.308937892027</v>
      </c>
      <c r="K99" s="428">
        <v>3333.4348478796323</v>
      </c>
      <c r="L99" s="428">
        <v>1542.5151191192563</v>
      </c>
      <c r="M99" s="428">
        <v>6107.6351442839141</v>
      </c>
      <c r="N99" s="1128">
        <v>2361.352732269022</v>
      </c>
      <c r="O99" s="428">
        <v>1643.7017410669439</v>
      </c>
      <c r="P99" s="428">
        <v>3473.0221940647466</v>
      </c>
    </row>
    <row r="100" spans="1:16" s="4" customFormat="1" ht="15" customHeight="1">
      <c r="A100" s="17"/>
      <c r="B100" s="253" t="s">
        <v>1267</v>
      </c>
      <c r="C100" s="428" t="e">
        <f>C94/'4.2_КТЭЦ'!C25</f>
        <v>#DIV/0!</v>
      </c>
      <c r="D100" s="428">
        <f>D94/'4.2_КТЭЦ'!F25</f>
        <v>0</v>
      </c>
      <c r="E100" s="428">
        <f>'4.2_КТЭЦ'!I25</f>
        <v>0</v>
      </c>
      <c r="F100" s="428">
        <f>'4.2_КТЭЦ'!L25</f>
        <v>448.67099999999988</v>
      </c>
      <c r="G100" s="428"/>
      <c r="H100" s="428"/>
      <c r="I100" s="428"/>
      <c r="J100" s="428"/>
      <c r="K100" s="1128">
        <f>'4.2_КТЭЦ'!AA25</f>
        <v>19.040000000000006</v>
      </c>
      <c r="L100" s="428">
        <f>'4.2_КТЭЦ'!AD25</f>
        <v>11.439999999999998</v>
      </c>
      <c r="M100" s="428">
        <f>'4.2_КТЭЦ'!AG25</f>
        <v>7.6000000000000014</v>
      </c>
      <c r="N100" s="978"/>
      <c r="O100" s="978"/>
      <c r="P100" s="978"/>
    </row>
    <row r="101" spans="1:16" s="4" customFormat="1" ht="15" customHeight="1">
      <c r="A101" s="17"/>
      <c r="B101" s="1131" t="s">
        <v>1512</v>
      </c>
      <c r="C101" s="428"/>
      <c r="D101" s="428"/>
      <c r="E101" s="428"/>
      <c r="F101" s="428"/>
      <c r="G101" s="428"/>
      <c r="H101" s="428"/>
      <c r="I101" s="428"/>
      <c r="J101" s="428"/>
      <c r="K101" s="1128"/>
      <c r="L101" s="428"/>
      <c r="M101" s="428"/>
      <c r="N101" s="978"/>
      <c r="O101" s="978"/>
      <c r="P101" s="978"/>
    </row>
    <row r="102" spans="1:16" s="4" customFormat="1" ht="15" customHeight="1">
      <c r="A102" s="17"/>
      <c r="B102" s="1131" t="s">
        <v>1513</v>
      </c>
      <c r="C102" s="428"/>
      <c r="D102" s="428"/>
      <c r="E102" s="428"/>
      <c r="F102" s="428"/>
      <c r="G102" s="428"/>
      <c r="H102" s="428"/>
      <c r="I102" s="428"/>
      <c r="J102" s="428"/>
      <c r="K102" s="1128"/>
      <c r="L102" s="428"/>
      <c r="M102" s="428"/>
      <c r="N102" s="978"/>
      <c r="O102" s="978"/>
      <c r="P102" s="978"/>
    </row>
    <row r="103" spans="1:16" hidden="1">
      <c r="A103" s="253" t="s">
        <v>965</v>
      </c>
      <c r="B103" s="253"/>
      <c r="C103" s="308">
        <f>C67+C78+C83+C87-C90</f>
        <v>222717</v>
      </c>
      <c r="D103" s="308">
        <f t="shared" ref="D103:M103" si="16">D67+D78+D83+D87-D90</f>
        <v>933774</v>
      </c>
      <c r="E103" s="308">
        <f t="shared" si="16"/>
        <v>0</v>
      </c>
      <c r="F103" s="308">
        <f t="shared" si="16"/>
        <v>1286207.95</v>
      </c>
      <c r="G103" s="308"/>
      <c r="H103" s="308"/>
      <c r="I103" s="308"/>
      <c r="J103" s="308"/>
      <c r="K103" s="982">
        <f t="shared" si="16"/>
        <v>854571.31036</v>
      </c>
      <c r="L103" s="308">
        <f t="shared" si="16"/>
        <v>6407.430180000003</v>
      </c>
      <c r="M103" s="308">
        <f t="shared" si="16"/>
        <v>848163.88017999998</v>
      </c>
      <c r="N103" s="762"/>
      <c r="O103" s="762"/>
      <c r="P103" s="762"/>
    </row>
    <row r="104" spans="1:16">
      <c r="A104" s="1776"/>
      <c r="B104" s="1776"/>
      <c r="C104" s="762"/>
      <c r="D104" s="762"/>
      <c r="E104" s="762"/>
      <c r="F104" s="762"/>
      <c r="G104" s="762"/>
      <c r="H104" s="762">
        <f>'4.6_транзит_КТЭЦ с косв.'!H93+'4.6_сбыт_КТЭЦ с косв.'!H93</f>
        <v>2738941.6520135906</v>
      </c>
      <c r="I104" s="762"/>
      <c r="J104" s="762">
        <f>'4.6_транзит_КТЭЦ с косв.'!J93+'4.6_сбыт_КТЭЦ с косв.'!J93</f>
        <v>1634782.685567115</v>
      </c>
      <c r="K104" s="762">
        <f>'4.6_транзит_КТЭЦ с косв.'!K93+'4.6_сбыт_КТЭЦ с косв.'!K93</f>
        <v>2869170.7094411962</v>
      </c>
      <c r="L104" s="762"/>
      <c r="M104" s="762"/>
      <c r="N104" s="762">
        <f>'4.6_транзит_КТЭЦ с косв.'!N93+'4.6_сбыт_КТЭЦ с косв.'!N93</f>
        <v>2032475.3304822543</v>
      </c>
      <c r="O104" s="762"/>
      <c r="P104" s="762"/>
    </row>
    <row r="105" spans="1:16">
      <c r="A105" s="1776"/>
      <c r="B105" s="1776"/>
      <c r="C105" s="762"/>
      <c r="D105" s="762"/>
      <c r="E105" s="762"/>
      <c r="F105" s="762"/>
      <c r="G105" s="762"/>
      <c r="H105" s="762">
        <f>'4.6_транзит+сбыт_КТЭЦ'!H93+'4.6_косв.'!Q93+'4.6_косв.'!W93</f>
        <v>2738941.8169415896</v>
      </c>
      <c r="I105" s="762"/>
      <c r="J105" s="762">
        <f>'4.6_транзит+сбыт_КТЭЦ'!J93+'4.6_косв.'!R93+'4.6_косв.'!X93</f>
        <v>1634782.3719671147</v>
      </c>
      <c r="K105" s="762">
        <f>'4.6_транзит+сбыт_КТЭЦ'!K93+'4.6_косв.'!S93+'4.6_косв.'!Y93</f>
        <v>2869170.8851237562</v>
      </c>
      <c r="L105" s="762"/>
      <c r="M105" s="762"/>
      <c r="N105" s="762">
        <f>'4.6_транзит+сбыт_КТЭЦ'!L93+'4.6_косв.'!T93+'4.6_косв.'!Z93</f>
        <v>2032477.5606910142</v>
      </c>
      <c r="O105" s="762"/>
      <c r="P105" s="762"/>
    </row>
    <row r="106" spans="1:16" s="26" customFormat="1">
      <c r="A106" s="26" t="s">
        <v>88</v>
      </c>
      <c r="K106" s="883"/>
    </row>
    <row r="107" spans="1:16" s="945" customFormat="1" ht="58.5" customHeight="1">
      <c r="A107" s="945" t="s">
        <v>89</v>
      </c>
      <c r="B107" s="1842" t="s">
        <v>409</v>
      </c>
      <c r="C107" s="1842"/>
      <c r="D107" s="1842"/>
      <c r="E107" s="1842"/>
      <c r="F107" s="1842"/>
      <c r="G107" s="1842"/>
      <c r="H107" s="1842"/>
      <c r="I107" s="1842"/>
      <c r="J107" s="1842"/>
      <c r="K107" s="1842"/>
      <c r="L107" s="1842"/>
      <c r="M107" s="1842"/>
      <c r="N107" s="1629"/>
      <c r="O107" s="1629"/>
      <c r="P107" s="1629"/>
    </row>
    <row r="108" spans="1:16" s="945" customFormat="1" ht="58.5" customHeight="1">
      <c r="A108" s="945" t="s">
        <v>91</v>
      </c>
      <c r="B108" s="1842" t="s">
        <v>410</v>
      </c>
      <c r="C108" s="1842"/>
      <c r="D108" s="1842"/>
      <c r="E108" s="1842"/>
      <c r="F108" s="1842"/>
      <c r="G108" s="1842"/>
      <c r="H108" s="1842"/>
      <c r="I108" s="1842"/>
      <c r="J108" s="1842"/>
      <c r="K108" s="1842"/>
      <c r="L108" s="1842"/>
      <c r="M108" s="1842"/>
      <c r="N108" s="1629"/>
      <c r="O108" s="1629"/>
      <c r="P108" s="1629"/>
    </row>
    <row r="109" spans="1:16" s="945" customFormat="1" ht="58.5" customHeight="1">
      <c r="A109" s="945" t="s">
        <v>93</v>
      </c>
      <c r="B109" s="1842" t="s">
        <v>411</v>
      </c>
      <c r="C109" s="1842"/>
      <c r="D109" s="1842"/>
      <c r="E109" s="1842"/>
      <c r="F109" s="1842"/>
      <c r="G109" s="1842"/>
      <c r="H109" s="1842"/>
      <c r="I109" s="1842"/>
      <c r="J109" s="1842"/>
      <c r="K109" s="1842"/>
      <c r="L109" s="1842"/>
      <c r="M109" s="1842"/>
      <c r="N109" s="1629"/>
      <c r="O109" s="1629"/>
      <c r="P109" s="1629"/>
    </row>
    <row r="110" spans="1:16" ht="18.75" customHeight="1"/>
  </sheetData>
  <mergeCells count="4">
    <mergeCell ref="B107:M107"/>
    <mergeCell ref="B108:M108"/>
    <mergeCell ref="B109:M109"/>
    <mergeCell ref="A3:J3"/>
  </mergeCells>
  <pageMargins left="0.78740157480314965" right="0.31496062992125984" top="0.19685039370078741" bottom="0.39370078740157483" header="0.19685039370078741" footer="0.19685039370078741"/>
  <pageSetup paperSize="9" scale="50" orientation="portrait" r:id="rId1"/>
  <headerFooter alignWithMargins="0"/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</sheetPr>
  <dimension ref="A1:L109"/>
  <sheetViews>
    <sheetView view="pageBreakPreview" zoomScaleNormal="100" workbookViewId="0">
      <pane xSplit="2" ySplit="5" topLeftCell="E8" activePane="bottomRight" state="frozen"/>
      <selection activeCell="F4" sqref="F4"/>
      <selection pane="topRight" activeCell="F4" sqref="F4"/>
      <selection pane="bottomLeft" activeCell="F4" sqref="F4"/>
      <selection pane="bottomRight" activeCell="F4" sqref="F4"/>
    </sheetView>
  </sheetViews>
  <sheetFormatPr defaultColWidth="3.7109375" defaultRowHeight="15" outlineLevelRow="1"/>
  <cols>
    <col min="1" max="1" width="7" style="1" customWidth="1"/>
    <col min="2" max="2" width="43" style="1" customWidth="1"/>
    <col min="3" max="4" width="13.42578125" style="1" hidden="1" customWidth="1"/>
    <col min="5" max="9" width="13.42578125" style="1" customWidth="1"/>
    <col min="10" max="10" width="16.7109375" style="1" customWidth="1"/>
    <col min="11" max="11" width="14.140625" style="1" customWidth="1"/>
    <col min="12" max="12" width="12.140625" style="1" customWidth="1"/>
    <col min="13" max="47" width="9.140625" style="1" customWidth="1"/>
    <col min="48" max="16384" width="3.7109375" style="1"/>
  </cols>
  <sheetData>
    <row r="1" spans="1:12" ht="12.75" customHeight="1">
      <c r="A1" s="74" t="s">
        <v>1860</v>
      </c>
      <c r="J1" s="23"/>
      <c r="K1" s="23" t="s">
        <v>359</v>
      </c>
      <c r="L1" s="23"/>
    </row>
    <row r="2" spans="1:12" ht="12.75" customHeight="1">
      <c r="A2" s="759" t="str">
        <f>'3.1'!$A$2</f>
        <v>ПКГО - Комбинированная выработка КТЭЦ</v>
      </c>
    </row>
    <row r="3" spans="1:12" ht="18.75">
      <c r="A3" s="1877" t="s">
        <v>1535</v>
      </c>
      <c r="B3" s="1914"/>
      <c r="C3" s="1914"/>
      <c r="D3" s="1914"/>
      <c r="E3" s="1914"/>
      <c r="F3" s="1914"/>
      <c r="G3" s="1914"/>
      <c r="H3" s="1914"/>
      <c r="I3" s="1914"/>
      <c r="J3" s="1914"/>
      <c r="K3" s="1630"/>
      <c r="L3" s="1630"/>
    </row>
    <row r="4" spans="1:12" ht="14.25" customHeight="1">
      <c r="J4" s="23"/>
      <c r="K4" s="23" t="s">
        <v>360</v>
      </c>
      <c r="L4" s="23"/>
    </row>
    <row r="5" spans="1:12" s="3" customFormat="1" ht="74.25" customHeight="1">
      <c r="A5" s="944" t="s">
        <v>0</v>
      </c>
      <c r="B5" s="944" t="s">
        <v>1</v>
      </c>
      <c r="C5" s="944" t="s">
        <v>1129</v>
      </c>
      <c r="D5" s="944" t="s">
        <v>1130</v>
      </c>
      <c r="E5" s="944" t="s">
        <v>1520</v>
      </c>
      <c r="F5" s="944" t="s">
        <v>1695</v>
      </c>
      <c r="G5" s="1284" t="s">
        <v>1702</v>
      </c>
      <c r="H5" s="1576" t="s">
        <v>1828</v>
      </c>
      <c r="I5" s="1631" t="s">
        <v>1842</v>
      </c>
      <c r="J5" s="1631" t="s">
        <v>1861</v>
      </c>
      <c r="K5" s="1631" t="s">
        <v>1862</v>
      </c>
      <c r="L5" s="1631" t="s">
        <v>1863</v>
      </c>
    </row>
    <row r="6" spans="1:12" s="2" customFormat="1">
      <c r="A6" s="13">
        <v>1</v>
      </c>
      <c r="B6" s="13">
        <v>2</v>
      </c>
      <c r="C6" s="13">
        <v>3</v>
      </c>
      <c r="D6" s="13">
        <v>4</v>
      </c>
      <c r="E6" s="13">
        <v>3</v>
      </c>
      <c r="F6" s="13">
        <v>4</v>
      </c>
      <c r="G6" s="13">
        <v>5</v>
      </c>
      <c r="H6" s="13">
        <v>6</v>
      </c>
      <c r="I6" s="13">
        <v>7</v>
      </c>
      <c r="J6" s="13">
        <v>8</v>
      </c>
      <c r="K6" s="13">
        <v>9</v>
      </c>
      <c r="L6" s="13">
        <v>10</v>
      </c>
    </row>
    <row r="7" spans="1:12" s="1041" customFormat="1" ht="30" customHeight="1">
      <c r="A7" s="1037" t="s">
        <v>361</v>
      </c>
      <c r="B7" s="1038" t="s">
        <v>362</v>
      </c>
      <c r="C7" s="1039">
        <f>C8+SUM(C10:C15)+C20+SUM(C22:C25)+SUM(C56:C61)+2</f>
        <v>911689</v>
      </c>
      <c r="D7" s="1039">
        <f t="shared" ref="D7:E7" si="0">D8+SUM(D10:D15)+D20+SUM(D22:D25)+SUM(D56:D61)</f>
        <v>924543.77181900002</v>
      </c>
      <c r="E7" s="1039">
        <f t="shared" si="0"/>
        <v>0</v>
      </c>
      <c r="F7" s="1039">
        <v>1018152.3677159999</v>
      </c>
      <c r="G7" s="1039">
        <v>125259.61406699999</v>
      </c>
      <c r="H7" s="1039">
        <v>1134866.23456159</v>
      </c>
      <c r="I7" s="1039">
        <v>199224</v>
      </c>
      <c r="J7" s="1039">
        <v>1314446.6957862598</v>
      </c>
      <c r="K7" s="1039">
        <v>1397175.5747637562</v>
      </c>
      <c r="L7" s="1039">
        <v>1478490.6674099669</v>
      </c>
    </row>
    <row r="8" spans="1:12" s="1046" customFormat="1" ht="15" customHeight="1">
      <c r="A8" s="1044"/>
      <c r="B8" s="1045" t="s">
        <v>363</v>
      </c>
      <c r="C8" s="258">
        <f>19865-C12</f>
        <v>9035</v>
      </c>
      <c r="D8" s="258">
        <f>'4.6_транзит_КТЭЦ'!D8+'4.6_сбыт_КТЭЦ'!D8</f>
        <v>18665</v>
      </c>
      <c r="E8" s="258"/>
      <c r="F8" s="258">
        <v>19892</v>
      </c>
      <c r="G8" s="258">
        <v>0</v>
      </c>
      <c r="H8" s="258">
        <v>22844</v>
      </c>
      <c r="I8" s="258">
        <v>32079</v>
      </c>
      <c r="J8" s="258">
        <v>34995</v>
      </c>
      <c r="K8" s="258">
        <v>39594.247880000003</v>
      </c>
      <c r="L8" s="258">
        <v>38792.127617694001</v>
      </c>
    </row>
    <row r="9" spans="1:12" s="4" customFormat="1" ht="15" customHeight="1">
      <c r="A9" s="17"/>
      <c r="B9" s="580" t="s">
        <v>1134</v>
      </c>
      <c r="C9" s="751">
        <v>1263</v>
      </c>
      <c r="D9" s="751">
        <f>'4.6_транзит_КТЭЦ'!D9+'4.6_сбыт_КТЭЦ'!D9</f>
        <v>9271</v>
      </c>
      <c r="E9" s="751"/>
      <c r="F9" s="751">
        <v>9712</v>
      </c>
      <c r="G9" s="751">
        <v>0</v>
      </c>
      <c r="H9" s="751">
        <v>11855</v>
      </c>
      <c r="I9" s="751">
        <v>6970</v>
      </c>
      <c r="J9" s="751">
        <v>9886</v>
      </c>
      <c r="K9" s="751">
        <v>13046</v>
      </c>
      <c r="L9" s="751">
        <v>10958.679057823199</v>
      </c>
    </row>
    <row r="10" spans="1:12" s="1046" customFormat="1" ht="15" customHeight="1">
      <c r="A10" s="1044"/>
      <c r="B10" s="1045" t="s">
        <v>364</v>
      </c>
      <c r="C10" s="258"/>
      <c r="D10" s="258">
        <f>'4.6_транзит_КТЭЦ'!D10+'4.6_сбыт_КТЭЦ'!D10</f>
        <v>0</v>
      </c>
      <c r="E10" s="258"/>
      <c r="F10" s="258">
        <v>0</v>
      </c>
      <c r="G10" s="258">
        <v>0</v>
      </c>
      <c r="H10" s="258">
        <v>0</v>
      </c>
      <c r="I10" s="258">
        <v>0</v>
      </c>
      <c r="J10" s="258">
        <v>0</v>
      </c>
      <c r="K10" s="258">
        <v>0</v>
      </c>
      <c r="L10" s="258">
        <v>0</v>
      </c>
    </row>
    <row r="11" spans="1:12" s="1046" customFormat="1" ht="30">
      <c r="A11" s="1044"/>
      <c r="B11" s="1045" t="s">
        <v>365</v>
      </c>
      <c r="C11" s="258">
        <v>111508</v>
      </c>
      <c r="D11" s="258">
        <f>'4.6_транзит_КТЭЦ'!D11+'4.6_сбыт_КТЭЦ'!D11</f>
        <v>96621.292518999995</v>
      </c>
      <c r="E11" s="258"/>
      <c r="F11" s="258">
        <v>103600.51057999999</v>
      </c>
      <c r="G11" s="258">
        <v>119427.15758699999</v>
      </c>
      <c r="H11" s="258">
        <v>112631.43554158999</v>
      </c>
      <c r="I11" s="258">
        <v>0</v>
      </c>
      <c r="J11" s="258">
        <v>125955.85906625999</v>
      </c>
      <c r="K11" s="258">
        <v>137662.18967315598</v>
      </c>
      <c r="L11" s="258">
        <v>150260.95930468291</v>
      </c>
    </row>
    <row r="12" spans="1:12" s="1046" customFormat="1" ht="15" customHeight="1">
      <c r="A12" s="1044"/>
      <c r="B12" s="1045" t="s">
        <v>366</v>
      </c>
      <c r="C12" s="258">
        <v>10830</v>
      </c>
      <c r="D12" s="258">
        <f>'4.6_транзит_КТЭЦ'!D12+'4.6_сбыт_КТЭЦ'!D12</f>
        <v>5797</v>
      </c>
      <c r="E12" s="258"/>
      <c r="F12" s="258">
        <v>4770</v>
      </c>
      <c r="G12" s="258">
        <v>5832.4564799999998</v>
      </c>
      <c r="H12" s="258">
        <v>12200.832200000001</v>
      </c>
      <c r="I12" s="258">
        <v>0</v>
      </c>
      <c r="J12" s="258">
        <v>10311.43672</v>
      </c>
      <c r="K12" s="258">
        <v>10668.3758906</v>
      </c>
      <c r="L12" s="258">
        <v>11395.988881517002</v>
      </c>
    </row>
    <row r="13" spans="1:12" s="1046" customFormat="1" ht="15" customHeight="1">
      <c r="A13" s="1044"/>
      <c r="B13" s="1045" t="s">
        <v>367</v>
      </c>
      <c r="C13" s="258"/>
      <c r="D13" s="258">
        <f>'4.6_транзит_КТЭЦ'!D13+'4.6_сбыт_КТЭЦ'!D13</f>
        <v>0</v>
      </c>
      <c r="E13" s="258"/>
      <c r="F13" s="258">
        <v>0</v>
      </c>
      <c r="G13" s="258">
        <v>0</v>
      </c>
      <c r="H13" s="258">
        <v>0</v>
      </c>
      <c r="I13" s="258">
        <v>0</v>
      </c>
      <c r="J13" s="258">
        <v>0</v>
      </c>
      <c r="K13" s="258">
        <v>0</v>
      </c>
      <c r="L13" s="258">
        <v>0</v>
      </c>
    </row>
    <row r="14" spans="1:12" s="1046" customFormat="1" ht="30">
      <c r="A14" s="1044"/>
      <c r="B14" s="1045" t="s">
        <v>368</v>
      </c>
      <c r="C14" s="258">
        <v>23559</v>
      </c>
      <c r="D14" s="258">
        <f>'4.6_транзит_КТЭЦ'!D14+'4.6_сбыт_КТЭЦ'!D14</f>
        <v>19440</v>
      </c>
      <c r="E14" s="258"/>
      <c r="F14" s="258">
        <v>28191</v>
      </c>
      <c r="G14" s="258">
        <v>0</v>
      </c>
      <c r="H14" s="258">
        <v>31229</v>
      </c>
      <c r="I14" s="258">
        <v>0</v>
      </c>
      <c r="J14" s="258">
        <v>40766</v>
      </c>
      <c r="K14" s="258">
        <v>54723</v>
      </c>
      <c r="L14" s="258">
        <v>56724</v>
      </c>
    </row>
    <row r="15" spans="1:12" s="1046" customFormat="1" ht="15" customHeight="1">
      <c r="A15" s="1044"/>
      <c r="B15" s="1045" t="s">
        <v>1135</v>
      </c>
      <c r="C15" s="258">
        <f>C16+C18+C19</f>
        <v>423764</v>
      </c>
      <c r="D15" s="258">
        <f t="shared" ref="D15:E15" si="1">D16+D18+D19</f>
        <v>369281</v>
      </c>
      <c r="E15" s="258">
        <f t="shared" si="1"/>
        <v>0</v>
      </c>
      <c r="F15" s="258">
        <v>424496</v>
      </c>
      <c r="G15" s="258">
        <v>0</v>
      </c>
      <c r="H15" s="258">
        <v>461201</v>
      </c>
      <c r="I15" s="258">
        <v>0</v>
      </c>
      <c r="J15" s="258">
        <v>507042</v>
      </c>
      <c r="K15" s="258">
        <v>565831.5</v>
      </c>
      <c r="L15" s="258">
        <v>599059</v>
      </c>
    </row>
    <row r="16" spans="1:12" s="341" customFormat="1" ht="15" customHeight="1">
      <c r="A16" s="339"/>
      <c r="B16" s="581" t="s">
        <v>1136</v>
      </c>
      <c r="C16" s="981">
        <v>417355</v>
      </c>
      <c r="D16" s="981">
        <f>'4.6_транзит_КТЭЦ'!D16+'4.6_сбыт_КТЭЦ'!D16</f>
        <v>361108</v>
      </c>
      <c r="E16" s="981"/>
      <c r="F16" s="981">
        <v>416662</v>
      </c>
      <c r="G16" s="981">
        <v>0</v>
      </c>
      <c r="H16" s="981">
        <v>451598</v>
      </c>
      <c r="I16" s="981">
        <v>0</v>
      </c>
      <c r="J16" s="981">
        <v>495958</v>
      </c>
      <c r="K16" s="981">
        <v>553399.5</v>
      </c>
      <c r="L16" s="981">
        <v>586067</v>
      </c>
    </row>
    <row r="17" spans="1:12" s="341" customFormat="1" ht="15" customHeight="1">
      <c r="A17" s="339"/>
      <c r="B17" s="580" t="s">
        <v>1134</v>
      </c>
      <c r="C17" s="752">
        <v>17911</v>
      </c>
      <c r="D17" s="752">
        <f>'4.6_транзит_КТЭЦ'!D17+'4.6_сбыт_КТЭЦ'!D17</f>
        <v>18533</v>
      </c>
      <c r="E17" s="752"/>
      <c r="F17" s="752">
        <v>19022</v>
      </c>
      <c r="G17" s="752">
        <v>0</v>
      </c>
      <c r="H17" s="752">
        <v>20913</v>
      </c>
      <c r="I17" s="752">
        <v>0</v>
      </c>
      <c r="J17" s="752">
        <v>24093</v>
      </c>
      <c r="K17" s="752">
        <v>27537</v>
      </c>
      <c r="L17" s="752">
        <v>29145</v>
      </c>
    </row>
    <row r="18" spans="1:12" s="341" customFormat="1" ht="15" customHeight="1">
      <c r="A18" s="339"/>
      <c r="B18" s="581" t="s">
        <v>1137</v>
      </c>
      <c r="C18" s="981">
        <v>6409</v>
      </c>
      <c r="D18" s="981">
        <f>'4.6_транзит_КТЭЦ'!D18+'4.6_сбыт_КТЭЦ'!D18</f>
        <v>7814</v>
      </c>
      <c r="E18" s="981"/>
      <c r="F18" s="981">
        <v>7759</v>
      </c>
      <c r="G18" s="981">
        <v>0</v>
      </c>
      <c r="H18" s="981">
        <v>9354</v>
      </c>
      <c r="I18" s="981">
        <v>0</v>
      </c>
      <c r="J18" s="981">
        <v>11084</v>
      </c>
      <c r="K18" s="981">
        <v>12432</v>
      </c>
      <c r="L18" s="981">
        <v>12992</v>
      </c>
    </row>
    <row r="19" spans="1:12" s="341" customFormat="1" ht="15" customHeight="1">
      <c r="A19" s="339"/>
      <c r="B19" s="581" t="s">
        <v>1138</v>
      </c>
      <c r="C19" s="981"/>
      <c r="D19" s="981">
        <f>'4.6_транзит_КТЭЦ'!D19+'4.6_сбыт_КТЭЦ'!D19</f>
        <v>359</v>
      </c>
      <c r="E19" s="981"/>
      <c r="F19" s="981">
        <v>75</v>
      </c>
      <c r="G19" s="981">
        <v>0</v>
      </c>
      <c r="H19" s="981">
        <v>249</v>
      </c>
      <c r="I19" s="981">
        <v>0</v>
      </c>
      <c r="J19" s="981">
        <v>0</v>
      </c>
      <c r="K19" s="981">
        <v>0</v>
      </c>
      <c r="L19" s="981">
        <v>0</v>
      </c>
    </row>
    <row r="20" spans="1:12" s="1046" customFormat="1">
      <c r="A20" s="1044"/>
      <c r="B20" s="1045" t="s">
        <v>369</v>
      </c>
      <c r="C20" s="258">
        <v>83767</v>
      </c>
      <c r="D20" s="258">
        <f>'4.6_транзит_КТЭЦ'!D20+'4.6_сбыт_КТЭЦ'!D20</f>
        <v>104093</v>
      </c>
      <c r="E20" s="258"/>
      <c r="F20" s="258">
        <v>118111</v>
      </c>
      <c r="G20" s="258">
        <v>0</v>
      </c>
      <c r="H20" s="258">
        <v>129985</v>
      </c>
      <c r="I20" s="258">
        <v>0</v>
      </c>
      <c r="J20" s="258">
        <v>139858</v>
      </c>
      <c r="K20" s="258">
        <v>164331</v>
      </c>
      <c r="L20" s="258">
        <v>174319</v>
      </c>
    </row>
    <row r="21" spans="1:12" s="341" customFormat="1">
      <c r="A21" s="339"/>
      <c r="B21" s="580" t="s">
        <v>1134</v>
      </c>
      <c r="C21" s="752">
        <v>5221</v>
      </c>
      <c r="D21" s="752">
        <f>'4.6_транзит_КТЭЦ'!D21+'4.6_сбыт_КТЭЦ'!D21</f>
        <v>5475</v>
      </c>
      <c r="E21" s="752"/>
      <c r="F21" s="752">
        <v>5674</v>
      </c>
      <c r="G21" s="752">
        <v>0</v>
      </c>
      <c r="H21" s="752">
        <v>6292</v>
      </c>
      <c r="I21" s="752">
        <v>0</v>
      </c>
      <c r="J21" s="752">
        <v>7287</v>
      </c>
      <c r="K21" s="752">
        <v>8316</v>
      </c>
      <c r="L21" s="752">
        <v>8283.0761381544016</v>
      </c>
    </row>
    <row r="22" spans="1:12" s="1046" customFormat="1" ht="30" customHeight="1">
      <c r="A22" s="1044"/>
      <c r="B22" s="1045" t="s">
        <v>370</v>
      </c>
      <c r="C22" s="258">
        <v>19497</v>
      </c>
      <c r="D22" s="258">
        <f>'4.6_транзит_КТЭЦ'!D22+'4.6_сбыт_КТЭЦ'!D22</f>
        <v>34674</v>
      </c>
      <c r="E22" s="258"/>
      <c r="F22" s="258">
        <v>25559</v>
      </c>
      <c r="G22" s="258">
        <v>0</v>
      </c>
      <c r="H22" s="258">
        <v>76499</v>
      </c>
      <c r="I22" s="258">
        <v>57444</v>
      </c>
      <c r="J22" s="258">
        <v>112465</v>
      </c>
      <c r="K22" s="258">
        <v>48919</v>
      </c>
      <c r="L22" s="258">
        <v>49949.199827571996</v>
      </c>
    </row>
    <row r="23" spans="1:12" s="1046" customFormat="1" ht="60">
      <c r="A23" s="1044"/>
      <c r="B23" s="1045" t="s">
        <v>1139</v>
      </c>
      <c r="C23" s="258">
        <v>78438</v>
      </c>
      <c r="D23" s="258">
        <f>'4.6_транзит_КТЭЦ'!D23+'4.6_сбыт_КТЭЦ'!D23</f>
        <v>99583</v>
      </c>
      <c r="E23" s="258"/>
      <c r="F23" s="258">
        <v>94371</v>
      </c>
      <c r="G23" s="258">
        <v>0</v>
      </c>
      <c r="H23" s="258">
        <v>94285</v>
      </c>
      <c r="I23" s="258">
        <v>0</v>
      </c>
      <c r="J23" s="258">
        <v>110132</v>
      </c>
      <c r="K23" s="258">
        <v>123132</v>
      </c>
      <c r="L23" s="258">
        <v>129952</v>
      </c>
    </row>
    <row r="24" spans="1:12" s="1046" customFormat="1" ht="60">
      <c r="A24" s="1044"/>
      <c r="B24" s="1045" t="s">
        <v>372</v>
      </c>
      <c r="C24" s="258">
        <f>21612-19497</f>
        <v>2115</v>
      </c>
      <c r="D24" s="258">
        <f>'4.6_транзит_КТЭЦ'!D24+'4.6_сбыт_КТЭЦ'!D24</f>
        <v>20714</v>
      </c>
      <c r="E24" s="258"/>
      <c r="F24" s="258">
        <v>14308</v>
      </c>
      <c r="G24" s="258">
        <v>0</v>
      </c>
      <c r="H24" s="258">
        <v>15009</v>
      </c>
      <c r="I24" s="258">
        <v>38812</v>
      </c>
      <c r="J24" s="258">
        <v>38812</v>
      </c>
      <c r="K24" s="258">
        <v>41036.703840000002</v>
      </c>
      <c r="L24" s="258">
        <v>43023.290672894393</v>
      </c>
    </row>
    <row r="25" spans="1:12" s="1046" customFormat="1" ht="90">
      <c r="A25" s="1044"/>
      <c r="B25" s="1045" t="s">
        <v>373</v>
      </c>
      <c r="C25" s="258">
        <f>C27+C28+C29+C55</f>
        <v>27636</v>
      </c>
      <c r="D25" s="258">
        <f t="shared" ref="D25" si="2">D27+D28+D29+D55</f>
        <v>42279.479299999992</v>
      </c>
      <c r="E25" s="258">
        <f>E27+E28+E29</f>
        <v>0</v>
      </c>
      <c r="F25" s="258">
        <v>53028.857136000006</v>
      </c>
      <c r="G25" s="258">
        <v>0</v>
      </c>
      <c r="H25" s="258">
        <v>65046.966820000001</v>
      </c>
      <c r="I25" s="258">
        <v>67611</v>
      </c>
      <c r="J25" s="258">
        <v>67611</v>
      </c>
      <c r="K25" s="258">
        <v>71486.462520000001</v>
      </c>
      <c r="L25" s="258">
        <v>74947.122170593197</v>
      </c>
    </row>
    <row r="26" spans="1:12" s="4" customFormat="1">
      <c r="A26" s="17"/>
      <c r="B26" s="51" t="s">
        <v>70</v>
      </c>
      <c r="C26" s="241"/>
      <c r="D26" s="241"/>
      <c r="E26" s="241"/>
      <c r="F26" s="241"/>
      <c r="G26" s="241"/>
      <c r="H26" s="241"/>
      <c r="I26" s="241"/>
      <c r="J26" s="241"/>
      <c r="K26" s="241"/>
      <c r="L26" s="241"/>
    </row>
    <row r="27" spans="1:12" s="4" customFormat="1">
      <c r="A27" s="17"/>
      <c r="B27" s="581" t="s">
        <v>1275</v>
      </c>
      <c r="C27" s="766">
        <v>211</v>
      </c>
      <c r="D27" s="766">
        <f>'4.6_транзит_КТЭЦ'!D27+'4.6_сбыт_КТЭЦ'!D27</f>
        <v>4</v>
      </c>
      <c r="E27" s="766"/>
      <c r="F27" s="766">
        <v>4</v>
      </c>
      <c r="G27" s="766">
        <v>0</v>
      </c>
      <c r="H27" s="766">
        <v>0</v>
      </c>
      <c r="I27" s="766">
        <v>0</v>
      </c>
      <c r="J27" s="766">
        <v>0</v>
      </c>
      <c r="K27" s="766">
        <v>0</v>
      </c>
      <c r="L27" s="766">
        <v>0</v>
      </c>
    </row>
    <row r="28" spans="1:12" s="4" customFormat="1">
      <c r="A28" s="17"/>
      <c r="B28" s="581" t="s">
        <v>1276</v>
      </c>
      <c r="C28" s="766">
        <v>288</v>
      </c>
      <c r="D28" s="766">
        <f>'4.6_транзит_КТЭЦ'!D28+'4.6_сбыт_КТЭЦ'!D28</f>
        <v>0</v>
      </c>
      <c r="E28" s="766"/>
      <c r="F28" s="766">
        <v>79</v>
      </c>
      <c r="G28" s="766">
        <v>0</v>
      </c>
      <c r="H28" s="766">
        <v>92</v>
      </c>
      <c r="I28" s="766">
        <v>677</v>
      </c>
      <c r="J28" s="766">
        <v>677</v>
      </c>
      <c r="K28" s="766">
        <v>715.80564000000004</v>
      </c>
      <c r="L28" s="766">
        <v>750.45779103239988</v>
      </c>
    </row>
    <row r="29" spans="1:12" s="4" customFormat="1">
      <c r="A29" s="17"/>
      <c r="B29" s="581" t="s">
        <v>1559</v>
      </c>
      <c r="C29" s="766">
        <f>27137-C65</f>
        <v>27137</v>
      </c>
      <c r="D29" s="981">
        <f>'4.6_транзит_КТЭЦ'!D29+'4.6_сбыт_КТЭЦ'!D29</f>
        <v>42275.479299999992</v>
      </c>
      <c r="E29" s="766">
        <f t="shared" ref="E29" si="3">E30+E31</f>
        <v>0</v>
      </c>
      <c r="F29" s="766">
        <v>52945.857136000006</v>
      </c>
      <c r="G29" s="766">
        <v>0</v>
      </c>
      <c r="H29" s="766">
        <v>64954.966820000001</v>
      </c>
      <c r="I29" s="766">
        <v>66934</v>
      </c>
      <c r="J29" s="766">
        <v>66934</v>
      </c>
      <c r="K29" s="766">
        <v>70770.65688000001</v>
      </c>
      <c r="L29" s="766">
        <v>74196.664379560796</v>
      </c>
    </row>
    <row r="30" spans="1:12" s="4" customFormat="1" hidden="1" outlineLevel="1">
      <c r="A30" s="737" t="s">
        <v>89</v>
      </c>
      <c r="B30" s="738" t="s">
        <v>1244</v>
      </c>
      <c r="C30" s="746"/>
      <c r="D30" s="746">
        <f>'4.6_транзит_КТЭЦ'!D30+'4.6_сбыт_КТЭЦ'!D30</f>
        <v>1283</v>
      </c>
      <c r="E30" s="746"/>
      <c r="F30" s="746">
        <v>1501</v>
      </c>
      <c r="G30" s="746">
        <v>0</v>
      </c>
      <c r="H30" s="746">
        <v>1832</v>
      </c>
      <c r="I30" s="746">
        <v>0</v>
      </c>
      <c r="J30" s="746">
        <v>0</v>
      </c>
      <c r="K30" s="746">
        <v>0</v>
      </c>
      <c r="L30" s="746">
        <v>0</v>
      </c>
    </row>
    <row r="31" spans="1:12" s="341" customFormat="1" hidden="1" outlineLevel="1">
      <c r="A31" s="760" t="s">
        <v>91</v>
      </c>
      <c r="B31" s="761" t="s">
        <v>1245</v>
      </c>
      <c r="C31" s="746">
        <f t="shared" ref="C31:D31" si="4">SUM(C32:C43)+C45</f>
        <v>0</v>
      </c>
      <c r="D31" s="746">
        <f t="shared" si="4"/>
        <v>40992.479300000006</v>
      </c>
      <c r="E31" s="746">
        <f>SUM(E32:E45)</f>
        <v>0</v>
      </c>
      <c r="F31" s="746">
        <v>51444.857136000006</v>
      </c>
      <c r="G31" s="746">
        <v>0</v>
      </c>
      <c r="H31" s="746">
        <v>63122.966820000001</v>
      </c>
      <c r="I31" s="746">
        <v>2627.3660999999997</v>
      </c>
      <c r="J31" s="746">
        <v>2627.3660999999997</v>
      </c>
      <c r="K31" s="746">
        <v>0</v>
      </c>
      <c r="L31" s="746">
        <v>0</v>
      </c>
    </row>
    <row r="32" spans="1:12" s="4" customFormat="1" ht="25.5" hidden="1" outlineLevel="1">
      <c r="A32" s="739" t="s">
        <v>1044</v>
      </c>
      <c r="B32" s="740" t="s">
        <v>1247</v>
      </c>
      <c r="C32" s="740"/>
      <c r="D32" s="994">
        <f>'4.6_транзит_КТЭЦ'!D32+'4.6_сбыт_КТЭЦ'!D32</f>
        <v>1737.7773</v>
      </c>
      <c r="E32" s="994"/>
      <c r="F32" s="994">
        <v>3120.6470400000003</v>
      </c>
      <c r="G32" s="994">
        <v>0</v>
      </c>
      <c r="H32" s="994">
        <v>2733.0665600000002</v>
      </c>
      <c r="I32" s="994">
        <v>0</v>
      </c>
      <c r="J32" s="994">
        <v>0</v>
      </c>
      <c r="K32" s="994">
        <v>0</v>
      </c>
      <c r="L32" s="994">
        <v>0</v>
      </c>
    </row>
    <row r="33" spans="1:12" s="4" customFormat="1" ht="38.25" hidden="1" outlineLevel="1">
      <c r="A33" s="739" t="s">
        <v>1043</v>
      </c>
      <c r="B33" s="740" t="s">
        <v>1249</v>
      </c>
      <c r="C33" s="740"/>
      <c r="D33" s="994">
        <f>'4.6_транзит_КТЭЦ'!D33+'4.6_сбыт_КТЭЦ'!D33</f>
        <v>25.815300000000001</v>
      </c>
      <c r="E33" s="994"/>
      <c r="F33" s="994">
        <v>1.8575280000000001</v>
      </c>
      <c r="G33" s="994">
        <v>0</v>
      </c>
      <c r="H33" s="994">
        <v>0</v>
      </c>
      <c r="I33" s="994">
        <v>0</v>
      </c>
      <c r="J33" s="994">
        <v>0</v>
      </c>
      <c r="K33" s="994">
        <v>0</v>
      </c>
      <c r="L33" s="994">
        <v>0</v>
      </c>
    </row>
    <row r="34" spans="1:12" s="4" customFormat="1" hidden="1" outlineLevel="1">
      <c r="A34" s="741" t="s">
        <v>1540</v>
      </c>
      <c r="B34" s="740" t="s">
        <v>1250</v>
      </c>
      <c r="C34" s="740"/>
      <c r="D34" s="994">
        <f>'4.6_транзит_КТЭЦ'!D34+'4.6_сбыт_КТЭЦ'!D34</f>
        <v>438.40719999999999</v>
      </c>
      <c r="E34" s="994"/>
      <c r="F34" s="994">
        <v>796.87951200000009</v>
      </c>
      <c r="G34" s="994">
        <v>0</v>
      </c>
      <c r="H34" s="994">
        <v>947.52656000000002</v>
      </c>
      <c r="I34" s="994">
        <v>0</v>
      </c>
      <c r="J34" s="994">
        <v>0</v>
      </c>
      <c r="K34" s="994">
        <v>0</v>
      </c>
      <c r="L34" s="994">
        <v>0</v>
      </c>
    </row>
    <row r="35" spans="1:12" s="4" customFormat="1" ht="15" hidden="1" customHeight="1" outlineLevel="1">
      <c r="A35" s="739" t="s">
        <v>1541</v>
      </c>
      <c r="B35" s="740" t="s">
        <v>1251</v>
      </c>
      <c r="C35" s="740"/>
      <c r="D35" s="994">
        <f>'4.6_транзит_КТЭЦ'!D35+'4.6_сбыт_КТЭЦ'!D35</f>
        <v>1090.5832</v>
      </c>
      <c r="E35" s="994"/>
      <c r="F35" s="994">
        <v>2497.7559839999999</v>
      </c>
      <c r="G35" s="994">
        <v>0</v>
      </c>
      <c r="H35" s="994">
        <v>1833.1544000000001</v>
      </c>
      <c r="I35" s="994">
        <v>0</v>
      </c>
      <c r="J35" s="994">
        <v>0</v>
      </c>
      <c r="K35" s="994">
        <v>0</v>
      </c>
      <c r="L35" s="994">
        <v>0</v>
      </c>
    </row>
    <row r="36" spans="1:12" s="4" customFormat="1" hidden="1" outlineLevel="1">
      <c r="A36" s="739" t="s">
        <v>1542</v>
      </c>
      <c r="B36" s="740" t="s">
        <v>1252</v>
      </c>
      <c r="C36" s="740"/>
      <c r="D36" s="994">
        <f>'4.6_транзит_КТЭЦ'!D36+'4.6_сбыт_КТЭЦ'!D36</f>
        <v>5337.8793999999998</v>
      </c>
      <c r="E36" s="994"/>
      <c r="F36" s="994">
        <v>7001.6422080000011</v>
      </c>
      <c r="G36" s="994">
        <v>0</v>
      </c>
      <c r="H36" s="994">
        <v>10241.262260000001</v>
      </c>
      <c r="I36" s="994">
        <v>0</v>
      </c>
      <c r="J36" s="994">
        <v>0</v>
      </c>
      <c r="K36" s="994">
        <v>0</v>
      </c>
      <c r="L36" s="994">
        <v>0</v>
      </c>
    </row>
    <row r="37" spans="1:12" s="4" customFormat="1" hidden="1" outlineLevel="1">
      <c r="A37" s="739" t="s">
        <v>1543</v>
      </c>
      <c r="B37" s="740" t="s">
        <v>1253</v>
      </c>
      <c r="C37" s="740"/>
      <c r="D37" s="994">
        <f>'4.6_транзит_КТЭЦ'!D37+'4.6_сбыт_КТЭЦ'!D37</f>
        <v>4669.3989999999994</v>
      </c>
      <c r="E37" s="994"/>
      <c r="F37" s="994">
        <v>6166.3737840000013</v>
      </c>
      <c r="G37" s="994">
        <v>0</v>
      </c>
      <c r="H37" s="994">
        <v>11528.636600000002</v>
      </c>
      <c r="I37" s="994">
        <v>0</v>
      </c>
      <c r="J37" s="994">
        <v>0</v>
      </c>
      <c r="K37" s="994">
        <v>0</v>
      </c>
      <c r="L37" s="994">
        <v>0</v>
      </c>
    </row>
    <row r="38" spans="1:12" s="4" customFormat="1" hidden="1" outlineLevel="1">
      <c r="A38" s="739" t="s">
        <v>1544</v>
      </c>
      <c r="B38" s="742" t="s">
        <v>1254</v>
      </c>
      <c r="C38" s="742"/>
      <c r="D38" s="995">
        <f>'4.6_транзит_КТЭЦ'!D38+'4.6_сбыт_КТЭЦ'!D38</f>
        <v>686.5963999999999</v>
      </c>
      <c r="E38" s="995"/>
      <c r="F38" s="995">
        <v>1535.5564800000002</v>
      </c>
      <c r="G38" s="995">
        <v>0</v>
      </c>
      <c r="H38" s="995">
        <v>1432.00308</v>
      </c>
      <c r="I38" s="995">
        <v>2627.3660999999997</v>
      </c>
      <c r="J38" s="995">
        <v>2627.3660999999997</v>
      </c>
      <c r="K38" s="995">
        <v>0</v>
      </c>
      <c r="L38" s="995">
        <v>0</v>
      </c>
    </row>
    <row r="39" spans="1:12" s="4" customFormat="1" hidden="1" outlineLevel="1">
      <c r="A39" s="739" t="s">
        <v>1545</v>
      </c>
      <c r="B39" s="740" t="s">
        <v>1255</v>
      </c>
      <c r="C39" s="740"/>
      <c r="D39" s="994">
        <f>'4.6_транзит_КТЭЦ'!D39+'4.6_сбыт_КТЭЦ'!D39</f>
        <v>118.2069</v>
      </c>
      <c r="E39" s="994"/>
      <c r="F39" s="994">
        <v>225.99924000000001</v>
      </c>
      <c r="G39" s="994">
        <v>0</v>
      </c>
      <c r="H39" s="994">
        <v>303.54180000000002</v>
      </c>
      <c r="I39" s="994">
        <v>0</v>
      </c>
      <c r="J39" s="994">
        <v>0</v>
      </c>
      <c r="K39" s="994">
        <v>0</v>
      </c>
      <c r="L39" s="994">
        <v>0</v>
      </c>
    </row>
    <row r="40" spans="1:12" s="4" customFormat="1" ht="25.5" hidden="1" outlineLevel="1">
      <c r="A40" s="739" t="s">
        <v>1546</v>
      </c>
      <c r="B40" s="742" t="s">
        <v>1256</v>
      </c>
      <c r="C40" s="742"/>
      <c r="D40" s="995">
        <f>'4.6_транзит_КТЭЦ'!D40+'4.6_сбыт_КТЭЦ'!D40</f>
        <v>337.41049999999996</v>
      </c>
      <c r="E40" s="995"/>
      <c r="F40" s="995">
        <v>868.08475199999998</v>
      </c>
      <c r="G40" s="995">
        <v>0</v>
      </c>
      <c r="H40" s="995">
        <v>271.40208000000001</v>
      </c>
      <c r="I40" s="995">
        <v>0</v>
      </c>
      <c r="J40" s="995">
        <v>0</v>
      </c>
      <c r="K40" s="995">
        <v>0</v>
      </c>
      <c r="L40" s="995">
        <v>0</v>
      </c>
    </row>
    <row r="41" spans="1:12" s="4" customFormat="1" hidden="1" outlineLevel="1">
      <c r="A41" s="739" t="s">
        <v>1547</v>
      </c>
      <c r="B41" s="742" t="s">
        <v>1257</v>
      </c>
      <c r="C41" s="742"/>
      <c r="D41" s="995">
        <f>'4.6_транзит_КТЭЦ'!D41+'4.6_сбыт_КТЭЦ'!D41</f>
        <v>24212.722700000002</v>
      </c>
      <c r="E41" s="995"/>
      <c r="F41" s="995">
        <v>23982.544008000004</v>
      </c>
      <c r="G41" s="995">
        <v>0</v>
      </c>
      <c r="H41" s="995">
        <v>28052.02376</v>
      </c>
      <c r="I41" s="995">
        <v>0</v>
      </c>
      <c r="J41" s="995">
        <v>0</v>
      </c>
      <c r="K41" s="995">
        <v>0</v>
      </c>
      <c r="L41" s="995">
        <v>0</v>
      </c>
    </row>
    <row r="42" spans="1:12" s="4" customFormat="1" hidden="1" outlineLevel="1">
      <c r="A42" s="741" t="s">
        <v>1548</v>
      </c>
      <c r="B42" s="742" t="s">
        <v>1556</v>
      </c>
      <c r="C42" s="742"/>
      <c r="D42" s="995">
        <f>'4.6_транзит_КТЭЦ'!D42+'4.6_сбыт_КТЭЦ'!D42</f>
        <v>152.62729999999999</v>
      </c>
      <c r="E42" s="995"/>
      <c r="F42" s="995">
        <v>655.70738400000005</v>
      </c>
      <c r="G42" s="995">
        <v>0</v>
      </c>
      <c r="H42" s="995">
        <v>317.23094000000003</v>
      </c>
      <c r="I42" s="995">
        <v>0</v>
      </c>
      <c r="J42" s="995">
        <v>0</v>
      </c>
      <c r="K42" s="995">
        <v>0</v>
      </c>
      <c r="L42" s="995">
        <v>0</v>
      </c>
    </row>
    <row r="43" spans="1:12" s="4" customFormat="1" hidden="1" outlineLevel="1">
      <c r="A43" s="741" t="s">
        <v>1549</v>
      </c>
      <c r="B43" s="742" t="s">
        <v>1258</v>
      </c>
      <c r="C43" s="742"/>
      <c r="D43" s="995">
        <f>'4.6_транзит_КТЭЦ'!D43+'4.6_сбыт_КТЭЦ'!D43</f>
        <v>761.77779999999996</v>
      </c>
      <c r="E43" s="995"/>
      <c r="F43" s="995">
        <v>968.39126400000009</v>
      </c>
      <c r="G43" s="995">
        <v>0</v>
      </c>
      <c r="H43" s="995">
        <v>1194.5262600000001</v>
      </c>
      <c r="I43" s="995">
        <v>0</v>
      </c>
      <c r="J43" s="995">
        <v>0</v>
      </c>
      <c r="K43" s="995">
        <v>0</v>
      </c>
      <c r="L43" s="995">
        <v>0</v>
      </c>
    </row>
    <row r="44" spans="1:12" s="4" customFormat="1" hidden="1" outlineLevel="1">
      <c r="A44" s="764" t="s">
        <v>1555</v>
      </c>
      <c r="B44" s="742" t="s">
        <v>1890</v>
      </c>
      <c r="C44" s="742"/>
      <c r="D44" s="995">
        <f>'4.6_транзит_КТЭЦ'!D44+'4.6_сбыт_КТЭЦ'!D44</f>
        <v>762</v>
      </c>
      <c r="E44" s="995"/>
      <c r="F44" s="995">
        <v>0</v>
      </c>
      <c r="G44" s="995">
        <v>0</v>
      </c>
      <c r="H44" s="995">
        <v>0</v>
      </c>
      <c r="I44" s="995">
        <v>0</v>
      </c>
      <c r="J44" s="995">
        <v>0</v>
      </c>
      <c r="K44" s="743">
        <v>0</v>
      </c>
      <c r="L44" s="743">
        <v>0</v>
      </c>
    </row>
    <row r="45" spans="1:12" s="341" customFormat="1" hidden="1" outlineLevel="1">
      <c r="A45" s="764" t="s">
        <v>1889</v>
      </c>
      <c r="B45" s="765" t="s">
        <v>1259</v>
      </c>
      <c r="C45" s="746">
        <f>SUM(C46:C55)</f>
        <v>0</v>
      </c>
      <c r="D45" s="746">
        <f t="shared" ref="D45:E45" si="5">SUM(D46:D55)</f>
        <v>1423.2763</v>
      </c>
      <c r="E45" s="746">
        <f t="shared" si="5"/>
        <v>0</v>
      </c>
      <c r="F45" s="746">
        <v>3623.4179519999998</v>
      </c>
      <c r="G45" s="746">
        <v>0</v>
      </c>
      <c r="H45" s="746">
        <v>4268.5925200000001</v>
      </c>
      <c r="I45" s="746">
        <v>0</v>
      </c>
      <c r="J45" s="746">
        <v>0</v>
      </c>
      <c r="K45" s="746">
        <v>0</v>
      </c>
      <c r="L45" s="746">
        <v>0</v>
      </c>
    </row>
    <row r="46" spans="1:12" s="4" customFormat="1" hidden="1" outlineLevel="1">
      <c r="A46" s="744"/>
      <c r="B46" s="745" t="s">
        <v>1260</v>
      </c>
      <c r="C46" s="745"/>
      <c r="D46" s="996">
        <f>'4.6_транзит_КТЭЦ'!D46+'4.6_сбыт_КТЭЦ'!D46</f>
        <v>213.7688</v>
      </c>
      <c r="E46" s="996"/>
      <c r="F46" s="996">
        <v>331.25916000000001</v>
      </c>
      <c r="G46" s="996">
        <v>0</v>
      </c>
      <c r="H46" s="996">
        <v>217.83588</v>
      </c>
      <c r="I46" s="996">
        <v>0</v>
      </c>
      <c r="J46" s="996">
        <v>0</v>
      </c>
      <c r="K46" s="996">
        <v>0</v>
      </c>
      <c r="L46" s="996">
        <v>0</v>
      </c>
    </row>
    <row r="47" spans="1:12" s="4" customFormat="1" hidden="1" outlineLevel="1">
      <c r="A47" s="744"/>
      <c r="B47" s="743" t="s">
        <v>1261</v>
      </c>
      <c r="C47" s="743"/>
      <c r="D47" s="997">
        <f>'4.6_транзит_КТЭЦ'!D47+'4.6_сбыт_КТЭЦ'!D47</f>
        <v>287.1386</v>
      </c>
      <c r="E47" s="997"/>
      <c r="F47" s="997">
        <v>560.97345600000006</v>
      </c>
      <c r="G47" s="997">
        <v>0</v>
      </c>
      <c r="H47" s="997">
        <v>457.09823999999998</v>
      </c>
      <c r="I47" s="997">
        <v>0</v>
      </c>
      <c r="J47" s="997">
        <v>0</v>
      </c>
      <c r="K47" s="997">
        <v>0</v>
      </c>
      <c r="L47" s="997">
        <v>0</v>
      </c>
    </row>
    <row r="48" spans="1:12" s="4" customFormat="1" hidden="1" outlineLevel="1">
      <c r="A48" s="744"/>
      <c r="B48" s="743" t="s">
        <v>1262</v>
      </c>
      <c r="C48" s="743"/>
      <c r="D48" s="997">
        <f>'4.6_транзит_КТЭЦ'!D48+'4.6_сбыт_КТЭЦ'!D48</f>
        <v>366.39610000000005</v>
      </c>
      <c r="E48" s="997"/>
      <c r="F48" s="997">
        <v>682.331952</v>
      </c>
      <c r="G48" s="997">
        <v>0</v>
      </c>
      <c r="H48" s="997">
        <v>610.65467999999998</v>
      </c>
      <c r="I48" s="997">
        <v>0</v>
      </c>
      <c r="J48" s="997">
        <v>0</v>
      </c>
      <c r="K48" s="997">
        <v>0</v>
      </c>
      <c r="L48" s="997">
        <v>0</v>
      </c>
    </row>
    <row r="49" spans="1:12" s="4" customFormat="1" hidden="1" outlineLevel="1">
      <c r="A49" s="744"/>
      <c r="B49" s="743" t="s">
        <v>1263</v>
      </c>
      <c r="C49" s="743"/>
      <c r="D49" s="997">
        <f>'4.6_транзит_КТЭЦ'!D49+'4.6_сбыт_КТЭЦ'!D49</f>
        <v>116.39529999999999</v>
      </c>
      <c r="E49" s="997"/>
      <c r="F49" s="997">
        <v>569.64192000000003</v>
      </c>
      <c r="G49" s="997">
        <v>0</v>
      </c>
      <c r="H49" s="997">
        <v>159.50824</v>
      </c>
      <c r="I49" s="997">
        <v>0</v>
      </c>
      <c r="J49" s="997">
        <v>0</v>
      </c>
      <c r="K49" s="997">
        <v>0</v>
      </c>
      <c r="L49" s="997">
        <v>0</v>
      </c>
    </row>
    <row r="50" spans="1:12" s="4" customFormat="1" ht="25.5" hidden="1" outlineLevel="1">
      <c r="A50" s="744"/>
      <c r="B50" s="743" t="s">
        <v>1891</v>
      </c>
      <c r="C50" s="743"/>
      <c r="D50" s="997">
        <f>'4.6_транзит_КТЭЦ'!D50+'4.6_сбыт_КТЭЦ'!D50</f>
        <v>439.57749999999999</v>
      </c>
      <c r="E50" s="997"/>
      <c r="F50" s="997">
        <v>1479.2114640000002</v>
      </c>
      <c r="G50" s="997">
        <v>0</v>
      </c>
      <c r="H50" s="997">
        <v>1365.34292</v>
      </c>
      <c r="I50" s="997">
        <v>0</v>
      </c>
      <c r="J50" s="997">
        <v>0</v>
      </c>
      <c r="K50" s="997">
        <v>0</v>
      </c>
      <c r="L50" s="997">
        <v>0</v>
      </c>
    </row>
    <row r="51" spans="1:12" s="4" customFormat="1" ht="25.5" hidden="1" outlineLevel="1">
      <c r="A51" s="744"/>
      <c r="B51" s="743" t="s">
        <v>1264</v>
      </c>
      <c r="C51" s="743"/>
      <c r="D51" s="997">
        <f>'4.6_транзит_КТЭЦ'!D51+'4.6_сбыт_КТЭЦ'!D51</f>
        <v>0</v>
      </c>
      <c r="E51" s="997"/>
      <c r="F51" s="997">
        <v>0</v>
      </c>
      <c r="G51" s="997">
        <v>0</v>
      </c>
      <c r="H51" s="997">
        <v>0</v>
      </c>
      <c r="I51" s="997">
        <v>0</v>
      </c>
      <c r="J51" s="997">
        <v>0</v>
      </c>
      <c r="K51" s="997">
        <v>0</v>
      </c>
      <c r="L51" s="997">
        <v>0</v>
      </c>
    </row>
    <row r="52" spans="1:12" s="4" customFormat="1" hidden="1" outlineLevel="1">
      <c r="A52" s="744"/>
      <c r="B52" s="1391" t="s">
        <v>1883</v>
      </c>
      <c r="C52" s="743"/>
      <c r="D52" s="997">
        <f>'4.6_транзит_КТЭЦ'!D52+'4.6_сбыт_КТЭЦ'!D52</f>
        <v>0</v>
      </c>
      <c r="E52" s="997"/>
      <c r="F52" s="997">
        <v>0</v>
      </c>
      <c r="G52" s="997">
        <v>0</v>
      </c>
      <c r="H52" s="997">
        <v>94</v>
      </c>
      <c r="I52" s="997">
        <v>0</v>
      </c>
      <c r="J52" s="997">
        <v>0</v>
      </c>
      <c r="K52" s="997">
        <v>0</v>
      </c>
      <c r="L52" s="997">
        <v>0</v>
      </c>
    </row>
    <row r="53" spans="1:12" s="4" customFormat="1" hidden="1" outlineLevel="1">
      <c r="A53" s="744"/>
      <c r="B53" s="743" t="s">
        <v>1884</v>
      </c>
      <c r="C53" s="743"/>
      <c r="D53" s="743"/>
      <c r="E53" s="308"/>
      <c r="F53" s="308"/>
      <c r="G53" s="308"/>
      <c r="H53" s="997">
        <v>1364.15256</v>
      </c>
      <c r="I53" s="997">
        <v>0</v>
      </c>
      <c r="J53" s="997">
        <v>0</v>
      </c>
      <c r="K53" s="997">
        <v>0</v>
      </c>
      <c r="L53" s="997">
        <v>0</v>
      </c>
    </row>
    <row r="54" spans="1:12" s="4" customFormat="1" ht="25.5" hidden="1" outlineLevel="1">
      <c r="A54" s="17"/>
      <c r="B54" s="743" t="s">
        <v>1885</v>
      </c>
      <c r="C54" s="241"/>
      <c r="D54" s="241"/>
      <c r="E54" s="241"/>
      <c r="F54" s="241"/>
      <c r="G54" s="241"/>
      <c r="H54" s="997">
        <v>0</v>
      </c>
      <c r="I54" s="997">
        <v>0</v>
      </c>
      <c r="J54" s="997">
        <v>0</v>
      </c>
      <c r="K54" s="997">
        <v>0</v>
      </c>
      <c r="L54" s="997">
        <v>0</v>
      </c>
    </row>
    <row r="55" spans="1:12" s="341" customFormat="1" ht="25.5" hidden="1" outlineLevel="1">
      <c r="A55" s="339"/>
      <c r="B55" s="743" t="s">
        <v>1886</v>
      </c>
      <c r="C55" s="308"/>
      <c r="D55" s="997">
        <f>'4.6_транзит_КТЭЦ'!D55+'4.6_сбыт_КТЭЦ'!D55</f>
        <v>0</v>
      </c>
      <c r="E55" s="997"/>
      <c r="F55" s="997">
        <v>0</v>
      </c>
      <c r="G55" s="997">
        <v>0</v>
      </c>
      <c r="H55" s="997">
        <v>0</v>
      </c>
      <c r="I55" s="997">
        <v>0</v>
      </c>
      <c r="J55" s="997">
        <v>0</v>
      </c>
      <c r="K55" s="997">
        <v>0</v>
      </c>
      <c r="L55" s="997">
        <v>0</v>
      </c>
    </row>
    <row r="56" spans="1:12" s="1046" customFormat="1" ht="90" collapsed="1">
      <c r="A56" s="1044"/>
      <c r="B56" s="1045" t="s">
        <v>374</v>
      </c>
      <c r="C56" s="258">
        <v>3</v>
      </c>
      <c r="D56" s="258">
        <f>'4.6_транзит_КТЭЦ'!D56+'4.6_сбыт_КТЭЦ'!D56</f>
        <v>0</v>
      </c>
      <c r="E56" s="258"/>
      <c r="F56" s="258">
        <v>0</v>
      </c>
      <c r="G56" s="258">
        <v>0</v>
      </c>
      <c r="H56" s="258">
        <v>0</v>
      </c>
      <c r="I56" s="258">
        <v>0</v>
      </c>
      <c r="J56" s="258">
        <v>0</v>
      </c>
      <c r="K56" s="258">
        <v>0</v>
      </c>
      <c r="L56" s="258">
        <v>0</v>
      </c>
    </row>
    <row r="57" spans="1:12" s="1046" customFormat="1" ht="30">
      <c r="A57" s="1044"/>
      <c r="B57" s="1045" t="s">
        <v>375</v>
      </c>
      <c r="C57" s="258">
        <v>115180</v>
      </c>
      <c r="D57" s="258">
        <f>'4.6_транзит_КТЭЦ'!D57+'4.6_сбыт_КТЭЦ'!D57</f>
        <v>106314</v>
      </c>
      <c r="E57" s="258"/>
      <c r="F57" s="258">
        <v>120494</v>
      </c>
      <c r="G57" s="258">
        <v>0</v>
      </c>
      <c r="H57" s="258">
        <v>105659</v>
      </c>
      <c r="I57" s="258">
        <v>0</v>
      </c>
      <c r="J57" s="258">
        <v>109737</v>
      </c>
      <c r="K57" s="258">
        <v>120688</v>
      </c>
      <c r="L57" s="258">
        <v>127809</v>
      </c>
    </row>
    <row r="58" spans="1:12" s="1046" customFormat="1" ht="15" customHeight="1">
      <c r="A58" s="1044"/>
      <c r="B58" s="1045" t="s">
        <v>376</v>
      </c>
      <c r="C58" s="258">
        <v>1517</v>
      </c>
      <c r="D58" s="258">
        <f>'4.6_транзит_КТЭЦ'!D58+'4.6_сбыт_КТЭЦ'!D58</f>
        <v>212</v>
      </c>
      <c r="E58" s="258"/>
      <c r="F58" s="258">
        <v>674</v>
      </c>
      <c r="G58" s="258">
        <v>0</v>
      </c>
      <c r="H58" s="258">
        <v>394</v>
      </c>
      <c r="I58" s="258">
        <v>2405</v>
      </c>
      <c r="J58" s="258">
        <v>2405</v>
      </c>
      <c r="K58" s="258">
        <v>2542.8546000000001</v>
      </c>
      <c r="L58" s="258">
        <v>2665.9541911859997</v>
      </c>
    </row>
    <row r="59" spans="1:12" s="1046" customFormat="1" ht="15" customHeight="1">
      <c r="A59" s="1044"/>
      <c r="B59" s="1045" t="s">
        <v>377</v>
      </c>
      <c r="C59" s="258">
        <v>908</v>
      </c>
      <c r="D59" s="258">
        <f>'4.6_транзит_КТЭЦ'!D59+'4.6_сбыт_КТЭЦ'!D59</f>
        <v>305</v>
      </c>
      <c r="E59" s="258"/>
      <c r="F59" s="258">
        <v>446</v>
      </c>
      <c r="G59" s="258">
        <v>0</v>
      </c>
      <c r="H59" s="258">
        <v>442</v>
      </c>
      <c r="I59" s="258">
        <v>873</v>
      </c>
      <c r="J59" s="258">
        <v>873</v>
      </c>
      <c r="K59" s="258">
        <v>923.04035999999996</v>
      </c>
      <c r="L59" s="258">
        <v>967.72474382759981</v>
      </c>
    </row>
    <row r="60" spans="1:12" s="1046" customFormat="1" ht="45" customHeight="1">
      <c r="A60" s="1044"/>
      <c r="B60" s="1045" t="s">
        <v>378</v>
      </c>
      <c r="C60" s="258">
        <v>943</v>
      </c>
      <c r="D60" s="258">
        <f>'4.6_транзит_КТЭЦ'!D60+'4.6_сбыт_КТЭЦ'!D60</f>
        <v>1727</v>
      </c>
      <c r="E60" s="258"/>
      <c r="F60" s="258">
        <v>1789</v>
      </c>
      <c r="G60" s="258">
        <v>0</v>
      </c>
      <c r="H60" s="258">
        <v>1421</v>
      </c>
      <c r="I60" s="258">
        <v>0</v>
      </c>
      <c r="J60" s="258">
        <v>4571.4000000000005</v>
      </c>
      <c r="K60" s="258">
        <v>6313.2</v>
      </c>
      <c r="L60" s="258">
        <v>6686.3</v>
      </c>
    </row>
    <row r="61" spans="1:12" s="1046" customFormat="1" ht="30" customHeight="1">
      <c r="A61" s="1044"/>
      <c r="B61" s="1045" t="s">
        <v>379</v>
      </c>
      <c r="C61" s="258">
        <f>SUM(C62:C66)</f>
        <v>2987</v>
      </c>
      <c r="D61" s="258">
        <f t="shared" ref="D61:E61" si="6">SUM(D62:D66)</f>
        <v>4838</v>
      </c>
      <c r="E61" s="258">
        <f t="shared" si="6"/>
        <v>0</v>
      </c>
      <c r="F61" s="258">
        <v>8422</v>
      </c>
      <c r="G61" s="258">
        <v>0</v>
      </c>
      <c r="H61" s="258">
        <v>6019</v>
      </c>
      <c r="I61" s="258">
        <v>0</v>
      </c>
      <c r="J61" s="258">
        <v>8912</v>
      </c>
      <c r="K61" s="258">
        <v>9324</v>
      </c>
      <c r="L61" s="258">
        <v>11939</v>
      </c>
    </row>
    <row r="62" spans="1:12" s="4" customFormat="1" ht="15" customHeight="1">
      <c r="A62" s="17"/>
      <c r="B62" s="51" t="s">
        <v>380</v>
      </c>
      <c r="C62" s="241">
        <v>1708</v>
      </c>
      <c r="D62" s="241">
        <f>'4.6_транзит_КТЭЦ'!D62+'4.6_сбыт_КТЭЦ'!D62</f>
        <v>1581</v>
      </c>
      <c r="E62" s="241"/>
      <c r="F62" s="241">
        <v>4992</v>
      </c>
      <c r="G62" s="241">
        <v>0</v>
      </c>
      <c r="H62" s="241">
        <v>4658</v>
      </c>
      <c r="I62" s="241">
        <v>0</v>
      </c>
      <c r="J62" s="241">
        <v>6932</v>
      </c>
      <c r="K62" s="241">
        <v>7222</v>
      </c>
      <c r="L62" s="241">
        <v>9724</v>
      </c>
    </row>
    <row r="63" spans="1:12" s="4" customFormat="1" ht="15" customHeight="1">
      <c r="A63" s="17"/>
      <c r="B63" s="51" t="s">
        <v>381</v>
      </c>
      <c r="C63" s="241">
        <v>1239</v>
      </c>
      <c r="D63" s="241">
        <f>'4.6_транзит_КТЭЦ'!D63+'4.6_сбыт_КТЭЦ'!D63</f>
        <v>3193</v>
      </c>
      <c r="E63" s="241"/>
      <c r="F63" s="241">
        <v>3338</v>
      </c>
      <c r="G63" s="241">
        <v>0</v>
      </c>
      <c r="H63" s="241">
        <v>1232</v>
      </c>
      <c r="I63" s="241">
        <v>0</v>
      </c>
      <c r="J63" s="241">
        <v>1819</v>
      </c>
      <c r="K63" s="241">
        <v>1941</v>
      </c>
      <c r="L63" s="241">
        <v>2054</v>
      </c>
    </row>
    <row r="64" spans="1:12" s="4" customFormat="1" ht="15" customHeight="1">
      <c r="A64" s="17"/>
      <c r="B64" s="51" t="s">
        <v>382</v>
      </c>
      <c r="C64" s="241">
        <v>40</v>
      </c>
      <c r="D64" s="241">
        <f>'4.6_транзит_КТЭЦ'!D64+'4.6_сбыт_КТЭЦ'!D64</f>
        <v>64</v>
      </c>
      <c r="E64" s="241"/>
      <c r="F64" s="241">
        <v>92</v>
      </c>
      <c r="G64" s="241">
        <v>0</v>
      </c>
      <c r="H64" s="241">
        <v>129</v>
      </c>
      <c r="I64" s="241">
        <v>0</v>
      </c>
      <c r="J64" s="241">
        <v>161</v>
      </c>
      <c r="K64" s="241">
        <v>161</v>
      </c>
      <c r="L64" s="241">
        <v>161</v>
      </c>
    </row>
    <row r="65" spans="1:12" s="4" customFormat="1" ht="15" customHeight="1">
      <c r="A65" s="17"/>
      <c r="B65" s="51" t="s">
        <v>383</v>
      </c>
      <c r="C65" s="241"/>
      <c r="D65" s="241">
        <f>'4.6_транзит_КТЭЦ'!D65+'4.6_сбыт_КТЭЦ'!D65</f>
        <v>0</v>
      </c>
      <c r="E65" s="241"/>
      <c r="F65" s="241">
        <v>0</v>
      </c>
      <c r="G65" s="241">
        <v>0</v>
      </c>
      <c r="H65" s="241">
        <v>0</v>
      </c>
      <c r="I65" s="241">
        <v>0</v>
      </c>
      <c r="J65" s="241">
        <v>0</v>
      </c>
      <c r="K65" s="241">
        <v>0</v>
      </c>
      <c r="L65" s="241">
        <v>0</v>
      </c>
    </row>
    <row r="66" spans="1:12" s="4" customFormat="1" ht="15" customHeight="1">
      <c r="A66" s="17"/>
      <c r="B66" s="51" t="s">
        <v>384</v>
      </c>
      <c r="C66" s="241"/>
      <c r="D66" s="241">
        <f>'4.6_транзит_КТЭЦ'!D66+'4.6_сбыт_КТЭЦ'!D66</f>
        <v>0</v>
      </c>
      <c r="E66" s="241"/>
      <c r="F66" s="241">
        <v>0</v>
      </c>
      <c r="G66" s="241">
        <v>0</v>
      </c>
      <c r="H66" s="241">
        <v>0</v>
      </c>
      <c r="I66" s="241">
        <v>0</v>
      </c>
      <c r="J66" s="241">
        <v>0</v>
      </c>
      <c r="K66" s="241">
        <v>0</v>
      </c>
      <c r="L66" s="241">
        <v>0</v>
      </c>
    </row>
    <row r="67" spans="1:12" s="1034" customFormat="1" ht="15" customHeight="1">
      <c r="A67" s="1030" t="s">
        <v>385</v>
      </c>
      <c r="B67" s="1031" t="s">
        <v>386</v>
      </c>
      <c r="C67" s="1032">
        <f>SUM(C68:C71)</f>
        <v>162142</v>
      </c>
      <c r="D67" s="1032">
        <f t="shared" ref="D67:E67" si="7">SUM(D68:D71)</f>
        <v>712107</v>
      </c>
      <c r="E67" s="1032">
        <f t="shared" si="7"/>
        <v>0</v>
      </c>
      <c r="F67" s="1032">
        <v>996485.6</v>
      </c>
      <c r="G67" s="1032">
        <v>91218</v>
      </c>
      <c r="H67" s="1032">
        <v>1064912.6440000001</v>
      </c>
      <c r="I67" s="1032">
        <v>53427.396944683991</v>
      </c>
      <c r="J67" s="1032">
        <v>53427.396944683991</v>
      </c>
      <c r="K67" s="1032">
        <v>52225.005360000003</v>
      </c>
      <c r="L67" s="1032">
        <v>1790.4935608776</v>
      </c>
    </row>
    <row r="68" spans="1:12" s="1046" customFormat="1" ht="31.5" customHeight="1">
      <c r="A68" s="1044"/>
      <c r="B68" s="1045" t="s">
        <v>387</v>
      </c>
      <c r="C68" s="258"/>
      <c r="D68" s="258">
        <f>'4.6_транзит_КТЭЦ'!D68+'4.6_сбыт_КТЭЦ'!D68</f>
        <v>0</v>
      </c>
      <c r="E68" s="258"/>
      <c r="F68" s="258">
        <v>0</v>
      </c>
      <c r="G68" s="258">
        <v>0</v>
      </c>
      <c r="H68" s="258">
        <v>0</v>
      </c>
      <c r="I68" s="258">
        <v>0</v>
      </c>
      <c r="J68" s="258">
        <v>0</v>
      </c>
      <c r="K68" s="258">
        <v>0</v>
      </c>
      <c r="L68" s="258">
        <v>0</v>
      </c>
    </row>
    <row r="69" spans="1:12" s="1046" customFormat="1" ht="15" customHeight="1">
      <c r="A69" s="1044"/>
      <c r="B69" s="1045" t="s">
        <v>388</v>
      </c>
      <c r="C69" s="258">
        <v>162010</v>
      </c>
      <c r="D69" s="258">
        <f>'4.6_транзит_КТЭЦ'!D69+'4.6_сбыт_КТЭЦ'!D69</f>
        <v>701769</v>
      </c>
      <c r="E69" s="258"/>
      <c r="F69" s="258">
        <v>984562</v>
      </c>
      <c r="G69" s="258">
        <v>91218</v>
      </c>
      <c r="H69" s="258">
        <v>1045989.444</v>
      </c>
      <c r="I69" s="258">
        <v>51834.396944683991</v>
      </c>
      <c r="J69" s="258">
        <v>51834.396944683991</v>
      </c>
      <c r="K69" s="258">
        <v>50529</v>
      </c>
      <c r="L69" s="258">
        <v>0</v>
      </c>
    </row>
    <row r="70" spans="1:12" s="1046" customFormat="1" ht="60">
      <c r="A70" s="1044"/>
      <c r="B70" s="1045" t="s">
        <v>389</v>
      </c>
      <c r="C70" s="1045"/>
      <c r="D70" s="258">
        <f>'4.6_транзит_КТЭЦ'!D70+'4.6_сбыт_КТЭЦ'!D70</f>
        <v>0</v>
      </c>
      <c r="E70" s="258"/>
      <c r="F70" s="258">
        <v>0</v>
      </c>
      <c r="G70" s="258">
        <v>0</v>
      </c>
      <c r="H70" s="258">
        <v>0</v>
      </c>
      <c r="I70" s="258">
        <v>0</v>
      </c>
      <c r="J70" s="258">
        <v>0</v>
      </c>
      <c r="K70" s="258">
        <v>0</v>
      </c>
      <c r="L70" s="258">
        <v>0</v>
      </c>
    </row>
    <row r="71" spans="1:12" s="1046" customFormat="1" ht="15" customHeight="1">
      <c r="A71" s="1044"/>
      <c r="B71" s="1045" t="s">
        <v>390</v>
      </c>
      <c r="C71" s="258">
        <f>SUM(C72:C77)</f>
        <v>132</v>
      </c>
      <c r="D71" s="258">
        <f t="shared" ref="D71:E71" si="8">SUM(D72:D77)</f>
        <v>10338</v>
      </c>
      <c r="E71" s="258">
        <f t="shared" si="8"/>
        <v>0</v>
      </c>
      <c r="F71" s="258">
        <v>11923.6</v>
      </c>
      <c r="G71" s="258">
        <v>0</v>
      </c>
      <c r="H71" s="258">
        <v>18923.2</v>
      </c>
      <c r="I71" s="258">
        <v>1593</v>
      </c>
      <c r="J71" s="258">
        <v>1593</v>
      </c>
      <c r="K71" s="258">
        <v>1696.0053600000001</v>
      </c>
      <c r="L71" s="258">
        <v>1790.4935608776</v>
      </c>
    </row>
    <row r="72" spans="1:12" s="4" customFormat="1" ht="15" customHeight="1">
      <c r="A72" s="17"/>
      <c r="B72" s="51" t="s">
        <v>961</v>
      </c>
      <c r="C72" s="308"/>
      <c r="D72" s="308">
        <f>'4.6_транзит_КТЭЦ'!D72+'4.6_сбыт_КТЭЦ'!D72</f>
        <v>0</v>
      </c>
      <c r="E72" s="308"/>
      <c r="F72" s="308">
        <v>414</v>
      </c>
      <c r="G72" s="308">
        <v>0</v>
      </c>
      <c r="H72" s="308">
        <v>474</v>
      </c>
      <c r="I72" s="308">
        <v>498</v>
      </c>
      <c r="J72" s="308">
        <v>498</v>
      </c>
      <c r="K72" s="308">
        <v>526.54536000000007</v>
      </c>
      <c r="L72" s="308">
        <v>552.03542087760002</v>
      </c>
    </row>
    <row r="73" spans="1:12" s="4" customFormat="1" ht="15" customHeight="1">
      <c r="A73" s="17"/>
      <c r="B73" s="51" t="s">
        <v>962</v>
      </c>
      <c r="C73" s="308"/>
      <c r="D73" s="308">
        <f>'4.6_транзит_КТЭЦ'!D73+'4.6_сбыт_КТЭЦ'!D73</f>
        <v>0</v>
      </c>
      <c r="E73" s="308"/>
      <c r="F73" s="308">
        <v>0</v>
      </c>
      <c r="G73" s="308">
        <v>0</v>
      </c>
      <c r="H73" s="308">
        <v>0</v>
      </c>
      <c r="I73" s="308">
        <v>0</v>
      </c>
      <c r="J73" s="308">
        <v>0</v>
      </c>
      <c r="K73" s="308">
        <v>0</v>
      </c>
      <c r="L73" s="308">
        <v>0</v>
      </c>
    </row>
    <row r="74" spans="1:12" s="4" customFormat="1" ht="15" customHeight="1">
      <c r="A74" s="17"/>
      <c r="B74" s="51" t="s">
        <v>963</v>
      </c>
      <c r="C74" s="308">
        <f>61+71</f>
        <v>132</v>
      </c>
      <c r="D74" s="308">
        <f>'4.6_транзит_КТЭЦ'!D74+'4.6_сбыт_КТЭЦ'!D74</f>
        <v>10338</v>
      </c>
      <c r="E74" s="308"/>
      <c r="F74" s="308">
        <v>11509.6</v>
      </c>
      <c r="G74" s="308">
        <v>0</v>
      </c>
      <c r="H74" s="308">
        <v>18449.2</v>
      </c>
      <c r="I74" s="308">
        <v>1095</v>
      </c>
      <c r="J74" s="308">
        <v>1095</v>
      </c>
      <c r="K74" s="308">
        <v>1169.46</v>
      </c>
      <c r="L74" s="308">
        <v>1238.45814</v>
      </c>
    </row>
    <row r="75" spans="1:12" s="4" customFormat="1" ht="15" hidden="1" customHeight="1">
      <c r="A75" s="17"/>
      <c r="B75" s="51"/>
      <c r="C75" s="241"/>
      <c r="D75" s="241">
        <f>'4.6_транзит_КТЭЦ'!D75+'4.6_сбыт_КТЭЦ'!D75</f>
        <v>0</v>
      </c>
      <c r="E75" s="241"/>
      <c r="F75" s="241">
        <v>0</v>
      </c>
      <c r="G75" s="241">
        <v>0</v>
      </c>
      <c r="H75" s="241">
        <v>0</v>
      </c>
      <c r="I75" s="241">
        <v>0</v>
      </c>
      <c r="J75" s="241">
        <v>0</v>
      </c>
      <c r="K75" s="241">
        <v>0</v>
      </c>
      <c r="L75" s="241">
        <v>0</v>
      </c>
    </row>
    <row r="76" spans="1:12" s="4" customFormat="1" ht="15" hidden="1" customHeight="1">
      <c r="A76" s="17"/>
      <c r="B76" s="51"/>
      <c r="C76" s="241"/>
      <c r="D76" s="241"/>
      <c r="E76" s="241"/>
      <c r="F76" s="241"/>
      <c r="G76" s="241"/>
      <c r="H76" s="241"/>
      <c r="I76" s="241"/>
      <c r="J76" s="241"/>
      <c r="K76" s="241"/>
      <c r="L76" s="241"/>
    </row>
    <row r="77" spans="1:12" s="4" customFormat="1" ht="15" hidden="1" customHeight="1">
      <c r="A77" s="17"/>
      <c r="B77" s="51"/>
      <c r="C77" s="241"/>
      <c r="D77" s="241"/>
      <c r="E77" s="241"/>
      <c r="F77" s="241"/>
      <c r="G77" s="241"/>
      <c r="H77" s="241"/>
      <c r="I77" s="241"/>
      <c r="J77" s="241"/>
      <c r="K77" s="241"/>
      <c r="L77" s="241"/>
    </row>
    <row r="78" spans="1:12" s="1034" customFormat="1" ht="30.75" customHeight="1">
      <c r="A78" s="1030" t="s">
        <v>391</v>
      </c>
      <c r="B78" s="1031" t="s">
        <v>392</v>
      </c>
      <c r="C78" s="1032">
        <f>SUM(C79:C82)</f>
        <v>16058</v>
      </c>
      <c r="D78" s="1032">
        <f t="shared" ref="D78:E78" si="9">SUM(D79:D82)</f>
        <v>34795</v>
      </c>
      <c r="E78" s="1032">
        <f t="shared" si="9"/>
        <v>0</v>
      </c>
      <c r="F78" s="1032">
        <v>229262</v>
      </c>
      <c r="G78" s="1032">
        <v>0</v>
      </c>
      <c r="H78" s="1032">
        <v>53659.199999999997</v>
      </c>
      <c r="I78" s="1032">
        <v>13833</v>
      </c>
      <c r="J78" s="1032">
        <v>110966.944</v>
      </c>
      <c r="K78" s="1032">
        <v>326640.84400000004</v>
      </c>
      <c r="L78" s="1032">
        <v>277874.69795599999</v>
      </c>
    </row>
    <row r="79" spans="1:12" s="1046" customFormat="1" ht="30">
      <c r="A79" s="1044"/>
      <c r="B79" s="1045" t="s">
        <v>393</v>
      </c>
      <c r="C79" s="258">
        <v>8904</v>
      </c>
      <c r="D79" s="258">
        <f>'4.6_транзит_КТЭЦ'!D79+'4.6_сбыт_КТЭЦ'!D79</f>
        <v>0</v>
      </c>
      <c r="E79" s="258"/>
      <c r="F79" s="258">
        <v>0</v>
      </c>
      <c r="G79" s="258">
        <v>0</v>
      </c>
      <c r="H79" s="258">
        <v>0</v>
      </c>
      <c r="I79" s="258">
        <v>0</v>
      </c>
      <c r="J79" s="258">
        <v>0</v>
      </c>
      <c r="K79" s="258">
        <v>0</v>
      </c>
      <c r="L79" s="258">
        <v>0</v>
      </c>
    </row>
    <row r="80" spans="1:12" s="1046" customFormat="1" ht="30" customHeight="1">
      <c r="A80" s="1044"/>
      <c r="B80" s="1045" t="s">
        <v>394</v>
      </c>
      <c r="C80" s="258">
        <f>5068+272</f>
        <v>5340</v>
      </c>
      <c r="D80" s="258">
        <f>'4.6_транзит_КТЭЦ'!D80+'4.6_сбыт_КТЭЦ'!D80</f>
        <v>5037</v>
      </c>
      <c r="E80" s="258"/>
      <c r="F80" s="258">
        <v>6054</v>
      </c>
      <c r="G80" s="258">
        <v>0</v>
      </c>
      <c r="H80" s="258">
        <v>6451.9</v>
      </c>
      <c r="I80" s="258">
        <v>7161</v>
      </c>
      <c r="J80" s="258">
        <v>7161</v>
      </c>
      <c r="K80" s="258">
        <v>7647.9480000000003</v>
      </c>
      <c r="L80" s="258">
        <v>8099.1769320000003</v>
      </c>
    </row>
    <row r="81" spans="1:12" s="1046" customFormat="1" ht="15" customHeight="1">
      <c r="A81" s="1044"/>
      <c r="B81" s="1045" t="s">
        <v>1568</v>
      </c>
      <c r="C81" s="258"/>
      <c r="D81" s="258">
        <f>'4.6_транзит_КТЭЦ'!D81+'4.6_сбыт_КТЭЦ'!D81</f>
        <v>28997</v>
      </c>
      <c r="E81" s="258"/>
      <c r="F81" s="258">
        <v>221704</v>
      </c>
      <c r="G81" s="258">
        <v>0</v>
      </c>
      <c r="H81" s="258">
        <v>45526.299999999996</v>
      </c>
      <c r="I81" s="258">
        <v>0</v>
      </c>
      <c r="J81" s="258">
        <v>326.94400000000002</v>
      </c>
      <c r="K81" s="258">
        <v>202017.76</v>
      </c>
      <c r="L81" s="258">
        <v>145699</v>
      </c>
    </row>
    <row r="82" spans="1:12" s="1046" customFormat="1" ht="28.5" customHeight="1">
      <c r="A82" s="1044"/>
      <c r="B82" s="1045" t="s">
        <v>1957</v>
      </c>
      <c r="C82" s="258">
        <f>667+1147</f>
        <v>1814</v>
      </c>
      <c r="D82" s="258">
        <f>'4.6_транзит_КТЭЦ'!D82+'4.6_сбыт_КТЭЦ'!D82</f>
        <v>761</v>
      </c>
      <c r="E82" s="258"/>
      <c r="F82" s="258">
        <v>1504</v>
      </c>
      <c r="G82" s="258">
        <v>0</v>
      </c>
      <c r="H82" s="258">
        <v>1681</v>
      </c>
      <c r="I82" s="258">
        <v>6672</v>
      </c>
      <c r="J82" s="258">
        <v>103479</v>
      </c>
      <c r="K82" s="258">
        <v>116975.136</v>
      </c>
      <c r="L82" s="258">
        <v>124076.521024</v>
      </c>
    </row>
    <row r="83" spans="1:12" s="1034" customFormat="1" ht="15" customHeight="1">
      <c r="A83" s="1030" t="s">
        <v>395</v>
      </c>
      <c r="B83" s="1031" t="s">
        <v>396</v>
      </c>
      <c r="C83" s="1383">
        <f>(C68+C69+C70+C78)/0.8*0.2</f>
        <v>44517</v>
      </c>
      <c r="D83" s="1383">
        <f t="shared" ref="D83" si="10">(D68+D69+D70+D78)/0.8*0.2</f>
        <v>184141</v>
      </c>
      <c r="E83" s="1032">
        <f>E78/0.8*0.2</f>
        <v>0</v>
      </c>
      <c r="F83" s="1032">
        <v>57315.5</v>
      </c>
      <c r="G83" s="1032">
        <v>0</v>
      </c>
      <c r="H83" s="1032">
        <v>274912.16100000002</v>
      </c>
      <c r="I83" s="1032">
        <v>16416.849236170998</v>
      </c>
      <c r="J83" s="1032">
        <v>40700.335236170999</v>
      </c>
      <c r="K83" s="1032">
        <v>94292.46100000001</v>
      </c>
      <c r="L83" s="1032">
        <v>69468.674488999997</v>
      </c>
    </row>
    <row r="84" spans="1:12" s="1034" customFormat="1" ht="15" customHeight="1">
      <c r="A84" s="1030" t="s">
        <v>397</v>
      </c>
      <c r="B84" s="1031" t="s">
        <v>398</v>
      </c>
      <c r="C84" s="1032">
        <f>C85-C88</f>
        <v>-170673</v>
      </c>
      <c r="D84" s="1032">
        <f t="shared" ref="D84:E84" si="11">D85-D88</f>
        <v>0</v>
      </c>
      <c r="E84" s="1032">
        <f t="shared" si="11"/>
        <v>0</v>
      </c>
      <c r="F84" s="1032">
        <v>0</v>
      </c>
      <c r="G84" s="1032">
        <v>0</v>
      </c>
      <c r="H84" s="1032">
        <v>0</v>
      </c>
      <c r="I84" s="1032">
        <v>-59491</v>
      </c>
      <c r="J84" s="1032">
        <v>-59491</v>
      </c>
      <c r="K84" s="1032">
        <v>807618</v>
      </c>
      <c r="L84" s="1032">
        <v>0</v>
      </c>
    </row>
    <row r="85" spans="1:12" s="585" customFormat="1" ht="15" customHeight="1">
      <c r="A85" s="583"/>
      <c r="B85" s="582" t="s">
        <v>1140</v>
      </c>
      <c r="C85" s="587">
        <f>C86+C87</f>
        <v>87338</v>
      </c>
      <c r="D85" s="587">
        <f t="shared" ref="D85:E85" si="12">D86+D87</f>
        <v>0</v>
      </c>
      <c r="E85" s="587">
        <f t="shared" si="12"/>
        <v>0</v>
      </c>
      <c r="F85" s="587">
        <v>0</v>
      </c>
      <c r="G85" s="587">
        <v>0</v>
      </c>
      <c r="H85" s="587">
        <v>0</v>
      </c>
      <c r="I85" s="587">
        <v>166992</v>
      </c>
      <c r="J85" s="587">
        <v>166992</v>
      </c>
      <c r="K85" s="587">
        <v>847473</v>
      </c>
      <c r="L85" s="587">
        <v>0</v>
      </c>
    </row>
    <row r="86" spans="1:12" s="341" customFormat="1" ht="15" customHeight="1">
      <c r="A86" s="339"/>
      <c r="B86" s="340" t="s">
        <v>959</v>
      </c>
      <c r="C86" s="308">
        <v>87338</v>
      </c>
      <c r="D86" s="308">
        <f>'4.6_транзит_КТЭЦ'!D86+'4.6_сбыт_КТЭЦ'!D86</f>
        <v>0</v>
      </c>
      <c r="E86" s="308"/>
      <c r="F86" s="308">
        <v>0</v>
      </c>
      <c r="G86" s="308">
        <v>0</v>
      </c>
      <c r="H86" s="308">
        <v>0</v>
      </c>
      <c r="I86" s="308">
        <v>0</v>
      </c>
      <c r="J86" s="308">
        <v>0</v>
      </c>
      <c r="K86" s="308">
        <v>466060</v>
      </c>
      <c r="L86" s="308">
        <v>0</v>
      </c>
    </row>
    <row r="87" spans="1:12" s="341" customFormat="1" ht="15" customHeight="1">
      <c r="A87" s="339"/>
      <c r="B87" s="51" t="s">
        <v>960</v>
      </c>
      <c r="C87" s="241"/>
      <c r="D87" s="241">
        <f>'4.6_транзит_КТЭЦ'!D87+'4.6_сбыт_КТЭЦ'!D87</f>
        <v>0</v>
      </c>
      <c r="E87" s="241"/>
      <c r="F87" s="241">
        <v>0</v>
      </c>
      <c r="G87" s="241">
        <v>0</v>
      </c>
      <c r="H87" s="241">
        <v>0</v>
      </c>
      <c r="I87" s="241">
        <v>0</v>
      </c>
      <c r="J87" s="241">
        <v>0</v>
      </c>
      <c r="K87" s="241">
        <v>381413</v>
      </c>
      <c r="L87" s="241">
        <v>0</v>
      </c>
    </row>
    <row r="88" spans="1:12" s="588" customFormat="1" ht="15" customHeight="1">
      <c r="A88" s="586"/>
      <c r="B88" s="582" t="s">
        <v>1141</v>
      </c>
      <c r="C88" s="587">
        <f>C89+C90</f>
        <v>258011</v>
      </c>
      <c r="D88" s="587">
        <f t="shared" ref="D88:E88" si="13">D89+D90</f>
        <v>0</v>
      </c>
      <c r="E88" s="587">
        <f t="shared" si="13"/>
        <v>0</v>
      </c>
      <c r="F88" s="587">
        <v>0</v>
      </c>
      <c r="G88" s="587">
        <v>0</v>
      </c>
      <c r="H88" s="587">
        <v>0</v>
      </c>
      <c r="I88" s="587">
        <v>226483</v>
      </c>
      <c r="J88" s="587">
        <v>226483</v>
      </c>
      <c r="K88" s="587">
        <v>39855</v>
      </c>
      <c r="L88" s="587">
        <v>0</v>
      </c>
    </row>
    <row r="89" spans="1:12" s="341" customFormat="1" ht="15" customHeight="1">
      <c r="A89" s="339"/>
      <c r="B89" s="340" t="s">
        <v>959</v>
      </c>
      <c r="C89" s="241">
        <v>258011</v>
      </c>
      <c r="D89" s="241">
        <f>'4.6_транзит_КТЭЦ'!D89+'4.6_сбыт_КТЭЦ'!D89</f>
        <v>0</v>
      </c>
      <c r="E89" s="241"/>
      <c r="F89" s="241">
        <v>0</v>
      </c>
      <c r="G89" s="241">
        <v>0</v>
      </c>
      <c r="H89" s="241">
        <v>0</v>
      </c>
      <c r="I89" s="241">
        <v>0</v>
      </c>
      <c r="J89" s="241">
        <v>0</v>
      </c>
      <c r="K89" s="241">
        <v>39855</v>
      </c>
      <c r="L89" s="241">
        <v>0</v>
      </c>
    </row>
    <row r="90" spans="1:12" s="341" customFormat="1" ht="15" customHeight="1">
      <c r="A90" s="339"/>
      <c r="B90" s="51" t="s">
        <v>960</v>
      </c>
      <c r="C90" s="241"/>
      <c r="D90" s="241">
        <f>'4.6_транзит_КТЭЦ'!D90+'4.6_сбыт_КТЭЦ'!D90</f>
        <v>0</v>
      </c>
      <c r="E90" s="241"/>
      <c r="F90" s="241">
        <v>0</v>
      </c>
      <c r="G90" s="241">
        <v>0</v>
      </c>
      <c r="H90" s="241">
        <v>0</v>
      </c>
      <c r="I90" s="241">
        <v>0</v>
      </c>
      <c r="J90" s="241">
        <v>0</v>
      </c>
      <c r="K90" s="241">
        <v>0</v>
      </c>
      <c r="L90" s="241">
        <v>0</v>
      </c>
    </row>
    <row r="91" spans="1:12" s="1055" customFormat="1" ht="15" customHeight="1">
      <c r="A91" s="1052" t="s">
        <v>399</v>
      </c>
      <c r="B91" s="1053" t="s">
        <v>400</v>
      </c>
      <c r="C91" s="1054">
        <f>C7+C67+C78+C83+C84-1</f>
        <v>963732</v>
      </c>
      <c r="D91" s="1054">
        <f>D7+D67+D78+D83+D84</f>
        <v>1855586.7718190001</v>
      </c>
      <c r="E91" s="1054">
        <f>E7+E67+E78+E83+E84</f>
        <v>0</v>
      </c>
      <c r="F91" s="1054">
        <v>2301215.467716</v>
      </c>
      <c r="G91" s="1054">
        <v>216477.61406699999</v>
      </c>
      <c r="H91" s="1054">
        <v>2528350.2395615899</v>
      </c>
      <c r="I91" s="1054">
        <v>223410.24618085497</v>
      </c>
      <c r="J91" s="1054">
        <v>1460050.3719671147</v>
      </c>
      <c r="K91" s="1054">
        <v>2677951.8851237562</v>
      </c>
      <c r="L91" s="1054">
        <v>1827624.5334158447</v>
      </c>
    </row>
    <row r="92" spans="1:12" s="4" customFormat="1" ht="15" customHeight="1">
      <c r="A92" s="17" t="s">
        <v>401</v>
      </c>
      <c r="B92" s="51" t="s">
        <v>1269</v>
      </c>
      <c r="C92" s="241"/>
      <c r="D92" s="241"/>
      <c r="E92" s="241"/>
      <c r="F92" s="241"/>
      <c r="G92" s="241"/>
      <c r="H92" s="241"/>
      <c r="I92" s="241"/>
      <c r="J92" s="241"/>
      <c r="K92" s="241"/>
      <c r="L92" s="241"/>
    </row>
    <row r="93" spans="1:12" s="4" customFormat="1" ht="15" customHeight="1">
      <c r="A93" s="17" t="s">
        <v>403</v>
      </c>
      <c r="B93" s="51" t="s">
        <v>1270</v>
      </c>
      <c r="C93" s="241">
        <f>C91-C94-C95</f>
        <v>963732</v>
      </c>
      <c r="D93" s="241">
        <f t="shared" ref="D93:E93" si="14">D91-D94-D95</f>
        <v>1855586.7718190001</v>
      </c>
      <c r="E93" s="241">
        <f t="shared" si="14"/>
        <v>0</v>
      </c>
      <c r="F93" s="241">
        <v>2301215.467716</v>
      </c>
      <c r="G93" s="241">
        <v>216477.61406699999</v>
      </c>
      <c r="H93" s="241">
        <v>2528350.2395615899</v>
      </c>
      <c r="I93" s="241">
        <v>223410.24618085497</v>
      </c>
      <c r="J93" s="241">
        <v>1460050.3719671147</v>
      </c>
      <c r="K93" s="241">
        <v>2677951.8851237562</v>
      </c>
      <c r="L93" s="241">
        <v>1827624.5334158447</v>
      </c>
    </row>
    <row r="94" spans="1:12" s="4" customFormat="1" ht="15" customHeight="1">
      <c r="A94" s="17" t="s">
        <v>405</v>
      </c>
      <c r="B94" s="51" t="s">
        <v>1271</v>
      </c>
      <c r="C94" s="241"/>
      <c r="D94" s="241"/>
      <c r="E94" s="241"/>
      <c r="F94" s="241"/>
      <c r="G94" s="241"/>
      <c r="H94" s="241"/>
      <c r="I94" s="241"/>
      <c r="J94" s="241"/>
      <c r="K94" s="241"/>
      <c r="L94" s="241"/>
    </row>
    <row r="95" spans="1:12" s="4" customFormat="1" ht="15" customHeight="1">
      <c r="A95" s="17" t="s">
        <v>407</v>
      </c>
      <c r="B95" s="51" t="s">
        <v>408</v>
      </c>
      <c r="C95" s="241"/>
      <c r="D95" s="241"/>
      <c r="E95" s="241"/>
      <c r="F95" s="241"/>
      <c r="G95" s="241"/>
      <c r="H95" s="241"/>
      <c r="I95" s="241"/>
      <c r="J95" s="241"/>
      <c r="K95" s="241"/>
      <c r="L95" s="241"/>
    </row>
    <row r="96" spans="1:12" s="4" customFormat="1" ht="15" customHeight="1">
      <c r="A96" s="17"/>
      <c r="B96" s="51"/>
      <c r="C96" s="241"/>
      <c r="D96" s="241"/>
      <c r="E96" s="241"/>
      <c r="F96" s="241"/>
      <c r="G96" s="241"/>
      <c r="H96" s="241"/>
      <c r="I96" s="241"/>
      <c r="J96" s="241"/>
      <c r="K96" s="241"/>
      <c r="L96" s="241"/>
    </row>
    <row r="97" spans="1:12" s="4" customFormat="1" ht="28.5">
      <c r="A97" s="17"/>
      <c r="B97" s="755" t="s">
        <v>1268</v>
      </c>
      <c r="C97" s="286">
        <v>911.68700000000001</v>
      </c>
      <c r="D97" s="286">
        <f>'4.3_КТЭЦ'!I8</f>
        <v>907.11299999999994</v>
      </c>
      <c r="E97" s="286">
        <f>'4.3_КТЭЦ'!M8</f>
        <v>911.197</v>
      </c>
      <c r="F97" s="286">
        <v>858.0397999999999</v>
      </c>
      <c r="G97" s="286">
        <v>904.44797589999962</v>
      </c>
      <c r="H97" s="286">
        <v>836.25261320499999</v>
      </c>
      <c r="I97" s="286">
        <v>0</v>
      </c>
      <c r="J97" s="286">
        <v>860.72499999999991</v>
      </c>
      <c r="K97" s="286">
        <v>860.72499999999991</v>
      </c>
      <c r="L97" s="286">
        <v>860.72499999999991</v>
      </c>
    </row>
    <row r="98" spans="1:12" s="4" customFormat="1" ht="15" customHeight="1">
      <c r="A98" s="17"/>
      <c r="B98" s="51"/>
      <c r="C98" s="241"/>
      <c r="D98" s="241"/>
      <c r="E98" s="241"/>
      <c r="F98" s="241"/>
      <c r="G98" s="241"/>
      <c r="H98" s="241"/>
      <c r="I98" s="241"/>
      <c r="J98" s="241"/>
      <c r="K98" s="241"/>
      <c r="L98" s="241"/>
    </row>
    <row r="99" spans="1:12" s="4" customFormat="1" ht="15" customHeight="1">
      <c r="A99" s="17"/>
      <c r="B99" s="253" t="s">
        <v>1266</v>
      </c>
      <c r="C99" s="428">
        <f>C93/C97</f>
        <v>1057.0864781443631</v>
      </c>
      <c r="D99" s="428">
        <f t="shared" ref="D99:E99" si="15">D93/D97</f>
        <v>2045.5960523319588</v>
      </c>
      <c r="E99" s="428">
        <f t="shared" si="15"/>
        <v>0</v>
      </c>
      <c r="F99" s="428">
        <v>2681.9449024579048</v>
      </c>
      <c r="G99" s="428">
        <v>239.34777879466984</v>
      </c>
      <c r="H99" s="428">
        <v>3023.4288056470168</v>
      </c>
      <c r="I99" s="428" t="e">
        <v>#DIV/0!</v>
      </c>
      <c r="J99" s="428">
        <v>1696.3029678086671</v>
      </c>
      <c r="K99" s="428">
        <v>3111.2746639446473</v>
      </c>
      <c r="L99" s="428">
        <v>2123.3547688470126</v>
      </c>
    </row>
    <row r="100" spans="1:12" s="4" customFormat="1" ht="15" customHeight="1">
      <c r="A100" s="17"/>
      <c r="B100" s="253" t="s">
        <v>1267</v>
      </c>
      <c r="C100" s="428" t="e">
        <f>C94/'4.2_КТЭЦ'!C25</f>
        <v>#DIV/0!</v>
      </c>
      <c r="D100" s="428">
        <f>D94/'4.2_КТЭЦ'!F25</f>
        <v>0</v>
      </c>
      <c r="E100" s="428">
        <f>'4.2_КТЭЦ'!I25</f>
        <v>0</v>
      </c>
      <c r="F100" s="428">
        <f>'4.2_КТЭЦ'!L25</f>
        <v>448.67099999999988</v>
      </c>
      <c r="G100" s="428"/>
      <c r="H100" s="428"/>
      <c r="I100" s="428"/>
      <c r="J100" s="428"/>
      <c r="K100" s="428">
        <f>'4.2_КТЭЦ'!AA25</f>
        <v>19.040000000000006</v>
      </c>
      <c r="L100" s="978"/>
    </row>
    <row r="101" spans="1:12" s="4" customFormat="1" ht="15" customHeight="1">
      <c r="A101" s="17"/>
      <c r="B101" s="1131" t="s">
        <v>1512</v>
      </c>
      <c r="C101" s="428"/>
      <c r="D101" s="428"/>
      <c r="E101" s="428"/>
      <c r="F101" s="428"/>
      <c r="G101" s="428"/>
      <c r="H101" s="428"/>
      <c r="I101" s="428"/>
      <c r="J101" s="428"/>
      <c r="K101" s="428"/>
      <c r="L101" s="978"/>
    </row>
    <row r="102" spans="1:12" s="4" customFormat="1" ht="15" customHeight="1">
      <c r="A102" s="17"/>
      <c r="B102" s="1131" t="s">
        <v>1513</v>
      </c>
      <c r="C102" s="428"/>
      <c r="D102" s="428"/>
      <c r="E102" s="428"/>
      <c r="F102" s="428"/>
      <c r="G102" s="428"/>
      <c r="H102" s="428"/>
      <c r="I102" s="428"/>
      <c r="J102" s="428"/>
      <c r="K102" s="428"/>
      <c r="L102" s="978"/>
    </row>
    <row r="103" spans="1:12" hidden="1">
      <c r="A103" s="253" t="s">
        <v>965</v>
      </c>
      <c r="B103" s="253"/>
      <c r="C103" s="308">
        <f>C67+C78+C83+C87-C90</f>
        <v>222717</v>
      </c>
      <c r="D103" s="308">
        <f t="shared" ref="D103:K103" si="16">D67+D78+D83+D87-D90</f>
        <v>931043</v>
      </c>
      <c r="E103" s="308">
        <f t="shared" si="16"/>
        <v>0</v>
      </c>
      <c r="F103" s="308">
        <f t="shared" si="16"/>
        <v>1283063.1000000001</v>
      </c>
      <c r="G103" s="308"/>
      <c r="H103" s="308"/>
      <c r="I103" s="308"/>
      <c r="J103" s="308"/>
      <c r="K103" s="308">
        <f t="shared" si="16"/>
        <v>854571.31036</v>
      </c>
      <c r="L103" s="762"/>
    </row>
    <row r="104" spans="1:12">
      <c r="A104" s="1776"/>
      <c r="B104" s="1776"/>
      <c r="C104" s="762"/>
      <c r="D104" s="762"/>
      <c r="E104" s="762"/>
      <c r="F104" s="762"/>
      <c r="G104" s="762"/>
      <c r="H104" s="762">
        <f>'4.6_транзит_КТЭЦ'!H93+'4.6_сбыт_КТЭЦ'!H93</f>
        <v>2528350.2395615904</v>
      </c>
      <c r="I104" s="762"/>
      <c r="J104" s="762">
        <f>'4.6_транзит_КТЭЦ'!J93+'4.6_сбыт_КТЭЦ'!J93</f>
        <v>1460050.371967115</v>
      </c>
      <c r="K104" s="762">
        <f>'4.6_транзит_КТЭЦ'!K93+'4.6_сбыт_КТЭЦ'!K93</f>
        <v>2677951.8851237562</v>
      </c>
      <c r="L104" s="762">
        <f>'4.6_транзит_КТЭЦ'!L93+'4.6_сбыт_КТЭЦ'!L93</f>
        <v>1827624.5334158447</v>
      </c>
    </row>
    <row r="105" spans="1:12" s="26" customFormat="1">
      <c r="A105" s="26" t="s">
        <v>88</v>
      </c>
    </row>
    <row r="106" spans="1:12" s="945" customFormat="1" ht="58.5" customHeight="1">
      <c r="A106" s="945" t="s">
        <v>89</v>
      </c>
      <c r="B106" s="1842" t="s">
        <v>409</v>
      </c>
      <c r="C106" s="1842"/>
      <c r="D106" s="1842"/>
      <c r="E106" s="1842"/>
      <c r="F106" s="1842"/>
      <c r="G106" s="1842"/>
      <c r="H106" s="1842"/>
      <c r="I106" s="1842"/>
      <c r="J106" s="1842"/>
      <c r="K106" s="1842"/>
      <c r="L106" s="1629"/>
    </row>
    <row r="107" spans="1:12" s="945" customFormat="1" ht="58.5" customHeight="1">
      <c r="A107" s="945" t="s">
        <v>91</v>
      </c>
      <c r="B107" s="1842" t="s">
        <v>410</v>
      </c>
      <c r="C107" s="1842"/>
      <c r="D107" s="1842"/>
      <c r="E107" s="1842"/>
      <c r="F107" s="1842"/>
      <c r="G107" s="1842"/>
      <c r="H107" s="1842"/>
      <c r="I107" s="1842"/>
      <c r="J107" s="1842"/>
      <c r="K107" s="1842"/>
      <c r="L107" s="1629"/>
    </row>
    <row r="108" spans="1:12" s="945" customFormat="1" ht="58.5" customHeight="1">
      <c r="A108" s="945" t="s">
        <v>93</v>
      </c>
      <c r="B108" s="1842" t="s">
        <v>411</v>
      </c>
      <c r="C108" s="1842"/>
      <c r="D108" s="1842"/>
      <c r="E108" s="1842"/>
      <c r="F108" s="1842"/>
      <c r="G108" s="1842"/>
      <c r="H108" s="1842"/>
      <c r="I108" s="1842"/>
      <c r="J108" s="1842"/>
      <c r="K108" s="1842"/>
      <c r="L108" s="1629"/>
    </row>
    <row r="109" spans="1:12" ht="18.75" customHeight="1"/>
  </sheetData>
  <mergeCells count="4">
    <mergeCell ref="B106:K106"/>
    <mergeCell ref="B107:K107"/>
    <mergeCell ref="B108:K108"/>
    <mergeCell ref="A3:J3"/>
  </mergeCells>
  <pageMargins left="0.78740157480314965" right="0.31496062992125984" top="0.19685039370078741" bottom="0.19685039370078741" header="0.19685039370078741" footer="0.19685039370078741"/>
  <pageSetup paperSize="9" scale="50" orientation="portrait" r:id="rId1"/>
  <headerFooter alignWithMargins="0"/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</sheetPr>
  <dimension ref="A1:R109"/>
  <sheetViews>
    <sheetView view="pageBreakPreview" zoomScaleNormal="100" workbookViewId="0">
      <pane xSplit="2" ySplit="5" topLeftCell="I21" activePane="bottomRight" state="frozen"/>
      <selection activeCell="T22" sqref="T22"/>
      <selection pane="topRight" activeCell="T22" sqref="T22"/>
      <selection pane="bottomLeft" activeCell="T22" sqref="T22"/>
      <selection pane="bottomRight" activeCell="T22" sqref="T22"/>
    </sheetView>
  </sheetViews>
  <sheetFormatPr defaultColWidth="3.7109375" defaultRowHeight="15" outlineLevelRow="1"/>
  <cols>
    <col min="1" max="1" width="4.7109375" style="1" customWidth="1"/>
    <col min="2" max="2" width="41.42578125" style="1" customWidth="1"/>
    <col min="3" max="4" width="13.42578125" style="1" hidden="1" customWidth="1"/>
    <col min="5" max="9" width="13.42578125" style="1" customWidth="1"/>
    <col min="10" max="10" width="16.85546875" style="1" customWidth="1"/>
    <col min="11" max="11" width="12.7109375" style="1603" customWidth="1"/>
    <col min="12" max="12" width="12.140625" style="1" customWidth="1"/>
    <col min="13" max="16" width="12.28515625" style="1" customWidth="1"/>
    <col min="17" max="53" width="9.140625" style="1" customWidth="1"/>
    <col min="54" max="16384" width="3.7109375" style="1"/>
  </cols>
  <sheetData>
    <row r="1" spans="1:18" ht="12.75" customHeight="1">
      <c r="A1" s="74" t="s">
        <v>1860</v>
      </c>
      <c r="J1" s="23"/>
      <c r="K1" s="23"/>
      <c r="M1" s="23" t="s">
        <v>359</v>
      </c>
      <c r="N1" s="23"/>
      <c r="O1" s="23"/>
      <c r="P1" s="23"/>
    </row>
    <row r="2" spans="1:18" ht="12.75" customHeight="1">
      <c r="A2" s="759" t="str">
        <f>'3.1'!$A$2</f>
        <v>ПКГО - Комбинированная выработка КТЭЦ</v>
      </c>
      <c r="K2" s="763"/>
      <c r="M2" s="763"/>
    </row>
    <row r="3" spans="1:18" ht="18.75">
      <c r="A3" s="1877" t="s">
        <v>1148</v>
      </c>
      <c r="B3" s="1914"/>
      <c r="C3" s="1914"/>
      <c r="D3" s="1914"/>
      <c r="E3" s="1914"/>
      <c r="F3" s="1914"/>
      <c r="G3" s="1914"/>
      <c r="H3" s="1914"/>
      <c r="I3" s="1914"/>
      <c r="J3" s="1914"/>
      <c r="K3" s="1750"/>
      <c r="L3" s="1632"/>
      <c r="M3" s="1750"/>
      <c r="N3" s="1632"/>
      <c r="O3" s="1632"/>
      <c r="P3" s="1632"/>
    </row>
    <row r="4" spans="1:18" ht="14.25" customHeight="1">
      <c r="A4" s="1" t="s">
        <v>1531</v>
      </c>
      <c r="J4" s="23"/>
      <c r="K4" s="23"/>
      <c r="M4" s="23" t="s">
        <v>360</v>
      </c>
      <c r="N4" s="23"/>
      <c r="O4" s="23"/>
      <c r="P4" s="23"/>
    </row>
    <row r="5" spans="1:18" s="3" customFormat="1" ht="66">
      <c r="A5" s="913" t="s">
        <v>0</v>
      </c>
      <c r="B5" s="913" t="s">
        <v>1</v>
      </c>
      <c r="C5" s="944" t="s">
        <v>1534</v>
      </c>
      <c r="D5" s="913" t="s">
        <v>1130</v>
      </c>
      <c r="E5" s="944" t="s">
        <v>1520</v>
      </c>
      <c r="F5" s="913" t="s">
        <v>1695</v>
      </c>
      <c r="G5" s="1284" t="s">
        <v>1702</v>
      </c>
      <c r="H5" s="1576" t="s">
        <v>1828</v>
      </c>
      <c r="I5" s="1631" t="s">
        <v>1842</v>
      </c>
      <c r="J5" s="1631" t="s">
        <v>1861</v>
      </c>
      <c r="K5" s="1631" t="s">
        <v>1862</v>
      </c>
      <c r="L5" s="1631" t="s">
        <v>763</v>
      </c>
      <c r="M5" s="1631" t="s">
        <v>764</v>
      </c>
      <c r="N5" s="1631" t="s">
        <v>1863</v>
      </c>
      <c r="O5" s="1631" t="s">
        <v>763</v>
      </c>
      <c r="P5" s="1631" t="s">
        <v>764</v>
      </c>
    </row>
    <row r="6" spans="1:18" s="2" customFormat="1">
      <c r="A6" s="13">
        <v>1</v>
      </c>
      <c r="B6" s="13">
        <v>2</v>
      </c>
      <c r="C6" s="13">
        <v>3</v>
      </c>
      <c r="D6" s="13">
        <v>4</v>
      </c>
      <c r="E6" s="13">
        <v>3</v>
      </c>
      <c r="F6" s="13">
        <v>4</v>
      </c>
      <c r="G6" s="13">
        <v>5</v>
      </c>
      <c r="H6" s="13">
        <v>6</v>
      </c>
      <c r="I6" s="13">
        <v>7</v>
      </c>
      <c r="J6" s="13">
        <v>8</v>
      </c>
      <c r="K6" s="13">
        <v>9</v>
      </c>
      <c r="L6" s="13">
        <v>10</v>
      </c>
      <c r="M6" s="13">
        <v>11</v>
      </c>
      <c r="N6" s="1604">
        <v>13</v>
      </c>
      <c r="O6" s="13">
        <v>14</v>
      </c>
      <c r="P6" s="13">
        <v>15</v>
      </c>
    </row>
    <row r="7" spans="1:18" s="1041" customFormat="1" ht="30" customHeight="1">
      <c r="A7" s="1037" t="s">
        <v>361</v>
      </c>
      <c r="B7" s="1038" t="s">
        <v>362</v>
      </c>
      <c r="C7" s="1039">
        <f t="shared" ref="C7:E7" si="0">C8+SUM(C10:C15)+C20+SUM(C22:C25)+SUM(C56:C61)</f>
        <v>0</v>
      </c>
      <c r="D7" s="1039">
        <f t="shared" si="0"/>
        <v>953576.21481899999</v>
      </c>
      <c r="E7" s="1039">
        <f t="shared" si="0"/>
        <v>0</v>
      </c>
      <c r="F7" s="1039">
        <v>1037144.8434359999</v>
      </c>
      <c r="G7" s="1039">
        <v>125259.61406699999</v>
      </c>
      <c r="H7" s="1039">
        <v>1170889.0599215901</v>
      </c>
      <c r="I7" s="1039">
        <v>139371</v>
      </c>
      <c r="J7" s="1039">
        <v>1307115.6554662599</v>
      </c>
      <c r="K7" s="1039">
        <v>1386719.8797611962</v>
      </c>
      <c r="L7" s="1039">
        <v>702924.28781428002</v>
      </c>
      <c r="M7" s="1039">
        <v>683796.59194691596</v>
      </c>
      <c r="N7" s="1605">
        <v>1469847.2114107243</v>
      </c>
      <c r="O7" s="1039">
        <v>748674.59391993214</v>
      </c>
      <c r="P7" s="1039">
        <v>721172.61749079206</v>
      </c>
    </row>
    <row r="8" spans="1:18" s="1046" customFormat="1" ht="15" customHeight="1">
      <c r="A8" s="1044"/>
      <c r="B8" s="1045" t="s">
        <v>363</v>
      </c>
      <c r="C8" s="258">
        <f>'4.6_транзит_КТЭЦ'!C8</f>
        <v>0</v>
      </c>
      <c r="D8" s="258">
        <f>'4.6_транзит_КТЭЦ'!D8+'4.6_косв.'!O8</f>
        <v>20831</v>
      </c>
      <c r="E8" s="258">
        <f>'4.6_транзит_КТЭЦ'!E8</f>
        <v>0</v>
      </c>
      <c r="F8" s="258">
        <v>21704</v>
      </c>
      <c r="G8" s="258">
        <v>0</v>
      </c>
      <c r="H8" s="258">
        <v>24379</v>
      </c>
      <c r="I8" s="258">
        <v>30091</v>
      </c>
      <c r="J8" s="258">
        <v>33007</v>
      </c>
      <c r="K8" s="258">
        <v>37492.295720000002</v>
      </c>
      <c r="L8" s="258">
        <v>13122.303502000001</v>
      </c>
      <c r="M8" s="258">
        <v>24369.992217999999</v>
      </c>
      <c r="N8" s="258">
        <v>36588.4199536284</v>
      </c>
      <c r="O8" s="258">
        <v>12805.94698376994</v>
      </c>
      <c r="P8" s="258">
        <v>23782.47296985846</v>
      </c>
    </row>
    <row r="9" spans="1:18" s="4" customFormat="1" ht="15" customHeight="1">
      <c r="A9" s="17"/>
      <c r="B9" s="580" t="s">
        <v>1134</v>
      </c>
      <c r="C9" s="751">
        <f>'4.6_транзит_КТЭЦ'!C9</f>
        <v>0</v>
      </c>
      <c r="D9" s="751">
        <f>'4.6_транзит_КТЭЦ'!D9+'4.6_косв.'!O9</f>
        <v>9271</v>
      </c>
      <c r="E9" s="751">
        <f>'4.6_транзит_КТЭЦ'!E9</f>
        <v>0</v>
      </c>
      <c r="F9" s="751">
        <v>9712</v>
      </c>
      <c r="G9" s="751">
        <v>0</v>
      </c>
      <c r="H9" s="751">
        <v>11855</v>
      </c>
      <c r="I9" s="751">
        <v>6970</v>
      </c>
      <c r="J9" s="751">
        <v>9886</v>
      </c>
      <c r="K9" s="751">
        <v>13046</v>
      </c>
      <c r="L9" s="751">
        <v>4566.0999999999995</v>
      </c>
      <c r="M9" s="751">
        <v>8479.9000000000015</v>
      </c>
      <c r="N9" s="751">
        <v>10958.679057823199</v>
      </c>
      <c r="O9" s="751">
        <v>3835.5376702381195</v>
      </c>
      <c r="P9" s="751">
        <v>7123.1413875850794</v>
      </c>
    </row>
    <row r="10" spans="1:18" s="1046" customFormat="1" ht="15" customHeight="1">
      <c r="A10" s="1044"/>
      <c r="B10" s="1045" t="s">
        <v>364</v>
      </c>
      <c r="C10" s="258">
        <f>'4.6_транзит_КТЭЦ'!C10</f>
        <v>0</v>
      </c>
      <c r="D10" s="258">
        <f>'4.6_транзит_КТЭЦ'!D10+'4.6_косв.'!O10</f>
        <v>0</v>
      </c>
      <c r="E10" s="258">
        <f>'4.6_транзит_КТЭЦ'!E10</f>
        <v>0</v>
      </c>
      <c r="F10" s="258">
        <v>0</v>
      </c>
      <c r="G10" s="258">
        <v>0</v>
      </c>
      <c r="H10" s="258">
        <v>0</v>
      </c>
      <c r="I10" s="258">
        <v>0</v>
      </c>
      <c r="J10" s="258">
        <v>0</v>
      </c>
      <c r="K10" s="258">
        <v>0</v>
      </c>
      <c r="L10" s="258">
        <v>0</v>
      </c>
      <c r="M10" s="258">
        <v>0</v>
      </c>
      <c r="N10" s="258">
        <v>0</v>
      </c>
      <c r="O10" s="258">
        <v>0</v>
      </c>
      <c r="P10" s="258">
        <v>0</v>
      </c>
    </row>
    <row r="11" spans="1:18" s="1046" customFormat="1" ht="30">
      <c r="A11" s="1044"/>
      <c r="B11" s="1045" t="s">
        <v>365</v>
      </c>
      <c r="C11" s="258">
        <f>'4.6_транзит_КТЭЦ'!C11</f>
        <v>0</v>
      </c>
      <c r="D11" s="258">
        <f>'4.6_транзит_КТЭЦ'!D11+'4.6_косв.'!O11</f>
        <v>96621.292518999995</v>
      </c>
      <c r="E11" s="258">
        <f>'4.6_транзит_КТЭЦ'!E11</f>
        <v>0</v>
      </c>
      <c r="F11" s="258">
        <v>103600.51057999999</v>
      </c>
      <c r="G11" s="258">
        <v>119427.15758699999</v>
      </c>
      <c r="H11" s="258">
        <v>112631.43554158999</v>
      </c>
      <c r="I11" s="258">
        <v>0</v>
      </c>
      <c r="J11" s="258">
        <v>125955.85906625999</v>
      </c>
      <c r="K11" s="258">
        <v>137662.18967315598</v>
      </c>
      <c r="L11" s="258">
        <v>78187.192576999994</v>
      </c>
      <c r="M11" s="258">
        <v>59474.997096155988</v>
      </c>
      <c r="N11" s="258">
        <v>150260.95930468291</v>
      </c>
      <c r="O11" s="258">
        <v>85849.537449545969</v>
      </c>
      <c r="P11" s="258">
        <v>64411.421855136941</v>
      </c>
    </row>
    <row r="12" spans="1:18" s="1046" customFormat="1" ht="15" customHeight="1">
      <c r="A12" s="1044"/>
      <c r="B12" s="1045" t="s">
        <v>366</v>
      </c>
      <c r="C12" s="258">
        <f>'4.6_транзит_КТЭЦ'!C12</f>
        <v>0</v>
      </c>
      <c r="D12" s="258">
        <f>'4.6_транзит_КТЭЦ'!D12+'4.6_косв.'!O12</f>
        <v>5797</v>
      </c>
      <c r="E12" s="258">
        <f>'4.6_транзит_КТЭЦ'!E12</f>
        <v>0</v>
      </c>
      <c r="F12" s="258">
        <v>4770</v>
      </c>
      <c r="G12" s="258">
        <v>5832.4564799999998</v>
      </c>
      <c r="H12" s="258">
        <v>12200.832200000001</v>
      </c>
      <c r="I12" s="258">
        <v>0</v>
      </c>
      <c r="J12" s="258">
        <v>10311.43672</v>
      </c>
      <c r="K12" s="258">
        <v>10668.3758906</v>
      </c>
      <c r="L12" s="258">
        <v>5381.2190399999999</v>
      </c>
      <c r="M12" s="258">
        <v>5287.1568506000003</v>
      </c>
      <c r="N12" s="258">
        <v>11395.988881517002</v>
      </c>
      <c r="O12" s="258">
        <v>5870.90997264</v>
      </c>
      <c r="P12" s="258">
        <v>5525.0789088769998</v>
      </c>
    </row>
    <row r="13" spans="1:18" s="1046" customFormat="1" ht="15" customHeight="1">
      <c r="A13" s="1044"/>
      <c r="B13" s="1045" t="s">
        <v>367</v>
      </c>
      <c r="C13" s="258">
        <f>'4.6_транзит_КТЭЦ'!C13</f>
        <v>0</v>
      </c>
      <c r="D13" s="258">
        <f>'4.6_транзит_КТЭЦ'!D13+'4.6_косв.'!O13</f>
        <v>0</v>
      </c>
      <c r="E13" s="258">
        <f>'4.6_транзит_КТЭЦ'!E13</f>
        <v>0</v>
      </c>
      <c r="F13" s="258">
        <v>0</v>
      </c>
      <c r="G13" s="258">
        <v>0</v>
      </c>
      <c r="H13" s="258">
        <v>0</v>
      </c>
      <c r="I13" s="258">
        <v>0</v>
      </c>
      <c r="J13" s="258">
        <v>0</v>
      </c>
      <c r="K13" s="258">
        <v>0</v>
      </c>
      <c r="L13" s="258"/>
      <c r="M13" s="258">
        <v>0</v>
      </c>
      <c r="N13" s="258">
        <v>0</v>
      </c>
      <c r="O13" s="258"/>
      <c r="P13" s="258">
        <v>0</v>
      </c>
    </row>
    <row r="14" spans="1:18" s="1046" customFormat="1" ht="30">
      <c r="A14" s="1044"/>
      <c r="B14" s="1045" t="s">
        <v>368</v>
      </c>
      <c r="C14" s="258">
        <f>'4.6_транзит_КТЭЦ'!C14</f>
        <v>0</v>
      </c>
      <c r="D14" s="258">
        <f>'4.6_транзит_КТЭЦ'!D14+'4.6_косв.'!O14</f>
        <v>20844</v>
      </c>
      <c r="E14" s="258">
        <f>'4.6_транзит_КТЭЦ'!E14</f>
        <v>0</v>
      </c>
      <c r="F14" s="258">
        <v>29935</v>
      </c>
      <c r="G14" s="258">
        <v>0</v>
      </c>
      <c r="H14" s="258">
        <v>33524</v>
      </c>
      <c r="I14" s="258">
        <v>0</v>
      </c>
      <c r="J14" s="258">
        <v>42457</v>
      </c>
      <c r="K14" s="258">
        <v>56960</v>
      </c>
      <c r="L14" s="258">
        <v>28287</v>
      </c>
      <c r="M14" s="258">
        <v>28673</v>
      </c>
      <c r="N14" s="258">
        <v>59922</v>
      </c>
      <c r="O14" s="258">
        <v>29796</v>
      </c>
      <c r="P14" s="258">
        <v>30126</v>
      </c>
    </row>
    <row r="15" spans="1:18" s="1046" customFormat="1" ht="15" customHeight="1">
      <c r="A15" s="1044"/>
      <c r="B15" s="1045" t="s">
        <v>1135</v>
      </c>
      <c r="C15" s="258">
        <f>C16+C18+C19</f>
        <v>0</v>
      </c>
      <c r="D15" s="258">
        <f t="shared" ref="D15" si="1">D16+D18+D19</f>
        <v>405182</v>
      </c>
      <c r="E15" s="258">
        <f>E16+E18+E19</f>
        <v>0</v>
      </c>
      <c r="F15" s="258">
        <v>456981</v>
      </c>
      <c r="G15" s="258">
        <v>0</v>
      </c>
      <c r="H15" s="258">
        <v>512015.04608000006</v>
      </c>
      <c r="I15" s="258"/>
      <c r="J15" s="258">
        <v>551149.95967999997</v>
      </c>
      <c r="K15" s="258">
        <v>615099.13443743996</v>
      </c>
      <c r="L15" s="258">
        <v>295657.60497727996</v>
      </c>
      <c r="M15" s="258">
        <v>319442.52946016</v>
      </c>
      <c r="N15" s="258">
        <v>651241.74775123992</v>
      </c>
      <c r="O15" s="258">
        <v>315515.69001339993</v>
      </c>
      <c r="P15" s="258">
        <v>335726.05773783993</v>
      </c>
      <c r="Q15" s="1441"/>
      <c r="R15" s="1441"/>
    </row>
    <row r="16" spans="1:18" s="341" customFormat="1" ht="15" customHeight="1">
      <c r="A16" s="339"/>
      <c r="B16" s="581" t="s">
        <v>1136</v>
      </c>
      <c r="C16" s="766">
        <f>'4.6_транзит_КТЭЦ'!C16</f>
        <v>0</v>
      </c>
      <c r="D16" s="766">
        <f>'4.6_транзит_КТЭЦ'!D16+'4.6_косв.'!O16</f>
        <v>393093</v>
      </c>
      <c r="E16" s="766">
        <f>'4.6_транзит_КТЭЦ'!E16</f>
        <v>0</v>
      </c>
      <c r="F16" s="766">
        <v>444869</v>
      </c>
      <c r="G16" s="766">
        <v>0</v>
      </c>
      <c r="H16" s="766">
        <v>498097.04608000006</v>
      </c>
      <c r="I16" s="766"/>
      <c r="J16" s="766">
        <v>535479.95967999997</v>
      </c>
      <c r="K16" s="766">
        <v>597617.13443743996</v>
      </c>
      <c r="L16" s="766">
        <v>286916.10497727996</v>
      </c>
      <c r="M16" s="766">
        <v>310701.02946016</v>
      </c>
      <c r="N16" s="766">
        <v>632908.74775123992</v>
      </c>
      <c r="O16" s="766">
        <v>306349.19001339993</v>
      </c>
      <c r="P16" s="766">
        <v>326559.55773783993</v>
      </c>
      <c r="Q16" s="1441"/>
      <c r="R16" s="1441"/>
    </row>
    <row r="17" spans="1:16" s="341" customFormat="1" ht="15" customHeight="1">
      <c r="A17" s="339"/>
      <c r="B17" s="580" t="s">
        <v>1134</v>
      </c>
      <c r="C17" s="751">
        <f>'4.6_транзит_КТЭЦ'!C17</f>
        <v>0</v>
      </c>
      <c r="D17" s="751">
        <f>'4.6_транзит_КТЭЦ'!D17+'4.6_косв.'!O17</f>
        <v>18533</v>
      </c>
      <c r="E17" s="751">
        <f>'4.6_транзит_КТЭЦ'!E17</f>
        <v>0</v>
      </c>
      <c r="F17" s="751">
        <v>19022</v>
      </c>
      <c r="G17" s="751">
        <v>0</v>
      </c>
      <c r="H17" s="751">
        <v>20913</v>
      </c>
      <c r="I17" s="751">
        <v>0</v>
      </c>
      <c r="J17" s="751">
        <v>24093</v>
      </c>
      <c r="K17" s="751">
        <v>27537</v>
      </c>
      <c r="L17" s="752">
        <v>13219</v>
      </c>
      <c r="M17" s="751">
        <v>14318</v>
      </c>
      <c r="N17" s="751">
        <v>29145</v>
      </c>
      <c r="O17" s="752">
        <v>13219</v>
      </c>
      <c r="P17" s="751">
        <v>15926</v>
      </c>
    </row>
    <row r="18" spans="1:16" s="341" customFormat="1" ht="15" customHeight="1">
      <c r="A18" s="339"/>
      <c r="B18" s="581" t="s">
        <v>1137</v>
      </c>
      <c r="C18" s="766">
        <f>'4.6_транзит_КТЭЦ'!C18</f>
        <v>0</v>
      </c>
      <c r="D18" s="766">
        <f>'4.6_транзит_КТЭЦ'!D18+'4.6_косв.'!O18</f>
        <v>7314</v>
      </c>
      <c r="E18" s="766">
        <f>'4.6_транзит_КТЭЦ'!E18</f>
        <v>0</v>
      </c>
      <c r="F18" s="766">
        <v>7919</v>
      </c>
      <c r="G18" s="766">
        <v>0</v>
      </c>
      <c r="H18" s="766">
        <v>9067</v>
      </c>
      <c r="I18" s="766"/>
      <c r="J18" s="766">
        <v>10737</v>
      </c>
      <c r="K18" s="766">
        <v>12949</v>
      </c>
      <c r="L18" s="766">
        <v>6475</v>
      </c>
      <c r="M18" s="766">
        <v>6475</v>
      </c>
      <c r="N18" s="766">
        <v>13532</v>
      </c>
      <c r="O18" s="766">
        <v>6766</v>
      </c>
      <c r="P18" s="766">
        <v>6766</v>
      </c>
    </row>
    <row r="19" spans="1:16" s="341" customFormat="1" ht="15" customHeight="1">
      <c r="A19" s="339"/>
      <c r="B19" s="581" t="s">
        <v>1138</v>
      </c>
      <c r="C19" s="766">
        <f>'4.6_транзит_КТЭЦ'!C19</f>
        <v>0</v>
      </c>
      <c r="D19" s="766">
        <f>'4.6_транзит_КТЭЦ'!D19+'4.6_косв.'!O19</f>
        <v>4775</v>
      </c>
      <c r="E19" s="766">
        <f>'4.6_транзит_КТЭЦ'!E19</f>
        <v>0</v>
      </c>
      <c r="F19" s="766">
        <v>4193</v>
      </c>
      <c r="G19" s="766">
        <v>0</v>
      </c>
      <c r="H19" s="766">
        <v>4851</v>
      </c>
      <c r="I19" s="766">
        <v>0</v>
      </c>
      <c r="J19" s="766">
        <v>4933</v>
      </c>
      <c r="K19" s="766">
        <v>4533</v>
      </c>
      <c r="L19" s="981">
        <v>2266.5</v>
      </c>
      <c r="M19" s="766">
        <v>2266.5</v>
      </c>
      <c r="N19" s="766">
        <v>4801</v>
      </c>
      <c r="O19" s="981">
        <v>2400.5</v>
      </c>
      <c r="P19" s="766">
        <v>2400.5</v>
      </c>
    </row>
    <row r="20" spans="1:16" s="1046" customFormat="1">
      <c r="A20" s="1044"/>
      <c r="B20" s="1045" t="s">
        <v>369</v>
      </c>
      <c r="C20" s="258">
        <f>'4.6_транзит_КТЭЦ'!C20</f>
        <v>0</v>
      </c>
      <c r="D20" s="258">
        <f>'4.6_транзит_КТЭЦ'!D20+'4.6_косв.'!O20</f>
        <v>107056</v>
      </c>
      <c r="E20" s="258">
        <f>'4.6_транзит_КТЭЦ'!E20</f>
        <v>0</v>
      </c>
      <c r="F20" s="258">
        <v>121075</v>
      </c>
      <c r="G20" s="258">
        <v>0</v>
      </c>
      <c r="H20" s="258">
        <v>137367</v>
      </c>
      <c r="I20" s="258">
        <v>0</v>
      </c>
      <c r="J20" s="258">
        <v>147194</v>
      </c>
      <c r="K20" s="258">
        <v>166691</v>
      </c>
      <c r="L20" s="258">
        <v>97193</v>
      </c>
      <c r="M20" s="258">
        <v>69498</v>
      </c>
      <c r="N20" s="258">
        <v>176962</v>
      </c>
      <c r="O20" s="258">
        <v>103214</v>
      </c>
      <c r="P20" s="258">
        <v>73748</v>
      </c>
    </row>
    <row r="21" spans="1:16" s="341" customFormat="1">
      <c r="A21" s="339"/>
      <c r="B21" s="580" t="s">
        <v>1134</v>
      </c>
      <c r="C21" s="751">
        <f>'4.6_транзит_КТЭЦ'!C21</f>
        <v>0</v>
      </c>
      <c r="D21" s="751">
        <f>'4.6_транзит_КТЭЦ'!D21+'4.6_косв.'!O21</f>
        <v>5475</v>
      </c>
      <c r="E21" s="751">
        <f>'4.6_транзит_КТЭЦ'!E21</f>
        <v>0</v>
      </c>
      <c r="F21" s="751">
        <v>5674</v>
      </c>
      <c r="G21" s="751">
        <v>0</v>
      </c>
      <c r="H21" s="751">
        <v>6292</v>
      </c>
      <c r="I21" s="751">
        <v>0</v>
      </c>
      <c r="J21" s="751">
        <v>7287</v>
      </c>
      <c r="K21" s="751">
        <v>8316</v>
      </c>
      <c r="L21" s="752">
        <v>3546.4863521145062</v>
      </c>
      <c r="M21" s="752">
        <v>4769.5136478854938</v>
      </c>
      <c r="N21" s="751">
        <v>8283.0761381544016</v>
      </c>
      <c r="O21" s="752">
        <v>3546.4863521145062</v>
      </c>
      <c r="P21" s="752">
        <v>4736.5897860398954</v>
      </c>
    </row>
    <row r="22" spans="1:16" s="1046" customFormat="1" ht="30" customHeight="1">
      <c r="A22" s="1044"/>
      <c r="B22" s="1045" t="s">
        <v>370</v>
      </c>
      <c r="C22" s="258">
        <f>'4.6_транзит_КТЭЦ'!C22</f>
        <v>0</v>
      </c>
      <c r="D22" s="258">
        <f>'4.6_транзит_КТЭЦ'!D22+'4.6_косв.'!O22</f>
        <v>35529</v>
      </c>
      <c r="E22" s="258">
        <f>'4.6_транзит_КТЭЦ'!E22</f>
        <v>0</v>
      </c>
      <c r="F22" s="258">
        <v>27258</v>
      </c>
      <c r="G22" s="258">
        <v>0</v>
      </c>
      <c r="H22" s="258">
        <v>77627</v>
      </c>
      <c r="I22" s="258">
        <v>58483</v>
      </c>
      <c r="J22" s="258">
        <v>113277</v>
      </c>
      <c r="K22" s="258">
        <v>49001</v>
      </c>
      <c r="L22" s="258">
        <v>17150.349999999999</v>
      </c>
      <c r="M22" s="258">
        <v>31850.65</v>
      </c>
      <c r="N22" s="258">
        <v>50806.074085279593</v>
      </c>
      <c r="O22" s="258">
        <v>17782.125929847858</v>
      </c>
      <c r="P22" s="258">
        <v>33023.948155431732</v>
      </c>
    </row>
    <row r="23" spans="1:16" s="1046" customFormat="1" ht="60">
      <c r="A23" s="1044"/>
      <c r="B23" s="1045" t="s">
        <v>1139</v>
      </c>
      <c r="C23" s="258">
        <f>'4.6_транзит_КТЭЦ'!C23</f>
        <v>0</v>
      </c>
      <c r="D23" s="258">
        <f>'4.6_транзит_КТЭЦ'!D23+'4.6_косв.'!O23</f>
        <v>99583</v>
      </c>
      <c r="E23" s="258">
        <f>'4.6_транзит_КТЭЦ'!E23</f>
        <v>0</v>
      </c>
      <c r="F23" s="258">
        <v>94371</v>
      </c>
      <c r="G23" s="258">
        <v>0</v>
      </c>
      <c r="H23" s="258">
        <v>94285</v>
      </c>
      <c r="I23" s="258">
        <v>0</v>
      </c>
      <c r="J23" s="258">
        <v>110132</v>
      </c>
      <c r="K23" s="258">
        <v>123132</v>
      </c>
      <c r="L23" s="258">
        <v>74992</v>
      </c>
      <c r="M23" s="258">
        <v>48140</v>
      </c>
      <c r="N23" s="258">
        <v>129952</v>
      </c>
      <c r="O23" s="258">
        <v>79376</v>
      </c>
      <c r="P23" s="258">
        <v>50576</v>
      </c>
    </row>
    <row r="24" spans="1:16" s="1046" customFormat="1" ht="75">
      <c r="A24" s="1044"/>
      <c r="B24" s="1045" t="s">
        <v>372</v>
      </c>
      <c r="C24" s="258">
        <f>'4.6_транзит_КТЭЦ'!C24</f>
        <v>0</v>
      </c>
      <c r="D24" s="258">
        <f>'4.6_транзит_КТЭЦ'!D24+'4.6_косв.'!O24</f>
        <v>22111</v>
      </c>
      <c r="E24" s="258">
        <f>'4.6_транзит_КТЭЦ'!E24</f>
        <v>0</v>
      </c>
      <c r="F24" s="258">
        <v>17228</v>
      </c>
      <c r="G24" s="258">
        <v>0</v>
      </c>
      <c r="H24" s="258">
        <v>19054</v>
      </c>
      <c r="I24" s="258">
        <v>23549</v>
      </c>
      <c r="J24" s="258">
        <v>23549</v>
      </c>
      <c r="K24" s="258">
        <v>24898.828680000002</v>
      </c>
      <c r="L24" s="258">
        <v>8714.5900380000003</v>
      </c>
      <c r="M24" s="258">
        <v>16184.238642000002</v>
      </c>
      <c r="N24" s="258">
        <v>26104.180976398799</v>
      </c>
      <c r="O24" s="258">
        <v>9136.463341739578</v>
      </c>
      <c r="P24" s="258">
        <v>16967.71763465922</v>
      </c>
    </row>
    <row r="25" spans="1:16" s="1046" customFormat="1" ht="105">
      <c r="A25" s="1044"/>
      <c r="B25" s="1045" t="s">
        <v>373</v>
      </c>
      <c r="C25" s="258">
        <f>C27+C28+C29+C55</f>
        <v>0</v>
      </c>
      <c r="D25" s="258">
        <f t="shared" ref="D25" si="2">D27+D28+D29+D55</f>
        <v>24972.922299999998</v>
      </c>
      <c r="E25" s="258">
        <f>E27+E28+E29</f>
        <v>0</v>
      </c>
      <c r="F25" s="258">
        <v>26361.332856000001</v>
      </c>
      <c r="G25" s="258">
        <v>0</v>
      </c>
      <c r="H25" s="258">
        <v>31915.746100000004</v>
      </c>
      <c r="I25" s="258">
        <v>24737</v>
      </c>
      <c r="J25" s="258">
        <v>24737</v>
      </c>
      <c r="K25" s="258">
        <v>26154.92484</v>
      </c>
      <c r="L25" s="258">
        <v>13077.46242</v>
      </c>
      <c r="M25" s="258">
        <v>13077.46242</v>
      </c>
      <c r="N25" s="258">
        <v>27421.084751504397</v>
      </c>
      <c r="O25" s="258">
        <v>13710.542375752198</v>
      </c>
      <c r="P25" s="258">
        <v>13710.542375752198</v>
      </c>
    </row>
    <row r="26" spans="1:16" s="4" customFormat="1">
      <c r="A26" s="17"/>
      <c r="B26" s="51" t="s">
        <v>70</v>
      </c>
      <c r="C26" s="766"/>
      <c r="D26" s="766"/>
      <c r="E26" s="766"/>
      <c r="F26" s="766"/>
      <c r="G26" s="766"/>
      <c r="H26" s="766"/>
      <c r="I26" s="766">
        <v>0</v>
      </c>
      <c r="J26" s="766">
        <v>0</v>
      </c>
      <c r="K26" s="766"/>
      <c r="L26" s="241"/>
      <c r="M26" s="241"/>
      <c r="N26" s="766">
        <v>0</v>
      </c>
      <c r="O26" s="241"/>
      <c r="P26" s="241"/>
    </row>
    <row r="27" spans="1:16" s="4" customFormat="1">
      <c r="A27" s="17"/>
      <c r="B27" s="581" t="s">
        <v>1275</v>
      </c>
      <c r="C27" s="766">
        <f>'4.6_транзит_КТЭЦ'!C27</f>
        <v>0</v>
      </c>
      <c r="D27" s="766">
        <f>'4.6_транзит_КТЭЦ'!D27+'4.6_косв.'!O27</f>
        <v>1314</v>
      </c>
      <c r="E27" s="766">
        <f>'4.6_транзит_КТЭЦ'!E27</f>
        <v>0</v>
      </c>
      <c r="F27" s="766">
        <v>1057</v>
      </c>
      <c r="G27" s="766">
        <v>0</v>
      </c>
      <c r="H27" s="766">
        <v>1061</v>
      </c>
      <c r="I27" s="766">
        <v>0</v>
      </c>
      <c r="J27" s="766">
        <v>0</v>
      </c>
      <c r="K27" s="766">
        <v>0</v>
      </c>
      <c r="L27" s="766">
        <v>0</v>
      </c>
      <c r="M27" s="766">
        <v>0</v>
      </c>
      <c r="N27" s="766">
        <v>0</v>
      </c>
      <c r="O27" s="766">
        <v>0</v>
      </c>
      <c r="P27" s="766">
        <v>0</v>
      </c>
    </row>
    <row r="28" spans="1:16" s="4" customFormat="1">
      <c r="A28" s="17"/>
      <c r="B28" s="581" t="s">
        <v>1276</v>
      </c>
      <c r="C28" s="766">
        <f>'4.6_транзит_КТЭЦ'!C28</f>
        <v>0</v>
      </c>
      <c r="D28" s="766">
        <f>'4.6_транзит_КТЭЦ'!D28+'4.6_косв.'!O28</f>
        <v>838</v>
      </c>
      <c r="E28" s="766">
        <f>'4.6_транзит_КТЭЦ'!E28</f>
        <v>0</v>
      </c>
      <c r="F28" s="766">
        <v>1077</v>
      </c>
      <c r="G28" s="766">
        <v>0</v>
      </c>
      <c r="H28" s="766">
        <v>555</v>
      </c>
      <c r="I28" s="766">
        <v>513</v>
      </c>
      <c r="J28" s="766">
        <v>513</v>
      </c>
      <c r="K28" s="766">
        <v>542.40516000000002</v>
      </c>
      <c r="L28" s="766">
        <v>271.20258000000001</v>
      </c>
      <c r="M28" s="766">
        <v>271.20258000000001</v>
      </c>
      <c r="N28" s="766">
        <v>568.66299379559996</v>
      </c>
      <c r="O28" s="766">
        <v>284.33149689779998</v>
      </c>
      <c r="P28" s="766">
        <v>284.33149689779998</v>
      </c>
    </row>
    <row r="29" spans="1:16" s="4" customFormat="1">
      <c r="A29" s="17"/>
      <c r="B29" s="581" t="s">
        <v>1559</v>
      </c>
      <c r="C29" s="766">
        <f>C30+C31</f>
        <v>0</v>
      </c>
      <c r="D29" s="981">
        <f>'4.6_транзит_КТЭЦ'!D29+'4.6_косв.'!O29</f>
        <v>22820.922299999998</v>
      </c>
      <c r="E29" s="766">
        <f t="shared" ref="E29" si="3">E30+E31</f>
        <v>0</v>
      </c>
      <c r="F29" s="766">
        <v>24227.332856000001</v>
      </c>
      <c r="G29" s="766">
        <v>0</v>
      </c>
      <c r="H29" s="766">
        <v>30299.746100000004</v>
      </c>
      <c r="I29" s="766">
        <v>24224</v>
      </c>
      <c r="J29" s="766">
        <v>24224</v>
      </c>
      <c r="K29" s="766">
        <v>25612.519680000001</v>
      </c>
      <c r="L29" s="766">
        <v>12806.259840000001</v>
      </c>
      <c r="M29" s="766">
        <v>12806.259840000001</v>
      </c>
      <c r="N29" s="766">
        <v>26852.421757708798</v>
      </c>
      <c r="O29" s="766">
        <v>13426.210878854399</v>
      </c>
      <c r="P29" s="766">
        <v>13426.210878854399</v>
      </c>
    </row>
    <row r="30" spans="1:16" s="4" customFormat="1" hidden="1" outlineLevel="1">
      <c r="A30" s="737" t="s">
        <v>89</v>
      </c>
      <c r="B30" s="738" t="s">
        <v>1244</v>
      </c>
      <c r="C30" s="746">
        <f>'4.6_транзит_КТЭЦ'!C30</f>
        <v>0</v>
      </c>
      <c r="D30" s="746">
        <f>'4.6_транзит_КТЭЦ'!D30+'4.6_косв.'!O30</f>
        <v>1999</v>
      </c>
      <c r="E30" s="746">
        <f>'4.6_транзит_КТЭЦ'!E30</f>
        <v>0</v>
      </c>
      <c r="F30" s="746">
        <v>1944</v>
      </c>
      <c r="G30" s="746">
        <v>0</v>
      </c>
      <c r="H30" s="746">
        <v>2259</v>
      </c>
      <c r="I30" s="746">
        <v>0</v>
      </c>
      <c r="J30" s="746">
        <v>0</v>
      </c>
      <c r="K30" s="746">
        <v>0</v>
      </c>
      <c r="L30" s="308">
        <v>0</v>
      </c>
      <c r="M30" s="766">
        <v>0</v>
      </c>
      <c r="N30" s="746">
        <v>0</v>
      </c>
      <c r="O30" s="308">
        <v>0</v>
      </c>
      <c r="P30" s="766">
        <v>0</v>
      </c>
    </row>
    <row r="31" spans="1:16" s="341" customFormat="1" hidden="1" outlineLevel="1">
      <c r="A31" s="760" t="s">
        <v>91</v>
      </c>
      <c r="B31" s="761" t="s">
        <v>1245</v>
      </c>
      <c r="C31" s="746">
        <f t="shared" ref="C31:D31" si="4">SUM(C32:C43)+C45</f>
        <v>0</v>
      </c>
      <c r="D31" s="746">
        <f t="shared" si="4"/>
        <v>20821.922299999998</v>
      </c>
      <c r="E31" s="746">
        <f>SUM(E32:E45)</f>
        <v>0</v>
      </c>
      <c r="F31" s="746">
        <v>22283.332856000001</v>
      </c>
      <c r="G31" s="746">
        <v>0</v>
      </c>
      <c r="H31" s="746">
        <v>28040.746100000004</v>
      </c>
      <c r="I31" s="746">
        <v>0</v>
      </c>
      <c r="J31" s="746">
        <v>0</v>
      </c>
      <c r="K31" s="746">
        <v>0</v>
      </c>
      <c r="L31" s="746">
        <v>0</v>
      </c>
      <c r="M31" s="746">
        <v>0</v>
      </c>
      <c r="N31" s="746">
        <v>0</v>
      </c>
      <c r="O31" s="746">
        <v>0</v>
      </c>
      <c r="P31" s="746">
        <v>0</v>
      </c>
    </row>
    <row r="32" spans="1:16" s="4" customFormat="1" ht="25.5" hidden="1" outlineLevel="1">
      <c r="A32" s="739" t="s">
        <v>1044</v>
      </c>
      <c r="B32" s="740" t="s">
        <v>1247</v>
      </c>
      <c r="C32" s="979">
        <f>'4.6_транзит_КТЭЦ'!C32</f>
        <v>0</v>
      </c>
      <c r="D32" s="979">
        <f>'4.6_транзит_КТЭЦ'!D32+'4.6_косв.'!O32</f>
        <v>1657.2003</v>
      </c>
      <c r="E32" s="979">
        <f>'4.6_транзит_КТЭЦ'!E32</f>
        <v>0</v>
      </c>
      <c r="F32" s="979">
        <v>1351.70784</v>
      </c>
      <c r="G32" s="979">
        <v>0</v>
      </c>
      <c r="H32" s="979">
        <v>1211.8288</v>
      </c>
      <c r="I32" s="979">
        <v>0</v>
      </c>
      <c r="J32" s="979">
        <v>0</v>
      </c>
      <c r="K32" s="979">
        <v>0</v>
      </c>
      <c r="L32" s="979">
        <v>0</v>
      </c>
      <c r="M32" s="979">
        <v>0</v>
      </c>
      <c r="N32" s="979">
        <v>0</v>
      </c>
      <c r="O32" s="979">
        <v>0</v>
      </c>
      <c r="P32" s="979">
        <v>0</v>
      </c>
    </row>
    <row r="33" spans="1:16" s="4" customFormat="1" ht="38.25" hidden="1" outlineLevel="1">
      <c r="A33" s="739" t="s">
        <v>1043</v>
      </c>
      <c r="B33" s="740" t="s">
        <v>1249</v>
      </c>
      <c r="C33" s="979">
        <f>'4.6_транзит_КТЭЦ'!C33</f>
        <v>0</v>
      </c>
      <c r="D33" s="979">
        <f>'4.6_транзит_КТЭЦ'!D33+'4.6_косв.'!O33</f>
        <v>24.618299999999998</v>
      </c>
      <c r="E33" s="979">
        <f>'4.6_транзит_КТЭЦ'!E33</f>
        <v>0</v>
      </c>
      <c r="F33" s="979">
        <v>0.80458800000000008</v>
      </c>
      <c r="G33" s="979">
        <v>0</v>
      </c>
      <c r="H33" s="979">
        <v>0</v>
      </c>
      <c r="I33" s="979">
        <v>0</v>
      </c>
      <c r="J33" s="979">
        <v>0</v>
      </c>
      <c r="K33" s="979">
        <v>0</v>
      </c>
      <c r="L33" s="979">
        <v>0</v>
      </c>
      <c r="M33" s="979">
        <v>0</v>
      </c>
      <c r="N33" s="979">
        <v>0</v>
      </c>
      <c r="O33" s="979">
        <v>0</v>
      </c>
      <c r="P33" s="979">
        <v>0</v>
      </c>
    </row>
    <row r="34" spans="1:16" s="4" customFormat="1" hidden="1" outlineLevel="1">
      <c r="A34" s="741" t="s">
        <v>1540</v>
      </c>
      <c r="B34" s="740" t="s">
        <v>1250</v>
      </c>
      <c r="C34" s="979">
        <f>'4.6_транзит_КТЭЦ'!C34</f>
        <v>0</v>
      </c>
      <c r="D34" s="979">
        <f>'4.6_транзит_КТЭЦ'!D34+'4.6_косв.'!O34</f>
        <v>418.07920000000001</v>
      </c>
      <c r="E34" s="979">
        <f>'4.6_транзит_КТЭЦ'!E34</f>
        <v>0</v>
      </c>
      <c r="F34" s="979">
        <v>345.168252</v>
      </c>
      <c r="G34" s="979">
        <v>0</v>
      </c>
      <c r="H34" s="979">
        <v>420.12880000000001</v>
      </c>
      <c r="I34" s="979">
        <v>0</v>
      </c>
      <c r="J34" s="979">
        <v>0</v>
      </c>
      <c r="K34" s="979">
        <v>0</v>
      </c>
      <c r="L34" s="979">
        <v>0</v>
      </c>
      <c r="M34" s="979">
        <v>0</v>
      </c>
      <c r="N34" s="979">
        <v>0</v>
      </c>
      <c r="O34" s="979">
        <v>0</v>
      </c>
      <c r="P34" s="979">
        <v>0</v>
      </c>
    </row>
    <row r="35" spans="1:16" s="4" customFormat="1" ht="15" hidden="1" customHeight="1" outlineLevel="1">
      <c r="A35" s="739" t="s">
        <v>1541</v>
      </c>
      <c r="B35" s="740" t="s">
        <v>1251</v>
      </c>
      <c r="C35" s="979">
        <f>'4.6_транзит_КТЭЦ'!C35</f>
        <v>0</v>
      </c>
      <c r="D35" s="979">
        <f>'4.6_транзит_КТЭЦ'!D35+'4.6_косв.'!O35</f>
        <v>1040.0152</v>
      </c>
      <c r="E35" s="979">
        <f>'4.6_транзит_КТЭЦ'!E35</f>
        <v>0</v>
      </c>
      <c r="F35" s="979">
        <v>1081.902664</v>
      </c>
      <c r="G35" s="979">
        <v>0</v>
      </c>
      <c r="H35" s="979">
        <v>812.81200000000013</v>
      </c>
      <c r="I35" s="979">
        <v>0</v>
      </c>
      <c r="J35" s="979">
        <v>0</v>
      </c>
      <c r="K35" s="979">
        <v>0</v>
      </c>
      <c r="L35" s="979">
        <v>0</v>
      </c>
      <c r="M35" s="979">
        <v>0</v>
      </c>
      <c r="N35" s="979">
        <v>0</v>
      </c>
      <c r="O35" s="979">
        <v>0</v>
      </c>
      <c r="P35" s="979">
        <v>0</v>
      </c>
    </row>
    <row r="36" spans="1:16" s="4" customFormat="1" ht="25.5" hidden="1" outlineLevel="1">
      <c r="A36" s="739" t="s">
        <v>1542</v>
      </c>
      <c r="B36" s="740" t="s">
        <v>1252</v>
      </c>
      <c r="C36" s="979">
        <f>'4.6_транзит_КТЭЦ'!C36</f>
        <v>0</v>
      </c>
      <c r="D36" s="979">
        <f>'4.6_транзит_КТЭЦ'!D36+'4.6_косв.'!O36</f>
        <v>5090.3734000000004</v>
      </c>
      <c r="E36" s="979">
        <f>'4.6_транзит_КТЭЦ'!E36</f>
        <v>0</v>
      </c>
      <c r="F36" s="979">
        <v>3032.7603680000002</v>
      </c>
      <c r="G36" s="979">
        <v>0</v>
      </c>
      <c r="H36" s="979">
        <v>4540.9273000000003</v>
      </c>
      <c r="I36" s="979">
        <v>0</v>
      </c>
      <c r="J36" s="979">
        <v>0</v>
      </c>
      <c r="K36" s="979">
        <v>0</v>
      </c>
      <c r="L36" s="979">
        <v>0</v>
      </c>
      <c r="M36" s="979">
        <v>0</v>
      </c>
      <c r="N36" s="979">
        <v>0</v>
      </c>
      <c r="O36" s="979">
        <v>0</v>
      </c>
      <c r="P36" s="979">
        <v>0</v>
      </c>
    </row>
    <row r="37" spans="1:16" s="4" customFormat="1" hidden="1" outlineLevel="1">
      <c r="A37" s="739" t="s">
        <v>1543</v>
      </c>
      <c r="B37" s="740" t="s">
        <v>1253</v>
      </c>
      <c r="C37" s="979">
        <f>'4.6_транзит_КТЭЦ'!C37</f>
        <v>0</v>
      </c>
      <c r="D37" s="979">
        <f>'4.6_транзит_КТЭЦ'!D37+'4.6_косв.'!O37</f>
        <v>4452.8890000000001</v>
      </c>
      <c r="E37" s="979">
        <f>'4.6_транзит_КТЭЦ'!E37</f>
        <v>0</v>
      </c>
      <c r="F37" s="979">
        <v>2670.963964</v>
      </c>
      <c r="G37" s="979">
        <v>0</v>
      </c>
      <c r="H37" s="979">
        <v>5111.7430000000004</v>
      </c>
      <c r="I37" s="979">
        <v>0</v>
      </c>
      <c r="J37" s="979">
        <v>0</v>
      </c>
      <c r="K37" s="979">
        <v>0</v>
      </c>
      <c r="L37" s="979">
        <v>0</v>
      </c>
      <c r="M37" s="979">
        <v>0</v>
      </c>
      <c r="N37" s="979">
        <v>0</v>
      </c>
      <c r="O37" s="979">
        <v>0</v>
      </c>
      <c r="P37" s="979">
        <v>0</v>
      </c>
    </row>
    <row r="38" spans="1:16" s="4" customFormat="1" hidden="1" outlineLevel="1">
      <c r="A38" s="739" t="s">
        <v>1544</v>
      </c>
      <c r="B38" s="742" t="s">
        <v>1254</v>
      </c>
      <c r="C38" s="979">
        <f>'4.6_транзит_КТЭЦ'!C38</f>
        <v>0</v>
      </c>
      <c r="D38" s="979">
        <f>'4.6_транзит_КТЭЦ'!D38+'4.6_косв.'!O38</f>
        <v>654.7604</v>
      </c>
      <c r="E38" s="979">
        <f>'4.6_транзит_КТЭЦ'!E38</f>
        <v>0</v>
      </c>
      <c r="F38" s="979">
        <v>665.12608</v>
      </c>
      <c r="G38" s="979">
        <v>0</v>
      </c>
      <c r="H38" s="979">
        <v>634.94340000000011</v>
      </c>
      <c r="I38" s="979">
        <v>0</v>
      </c>
      <c r="J38" s="979">
        <v>0</v>
      </c>
      <c r="K38" s="979">
        <v>0</v>
      </c>
      <c r="L38" s="979">
        <v>0</v>
      </c>
      <c r="M38" s="979">
        <v>0</v>
      </c>
      <c r="N38" s="979">
        <v>0</v>
      </c>
      <c r="O38" s="979">
        <v>0</v>
      </c>
      <c r="P38" s="979">
        <v>0</v>
      </c>
    </row>
    <row r="39" spans="1:16" s="4" customFormat="1" hidden="1" outlineLevel="1">
      <c r="A39" s="739" t="s">
        <v>1545</v>
      </c>
      <c r="B39" s="740" t="s">
        <v>1255</v>
      </c>
      <c r="C39" s="979">
        <f>'4.6_транзит_КТЭЦ'!C39</f>
        <v>0</v>
      </c>
      <c r="D39" s="979">
        <f>'4.6_транзит_КТЭЦ'!D39+'4.6_косв.'!O39</f>
        <v>112.7259</v>
      </c>
      <c r="E39" s="979">
        <f>'4.6_транзит_КТЭЦ'!E39</f>
        <v>0</v>
      </c>
      <c r="F39" s="979">
        <v>97.891539999999992</v>
      </c>
      <c r="G39" s="979">
        <v>0</v>
      </c>
      <c r="H39" s="979">
        <v>134.589</v>
      </c>
      <c r="I39" s="979">
        <v>0</v>
      </c>
      <c r="J39" s="979">
        <v>0</v>
      </c>
      <c r="K39" s="979">
        <v>0</v>
      </c>
      <c r="L39" s="979">
        <v>0</v>
      </c>
      <c r="M39" s="979">
        <v>0</v>
      </c>
      <c r="N39" s="979">
        <v>0</v>
      </c>
      <c r="O39" s="979">
        <v>0</v>
      </c>
      <c r="P39" s="979">
        <v>0</v>
      </c>
    </row>
    <row r="40" spans="1:16" s="4" customFormat="1" ht="25.5" hidden="1" outlineLevel="1">
      <c r="A40" s="739" t="s">
        <v>1546</v>
      </c>
      <c r="B40" s="742" t="s">
        <v>1256</v>
      </c>
      <c r="C40" s="979">
        <f>'4.6_транзит_КТЭЦ'!C40</f>
        <v>0</v>
      </c>
      <c r="D40" s="979">
        <f>'4.6_транзит_КТЭЦ'!D40+'4.6_косв.'!O40</f>
        <v>321.76549999999997</v>
      </c>
      <c r="E40" s="979">
        <f>'4.6_транзит_КТЭЦ'!E40</f>
        <v>0</v>
      </c>
      <c r="F40" s="979">
        <v>376.01079200000004</v>
      </c>
      <c r="G40" s="979">
        <v>0</v>
      </c>
      <c r="H40" s="979">
        <v>120.33840000000001</v>
      </c>
      <c r="I40" s="979">
        <v>0</v>
      </c>
      <c r="J40" s="979">
        <v>0</v>
      </c>
      <c r="K40" s="979">
        <v>0</v>
      </c>
      <c r="L40" s="979">
        <v>0</v>
      </c>
      <c r="M40" s="979">
        <v>0</v>
      </c>
      <c r="N40" s="979">
        <v>0</v>
      </c>
      <c r="O40" s="979">
        <v>0</v>
      </c>
      <c r="P40" s="979">
        <v>0</v>
      </c>
    </row>
    <row r="41" spans="1:16" s="4" customFormat="1" hidden="1" outlineLevel="1">
      <c r="A41" s="739" t="s">
        <v>1547</v>
      </c>
      <c r="B41" s="742" t="s">
        <v>1257</v>
      </c>
      <c r="C41" s="979">
        <f>'4.6_транзит_КТЭЦ'!C41</f>
        <v>0</v>
      </c>
      <c r="D41" s="979">
        <f>'4.6_транзит_КТЭЦ'!D41+'4.6_косв.'!O41</f>
        <v>4821.2997000000005</v>
      </c>
      <c r="E41" s="979">
        <f>'4.6_транзит_КТЭЦ'!E41</f>
        <v>0</v>
      </c>
      <c r="F41" s="979">
        <v>10388.035668</v>
      </c>
      <c r="G41" s="979">
        <v>0</v>
      </c>
      <c r="H41" s="979">
        <v>12438.1348</v>
      </c>
      <c r="I41" s="979">
        <v>0</v>
      </c>
      <c r="J41" s="979">
        <v>0</v>
      </c>
      <c r="K41" s="979">
        <v>0</v>
      </c>
      <c r="L41" s="979">
        <v>0</v>
      </c>
      <c r="M41" s="979">
        <v>0</v>
      </c>
      <c r="N41" s="979">
        <v>0</v>
      </c>
      <c r="O41" s="979">
        <v>0</v>
      </c>
      <c r="P41" s="979">
        <v>0</v>
      </c>
    </row>
    <row r="42" spans="1:16" s="4" customFormat="1" hidden="1" outlineLevel="1">
      <c r="A42" s="741" t="s">
        <v>1548</v>
      </c>
      <c r="B42" s="742" t="s">
        <v>1556</v>
      </c>
      <c r="C42" s="979">
        <f>'4.6_транзит_КТЭЦ'!C42</f>
        <v>0</v>
      </c>
      <c r="D42" s="979">
        <f>'4.6_транзит_КТЭЦ'!D42+'4.6_косв.'!O42</f>
        <v>145.55029999999999</v>
      </c>
      <c r="E42" s="979">
        <f>'4.6_транзит_КТЭЦ'!E42</f>
        <v>0</v>
      </c>
      <c r="F42" s="979">
        <v>284.019564</v>
      </c>
      <c r="G42" s="979">
        <v>0</v>
      </c>
      <c r="H42" s="979">
        <v>140.65870000000001</v>
      </c>
      <c r="I42" s="979">
        <v>0</v>
      </c>
      <c r="J42" s="979">
        <v>0</v>
      </c>
      <c r="K42" s="979">
        <v>0</v>
      </c>
      <c r="L42" s="979">
        <v>0</v>
      </c>
      <c r="M42" s="979">
        <v>0</v>
      </c>
      <c r="N42" s="979">
        <v>0</v>
      </c>
      <c r="O42" s="979">
        <v>0</v>
      </c>
      <c r="P42" s="979">
        <v>0</v>
      </c>
    </row>
    <row r="43" spans="1:16" s="4" customFormat="1" ht="25.5" hidden="1" outlineLevel="1">
      <c r="A43" s="741" t="s">
        <v>1549</v>
      </c>
      <c r="B43" s="742" t="s">
        <v>1258</v>
      </c>
      <c r="C43" s="979">
        <f>'4.6_транзит_КТЭЦ'!C43</f>
        <v>0</v>
      </c>
      <c r="D43" s="979">
        <f>'4.6_транзит_КТЭЦ'!D43+'4.6_косв.'!O43</f>
        <v>726.45579999999995</v>
      </c>
      <c r="E43" s="979">
        <f>'4.6_транзит_КТЭЦ'!E43</f>
        <v>0</v>
      </c>
      <c r="F43" s="979">
        <v>419.45854400000002</v>
      </c>
      <c r="G43" s="979">
        <v>0</v>
      </c>
      <c r="H43" s="979">
        <v>529.64730000000009</v>
      </c>
      <c r="I43" s="979">
        <v>0</v>
      </c>
      <c r="J43" s="979">
        <v>0</v>
      </c>
      <c r="K43" s="979">
        <v>0</v>
      </c>
      <c r="L43" s="979">
        <v>0</v>
      </c>
      <c r="M43" s="979">
        <v>0</v>
      </c>
      <c r="N43" s="979">
        <v>0</v>
      </c>
      <c r="O43" s="979">
        <v>0</v>
      </c>
      <c r="P43" s="979">
        <v>0</v>
      </c>
    </row>
    <row r="44" spans="1:16" s="4" customFormat="1" hidden="1" outlineLevel="1">
      <c r="A44" s="764" t="s">
        <v>1555</v>
      </c>
      <c r="B44" s="742" t="s">
        <v>1890</v>
      </c>
      <c r="C44" s="979">
        <f>'4.6_транзит_КТЭЦ'!C44</f>
        <v>0</v>
      </c>
      <c r="D44" s="979">
        <f>'4.6_транзит_КТЭЦ'!D44+'4.6_косв.'!O44</f>
        <v>726</v>
      </c>
      <c r="E44" s="979">
        <f>'4.6_транзит_КТЭЦ'!E44</f>
        <v>0</v>
      </c>
      <c r="F44" s="979">
        <v>0</v>
      </c>
      <c r="G44" s="979">
        <v>0</v>
      </c>
      <c r="H44" s="979">
        <v>0</v>
      </c>
      <c r="I44" s="979">
        <v>0</v>
      </c>
      <c r="J44" s="979">
        <v>0</v>
      </c>
      <c r="K44" s="979">
        <v>0</v>
      </c>
      <c r="L44" s="980">
        <v>0</v>
      </c>
      <c r="M44" s="980">
        <v>0</v>
      </c>
      <c r="N44" s="980">
        <v>0</v>
      </c>
      <c r="O44" s="980">
        <v>0</v>
      </c>
      <c r="P44" s="980">
        <v>0</v>
      </c>
    </row>
    <row r="45" spans="1:16" s="341" customFormat="1" hidden="1" outlineLevel="1">
      <c r="A45" s="764" t="s">
        <v>1889</v>
      </c>
      <c r="B45" s="765" t="s">
        <v>1259</v>
      </c>
      <c r="C45" s="746">
        <f>SUM(C46:C55)</f>
        <v>0</v>
      </c>
      <c r="D45" s="746">
        <f t="shared" ref="D45:E45" si="5">SUM(D46:D55)</f>
        <v>1356.1893</v>
      </c>
      <c r="E45" s="746">
        <f t="shared" si="5"/>
        <v>0</v>
      </c>
      <c r="F45" s="746">
        <v>1569.4829920000002</v>
      </c>
      <c r="G45" s="746">
        <v>0</v>
      </c>
      <c r="H45" s="746">
        <v>1944.9946</v>
      </c>
      <c r="I45" s="746">
        <v>0</v>
      </c>
      <c r="J45" s="746">
        <v>0</v>
      </c>
      <c r="K45" s="746">
        <v>0</v>
      </c>
      <c r="L45" s="746">
        <v>0</v>
      </c>
      <c r="M45" s="746">
        <v>0</v>
      </c>
      <c r="N45" s="746">
        <v>0</v>
      </c>
      <c r="O45" s="746">
        <v>0</v>
      </c>
      <c r="P45" s="746">
        <v>0</v>
      </c>
    </row>
    <row r="46" spans="1:16" s="4" customFormat="1" hidden="1" outlineLevel="1">
      <c r="A46" s="744"/>
      <c r="B46" s="745" t="s">
        <v>1260</v>
      </c>
      <c r="C46" s="980">
        <f>'4.6_транзит_КТЭЦ'!C46</f>
        <v>0</v>
      </c>
      <c r="D46" s="980">
        <f>'4.6_транзит_КТЭЦ'!D46+'4.6_косв.'!O46</f>
        <v>203.85680000000002</v>
      </c>
      <c r="E46" s="980">
        <f>'4.6_транзит_КТЭЦ'!E46</f>
        <v>0</v>
      </c>
      <c r="F46" s="980">
        <v>143.48486</v>
      </c>
      <c r="G46" s="980">
        <v>0</v>
      </c>
      <c r="H46" s="980">
        <v>96.587400000000002</v>
      </c>
      <c r="I46" s="980">
        <v>0</v>
      </c>
      <c r="J46" s="980">
        <v>0</v>
      </c>
      <c r="K46" s="980">
        <v>0</v>
      </c>
      <c r="L46" s="980">
        <v>0</v>
      </c>
      <c r="M46" s="980">
        <v>0</v>
      </c>
      <c r="N46" s="980">
        <v>0</v>
      </c>
      <c r="O46" s="980">
        <v>0</v>
      </c>
      <c r="P46" s="980">
        <v>0</v>
      </c>
    </row>
    <row r="47" spans="1:16" s="4" customFormat="1" hidden="1" outlineLevel="1">
      <c r="A47" s="744"/>
      <c r="B47" s="743" t="s">
        <v>1261</v>
      </c>
      <c r="C47" s="980">
        <f>'4.6_транзит_КТЭЦ'!C47</f>
        <v>0</v>
      </c>
      <c r="D47" s="980">
        <f>'4.6_транзит_КТЭЦ'!D47+'4.6_косв.'!O47</f>
        <v>273.82459999999998</v>
      </c>
      <c r="E47" s="980">
        <f>'4.6_транзит_КТЭЦ'!E47</f>
        <v>0</v>
      </c>
      <c r="F47" s="980">
        <v>242.98557600000004</v>
      </c>
      <c r="G47" s="980">
        <v>0</v>
      </c>
      <c r="H47" s="980">
        <v>202.67520000000002</v>
      </c>
      <c r="I47" s="980">
        <v>0</v>
      </c>
      <c r="J47" s="980">
        <v>0</v>
      </c>
      <c r="K47" s="980">
        <v>0</v>
      </c>
      <c r="L47" s="980">
        <v>0</v>
      </c>
      <c r="M47" s="980">
        <v>0</v>
      </c>
      <c r="N47" s="980">
        <v>0</v>
      </c>
      <c r="O47" s="980">
        <v>0</v>
      </c>
      <c r="P47" s="980">
        <v>0</v>
      </c>
    </row>
    <row r="48" spans="1:16" s="4" customFormat="1" hidden="1" outlineLevel="1">
      <c r="A48" s="744"/>
      <c r="B48" s="743" t="s">
        <v>1262</v>
      </c>
      <c r="C48" s="980">
        <f>'4.6_транзит_КТЭЦ'!C48</f>
        <v>0</v>
      </c>
      <c r="D48" s="980">
        <f>'4.6_транзит_КТЭЦ'!D48+'4.6_косв.'!O48</f>
        <v>349.40710000000001</v>
      </c>
      <c r="E48" s="980">
        <f>'4.6_транзит_КТЭЦ'!E48</f>
        <v>0</v>
      </c>
      <c r="F48" s="980">
        <v>295.55199200000004</v>
      </c>
      <c r="G48" s="980">
        <v>0</v>
      </c>
      <c r="H48" s="980">
        <v>270.76139999999998</v>
      </c>
      <c r="I48" s="980">
        <v>0</v>
      </c>
      <c r="J48" s="980">
        <v>0</v>
      </c>
      <c r="K48" s="980">
        <v>0</v>
      </c>
      <c r="L48" s="980">
        <v>0</v>
      </c>
      <c r="M48" s="980">
        <v>0</v>
      </c>
      <c r="N48" s="980">
        <v>0</v>
      </c>
      <c r="O48" s="980">
        <v>0</v>
      </c>
      <c r="P48" s="980">
        <v>0</v>
      </c>
    </row>
    <row r="49" spans="1:16" s="4" customFormat="1" hidden="1" outlineLevel="1">
      <c r="A49" s="744"/>
      <c r="B49" s="743" t="s">
        <v>1263</v>
      </c>
      <c r="C49" s="980">
        <f>'4.6_транзит_КТЭЦ'!C49</f>
        <v>0</v>
      </c>
      <c r="D49" s="980">
        <f>'4.6_транзит_КТЭЦ'!D49+'4.6_косв.'!O49</f>
        <v>110.9983</v>
      </c>
      <c r="E49" s="980">
        <f>'4.6_транзит_КТЭЦ'!E49</f>
        <v>0</v>
      </c>
      <c r="F49" s="980">
        <v>246.74032</v>
      </c>
      <c r="G49" s="980">
        <v>0</v>
      </c>
      <c r="H49" s="980">
        <v>70.725200000000001</v>
      </c>
      <c r="I49" s="980">
        <v>0</v>
      </c>
      <c r="J49" s="980">
        <v>0</v>
      </c>
      <c r="K49" s="980">
        <v>0</v>
      </c>
      <c r="L49" s="980">
        <v>0</v>
      </c>
      <c r="M49" s="980">
        <v>0</v>
      </c>
      <c r="N49" s="980">
        <v>0</v>
      </c>
      <c r="O49" s="980">
        <v>0</v>
      </c>
      <c r="P49" s="980">
        <v>0</v>
      </c>
    </row>
    <row r="50" spans="1:16" s="4" customFormat="1" ht="38.25" hidden="1" outlineLevel="1">
      <c r="A50" s="744"/>
      <c r="B50" s="743" t="s">
        <v>1891</v>
      </c>
      <c r="C50" s="980">
        <f>'4.6_транзит_КТЭЦ'!C50</f>
        <v>0</v>
      </c>
      <c r="D50" s="980">
        <f>'4.6_транзит_КТЭЦ'!D50+'4.6_косв.'!O50</f>
        <v>418.10250000000002</v>
      </c>
      <c r="E50" s="980">
        <f>'4.6_транзит_КТЭЦ'!E50</f>
        <v>0</v>
      </c>
      <c r="F50" s="980">
        <v>640.72024399999998</v>
      </c>
      <c r="G50" s="980">
        <v>0</v>
      </c>
      <c r="H50" s="980">
        <v>605.38660000000004</v>
      </c>
      <c r="I50" s="980">
        <v>0</v>
      </c>
      <c r="J50" s="980">
        <v>0</v>
      </c>
      <c r="K50" s="980">
        <v>0</v>
      </c>
      <c r="L50" s="980">
        <v>0</v>
      </c>
      <c r="M50" s="980">
        <v>0</v>
      </c>
      <c r="N50" s="980">
        <v>0</v>
      </c>
      <c r="O50" s="980">
        <v>0</v>
      </c>
      <c r="P50" s="980">
        <v>0</v>
      </c>
    </row>
    <row r="51" spans="1:16" s="4" customFormat="1" ht="25.5" hidden="1" outlineLevel="1">
      <c r="A51" s="744"/>
      <c r="B51" s="743" t="s">
        <v>1264</v>
      </c>
      <c r="C51" s="980">
        <f>'4.6_транзит_КТЭЦ'!C51</f>
        <v>0</v>
      </c>
      <c r="D51" s="980">
        <f>'4.6_транзит_КТЭЦ'!D51+'4.6_косв.'!O51</f>
        <v>0</v>
      </c>
      <c r="E51" s="980">
        <f>'4.6_транзит_КТЭЦ'!E51</f>
        <v>0</v>
      </c>
      <c r="F51" s="980">
        <v>0</v>
      </c>
      <c r="G51" s="980">
        <v>0</v>
      </c>
      <c r="H51" s="980">
        <v>0</v>
      </c>
      <c r="I51" s="980">
        <v>0</v>
      </c>
      <c r="J51" s="980">
        <v>0</v>
      </c>
      <c r="K51" s="980">
        <v>0</v>
      </c>
      <c r="L51" s="980">
        <v>0</v>
      </c>
      <c r="M51" s="980">
        <v>0</v>
      </c>
      <c r="N51" s="980">
        <v>0</v>
      </c>
      <c r="O51" s="980">
        <v>0</v>
      </c>
      <c r="P51" s="980">
        <v>0</v>
      </c>
    </row>
    <row r="52" spans="1:16" s="4" customFormat="1" hidden="1" outlineLevel="1">
      <c r="A52" s="744"/>
      <c r="B52" s="1391" t="s">
        <v>1883</v>
      </c>
      <c r="C52" s="980">
        <f>'4.6_транзит_КТЭЦ'!C52</f>
        <v>0</v>
      </c>
      <c r="D52" s="980">
        <f>'4.6_транзит_КТЭЦ'!D52+'4.6_косв.'!O52</f>
        <v>0</v>
      </c>
      <c r="E52" s="980">
        <f>'4.6_транзит_КТЭЦ'!E52</f>
        <v>0</v>
      </c>
      <c r="F52" s="980">
        <v>0</v>
      </c>
      <c r="G52" s="980">
        <v>0</v>
      </c>
      <c r="H52" s="980">
        <v>94</v>
      </c>
      <c r="I52" s="980">
        <v>0</v>
      </c>
      <c r="J52" s="980">
        <v>0</v>
      </c>
      <c r="K52" s="980">
        <v>0</v>
      </c>
      <c r="L52" s="980">
        <v>0</v>
      </c>
      <c r="M52" s="980">
        <v>0</v>
      </c>
      <c r="N52" s="980">
        <v>0</v>
      </c>
      <c r="O52" s="980">
        <v>0</v>
      </c>
      <c r="P52" s="980">
        <v>0</v>
      </c>
    </row>
    <row r="53" spans="1:16" s="4" customFormat="1" hidden="1" outlineLevel="1">
      <c r="A53" s="744"/>
      <c r="B53" s="743" t="s">
        <v>1884</v>
      </c>
      <c r="C53" s="743"/>
      <c r="D53" s="743"/>
      <c r="E53" s="743"/>
      <c r="F53" s="743"/>
      <c r="G53" s="743"/>
      <c r="H53" s="980">
        <v>604.85879999999997</v>
      </c>
      <c r="I53" s="743">
        <v>0</v>
      </c>
      <c r="J53" s="743">
        <v>0</v>
      </c>
      <c r="K53" s="743">
        <v>0</v>
      </c>
      <c r="L53" s="980">
        <v>0</v>
      </c>
      <c r="M53" s="980">
        <v>0</v>
      </c>
      <c r="N53" s="743">
        <v>0</v>
      </c>
      <c r="O53" s="980">
        <v>0</v>
      </c>
      <c r="P53" s="980">
        <v>0</v>
      </c>
    </row>
    <row r="54" spans="1:16" s="4" customFormat="1" ht="25.5" hidden="1" outlineLevel="1">
      <c r="A54" s="17"/>
      <c r="B54" s="743" t="s">
        <v>1885</v>
      </c>
      <c r="C54" s="241"/>
      <c r="D54" s="241"/>
      <c r="E54" s="241"/>
      <c r="F54" s="241"/>
      <c r="G54" s="241"/>
      <c r="H54" s="980">
        <v>0</v>
      </c>
      <c r="I54" s="241">
        <v>0</v>
      </c>
      <c r="J54" s="241">
        <v>0</v>
      </c>
      <c r="K54" s="241">
        <v>0</v>
      </c>
      <c r="L54" s="980">
        <v>0</v>
      </c>
      <c r="M54" s="980">
        <v>0</v>
      </c>
      <c r="N54" s="241">
        <v>0</v>
      </c>
      <c r="O54" s="980">
        <v>0</v>
      </c>
      <c r="P54" s="980">
        <v>0</v>
      </c>
    </row>
    <row r="55" spans="1:16" s="341" customFormat="1" ht="25.5" hidden="1" outlineLevel="1">
      <c r="A55" s="339"/>
      <c r="B55" s="743" t="s">
        <v>1886</v>
      </c>
      <c r="C55" s="980">
        <f>'4.6_транзит_КТЭЦ'!C55</f>
        <v>0</v>
      </c>
      <c r="D55" s="980">
        <f>'4.6_транзит_КТЭЦ'!D55+'4.6_косв.'!O55</f>
        <v>0</v>
      </c>
      <c r="E55" s="980">
        <f>'4.6_транзит_КТЭЦ'!E55</f>
        <v>0</v>
      </c>
      <c r="F55" s="980">
        <v>0</v>
      </c>
      <c r="G55" s="980">
        <v>0</v>
      </c>
      <c r="H55" s="980">
        <v>0</v>
      </c>
      <c r="I55" s="980">
        <v>0</v>
      </c>
      <c r="J55" s="980">
        <v>0</v>
      </c>
      <c r="K55" s="980">
        <v>0</v>
      </c>
      <c r="L55" s="980">
        <v>0</v>
      </c>
      <c r="M55" s="980">
        <v>0</v>
      </c>
      <c r="N55" s="980">
        <v>0</v>
      </c>
      <c r="O55" s="980">
        <v>0</v>
      </c>
      <c r="P55" s="980">
        <v>0</v>
      </c>
    </row>
    <row r="56" spans="1:16" s="1046" customFormat="1" ht="90" collapsed="1">
      <c r="A56" s="1044"/>
      <c r="B56" s="1045" t="s">
        <v>374</v>
      </c>
      <c r="C56" s="258">
        <f>'4.6_транзит_КТЭЦ'!C56</f>
        <v>0</v>
      </c>
      <c r="D56" s="258">
        <f>'4.6_транзит_КТЭЦ'!D56+'4.6_косв.'!O56</f>
        <v>189</v>
      </c>
      <c r="E56" s="258">
        <f>'4.6_транзит_КТЭЦ'!E56</f>
        <v>0</v>
      </c>
      <c r="F56" s="258">
        <v>0</v>
      </c>
      <c r="G56" s="258">
        <v>0</v>
      </c>
      <c r="H56" s="258">
        <v>0</v>
      </c>
      <c r="I56" s="258">
        <v>0</v>
      </c>
      <c r="J56" s="258">
        <v>0</v>
      </c>
      <c r="K56" s="258">
        <v>0</v>
      </c>
      <c r="L56" s="258">
        <v>0</v>
      </c>
      <c r="M56" s="258">
        <v>0</v>
      </c>
      <c r="N56" s="258">
        <v>0</v>
      </c>
      <c r="O56" s="258">
        <v>0</v>
      </c>
      <c r="P56" s="258">
        <v>0</v>
      </c>
    </row>
    <row r="57" spans="1:16" s="1046" customFormat="1" ht="30">
      <c r="A57" s="1044"/>
      <c r="B57" s="1045" t="s">
        <v>375</v>
      </c>
      <c r="C57" s="258">
        <f>'4.6_транзит_КТЭЦ'!C57</f>
        <v>0</v>
      </c>
      <c r="D57" s="258">
        <f>'4.6_транзит_КТЭЦ'!D57+'4.6_косв.'!O57</f>
        <v>105571</v>
      </c>
      <c r="E57" s="258">
        <f>'4.6_транзит_КТЭЦ'!E57</f>
        <v>0</v>
      </c>
      <c r="F57" s="258">
        <v>119937</v>
      </c>
      <c r="G57" s="258">
        <v>0</v>
      </c>
      <c r="H57" s="258">
        <v>105137</v>
      </c>
      <c r="I57" s="258">
        <v>0</v>
      </c>
      <c r="J57" s="258">
        <v>108881</v>
      </c>
      <c r="K57" s="258">
        <v>120069</v>
      </c>
      <c r="L57" s="258">
        <v>60034.5</v>
      </c>
      <c r="M57" s="258">
        <v>60034.5</v>
      </c>
      <c r="N57" s="258">
        <v>127153</v>
      </c>
      <c r="O57" s="258">
        <v>63576.5</v>
      </c>
      <c r="P57" s="258">
        <v>63576.5</v>
      </c>
    </row>
    <row r="58" spans="1:16" s="1046" customFormat="1" ht="15" customHeight="1">
      <c r="A58" s="1044"/>
      <c r="B58" s="1045" t="s">
        <v>376</v>
      </c>
      <c r="C58" s="258">
        <f>'4.6_транзит_КТЭЦ'!C58</f>
        <v>0</v>
      </c>
      <c r="D58" s="258">
        <f>'4.6_транзит_КТЭЦ'!D58+'4.6_косв.'!O58</f>
        <v>1898</v>
      </c>
      <c r="E58" s="258">
        <f>'4.6_транзит_КТЭЦ'!E58</f>
        <v>0</v>
      </c>
      <c r="F58" s="258">
        <v>2456</v>
      </c>
      <c r="G58" s="258">
        <v>0</v>
      </c>
      <c r="H58" s="258">
        <v>1913</v>
      </c>
      <c r="I58" s="258">
        <v>1811</v>
      </c>
      <c r="J58" s="258">
        <v>1811</v>
      </c>
      <c r="K58" s="258">
        <v>1914.8065200000001</v>
      </c>
      <c r="L58" s="258">
        <v>957.40326000000005</v>
      </c>
      <c r="M58" s="258">
        <v>957.40326000000005</v>
      </c>
      <c r="N58" s="258">
        <v>2007.5023036331997</v>
      </c>
      <c r="O58" s="258">
        <v>1003.7511518165999</v>
      </c>
      <c r="P58" s="258">
        <v>1003.7511518165999</v>
      </c>
    </row>
    <row r="59" spans="1:16" s="1046" customFormat="1" ht="15" customHeight="1">
      <c r="A59" s="1044"/>
      <c r="B59" s="1045" t="s">
        <v>377</v>
      </c>
      <c r="C59" s="258">
        <f>'4.6_транзит_КТЭЦ'!C59</f>
        <v>0</v>
      </c>
      <c r="D59" s="258">
        <f>'4.6_транзит_КТЭЦ'!D59+'4.6_косв.'!O59</f>
        <v>777</v>
      </c>
      <c r="E59" s="258">
        <f>'4.6_транзит_КТЭЦ'!E59</f>
        <v>0</v>
      </c>
      <c r="F59" s="258">
        <v>679</v>
      </c>
      <c r="G59" s="258">
        <v>0</v>
      </c>
      <c r="H59" s="258">
        <v>774</v>
      </c>
      <c r="I59" s="258">
        <v>700</v>
      </c>
      <c r="J59" s="258">
        <v>700</v>
      </c>
      <c r="K59" s="258">
        <v>740.12400000000002</v>
      </c>
      <c r="L59" s="258">
        <v>370.06200000000001</v>
      </c>
      <c r="M59" s="258">
        <v>370.06200000000001</v>
      </c>
      <c r="N59" s="258">
        <v>775.95340283999985</v>
      </c>
      <c r="O59" s="258">
        <v>387.97670141999993</v>
      </c>
      <c r="P59" s="258">
        <v>387.97670141999993</v>
      </c>
    </row>
    <row r="60" spans="1:16" s="1046" customFormat="1" ht="45" customHeight="1">
      <c r="A60" s="1044"/>
      <c r="B60" s="1045" t="s">
        <v>378</v>
      </c>
      <c r="C60" s="258">
        <f>'4.6_транзит_КТЭЦ'!C60</f>
        <v>0</v>
      </c>
      <c r="D60" s="258">
        <f>'4.6_транзит_КТЭЦ'!D60+'4.6_косв.'!O60</f>
        <v>1717</v>
      </c>
      <c r="E60" s="258">
        <f>'4.6_транзит_КТЭЦ'!E60</f>
        <v>0</v>
      </c>
      <c r="F60" s="258">
        <v>1750</v>
      </c>
      <c r="G60" s="258">
        <v>0</v>
      </c>
      <c r="H60" s="258">
        <v>1417</v>
      </c>
      <c r="I60" s="258">
        <v>0</v>
      </c>
      <c r="J60" s="258">
        <v>4495.4000000000005</v>
      </c>
      <c r="K60" s="258">
        <v>6228.2</v>
      </c>
      <c r="L60" s="258">
        <v>3114.1</v>
      </c>
      <c r="M60" s="258">
        <v>3114.1</v>
      </c>
      <c r="N60" s="258">
        <v>6596.3</v>
      </c>
      <c r="O60" s="258">
        <v>3298.15</v>
      </c>
      <c r="P60" s="258">
        <v>3298.15</v>
      </c>
    </row>
    <row r="61" spans="1:16" s="1046" customFormat="1" ht="30" customHeight="1">
      <c r="A61" s="1044"/>
      <c r="B61" s="1045" t="s">
        <v>379</v>
      </c>
      <c r="C61" s="258">
        <f>SUM(C62:C66)</f>
        <v>0</v>
      </c>
      <c r="D61" s="258">
        <f t="shared" ref="D61" si="6">SUM(D62:D66)</f>
        <v>4897</v>
      </c>
      <c r="E61" s="258">
        <f>SUM(E62:E66)</f>
        <v>0</v>
      </c>
      <c r="F61" s="258">
        <v>9039</v>
      </c>
      <c r="G61" s="258">
        <v>0</v>
      </c>
      <c r="H61" s="258">
        <v>6649</v>
      </c>
      <c r="I61" s="258">
        <v>0</v>
      </c>
      <c r="J61" s="258">
        <v>9458</v>
      </c>
      <c r="K61" s="258">
        <v>10008</v>
      </c>
      <c r="L61" s="258">
        <v>6685.5</v>
      </c>
      <c r="M61" s="258">
        <v>3322.5</v>
      </c>
      <c r="N61" s="258">
        <v>12660</v>
      </c>
      <c r="O61" s="258">
        <v>7351</v>
      </c>
      <c r="P61" s="258">
        <v>5309</v>
      </c>
    </row>
    <row r="62" spans="1:16" s="4" customFormat="1" ht="15" customHeight="1">
      <c r="A62" s="17"/>
      <c r="B62" s="51" t="s">
        <v>380</v>
      </c>
      <c r="C62" s="241">
        <f>'4.6_транзит_КТЭЦ'!C62</f>
        <v>0</v>
      </c>
      <c r="D62" s="241">
        <f>'4.6_транзит_КТЭЦ'!D62+'4.6_косв.'!O62</f>
        <v>1595</v>
      </c>
      <c r="E62" s="241">
        <f>'4.6_транзит_КТЭЦ'!E62</f>
        <v>0</v>
      </c>
      <c r="F62" s="241">
        <v>5566</v>
      </c>
      <c r="G62" s="241">
        <v>0</v>
      </c>
      <c r="H62" s="241">
        <v>5246</v>
      </c>
      <c r="I62" s="241">
        <v>0</v>
      </c>
      <c r="J62" s="241">
        <v>7440</v>
      </c>
      <c r="K62" s="241">
        <v>7867</v>
      </c>
      <c r="L62" s="241">
        <v>5585</v>
      </c>
      <c r="M62" s="241">
        <v>2282</v>
      </c>
      <c r="N62" s="241">
        <v>10406</v>
      </c>
      <c r="O62" s="241">
        <v>6194</v>
      </c>
      <c r="P62" s="241">
        <v>4212</v>
      </c>
    </row>
    <row r="63" spans="1:16" s="4" customFormat="1" ht="15" customHeight="1">
      <c r="A63" s="17"/>
      <c r="B63" s="51" t="s">
        <v>381</v>
      </c>
      <c r="C63" s="241">
        <f>'4.6_транзит_КТЭЦ'!C63</f>
        <v>0</v>
      </c>
      <c r="D63" s="241">
        <f>'4.6_транзит_КТЭЦ'!D63+'4.6_косв.'!O63</f>
        <v>3238</v>
      </c>
      <c r="E63" s="241">
        <f>'4.6_транзит_КТЭЦ'!E63</f>
        <v>0</v>
      </c>
      <c r="F63" s="241">
        <v>3381</v>
      </c>
      <c r="G63" s="241">
        <v>0</v>
      </c>
      <c r="H63" s="241">
        <v>1274</v>
      </c>
      <c r="I63" s="241">
        <v>0</v>
      </c>
      <c r="J63" s="241">
        <v>1857</v>
      </c>
      <c r="K63" s="241">
        <v>1980</v>
      </c>
      <c r="L63" s="308">
        <v>1013.5</v>
      </c>
      <c r="M63" s="308">
        <v>966.5</v>
      </c>
      <c r="N63" s="241">
        <v>2093</v>
      </c>
      <c r="O63" s="308">
        <v>1070</v>
      </c>
      <c r="P63" s="308">
        <v>1023</v>
      </c>
    </row>
    <row r="64" spans="1:16" s="4" customFormat="1" ht="15" customHeight="1">
      <c r="A64" s="17"/>
      <c r="B64" s="51" t="s">
        <v>382</v>
      </c>
      <c r="C64" s="241">
        <f>'4.6_транзит_КТЭЦ'!C64</f>
        <v>0</v>
      </c>
      <c r="D64" s="241">
        <f>'4.6_транзит_КТЭЦ'!D64+'4.6_косв.'!O64</f>
        <v>64</v>
      </c>
      <c r="E64" s="241">
        <f>'4.6_транзит_КТЭЦ'!E64</f>
        <v>0</v>
      </c>
      <c r="F64" s="241">
        <v>92</v>
      </c>
      <c r="G64" s="241">
        <v>0</v>
      </c>
      <c r="H64" s="241">
        <v>129</v>
      </c>
      <c r="I64" s="241">
        <v>0</v>
      </c>
      <c r="J64" s="241">
        <v>161</v>
      </c>
      <c r="K64" s="241">
        <v>161</v>
      </c>
      <c r="L64" s="241">
        <v>87</v>
      </c>
      <c r="M64" s="241">
        <v>74</v>
      </c>
      <c r="N64" s="241">
        <v>161</v>
      </c>
      <c r="O64" s="241">
        <v>87</v>
      </c>
      <c r="P64" s="241">
        <v>74</v>
      </c>
    </row>
    <row r="65" spans="1:16" s="4" customFormat="1" ht="15" customHeight="1">
      <c r="A65" s="17"/>
      <c r="B65" s="51" t="s">
        <v>383</v>
      </c>
      <c r="C65" s="241">
        <f>'4.6_транзит_КТЭЦ'!C65</f>
        <v>0</v>
      </c>
      <c r="D65" s="241">
        <f>'4.6_транзит_КТЭЦ'!D65+'4.6_косв.'!O65</f>
        <v>0</v>
      </c>
      <c r="E65" s="241">
        <f>'4.6_транзит_КТЭЦ'!E65</f>
        <v>0</v>
      </c>
      <c r="F65" s="241">
        <v>0</v>
      </c>
      <c r="G65" s="241">
        <v>0</v>
      </c>
      <c r="H65" s="241">
        <v>0</v>
      </c>
      <c r="I65" s="241">
        <v>0</v>
      </c>
      <c r="J65" s="241">
        <v>0</v>
      </c>
      <c r="K65" s="241">
        <v>0</v>
      </c>
      <c r="L65" s="241">
        <v>0</v>
      </c>
      <c r="M65" s="241">
        <v>0</v>
      </c>
      <c r="N65" s="241">
        <v>0</v>
      </c>
      <c r="O65" s="241">
        <v>0</v>
      </c>
      <c r="P65" s="241">
        <v>0</v>
      </c>
    </row>
    <row r="66" spans="1:16" s="4" customFormat="1" ht="15" customHeight="1">
      <c r="A66" s="17"/>
      <c r="B66" s="51" t="s">
        <v>384</v>
      </c>
      <c r="C66" s="241">
        <f>'4.6_транзит_КТЭЦ'!C66</f>
        <v>0</v>
      </c>
      <c r="D66" s="241">
        <f>'4.6_транзит_КТЭЦ'!D66+'4.6_косв.'!O66</f>
        <v>0</v>
      </c>
      <c r="E66" s="241">
        <f>'4.6_транзит_КТЭЦ'!E66</f>
        <v>0</v>
      </c>
      <c r="F66" s="241">
        <v>0</v>
      </c>
      <c r="G66" s="241">
        <v>0</v>
      </c>
      <c r="H66" s="241">
        <v>0</v>
      </c>
      <c r="I66" s="241">
        <v>0</v>
      </c>
      <c r="J66" s="241">
        <v>0</v>
      </c>
      <c r="K66" s="241">
        <v>0</v>
      </c>
      <c r="L66" s="241">
        <v>0</v>
      </c>
      <c r="M66" s="241">
        <v>0</v>
      </c>
      <c r="N66" s="241">
        <v>0</v>
      </c>
      <c r="O66" s="241">
        <v>0</v>
      </c>
      <c r="P66" s="241">
        <v>0</v>
      </c>
    </row>
    <row r="67" spans="1:16" s="1034" customFormat="1" ht="15" customHeight="1">
      <c r="A67" s="1030" t="s">
        <v>385</v>
      </c>
      <c r="B67" s="1031" t="s">
        <v>386</v>
      </c>
      <c r="C67" s="1032">
        <f>SUM(C68:C71)</f>
        <v>0</v>
      </c>
      <c r="D67" s="1032">
        <f t="shared" ref="D67" si="7">SUM(D68:D71)</f>
        <v>2357</v>
      </c>
      <c r="E67" s="1032">
        <f>SUM(E68:E71)</f>
        <v>0</v>
      </c>
      <c r="F67" s="1032">
        <v>3323.3</v>
      </c>
      <c r="G67" s="1032">
        <v>0</v>
      </c>
      <c r="H67" s="1032">
        <v>2167</v>
      </c>
      <c r="I67" s="1032">
        <v>269</v>
      </c>
      <c r="J67" s="1032">
        <v>269</v>
      </c>
      <c r="K67" s="1032">
        <v>287.29200000000003</v>
      </c>
      <c r="L67" s="1032">
        <v>143.64600000000002</v>
      </c>
      <c r="M67" s="1032">
        <v>143.64600000000002</v>
      </c>
      <c r="N67" s="1032">
        <v>304.24222800000001</v>
      </c>
      <c r="O67" s="1032">
        <v>152.12111400000001</v>
      </c>
      <c r="P67" s="1032">
        <v>152.12111400000001</v>
      </c>
    </row>
    <row r="68" spans="1:16" s="1046" customFormat="1" ht="45">
      <c r="A68" s="1044"/>
      <c r="B68" s="1045" t="s">
        <v>387</v>
      </c>
      <c r="C68" s="258">
        <f>'4.6_транзит_КТЭЦ'!C68</f>
        <v>0</v>
      </c>
      <c r="D68" s="258">
        <f>'4.6_транзит_КТЭЦ'!D68+'4.6_косв.'!O68</f>
        <v>0</v>
      </c>
      <c r="E68" s="258">
        <f>'4.6_транзит_КТЭЦ'!E68</f>
        <v>0</v>
      </c>
      <c r="F68" s="258">
        <v>0</v>
      </c>
      <c r="G68" s="258">
        <v>0</v>
      </c>
      <c r="H68" s="258">
        <v>0</v>
      </c>
      <c r="I68" s="258">
        <v>0</v>
      </c>
      <c r="J68" s="258">
        <v>0</v>
      </c>
      <c r="K68" s="258">
        <v>0</v>
      </c>
      <c r="L68" s="258"/>
      <c r="M68" s="258">
        <v>0</v>
      </c>
      <c r="N68" s="258">
        <v>0</v>
      </c>
      <c r="O68" s="258"/>
      <c r="P68" s="258">
        <v>0</v>
      </c>
    </row>
    <row r="69" spans="1:16" s="1046" customFormat="1" ht="15" customHeight="1">
      <c r="A69" s="1044"/>
      <c r="B69" s="1045" t="s">
        <v>388</v>
      </c>
      <c r="C69" s="258">
        <f>'4.6_транзит_КТЭЦ'!C69</f>
        <v>0</v>
      </c>
      <c r="D69" s="258">
        <f>'4.6_транзит_КТЭЦ'!D69+'4.6_косв.'!O69</f>
        <v>0</v>
      </c>
      <c r="E69" s="258">
        <f>'4.6_транзит_КТЭЦ'!E69</f>
        <v>0</v>
      </c>
      <c r="F69" s="258">
        <v>0</v>
      </c>
      <c r="G69" s="258">
        <v>0</v>
      </c>
      <c r="H69" s="258">
        <v>0</v>
      </c>
      <c r="I69" s="258">
        <v>0</v>
      </c>
      <c r="J69" s="258">
        <v>0</v>
      </c>
      <c r="K69" s="258">
        <v>0</v>
      </c>
      <c r="L69" s="258"/>
      <c r="M69" s="258">
        <v>0</v>
      </c>
      <c r="N69" s="258">
        <v>0</v>
      </c>
      <c r="O69" s="258"/>
      <c r="P69" s="258">
        <v>0</v>
      </c>
    </row>
    <row r="70" spans="1:16" s="1046" customFormat="1" ht="60">
      <c r="A70" s="1044"/>
      <c r="B70" s="1045" t="s">
        <v>389</v>
      </c>
      <c r="C70" s="258">
        <f>'4.6_транзит_КТЭЦ'!C70</f>
        <v>0</v>
      </c>
      <c r="D70" s="258">
        <f>'4.6_транзит_КТЭЦ'!D70+'4.6_косв.'!O70</f>
        <v>0</v>
      </c>
      <c r="E70" s="258">
        <f>'4.6_транзит_КТЭЦ'!E70</f>
        <v>0</v>
      </c>
      <c r="F70" s="258">
        <v>0</v>
      </c>
      <c r="G70" s="258">
        <v>0</v>
      </c>
      <c r="H70" s="258">
        <v>0</v>
      </c>
      <c r="I70" s="258">
        <v>0</v>
      </c>
      <c r="J70" s="258">
        <v>0</v>
      </c>
      <c r="K70" s="258">
        <v>0</v>
      </c>
      <c r="L70" s="258"/>
      <c r="M70" s="258">
        <v>0</v>
      </c>
      <c r="N70" s="258">
        <v>0</v>
      </c>
      <c r="O70" s="258"/>
      <c r="P70" s="258">
        <v>0</v>
      </c>
    </row>
    <row r="71" spans="1:16" s="1046" customFormat="1" ht="15" customHeight="1">
      <c r="A71" s="1044"/>
      <c r="B71" s="1045" t="s">
        <v>390</v>
      </c>
      <c r="C71" s="258">
        <f>SUM(C72:C77)</f>
        <v>0</v>
      </c>
      <c r="D71" s="258">
        <f t="shared" ref="D71" si="8">SUM(D72:D77)</f>
        <v>2357</v>
      </c>
      <c r="E71" s="258">
        <f>SUM(E72:E77)</f>
        <v>0</v>
      </c>
      <c r="F71" s="258">
        <v>3323.3</v>
      </c>
      <c r="G71" s="258">
        <v>0</v>
      </c>
      <c r="H71" s="258">
        <v>2167</v>
      </c>
      <c r="I71" s="258">
        <v>269</v>
      </c>
      <c r="J71" s="258">
        <v>269</v>
      </c>
      <c r="K71" s="258">
        <v>287.29200000000003</v>
      </c>
      <c r="L71" s="258">
        <v>143.64600000000002</v>
      </c>
      <c r="M71" s="258">
        <v>143.64600000000002</v>
      </c>
      <c r="N71" s="258">
        <v>304.24222800000001</v>
      </c>
      <c r="O71" s="258">
        <v>152.12111400000001</v>
      </c>
      <c r="P71" s="258">
        <v>152.12111400000001</v>
      </c>
    </row>
    <row r="72" spans="1:16" s="4" customFormat="1" ht="15" customHeight="1">
      <c r="A72" s="17"/>
      <c r="B72" s="51" t="s">
        <v>961</v>
      </c>
      <c r="C72" s="241">
        <f>'4.6_транзит_КТЭЦ'!C72</f>
        <v>0</v>
      </c>
      <c r="D72" s="241">
        <f>'4.6_транзит_КТЭЦ'!D72+'4.6_косв.'!O72</f>
        <v>0</v>
      </c>
      <c r="E72" s="241">
        <f>'4.6_транзит_КТЭЦ'!E72</f>
        <v>0</v>
      </c>
      <c r="F72" s="241">
        <v>0</v>
      </c>
      <c r="G72" s="241">
        <v>0</v>
      </c>
      <c r="H72" s="241">
        <v>0</v>
      </c>
      <c r="I72" s="241">
        <v>0</v>
      </c>
      <c r="J72" s="241">
        <v>0</v>
      </c>
      <c r="K72" s="241">
        <v>0</v>
      </c>
      <c r="L72" s="241">
        <v>0</v>
      </c>
      <c r="M72" s="241">
        <v>0</v>
      </c>
      <c r="N72" s="241">
        <v>0</v>
      </c>
      <c r="O72" s="241">
        <v>0</v>
      </c>
      <c r="P72" s="241">
        <v>0</v>
      </c>
    </row>
    <row r="73" spans="1:16" s="4" customFormat="1" ht="15" customHeight="1">
      <c r="A73" s="17"/>
      <c r="B73" s="51" t="s">
        <v>962</v>
      </c>
      <c r="C73" s="241">
        <f>'4.6_транзит_КТЭЦ'!C73</f>
        <v>0</v>
      </c>
      <c r="D73" s="241">
        <f>'4.6_транзит_КТЭЦ'!D73+'4.6_косв.'!O73</f>
        <v>0</v>
      </c>
      <c r="E73" s="241">
        <f>'4.6_транзит_КТЭЦ'!E73</f>
        <v>0</v>
      </c>
      <c r="F73" s="241">
        <v>0</v>
      </c>
      <c r="G73" s="241">
        <v>0</v>
      </c>
      <c r="H73" s="241">
        <v>0</v>
      </c>
      <c r="I73" s="241">
        <v>0</v>
      </c>
      <c r="J73" s="241">
        <v>0</v>
      </c>
      <c r="K73" s="241">
        <v>0</v>
      </c>
      <c r="L73" s="241"/>
      <c r="M73" s="241">
        <v>0</v>
      </c>
      <c r="N73" s="241">
        <v>0</v>
      </c>
      <c r="O73" s="241"/>
      <c r="P73" s="241">
        <v>0</v>
      </c>
    </row>
    <row r="74" spans="1:16" s="4" customFormat="1" ht="15" customHeight="1">
      <c r="A74" s="17"/>
      <c r="B74" s="51" t="s">
        <v>963</v>
      </c>
      <c r="C74" s="241">
        <f>'4.6_транзит_КТЭЦ'!C74</f>
        <v>0</v>
      </c>
      <c r="D74" s="241">
        <f>'4.6_транзит_КТЭЦ'!D74+'4.6_косв.'!O74</f>
        <v>2357</v>
      </c>
      <c r="E74" s="241">
        <f>'4.6_транзит_КТЭЦ'!E74</f>
        <v>0</v>
      </c>
      <c r="F74" s="241">
        <v>3323.3</v>
      </c>
      <c r="G74" s="241">
        <v>0</v>
      </c>
      <c r="H74" s="241">
        <v>2167</v>
      </c>
      <c r="I74" s="241">
        <v>269</v>
      </c>
      <c r="J74" s="241">
        <v>269</v>
      </c>
      <c r="K74" s="241">
        <v>287.29200000000003</v>
      </c>
      <c r="L74" s="241">
        <v>143.64600000000002</v>
      </c>
      <c r="M74" s="241">
        <v>143.64600000000002</v>
      </c>
      <c r="N74" s="241">
        <v>304.24222800000001</v>
      </c>
      <c r="O74" s="241">
        <v>152.12111400000001</v>
      </c>
      <c r="P74" s="241">
        <v>152.12111400000001</v>
      </c>
    </row>
    <row r="75" spans="1:16" s="4" customFormat="1" ht="15" hidden="1" customHeight="1">
      <c r="A75" s="17"/>
      <c r="B75" s="51"/>
      <c r="C75" s="241">
        <f>'4.6_транзит_КТЭЦ'!C75</f>
        <v>0</v>
      </c>
      <c r="D75" s="241">
        <f>'4.6_транзит_КТЭЦ'!D75+'4.6_косв.'!O75</f>
        <v>0</v>
      </c>
      <c r="E75" s="241">
        <f>'4.6_транзит_КТЭЦ'!E75</f>
        <v>0</v>
      </c>
      <c r="F75" s="241">
        <v>0</v>
      </c>
      <c r="G75" s="241">
        <v>0</v>
      </c>
      <c r="H75" s="241">
        <v>0</v>
      </c>
      <c r="I75" s="241">
        <v>0</v>
      </c>
      <c r="J75" s="241">
        <v>0</v>
      </c>
      <c r="K75" s="241">
        <v>0</v>
      </c>
      <c r="L75" s="241"/>
      <c r="M75" s="241">
        <v>0</v>
      </c>
      <c r="N75" s="241">
        <v>0</v>
      </c>
      <c r="O75" s="241"/>
      <c r="P75" s="241">
        <v>0</v>
      </c>
    </row>
    <row r="76" spans="1:16" s="4" customFormat="1" ht="15" hidden="1" customHeight="1">
      <c r="A76" s="17"/>
      <c r="B76" s="51"/>
      <c r="C76" s="241"/>
      <c r="D76" s="241"/>
      <c r="E76" s="241"/>
      <c r="F76" s="241"/>
      <c r="G76" s="241"/>
      <c r="H76" s="241"/>
      <c r="I76" s="241"/>
      <c r="J76" s="241"/>
      <c r="K76" s="241"/>
      <c r="L76" s="241"/>
      <c r="M76" s="241"/>
      <c r="N76" s="241"/>
      <c r="O76" s="241"/>
      <c r="P76" s="241"/>
    </row>
    <row r="77" spans="1:16" s="4" customFormat="1" ht="15" hidden="1" customHeight="1">
      <c r="A77" s="17"/>
      <c r="B77" s="51"/>
      <c r="C77" s="241"/>
      <c r="D77" s="241"/>
      <c r="E77" s="241"/>
      <c r="F77" s="241"/>
      <c r="G77" s="241"/>
      <c r="H77" s="241"/>
      <c r="I77" s="241"/>
      <c r="J77" s="241"/>
      <c r="K77" s="241"/>
      <c r="L77" s="241"/>
      <c r="M77" s="241"/>
      <c r="N77" s="241"/>
      <c r="O77" s="241"/>
      <c r="P77" s="241"/>
    </row>
    <row r="78" spans="1:16" s="1034" customFormat="1" ht="30.75" customHeight="1">
      <c r="A78" s="1030" t="s">
        <v>391</v>
      </c>
      <c r="B78" s="1031" t="s">
        <v>392</v>
      </c>
      <c r="C78" s="1032">
        <f>SUM(C79:C82)</f>
        <v>0</v>
      </c>
      <c r="D78" s="1032">
        <f t="shared" ref="D78" si="9">SUM(D79:D82)</f>
        <v>6529</v>
      </c>
      <c r="E78" s="1032">
        <f>SUM(E79:E82)</f>
        <v>0</v>
      </c>
      <c r="F78" s="1032">
        <v>7766</v>
      </c>
      <c r="G78" s="1032">
        <v>0</v>
      </c>
      <c r="H78" s="1032">
        <v>8465</v>
      </c>
      <c r="I78" s="1032">
        <v>12752</v>
      </c>
      <c r="J78" s="1032">
        <v>7293</v>
      </c>
      <c r="K78" s="1032">
        <v>7788.9240000000009</v>
      </c>
      <c r="L78" s="1032">
        <v>3894.4620000000004</v>
      </c>
      <c r="M78" s="1032">
        <v>3894.4620000000004</v>
      </c>
      <c r="N78" s="1032">
        <v>8248.4705159999994</v>
      </c>
      <c r="O78" s="1032">
        <v>4124.2352579999997</v>
      </c>
      <c r="P78" s="1032">
        <v>4124.2352579999997</v>
      </c>
    </row>
    <row r="79" spans="1:16" s="1046" customFormat="1" ht="30">
      <c r="A79" s="1044"/>
      <c r="B79" s="1045" t="s">
        <v>393</v>
      </c>
      <c r="C79" s="258">
        <f>'4.6_транзит_КТЭЦ'!C79</f>
        <v>0</v>
      </c>
      <c r="D79" s="258">
        <f>'4.6_транзит_КТЭЦ'!D79+'4.6_косв.'!O79</f>
        <v>0</v>
      </c>
      <c r="E79" s="258">
        <f>'4.6_транзит_КТЭЦ'!E79</f>
        <v>0</v>
      </c>
      <c r="F79" s="258">
        <v>0</v>
      </c>
      <c r="G79" s="258">
        <v>0</v>
      </c>
      <c r="H79" s="258">
        <v>0</v>
      </c>
      <c r="I79" s="258">
        <v>0</v>
      </c>
      <c r="J79" s="258">
        <v>0</v>
      </c>
      <c r="K79" s="258">
        <v>0</v>
      </c>
      <c r="L79" s="258"/>
      <c r="M79" s="258">
        <v>0</v>
      </c>
      <c r="N79" s="258">
        <v>0</v>
      </c>
      <c r="O79" s="258"/>
      <c r="P79" s="258">
        <v>0</v>
      </c>
    </row>
    <row r="80" spans="1:16" s="1046" customFormat="1" ht="30" customHeight="1">
      <c r="A80" s="1044"/>
      <c r="B80" s="1045" t="s">
        <v>394</v>
      </c>
      <c r="C80" s="258">
        <f>'4.6_транзит_КТЭЦ'!C80</f>
        <v>0</v>
      </c>
      <c r="D80" s="258">
        <f>'4.6_транзит_КТЭЦ'!D80+'4.6_косв.'!O80</f>
        <v>5861</v>
      </c>
      <c r="E80" s="258">
        <f>'4.6_транзит_КТЭЦ'!E80</f>
        <v>0</v>
      </c>
      <c r="F80" s="258">
        <v>6500</v>
      </c>
      <c r="G80" s="258">
        <v>0</v>
      </c>
      <c r="H80" s="258">
        <v>6861</v>
      </c>
      <c r="I80" s="258">
        <v>6618</v>
      </c>
      <c r="J80" s="258">
        <v>6618</v>
      </c>
      <c r="K80" s="258">
        <v>7068.0240000000003</v>
      </c>
      <c r="L80" s="258">
        <v>3534.0120000000002</v>
      </c>
      <c r="M80" s="258">
        <v>3534.0120000000002</v>
      </c>
      <c r="N80" s="258">
        <v>7485.0374160000001</v>
      </c>
      <c r="O80" s="258">
        <v>3742.5187080000001</v>
      </c>
      <c r="P80" s="258">
        <v>3742.5187080000001</v>
      </c>
    </row>
    <row r="81" spans="1:16" s="1046" customFormat="1" ht="15" customHeight="1">
      <c r="A81" s="1044"/>
      <c r="B81" s="1045" t="s">
        <v>1568</v>
      </c>
      <c r="C81" s="258">
        <f>'4.6_транзит_КТЭЦ'!C81</f>
        <v>0</v>
      </c>
      <c r="D81" s="258">
        <f>'4.6_транзит_КТЭЦ'!D81+'4.6_косв.'!O81</f>
        <v>0</v>
      </c>
      <c r="E81" s="258">
        <f>'4.6_транзит_КТЭЦ'!E81</f>
        <v>0</v>
      </c>
      <c r="F81" s="258">
        <v>0</v>
      </c>
      <c r="G81" s="258">
        <v>0</v>
      </c>
      <c r="H81" s="258">
        <v>0</v>
      </c>
      <c r="I81" s="258">
        <v>0</v>
      </c>
      <c r="J81" s="258">
        <v>0</v>
      </c>
      <c r="K81" s="258">
        <v>0</v>
      </c>
      <c r="L81" s="258"/>
      <c r="M81" s="258">
        <v>0</v>
      </c>
      <c r="N81" s="258">
        <v>0</v>
      </c>
      <c r="O81" s="258"/>
      <c r="P81" s="258">
        <v>0</v>
      </c>
    </row>
    <row r="82" spans="1:16" s="1046" customFormat="1" ht="28.5" customHeight="1">
      <c r="A82" s="1044"/>
      <c r="B82" s="1045" t="s">
        <v>1957</v>
      </c>
      <c r="C82" s="258">
        <f>'4.6_транзит_КТЭЦ'!C82</f>
        <v>0</v>
      </c>
      <c r="D82" s="258">
        <f>'4.6_транзит_КТЭЦ'!D82+'4.6_косв.'!O82</f>
        <v>668</v>
      </c>
      <c r="E82" s="258">
        <f>'4.6_транзит_КТЭЦ'!E82</f>
        <v>0</v>
      </c>
      <c r="F82" s="258">
        <v>1266</v>
      </c>
      <c r="G82" s="258">
        <v>0</v>
      </c>
      <c r="H82" s="258">
        <v>1604</v>
      </c>
      <c r="I82" s="258">
        <v>6134</v>
      </c>
      <c r="J82" s="258">
        <v>675</v>
      </c>
      <c r="K82" s="258">
        <v>720.90000000000009</v>
      </c>
      <c r="L82" s="258">
        <v>360.45000000000005</v>
      </c>
      <c r="M82" s="258">
        <v>360.45000000000005</v>
      </c>
      <c r="N82" s="258">
        <v>763.43310000000008</v>
      </c>
      <c r="O82" s="258">
        <v>381.71655000000004</v>
      </c>
      <c r="P82" s="258">
        <v>381.71655000000004</v>
      </c>
    </row>
    <row r="83" spans="1:16" s="1034" customFormat="1" ht="15" customHeight="1">
      <c r="A83" s="1030" t="s">
        <v>395</v>
      </c>
      <c r="B83" s="1031" t="s">
        <v>396</v>
      </c>
      <c r="C83" s="1032">
        <f>(C68+C69+C70+C78)/0.8*0.2</f>
        <v>0</v>
      </c>
      <c r="D83" s="1032">
        <f t="shared" ref="D83" si="10">(D68+D69+D70+D78)/0.8*0.2</f>
        <v>1632.25</v>
      </c>
      <c r="E83" s="1032">
        <f>E78/0.8*0.2</f>
        <v>0</v>
      </c>
      <c r="F83" s="1032">
        <v>1941.5</v>
      </c>
      <c r="G83" s="1032">
        <v>0</v>
      </c>
      <c r="H83" s="1032">
        <v>2116.25</v>
      </c>
      <c r="I83" s="1032">
        <v>3188</v>
      </c>
      <c r="J83" s="1032">
        <v>1823.25</v>
      </c>
      <c r="K83" s="1032">
        <v>1947.2310000000002</v>
      </c>
      <c r="L83" s="1032">
        <v>973.61550000000011</v>
      </c>
      <c r="M83" s="1032">
        <v>973.61550000000011</v>
      </c>
      <c r="N83" s="1032">
        <v>2062.1176289999999</v>
      </c>
      <c r="O83" s="1032">
        <v>1031.0588144999999</v>
      </c>
      <c r="P83" s="1032">
        <v>1031.0588144999999</v>
      </c>
    </row>
    <row r="84" spans="1:16" s="1034" customFormat="1" ht="15" customHeight="1">
      <c r="A84" s="1030" t="s">
        <v>397</v>
      </c>
      <c r="B84" s="1031" t="s">
        <v>398</v>
      </c>
      <c r="C84" s="1032">
        <f>C85-C88</f>
        <v>0</v>
      </c>
      <c r="D84" s="1032">
        <f t="shared" ref="D84" si="11">D85-D88</f>
        <v>0</v>
      </c>
      <c r="E84" s="1032">
        <f>E85-E88</f>
        <v>0</v>
      </c>
      <c r="F84" s="1032">
        <v>0</v>
      </c>
      <c r="G84" s="1032">
        <v>0</v>
      </c>
      <c r="H84" s="1032">
        <v>0</v>
      </c>
      <c r="I84" s="1032">
        <v>0</v>
      </c>
      <c r="J84" s="1032">
        <v>0</v>
      </c>
      <c r="K84" s="1032">
        <v>51641</v>
      </c>
      <c r="L84" s="1032">
        <v>0</v>
      </c>
      <c r="M84" s="1032">
        <v>51641</v>
      </c>
      <c r="N84" s="1032">
        <v>0</v>
      </c>
      <c r="O84" s="1032">
        <v>0</v>
      </c>
      <c r="P84" s="1032">
        <v>0</v>
      </c>
    </row>
    <row r="85" spans="1:16" s="585" customFormat="1" ht="15" customHeight="1">
      <c r="A85" s="583"/>
      <c r="B85" s="582" t="s">
        <v>1140</v>
      </c>
      <c r="C85" s="587">
        <f>C86+C87</f>
        <v>0</v>
      </c>
      <c r="D85" s="587">
        <f t="shared" ref="D85" si="12">D86+D87</f>
        <v>0</v>
      </c>
      <c r="E85" s="587">
        <f>E86+E87</f>
        <v>0</v>
      </c>
      <c r="F85" s="587">
        <v>0</v>
      </c>
      <c r="G85" s="587">
        <v>0</v>
      </c>
      <c r="H85" s="587">
        <v>0</v>
      </c>
      <c r="I85" s="587">
        <v>0</v>
      </c>
      <c r="J85" s="587">
        <v>0</v>
      </c>
      <c r="K85" s="587">
        <v>90380</v>
      </c>
      <c r="L85" s="587">
        <v>0</v>
      </c>
      <c r="M85" s="587">
        <v>90380</v>
      </c>
      <c r="N85" s="587">
        <v>0</v>
      </c>
      <c r="O85" s="587">
        <v>0</v>
      </c>
      <c r="P85" s="587">
        <v>0</v>
      </c>
    </row>
    <row r="86" spans="1:16" s="341" customFormat="1" ht="15" customHeight="1">
      <c r="A86" s="339"/>
      <c r="B86" s="340" t="s">
        <v>959</v>
      </c>
      <c r="C86" s="241">
        <f>'4.6_транзит_КТЭЦ'!C86</f>
        <v>0</v>
      </c>
      <c r="D86" s="241">
        <f>'4.6_транзит_КТЭЦ'!D86+'4.6_косв.'!O86</f>
        <v>0</v>
      </c>
      <c r="E86" s="241">
        <f>'4.6_транзит_КТЭЦ'!E86</f>
        <v>0</v>
      </c>
      <c r="F86" s="241">
        <v>0</v>
      </c>
      <c r="G86" s="241">
        <v>0</v>
      </c>
      <c r="H86" s="241">
        <v>0</v>
      </c>
      <c r="I86" s="241">
        <v>0</v>
      </c>
      <c r="J86" s="241">
        <v>0</v>
      </c>
      <c r="K86" s="241">
        <v>90380</v>
      </c>
      <c r="L86" s="308">
        <v>0</v>
      </c>
      <c r="M86" s="308">
        <v>90380</v>
      </c>
      <c r="N86" s="241">
        <v>0</v>
      </c>
      <c r="O86" s="308">
        <v>0</v>
      </c>
      <c r="P86" s="308">
        <v>0</v>
      </c>
    </row>
    <row r="87" spans="1:16" s="341" customFormat="1" ht="15" customHeight="1">
      <c r="A87" s="339"/>
      <c r="B87" s="51" t="s">
        <v>960</v>
      </c>
      <c r="C87" s="241">
        <f>'4.6_транзит_КТЭЦ'!C87</f>
        <v>0</v>
      </c>
      <c r="D87" s="241">
        <f>'4.6_транзит_КТЭЦ'!D87+'4.6_косв.'!O87</f>
        <v>0</v>
      </c>
      <c r="E87" s="241">
        <f>'4.6_транзит_КТЭЦ'!E87</f>
        <v>0</v>
      </c>
      <c r="F87" s="241">
        <v>0</v>
      </c>
      <c r="G87" s="241">
        <v>0</v>
      </c>
      <c r="H87" s="241">
        <v>0</v>
      </c>
      <c r="I87" s="241">
        <v>0</v>
      </c>
      <c r="J87" s="241">
        <v>0</v>
      </c>
      <c r="K87" s="241">
        <v>0</v>
      </c>
      <c r="L87" s="241">
        <v>0</v>
      </c>
      <c r="M87" s="308">
        <v>0</v>
      </c>
      <c r="N87" s="241">
        <v>0</v>
      </c>
      <c r="O87" s="241">
        <v>0</v>
      </c>
      <c r="P87" s="308">
        <v>0</v>
      </c>
    </row>
    <row r="88" spans="1:16" s="588" customFormat="1" ht="15" customHeight="1">
      <c r="A88" s="586"/>
      <c r="B88" s="582" t="s">
        <v>1141</v>
      </c>
      <c r="C88" s="587">
        <f>C89+C90</f>
        <v>0</v>
      </c>
      <c r="D88" s="587">
        <f t="shared" ref="D88" si="13">D89+D90</f>
        <v>0</v>
      </c>
      <c r="E88" s="587">
        <f>E89+E90</f>
        <v>0</v>
      </c>
      <c r="F88" s="587">
        <v>0</v>
      </c>
      <c r="G88" s="587">
        <v>0</v>
      </c>
      <c r="H88" s="587">
        <v>0</v>
      </c>
      <c r="I88" s="587">
        <v>0</v>
      </c>
      <c r="J88" s="587">
        <v>0</v>
      </c>
      <c r="K88" s="587">
        <v>38739</v>
      </c>
      <c r="L88" s="587">
        <v>0</v>
      </c>
      <c r="M88" s="587">
        <v>38739</v>
      </c>
      <c r="N88" s="587">
        <v>0</v>
      </c>
      <c r="O88" s="587">
        <v>0</v>
      </c>
      <c r="P88" s="587">
        <v>0</v>
      </c>
    </row>
    <row r="89" spans="1:16" s="341" customFormat="1" ht="15" customHeight="1">
      <c r="A89" s="339"/>
      <c r="B89" s="340" t="s">
        <v>959</v>
      </c>
      <c r="C89" s="241">
        <f>'4.6_транзит_КТЭЦ'!C89</f>
        <v>0</v>
      </c>
      <c r="D89" s="241">
        <f>'4.6_транзит_КТЭЦ'!D89+'4.6_косв.'!O89</f>
        <v>0</v>
      </c>
      <c r="E89" s="241">
        <f>'4.6_транзит_КТЭЦ'!E89</f>
        <v>0</v>
      </c>
      <c r="F89" s="241">
        <v>0</v>
      </c>
      <c r="G89" s="241">
        <v>0</v>
      </c>
      <c r="H89" s="241">
        <v>0</v>
      </c>
      <c r="I89" s="241">
        <v>0</v>
      </c>
      <c r="J89" s="241">
        <v>0</v>
      </c>
      <c r="K89" s="241">
        <v>38739</v>
      </c>
      <c r="L89" s="241">
        <v>0</v>
      </c>
      <c r="M89" s="308">
        <v>38739</v>
      </c>
      <c r="N89" s="241">
        <v>0</v>
      </c>
      <c r="O89" s="241">
        <v>0</v>
      </c>
      <c r="P89" s="308">
        <v>0</v>
      </c>
    </row>
    <row r="90" spans="1:16" s="341" customFormat="1" ht="15" customHeight="1">
      <c r="A90" s="339"/>
      <c r="B90" s="51" t="s">
        <v>960</v>
      </c>
      <c r="C90" s="241">
        <f>'4.6_транзит_КТЭЦ'!C90</f>
        <v>0</v>
      </c>
      <c r="D90" s="241">
        <f>'4.6_транзит_КТЭЦ'!D90+'4.6_косв.'!O90</f>
        <v>0</v>
      </c>
      <c r="E90" s="241">
        <f>'4.6_транзит_КТЭЦ'!E90</f>
        <v>0</v>
      </c>
      <c r="F90" s="241">
        <v>0</v>
      </c>
      <c r="G90" s="241">
        <v>0</v>
      </c>
      <c r="H90" s="241">
        <v>0</v>
      </c>
      <c r="I90" s="241">
        <v>0</v>
      </c>
      <c r="J90" s="241">
        <v>0</v>
      </c>
      <c r="K90" s="241">
        <v>0</v>
      </c>
      <c r="L90" s="241">
        <v>0</v>
      </c>
      <c r="M90" s="308">
        <v>0</v>
      </c>
      <c r="N90" s="241">
        <v>0</v>
      </c>
      <c r="O90" s="241">
        <v>0</v>
      </c>
      <c r="P90" s="308">
        <v>0</v>
      </c>
    </row>
    <row r="91" spans="1:16" s="1055" customFormat="1" ht="15" customHeight="1">
      <c r="A91" s="1052" t="s">
        <v>399</v>
      </c>
      <c r="B91" s="1053" t="s">
        <v>400</v>
      </c>
      <c r="C91" s="1054">
        <f t="shared" ref="C91:E91" si="14">C7+C67+C78+C83+C84</f>
        <v>0</v>
      </c>
      <c r="D91" s="1054">
        <f t="shared" si="14"/>
        <v>964094.46481899999</v>
      </c>
      <c r="E91" s="1054">
        <f t="shared" si="14"/>
        <v>0</v>
      </c>
      <c r="F91" s="1054">
        <v>1050175.643436</v>
      </c>
      <c r="G91" s="1054">
        <v>125259.61406699999</v>
      </c>
      <c r="H91" s="1054">
        <v>1183637.3099215901</v>
      </c>
      <c r="I91" s="1054">
        <v>155580</v>
      </c>
      <c r="J91" s="1054">
        <v>1316500.9054662599</v>
      </c>
      <c r="K91" s="1054">
        <v>1448384.3267611961</v>
      </c>
      <c r="L91" s="1054">
        <v>707936.01131427998</v>
      </c>
      <c r="M91" s="1054">
        <v>740449.31544691592</v>
      </c>
      <c r="N91" s="1610">
        <v>1480462.0417837242</v>
      </c>
      <c r="O91" s="1054">
        <v>753982.00910643209</v>
      </c>
      <c r="P91" s="1054">
        <v>726480.03267729201</v>
      </c>
    </row>
    <row r="92" spans="1:16" s="4" customFormat="1" ht="15" customHeight="1">
      <c r="A92" s="17" t="s">
        <v>401</v>
      </c>
      <c r="B92" s="51" t="s">
        <v>1269</v>
      </c>
      <c r="C92" s="241"/>
      <c r="D92" s="241"/>
      <c r="E92" s="241"/>
      <c r="F92" s="241"/>
      <c r="G92" s="241"/>
      <c r="H92" s="241"/>
      <c r="I92" s="241"/>
      <c r="J92" s="241"/>
      <c r="K92" s="241"/>
      <c r="L92" s="241"/>
      <c r="M92" s="241"/>
      <c r="N92" s="982"/>
      <c r="O92" s="241"/>
      <c r="P92" s="241"/>
    </row>
    <row r="93" spans="1:16" s="4" customFormat="1" ht="15" customHeight="1">
      <c r="A93" s="17" t="s">
        <v>403</v>
      </c>
      <c r="B93" s="51" t="s">
        <v>1270</v>
      </c>
      <c r="C93" s="241">
        <f>C91-C94-C95</f>
        <v>0</v>
      </c>
      <c r="D93" s="241">
        <f t="shared" ref="D93:E93" si="15">D91-D94-D95</f>
        <v>964094.46481899999</v>
      </c>
      <c r="E93" s="241">
        <f t="shared" si="15"/>
        <v>0</v>
      </c>
      <c r="F93" s="241">
        <v>1050175.643436</v>
      </c>
      <c r="G93" s="241">
        <v>125259.61406699999</v>
      </c>
      <c r="H93" s="241">
        <v>1183637.3099215901</v>
      </c>
      <c r="I93" s="241">
        <v>155580</v>
      </c>
      <c r="J93" s="241">
        <v>1316500.9054662599</v>
      </c>
      <c r="K93" s="241">
        <v>1448384.3267611961</v>
      </c>
      <c r="L93" s="241">
        <v>707936.01131427998</v>
      </c>
      <c r="M93" s="241">
        <v>740449.31544691592</v>
      </c>
      <c r="N93" s="982">
        <v>1480462.0417837242</v>
      </c>
      <c r="O93" s="241">
        <v>753982.00910643209</v>
      </c>
      <c r="P93" s="241">
        <v>726480.03267729201</v>
      </c>
    </row>
    <row r="94" spans="1:16" s="4" customFormat="1" ht="15" customHeight="1">
      <c r="A94" s="17" t="s">
        <v>405</v>
      </c>
      <c r="B94" s="51" t="s">
        <v>1271</v>
      </c>
      <c r="C94" s="241"/>
      <c r="D94" s="241"/>
      <c r="E94" s="241"/>
      <c r="F94" s="241"/>
      <c r="G94" s="241"/>
      <c r="H94" s="241"/>
      <c r="I94" s="241"/>
      <c r="J94" s="241"/>
      <c r="K94" s="241"/>
      <c r="L94" s="241"/>
      <c r="M94" s="241"/>
      <c r="N94" s="982"/>
      <c r="O94" s="241"/>
      <c r="P94" s="241"/>
    </row>
    <row r="95" spans="1:16" s="4" customFormat="1" ht="15" customHeight="1">
      <c r="A95" s="17" t="s">
        <v>407</v>
      </c>
      <c r="B95" s="51" t="s">
        <v>408</v>
      </c>
      <c r="C95" s="241"/>
      <c r="D95" s="241"/>
      <c r="E95" s="241"/>
      <c r="F95" s="241"/>
      <c r="G95" s="241"/>
      <c r="H95" s="241"/>
      <c r="I95" s="241"/>
      <c r="J95" s="241"/>
      <c r="K95" s="241"/>
      <c r="L95" s="241"/>
      <c r="M95" s="241"/>
      <c r="N95" s="982"/>
      <c r="O95" s="241"/>
      <c r="P95" s="241"/>
    </row>
    <row r="96" spans="1:16" s="4" customFormat="1" ht="15" customHeight="1">
      <c r="A96" s="17"/>
      <c r="B96" s="51"/>
      <c r="C96" s="241"/>
      <c r="D96" s="241"/>
      <c r="E96" s="241"/>
      <c r="F96" s="241"/>
      <c r="G96" s="241"/>
      <c r="H96" s="241"/>
      <c r="I96" s="241"/>
      <c r="J96" s="241"/>
      <c r="K96" s="241"/>
      <c r="L96" s="241"/>
      <c r="M96" s="241"/>
      <c r="N96" s="982"/>
      <c r="O96" s="241"/>
      <c r="P96" s="241"/>
    </row>
    <row r="97" spans="1:16" s="4" customFormat="1" ht="28.5">
      <c r="A97" s="17"/>
      <c r="B97" s="755" t="s">
        <v>1268</v>
      </c>
      <c r="C97" s="286">
        <f>'4.3_КТЭЦ'!E8</f>
        <v>922.65</v>
      </c>
      <c r="D97" s="286">
        <f>'4.3_КТЭЦ'!I8</f>
        <v>907.11299999999994</v>
      </c>
      <c r="E97" s="286">
        <f>'4.3_КТЭЦ'!M8</f>
        <v>911.197</v>
      </c>
      <c r="F97" s="286">
        <v>858.0397999999999</v>
      </c>
      <c r="G97" s="286">
        <v>904.44797589999962</v>
      </c>
      <c r="H97" s="286">
        <v>836.25261320499999</v>
      </c>
      <c r="I97" s="286">
        <v>0</v>
      </c>
      <c r="J97" s="286">
        <v>860.72499999999991</v>
      </c>
      <c r="K97" s="286">
        <v>860.72499999999991</v>
      </c>
      <c r="L97" s="286">
        <v>523.05800000000011</v>
      </c>
      <c r="M97" s="286">
        <v>337.66699999999992</v>
      </c>
      <c r="N97" s="286">
        <v>860.72499999999991</v>
      </c>
      <c r="O97" s="286">
        <v>523.05800000000011</v>
      </c>
      <c r="P97" s="286">
        <v>337.66699999999992</v>
      </c>
    </row>
    <row r="98" spans="1:16" s="4" customFormat="1" ht="15" customHeight="1">
      <c r="A98" s="17"/>
      <c r="B98" s="51"/>
      <c r="C98" s="241"/>
      <c r="D98" s="241"/>
      <c r="E98" s="241"/>
      <c r="F98" s="241"/>
      <c r="G98" s="241"/>
      <c r="H98" s="241"/>
      <c r="I98" s="241"/>
      <c r="J98" s="241"/>
      <c r="K98" s="241"/>
      <c r="L98" s="241"/>
      <c r="M98" s="241"/>
      <c r="N98" s="982"/>
      <c r="O98" s="241"/>
      <c r="P98" s="241"/>
    </row>
    <row r="99" spans="1:16" s="4" customFormat="1" ht="15" customHeight="1">
      <c r="A99" s="17"/>
      <c r="B99" s="253" t="s">
        <v>1266</v>
      </c>
      <c r="C99" s="428">
        <f>C93/C97</f>
        <v>0</v>
      </c>
      <c r="D99" s="428">
        <f t="shared" ref="D99:E99" si="16">D93/D97</f>
        <v>1062.8162806827816</v>
      </c>
      <c r="E99" s="428">
        <f t="shared" si="16"/>
        <v>0</v>
      </c>
      <c r="F99" s="428">
        <v>1223.9241623010962</v>
      </c>
      <c r="G99" s="428">
        <v>138.49289003312373</v>
      </c>
      <c r="H99" s="428">
        <v>1415.4064109709775</v>
      </c>
      <c r="I99" s="428" t="e">
        <v>#DIV/0!</v>
      </c>
      <c r="J99" s="428">
        <v>1529.5255807212061</v>
      </c>
      <c r="K99" s="428">
        <v>1682.749225084895</v>
      </c>
      <c r="L99" s="428">
        <v>1353.4560437165283</v>
      </c>
      <c r="M99" s="428">
        <v>2192.8388484717671</v>
      </c>
      <c r="N99" s="1128">
        <v>1720.0174757137579</v>
      </c>
      <c r="O99" s="428">
        <v>1441.4883418405452</v>
      </c>
      <c r="P99" s="428">
        <v>2151.4688514936083</v>
      </c>
    </row>
    <row r="100" spans="1:16" s="4" customFormat="1" ht="15" customHeight="1">
      <c r="A100" s="17"/>
      <c r="B100" s="253" t="s">
        <v>1267</v>
      </c>
      <c r="C100" s="428" t="e">
        <f>C94/'4.2_КТЭЦ'!C25</f>
        <v>#DIV/0!</v>
      </c>
      <c r="D100" s="428">
        <f>D94/'4.2_КТЭЦ'!F25</f>
        <v>0</v>
      </c>
      <c r="E100" s="428">
        <f>'4.2_КТЭЦ'!I25</f>
        <v>0</v>
      </c>
      <c r="F100" s="428">
        <f>'4.2_КТЭЦ'!L25</f>
        <v>448.67099999999988</v>
      </c>
      <c r="G100" s="428"/>
      <c r="H100" s="428"/>
      <c r="I100" s="428"/>
      <c r="J100" s="428"/>
      <c r="K100" s="1128">
        <f>'4.2_КТЭЦ'!AA25</f>
        <v>19.040000000000006</v>
      </c>
      <c r="L100" s="428">
        <f>'4.2_КТЭЦ'!AD25</f>
        <v>11.439999999999998</v>
      </c>
      <c r="M100" s="428">
        <f>'4.2_КТЭЦ'!AG25</f>
        <v>7.6000000000000014</v>
      </c>
      <c r="N100" s="978"/>
      <c r="O100" s="978"/>
      <c r="P100" s="978"/>
    </row>
    <row r="101" spans="1:16" s="4" customFormat="1" ht="15" customHeight="1">
      <c r="A101" s="17"/>
      <c r="B101" s="1131" t="s">
        <v>1512</v>
      </c>
      <c r="C101" s="428"/>
      <c r="D101" s="428"/>
      <c r="E101" s="428"/>
      <c r="F101" s="428"/>
      <c r="G101" s="428"/>
      <c r="H101" s="428"/>
      <c r="I101" s="428"/>
      <c r="J101" s="428"/>
      <c r="K101" s="1128"/>
      <c r="L101" s="428"/>
      <c r="M101" s="428"/>
      <c r="N101" s="978"/>
      <c r="O101" s="978"/>
      <c r="P101" s="978"/>
    </row>
    <row r="102" spans="1:16" s="4" customFormat="1" ht="15" customHeight="1">
      <c r="A102" s="17"/>
      <c r="B102" s="1131" t="s">
        <v>1513</v>
      </c>
      <c r="C102" s="428"/>
      <c r="D102" s="428"/>
      <c r="E102" s="428"/>
      <c r="F102" s="428"/>
      <c r="G102" s="428"/>
      <c r="H102" s="428"/>
      <c r="I102" s="428"/>
      <c r="J102" s="428"/>
      <c r="K102" s="1128"/>
      <c r="L102" s="428"/>
      <c r="M102" s="428"/>
      <c r="N102" s="978"/>
      <c r="O102" s="978"/>
      <c r="P102" s="978"/>
    </row>
    <row r="103" spans="1:16" hidden="1">
      <c r="A103" s="253" t="s">
        <v>965</v>
      </c>
      <c r="B103" s="253"/>
      <c r="C103" s="308">
        <f>C67+C78+C83+C87-C90</f>
        <v>0</v>
      </c>
      <c r="D103" s="308">
        <f t="shared" ref="D103:M103" si="17">D67+D78+D83+D87-D90</f>
        <v>10518.25</v>
      </c>
      <c r="E103" s="308">
        <f t="shared" si="17"/>
        <v>0</v>
      </c>
      <c r="F103" s="308">
        <f t="shared" si="17"/>
        <v>13030.8</v>
      </c>
      <c r="G103" s="308"/>
      <c r="H103" s="308"/>
      <c r="I103" s="308"/>
      <c r="J103" s="308"/>
      <c r="K103" s="982">
        <f t="shared" si="17"/>
        <v>10023.447000000002</v>
      </c>
      <c r="L103" s="308">
        <f t="shared" si="17"/>
        <v>5011.723500000001</v>
      </c>
      <c r="M103" s="308">
        <f t="shared" si="17"/>
        <v>5011.723500000001</v>
      </c>
      <c r="N103" s="762"/>
      <c r="O103" s="762"/>
      <c r="P103" s="762"/>
    </row>
    <row r="104" spans="1:16">
      <c r="A104" s="1776"/>
      <c r="B104" s="1776"/>
      <c r="C104" s="762"/>
      <c r="D104" s="762"/>
      <c r="E104" s="762"/>
      <c r="F104" s="762"/>
      <c r="G104" s="762"/>
      <c r="H104" s="762">
        <f>'4.6_транзит_КТЭЦ'!H93+'4.6_косв.'!Q93</f>
        <v>1183637.2638415901</v>
      </c>
      <c r="I104" s="762"/>
      <c r="J104" s="762">
        <f>'4.6_транзит_КТЭЦ'!J93+'4.6_косв.'!R93</f>
        <v>1316500.9457862598</v>
      </c>
      <c r="K104" s="762">
        <f>'4.6_транзит_КТЭЦ'!K93+'4.6_косв.'!S93</f>
        <v>1448384.1923237562</v>
      </c>
      <c r="L104" s="762"/>
      <c r="M104" s="762"/>
      <c r="N104" s="762">
        <f>'4.6_транзит_КТЭЦ'!L93+'4.6_косв.'!T93</f>
        <v>1480462.2940324841</v>
      </c>
      <c r="O104" s="762"/>
      <c r="P104" s="762"/>
    </row>
    <row r="105" spans="1:16" s="26" customFormat="1">
      <c r="A105" s="26" t="s">
        <v>88</v>
      </c>
      <c r="K105" s="883"/>
    </row>
    <row r="106" spans="1:16" s="914" customFormat="1" ht="58.5" customHeight="1">
      <c r="A106" s="914" t="s">
        <v>89</v>
      </c>
      <c r="B106" s="1842" t="s">
        <v>409</v>
      </c>
      <c r="C106" s="1842"/>
      <c r="D106" s="1842"/>
      <c r="E106" s="1842"/>
      <c r="F106" s="1842"/>
      <c r="G106" s="1842"/>
      <c r="H106" s="1842"/>
      <c r="I106" s="1842"/>
      <c r="J106" s="1842"/>
      <c r="K106" s="1842"/>
      <c r="L106" s="1842"/>
      <c r="M106" s="1842"/>
      <c r="N106" s="1629"/>
      <c r="O106" s="1629"/>
      <c r="P106" s="1629"/>
    </row>
    <row r="107" spans="1:16" s="914" customFormat="1" ht="58.5" customHeight="1">
      <c r="A107" s="914" t="s">
        <v>91</v>
      </c>
      <c r="B107" s="1842" t="s">
        <v>410</v>
      </c>
      <c r="C107" s="1842"/>
      <c r="D107" s="1842"/>
      <c r="E107" s="1842"/>
      <c r="F107" s="1842"/>
      <c r="G107" s="1842"/>
      <c r="H107" s="1842"/>
      <c r="I107" s="1842"/>
      <c r="J107" s="1842"/>
      <c r="K107" s="1842"/>
      <c r="L107" s="1842"/>
      <c r="M107" s="1842"/>
      <c r="N107" s="1629"/>
      <c r="O107" s="1629"/>
      <c r="P107" s="1629"/>
    </row>
    <row r="108" spans="1:16" s="914" customFormat="1" ht="58.5" customHeight="1">
      <c r="A108" s="914" t="s">
        <v>93</v>
      </c>
      <c r="B108" s="1842" t="s">
        <v>411</v>
      </c>
      <c r="C108" s="1842"/>
      <c r="D108" s="1842"/>
      <c r="E108" s="1842"/>
      <c r="F108" s="1842"/>
      <c r="G108" s="1842"/>
      <c r="H108" s="1842"/>
      <c r="I108" s="1842"/>
      <c r="J108" s="1842"/>
      <c r="K108" s="1842"/>
      <c r="L108" s="1842"/>
      <c r="M108" s="1842"/>
      <c r="N108" s="1629"/>
      <c r="O108" s="1629"/>
      <c r="P108" s="1629"/>
    </row>
    <row r="109" spans="1:16" ht="18.75" customHeight="1"/>
  </sheetData>
  <mergeCells count="4">
    <mergeCell ref="B106:M106"/>
    <mergeCell ref="B107:M107"/>
    <mergeCell ref="B108:M108"/>
    <mergeCell ref="A3:J3"/>
  </mergeCells>
  <pageMargins left="0.78740157480314965" right="0.31496062992125984" top="0.19685039370078741" bottom="0.39370078740157483" header="0.19685039370078741" footer="0.19685039370078741"/>
  <pageSetup paperSize="9" scale="50" orientation="portrait" r:id="rId1"/>
  <headerFooter alignWithMargins="0"/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P108"/>
  <sheetViews>
    <sheetView view="pageBreakPreview" zoomScaleNormal="100" workbookViewId="0">
      <pane xSplit="2" ySplit="5" topLeftCell="E6" activePane="bottomRight" state="frozen"/>
      <selection activeCell="F4" sqref="F4"/>
      <selection pane="topRight" activeCell="F4" sqref="F4"/>
      <selection pane="bottomLeft" activeCell="F4" sqref="F4"/>
      <selection pane="bottomRight" activeCell="F4" sqref="F4"/>
    </sheetView>
  </sheetViews>
  <sheetFormatPr defaultColWidth="3.7109375" defaultRowHeight="15" outlineLevelRow="1"/>
  <cols>
    <col min="1" max="1" width="6.140625" style="1" customWidth="1"/>
    <col min="2" max="2" width="40.85546875" style="1" customWidth="1"/>
    <col min="3" max="4" width="13.42578125" style="1" hidden="1" customWidth="1"/>
    <col min="5" max="9" width="13.42578125" style="1" customWidth="1"/>
    <col min="10" max="10" width="16" style="1" customWidth="1"/>
    <col min="11" max="12" width="12.85546875" style="1" customWidth="1"/>
    <col min="13" max="51" width="9.140625" style="1" customWidth="1"/>
    <col min="52" max="16384" width="3.7109375" style="1"/>
  </cols>
  <sheetData>
    <row r="1" spans="1:16" ht="12.75" customHeight="1">
      <c r="A1" s="74" t="s">
        <v>1860</v>
      </c>
      <c r="J1" s="23"/>
      <c r="K1" s="23" t="s">
        <v>359</v>
      </c>
      <c r="L1" s="23"/>
    </row>
    <row r="2" spans="1:16" ht="12.75" customHeight="1">
      <c r="A2" s="105" t="str">
        <f>'3.1'!$A$2</f>
        <v>ПКГО - Комбинированная выработка КТЭЦ</v>
      </c>
    </row>
    <row r="3" spans="1:16" ht="18.75">
      <c r="A3" s="1877" t="s">
        <v>1148</v>
      </c>
      <c r="B3" s="1914"/>
      <c r="C3" s="1914"/>
      <c r="D3" s="1914"/>
      <c r="E3" s="1914"/>
      <c r="F3" s="1914"/>
      <c r="G3" s="1914"/>
      <c r="H3" s="1914"/>
      <c r="I3" s="1914"/>
      <c r="J3" s="1914"/>
      <c r="K3" s="1630"/>
      <c r="L3" s="1630"/>
    </row>
    <row r="4" spans="1:16" ht="14.25" customHeight="1">
      <c r="J4" s="23"/>
      <c r="K4" s="23" t="s">
        <v>360</v>
      </c>
      <c r="L4" s="23"/>
    </row>
    <row r="5" spans="1:16" s="3" customFormat="1" ht="71.25" customHeight="1">
      <c r="A5" s="103" t="s">
        <v>0</v>
      </c>
      <c r="B5" s="103" t="s">
        <v>1</v>
      </c>
      <c r="C5" s="103" t="s">
        <v>1534</v>
      </c>
      <c r="D5" s="540" t="s">
        <v>1130</v>
      </c>
      <c r="E5" s="944" t="s">
        <v>1520</v>
      </c>
      <c r="F5" s="540" t="s">
        <v>1695</v>
      </c>
      <c r="G5" s="1284" t="s">
        <v>1702</v>
      </c>
      <c r="H5" s="1576" t="s">
        <v>1828</v>
      </c>
      <c r="I5" s="1631" t="s">
        <v>1842</v>
      </c>
      <c r="J5" s="1631" t="s">
        <v>1861</v>
      </c>
      <c r="K5" s="1631" t="s">
        <v>1862</v>
      </c>
      <c r="L5" s="1631" t="s">
        <v>1863</v>
      </c>
    </row>
    <row r="6" spans="1:16" s="2" customFormat="1">
      <c r="A6" s="13">
        <v>1</v>
      </c>
      <c r="B6" s="13">
        <v>2</v>
      </c>
      <c r="C6" s="13">
        <v>3</v>
      </c>
      <c r="D6" s="13">
        <v>4</v>
      </c>
      <c r="E6" s="13">
        <v>3</v>
      </c>
      <c r="F6" s="13">
        <v>4</v>
      </c>
      <c r="G6" s="13">
        <v>5</v>
      </c>
      <c r="H6" s="13">
        <v>6</v>
      </c>
      <c r="I6" s="13">
        <v>7</v>
      </c>
      <c r="J6" s="13">
        <v>8</v>
      </c>
      <c r="K6" s="13">
        <v>9</v>
      </c>
      <c r="L6" s="13">
        <v>10</v>
      </c>
      <c r="M6" s="2">
        <v>10</v>
      </c>
      <c r="N6" s="2">
        <v>11</v>
      </c>
      <c r="O6" s="1790">
        <v>1.0680000000000001</v>
      </c>
      <c r="P6" s="1790">
        <v>1.0589999999999999</v>
      </c>
    </row>
    <row r="7" spans="1:16" s="1041" customFormat="1" ht="30" customHeight="1">
      <c r="A7" s="1037" t="s">
        <v>361</v>
      </c>
      <c r="B7" s="1038" t="s">
        <v>362</v>
      </c>
      <c r="C7" s="1039">
        <f t="shared" ref="C7:E7" si="0">C8+SUM(C10:C15)+C20+SUM(C22:C25)+SUM(C56:C61)</f>
        <v>0</v>
      </c>
      <c r="D7" s="1039">
        <f t="shared" si="0"/>
        <v>821128.70841900003</v>
      </c>
      <c r="E7" s="1039">
        <f t="shared" si="0"/>
        <v>0</v>
      </c>
      <c r="F7" s="1039">
        <v>886756.49841600005</v>
      </c>
      <c r="G7" s="1039">
        <v>125259.61406699999</v>
      </c>
      <c r="H7" s="1039">
        <v>999000.01253159007</v>
      </c>
      <c r="I7" s="1039">
        <v>137522</v>
      </c>
      <c r="J7" s="1039">
        <v>1162490.6957862598</v>
      </c>
      <c r="K7" s="1039">
        <v>1228292.7453237562</v>
      </c>
      <c r="L7" s="1039">
        <v>1300180.7004642047</v>
      </c>
      <c r="M7" s="1652"/>
      <c r="N7" s="1040"/>
      <c r="O7" s="1790">
        <f>'5.2_пр-во КТЭЦ+котельн'!H21</f>
        <v>1.05732</v>
      </c>
      <c r="P7" s="1790">
        <f>'5.2_пр-во КТЭЦ+котельн'!I21</f>
        <v>1.0484099999999998</v>
      </c>
    </row>
    <row r="8" spans="1:16" s="1046" customFormat="1" ht="15" customHeight="1">
      <c r="A8" s="1044"/>
      <c r="B8" s="1045" t="s">
        <v>363</v>
      </c>
      <c r="C8" s="258"/>
      <c r="D8" s="258">
        <f>23930-5797</f>
        <v>18133</v>
      </c>
      <c r="E8" s="258"/>
      <c r="F8" s="258">
        <v>19057</v>
      </c>
      <c r="G8" s="258"/>
      <c r="H8" s="258">
        <v>21326</v>
      </c>
      <c r="I8" s="1719">
        <v>30091</v>
      </c>
      <c r="J8" s="1719">
        <v>33007</v>
      </c>
      <c r="K8" s="1719">
        <v>37492.295720000002</v>
      </c>
      <c r="L8" s="1443">
        <v>36588.4199536284</v>
      </c>
    </row>
    <row r="9" spans="1:16" s="4" customFormat="1" ht="15" customHeight="1">
      <c r="A9" s="17"/>
      <c r="B9" s="580" t="s">
        <v>1134</v>
      </c>
      <c r="C9" s="751"/>
      <c r="D9" s="751">
        <v>9271</v>
      </c>
      <c r="E9" s="751"/>
      <c r="F9" s="751">
        <v>9712</v>
      </c>
      <c r="G9" s="751"/>
      <c r="H9" s="751">
        <v>11855</v>
      </c>
      <c r="I9" s="752">
        <v>6970</v>
      </c>
      <c r="J9" s="752">
        <v>9886</v>
      </c>
      <c r="K9" s="752">
        <v>13046</v>
      </c>
      <c r="L9" s="1444">
        <v>10958.679057823199</v>
      </c>
    </row>
    <row r="10" spans="1:16" s="1046" customFormat="1" ht="15" customHeight="1">
      <c r="A10" s="1044"/>
      <c r="B10" s="1045" t="s">
        <v>364</v>
      </c>
      <c r="C10" s="258"/>
      <c r="D10" s="258"/>
      <c r="E10" s="258"/>
      <c r="F10" s="258"/>
      <c r="G10" s="258"/>
      <c r="H10" s="258"/>
      <c r="I10" s="258"/>
      <c r="J10" s="258"/>
      <c r="K10" s="258"/>
      <c r="L10" s="258"/>
    </row>
    <row r="11" spans="1:16" s="1046" customFormat="1" ht="30">
      <c r="A11" s="1044"/>
      <c r="B11" s="1045" t="s">
        <v>365</v>
      </c>
      <c r="C11" s="258"/>
      <c r="D11" s="258">
        <f>'4. 7_КТЭЦ'!O103</f>
        <v>96621.292518999995</v>
      </c>
      <c r="E11" s="258"/>
      <c r="F11" s="258">
        <v>103600.51057999999</v>
      </c>
      <c r="G11" s="258">
        <v>119427.15758699999</v>
      </c>
      <c r="H11" s="258">
        <v>112631.43554158999</v>
      </c>
      <c r="I11" s="258"/>
      <c r="J11" s="258">
        <v>125955.85906625999</v>
      </c>
      <c r="K11" s="258">
        <v>137662.18967315598</v>
      </c>
      <c r="L11" s="258">
        <v>150260.95930468291</v>
      </c>
    </row>
    <row r="12" spans="1:16" s="1046" customFormat="1" ht="15" customHeight="1">
      <c r="A12" s="1044"/>
      <c r="B12" s="1045" t="s">
        <v>366</v>
      </c>
      <c r="C12" s="258"/>
      <c r="D12" s="258">
        <v>5797</v>
      </c>
      <c r="E12" s="258"/>
      <c r="F12" s="258">
        <v>4770</v>
      </c>
      <c r="G12" s="258">
        <v>5832.4564799999998</v>
      </c>
      <c r="H12" s="258">
        <v>12200.832200000001</v>
      </c>
      <c r="I12" s="258"/>
      <c r="J12" s="258">
        <v>10311.43672</v>
      </c>
      <c r="K12" s="258">
        <v>10668.3758906</v>
      </c>
      <c r="L12" s="258">
        <v>11395.988881517002</v>
      </c>
    </row>
    <row r="13" spans="1:16" s="1046" customFormat="1" ht="15" customHeight="1">
      <c r="A13" s="1044"/>
      <c r="B13" s="1045" t="s">
        <v>367</v>
      </c>
      <c r="C13" s="258"/>
      <c r="D13" s="258"/>
      <c r="E13" s="258"/>
      <c r="F13" s="258"/>
      <c r="G13" s="258"/>
      <c r="H13" s="258"/>
      <c r="I13" s="258"/>
      <c r="J13" s="258"/>
      <c r="K13" s="258"/>
      <c r="L13" s="258"/>
    </row>
    <row r="14" spans="1:16" s="1046" customFormat="1" ht="30">
      <c r="A14" s="1044"/>
      <c r="B14" s="1045" t="s">
        <v>368</v>
      </c>
      <c r="C14" s="258"/>
      <c r="D14" s="258">
        <f>'4.10_транзит_КТЭЦ'!E97</f>
        <v>18882</v>
      </c>
      <c r="E14" s="258"/>
      <c r="F14" s="258">
        <v>27512</v>
      </c>
      <c r="G14" s="258">
        <v>0</v>
      </c>
      <c r="H14" s="258">
        <v>30694</v>
      </c>
      <c r="I14" s="258">
        <v>0</v>
      </c>
      <c r="J14" s="258">
        <v>39870</v>
      </c>
      <c r="K14" s="258">
        <v>53670</v>
      </c>
      <c r="L14" s="258">
        <v>55558</v>
      </c>
    </row>
    <row r="15" spans="1:16" s="1046" customFormat="1" ht="15" customHeight="1">
      <c r="A15" s="1044"/>
      <c r="B15" s="1045" t="s">
        <v>1135</v>
      </c>
      <c r="C15" s="258">
        <f>C16+C18+C19</f>
        <v>0</v>
      </c>
      <c r="D15" s="258">
        <f t="shared" ref="D15:E15" si="1">D16+D18+D19</f>
        <v>320752</v>
      </c>
      <c r="E15" s="258">
        <f t="shared" si="1"/>
        <v>0</v>
      </c>
      <c r="F15" s="258">
        <v>360479</v>
      </c>
      <c r="G15" s="258">
        <v>0</v>
      </c>
      <c r="H15" s="258">
        <v>403735</v>
      </c>
      <c r="I15" s="258">
        <v>0</v>
      </c>
      <c r="J15" s="258">
        <v>435192</v>
      </c>
      <c r="K15" s="258">
        <v>486033</v>
      </c>
      <c r="L15" s="258">
        <v>514577</v>
      </c>
    </row>
    <row r="16" spans="1:16" s="341" customFormat="1" ht="15" customHeight="1">
      <c r="A16" s="339"/>
      <c r="B16" s="581" t="s">
        <v>1136</v>
      </c>
      <c r="C16" s="981"/>
      <c r="D16" s="981">
        <v>314080</v>
      </c>
      <c r="E16" s="981"/>
      <c r="F16" s="981">
        <v>353788</v>
      </c>
      <c r="G16" s="981"/>
      <c r="H16" s="981">
        <v>395829</v>
      </c>
      <c r="I16" s="981"/>
      <c r="J16" s="981">
        <v>425555</v>
      </c>
      <c r="K16" s="981">
        <v>474700</v>
      </c>
      <c r="L16" s="981">
        <v>502734</v>
      </c>
    </row>
    <row r="17" spans="1:14" s="341" customFormat="1" ht="15" customHeight="1">
      <c r="A17" s="339"/>
      <c r="B17" s="580" t="s">
        <v>1134</v>
      </c>
      <c r="C17" s="752"/>
      <c r="D17" s="752">
        <f>18281+252</f>
        <v>18533</v>
      </c>
      <c r="E17" s="752"/>
      <c r="F17" s="752">
        <v>19022</v>
      </c>
      <c r="G17" s="752"/>
      <c r="H17" s="752">
        <v>20913</v>
      </c>
      <c r="I17" s="752"/>
      <c r="J17" s="752">
        <v>24093</v>
      </c>
      <c r="K17" s="752">
        <v>27537</v>
      </c>
      <c r="L17" s="1444">
        <v>29145</v>
      </c>
    </row>
    <row r="18" spans="1:14" s="341" customFormat="1" ht="15" customHeight="1">
      <c r="A18" s="339"/>
      <c r="B18" s="581" t="s">
        <v>1137</v>
      </c>
      <c r="C18" s="981"/>
      <c r="D18" s="981">
        <v>6313</v>
      </c>
      <c r="E18" s="981"/>
      <c r="F18" s="981">
        <v>6683</v>
      </c>
      <c r="G18" s="981"/>
      <c r="H18" s="981">
        <v>7744</v>
      </c>
      <c r="I18" s="981"/>
      <c r="J18" s="981">
        <v>9637</v>
      </c>
      <c r="K18" s="981">
        <v>11333</v>
      </c>
      <c r="L18" s="981">
        <v>11843</v>
      </c>
    </row>
    <row r="19" spans="1:14" s="341" customFormat="1" ht="15" customHeight="1">
      <c r="A19" s="339"/>
      <c r="B19" s="581" t="s">
        <v>1138</v>
      </c>
      <c r="C19" s="981"/>
      <c r="D19" s="981">
        <v>359</v>
      </c>
      <c r="E19" s="981"/>
      <c r="F19" s="981">
        <v>8</v>
      </c>
      <c r="G19" s="981">
        <v>0</v>
      </c>
      <c r="H19" s="981">
        <v>162</v>
      </c>
      <c r="I19" s="981">
        <v>0</v>
      </c>
      <c r="J19" s="981">
        <v>0</v>
      </c>
      <c r="K19" s="981">
        <v>0</v>
      </c>
      <c r="L19" s="981">
        <v>0</v>
      </c>
    </row>
    <row r="20" spans="1:14" s="1046" customFormat="1">
      <c r="A20" s="1044"/>
      <c r="B20" s="1045" t="s">
        <v>369</v>
      </c>
      <c r="C20" s="258"/>
      <c r="D20" s="258">
        <v>90709</v>
      </c>
      <c r="E20" s="258"/>
      <c r="F20" s="258">
        <v>101787</v>
      </c>
      <c r="G20" s="258"/>
      <c r="H20" s="258">
        <v>114857</v>
      </c>
      <c r="I20" s="258"/>
      <c r="J20" s="258">
        <v>123537</v>
      </c>
      <c r="K20" s="258">
        <v>142659</v>
      </c>
      <c r="L20" s="258">
        <v>151203</v>
      </c>
    </row>
    <row r="21" spans="1:14" s="341" customFormat="1">
      <c r="A21" s="339"/>
      <c r="B21" s="580" t="s">
        <v>1134</v>
      </c>
      <c r="C21" s="752"/>
      <c r="D21" s="752">
        <v>5475</v>
      </c>
      <c r="E21" s="752"/>
      <c r="F21" s="752">
        <v>5674</v>
      </c>
      <c r="G21" s="752"/>
      <c r="H21" s="752">
        <v>6292</v>
      </c>
      <c r="I21" s="752"/>
      <c r="J21" s="752">
        <v>7287</v>
      </c>
      <c r="K21" s="752">
        <v>8316</v>
      </c>
      <c r="L21" s="1444">
        <v>8283.0761381544016</v>
      </c>
    </row>
    <row r="22" spans="1:14" s="1046" customFormat="1" ht="30" customHeight="1">
      <c r="A22" s="1044"/>
      <c r="B22" s="1045" t="s">
        <v>370</v>
      </c>
      <c r="C22" s="258"/>
      <c r="D22" s="258">
        <v>33561</v>
      </c>
      <c r="E22" s="258"/>
      <c r="F22" s="258">
        <v>25325</v>
      </c>
      <c r="G22" s="258"/>
      <c r="H22" s="258">
        <v>75923</v>
      </c>
      <c r="I22" s="258">
        <v>56634</v>
      </c>
      <c r="J22" s="258">
        <v>111694</v>
      </c>
      <c r="K22" s="258">
        <v>47951</v>
      </c>
      <c r="L22" s="1443">
        <v>49051.310889999993</v>
      </c>
    </row>
    <row r="23" spans="1:14" s="1046" customFormat="1" ht="60">
      <c r="A23" s="1044"/>
      <c r="B23" s="1045" t="s">
        <v>1139</v>
      </c>
      <c r="C23" s="258"/>
      <c r="D23" s="258">
        <v>99583</v>
      </c>
      <c r="E23" s="258"/>
      <c r="F23" s="258">
        <v>94371</v>
      </c>
      <c r="G23" s="258"/>
      <c r="H23" s="258">
        <v>94285</v>
      </c>
      <c r="I23" s="258"/>
      <c r="J23" s="258">
        <v>110132</v>
      </c>
      <c r="K23" s="258">
        <v>123132</v>
      </c>
      <c r="L23" s="1431">
        <v>129952</v>
      </c>
    </row>
    <row r="24" spans="1:14" s="1046" customFormat="1" ht="75">
      <c r="A24" s="1044"/>
      <c r="B24" s="1045" t="s">
        <v>372</v>
      </c>
      <c r="C24" s="258"/>
      <c r="D24" s="258">
        <f>48791-33561</f>
        <v>15230</v>
      </c>
      <c r="E24" s="258"/>
      <c r="F24" s="258">
        <v>9071</v>
      </c>
      <c r="G24" s="258">
        <v>0</v>
      </c>
      <c r="H24" s="258">
        <v>9635</v>
      </c>
      <c r="I24" s="1719">
        <v>23549</v>
      </c>
      <c r="J24" s="1719">
        <v>23549</v>
      </c>
      <c r="K24" s="1719">
        <v>24898.828680000002</v>
      </c>
      <c r="L24" s="1443">
        <v>26104.180976398799</v>
      </c>
    </row>
    <row r="25" spans="1:14" s="1046" customFormat="1" ht="105">
      <c r="A25" s="1044"/>
      <c r="B25" s="1045" t="s">
        <v>373</v>
      </c>
      <c r="C25" s="258">
        <f>C27+C28+C29+C55</f>
        <v>0</v>
      </c>
      <c r="D25" s="258">
        <f t="shared" ref="D25:N25" si="2">D27+D28+D29+D55</f>
        <v>9837.4159</v>
      </c>
      <c r="E25" s="258">
        <f>E27+E28+E29</f>
        <v>0</v>
      </c>
      <c r="F25" s="258">
        <v>10395.987835999998</v>
      </c>
      <c r="G25" s="258">
        <v>0</v>
      </c>
      <c r="H25" s="258">
        <v>11070.744790000001</v>
      </c>
      <c r="I25" s="1719">
        <v>24737</v>
      </c>
      <c r="J25" s="1719">
        <v>24737</v>
      </c>
      <c r="K25" s="1719">
        <v>26154.92484</v>
      </c>
      <c r="L25" s="1443">
        <v>27421.084751504397</v>
      </c>
      <c r="M25" s="258"/>
      <c r="N25" s="258"/>
    </row>
    <row r="26" spans="1:14" s="4" customFormat="1">
      <c r="A26" s="17"/>
      <c r="B26" s="51" t="s">
        <v>70</v>
      </c>
      <c r="C26" s="241"/>
      <c r="D26" s="241"/>
      <c r="E26" s="241"/>
      <c r="F26" s="241"/>
      <c r="G26" s="241"/>
      <c r="H26" s="241"/>
      <c r="I26" s="241"/>
      <c r="J26" s="241"/>
      <c r="K26" s="241"/>
      <c r="L26" s="241"/>
    </row>
    <row r="27" spans="1:14" s="4" customFormat="1">
      <c r="A27" s="17"/>
      <c r="B27" s="581" t="s">
        <v>1275</v>
      </c>
      <c r="C27" s="766"/>
      <c r="D27" s="766">
        <v>0</v>
      </c>
      <c r="E27" s="766"/>
      <c r="F27" s="766">
        <v>0</v>
      </c>
      <c r="G27" s="766"/>
      <c r="H27" s="766">
        <v>0</v>
      </c>
      <c r="I27" s="766">
        <v>0</v>
      </c>
      <c r="J27" s="766">
        <v>0</v>
      </c>
      <c r="K27" s="766">
        <v>0</v>
      </c>
      <c r="L27" s="766">
        <v>0</v>
      </c>
    </row>
    <row r="28" spans="1:14" s="4" customFormat="1">
      <c r="A28" s="17"/>
      <c r="B28" s="581" t="s">
        <v>1276</v>
      </c>
      <c r="C28" s="766"/>
      <c r="D28" s="766">
        <v>0</v>
      </c>
      <c r="E28" s="766"/>
      <c r="F28" s="766">
        <v>0</v>
      </c>
      <c r="G28" s="766"/>
      <c r="H28" s="766">
        <v>0</v>
      </c>
      <c r="I28" s="1720">
        <v>513</v>
      </c>
      <c r="J28" s="1720">
        <v>513</v>
      </c>
      <c r="K28" s="1720">
        <v>542.40516000000002</v>
      </c>
      <c r="L28" s="1720">
        <v>568.66299379559996</v>
      </c>
    </row>
    <row r="29" spans="1:14" s="4" customFormat="1">
      <c r="A29" s="17"/>
      <c r="B29" s="581" t="s">
        <v>1559</v>
      </c>
      <c r="C29" s="766">
        <f>C30+C31</f>
        <v>0</v>
      </c>
      <c r="D29" s="766">
        <f t="shared" ref="D29:E29" si="3">D30+D31</f>
        <v>9837.4159</v>
      </c>
      <c r="E29" s="766">
        <f t="shared" si="3"/>
        <v>0</v>
      </c>
      <c r="F29" s="766">
        <v>10395.987835999998</v>
      </c>
      <c r="G29" s="766">
        <v>0</v>
      </c>
      <c r="H29" s="766">
        <v>11070.744790000001</v>
      </c>
      <c r="I29" s="1720">
        <v>24224</v>
      </c>
      <c r="J29" s="1720">
        <v>24224</v>
      </c>
      <c r="K29" s="1720">
        <v>25612.519680000001</v>
      </c>
      <c r="L29" s="1720">
        <v>26852.421757708798</v>
      </c>
    </row>
    <row r="30" spans="1:14" s="4" customFormat="1" hidden="1" outlineLevel="1">
      <c r="A30" s="737" t="s">
        <v>89</v>
      </c>
      <c r="B30" s="738" t="s">
        <v>1244</v>
      </c>
      <c r="C30" s="746"/>
      <c r="D30" s="746">
        <v>546</v>
      </c>
      <c r="E30" s="746"/>
      <c r="F30" s="746">
        <v>706</v>
      </c>
      <c r="G30" s="746"/>
      <c r="H30" s="746">
        <v>1000</v>
      </c>
      <c r="I30" s="746"/>
      <c r="J30" s="746"/>
      <c r="K30" s="746"/>
      <c r="L30" s="1451"/>
      <c r="M30" s="1"/>
    </row>
    <row r="31" spans="1:14" s="341" customFormat="1" hidden="1" outlineLevel="1">
      <c r="A31" s="760" t="s">
        <v>91</v>
      </c>
      <c r="B31" s="761" t="s">
        <v>1245</v>
      </c>
      <c r="C31" s="746">
        <f t="shared" ref="C31:D31" si="4">SUM(C32:C43)+C45</f>
        <v>0</v>
      </c>
      <c r="D31" s="746">
        <f t="shared" si="4"/>
        <v>9291.4159</v>
      </c>
      <c r="E31" s="746">
        <f>SUM(E32:E45)</f>
        <v>0</v>
      </c>
      <c r="F31" s="746">
        <v>9689.9878359999984</v>
      </c>
      <c r="G31" s="746">
        <v>0</v>
      </c>
      <c r="H31" s="746">
        <v>10070.744790000001</v>
      </c>
      <c r="I31" s="746">
        <v>0</v>
      </c>
      <c r="J31" s="746">
        <v>0</v>
      </c>
      <c r="K31" s="746">
        <v>0</v>
      </c>
      <c r="L31" s="746">
        <v>0</v>
      </c>
      <c r="M31" s="763"/>
    </row>
    <row r="32" spans="1:14" s="4" customFormat="1" ht="26.25" hidden="1" outlineLevel="1">
      <c r="A32" s="739" t="s">
        <v>1044</v>
      </c>
      <c r="B32" s="740" t="s">
        <v>1247</v>
      </c>
      <c r="C32" s="740"/>
      <c r="D32" s="952">
        <f>3837*0.1927</f>
        <v>739.38990000000001</v>
      </c>
      <c r="E32" s="308"/>
      <c r="F32" s="308">
        <v>587.79503999999997</v>
      </c>
      <c r="G32" s="952"/>
      <c r="H32" s="308">
        <v>432.61232000000001</v>
      </c>
      <c r="I32" s="308"/>
      <c r="J32" s="308"/>
      <c r="K32" s="308"/>
      <c r="L32" s="308"/>
      <c r="M32" s="1"/>
    </row>
    <row r="33" spans="1:14" s="4" customFormat="1" ht="39" hidden="1" outlineLevel="1">
      <c r="A33" s="739" t="s">
        <v>1043</v>
      </c>
      <c r="B33" s="740" t="s">
        <v>1249</v>
      </c>
      <c r="C33" s="740"/>
      <c r="D33" s="952">
        <f>57*0.1927</f>
        <v>10.9839</v>
      </c>
      <c r="E33" s="308"/>
      <c r="F33" s="879">
        <v>0.34987799999999997</v>
      </c>
      <c r="G33" s="952"/>
      <c r="H33" s="879"/>
      <c r="I33" s="879"/>
      <c r="J33" s="879"/>
      <c r="K33" s="879"/>
      <c r="L33" s="879"/>
      <c r="M33" s="1"/>
    </row>
    <row r="34" spans="1:14" s="4" customFormat="1" hidden="1" outlineLevel="1">
      <c r="A34" s="741" t="s">
        <v>1540</v>
      </c>
      <c r="B34" s="740" t="s">
        <v>1250</v>
      </c>
      <c r="C34" s="740"/>
      <c r="D34" s="952">
        <f>968*0.1927</f>
        <v>186.53360000000001</v>
      </c>
      <c r="E34" s="308"/>
      <c r="F34" s="308">
        <v>150.09766199999999</v>
      </c>
      <c r="G34" s="952"/>
      <c r="H34" s="308">
        <v>149.98232000000002</v>
      </c>
      <c r="I34" s="308"/>
      <c r="J34" s="308"/>
      <c r="K34" s="308"/>
      <c r="L34" s="308"/>
      <c r="M34" s="1"/>
    </row>
    <row r="35" spans="1:14" s="4" customFormat="1" ht="15" hidden="1" customHeight="1" outlineLevel="1">
      <c r="A35" s="739" t="s">
        <v>1541</v>
      </c>
      <c r="B35" s="740" t="s">
        <v>1251</v>
      </c>
      <c r="C35" s="740"/>
      <c r="D35" s="952">
        <f>2408*0.1927</f>
        <v>464.02160000000003</v>
      </c>
      <c r="E35" s="308"/>
      <c r="F35" s="308">
        <v>470.46928399999996</v>
      </c>
      <c r="G35" s="952"/>
      <c r="H35" s="308">
        <v>290.16680000000002</v>
      </c>
      <c r="I35" s="308"/>
      <c r="J35" s="308"/>
      <c r="K35" s="308"/>
      <c r="L35" s="308"/>
      <c r="M35" s="1"/>
    </row>
    <row r="36" spans="1:14" s="4" customFormat="1" ht="26.25" hidden="1" outlineLevel="1">
      <c r="A36" s="739" t="s">
        <v>1542</v>
      </c>
      <c r="B36" s="740" t="s">
        <v>1252</v>
      </c>
      <c r="C36" s="740"/>
      <c r="D36" s="952">
        <f>11786*0.1927</f>
        <v>2271.1622000000002</v>
      </c>
      <c r="E36" s="308"/>
      <c r="F36" s="308">
        <v>1318.8068079999998</v>
      </c>
      <c r="G36" s="952"/>
      <c r="H36" s="308">
        <v>1621.0714700000001</v>
      </c>
      <c r="I36" s="308"/>
      <c r="J36" s="308"/>
      <c r="K36" s="308"/>
      <c r="L36" s="1442"/>
      <c r="M36" s="1"/>
    </row>
    <row r="37" spans="1:14" s="4" customFormat="1" hidden="1" outlineLevel="1">
      <c r="A37" s="739" t="s">
        <v>1543</v>
      </c>
      <c r="B37" s="740" t="s">
        <v>1253</v>
      </c>
      <c r="C37" s="740"/>
      <c r="D37" s="952">
        <f>10310*0.1927</f>
        <v>1986.7370000000001</v>
      </c>
      <c r="E37" s="308"/>
      <c r="F37" s="308">
        <v>1161.4783339999999</v>
      </c>
      <c r="G37" s="952"/>
      <c r="H37" s="308">
        <v>1824.8477</v>
      </c>
      <c r="I37" s="308"/>
      <c r="J37" s="308"/>
      <c r="K37" s="308"/>
      <c r="L37" s="308"/>
      <c r="M37" s="1"/>
    </row>
    <row r="38" spans="1:14" s="4" customFormat="1" hidden="1" outlineLevel="1">
      <c r="A38" s="739" t="s">
        <v>1544</v>
      </c>
      <c r="B38" s="742" t="s">
        <v>1254</v>
      </c>
      <c r="C38" s="742"/>
      <c r="D38" s="952">
        <f>1516*0.1927</f>
        <v>292.13319999999999</v>
      </c>
      <c r="E38" s="308"/>
      <c r="F38" s="308">
        <v>289.23248000000001</v>
      </c>
      <c r="G38" s="952"/>
      <c r="H38" s="308">
        <v>226.66926000000001</v>
      </c>
      <c r="I38" s="308">
        <v>0</v>
      </c>
      <c r="J38" s="308">
        <v>0</v>
      </c>
      <c r="K38" s="308"/>
      <c r="L38" s="308"/>
      <c r="M38" s="1"/>
    </row>
    <row r="39" spans="1:14" s="4" customFormat="1" hidden="1" outlineLevel="1">
      <c r="A39" s="739" t="s">
        <v>1545</v>
      </c>
      <c r="B39" s="740" t="s">
        <v>1255</v>
      </c>
      <c r="C39" s="740"/>
      <c r="D39" s="952">
        <f>261*0.1927</f>
        <v>50.294700000000006</v>
      </c>
      <c r="E39" s="308"/>
      <c r="F39" s="308">
        <v>42.568489999999997</v>
      </c>
      <c r="G39" s="952"/>
      <c r="H39" s="308">
        <v>48.0471</v>
      </c>
      <c r="I39" s="308"/>
      <c r="J39" s="308"/>
      <c r="K39" s="308"/>
      <c r="L39" s="308"/>
      <c r="M39" s="1"/>
    </row>
    <row r="40" spans="1:14" s="4" customFormat="1" ht="25.5" hidden="1" outlineLevel="1">
      <c r="A40" s="739" t="s">
        <v>1546</v>
      </c>
      <c r="B40" s="742" t="s">
        <v>1256</v>
      </c>
      <c r="C40" s="742"/>
      <c r="D40" s="952">
        <f>745*0.1927</f>
        <v>143.5615</v>
      </c>
      <c r="E40" s="308"/>
      <c r="F40" s="308">
        <v>163.50965199999999</v>
      </c>
      <c r="G40" s="952"/>
      <c r="H40" s="308">
        <v>42.959760000000003</v>
      </c>
      <c r="I40" s="308"/>
      <c r="J40" s="308"/>
      <c r="K40" s="308"/>
      <c r="L40" s="308"/>
      <c r="M40" s="1"/>
    </row>
    <row r="41" spans="1:14" s="4" customFormat="1" hidden="1" outlineLevel="1">
      <c r="A41" s="739" t="s">
        <v>1547</v>
      </c>
      <c r="B41" s="742" t="s">
        <v>1257</v>
      </c>
      <c r="C41" s="742"/>
      <c r="D41" s="952">
        <f>11163*0.1927</f>
        <v>2151.1101000000003</v>
      </c>
      <c r="E41" s="308"/>
      <c r="F41" s="308">
        <v>4517.2748579999998</v>
      </c>
      <c r="G41" s="952"/>
      <c r="H41" s="308">
        <v>4440.3057200000003</v>
      </c>
      <c r="I41" s="308"/>
      <c r="J41" s="308"/>
      <c r="K41" s="308"/>
      <c r="L41" s="308"/>
      <c r="M41" s="1"/>
    </row>
    <row r="42" spans="1:14" s="4" customFormat="1" hidden="1" outlineLevel="1">
      <c r="A42" s="741" t="s">
        <v>1548</v>
      </c>
      <c r="B42" s="742" t="s">
        <v>1556</v>
      </c>
      <c r="C42" s="742"/>
      <c r="D42" s="952">
        <f>337*0.1927</f>
        <v>64.939900000000009</v>
      </c>
      <c r="E42" s="308"/>
      <c r="F42" s="308">
        <v>123.50693399999999</v>
      </c>
      <c r="G42" s="952"/>
      <c r="H42" s="308">
        <v>50.213929999999998</v>
      </c>
      <c r="I42" s="308"/>
      <c r="J42" s="308"/>
      <c r="K42" s="308"/>
      <c r="L42" s="308"/>
      <c r="M42" s="1"/>
    </row>
    <row r="43" spans="1:14" s="4" customFormat="1" ht="25.5" hidden="1" outlineLevel="1">
      <c r="A43" s="741" t="s">
        <v>1549</v>
      </c>
      <c r="B43" s="742" t="s">
        <v>1258</v>
      </c>
      <c r="C43" s="742"/>
      <c r="D43" s="952">
        <f>1682*0.1927</f>
        <v>324.12139999999999</v>
      </c>
      <c r="E43" s="308"/>
      <c r="F43" s="308">
        <v>182.403064</v>
      </c>
      <c r="G43" s="952"/>
      <c r="H43" s="308">
        <v>189.07947000000001</v>
      </c>
      <c r="I43" s="308"/>
      <c r="J43" s="308"/>
      <c r="K43" s="308"/>
      <c r="L43" s="308"/>
      <c r="M43" s="1"/>
    </row>
    <row r="44" spans="1:14" s="4" customFormat="1" hidden="1" outlineLevel="1">
      <c r="A44" s="764" t="s">
        <v>1555</v>
      </c>
      <c r="B44" s="742" t="s">
        <v>1890</v>
      </c>
      <c r="C44" s="742"/>
      <c r="D44" s="952">
        <v>324</v>
      </c>
      <c r="E44" s="308"/>
      <c r="F44" s="308"/>
      <c r="G44" s="952"/>
      <c r="H44" s="308"/>
      <c r="I44" s="308"/>
      <c r="J44" s="308"/>
      <c r="K44" s="308"/>
      <c r="L44" s="952"/>
      <c r="M44" s="1"/>
    </row>
    <row r="45" spans="1:14" s="341" customFormat="1" hidden="1" outlineLevel="1">
      <c r="A45" s="764" t="s">
        <v>1889</v>
      </c>
      <c r="B45" s="765" t="s">
        <v>1259</v>
      </c>
      <c r="C45" s="746">
        <f t="shared" ref="C45" si="5">SUM(C46:C55)</f>
        <v>0</v>
      </c>
      <c r="D45" s="746">
        <f t="shared" ref="D45" si="6">SUM(D46:D55)</f>
        <v>606.42690000000005</v>
      </c>
      <c r="E45" s="746">
        <f t="shared" ref="E45" si="7">SUM(E46:E55)</f>
        <v>0</v>
      </c>
      <c r="F45" s="746">
        <v>682.49535200000003</v>
      </c>
      <c r="G45" s="746">
        <v>0</v>
      </c>
      <c r="H45" s="746">
        <v>754.78893999999991</v>
      </c>
      <c r="I45" s="746">
        <v>0</v>
      </c>
      <c r="J45" s="746">
        <v>0</v>
      </c>
      <c r="K45" s="746">
        <v>0</v>
      </c>
      <c r="L45" s="746">
        <v>0</v>
      </c>
      <c r="M45" s="746"/>
      <c r="N45" s="746"/>
    </row>
    <row r="46" spans="1:14" s="4" customFormat="1" hidden="1" outlineLevel="1">
      <c r="A46" s="744"/>
      <c r="B46" s="745" t="s">
        <v>1260</v>
      </c>
      <c r="C46" s="745"/>
      <c r="D46" s="952">
        <f>472*0.1927</f>
        <v>90.954400000000007</v>
      </c>
      <c r="E46" s="308"/>
      <c r="F46" s="308">
        <v>62.394909999999996</v>
      </c>
      <c r="G46" s="952"/>
      <c r="H46" s="308">
        <v>34.48086</v>
      </c>
      <c r="I46" s="308"/>
      <c r="J46" s="308"/>
      <c r="K46" s="308"/>
      <c r="L46" s="308"/>
      <c r="M46" s="1"/>
    </row>
    <row r="47" spans="1:14" s="4" customFormat="1" hidden="1" outlineLevel="1">
      <c r="A47" s="744"/>
      <c r="B47" s="743" t="s">
        <v>1261</v>
      </c>
      <c r="C47" s="743"/>
      <c r="D47" s="952">
        <f>634*0.1927</f>
        <v>122.1718</v>
      </c>
      <c r="E47" s="308"/>
      <c r="F47" s="308">
        <v>105.663156</v>
      </c>
      <c r="G47" s="952"/>
      <c r="H47" s="308">
        <v>72.353279999999998</v>
      </c>
      <c r="I47" s="308"/>
      <c r="J47" s="308"/>
      <c r="K47" s="308"/>
      <c r="L47" s="308"/>
      <c r="M47" s="1"/>
    </row>
    <row r="48" spans="1:14" s="4" customFormat="1" hidden="1" outlineLevel="1">
      <c r="A48" s="744"/>
      <c r="B48" s="743" t="s">
        <v>1262</v>
      </c>
      <c r="C48" s="743"/>
      <c r="D48" s="952">
        <f>809*0.1927</f>
        <v>155.89430000000002</v>
      </c>
      <c r="E48" s="308"/>
      <c r="F48" s="308">
        <v>128.521852</v>
      </c>
      <c r="G48" s="952"/>
      <c r="H48" s="308">
        <v>96.659459999999996</v>
      </c>
      <c r="I48" s="308"/>
      <c r="J48" s="308"/>
      <c r="K48" s="308"/>
      <c r="L48" s="308"/>
      <c r="M48" s="1"/>
    </row>
    <row r="49" spans="1:13" s="4" customFormat="1" hidden="1" outlineLevel="1">
      <c r="A49" s="744"/>
      <c r="B49" s="743" t="s">
        <v>1263</v>
      </c>
      <c r="C49" s="743"/>
      <c r="D49" s="952">
        <f>257*0.1927</f>
        <v>49.523900000000005</v>
      </c>
      <c r="E49" s="308"/>
      <c r="F49" s="308">
        <v>107.29592</v>
      </c>
      <c r="G49" s="952"/>
      <c r="H49" s="308">
        <v>25.248280000000001</v>
      </c>
      <c r="I49" s="308"/>
      <c r="J49" s="308"/>
      <c r="K49" s="308"/>
      <c r="L49" s="308"/>
      <c r="M49" s="1"/>
    </row>
    <row r="50" spans="1:13" s="4" customFormat="1" ht="38.25" hidden="1" outlineLevel="1">
      <c r="A50" s="744"/>
      <c r="B50" s="743" t="s">
        <v>1891</v>
      </c>
      <c r="C50" s="743"/>
      <c r="D50" s="952">
        <f>975*0.1927</f>
        <v>187.88250000000002</v>
      </c>
      <c r="E50" s="308"/>
      <c r="F50" s="308">
        <v>278.61951399999998</v>
      </c>
      <c r="G50" s="952"/>
      <c r="H50" s="308">
        <v>216.11774</v>
      </c>
      <c r="I50" s="308"/>
      <c r="J50" s="308"/>
      <c r="K50" s="308"/>
      <c r="L50" s="308"/>
      <c r="M50" s="1"/>
    </row>
    <row r="51" spans="1:13" s="4" customFormat="1" ht="25.5" hidden="1" outlineLevel="1">
      <c r="A51" s="744"/>
      <c r="B51" s="743" t="s">
        <v>1264</v>
      </c>
      <c r="C51" s="743"/>
      <c r="D51" s="308"/>
      <c r="E51" s="308"/>
      <c r="F51" s="308"/>
      <c r="G51" s="308"/>
      <c r="H51" s="1302"/>
      <c r="I51" s="308"/>
      <c r="J51" s="308"/>
      <c r="K51" s="308"/>
      <c r="L51" s="308"/>
      <c r="M51" s="1"/>
    </row>
    <row r="52" spans="1:13" s="4" customFormat="1" hidden="1" outlineLevel="1">
      <c r="A52" s="744"/>
      <c r="B52" s="1391" t="s">
        <v>1883</v>
      </c>
      <c r="C52" s="743"/>
      <c r="D52" s="308"/>
      <c r="E52" s="308"/>
      <c r="F52" s="308"/>
      <c r="G52" s="308"/>
      <c r="H52" s="1302">
        <v>94</v>
      </c>
      <c r="I52" s="308"/>
      <c r="J52" s="308"/>
      <c r="K52" s="308"/>
      <c r="L52" s="1443"/>
      <c r="M52" s="1"/>
    </row>
    <row r="53" spans="1:13" s="4" customFormat="1" hidden="1" outlineLevel="1">
      <c r="A53" s="744"/>
      <c r="B53" s="743" t="s">
        <v>1884</v>
      </c>
      <c r="C53" s="743"/>
      <c r="D53" s="308"/>
      <c r="E53" s="308"/>
      <c r="F53" s="308"/>
      <c r="G53" s="308"/>
      <c r="H53" s="308">
        <v>215.92932000000002</v>
      </c>
      <c r="I53" s="308"/>
      <c r="J53" s="308"/>
      <c r="K53" s="308"/>
      <c r="L53" s="308"/>
      <c r="M53" s="1"/>
    </row>
    <row r="54" spans="1:13" s="4" customFormat="1" ht="25.5" hidden="1" outlineLevel="1">
      <c r="A54" s="17"/>
      <c r="B54" s="743" t="s">
        <v>1885</v>
      </c>
      <c r="C54" s="241"/>
      <c r="D54" s="241"/>
      <c r="E54" s="241"/>
      <c r="F54" s="241"/>
      <c r="G54" s="241"/>
      <c r="H54" s="308"/>
      <c r="I54" s="308"/>
      <c r="J54" s="308"/>
      <c r="K54" s="308"/>
      <c r="L54" s="241"/>
    </row>
    <row r="55" spans="1:13" s="341" customFormat="1" ht="25.5" hidden="1" outlineLevel="1">
      <c r="A55" s="339"/>
      <c r="B55" s="743" t="s">
        <v>1886</v>
      </c>
      <c r="C55" s="308"/>
      <c r="D55" s="308"/>
      <c r="E55" s="308"/>
      <c r="F55" s="308"/>
      <c r="G55" s="308"/>
      <c r="H55" s="308"/>
      <c r="I55" s="308"/>
      <c r="J55" s="308"/>
      <c r="K55" s="308"/>
      <c r="L55" s="308"/>
    </row>
    <row r="56" spans="1:13" s="1046" customFormat="1" ht="90" collapsed="1">
      <c r="A56" s="1044"/>
      <c r="B56" s="1045" t="s">
        <v>374</v>
      </c>
      <c r="C56" s="258"/>
      <c r="D56" s="258">
        <v>0</v>
      </c>
      <c r="E56" s="258"/>
      <c r="F56" s="258">
        <v>0</v>
      </c>
      <c r="G56" s="258"/>
      <c r="H56" s="258">
        <v>0</v>
      </c>
      <c r="I56" s="258">
        <v>0</v>
      </c>
      <c r="J56" s="258">
        <v>0</v>
      </c>
      <c r="K56" s="258">
        <v>0</v>
      </c>
      <c r="L56" s="1443">
        <v>0</v>
      </c>
    </row>
    <row r="57" spans="1:13" s="1046" customFormat="1" ht="30">
      <c r="A57" s="1044"/>
      <c r="B57" s="1045" t="s">
        <v>375</v>
      </c>
      <c r="C57" s="258"/>
      <c r="D57" s="258">
        <v>105571</v>
      </c>
      <c r="E57" s="258"/>
      <c r="F57" s="258">
        <v>119937</v>
      </c>
      <c r="G57" s="258"/>
      <c r="H57" s="258">
        <v>105120</v>
      </c>
      <c r="I57" s="258"/>
      <c r="J57" s="258">
        <v>108881</v>
      </c>
      <c r="K57" s="258">
        <v>120069</v>
      </c>
      <c r="L57" s="258">
        <v>127153</v>
      </c>
    </row>
    <row r="58" spans="1:13" s="1046" customFormat="1" ht="15" customHeight="1">
      <c r="A58" s="1044"/>
      <c r="B58" s="1045" t="s">
        <v>376</v>
      </c>
      <c r="C58" s="258"/>
      <c r="D58" s="258">
        <v>58</v>
      </c>
      <c r="E58" s="258"/>
      <c r="F58" s="258">
        <v>356</v>
      </c>
      <c r="G58" s="258"/>
      <c r="H58" s="258">
        <v>134</v>
      </c>
      <c r="I58" s="1719">
        <v>1811</v>
      </c>
      <c r="J58" s="1719">
        <v>1811</v>
      </c>
      <c r="K58" s="1719">
        <v>1914.8065200000001</v>
      </c>
      <c r="L58" s="1443">
        <v>2007.5023036331997</v>
      </c>
    </row>
    <row r="59" spans="1:13" s="1046" customFormat="1" ht="15" customHeight="1">
      <c r="A59" s="1044"/>
      <c r="B59" s="1045" t="s">
        <v>377</v>
      </c>
      <c r="C59" s="258"/>
      <c r="D59" s="258">
        <v>260</v>
      </c>
      <c r="E59" s="258"/>
      <c r="F59" s="258">
        <v>352</v>
      </c>
      <c r="G59" s="258"/>
      <c r="H59" s="258">
        <v>298</v>
      </c>
      <c r="I59" s="1719">
        <v>700</v>
      </c>
      <c r="J59" s="1719">
        <v>700</v>
      </c>
      <c r="K59" s="1719">
        <v>740.12400000000002</v>
      </c>
      <c r="L59" s="1443">
        <v>775.95340283999985</v>
      </c>
    </row>
    <row r="60" spans="1:13" s="1046" customFormat="1" ht="45" customHeight="1">
      <c r="A60" s="1044"/>
      <c r="B60" s="1045" t="s">
        <v>378</v>
      </c>
      <c r="C60" s="258"/>
      <c r="D60" s="258">
        <v>1534</v>
      </c>
      <c r="E60" s="258"/>
      <c r="F60" s="258">
        <v>1599</v>
      </c>
      <c r="G60" s="258"/>
      <c r="H60" s="258">
        <v>1296</v>
      </c>
      <c r="I60" s="258"/>
      <c r="J60" s="258">
        <v>4403.4000000000005</v>
      </c>
      <c r="K60" s="258">
        <v>6124.2</v>
      </c>
      <c r="L60" s="1442">
        <v>6486.3</v>
      </c>
    </row>
    <row r="61" spans="1:13" s="1046" customFormat="1" ht="30" customHeight="1">
      <c r="A61" s="1044"/>
      <c r="B61" s="1045" t="s">
        <v>379</v>
      </c>
      <c r="C61" s="258">
        <f>SUM(C62:C66)</f>
        <v>0</v>
      </c>
      <c r="D61" s="258">
        <f t="shared" ref="D61:E61" si="8">SUM(D62:D66)</f>
        <v>4600</v>
      </c>
      <c r="E61" s="258">
        <f t="shared" si="8"/>
        <v>0</v>
      </c>
      <c r="F61" s="258">
        <v>8144</v>
      </c>
      <c r="G61" s="258">
        <v>0</v>
      </c>
      <c r="H61" s="258">
        <v>5794</v>
      </c>
      <c r="I61" s="258">
        <v>0</v>
      </c>
      <c r="J61" s="258">
        <v>8710</v>
      </c>
      <c r="K61" s="258">
        <v>9123</v>
      </c>
      <c r="L61" s="258">
        <v>11646</v>
      </c>
    </row>
    <row r="62" spans="1:13" s="4" customFormat="1" ht="15" customHeight="1">
      <c r="A62" s="17"/>
      <c r="B62" s="51" t="s">
        <v>380</v>
      </c>
      <c r="C62" s="241"/>
      <c r="D62" s="241">
        <v>1344</v>
      </c>
      <c r="E62" s="241"/>
      <c r="F62" s="241">
        <v>4715</v>
      </c>
      <c r="G62" s="241"/>
      <c r="H62" s="241">
        <v>4433</v>
      </c>
      <c r="I62" s="241"/>
      <c r="J62" s="308">
        <v>6731</v>
      </c>
      <c r="K62" s="308">
        <v>7022</v>
      </c>
      <c r="L62" s="1443">
        <v>9432</v>
      </c>
    </row>
    <row r="63" spans="1:13" s="4" customFormat="1" ht="15" customHeight="1">
      <c r="A63" s="17"/>
      <c r="B63" s="51" t="s">
        <v>381</v>
      </c>
      <c r="C63" s="241"/>
      <c r="D63" s="241">
        <v>3192</v>
      </c>
      <c r="E63" s="241"/>
      <c r="F63" s="241">
        <v>3337</v>
      </c>
      <c r="G63" s="241"/>
      <c r="H63" s="241">
        <v>1232</v>
      </c>
      <c r="I63" s="241"/>
      <c r="J63" s="308">
        <v>1818</v>
      </c>
      <c r="K63" s="308">
        <v>1940</v>
      </c>
      <c r="L63" s="308">
        <v>2053</v>
      </c>
    </row>
    <row r="64" spans="1:13" s="4" customFormat="1" ht="15" customHeight="1">
      <c r="A64" s="17"/>
      <c r="B64" s="51" t="s">
        <v>382</v>
      </c>
      <c r="C64" s="241"/>
      <c r="D64" s="241">
        <v>64</v>
      </c>
      <c r="E64" s="241"/>
      <c r="F64" s="241">
        <v>92</v>
      </c>
      <c r="G64" s="241"/>
      <c r="H64" s="241">
        <v>129</v>
      </c>
      <c r="I64" s="241"/>
      <c r="J64" s="241">
        <v>161</v>
      </c>
      <c r="K64" s="241">
        <v>161</v>
      </c>
      <c r="L64" s="1443">
        <v>161</v>
      </c>
    </row>
    <row r="65" spans="1:12" s="4" customFormat="1" ht="15" customHeight="1">
      <c r="A65" s="17"/>
      <c r="B65" s="51" t="s">
        <v>383</v>
      </c>
      <c r="C65" s="241"/>
      <c r="D65" s="241"/>
      <c r="E65" s="241"/>
      <c r="F65" s="241"/>
      <c r="G65" s="241"/>
      <c r="H65" s="241"/>
      <c r="I65" s="241"/>
      <c r="J65" s="241"/>
      <c r="K65" s="241"/>
      <c r="L65" s="241"/>
    </row>
    <row r="66" spans="1:12" s="4" customFormat="1" ht="15" customHeight="1">
      <c r="A66" s="17"/>
      <c r="B66" s="51" t="s">
        <v>384</v>
      </c>
      <c r="C66" s="241"/>
      <c r="D66" s="241"/>
      <c r="E66" s="241"/>
      <c r="F66" s="241"/>
      <c r="G66" s="241"/>
      <c r="H66" s="241"/>
      <c r="I66" s="241"/>
      <c r="J66" s="241"/>
      <c r="K66" s="241"/>
      <c r="L66" s="241"/>
    </row>
    <row r="67" spans="1:12" s="1034" customFormat="1" ht="15" customHeight="1">
      <c r="A67" s="1030" t="s">
        <v>385</v>
      </c>
      <c r="B67" s="1031" t="s">
        <v>386</v>
      </c>
      <c r="C67" s="1032">
        <f>SUM(C68:C71)</f>
        <v>0</v>
      </c>
      <c r="D67" s="1032">
        <f t="shared" ref="D67:E67" si="9">SUM(D68:D71)</f>
        <v>2357</v>
      </c>
      <c r="E67" s="1032">
        <f t="shared" si="9"/>
        <v>0</v>
      </c>
      <c r="F67" s="1032">
        <v>1709.7</v>
      </c>
      <c r="G67" s="1032">
        <v>0</v>
      </c>
      <c r="H67" s="1032">
        <v>1117.9000000000001</v>
      </c>
      <c r="I67" s="1032">
        <v>269</v>
      </c>
      <c r="J67" s="1032">
        <v>269</v>
      </c>
      <c r="K67" s="1032">
        <v>287.29200000000003</v>
      </c>
      <c r="L67" s="1032">
        <v>304.24222800000001</v>
      </c>
    </row>
    <row r="68" spans="1:12" s="1046" customFormat="1" ht="45">
      <c r="A68" s="1044"/>
      <c r="B68" s="1045" t="s">
        <v>387</v>
      </c>
      <c r="C68" s="258"/>
      <c r="D68" s="258"/>
      <c r="E68" s="258"/>
      <c r="F68" s="258"/>
      <c r="G68" s="258"/>
      <c r="H68" s="258"/>
      <c r="I68" s="258"/>
      <c r="J68" s="258"/>
      <c r="K68" s="258"/>
      <c r="L68" s="258"/>
    </row>
    <row r="69" spans="1:12" s="1046" customFormat="1" ht="15" customHeight="1">
      <c r="A69" s="1044"/>
      <c r="B69" s="1045" t="s">
        <v>388</v>
      </c>
      <c r="C69" s="258"/>
      <c r="D69" s="258"/>
      <c r="E69" s="258"/>
      <c r="F69" s="258"/>
      <c r="G69" s="258"/>
      <c r="H69" s="258"/>
      <c r="I69" s="258"/>
      <c r="J69" s="258"/>
      <c r="K69" s="258"/>
      <c r="L69" s="258"/>
    </row>
    <row r="70" spans="1:12" s="1046" customFormat="1" ht="45" customHeight="1">
      <c r="A70" s="1044"/>
      <c r="B70" s="1045" t="s">
        <v>389</v>
      </c>
      <c r="C70" s="1045"/>
      <c r="D70" s="1045"/>
      <c r="E70" s="1045"/>
      <c r="F70" s="1045"/>
      <c r="G70" s="1045"/>
      <c r="H70" s="1045"/>
      <c r="I70" s="1045"/>
      <c r="J70" s="1045"/>
      <c r="K70" s="1045"/>
      <c r="L70" s="258"/>
    </row>
    <row r="71" spans="1:12" s="1046" customFormat="1" ht="15" customHeight="1">
      <c r="A71" s="1044"/>
      <c r="B71" s="1045" t="s">
        <v>390</v>
      </c>
      <c r="C71" s="258">
        <f>SUM(C72:C77)</f>
        <v>0</v>
      </c>
      <c r="D71" s="258">
        <f t="shared" ref="D71:E71" si="10">SUM(D72:D77)</f>
        <v>2357</v>
      </c>
      <c r="E71" s="258">
        <f t="shared" si="10"/>
        <v>0</v>
      </c>
      <c r="F71" s="258">
        <v>1709.7</v>
      </c>
      <c r="G71" s="258">
        <v>0</v>
      </c>
      <c r="H71" s="258">
        <v>1117.9000000000001</v>
      </c>
      <c r="I71" s="258">
        <v>269</v>
      </c>
      <c r="J71" s="258">
        <v>269</v>
      </c>
      <c r="K71" s="258">
        <v>287.29200000000003</v>
      </c>
      <c r="L71" s="258">
        <v>304.24222800000001</v>
      </c>
    </row>
    <row r="72" spans="1:12" s="4" customFormat="1" ht="15" customHeight="1">
      <c r="A72" s="17"/>
      <c r="B72" s="51" t="s">
        <v>961</v>
      </c>
      <c r="C72" s="308"/>
      <c r="D72" s="308">
        <v>0</v>
      </c>
      <c r="E72" s="308"/>
      <c r="F72" s="308">
        <v>0</v>
      </c>
      <c r="G72" s="308"/>
      <c r="H72" s="308"/>
      <c r="I72" s="1719">
        <v>0</v>
      </c>
      <c r="J72" s="1719">
        <v>0</v>
      </c>
      <c r="K72" s="1719">
        <v>0</v>
      </c>
      <c r="L72" s="1443">
        <v>0</v>
      </c>
    </row>
    <row r="73" spans="1:12" s="4" customFormat="1" ht="15" customHeight="1">
      <c r="A73" s="17"/>
      <c r="B73" s="51" t="s">
        <v>962</v>
      </c>
      <c r="C73" s="308"/>
      <c r="D73" s="308"/>
      <c r="E73" s="308"/>
      <c r="F73" s="308"/>
      <c r="G73" s="308"/>
      <c r="H73" s="308"/>
      <c r="I73" s="308"/>
      <c r="J73" s="308"/>
      <c r="K73" s="308"/>
      <c r="L73" s="308"/>
    </row>
    <row r="74" spans="1:12" s="4" customFormat="1" ht="15" customHeight="1">
      <c r="A74" s="17"/>
      <c r="B74" s="51" t="s">
        <v>963</v>
      </c>
      <c r="C74" s="308"/>
      <c r="D74" s="308">
        <f>189+2+101+2065</f>
        <v>2357</v>
      </c>
      <c r="E74" s="308"/>
      <c r="F74" s="308">
        <v>1709.7</v>
      </c>
      <c r="G74" s="308"/>
      <c r="H74" s="308">
        <v>1117.9000000000001</v>
      </c>
      <c r="I74" s="1719">
        <v>269</v>
      </c>
      <c r="J74" s="1719">
        <v>269</v>
      </c>
      <c r="K74" s="1719">
        <v>287.29200000000003</v>
      </c>
      <c r="L74" s="1443">
        <v>304.24222800000001</v>
      </c>
    </row>
    <row r="75" spans="1:12" s="4" customFormat="1" ht="15" hidden="1" customHeight="1">
      <c r="A75" s="17"/>
      <c r="B75" s="51"/>
      <c r="C75" s="241"/>
      <c r="D75" s="241"/>
      <c r="E75" s="241"/>
      <c r="F75" s="241"/>
      <c r="G75" s="241"/>
      <c r="H75" s="241"/>
      <c r="I75" s="241"/>
      <c r="J75" s="241"/>
      <c r="K75" s="241"/>
      <c r="L75" s="241"/>
    </row>
    <row r="76" spans="1:12" s="4" customFormat="1" ht="15" hidden="1" customHeight="1">
      <c r="A76" s="17"/>
      <c r="B76" s="51"/>
      <c r="C76" s="241"/>
      <c r="D76" s="241"/>
      <c r="E76" s="241"/>
      <c r="F76" s="241"/>
      <c r="G76" s="241"/>
      <c r="H76" s="241"/>
      <c r="I76" s="241"/>
      <c r="J76" s="241"/>
      <c r="K76" s="241"/>
      <c r="L76" s="241"/>
    </row>
    <row r="77" spans="1:12" s="4" customFormat="1" ht="15" hidden="1" customHeight="1">
      <c r="A77" s="17"/>
      <c r="B77" s="51"/>
      <c r="C77" s="241"/>
      <c r="D77" s="241"/>
      <c r="E77" s="241"/>
      <c r="F77" s="241"/>
      <c r="G77" s="241"/>
      <c r="H77" s="241"/>
      <c r="I77" s="241"/>
      <c r="J77" s="241"/>
      <c r="K77" s="241"/>
      <c r="L77" s="241"/>
    </row>
    <row r="78" spans="1:12" s="1034" customFormat="1" ht="30.75" customHeight="1">
      <c r="A78" s="1030" t="s">
        <v>391</v>
      </c>
      <c r="B78" s="1031" t="s">
        <v>392</v>
      </c>
      <c r="C78" s="1032">
        <f>SUM(C79:C82)</f>
        <v>0</v>
      </c>
      <c r="D78" s="1032">
        <f t="shared" ref="D78:E78" si="11">SUM(D79:D82)</f>
        <v>5351</v>
      </c>
      <c r="E78" s="1032">
        <f t="shared" si="11"/>
        <v>0</v>
      </c>
      <c r="F78" s="1032">
        <v>7005</v>
      </c>
      <c r="G78" s="1032">
        <v>0</v>
      </c>
      <c r="H78" s="1032">
        <v>7781</v>
      </c>
      <c r="I78" s="1032">
        <v>12752</v>
      </c>
      <c r="J78" s="1032">
        <v>7293</v>
      </c>
      <c r="K78" s="1032">
        <v>7788.9240000000009</v>
      </c>
      <c r="L78" s="1032">
        <v>8248.4705159999994</v>
      </c>
    </row>
    <row r="79" spans="1:12" s="1046" customFormat="1" ht="30">
      <c r="A79" s="1044"/>
      <c r="B79" s="1045" t="s">
        <v>393</v>
      </c>
      <c r="C79" s="258"/>
      <c r="D79" s="258"/>
      <c r="E79" s="258"/>
      <c r="F79" s="258">
        <v>0</v>
      </c>
      <c r="G79" s="258"/>
      <c r="H79" s="258"/>
      <c r="I79" s="258"/>
      <c r="J79" s="258"/>
      <c r="K79" s="258"/>
      <c r="L79" s="258"/>
    </row>
    <row r="80" spans="1:12" s="1046" customFormat="1" ht="30" customHeight="1">
      <c r="A80" s="1044"/>
      <c r="B80" s="1045" t="s">
        <v>394</v>
      </c>
      <c r="C80" s="258"/>
      <c r="D80" s="258">
        <v>4683</v>
      </c>
      <c r="E80" s="258"/>
      <c r="F80" s="258">
        <v>5739</v>
      </c>
      <c r="G80" s="258"/>
      <c r="H80" s="258">
        <v>6177</v>
      </c>
      <c r="I80" s="1719">
        <v>6618</v>
      </c>
      <c r="J80" s="1719">
        <v>6618</v>
      </c>
      <c r="K80" s="1719">
        <v>7068.0240000000003</v>
      </c>
      <c r="L80" s="1443">
        <v>7485.0374160000001</v>
      </c>
    </row>
    <row r="81" spans="1:12" s="1046" customFormat="1" ht="15" customHeight="1">
      <c r="A81" s="1044"/>
      <c r="B81" s="1045" t="s">
        <v>1568</v>
      </c>
      <c r="C81" s="258"/>
      <c r="D81" s="258"/>
      <c r="E81" s="258"/>
      <c r="F81" s="258"/>
      <c r="G81" s="258"/>
      <c r="H81" s="258"/>
      <c r="I81" s="258"/>
      <c r="J81" s="258"/>
      <c r="K81" s="258"/>
      <c r="L81" s="258"/>
    </row>
    <row r="82" spans="1:12" s="1046" customFormat="1" ht="28.5" customHeight="1">
      <c r="A82" s="1044"/>
      <c r="B82" s="1045" t="s">
        <v>1957</v>
      </c>
      <c r="C82" s="258"/>
      <c r="D82" s="258">
        <f>265+231+85+87</f>
        <v>668</v>
      </c>
      <c r="E82" s="258"/>
      <c r="F82" s="258">
        <v>1266</v>
      </c>
      <c r="G82" s="258"/>
      <c r="H82" s="258">
        <v>1604</v>
      </c>
      <c r="I82" s="1719">
        <v>6134</v>
      </c>
      <c r="J82" s="1719">
        <v>675</v>
      </c>
      <c r="K82" s="1719">
        <v>720.90000000000009</v>
      </c>
      <c r="L82" s="1443">
        <v>763.43310000000008</v>
      </c>
    </row>
    <row r="83" spans="1:12" s="1034" customFormat="1" ht="15" customHeight="1">
      <c r="A83" s="1030" t="s">
        <v>395</v>
      </c>
      <c r="B83" s="1031" t="s">
        <v>396</v>
      </c>
      <c r="C83" s="1032">
        <f>(C68+C69+C70+C78)/0.8*0.2</f>
        <v>0</v>
      </c>
      <c r="D83" s="1383">
        <f t="shared" ref="D83" si="12">(D68+D69+D70+D78)/0.8*0.2</f>
        <v>1337.75</v>
      </c>
      <c r="E83" s="1032">
        <f>E78/0.8*0.2</f>
        <v>0</v>
      </c>
      <c r="F83" s="1032">
        <v>1751.25</v>
      </c>
      <c r="G83" s="1032">
        <v>0</v>
      </c>
      <c r="H83" s="1032">
        <v>1945.25</v>
      </c>
      <c r="I83" s="1032">
        <v>3188</v>
      </c>
      <c r="J83" s="1032">
        <v>1823.25</v>
      </c>
      <c r="K83" s="1032">
        <v>1947.2310000000002</v>
      </c>
      <c r="L83" s="1032">
        <v>2062.1176289999999</v>
      </c>
    </row>
    <row r="84" spans="1:12" s="1034" customFormat="1" ht="15" customHeight="1">
      <c r="A84" s="1030" t="s">
        <v>397</v>
      </c>
      <c r="B84" s="1031" t="s">
        <v>398</v>
      </c>
      <c r="C84" s="1032">
        <f>C85-C88</f>
        <v>0</v>
      </c>
      <c r="D84" s="1032">
        <f t="shared" ref="D84:E84" si="13">D85-D88</f>
        <v>0</v>
      </c>
      <c r="E84" s="1032">
        <f t="shared" si="13"/>
        <v>0</v>
      </c>
      <c r="F84" s="1032">
        <v>0</v>
      </c>
      <c r="G84" s="1032">
        <v>0</v>
      </c>
      <c r="H84" s="1032">
        <v>0</v>
      </c>
      <c r="I84" s="1032">
        <v>0</v>
      </c>
      <c r="J84" s="1032">
        <v>0</v>
      </c>
      <c r="K84" s="1032">
        <v>51641</v>
      </c>
      <c r="L84" s="1032">
        <v>0</v>
      </c>
    </row>
    <row r="85" spans="1:12" s="585" customFormat="1" ht="15" customHeight="1">
      <c r="A85" s="583"/>
      <c r="B85" s="582" t="s">
        <v>1140</v>
      </c>
      <c r="C85" s="587">
        <f>C86+C87</f>
        <v>0</v>
      </c>
      <c r="D85" s="587">
        <f t="shared" ref="D85:E85" si="14">D86+D87</f>
        <v>0</v>
      </c>
      <c r="E85" s="587">
        <f t="shared" si="14"/>
        <v>0</v>
      </c>
      <c r="F85" s="587">
        <v>0</v>
      </c>
      <c r="G85" s="587">
        <v>0</v>
      </c>
      <c r="H85" s="587">
        <v>0</v>
      </c>
      <c r="I85" s="587">
        <v>0</v>
      </c>
      <c r="J85" s="587">
        <v>0</v>
      </c>
      <c r="K85" s="587">
        <v>90380</v>
      </c>
      <c r="L85" s="587">
        <v>0</v>
      </c>
    </row>
    <row r="86" spans="1:12" s="341" customFormat="1" ht="15" customHeight="1">
      <c r="A86" s="339"/>
      <c r="B86" s="340" t="s">
        <v>959</v>
      </c>
      <c r="C86" s="308"/>
      <c r="D86" s="308"/>
      <c r="E86" s="308"/>
      <c r="F86" s="308"/>
      <c r="G86" s="308"/>
      <c r="H86" s="308"/>
      <c r="I86" s="308"/>
      <c r="J86" s="308"/>
      <c r="K86" s="308">
        <v>90380</v>
      </c>
      <c r="L86" s="1431"/>
    </row>
    <row r="87" spans="1:12" s="341" customFormat="1" ht="15" customHeight="1">
      <c r="A87" s="339"/>
      <c r="B87" s="51" t="s">
        <v>960</v>
      </c>
      <c r="C87" s="241"/>
      <c r="D87" s="241"/>
      <c r="E87" s="241"/>
      <c r="F87" s="241"/>
      <c r="G87" s="241"/>
      <c r="H87" s="241"/>
      <c r="I87" s="241"/>
      <c r="J87" s="241"/>
      <c r="K87" s="241"/>
      <c r="L87" s="241"/>
    </row>
    <row r="88" spans="1:12" s="588" customFormat="1" ht="15" customHeight="1">
      <c r="A88" s="586"/>
      <c r="B88" s="582" t="s">
        <v>1141</v>
      </c>
      <c r="C88" s="587">
        <f>C89+C90</f>
        <v>0</v>
      </c>
      <c r="D88" s="587">
        <f t="shared" ref="D88:E88" si="15">D89+D90</f>
        <v>0</v>
      </c>
      <c r="E88" s="587">
        <f t="shared" si="15"/>
        <v>0</v>
      </c>
      <c r="F88" s="587">
        <v>0</v>
      </c>
      <c r="G88" s="587">
        <v>0</v>
      </c>
      <c r="H88" s="587">
        <v>0</v>
      </c>
      <c r="I88" s="587">
        <v>0</v>
      </c>
      <c r="J88" s="587">
        <v>0</v>
      </c>
      <c r="K88" s="587">
        <v>38739</v>
      </c>
      <c r="L88" s="587">
        <v>0</v>
      </c>
    </row>
    <row r="89" spans="1:12" s="341" customFormat="1" ht="15" customHeight="1">
      <c r="A89" s="339"/>
      <c r="B89" s="340" t="s">
        <v>959</v>
      </c>
      <c r="C89" s="241"/>
      <c r="D89" s="241"/>
      <c r="E89" s="241"/>
      <c r="F89" s="241"/>
      <c r="G89" s="241"/>
      <c r="H89" s="241"/>
      <c r="I89" s="241"/>
      <c r="J89" s="241"/>
      <c r="K89" s="241">
        <v>38739</v>
      </c>
      <c r="L89" s="308"/>
    </row>
    <row r="90" spans="1:12" s="341" customFormat="1" ht="15" customHeight="1">
      <c r="A90" s="339"/>
      <c r="B90" s="51" t="s">
        <v>960</v>
      </c>
      <c r="C90" s="241"/>
      <c r="D90" s="241"/>
      <c r="E90" s="241"/>
      <c r="F90" s="241"/>
      <c r="G90" s="241"/>
      <c r="H90" s="241"/>
      <c r="I90" s="241"/>
      <c r="J90" s="241"/>
      <c r="K90" s="241"/>
      <c r="L90" s="308"/>
    </row>
    <row r="91" spans="1:12" s="1055" customFormat="1" ht="15" customHeight="1">
      <c r="A91" s="1052" t="s">
        <v>399</v>
      </c>
      <c r="B91" s="1053" t="s">
        <v>400</v>
      </c>
      <c r="C91" s="1054">
        <f>C7+C67+C78+C83+C84</f>
        <v>0</v>
      </c>
      <c r="D91" s="1054">
        <f>D7+D67+D78+D83+D84</f>
        <v>830174.45841900003</v>
      </c>
      <c r="E91" s="1054">
        <f>E7+E67+E78+E83+E84</f>
        <v>0</v>
      </c>
      <c r="F91" s="1054">
        <v>897222.448416</v>
      </c>
      <c r="G91" s="1054">
        <v>125259.61406699999</v>
      </c>
      <c r="H91" s="1054">
        <v>1009844.1625315901</v>
      </c>
      <c r="I91" s="1054">
        <v>153731</v>
      </c>
      <c r="J91" s="1054">
        <v>1171875.9457862598</v>
      </c>
      <c r="K91" s="1054">
        <v>1289957.1923237562</v>
      </c>
      <c r="L91" s="1054">
        <v>1310795.5308372045</v>
      </c>
    </row>
    <row r="92" spans="1:12" s="4" customFormat="1" ht="15" customHeight="1">
      <c r="A92" s="17" t="s">
        <v>401</v>
      </c>
      <c r="B92" s="51" t="s">
        <v>1269</v>
      </c>
      <c r="C92" s="241"/>
      <c r="D92" s="241"/>
      <c r="E92" s="241"/>
      <c r="F92" s="241"/>
      <c r="G92" s="241"/>
      <c r="H92" s="241"/>
      <c r="I92" s="241"/>
      <c r="J92" s="241"/>
      <c r="K92" s="241"/>
      <c r="L92" s="241"/>
    </row>
    <row r="93" spans="1:12" s="4" customFormat="1" ht="15" customHeight="1">
      <c r="A93" s="17" t="s">
        <v>403</v>
      </c>
      <c r="B93" s="51" t="s">
        <v>1270</v>
      </c>
      <c r="C93" s="241">
        <f>C91-C94-C95</f>
        <v>0</v>
      </c>
      <c r="D93" s="241">
        <f t="shared" ref="D93:E93" si="16">D91-D94-D95</f>
        <v>830174.45841900003</v>
      </c>
      <c r="E93" s="241">
        <f t="shared" si="16"/>
        <v>0</v>
      </c>
      <c r="F93" s="241">
        <v>897222.448416</v>
      </c>
      <c r="G93" s="241">
        <v>125259.61406699999</v>
      </c>
      <c r="H93" s="241">
        <v>1009844.1625315901</v>
      </c>
      <c r="I93" s="241">
        <v>153731</v>
      </c>
      <c r="J93" s="241">
        <v>1171875.9457862598</v>
      </c>
      <c r="K93" s="241">
        <v>1289957.1923237562</v>
      </c>
      <c r="L93" s="241">
        <v>1310795.5308372045</v>
      </c>
    </row>
    <row r="94" spans="1:12" s="4" customFormat="1" ht="15" customHeight="1">
      <c r="A94" s="17" t="s">
        <v>405</v>
      </c>
      <c r="B94" s="51" t="s">
        <v>1271</v>
      </c>
      <c r="C94" s="241"/>
      <c r="D94" s="241"/>
      <c r="E94" s="241"/>
      <c r="F94" s="241"/>
      <c r="G94" s="241"/>
      <c r="H94" s="241"/>
      <c r="I94" s="241"/>
      <c r="J94" s="241"/>
      <c r="K94" s="241"/>
      <c r="L94" s="241"/>
    </row>
    <row r="95" spans="1:12" s="4" customFormat="1" ht="15" customHeight="1">
      <c r="A95" s="17" t="s">
        <v>407</v>
      </c>
      <c r="B95" s="51" t="s">
        <v>408</v>
      </c>
      <c r="C95" s="241"/>
      <c r="D95" s="241"/>
      <c r="E95" s="241"/>
      <c r="F95" s="241"/>
      <c r="G95" s="241"/>
      <c r="H95" s="241"/>
      <c r="I95" s="241"/>
      <c r="J95" s="241"/>
      <c r="K95" s="241"/>
      <c r="L95" s="241"/>
    </row>
    <row r="96" spans="1:12" s="4" customFormat="1" ht="15" customHeight="1">
      <c r="A96" s="17"/>
      <c r="B96" s="51"/>
      <c r="C96" s="241"/>
      <c r="D96" s="241"/>
      <c r="E96" s="241"/>
      <c r="F96" s="241"/>
      <c r="G96" s="241"/>
      <c r="H96" s="241"/>
      <c r="I96" s="241"/>
      <c r="J96" s="241"/>
      <c r="K96" s="241"/>
      <c r="L96" s="241"/>
    </row>
    <row r="97" spans="1:12" s="4" customFormat="1" ht="28.5">
      <c r="A97" s="17"/>
      <c r="B97" s="755" t="s">
        <v>1268</v>
      </c>
      <c r="C97" s="286">
        <f>'4.3_КТЭЦ'!E8</f>
        <v>922.65</v>
      </c>
      <c r="D97" s="286">
        <f>'4.3_КТЭЦ'!I8</f>
        <v>907.11299999999994</v>
      </c>
      <c r="E97" s="286">
        <f>'4.3_КТЭЦ'!M8</f>
        <v>911.197</v>
      </c>
      <c r="F97" s="286">
        <v>858.0397999999999</v>
      </c>
      <c r="G97" s="286">
        <v>904.44797589999962</v>
      </c>
      <c r="H97" s="286">
        <v>836.25261320499999</v>
      </c>
      <c r="I97" s="286">
        <v>0</v>
      </c>
      <c r="J97" s="286">
        <v>307.87799999999999</v>
      </c>
      <c r="K97" s="286">
        <v>860.72499999999991</v>
      </c>
      <c r="L97" s="286">
        <v>860.72499999999991</v>
      </c>
    </row>
    <row r="98" spans="1:12" s="4" customFormat="1" ht="15" customHeight="1">
      <c r="A98" s="17"/>
      <c r="B98" s="51"/>
      <c r="C98" s="241"/>
      <c r="D98" s="241"/>
      <c r="E98" s="241"/>
      <c r="F98" s="241"/>
      <c r="G98" s="241"/>
      <c r="H98" s="241"/>
      <c r="I98" s="241"/>
      <c r="J98" s="241"/>
      <c r="K98" s="241"/>
      <c r="L98" s="241"/>
    </row>
    <row r="99" spans="1:12" s="4" customFormat="1" ht="15" customHeight="1">
      <c r="A99" s="17"/>
      <c r="B99" s="253" t="s">
        <v>1266</v>
      </c>
      <c r="C99" s="428">
        <f>C93/C97</f>
        <v>0</v>
      </c>
      <c r="D99" s="428">
        <f t="shared" ref="D99:E99" si="17">D93/D97</f>
        <v>915.18306806208273</v>
      </c>
      <c r="E99" s="428">
        <f t="shared" si="17"/>
        <v>0</v>
      </c>
      <c r="F99" s="428">
        <v>1045.6653041222564</v>
      </c>
      <c r="G99" s="428">
        <v>138.49289003312373</v>
      </c>
      <c r="H99" s="428">
        <v>1207.5826689034641</v>
      </c>
      <c r="I99" s="428" t="e">
        <v>#DIV/0!</v>
      </c>
      <c r="J99" s="428">
        <v>3806.2997219231638</v>
      </c>
      <c r="K99" s="428">
        <v>1498.6867958102255</v>
      </c>
      <c r="L99" s="428">
        <v>1522.8970122131977</v>
      </c>
    </row>
    <row r="100" spans="1:12" s="4" customFormat="1" ht="15" customHeight="1">
      <c r="A100" s="17"/>
      <c r="B100" s="253" t="s">
        <v>1267</v>
      </c>
      <c r="C100" s="428" t="e">
        <f>C94/'4.2_КТЭЦ'!C25</f>
        <v>#DIV/0!</v>
      </c>
      <c r="D100" s="428">
        <f>D94/'4.2_КТЭЦ'!F25</f>
        <v>0</v>
      </c>
      <c r="E100" s="428">
        <f>'4.2_КТЭЦ'!I25</f>
        <v>0</v>
      </c>
      <c r="F100" s="428">
        <f>'4.2_КТЭЦ'!L25</f>
        <v>448.67099999999988</v>
      </c>
      <c r="G100" s="428"/>
      <c r="H100" s="428"/>
      <c r="I100" s="428"/>
      <c r="J100" s="428"/>
      <c r="K100" s="428">
        <f>'4.2_КТЭЦ'!AA25</f>
        <v>19.040000000000006</v>
      </c>
      <c r="L100" s="978"/>
    </row>
    <row r="101" spans="1:12" s="4" customFormat="1" ht="15" customHeight="1">
      <c r="A101" s="17"/>
      <c r="B101" s="1131" t="s">
        <v>1512</v>
      </c>
      <c r="C101" s="428"/>
      <c r="D101" s="428"/>
      <c r="E101" s="428"/>
      <c r="F101" s="428"/>
      <c r="G101" s="428"/>
      <c r="H101" s="428"/>
      <c r="I101" s="428"/>
      <c r="J101" s="428"/>
      <c r="K101" s="428"/>
      <c r="L101" s="978"/>
    </row>
    <row r="102" spans="1:12" s="4" customFormat="1" ht="15" customHeight="1">
      <c r="A102" s="17"/>
      <c r="B102" s="1131" t="s">
        <v>1513</v>
      </c>
      <c r="C102" s="428"/>
      <c r="D102" s="428"/>
      <c r="E102" s="428"/>
      <c r="F102" s="428"/>
      <c r="G102" s="428"/>
      <c r="H102" s="428"/>
      <c r="I102" s="428"/>
      <c r="J102" s="428"/>
      <c r="K102" s="428"/>
      <c r="L102" s="978"/>
    </row>
    <row r="103" spans="1:12" hidden="1">
      <c r="A103" s="253" t="s">
        <v>965</v>
      </c>
      <c r="B103" s="253"/>
      <c r="C103" s="308">
        <f>C67+C78+C83+C87-C90</f>
        <v>0</v>
      </c>
      <c r="D103" s="308">
        <f t="shared" ref="D103:K103" si="18">D67+D78+D83+D87-D90</f>
        <v>9045.75</v>
      </c>
      <c r="E103" s="308">
        <f t="shared" si="18"/>
        <v>0</v>
      </c>
      <c r="F103" s="308">
        <f t="shared" si="18"/>
        <v>10465.950000000001</v>
      </c>
      <c r="G103" s="308"/>
      <c r="H103" s="308"/>
      <c r="I103" s="308"/>
      <c r="J103" s="308"/>
      <c r="K103" s="308">
        <f t="shared" si="18"/>
        <v>10023.447000000002</v>
      </c>
      <c r="L103" s="762"/>
    </row>
    <row r="104" spans="1:12" s="26" customFormat="1">
      <c r="A104" s="26" t="s">
        <v>88</v>
      </c>
    </row>
    <row r="105" spans="1:12" s="104" customFormat="1" ht="58.5" customHeight="1">
      <c r="A105" s="104" t="s">
        <v>89</v>
      </c>
      <c r="B105" s="1842" t="s">
        <v>409</v>
      </c>
      <c r="C105" s="1842"/>
      <c r="D105" s="1842"/>
      <c r="E105" s="1842"/>
      <c r="F105" s="1842"/>
      <c r="G105" s="1842"/>
      <c r="H105" s="1842"/>
      <c r="I105" s="1842"/>
      <c r="J105" s="1842"/>
      <c r="K105" s="1842"/>
      <c r="L105" s="1629"/>
    </row>
    <row r="106" spans="1:12" s="104" customFormat="1" ht="58.5" customHeight="1">
      <c r="A106" s="104" t="s">
        <v>91</v>
      </c>
      <c r="B106" s="1842" t="s">
        <v>410</v>
      </c>
      <c r="C106" s="1842"/>
      <c r="D106" s="1842"/>
      <c r="E106" s="1842"/>
      <c r="F106" s="1842"/>
      <c r="G106" s="1842"/>
      <c r="H106" s="1842"/>
      <c r="I106" s="1842"/>
      <c r="J106" s="1842"/>
      <c r="K106" s="1842"/>
      <c r="L106" s="1629"/>
    </row>
    <row r="107" spans="1:12" s="104" customFormat="1" ht="58.5" customHeight="1">
      <c r="A107" s="104" t="s">
        <v>93</v>
      </c>
      <c r="B107" s="1842" t="s">
        <v>411</v>
      </c>
      <c r="C107" s="1842"/>
      <c r="D107" s="1842"/>
      <c r="E107" s="1842"/>
      <c r="F107" s="1842"/>
      <c r="G107" s="1842"/>
      <c r="H107" s="1842"/>
      <c r="I107" s="1842"/>
      <c r="J107" s="1842"/>
      <c r="K107" s="1842"/>
      <c r="L107" s="1629"/>
    </row>
    <row r="108" spans="1:12" ht="18.75" customHeight="1"/>
  </sheetData>
  <mergeCells count="4">
    <mergeCell ref="B105:K105"/>
    <mergeCell ref="B106:K106"/>
    <mergeCell ref="B107:K107"/>
    <mergeCell ref="A3:J3"/>
  </mergeCells>
  <pageMargins left="0.78740157480314965" right="0.31496062992125984" top="0.19685039370078741" bottom="0.39370078740157483" header="0.19685039370078741" footer="0.19685039370078741"/>
  <pageSetup paperSize="9" scale="52" orientation="portrait" r:id="rId1"/>
  <headerFooter alignWithMargins="0"/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</sheetPr>
  <dimension ref="A1:P109"/>
  <sheetViews>
    <sheetView view="pageBreakPreview" zoomScaleNormal="100" workbookViewId="0">
      <pane xSplit="2" ySplit="5" topLeftCell="H6" activePane="bottomRight" state="frozen"/>
      <selection activeCell="T22" sqref="T22"/>
      <selection pane="topRight" activeCell="T22" sqref="T22"/>
      <selection pane="bottomLeft" activeCell="T22" sqref="T22"/>
      <selection pane="bottomRight" activeCell="T22" sqref="T22"/>
    </sheetView>
  </sheetViews>
  <sheetFormatPr defaultColWidth="3.7109375" defaultRowHeight="15" outlineLevelRow="1"/>
  <cols>
    <col min="1" max="1" width="6.5703125" style="1" customWidth="1"/>
    <col min="2" max="2" width="40.7109375" style="1" customWidth="1"/>
    <col min="3" max="4" width="13.42578125" style="1" hidden="1" customWidth="1"/>
    <col min="5" max="9" width="13.42578125" style="1" customWidth="1"/>
    <col min="10" max="10" width="17.28515625" style="1" customWidth="1"/>
    <col min="11" max="11" width="12.7109375" style="1603" customWidth="1"/>
    <col min="12" max="12" width="12.140625" style="1" customWidth="1"/>
    <col min="13" max="13" width="10.85546875" style="1" customWidth="1"/>
    <col min="14" max="14" width="13.28515625" style="1" customWidth="1"/>
    <col min="15" max="16" width="10.85546875" style="1" customWidth="1"/>
    <col min="17" max="51" width="9.140625" style="1" customWidth="1"/>
    <col min="52" max="16384" width="3.7109375" style="1"/>
  </cols>
  <sheetData>
    <row r="1" spans="1:16" ht="16.5" customHeight="1">
      <c r="A1" s="74" t="s">
        <v>1860</v>
      </c>
      <c r="J1" s="23"/>
      <c r="K1" s="23"/>
      <c r="M1" s="23" t="s">
        <v>359</v>
      </c>
      <c r="N1" s="23"/>
      <c r="O1" s="23"/>
      <c r="P1" s="23"/>
    </row>
    <row r="2" spans="1:16" ht="12.75" customHeight="1">
      <c r="A2" s="759" t="str">
        <f>'3.1'!$A$2</f>
        <v>ПКГО - Комбинированная выработка КТЭЦ</v>
      </c>
      <c r="K2" s="763"/>
    </row>
    <row r="3" spans="1:16" ht="18.75">
      <c r="A3" s="1877" t="s">
        <v>1149</v>
      </c>
      <c r="B3" s="1914"/>
      <c r="C3" s="1914"/>
      <c r="D3" s="1914"/>
      <c r="E3" s="1914"/>
      <c r="F3" s="1914"/>
      <c r="G3" s="1914"/>
      <c r="H3" s="1914"/>
      <c r="I3" s="1914"/>
      <c r="J3" s="1914"/>
      <c r="K3" s="1632"/>
      <c r="L3" s="1632"/>
      <c r="M3" s="1632"/>
      <c r="N3" s="1632"/>
      <c r="O3" s="1632"/>
      <c r="P3" s="1632"/>
    </row>
    <row r="4" spans="1:16" ht="14.25" customHeight="1">
      <c r="A4" s="1" t="s">
        <v>1531</v>
      </c>
      <c r="J4" s="23"/>
      <c r="K4" s="23"/>
      <c r="M4" s="23" t="s">
        <v>360</v>
      </c>
      <c r="N4" s="23"/>
      <c r="O4" s="23"/>
      <c r="P4" s="23"/>
    </row>
    <row r="5" spans="1:16" s="3" customFormat="1" ht="76.5" customHeight="1">
      <c r="A5" s="913" t="s">
        <v>0</v>
      </c>
      <c r="B5" s="913" t="s">
        <v>1</v>
      </c>
      <c r="C5" s="944" t="s">
        <v>1534</v>
      </c>
      <c r="D5" s="944" t="s">
        <v>1130</v>
      </c>
      <c r="E5" s="944" t="s">
        <v>1520</v>
      </c>
      <c r="F5" s="913" t="s">
        <v>1695</v>
      </c>
      <c r="G5" s="1284" t="s">
        <v>1702</v>
      </c>
      <c r="H5" s="1576" t="s">
        <v>1828</v>
      </c>
      <c r="I5" s="1631" t="s">
        <v>1842</v>
      </c>
      <c r="J5" s="1631" t="s">
        <v>1861</v>
      </c>
      <c r="K5" s="1631" t="s">
        <v>1862</v>
      </c>
      <c r="L5" s="1631" t="s">
        <v>763</v>
      </c>
      <c r="M5" s="1631" t="s">
        <v>764</v>
      </c>
      <c r="N5" s="1631" t="s">
        <v>1863</v>
      </c>
      <c r="O5" s="1631" t="s">
        <v>763</v>
      </c>
      <c r="P5" s="1631" t="s">
        <v>764</v>
      </c>
    </row>
    <row r="6" spans="1:16" s="2" customFormat="1">
      <c r="A6" s="13">
        <v>1</v>
      </c>
      <c r="B6" s="13">
        <v>2</v>
      </c>
      <c r="C6" s="13">
        <v>3</v>
      </c>
      <c r="D6" s="13">
        <v>4</v>
      </c>
      <c r="E6" s="13">
        <v>3</v>
      </c>
      <c r="F6" s="13">
        <v>4</v>
      </c>
      <c r="G6" s="13">
        <v>5</v>
      </c>
      <c r="H6" s="13">
        <v>6</v>
      </c>
      <c r="I6" s="13">
        <v>7</v>
      </c>
      <c r="J6" s="13">
        <v>8</v>
      </c>
      <c r="K6" s="13">
        <v>9</v>
      </c>
      <c r="L6" s="13">
        <v>10</v>
      </c>
      <c r="M6" s="13">
        <v>11</v>
      </c>
      <c r="N6" s="1604">
        <v>13</v>
      </c>
      <c r="O6" s="13">
        <v>14</v>
      </c>
      <c r="P6" s="13">
        <v>15</v>
      </c>
    </row>
    <row r="7" spans="1:16" s="1041" customFormat="1" ht="30" customHeight="1">
      <c r="A7" s="1037" t="s">
        <v>361</v>
      </c>
      <c r="B7" s="1038" t="s">
        <v>362</v>
      </c>
      <c r="C7" s="1039">
        <f t="shared" ref="C7:E7" si="0">C8+SUM(C10:C15)+C20+SUM(C22:C25)+SUM(C56:C61)</f>
        <v>0</v>
      </c>
      <c r="D7" s="1039">
        <f t="shared" si="0"/>
        <v>130497.9369</v>
      </c>
      <c r="E7" s="1039">
        <f t="shared" si="0"/>
        <v>0</v>
      </c>
      <c r="F7" s="1039">
        <v>165949.99480000001</v>
      </c>
      <c r="G7" s="1039">
        <v>0</v>
      </c>
      <c r="H7" s="1039">
        <v>172268.962092</v>
      </c>
      <c r="I7" s="1039">
        <v>61951</v>
      </c>
      <c r="J7" s="1039">
        <v>182063.35392000002</v>
      </c>
      <c r="K7" s="1039">
        <v>201674.51932000002</v>
      </c>
      <c r="L7" s="1039">
        <v>97493.155182000002</v>
      </c>
      <c r="M7" s="1039">
        <v>104181.36413799999</v>
      </c>
      <c r="N7" s="1605">
        <v>213494.25306565239</v>
      </c>
      <c r="O7" s="1039">
        <v>103551.69335612271</v>
      </c>
      <c r="P7" s="1039">
        <v>109943.55970952967</v>
      </c>
    </row>
    <row r="8" spans="1:16" s="1046" customFormat="1" ht="15" customHeight="1">
      <c r="A8" s="1044"/>
      <c r="B8" s="1045" t="s">
        <v>363</v>
      </c>
      <c r="C8" s="258">
        <f>'4.6_сбыт_КТЭЦ'!C8</f>
        <v>0</v>
      </c>
      <c r="D8" s="258">
        <f>'4.6_сбыт_КТЭЦ'!D8+'4.6_косв.'!U8</f>
        <v>1084</v>
      </c>
      <c r="E8" s="258">
        <f>'4.6_сбыт_КТЭЦ'!E8</f>
        <v>0</v>
      </c>
      <c r="F8" s="258">
        <v>1436</v>
      </c>
      <c r="G8" s="258">
        <v>0</v>
      </c>
      <c r="H8" s="258">
        <v>2164</v>
      </c>
      <c r="I8" s="258">
        <v>1988</v>
      </c>
      <c r="J8" s="258">
        <v>1988</v>
      </c>
      <c r="K8" s="258">
        <v>2101.9521600000003</v>
      </c>
      <c r="L8" s="258">
        <v>735.68325600000003</v>
      </c>
      <c r="M8" s="258">
        <v>1366.2689040000002</v>
      </c>
      <c r="N8" s="258">
        <v>2203.7076640656001</v>
      </c>
      <c r="O8" s="258">
        <v>771.29768242295995</v>
      </c>
      <c r="P8" s="258">
        <v>1432.4099816426401</v>
      </c>
    </row>
    <row r="9" spans="1:16" s="4" customFormat="1" ht="15" customHeight="1">
      <c r="A9" s="17"/>
      <c r="B9" s="580" t="s">
        <v>1134</v>
      </c>
      <c r="C9" s="751">
        <f>'4.6_сбыт_КТЭЦ'!C9</f>
        <v>0</v>
      </c>
      <c r="D9" s="751">
        <f>'4.6_сбыт_КТЭЦ'!D9+'4.6_косв.'!U9</f>
        <v>0</v>
      </c>
      <c r="E9" s="751">
        <f>'4.6_сбыт_КТЭЦ'!E9</f>
        <v>0</v>
      </c>
      <c r="F9" s="751">
        <v>0</v>
      </c>
      <c r="G9" s="751">
        <v>0</v>
      </c>
      <c r="H9" s="751">
        <v>0</v>
      </c>
      <c r="I9" s="751">
        <v>0</v>
      </c>
      <c r="J9" s="751">
        <v>0</v>
      </c>
      <c r="K9" s="751">
        <v>0</v>
      </c>
      <c r="L9" s="751">
        <v>0</v>
      </c>
      <c r="M9" s="751">
        <v>0</v>
      </c>
      <c r="N9" s="751">
        <v>0</v>
      </c>
      <c r="O9" s="751">
        <v>0</v>
      </c>
      <c r="P9" s="751">
        <v>0</v>
      </c>
    </row>
    <row r="10" spans="1:16" s="1046" customFormat="1" ht="15" customHeight="1">
      <c r="A10" s="1044"/>
      <c r="B10" s="1045" t="s">
        <v>364</v>
      </c>
      <c r="C10" s="258">
        <f>'4.6_сбыт_КТЭЦ'!C10</f>
        <v>0</v>
      </c>
      <c r="D10" s="258">
        <f>'4.6_сбыт_КТЭЦ'!D10+'4.6_косв.'!U10</f>
        <v>0</v>
      </c>
      <c r="E10" s="258">
        <f>'4.6_сбыт_КТЭЦ'!E10</f>
        <v>0</v>
      </c>
      <c r="F10" s="258">
        <v>0</v>
      </c>
      <c r="G10" s="258">
        <v>0</v>
      </c>
      <c r="H10" s="258">
        <v>0</v>
      </c>
      <c r="I10" s="258">
        <v>0</v>
      </c>
      <c r="J10" s="258">
        <v>0</v>
      </c>
      <c r="K10" s="258">
        <v>0</v>
      </c>
      <c r="L10" s="258">
        <v>0</v>
      </c>
      <c r="M10" s="258">
        <v>0</v>
      </c>
      <c r="N10" s="258">
        <v>0</v>
      </c>
      <c r="O10" s="258">
        <v>0</v>
      </c>
      <c r="P10" s="258">
        <v>0</v>
      </c>
    </row>
    <row r="11" spans="1:16" s="1046" customFormat="1" ht="30">
      <c r="A11" s="1044"/>
      <c r="B11" s="1045" t="s">
        <v>365</v>
      </c>
      <c r="C11" s="258">
        <f>'4.6_сбыт_КТЭЦ'!C11</f>
        <v>0</v>
      </c>
      <c r="D11" s="258">
        <f>'4.6_сбыт_КТЭЦ'!D11+'4.6_косв.'!U11</f>
        <v>0</v>
      </c>
      <c r="E11" s="258">
        <f>'4.6_сбыт_КТЭЦ'!E11</f>
        <v>0</v>
      </c>
      <c r="F11" s="258">
        <v>0</v>
      </c>
      <c r="G11" s="258">
        <v>0</v>
      </c>
      <c r="H11" s="258">
        <v>0</v>
      </c>
      <c r="I11" s="258">
        <v>0</v>
      </c>
      <c r="J11" s="258">
        <v>0</v>
      </c>
      <c r="K11" s="258">
        <v>0</v>
      </c>
      <c r="L11" s="258">
        <v>0</v>
      </c>
      <c r="M11" s="258">
        <v>0</v>
      </c>
      <c r="N11" s="258">
        <v>0</v>
      </c>
      <c r="O11" s="258">
        <v>0</v>
      </c>
      <c r="P11" s="258">
        <v>0</v>
      </c>
    </row>
    <row r="12" spans="1:16" s="1046" customFormat="1" ht="15" customHeight="1">
      <c r="A12" s="1044"/>
      <c r="B12" s="1045" t="s">
        <v>366</v>
      </c>
      <c r="C12" s="258">
        <f>'4.6_сбыт_КТЭЦ'!C12</f>
        <v>0</v>
      </c>
      <c r="D12" s="258">
        <f>'4.6_сбыт_КТЭЦ'!D12+'4.6_косв.'!U12</f>
        <v>0</v>
      </c>
      <c r="E12" s="258">
        <f>'4.6_сбыт_КТЭЦ'!E12</f>
        <v>0</v>
      </c>
      <c r="F12" s="258">
        <v>0</v>
      </c>
      <c r="G12" s="258">
        <v>0</v>
      </c>
      <c r="H12" s="258">
        <v>0</v>
      </c>
      <c r="I12" s="258">
        <v>0</v>
      </c>
      <c r="J12" s="258">
        <v>0</v>
      </c>
      <c r="K12" s="258">
        <v>0</v>
      </c>
      <c r="L12" s="258">
        <v>0</v>
      </c>
      <c r="M12" s="258">
        <v>0</v>
      </c>
      <c r="N12" s="258">
        <v>0</v>
      </c>
      <c r="O12" s="258">
        <v>0</v>
      </c>
      <c r="P12" s="258">
        <v>0</v>
      </c>
    </row>
    <row r="13" spans="1:16" s="1046" customFormat="1" ht="15" customHeight="1">
      <c r="A13" s="1044"/>
      <c r="B13" s="1045" t="s">
        <v>367</v>
      </c>
      <c r="C13" s="258">
        <f>'4.6_сбыт_КТЭЦ'!C13</f>
        <v>0</v>
      </c>
      <c r="D13" s="258">
        <f>'4.6_сбыт_КТЭЦ'!D13+'4.6_косв.'!U13</f>
        <v>0</v>
      </c>
      <c r="E13" s="258">
        <f>'4.6_сбыт_КТЭЦ'!E13</f>
        <v>0</v>
      </c>
      <c r="F13" s="258">
        <v>0</v>
      </c>
      <c r="G13" s="258">
        <v>0</v>
      </c>
      <c r="H13" s="258">
        <v>0</v>
      </c>
      <c r="I13" s="258">
        <v>0</v>
      </c>
      <c r="J13" s="258">
        <v>0</v>
      </c>
      <c r="K13" s="258">
        <v>0</v>
      </c>
      <c r="L13" s="258">
        <v>0</v>
      </c>
      <c r="M13" s="258">
        <v>0</v>
      </c>
      <c r="N13" s="258">
        <v>0</v>
      </c>
      <c r="O13" s="258">
        <v>0</v>
      </c>
      <c r="P13" s="258">
        <v>0</v>
      </c>
    </row>
    <row r="14" spans="1:16" s="1046" customFormat="1" ht="30">
      <c r="A14" s="1044"/>
      <c r="B14" s="1045" t="s">
        <v>368</v>
      </c>
      <c r="C14" s="258">
        <f>'4.6_сбыт_КТЭЦ'!C14</f>
        <v>0</v>
      </c>
      <c r="D14" s="258">
        <f>'4.6_сбыт_КТЭЦ'!D14+'4.6_косв.'!U14</f>
        <v>959</v>
      </c>
      <c r="E14" s="258">
        <f>'4.6_сбыт_КТЭЦ'!E14</f>
        <v>0</v>
      </c>
      <c r="F14" s="258">
        <v>1229</v>
      </c>
      <c r="G14" s="258">
        <v>0</v>
      </c>
      <c r="H14" s="258">
        <v>1135</v>
      </c>
      <c r="I14" s="258">
        <v>0</v>
      </c>
      <c r="J14" s="258">
        <v>1556</v>
      </c>
      <c r="K14" s="258">
        <v>1894</v>
      </c>
      <c r="L14" s="258">
        <v>947</v>
      </c>
      <c r="M14" s="258">
        <v>947</v>
      </c>
      <c r="N14" s="258">
        <v>2282</v>
      </c>
      <c r="O14" s="258">
        <v>1123</v>
      </c>
      <c r="P14" s="258">
        <v>1159</v>
      </c>
    </row>
    <row r="15" spans="1:16" s="1046" customFormat="1" ht="15" customHeight="1">
      <c r="A15" s="1044"/>
      <c r="B15" s="1045" t="s">
        <v>1135</v>
      </c>
      <c r="C15" s="258">
        <f>C16+C18+C19</f>
        <v>0</v>
      </c>
      <c r="D15" s="258">
        <f t="shared" ref="D15" si="1">D16+D18+D19</f>
        <v>65794</v>
      </c>
      <c r="E15" s="258">
        <f>E16+E18+E19</f>
        <v>0</v>
      </c>
      <c r="F15" s="258">
        <v>85933</v>
      </c>
      <c r="G15" s="258">
        <v>0</v>
      </c>
      <c r="H15" s="258">
        <v>80396.788992000002</v>
      </c>
      <c r="I15" s="258">
        <v>0</v>
      </c>
      <c r="J15" s="258">
        <v>95942.353920000009</v>
      </c>
      <c r="K15" s="258">
        <v>106458.18987999999</v>
      </c>
      <c r="L15" s="258">
        <v>51165.414560000005</v>
      </c>
      <c r="M15" s="258">
        <v>55292.775319999993</v>
      </c>
      <c r="N15" s="258">
        <v>112705.02204000001</v>
      </c>
      <c r="O15" s="258">
        <v>54600.723400000003</v>
      </c>
      <c r="P15" s="258">
        <v>58105.298640000001</v>
      </c>
    </row>
    <row r="16" spans="1:16" s="341" customFormat="1" ht="15" customHeight="1">
      <c r="A16" s="339"/>
      <c r="B16" s="581" t="s">
        <v>1136</v>
      </c>
      <c r="C16" s="766">
        <f>'4.6_сбыт_КТЭЦ'!C16</f>
        <v>0</v>
      </c>
      <c r="D16" s="766">
        <f>'4.6_сбыт_КТЭЦ'!D16+'4.6_косв.'!U16</f>
        <v>63185</v>
      </c>
      <c r="E16" s="766">
        <f>'4.6_сбыт_КТЭЦ'!E16</f>
        <v>0</v>
      </c>
      <c r="F16" s="766">
        <v>83561</v>
      </c>
      <c r="G16" s="766">
        <v>0</v>
      </c>
      <c r="H16" s="766">
        <v>77426.788992000002</v>
      </c>
      <c r="I16" s="766">
        <v>0</v>
      </c>
      <c r="J16" s="766">
        <v>93232.353920000009</v>
      </c>
      <c r="K16" s="766">
        <v>104226.18987999999</v>
      </c>
      <c r="L16" s="766">
        <v>50049.414560000005</v>
      </c>
      <c r="M16" s="766">
        <v>54176.775319999993</v>
      </c>
      <c r="N16" s="766">
        <v>110361.02204000001</v>
      </c>
      <c r="O16" s="766">
        <v>53428.223400000003</v>
      </c>
      <c r="P16" s="766">
        <v>56932.798640000001</v>
      </c>
    </row>
    <row r="17" spans="1:16" s="341" customFormat="1" ht="15" customHeight="1">
      <c r="A17" s="339"/>
      <c r="B17" s="580" t="s">
        <v>1134</v>
      </c>
      <c r="C17" s="751">
        <f>'4.6_сбыт_КТЭЦ'!C17</f>
        <v>0</v>
      </c>
      <c r="D17" s="751">
        <f>'4.6_сбыт_КТЭЦ'!D17+'4.6_косв.'!U17</f>
        <v>0</v>
      </c>
      <c r="E17" s="751">
        <f>'4.6_сбыт_КТЭЦ'!E17</f>
        <v>0</v>
      </c>
      <c r="F17" s="751">
        <v>0</v>
      </c>
      <c r="G17" s="751">
        <v>0</v>
      </c>
      <c r="H17" s="751">
        <v>0</v>
      </c>
      <c r="I17" s="751">
        <v>0</v>
      </c>
      <c r="J17" s="751">
        <v>0</v>
      </c>
      <c r="K17" s="751">
        <v>0</v>
      </c>
      <c r="L17" s="752">
        <v>0</v>
      </c>
      <c r="M17" s="751">
        <v>0</v>
      </c>
      <c r="N17" s="751">
        <v>0</v>
      </c>
      <c r="O17" s="752">
        <v>0</v>
      </c>
      <c r="P17" s="751">
        <v>0</v>
      </c>
    </row>
    <row r="18" spans="1:16" s="341" customFormat="1" ht="15" customHeight="1">
      <c r="A18" s="339"/>
      <c r="B18" s="581" t="s">
        <v>1137</v>
      </c>
      <c r="C18" s="766">
        <f>'4.6_сбыт_КТЭЦ'!C18</f>
        <v>0</v>
      </c>
      <c r="D18" s="766">
        <f>'4.6_сбыт_КТЭЦ'!D18+'4.6_косв.'!U18</f>
        <v>1706</v>
      </c>
      <c r="E18" s="766">
        <f>'4.6_сбыт_КТЭЦ'!E18</f>
        <v>0</v>
      </c>
      <c r="F18" s="766">
        <v>1357</v>
      </c>
      <c r="G18" s="766">
        <v>0</v>
      </c>
      <c r="H18" s="766">
        <v>1890</v>
      </c>
      <c r="I18" s="766">
        <v>0</v>
      </c>
      <c r="J18" s="766">
        <v>1696</v>
      </c>
      <c r="K18" s="766">
        <v>1434</v>
      </c>
      <c r="L18" s="766">
        <v>717</v>
      </c>
      <c r="M18" s="766">
        <v>717</v>
      </c>
      <c r="N18" s="766">
        <v>1499</v>
      </c>
      <c r="O18" s="766">
        <v>750</v>
      </c>
      <c r="P18" s="766">
        <v>750</v>
      </c>
    </row>
    <row r="19" spans="1:16" s="341" customFormat="1" ht="15" customHeight="1">
      <c r="A19" s="339"/>
      <c r="B19" s="581" t="s">
        <v>1138</v>
      </c>
      <c r="C19" s="766">
        <f>'4.6_сбыт_КТЭЦ'!C19</f>
        <v>0</v>
      </c>
      <c r="D19" s="766">
        <f>'4.6_сбыт_КТЭЦ'!D19+'4.6_косв.'!U19</f>
        <v>903</v>
      </c>
      <c r="E19" s="766">
        <f>'4.6_сбыт_КТЭЦ'!E19</f>
        <v>0</v>
      </c>
      <c r="F19" s="766">
        <v>1015</v>
      </c>
      <c r="G19" s="766">
        <v>0</v>
      </c>
      <c r="H19" s="766">
        <v>1080</v>
      </c>
      <c r="I19" s="766">
        <v>0</v>
      </c>
      <c r="J19" s="766">
        <v>1014</v>
      </c>
      <c r="K19" s="766">
        <v>798</v>
      </c>
      <c r="L19" s="981">
        <v>399</v>
      </c>
      <c r="M19" s="766">
        <v>399</v>
      </c>
      <c r="N19" s="766">
        <v>845</v>
      </c>
      <c r="O19" s="981">
        <v>422.5</v>
      </c>
      <c r="P19" s="766">
        <v>422.5</v>
      </c>
    </row>
    <row r="20" spans="1:16" s="1046" customFormat="1">
      <c r="A20" s="1044"/>
      <c r="B20" s="1045" t="s">
        <v>369</v>
      </c>
      <c r="C20" s="258">
        <f>'4.6_сбыт_КТЭЦ'!C20</f>
        <v>0</v>
      </c>
      <c r="D20" s="258">
        <f>'4.6_сбыт_КТЭЦ'!D20+'4.6_косв.'!U20</f>
        <v>16889</v>
      </c>
      <c r="E20" s="258">
        <f>'4.6_сбыт_КТЭЦ'!E20</f>
        <v>0</v>
      </c>
      <c r="F20" s="258">
        <v>20705</v>
      </c>
      <c r="G20" s="258">
        <v>0</v>
      </c>
      <c r="H20" s="258">
        <v>19895</v>
      </c>
      <c r="I20" s="258">
        <v>0</v>
      </c>
      <c r="J20" s="258">
        <v>21182</v>
      </c>
      <c r="K20" s="258">
        <v>26577</v>
      </c>
      <c r="L20" s="258">
        <v>14924</v>
      </c>
      <c r="M20" s="258">
        <v>11653</v>
      </c>
      <c r="N20" s="258">
        <v>28374</v>
      </c>
      <c r="O20" s="258">
        <v>15816</v>
      </c>
      <c r="P20" s="258">
        <v>12558</v>
      </c>
    </row>
    <row r="21" spans="1:16" s="341" customFormat="1">
      <c r="A21" s="339"/>
      <c r="B21" s="580" t="s">
        <v>1134</v>
      </c>
      <c r="C21" s="751">
        <f>'4.6_сбыт_КТЭЦ'!C21</f>
        <v>0</v>
      </c>
      <c r="D21" s="751">
        <f>'4.6_сбыт_КТЭЦ'!D21+'4.6_косв.'!U21</f>
        <v>0</v>
      </c>
      <c r="E21" s="751">
        <f>'4.6_сбыт_КТЭЦ'!E21</f>
        <v>0</v>
      </c>
      <c r="F21" s="751">
        <v>0</v>
      </c>
      <c r="G21" s="751">
        <v>0</v>
      </c>
      <c r="H21" s="751">
        <v>0</v>
      </c>
      <c r="I21" s="751">
        <v>0</v>
      </c>
      <c r="J21" s="751">
        <v>0</v>
      </c>
      <c r="K21" s="751">
        <v>0</v>
      </c>
      <c r="L21" s="752">
        <v>0</v>
      </c>
      <c r="M21" s="751">
        <v>0</v>
      </c>
      <c r="N21" s="751">
        <v>0</v>
      </c>
      <c r="O21" s="752">
        <v>0</v>
      </c>
      <c r="P21" s="751">
        <v>0</v>
      </c>
    </row>
    <row r="22" spans="1:16" s="1046" customFormat="1" ht="30" customHeight="1">
      <c r="A22" s="1044"/>
      <c r="B22" s="1045" t="s">
        <v>370</v>
      </c>
      <c r="C22" s="258">
        <f>'4.6_сбыт_КТЭЦ'!C22</f>
        <v>0</v>
      </c>
      <c r="D22" s="258">
        <f>'4.6_сбыт_КТЭЦ'!D22+'4.6_косв.'!U22</f>
        <v>1515</v>
      </c>
      <c r="E22" s="258">
        <f>'4.6_сбыт_КТЭЦ'!E22</f>
        <v>0</v>
      </c>
      <c r="F22" s="258">
        <v>673</v>
      </c>
      <c r="G22" s="258">
        <v>0</v>
      </c>
      <c r="H22" s="258">
        <v>937</v>
      </c>
      <c r="I22" s="258">
        <v>1059</v>
      </c>
      <c r="J22" s="258">
        <v>1096</v>
      </c>
      <c r="K22" s="258">
        <v>1153</v>
      </c>
      <c r="L22" s="258">
        <v>403.54999999999995</v>
      </c>
      <c r="M22" s="258">
        <v>749.45</v>
      </c>
      <c r="N22" s="258">
        <v>1258.1530174619998</v>
      </c>
      <c r="O22" s="258">
        <v>440.3535561116999</v>
      </c>
      <c r="P22" s="258">
        <v>817.79946135029991</v>
      </c>
    </row>
    <row r="23" spans="1:16" s="1046" customFormat="1" ht="60">
      <c r="A23" s="1044"/>
      <c r="B23" s="1045" t="s">
        <v>1139</v>
      </c>
      <c r="C23" s="258">
        <f>'4.6_сбыт_КТЭЦ'!C23</f>
        <v>0</v>
      </c>
      <c r="D23" s="258">
        <f>'4.6_сбыт_КТЭЦ'!D23+'4.6_косв.'!U23</f>
        <v>0</v>
      </c>
      <c r="E23" s="258">
        <f>'4.6_сбыт_КТЭЦ'!E23</f>
        <v>0</v>
      </c>
      <c r="F23" s="258">
        <v>0</v>
      </c>
      <c r="G23" s="258">
        <v>0</v>
      </c>
      <c r="H23" s="258">
        <v>0</v>
      </c>
      <c r="I23" s="258">
        <v>0</v>
      </c>
      <c r="J23" s="258">
        <v>0</v>
      </c>
      <c r="K23" s="258">
        <v>0</v>
      </c>
      <c r="L23" s="258">
        <v>0</v>
      </c>
      <c r="M23" s="258">
        <v>0</v>
      </c>
      <c r="N23" s="258">
        <v>0</v>
      </c>
      <c r="O23" s="258">
        <v>0</v>
      </c>
      <c r="P23" s="258">
        <v>0</v>
      </c>
    </row>
    <row r="24" spans="1:16" s="1046" customFormat="1" ht="75">
      <c r="A24" s="1044"/>
      <c r="B24" s="1045" t="s">
        <v>372</v>
      </c>
      <c r="C24" s="258">
        <f>'4.6_сбыт_КТЭЦ'!C24</f>
        <v>0</v>
      </c>
      <c r="D24" s="258">
        <f>'4.6_сбыт_КТЭЦ'!D24+'4.6_косв.'!U24</f>
        <v>6892</v>
      </c>
      <c r="E24" s="258">
        <f>'4.6_сбыт_КТЭЦ'!E24</f>
        <v>0</v>
      </c>
      <c r="F24" s="258">
        <v>7089</v>
      </c>
      <c r="G24" s="258">
        <v>0</v>
      </c>
      <c r="H24" s="258">
        <v>7368</v>
      </c>
      <c r="I24" s="258">
        <v>15263</v>
      </c>
      <c r="J24" s="258">
        <v>15263</v>
      </c>
      <c r="K24" s="258">
        <v>16137.875160000001</v>
      </c>
      <c r="L24" s="258">
        <v>5648.2563060000002</v>
      </c>
      <c r="M24" s="258">
        <v>10489.618854</v>
      </c>
      <c r="N24" s="258">
        <v>16919.109696495598</v>
      </c>
      <c r="O24" s="258">
        <v>5921.6883937734592</v>
      </c>
      <c r="P24" s="258">
        <v>10997.421302722138</v>
      </c>
    </row>
    <row r="25" spans="1:16" s="1046" customFormat="1" ht="105">
      <c r="A25" s="1044"/>
      <c r="B25" s="1045" t="s">
        <v>373</v>
      </c>
      <c r="C25" s="258">
        <f>C27+C28+C29+C55</f>
        <v>0</v>
      </c>
      <c r="D25" s="258">
        <f t="shared" ref="D25" si="2">D27+D28+D29+D55</f>
        <v>35372.936899999993</v>
      </c>
      <c r="E25" s="258">
        <f>E27+E28+E29</f>
        <v>0</v>
      </c>
      <c r="F25" s="258">
        <v>46659.994800000015</v>
      </c>
      <c r="G25" s="258">
        <v>0</v>
      </c>
      <c r="H25" s="258">
        <v>58391.173099999993</v>
      </c>
      <c r="I25" s="258">
        <v>42874</v>
      </c>
      <c r="J25" s="258">
        <v>42874</v>
      </c>
      <c r="K25" s="258">
        <v>45331.537680000001</v>
      </c>
      <c r="L25" s="258">
        <v>22665.768840000001</v>
      </c>
      <c r="M25" s="258">
        <v>22665.768840000001</v>
      </c>
      <c r="N25" s="258">
        <v>47526.037419088796</v>
      </c>
      <c r="O25" s="258">
        <v>23763.018709544398</v>
      </c>
      <c r="P25" s="258">
        <v>23763.018709544398</v>
      </c>
    </row>
    <row r="26" spans="1:16" s="4" customFormat="1">
      <c r="A26" s="17"/>
      <c r="B26" s="51" t="s">
        <v>70</v>
      </c>
      <c r="C26" s="766"/>
      <c r="D26" s="766"/>
      <c r="E26" s="766"/>
      <c r="F26" s="766"/>
      <c r="G26" s="766"/>
      <c r="H26" s="766"/>
      <c r="I26" s="766">
        <v>0</v>
      </c>
      <c r="J26" s="766"/>
      <c r="K26" s="766"/>
      <c r="L26" s="241"/>
      <c r="M26" s="241"/>
      <c r="N26" s="766">
        <v>0</v>
      </c>
      <c r="O26" s="241"/>
      <c r="P26" s="241"/>
    </row>
    <row r="27" spans="1:16" s="4" customFormat="1">
      <c r="A27" s="17"/>
      <c r="B27" s="581" t="s">
        <v>1275</v>
      </c>
      <c r="C27" s="766">
        <f>'4.6_сбыт_КТЭЦ'!C27</f>
        <v>0</v>
      </c>
      <c r="D27" s="766">
        <f>'4.6_сбыт_КТЭЦ'!D27+'4.6_косв.'!U27</f>
        <v>273</v>
      </c>
      <c r="E27" s="766">
        <f>'4.6_сбыт_КТЭЦ'!E27</f>
        <v>0</v>
      </c>
      <c r="F27" s="766">
        <v>244</v>
      </c>
      <c r="G27" s="766">
        <v>0</v>
      </c>
      <c r="H27" s="766">
        <v>225</v>
      </c>
      <c r="I27" s="766">
        <v>0</v>
      </c>
      <c r="J27" s="766">
        <v>0</v>
      </c>
      <c r="K27" s="766">
        <v>0</v>
      </c>
      <c r="L27" s="766">
        <v>0</v>
      </c>
      <c r="M27" s="766">
        <v>0</v>
      </c>
      <c r="N27" s="766">
        <v>0</v>
      </c>
      <c r="O27" s="766">
        <v>0</v>
      </c>
      <c r="P27" s="766">
        <v>0</v>
      </c>
    </row>
    <row r="28" spans="1:16" s="4" customFormat="1">
      <c r="A28" s="17"/>
      <c r="B28" s="581" t="s">
        <v>1276</v>
      </c>
      <c r="C28" s="766">
        <f>'4.6_сбыт_КТЭЦ'!C28</f>
        <v>0</v>
      </c>
      <c r="D28" s="766">
        <f>'4.6_сбыт_КТЭЦ'!D28+'4.6_косв.'!U28</f>
        <v>171</v>
      </c>
      <c r="E28" s="766">
        <f>'4.6_сбыт_КТЭЦ'!E28</f>
        <v>0</v>
      </c>
      <c r="F28" s="766">
        <v>324</v>
      </c>
      <c r="G28" s="766">
        <v>0</v>
      </c>
      <c r="H28" s="766">
        <v>210</v>
      </c>
      <c r="I28" s="766">
        <v>164</v>
      </c>
      <c r="J28" s="766">
        <v>164</v>
      </c>
      <c r="K28" s="766">
        <v>173.40048000000002</v>
      </c>
      <c r="L28" s="766">
        <v>86.700240000000008</v>
      </c>
      <c r="M28" s="766">
        <v>86.700240000000008</v>
      </c>
      <c r="N28" s="766">
        <v>181.79479723679998</v>
      </c>
      <c r="O28" s="766">
        <v>90.89739861839999</v>
      </c>
      <c r="P28" s="766">
        <v>90.89739861839999</v>
      </c>
    </row>
    <row r="29" spans="1:16" s="4" customFormat="1">
      <c r="A29" s="17"/>
      <c r="B29" s="581" t="s">
        <v>1559</v>
      </c>
      <c r="C29" s="766">
        <f>C30+C31</f>
        <v>0</v>
      </c>
      <c r="D29" s="981">
        <f>'4.6_сбыт_КТЭЦ'!D29+'4.6_косв.'!U29</f>
        <v>34928.936899999993</v>
      </c>
      <c r="E29" s="766">
        <f t="shared" ref="E29" si="3">E30+E31</f>
        <v>0</v>
      </c>
      <c r="F29" s="766">
        <v>46091.994800000015</v>
      </c>
      <c r="G29" s="766">
        <v>0</v>
      </c>
      <c r="H29" s="766">
        <v>57956.173099999993</v>
      </c>
      <c r="I29" s="766">
        <v>42710</v>
      </c>
      <c r="J29" s="766">
        <v>42710</v>
      </c>
      <c r="K29" s="766">
        <v>45158.137200000005</v>
      </c>
      <c r="L29" s="766">
        <v>22579.068600000002</v>
      </c>
      <c r="M29" s="766">
        <v>22579.068600000002</v>
      </c>
      <c r="N29" s="766">
        <v>47344.242621851998</v>
      </c>
      <c r="O29" s="766">
        <v>23672.121310925999</v>
      </c>
      <c r="P29" s="766">
        <v>23672.121310925999</v>
      </c>
    </row>
    <row r="30" spans="1:16" s="4" customFormat="1" hidden="1" outlineLevel="1">
      <c r="A30" s="737" t="s">
        <v>89</v>
      </c>
      <c r="B30" s="738" t="s">
        <v>1244</v>
      </c>
      <c r="C30" s="746">
        <f>'4.6_сбыт_КТЭЦ'!C30</f>
        <v>0</v>
      </c>
      <c r="D30" s="746">
        <f>'4.6_сбыт_КТЭЦ'!D30+'4.6_косв.'!U30</f>
        <v>1034</v>
      </c>
      <c r="E30" s="746">
        <f>'4.6_сбыт_КТЭЦ'!E30</f>
        <v>0</v>
      </c>
      <c r="F30" s="746">
        <v>1076</v>
      </c>
      <c r="G30" s="746">
        <v>0</v>
      </c>
      <c r="H30" s="746">
        <v>1099</v>
      </c>
      <c r="I30" s="746">
        <v>0</v>
      </c>
      <c r="J30" s="746">
        <v>0</v>
      </c>
      <c r="K30" s="746">
        <v>0</v>
      </c>
      <c r="L30" s="981">
        <v>0</v>
      </c>
      <c r="M30" s="766">
        <v>0</v>
      </c>
      <c r="N30" s="746">
        <v>0</v>
      </c>
      <c r="O30" s="981">
        <v>0</v>
      </c>
      <c r="P30" s="766">
        <v>0</v>
      </c>
    </row>
    <row r="31" spans="1:16" s="341" customFormat="1" hidden="1" outlineLevel="1">
      <c r="A31" s="760" t="s">
        <v>91</v>
      </c>
      <c r="B31" s="761" t="s">
        <v>1245</v>
      </c>
      <c r="C31" s="746">
        <f t="shared" ref="C31:D31" si="4">SUM(C32:C43)+C45</f>
        <v>0</v>
      </c>
      <c r="D31" s="746">
        <f t="shared" si="4"/>
        <v>33894.936900000001</v>
      </c>
      <c r="E31" s="746">
        <f>SUM(E32:E45)</f>
        <v>0</v>
      </c>
      <c r="F31" s="746">
        <v>45015.994800000015</v>
      </c>
      <c r="G31" s="746">
        <v>0</v>
      </c>
      <c r="H31" s="746">
        <v>56857.173099999993</v>
      </c>
      <c r="I31" s="746">
        <v>2627.3660999999997</v>
      </c>
      <c r="J31" s="746">
        <v>2627.3660999999997</v>
      </c>
      <c r="K31" s="746">
        <v>0</v>
      </c>
      <c r="L31" s="746">
        <v>0</v>
      </c>
      <c r="M31" s="746">
        <v>0</v>
      </c>
      <c r="N31" s="746">
        <v>0</v>
      </c>
      <c r="O31" s="746">
        <v>0</v>
      </c>
      <c r="P31" s="746">
        <v>0</v>
      </c>
    </row>
    <row r="32" spans="1:16" s="4" customFormat="1" ht="25.5" hidden="1" outlineLevel="1">
      <c r="A32" s="739" t="s">
        <v>1044</v>
      </c>
      <c r="B32" s="740" t="s">
        <v>1247</v>
      </c>
      <c r="C32" s="979">
        <f>'4.6_сбыт_КТЭЦ'!C32</f>
        <v>0</v>
      </c>
      <c r="D32" s="979">
        <f>'4.6_сбыт_КТЭЦ'!D32+'4.6_косв.'!U32</f>
        <v>1172.9709</v>
      </c>
      <c r="E32" s="979">
        <f>'4.6_сбыт_КТЭЦ'!E32</f>
        <v>0</v>
      </c>
      <c r="F32" s="979">
        <v>2730.6720000000005</v>
      </c>
      <c r="G32" s="979">
        <v>0</v>
      </c>
      <c r="H32" s="979">
        <v>2465.4448000000002</v>
      </c>
      <c r="I32" s="979">
        <v>0</v>
      </c>
      <c r="J32" s="979">
        <v>0</v>
      </c>
      <c r="K32" s="979">
        <v>0</v>
      </c>
      <c r="L32" s="979">
        <v>0</v>
      </c>
      <c r="M32" s="979">
        <v>0</v>
      </c>
      <c r="N32" s="979">
        <v>0</v>
      </c>
      <c r="O32" s="979">
        <v>0</v>
      </c>
      <c r="P32" s="979">
        <v>0</v>
      </c>
    </row>
    <row r="33" spans="1:16" s="4" customFormat="1" ht="38.25" hidden="1" outlineLevel="1">
      <c r="A33" s="739" t="s">
        <v>1043</v>
      </c>
      <c r="B33" s="740" t="s">
        <v>1249</v>
      </c>
      <c r="C33" s="979">
        <f>'4.6_сбыт_КТЭЦ'!C33</f>
        <v>0</v>
      </c>
      <c r="D33" s="979">
        <f>'4.6_сбыт_КТЭЦ'!D33+'4.6_косв.'!U33</f>
        <v>17.424899999999997</v>
      </c>
      <c r="E33" s="979">
        <f>'4.6_сбыт_КТЭЦ'!E33</f>
        <v>0</v>
      </c>
      <c r="F33" s="979">
        <v>1.6254000000000002</v>
      </c>
      <c r="G33" s="979">
        <v>0</v>
      </c>
      <c r="H33" s="979">
        <v>0</v>
      </c>
      <c r="I33" s="979">
        <v>0</v>
      </c>
      <c r="J33" s="979">
        <v>0</v>
      </c>
      <c r="K33" s="979">
        <v>0</v>
      </c>
      <c r="L33" s="979">
        <v>0</v>
      </c>
      <c r="M33" s="979">
        <v>0</v>
      </c>
      <c r="N33" s="979">
        <v>0</v>
      </c>
      <c r="O33" s="979">
        <v>0</v>
      </c>
      <c r="P33" s="979">
        <v>0</v>
      </c>
    </row>
    <row r="34" spans="1:16" s="4" customFormat="1" hidden="1" outlineLevel="1">
      <c r="A34" s="741" t="s">
        <v>1540</v>
      </c>
      <c r="B34" s="740" t="s">
        <v>1250</v>
      </c>
      <c r="C34" s="979">
        <f>'4.6_сбыт_КТЭЦ'!C34</f>
        <v>0</v>
      </c>
      <c r="D34" s="979">
        <f>'4.6_сбыт_КТЭЦ'!D34+'4.6_косв.'!U34</f>
        <v>295.91759999999999</v>
      </c>
      <c r="E34" s="979">
        <f>'4.6_сбыт_КТЭЦ'!E34</f>
        <v>0</v>
      </c>
      <c r="F34" s="979">
        <v>697.29660000000013</v>
      </c>
      <c r="G34" s="979">
        <v>0</v>
      </c>
      <c r="H34" s="979">
        <v>854.74480000000005</v>
      </c>
      <c r="I34" s="979">
        <v>0</v>
      </c>
      <c r="J34" s="979">
        <v>0</v>
      </c>
      <c r="K34" s="979">
        <v>0</v>
      </c>
      <c r="L34" s="979">
        <v>0</v>
      </c>
      <c r="M34" s="979">
        <v>0</v>
      </c>
      <c r="N34" s="979">
        <v>0</v>
      </c>
      <c r="O34" s="979">
        <v>0</v>
      </c>
      <c r="P34" s="979">
        <v>0</v>
      </c>
    </row>
    <row r="35" spans="1:16" s="4" customFormat="1" ht="15" hidden="1" customHeight="1" outlineLevel="1">
      <c r="A35" s="739" t="s">
        <v>1541</v>
      </c>
      <c r="B35" s="740" t="s">
        <v>1251</v>
      </c>
      <c r="C35" s="979">
        <f>'4.6_сбыт_КТЭЦ'!C35</f>
        <v>0</v>
      </c>
      <c r="D35" s="979">
        <f>'4.6_сбыт_КТЭЦ'!D35+'4.6_косв.'!U35</f>
        <v>736.12559999999996</v>
      </c>
      <c r="E35" s="979">
        <f>'4.6_сбыт_КТЭЦ'!E35</f>
        <v>0</v>
      </c>
      <c r="F35" s="979">
        <v>2185.6212</v>
      </c>
      <c r="G35" s="979">
        <v>0</v>
      </c>
      <c r="H35" s="979">
        <v>1653.652</v>
      </c>
      <c r="I35" s="979">
        <v>0</v>
      </c>
      <c r="J35" s="979">
        <v>0</v>
      </c>
      <c r="K35" s="979">
        <v>0</v>
      </c>
      <c r="L35" s="979">
        <v>0</v>
      </c>
      <c r="M35" s="979">
        <v>0</v>
      </c>
      <c r="N35" s="979">
        <v>0</v>
      </c>
      <c r="O35" s="979">
        <v>0</v>
      </c>
      <c r="P35" s="979">
        <v>0</v>
      </c>
    </row>
    <row r="36" spans="1:16" s="4" customFormat="1" ht="25.5" hidden="1" outlineLevel="1">
      <c r="A36" s="739" t="s">
        <v>1542</v>
      </c>
      <c r="B36" s="740" t="s">
        <v>1252</v>
      </c>
      <c r="C36" s="979">
        <f>'4.6_сбыт_КТЭЦ'!C36</f>
        <v>0</v>
      </c>
      <c r="D36" s="979">
        <f>'4.6_сбыт_КТЭЦ'!D36+'4.6_косв.'!U36</f>
        <v>3602.9802</v>
      </c>
      <c r="E36" s="979">
        <f>'4.6_сбыт_КТЭЦ'!E36</f>
        <v>0</v>
      </c>
      <c r="F36" s="979">
        <v>6126.6744000000008</v>
      </c>
      <c r="G36" s="979">
        <v>0</v>
      </c>
      <c r="H36" s="979">
        <v>9238.4382999999998</v>
      </c>
      <c r="I36" s="979">
        <v>0</v>
      </c>
      <c r="J36" s="979">
        <v>0</v>
      </c>
      <c r="K36" s="979">
        <v>0</v>
      </c>
      <c r="L36" s="979">
        <v>0</v>
      </c>
      <c r="M36" s="979">
        <v>0</v>
      </c>
      <c r="N36" s="979">
        <v>0</v>
      </c>
      <c r="O36" s="979">
        <v>0</v>
      </c>
      <c r="P36" s="979">
        <v>0</v>
      </c>
    </row>
    <row r="37" spans="1:16" s="4" customFormat="1" hidden="1" outlineLevel="1">
      <c r="A37" s="739" t="s">
        <v>1543</v>
      </c>
      <c r="B37" s="740" t="s">
        <v>1253</v>
      </c>
      <c r="C37" s="979">
        <f>'4.6_сбыт_КТЭЦ'!C37</f>
        <v>0</v>
      </c>
      <c r="D37" s="979">
        <f>'4.6_сбыт_КТЭЦ'!D37+'4.6_косв.'!U37</f>
        <v>3151.7669999999998</v>
      </c>
      <c r="E37" s="979">
        <f>'4.6_сбыт_КТЭЦ'!E37</f>
        <v>0</v>
      </c>
      <c r="F37" s="979">
        <v>5395.7862000000005</v>
      </c>
      <c r="G37" s="979">
        <v>0</v>
      </c>
      <c r="H37" s="979">
        <v>10399.753000000001</v>
      </c>
      <c r="I37" s="979">
        <v>0</v>
      </c>
      <c r="J37" s="979">
        <v>0</v>
      </c>
      <c r="K37" s="979">
        <v>0</v>
      </c>
      <c r="L37" s="979">
        <v>0</v>
      </c>
      <c r="M37" s="979">
        <v>0</v>
      </c>
      <c r="N37" s="979">
        <v>0</v>
      </c>
      <c r="O37" s="979">
        <v>0</v>
      </c>
      <c r="P37" s="979">
        <v>0</v>
      </c>
    </row>
    <row r="38" spans="1:16" s="4" customFormat="1" hidden="1" outlineLevel="1">
      <c r="A38" s="739" t="s">
        <v>1544</v>
      </c>
      <c r="B38" s="742" t="s">
        <v>1254</v>
      </c>
      <c r="C38" s="979">
        <f>'4.6_сбыт_КТЭЦ'!C38</f>
        <v>0</v>
      </c>
      <c r="D38" s="979">
        <f>'4.6_сбыт_КТЭЦ'!D38+'4.6_косв.'!U38</f>
        <v>463.44119999999998</v>
      </c>
      <c r="E38" s="979">
        <f>'4.6_сбыт_КТЭЦ'!E38</f>
        <v>0</v>
      </c>
      <c r="F38" s="979">
        <v>1343.664</v>
      </c>
      <c r="G38" s="979">
        <v>0</v>
      </c>
      <c r="H38" s="979">
        <v>1291.7814000000001</v>
      </c>
      <c r="I38" s="979">
        <v>2627.3660999999997</v>
      </c>
      <c r="J38" s="979">
        <v>2627.3660999999997</v>
      </c>
      <c r="K38" s="979">
        <v>0</v>
      </c>
      <c r="L38" s="979">
        <v>0</v>
      </c>
      <c r="M38" s="979">
        <v>0</v>
      </c>
      <c r="N38" s="979">
        <v>0</v>
      </c>
      <c r="O38" s="979">
        <v>0</v>
      </c>
      <c r="P38" s="979">
        <v>0</v>
      </c>
    </row>
    <row r="39" spans="1:16" s="4" customFormat="1" hidden="1" outlineLevel="1">
      <c r="A39" s="739" t="s">
        <v>1545</v>
      </c>
      <c r="B39" s="740" t="s">
        <v>1255</v>
      </c>
      <c r="C39" s="979">
        <f>'4.6_сбыт_КТЭЦ'!C39</f>
        <v>0</v>
      </c>
      <c r="D39" s="979">
        <f>'4.6_сбыт_КТЭЦ'!D39+'4.6_косв.'!U39</f>
        <v>79.787700000000001</v>
      </c>
      <c r="E39" s="979">
        <f>'4.6_сбыт_КТЭЦ'!E39</f>
        <v>0</v>
      </c>
      <c r="F39" s="979">
        <v>197.75700000000001</v>
      </c>
      <c r="G39" s="979">
        <v>0</v>
      </c>
      <c r="H39" s="979">
        <v>273.81900000000002</v>
      </c>
      <c r="I39" s="979">
        <v>0</v>
      </c>
      <c r="J39" s="979">
        <v>0</v>
      </c>
      <c r="K39" s="979">
        <v>0</v>
      </c>
      <c r="L39" s="979">
        <v>0</v>
      </c>
      <c r="M39" s="979">
        <v>0</v>
      </c>
      <c r="N39" s="979">
        <v>0</v>
      </c>
      <c r="O39" s="979">
        <v>0</v>
      </c>
      <c r="P39" s="979">
        <v>0</v>
      </c>
    </row>
    <row r="40" spans="1:16" s="4" customFormat="1" ht="25.5" hidden="1" outlineLevel="1">
      <c r="A40" s="739" t="s">
        <v>1546</v>
      </c>
      <c r="B40" s="742" t="s">
        <v>1256</v>
      </c>
      <c r="C40" s="979">
        <f>'4.6_сбыт_КТЭЦ'!C40</f>
        <v>0</v>
      </c>
      <c r="D40" s="979">
        <f>'4.6_сбыт_КТЭЦ'!D40+'4.6_косв.'!U40</f>
        <v>227.7465</v>
      </c>
      <c r="E40" s="979">
        <f>'4.6_сбыт_КТЭЦ'!E40</f>
        <v>0</v>
      </c>
      <c r="F40" s="979">
        <v>759.60360000000003</v>
      </c>
      <c r="G40" s="979">
        <v>0</v>
      </c>
      <c r="H40" s="979">
        <v>244.82640000000004</v>
      </c>
      <c r="I40" s="979">
        <v>0</v>
      </c>
      <c r="J40" s="979">
        <v>0</v>
      </c>
      <c r="K40" s="979">
        <v>0</v>
      </c>
      <c r="L40" s="979">
        <v>0</v>
      </c>
      <c r="M40" s="979">
        <v>0</v>
      </c>
      <c r="N40" s="979">
        <v>0</v>
      </c>
      <c r="O40" s="979">
        <v>0</v>
      </c>
      <c r="P40" s="979">
        <v>0</v>
      </c>
    </row>
    <row r="41" spans="1:16" s="4" customFormat="1" hidden="1" outlineLevel="1">
      <c r="A41" s="739" t="s">
        <v>1547</v>
      </c>
      <c r="B41" s="742" t="s">
        <v>1257</v>
      </c>
      <c r="C41" s="979">
        <f>'4.6_сбыт_КТЭЦ'!C41</f>
        <v>0</v>
      </c>
      <c r="D41" s="979">
        <f>'4.6_сбыт_КТЭЦ'!D41+'4.6_косв.'!U41</f>
        <v>22569.5291</v>
      </c>
      <c r="E41" s="979">
        <f>'4.6_сбыт_КТЭЦ'!E41</f>
        <v>0</v>
      </c>
      <c r="F41" s="979">
        <v>20985.539400000005</v>
      </c>
      <c r="G41" s="979">
        <v>0</v>
      </c>
      <c r="H41" s="979">
        <v>25305.1708</v>
      </c>
      <c r="I41" s="979">
        <v>0</v>
      </c>
      <c r="J41" s="979">
        <v>0</v>
      </c>
      <c r="K41" s="979">
        <v>0</v>
      </c>
      <c r="L41" s="979">
        <v>0</v>
      </c>
      <c r="M41" s="979">
        <v>0</v>
      </c>
      <c r="N41" s="979">
        <v>0</v>
      </c>
      <c r="O41" s="979">
        <v>0</v>
      </c>
      <c r="P41" s="979">
        <v>0</v>
      </c>
    </row>
    <row r="42" spans="1:16" s="4" customFormat="1" hidden="1" outlineLevel="1">
      <c r="A42" s="741" t="s">
        <v>1548</v>
      </c>
      <c r="B42" s="742" t="s">
        <v>1556</v>
      </c>
      <c r="C42" s="979">
        <f>'4.6_сбыт_КТЭЦ'!C42</f>
        <v>0</v>
      </c>
      <c r="D42" s="979">
        <f>'4.6_сбыт_КТЭЦ'!D42+'4.6_косв.'!U42</f>
        <v>103.0209</v>
      </c>
      <c r="E42" s="979">
        <f>'4.6_сбыт_КТЭЦ'!E42</f>
        <v>0</v>
      </c>
      <c r="F42" s="979">
        <v>573.76620000000003</v>
      </c>
      <c r="G42" s="979">
        <v>0</v>
      </c>
      <c r="H42" s="979">
        <v>286.16770000000002</v>
      </c>
      <c r="I42" s="979">
        <v>0</v>
      </c>
      <c r="J42" s="979">
        <v>0</v>
      </c>
      <c r="K42" s="979">
        <v>0</v>
      </c>
      <c r="L42" s="979">
        <v>0</v>
      </c>
      <c r="M42" s="979">
        <v>0</v>
      </c>
      <c r="N42" s="979">
        <v>0</v>
      </c>
      <c r="O42" s="979">
        <v>0</v>
      </c>
      <c r="P42" s="979">
        <v>0</v>
      </c>
    </row>
    <row r="43" spans="1:16" s="4" customFormat="1" ht="25.5" hidden="1" outlineLevel="1">
      <c r="A43" s="741" t="s">
        <v>1549</v>
      </c>
      <c r="B43" s="742" t="s">
        <v>1258</v>
      </c>
      <c r="C43" s="979">
        <f>'4.6_сбыт_КТЭЦ'!C43</f>
        <v>0</v>
      </c>
      <c r="D43" s="979">
        <f>'4.6_сбыт_КТЭЦ'!D43+'4.6_косв.'!U43</f>
        <v>514.18739999999991</v>
      </c>
      <c r="E43" s="979">
        <f>'4.6_сбыт_КТЭЦ'!E43</f>
        <v>0</v>
      </c>
      <c r="F43" s="979">
        <v>847.37520000000018</v>
      </c>
      <c r="G43" s="979">
        <v>0</v>
      </c>
      <c r="H43" s="979">
        <v>1077.5583000000001</v>
      </c>
      <c r="I43" s="979">
        <v>0</v>
      </c>
      <c r="J43" s="979">
        <v>0</v>
      </c>
      <c r="K43" s="979">
        <v>0</v>
      </c>
      <c r="L43" s="979">
        <v>0</v>
      </c>
      <c r="M43" s="979">
        <v>0</v>
      </c>
      <c r="N43" s="979">
        <v>0</v>
      </c>
      <c r="O43" s="979">
        <v>0</v>
      </c>
      <c r="P43" s="979">
        <v>0</v>
      </c>
    </row>
    <row r="44" spans="1:16" s="4" customFormat="1" hidden="1" outlineLevel="1">
      <c r="A44" s="764" t="s">
        <v>1555</v>
      </c>
      <c r="B44" s="742" t="s">
        <v>1890</v>
      </c>
      <c r="C44" s="979">
        <f>'4.6_сбыт_КТЭЦ'!C44</f>
        <v>0</v>
      </c>
      <c r="D44" s="979">
        <f>'4.6_сбыт_КТЭЦ'!D44+'4.6_косв.'!U44</f>
        <v>515</v>
      </c>
      <c r="E44" s="979">
        <f>'4.6_сбыт_КТЭЦ'!E44</f>
        <v>0</v>
      </c>
      <c r="F44" s="979">
        <v>0</v>
      </c>
      <c r="G44" s="979">
        <v>0</v>
      </c>
      <c r="H44" s="979">
        <v>0</v>
      </c>
      <c r="I44" s="979">
        <v>0</v>
      </c>
      <c r="J44" s="979">
        <v>0</v>
      </c>
      <c r="K44" s="979">
        <v>0</v>
      </c>
      <c r="L44" s="980">
        <v>0</v>
      </c>
      <c r="M44" s="980">
        <v>0</v>
      </c>
      <c r="N44" s="980">
        <v>0</v>
      </c>
      <c r="O44" s="980">
        <v>0</v>
      </c>
      <c r="P44" s="980">
        <v>0</v>
      </c>
    </row>
    <row r="45" spans="1:16" s="341" customFormat="1" hidden="1" outlineLevel="1">
      <c r="A45" s="764" t="s">
        <v>1889</v>
      </c>
      <c r="B45" s="765" t="s">
        <v>1259</v>
      </c>
      <c r="C45" s="746">
        <f>SUM(C46:C55)</f>
        <v>0</v>
      </c>
      <c r="D45" s="746">
        <f t="shared" ref="D45:E45" si="5">SUM(D46:D55)</f>
        <v>960.03790000000004</v>
      </c>
      <c r="E45" s="746">
        <f t="shared" si="5"/>
        <v>0</v>
      </c>
      <c r="F45" s="746">
        <v>3170.6136000000006</v>
      </c>
      <c r="G45" s="746">
        <v>0</v>
      </c>
      <c r="H45" s="746">
        <v>3765.816600000001</v>
      </c>
      <c r="I45" s="746">
        <v>0</v>
      </c>
      <c r="J45" s="746">
        <v>0</v>
      </c>
      <c r="K45" s="746">
        <v>0</v>
      </c>
      <c r="L45" s="746">
        <v>0</v>
      </c>
      <c r="M45" s="746">
        <v>0</v>
      </c>
      <c r="N45" s="746">
        <v>0</v>
      </c>
      <c r="O45" s="746">
        <v>0</v>
      </c>
      <c r="P45" s="746">
        <v>0</v>
      </c>
    </row>
    <row r="46" spans="1:16" s="4" customFormat="1" hidden="1" outlineLevel="1">
      <c r="A46" s="744"/>
      <c r="B46" s="745" t="s">
        <v>1260</v>
      </c>
      <c r="C46" s="980">
        <f>'4.6_сбыт_КТЭЦ'!C46</f>
        <v>0</v>
      </c>
      <c r="D46" s="980">
        <f>'4.6_сбыт_КТЭЦ'!D46+'4.6_косв.'!U46</f>
        <v>144.29039999999998</v>
      </c>
      <c r="E46" s="980">
        <f>'4.6_сбыт_КТЭЦ'!E46</f>
        <v>0</v>
      </c>
      <c r="F46" s="980">
        <v>289.86300000000006</v>
      </c>
      <c r="G46" s="980">
        <v>0</v>
      </c>
      <c r="H46" s="980">
        <v>196.50540000000001</v>
      </c>
      <c r="I46" s="980">
        <v>0</v>
      </c>
      <c r="J46" s="980">
        <v>0</v>
      </c>
      <c r="K46" s="980">
        <v>0</v>
      </c>
      <c r="L46" s="980">
        <v>0</v>
      </c>
      <c r="M46" s="980">
        <v>0</v>
      </c>
      <c r="N46" s="980">
        <v>0</v>
      </c>
      <c r="O46" s="980">
        <v>0</v>
      </c>
      <c r="P46" s="980">
        <v>0</v>
      </c>
    </row>
    <row r="47" spans="1:16" s="4" customFormat="1" hidden="1" outlineLevel="1">
      <c r="A47" s="744"/>
      <c r="B47" s="743" t="s">
        <v>1261</v>
      </c>
      <c r="C47" s="980">
        <f>'4.6_сбыт_КТЭЦ'!C47</f>
        <v>0</v>
      </c>
      <c r="D47" s="980">
        <f>'4.6_сбыт_КТЭЦ'!D47+'4.6_косв.'!U47</f>
        <v>193.81379999999999</v>
      </c>
      <c r="E47" s="980">
        <f>'4.6_сбыт_КТЭЦ'!E47</f>
        <v>0</v>
      </c>
      <c r="F47" s="980">
        <v>490.87080000000003</v>
      </c>
      <c r="G47" s="980">
        <v>0</v>
      </c>
      <c r="H47" s="980">
        <v>412.33920000000001</v>
      </c>
      <c r="I47" s="980">
        <v>0</v>
      </c>
      <c r="J47" s="980">
        <v>0</v>
      </c>
      <c r="K47" s="980">
        <v>0</v>
      </c>
      <c r="L47" s="980">
        <v>0</v>
      </c>
      <c r="M47" s="980">
        <v>0</v>
      </c>
      <c r="N47" s="980">
        <v>0</v>
      </c>
      <c r="O47" s="980">
        <v>0</v>
      </c>
      <c r="P47" s="980">
        <v>0</v>
      </c>
    </row>
    <row r="48" spans="1:16" s="4" customFormat="1" hidden="1" outlineLevel="1">
      <c r="A48" s="744"/>
      <c r="B48" s="743" t="s">
        <v>1262</v>
      </c>
      <c r="C48" s="980">
        <f>'4.6_сбыт_КТЭЦ'!C48</f>
        <v>0</v>
      </c>
      <c r="D48" s="980">
        <f>'4.6_сбыт_КТЭЦ'!D48+'4.6_косв.'!U48</f>
        <v>247.31130000000002</v>
      </c>
      <c r="E48" s="980">
        <f>'4.6_сбыт_КТЭЦ'!E48</f>
        <v>0</v>
      </c>
      <c r="F48" s="980">
        <v>597.06360000000006</v>
      </c>
      <c r="G48" s="980">
        <v>0</v>
      </c>
      <c r="H48" s="980">
        <v>550.85940000000005</v>
      </c>
      <c r="I48" s="980">
        <v>0</v>
      </c>
      <c r="J48" s="980">
        <v>0</v>
      </c>
      <c r="K48" s="980">
        <v>0</v>
      </c>
      <c r="L48" s="980">
        <v>0</v>
      </c>
      <c r="M48" s="980">
        <v>0</v>
      </c>
      <c r="N48" s="980">
        <v>0</v>
      </c>
      <c r="O48" s="980">
        <v>0</v>
      </c>
      <c r="P48" s="980">
        <v>0</v>
      </c>
    </row>
    <row r="49" spans="1:16" s="4" customFormat="1" hidden="1" outlineLevel="1">
      <c r="A49" s="744"/>
      <c r="B49" s="743" t="s">
        <v>1263</v>
      </c>
      <c r="C49" s="980">
        <f>'4.6_сбыт_КТЭЦ'!C49</f>
        <v>0</v>
      </c>
      <c r="D49" s="980">
        <f>'4.6_сбыт_КТЭЦ'!D49+'4.6_косв.'!U49</f>
        <v>78.564899999999994</v>
      </c>
      <c r="E49" s="980">
        <f>'4.6_сбыт_КТЭЦ'!E49</f>
        <v>0</v>
      </c>
      <c r="F49" s="980">
        <v>498.45600000000007</v>
      </c>
      <c r="G49" s="980">
        <v>0</v>
      </c>
      <c r="H49" s="980">
        <v>143.88920000000002</v>
      </c>
      <c r="I49" s="980">
        <v>0</v>
      </c>
      <c r="J49" s="980">
        <v>0</v>
      </c>
      <c r="K49" s="980">
        <v>0</v>
      </c>
      <c r="L49" s="980">
        <v>0</v>
      </c>
      <c r="M49" s="980">
        <v>0</v>
      </c>
      <c r="N49" s="980">
        <v>0</v>
      </c>
      <c r="O49" s="980">
        <v>0</v>
      </c>
      <c r="P49" s="980">
        <v>0</v>
      </c>
    </row>
    <row r="50" spans="1:16" s="4" customFormat="1" ht="38.25" hidden="1" outlineLevel="1">
      <c r="A50" s="744"/>
      <c r="B50" s="743" t="s">
        <v>1891</v>
      </c>
      <c r="C50" s="980">
        <f>'4.6_сбыт_КТЭЦ'!C50</f>
        <v>0</v>
      </c>
      <c r="D50" s="980">
        <f>'4.6_сбыт_КТЭЦ'!D50+'4.6_косв.'!U50</f>
        <v>296.0575</v>
      </c>
      <c r="E50" s="980">
        <f>'4.6_сбыт_КТЭЦ'!E50</f>
        <v>0</v>
      </c>
      <c r="F50" s="980">
        <v>1294.3602000000003</v>
      </c>
      <c r="G50" s="980">
        <v>0</v>
      </c>
      <c r="H50" s="980">
        <v>1231.6486000000002</v>
      </c>
      <c r="I50" s="980">
        <v>0</v>
      </c>
      <c r="J50" s="980">
        <v>0</v>
      </c>
      <c r="K50" s="980">
        <v>0</v>
      </c>
      <c r="L50" s="980">
        <v>0</v>
      </c>
      <c r="M50" s="980">
        <v>0</v>
      </c>
      <c r="N50" s="980">
        <v>0</v>
      </c>
      <c r="O50" s="980">
        <v>0</v>
      </c>
      <c r="P50" s="980">
        <v>0</v>
      </c>
    </row>
    <row r="51" spans="1:16" s="4" customFormat="1" ht="25.5" hidden="1" outlineLevel="1">
      <c r="A51" s="744"/>
      <c r="B51" s="743" t="s">
        <v>1264</v>
      </c>
      <c r="C51" s="980">
        <f>'4.6_сбыт_КТЭЦ'!C51</f>
        <v>0</v>
      </c>
      <c r="D51" s="980">
        <f>'4.6_сбыт_КТЭЦ'!D51+'4.6_косв.'!U51</f>
        <v>0</v>
      </c>
      <c r="E51" s="980">
        <f>'4.6_сбыт_КТЭЦ'!E51</f>
        <v>0</v>
      </c>
      <c r="F51" s="980">
        <v>0</v>
      </c>
      <c r="G51" s="980">
        <v>0</v>
      </c>
      <c r="H51" s="980">
        <v>0</v>
      </c>
      <c r="I51" s="980">
        <v>0</v>
      </c>
      <c r="J51" s="980">
        <v>0</v>
      </c>
      <c r="K51" s="980">
        <v>0</v>
      </c>
      <c r="L51" s="980">
        <v>0</v>
      </c>
      <c r="M51" s="980">
        <v>0</v>
      </c>
      <c r="N51" s="980">
        <v>0</v>
      </c>
      <c r="O51" s="980">
        <v>0</v>
      </c>
      <c r="P51" s="980">
        <v>0</v>
      </c>
    </row>
    <row r="52" spans="1:16" s="4" customFormat="1" hidden="1" outlineLevel="1">
      <c r="A52" s="744"/>
      <c r="B52" s="1391" t="s">
        <v>1883</v>
      </c>
      <c r="C52" s="980">
        <f>'4.6_сбыт_КТЭЦ'!C52</f>
        <v>0</v>
      </c>
      <c r="D52" s="980">
        <f>'4.6_сбыт_КТЭЦ'!D52+'4.6_косв.'!U52</f>
        <v>0</v>
      </c>
      <c r="E52" s="980">
        <f>'4.6_сбыт_КТЭЦ'!E52</f>
        <v>0</v>
      </c>
      <c r="F52" s="980">
        <v>0</v>
      </c>
      <c r="G52" s="980">
        <v>0</v>
      </c>
      <c r="H52" s="980">
        <v>0</v>
      </c>
      <c r="I52" s="980">
        <v>0</v>
      </c>
      <c r="J52" s="980">
        <v>0</v>
      </c>
      <c r="K52" s="980">
        <v>0</v>
      </c>
      <c r="L52" s="980">
        <v>0</v>
      </c>
      <c r="M52" s="980">
        <v>0</v>
      </c>
      <c r="N52" s="980">
        <v>0</v>
      </c>
      <c r="O52" s="980">
        <v>0</v>
      </c>
      <c r="P52" s="980">
        <v>0</v>
      </c>
    </row>
    <row r="53" spans="1:16" s="4" customFormat="1" hidden="1" outlineLevel="1">
      <c r="A53" s="744"/>
      <c r="B53" s="743" t="s">
        <v>1884</v>
      </c>
      <c r="C53" s="743"/>
      <c r="D53" s="743"/>
      <c r="E53" s="743"/>
      <c r="F53" s="743"/>
      <c r="G53" s="743"/>
      <c r="H53" s="980">
        <v>1230.5748000000001</v>
      </c>
      <c r="I53" s="743">
        <v>0</v>
      </c>
      <c r="J53" s="743">
        <v>0</v>
      </c>
      <c r="K53" s="743">
        <v>0</v>
      </c>
      <c r="L53" s="980">
        <v>0</v>
      </c>
      <c r="M53" s="980">
        <v>0</v>
      </c>
      <c r="N53" s="743">
        <v>0</v>
      </c>
      <c r="O53" s="980">
        <v>0</v>
      </c>
      <c r="P53" s="980">
        <v>0</v>
      </c>
    </row>
    <row r="54" spans="1:16" s="4" customFormat="1" ht="25.5" hidden="1" outlineLevel="1">
      <c r="A54" s="17"/>
      <c r="B54" s="743" t="s">
        <v>1885</v>
      </c>
      <c r="C54" s="241"/>
      <c r="D54" s="241"/>
      <c r="E54" s="241"/>
      <c r="F54" s="241"/>
      <c r="G54" s="241"/>
      <c r="H54" s="980">
        <v>0</v>
      </c>
      <c r="I54" s="241">
        <v>0</v>
      </c>
      <c r="J54" s="241">
        <v>0</v>
      </c>
      <c r="K54" s="241">
        <v>0</v>
      </c>
      <c r="L54" s="980">
        <v>0</v>
      </c>
      <c r="M54" s="980">
        <v>0</v>
      </c>
      <c r="N54" s="241">
        <v>0</v>
      </c>
      <c r="O54" s="980">
        <v>0</v>
      </c>
      <c r="P54" s="980">
        <v>0</v>
      </c>
    </row>
    <row r="55" spans="1:16" s="341" customFormat="1" ht="25.5" hidden="1" outlineLevel="1">
      <c r="A55" s="339"/>
      <c r="B55" s="743" t="s">
        <v>1886</v>
      </c>
      <c r="C55" s="980">
        <f>'4.6_сбыт_КТЭЦ'!C55</f>
        <v>0</v>
      </c>
      <c r="D55" s="980">
        <f>'4.6_сбыт_КТЭЦ'!D55+'4.6_косв.'!U55</f>
        <v>0</v>
      </c>
      <c r="E55" s="980">
        <f>'4.6_сбыт_КТЭЦ'!E55</f>
        <v>0</v>
      </c>
      <c r="F55" s="980">
        <v>0</v>
      </c>
      <c r="G55" s="980">
        <v>0</v>
      </c>
      <c r="H55" s="980">
        <v>0</v>
      </c>
      <c r="I55" s="980">
        <v>0</v>
      </c>
      <c r="J55" s="980">
        <v>0</v>
      </c>
      <c r="K55" s="980">
        <v>0</v>
      </c>
      <c r="L55" s="980">
        <v>0</v>
      </c>
      <c r="M55" s="980">
        <v>0</v>
      </c>
      <c r="N55" s="980">
        <v>0</v>
      </c>
      <c r="O55" s="980">
        <v>0</v>
      </c>
      <c r="P55" s="980">
        <v>0</v>
      </c>
    </row>
    <row r="56" spans="1:16" s="1046" customFormat="1" ht="90" collapsed="1">
      <c r="A56" s="1044"/>
      <c r="B56" s="1045" t="s">
        <v>374</v>
      </c>
      <c r="C56" s="258">
        <f>'4.6_сбыт_КТЭЦ'!C56</f>
        <v>0</v>
      </c>
      <c r="D56" s="258">
        <f>'4.6_сбыт_КТЭЦ'!D56+'4.6_косв.'!U56</f>
        <v>39</v>
      </c>
      <c r="E56" s="258">
        <f>'4.6_сбыт_КТЭЦ'!E56</f>
        <v>0</v>
      </c>
      <c r="F56" s="258">
        <v>0</v>
      </c>
      <c r="G56" s="258">
        <v>0</v>
      </c>
      <c r="H56" s="258">
        <v>0</v>
      </c>
      <c r="I56" s="258">
        <v>0</v>
      </c>
      <c r="J56" s="258">
        <v>0</v>
      </c>
      <c r="K56" s="258">
        <v>0</v>
      </c>
      <c r="L56" s="258">
        <v>0</v>
      </c>
      <c r="M56" s="258">
        <v>0</v>
      </c>
      <c r="N56" s="258">
        <v>0</v>
      </c>
      <c r="O56" s="258">
        <v>0</v>
      </c>
      <c r="P56" s="258">
        <v>0</v>
      </c>
    </row>
    <row r="57" spans="1:16" s="1046" customFormat="1" ht="30">
      <c r="A57" s="1044"/>
      <c r="B57" s="1045" t="s">
        <v>375</v>
      </c>
      <c r="C57" s="258">
        <f>'4.6_сбыт_КТЭЦ'!C57</f>
        <v>0</v>
      </c>
      <c r="D57" s="258">
        <f>'4.6_сбыт_КТЭЦ'!D57+'4.6_косв.'!U57</f>
        <v>743</v>
      </c>
      <c r="E57" s="258">
        <f>'4.6_сбыт_КТЭЦ'!E57</f>
        <v>0</v>
      </c>
      <c r="F57" s="258">
        <v>557</v>
      </c>
      <c r="G57" s="258">
        <v>0</v>
      </c>
      <c r="H57" s="258">
        <v>543</v>
      </c>
      <c r="I57" s="258">
        <v>0</v>
      </c>
      <c r="J57" s="258">
        <v>856</v>
      </c>
      <c r="K57" s="258">
        <v>619</v>
      </c>
      <c r="L57" s="258">
        <v>309.5</v>
      </c>
      <c r="M57" s="258">
        <v>309.5</v>
      </c>
      <c r="N57" s="258">
        <v>656</v>
      </c>
      <c r="O57" s="258">
        <v>328</v>
      </c>
      <c r="P57" s="258">
        <v>328</v>
      </c>
    </row>
    <row r="58" spans="1:16" s="1046" customFormat="1" ht="15" customHeight="1">
      <c r="A58" s="1044"/>
      <c r="B58" s="1045" t="s">
        <v>376</v>
      </c>
      <c r="C58" s="258">
        <f>'4.6_сбыт_КТЭЦ'!C58</f>
        <v>0</v>
      </c>
      <c r="D58" s="258">
        <f>'4.6_сбыт_КТЭЦ'!D58+'4.6_косв.'!U58</f>
        <v>530</v>
      </c>
      <c r="E58" s="258">
        <f>'4.6_сбыт_КТЭЦ'!E58</f>
        <v>0</v>
      </c>
      <c r="F58" s="258">
        <v>795</v>
      </c>
      <c r="G58" s="258">
        <v>0</v>
      </c>
      <c r="H58" s="258">
        <v>637</v>
      </c>
      <c r="I58" s="258">
        <v>594</v>
      </c>
      <c r="J58" s="258">
        <v>594</v>
      </c>
      <c r="K58" s="258">
        <v>628.04808000000003</v>
      </c>
      <c r="L58" s="258">
        <v>314.02404000000001</v>
      </c>
      <c r="M58" s="258">
        <v>314.02404000000001</v>
      </c>
      <c r="N58" s="258">
        <v>658.45188755279992</v>
      </c>
      <c r="O58" s="258">
        <v>329.22594377639996</v>
      </c>
      <c r="P58" s="258">
        <v>329.22594377639996</v>
      </c>
    </row>
    <row r="59" spans="1:16" s="1046" customFormat="1" ht="15" customHeight="1">
      <c r="A59" s="1044"/>
      <c r="B59" s="1045" t="s">
        <v>377</v>
      </c>
      <c r="C59" s="258">
        <f>'4.6_сбыт_КТЭЦ'!C59</f>
        <v>0</v>
      </c>
      <c r="D59" s="258">
        <f>'4.6_сбыт_КТЭЦ'!D59+'4.6_косв.'!U59</f>
        <v>151</v>
      </c>
      <c r="E59" s="258">
        <f>'4.6_сбыт_КТЭЦ'!E59</f>
        <v>0</v>
      </c>
      <c r="F59" s="258">
        <v>168</v>
      </c>
      <c r="G59" s="258">
        <v>0</v>
      </c>
      <c r="H59" s="258">
        <v>245</v>
      </c>
      <c r="I59" s="258">
        <v>173</v>
      </c>
      <c r="J59" s="258">
        <v>173</v>
      </c>
      <c r="K59" s="258">
        <v>182.91636</v>
      </c>
      <c r="L59" s="258">
        <v>91.458179999999999</v>
      </c>
      <c r="M59" s="258">
        <v>91.458179999999999</v>
      </c>
      <c r="N59" s="258">
        <v>191.77134098759996</v>
      </c>
      <c r="O59" s="258">
        <v>95.885670493799978</v>
      </c>
      <c r="P59" s="258">
        <v>95.885670493799978</v>
      </c>
    </row>
    <row r="60" spans="1:16" s="1046" customFormat="1" ht="45" customHeight="1">
      <c r="A60" s="1044"/>
      <c r="B60" s="1045" t="s">
        <v>378</v>
      </c>
      <c r="C60" s="258">
        <f>'4.6_сбыт_КТЭЦ'!C60</f>
        <v>0</v>
      </c>
      <c r="D60" s="258">
        <f>'4.6_сбыт_КТЭЦ'!D60+'4.6_косв.'!U60</f>
        <v>230</v>
      </c>
      <c r="E60" s="258">
        <f>'4.6_сбыт_КТЭЦ'!E60</f>
        <v>0</v>
      </c>
      <c r="F60" s="258">
        <v>224</v>
      </c>
      <c r="G60" s="258">
        <v>0</v>
      </c>
      <c r="H60" s="258">
        <v>151</v>
      </c>
      <c r="I60" s="258">
        <v>0</v>
      </c>
      <c r="J60" s="258">
        <v>184</v>
      </c>
      <c r="K60" s="258">
        <v>207</v>
      </c>
      <c r="L60" s="258">
        <v>103.5</v>
      </c>
      <c r="M60" s="258">
        <v>103.5</v>
      </c>
      <c r="N60" s="258">
        <v>219</v>
      </c>
      <c r="O60" s="258">
        <v>109.5</v>
      </c>
      <c r="P60" s="258">
        <v>109.5</v>
      </c>
    </row>
    <row r="61" spans="1:16" s="1046" customFormat="1" ht="30" customHeight="1">
      <c r="A61" s="1044"/>
      <c r="B61" s="1045" t="s">
        <v>379</v>
      </c>
      <c r="C61" s="258">
        <f>SUM(C62:C66)</f>
        <v>0</v>
      </c>
      <c r="D61" s="258">
        <f t="shared" ref="D61" si="6">SUM(D62:D66)</f>
        <v>299</v>
      </c>
      <c r="E61" s="258">
        <f>SUM(E62:E66)</f>
        <v>0</v>
      </c>
      <c r="F61" s="258">
        <v>481</v>
      </c>
      <c r="G61" s="258">
        <v>0</v>
      </c>
      <c r="H61" s="258">
        <v>406</v>
      </c>
      <c r="I61" s="258">
        <v>0</v>
      </c>
      <c r="J61" s="258">
        <v>355</v>
      </c>
      <c r="K61" s="258">
        <v>384</v>
      </c>
      <c r="L61" s="258">
        <v>185</v>
      </c>
      <c r="M61" s="258">
        <v>199</v>
      </c>
      <c r="N61" s="258">
        <v>501</v>
      </c>
      <c r="O61" s="258">
        <v>253</v>
      </c>
      <c r="P61" s="258">
        <v>248</v>
      </c>
    </row>
    <row r="62" spans="1:16" s="4" customFormat="1" ht="15" customHeight="1">
      <c r="A62" s="17"/>
      <c r="B62" s="51" t="s">
        <v>380</v>
      </c>
      <c r="C62" s="241">
        <f>'4.6_сбыт_КТЭЦ'!C62</f>
        <v>0</v>
      </c>
      <c r="D62" s="241">
        <f>'4.6_сбыт_КТЭЦ'!D62+'4.6_косв.'!U62</f>
        <v>288</v>
      </c>
      <c r="E62" s="241">
        <f>'4.6_сбыт_КТЭЦ'!E62</f>
        <v>0</v>
      </c>
      <c r="F62" s="241">
        <v>470</v>
      </c>
      <c r="G62" s="241">
        <v>0</v>
      </c>
      <c r="H62" s="241">
        <v>397</v>
      </c>
      <c r="I62" s="241">
        <v>0</v>
      </c>
      <c r="J62" s="241">
        <v>347</v>
      </c>
      <c r="K62" s="241">
        <v>376</v>
      </c>
      <c r="L62" s="241">
        <v>181</v>
      </c>
      <c r="M62" s="241">
        <v>195</v>
      </c>
      <c r="N62" s="241">
        <v>493</v>
      </c>
      <c r="O62" s="241">
        <v>249</v>
      </c>
      <c r="P62" s="241">
        <v>244</v>
      </c>
    </row>
    <row r="63" spans="1:16" s="4" customFormat="1" ht="15" customHeight="1">
      <c r="A63" s="17"/>
      <c r="B63" s="51" t="s">
        <v>381</v>
      </c>
      <c r="C63" s="241">
        <f>'4.6_сбыт_КТЭЦ'!C63</f>
        <v>0</v>
      </c>
      <c r="D63" s="241">
        <f>'4.6_сбыт_КТЭЦ'!D63+'4.6_косв.'!U63</f>
        <v>11</v>
      </c>
      <c r="E63" s="241">
        <f>'4.6_сбыт_КТЭЦ'!E63</f>
        <v>0</v>
      </c>
      <c r="F63" s="241">
        <v>11</v>
      </c>
      <c r="G63" s="241">
        <v>0</v>
      </c>
      <c r="H63" s="241">
        <v>9</v>
      </c>
      <c r="I63" s="241">
        <v>0</v>
      </c>
      <c r="J63" s="241">
        <v>8</v>
      </c>
      <c r="K63" s="241">
        <v>8</v>
      </c>
      <c r="L63" s="308">
        <v>4</v>
      </c>
      <c r="M63" s="308">
        <v>4</v>
      </c>
      <c r="N63" s="241">
        <v>8</v>
      </c>
      <c r="O63" s="308">
        <v>4</v>
      </c>
      <c r="P63" s="308">
        <v>4</v>
      </c>
    </row>
    <row r="64" spans="1:16" s="4" customFormat="1" ht="15" customHeight="1">
      <c r="A64" s="17"/>
      <c r="B64" s="51" t="s">
        <v>382</v>
      </c>
      <c r="C64" s="241">
        <f>'4.6_сбыт_КТЭЦ'!C64</f>
        <v>0</v>
      </c>
      <c r="D64" s="241">
        <f>'4.6_сбыт_КТЭЦ'!D64+'4.6_косв.'!U64</f>
        <v>0</v>
      </c>
      <c r="E64" s="241">
        <f>'4.6_сбыт_КТЭЦ'!E64</f>
        <v>0</v>
      </c>
      <c r="F64" s="241">
        <v>0</v>
      </c>
      <c r="G64" s="241">
        <v>0</v>
      </c>
      <c r="H64" s="241">
        <v>0</v>
      </c>
      <c r="I64" s="241">
        <v>0</v>
      </c>
      <c r="J64" s="241">
        <v>0</v>
      </c>
      <c r="K64" s="241">
        <v>0</v>
      </c>
      <c r="L64" s="241">
        <v>0</v>
      </c>
      <c r="M64" s="241">
        <v>0</v>
      </c>
      <c r="N64" s="241">
        <v>0</v>
      </c>
      <c r="O64" s="241">
        <v>0</v>
      </c>
      <c r="P64" s="241">
        <v>0</v>
      </c>
    </row>
    <row r="65" spans="1:16" s="4" customFormat="1" ht="15" customHeight="1">
      <c r="A65" s="17"/>
      <c r="B65" s="51" t="s">
        <v>383</v>
      </c>
      <c r="C65" s="241">
        <f>'4.6_сбыт_КТЭЦ'!C65</f>
        <v>0</v>
      </c>
      <c r="D65" s="241">
        <f>'4.6_сбыт_КТЭЦ'!D65+'4.6_косв.'!U65</f>
        <v>0</v>
      </c>
      <c r="E65" s="241">
        <f>'4.6_сбыт_КТЭЦ'!E65</f>
        <v>0</v>
      </c>
      <c r="F65" s="241">
        <v>0</v>
      </c>
      <c r="G65" s="241">
        <v>0</v>
      </c>
      <c r="H65" s="241">
        <v>0</v>
      </c>
      <c r="I65" s="241">
        <v>0</v>
      </c>
      <c r="J65" s="241">
        <v>0</v>
      </c>
      <c r="K65" s="241">
        <v>0</v>
      </c>
      <c r="L65" s="241">
        <v>0</v>
      </c>
      <c r="M65" s="241">
        <v>0</v>
      </c>
      <c r="N65" s="241">
        <v>0</v>
      </c>
      <c r="O65" s="241">
        <v>0</v>
      </c>
      <c r="P65" s="241">
        <v>0</v>
      </c>
    </row>
    <row r="66" spans="1:16" s="4" customFormat="1" ht="15" customHeight="1">
      <c r="A66" s="17"/>
      <c r="B66" s="51" t="s">
        <v>384</v>
      </c>
      <c r="C66" s="241">
        <f>'4.6_сбыт_КТЭЦ'!C66</f>
        <v>0</v>
      </c>
      <c r="D66" s="241">
        <f>'4.6_сбыт_КТЭЦ'!D66+'4.6_косв.'!U66</f>
        <v>0</v>
      </c>
      <c r="E66" s="241">
        <f>'4.6_сбыт_КТЭЦ'!E66</f>
        <v>0</v>
      </c>
      <c r="F66" s="241">
        <v>0</v>
      </c>
      <c r="G66" s="241">
        <v>0</v>
      </c>
      <c r="H66" s="241">
        <v>0</v>
      </c>
      <c r="I66" s="241">
        <v>0</v>
      </c>
      <c r="J66" s="241">
        <v>0</v>
      </c>
      <c r="K66" s="241">
        <v>0</v>
      </c>
      <c r="L66" s="241">
        <v>0</v>
      </c>
      <c r="M66" s="241">
        <v>0</v>
      </c>
      <c r="N66" s="241">
        <v>0</v>
      </c>
      <c r="O66" s="241">
        <v>0</v>
      </c>
      <c r="P66" s="241">
        <v>0</v>
      </c>
    </row>
    <row r="67" spans="1:16" s="1034" customFormat="1" ht="15" customHeight="1">
      <c r="A67" s="1030" t="s">
        <v>385</v>
      </c>
      <c r="B67" s="1031" t="s">
        <v>386</v>
      </c>
      <c r="C67" s="1032">
        <f>SUM(C68:C71)</f>
        <v>0</v>
      </c>
      <c r="D67" s="1032">
        <f t="shared" ref="D67" si="7">SUM(D68:D71)</f>
        <v>710856</v>
      </c>
      <c r="E67" s="1032">
        <f>SUM(E68:E71)</f>
        <v>0</v>
      </c>
      <c r="F67" s="1032">
        <v>995140.9</v>
      </c>
      <c r="G67" s="1032">
        <v>91218</v>
      </c>
      <c r="H67" s="1032">
        <v>1064012.6440000001</v>
      </c>
      <c r="I67" s="1032">
        <v>53158.396944683991</v>
      </c>
      <c r="J67" s="1032">
        <v>53158.396944683991</v>
      </c>
      <c r="K67" s="1032">
        <v>51937.713360000002</v>
      </c>
      <c r="L67" s="1032">
        <v>704.3566800000001</v>
      </c>
      <c r="M67" s="1032">
        <v>51233.356679999997</v>
      </c>
      <c r="N67" s="1032">
        <v>1486.2513328775999</v>
      </c>
      <c r="O67" s="1032">
        <v>743.12566643879995</v>
      </c>
      <c r="P67" s="1032">
        <v>743.12566643879995</v>
      </c>
    </row>
    <row r="68" spans="1:16" s="1046" customFormat="1" ht="45">
      <c r="A68" s="1044"/>
      <c r="B68" s="1045" t="s">
        <v>387</v>
      </c>
      <c r="C68" s="258">
        <f>'4.6_сбыт_КТЭЦ'!C68</f>
        <v>0</v>
      </c>
      <c r="D68" s="258">
        <f>'4.6_сбыт_КТЭЦ'!D68+'4.6_косв.'!U68</f>
        <v>0</v>
      </c>
      <c r="E68" s="258">
        <f>'4.6_сбыт_КТЭЦ'!E68</f>
        <v>0</v>
      </c>
      <c r="F68" s="258">
        <v>0</v>
      </c>
      <c r="G68" s="258">
        <v>0</v>
      </c>
      <c r="H68" s="258">
        <v>0</v>
      </c>
      <c r="I68" s="258">
        <v>0</v>
      </c>
      <c r="J68" s="258">
        <v>0</v>
      </c>
      <c r="K68" s="258">
        <v>0</v>
      </c>
      <c r="L68" s="258"/>
      <c r="M68" s="258">
        <v>0</v>
      </c>
      <c r="N68" s="258">
        <v>0</v>
      </c>
      <c r="O68" s="258"/>
      <c r="P68" s="258">
        <v>0</v>
      </c>
    </row>
    <row r="69" spans="1:16" s="1046" customFormat="1" ht="15" customHeight="1">
      <c r="A69" s="1044"/>
      <c r="B69" s="1045" t="s">
        <v>388</v>
      </c>
      <c r="C69" s="258">
        <f>'4.6_сбыт_КТЭЦ'!C69</f>
        <v>0</v>
      </c>
      <c r="D69" s="258">
        <f>'4.6_сбыт_КТЭЦ'!D69+'4.6_косв.'!U69</f>
        <v>701769</v>
      </c>
      <c r="E69" s="258">
        <f>'4.6_сбыт_КТЭЦ'!E69</f>
        <v>0</v>
      </c>
      <c r="F69" s="258">
        <v>984562</v>
      </c>
      <c r="G69" s="258">
        <v>91218</v>
      </c>
      <c r="H69" s="258">
        <v>1045989.444</v>
      </c>
      <c r="I69" s="258">
        <v>51834.396944683991</v>
      </c>
      <c r="J69" s="258">
        <v>51834.396944683991</v>
      </c>
      <c r="K69" s="258">
        <v>50529</v>
      </c>
      <c r="L69" s="258">
        <v>0</v>
      </c>
      <c r="M69" s="258">
        <v>50529</v>
      </c>
      <c r="N69" s="258">
        <v>0</v>
      </c>
      <c r="O69" s="258">
        <v>0</v>
      </c>
      <c r="P69" s="258">
        <v>0</v>
      </c>
    </row>
    <row r="70" spans="1:16" s="1046" customFormat="1" ht="60.75" customHeight="1">
      <c r="A70" s="1044"/>
      <c r="B70" s="1045" t="s">
        <v>389</v>
      </c>
      <c r="C70" s="258">
        <f>'4.6_сбыт_КТЭЦ'!C70</f>
        <v>0</v>
      </c>
      <c r="D70" s="258">
        <f>'4.6_сбыт_КТЭЦ'!D70+'4.6_косв.'!U70</f>
        <v>0</v>
      </c>
      <c r="E70" s="258">
        <f>'4.6_сбыт_КТЭЦ'!E70</f>
        <v>0</v>
      </c>
      <c r="F70" s="258">
        <v>0</v>
      </c>
      <c r="G70" s="258">
        <v>0</v>
      </c>
      <c r="H70" s="258">
        <v>0</v>
      </c>
      <c r="I70" s="258">
        <v>0</v>
      </c>
      <c r="J70" s="258">
        <v>0</v>
      </c>
      <c r="K70" s="258">
        <v>0</v>
      </c>
      <c r="L70" s="258"/>
      <c r="M70" s="258">
        <v>0</v>
      </c>
      <c r="N70" s="258">
        <v>0</v>
      </c>
      <c r="O70" s="258"/>
      <c r="P70" s="258">
        <v>0</v>
      </c>
    </row>
    <row r="71" spans="1:16" s="1046" customFormat="1" ht="15" customHeight="1">
      <c r="A71" s="1044"/>
      <c r="B71" s="1045" t="s">
        <v>390</v>
      </c>
      <c r="C71" s="258">
        <f>SUM(C72:C77)</f>
        <v>0</v>
      </c>
      <c r="D71" s="258">
        <f t="shared" ref="D71" si="8">SUM(D72:D77)</f>
        <v>9087</v>
      </c>
      <c r="E71" s="258">
        <f>SUM(E72:E77)</f>
        <v>0</v>
      </c>
      <c r="F71" s="258">
        <v>10578.9</v>
      </c>
      <c r="G71" s="258">
        <v>0</v>
      </c>
      <c r="H71" s="258">
        <v>18023.2</v>
      </c>
      <c r="I71" s="258">
        <v>1324</v>
      </c>
      <c r="J71" s="258">
        <v>1324</v>
      </c>
      <c r="K71" s="258">
        <v>1408.7133600000002</v>
      </c>
      <c r="L71" s="258">
        <v>704.3566800000001</v>
      </c>
      <c r="M71" s="258">
        <v>704.3566800000001</v>
      </c>
      <c r="N71" s="258">
        <v>1486.2513328775999</v>
      </c>
      <c r="O71" s="258">
        <v>743.12566643879995</v>
      </c>
      <c r="P71" s="258">
        <v>743.12566643879995</v>
      </c>
    </row>
    <row r="72" spans="1:16" s="4" customFormat="1" ht="15" customHeight="1">
      <c r="A72" s="17"/>
      <c r="B72" s="51" t="s">
        <v>961</v>
      </c>
      <c r="C72" s="241">
        <f>'4.6_сбыт_КТЭЦ'!C72</f>
        <v>0</v>
      </c>
      <c r="D72" s="241">
        <f>'4.6_сбыт_КТЭЦ'!D72+'4.6_косв.'!U72</f>
        <v>1106</v>
      </c>
      <c r="E72" s="241">
        <f>'4.6_сбыт_КТЭЦ'!E72</f>
        <v>0</v>
      </c>
      <c r="F72" s="241">
        <v>414</v>
      </c>
      <c r="G72" s="241">
        <v>0</v>
      </c>
      <c r="H72" s="241">
        <v>474</v>
      </c>
      <c r="I72" s="241">
        <v>498</v>
      </c>
      <c r="J72" s="241">
        <v>498</v>
      </c>
      <c r="K72" s="241">
        <v>526.54536000000007</v>
      </c>
      <c r="L72" s="241">
        <v>263.27268000000004</v>
      </c>
      <c r="M72" s="241">
        <v>263.27268000000004</v>
      </c>
      <c r="N72" s="241">
        <v>552.03542087760002</v>
      </c>
      <c r="O72" s="241">
        <v>276.01771043880001</v>
      </c>
      <c r="P72" s="241">
        <v>276.01771043880001</v>
      </c>
    </row>
    <row r="73" spans="1:16" s="4" customFormat="1" ht="15" customHeight="1">
      <c r="A73" s="17"/>
      <c r="B73" s="51" t="s">
        <v>962</v>
      </c>
      <c r="C73" s="241">
        <f>'4.6_сбыт_КТЭЦ'!C73</f>
        <v>0</v>
      </c>
      <c r="D73" s="241">
        <f>'4.6_сбыт_КТЭЦ'!D73+'4.6_косв.'!U73</f>
        <v>0</v>
      </c>
      <c r="E73" s="241">
        <f>'4.6_сбыт_КТЭЦ'!E73</f>
        <v>0</v>
      </c>
      <c r="F73" s="241">
        <v>0</v>
      </c>
      <c r="G73" s="241">
        <v>0</v>
      </c>
      <c r="H73" s="241">
        <v>0</v>
      </c>
      <c r="I73" s="241">
        <v>0</v>
      </c>
      <c r="J73" s="241">
        <v>0</v>
      </c>
      <c r="K73" s="241">
        <v>0</v>
      </c>
      <c r="L73" s="241"/>
      <c r="M73" s="241">
        <v>0</v>
      </c>
      <c r="N73" s="241">
        <v>0</v>
      </c>
      <c r="O73" s="241"/>
      <c r="P73" s="241">
        <v>0</v>
      </c>
    </row>
    <row r="74" spans="1:16" s="4" customFormat="1" ht="15" customHeight="1">
      <c r="A74" s="17"/>
      <c r="B74" s="51" t="s">
        <v>963</v>
      </c>
      <c r="C74" s="241">
        <f>'4.6_сбыт_КТЭЦ'!C74</f>
        <v>0</v>
      </c>
      <c r="D74" s="241">
        <f>'4.6_сбыт_КТЭЦ'!D74+'4.6_косв.'!U74</f>
        <v>7981</v>
      </c>
      <c r="E74" s="241">
        <f>'4.6_сбыт_КТЭЦ'!E74</f>
        <v>0</v>
      </c>
      <c r="F74" s="241">
        <v>10164.9</v>
      </c>
      <c r="G74" s="241">
        <v>0</v>
      </c>
      <c r="H74" s="241">
        <v>17549.2</v>
      </c>
      <c r="I74" s="241">
        <v>826</v>
      </c>
      <c r="J74" s="241">
        <v>826</v>
      </c>
      <c r="K74" s="241">
        <v>882.16800000000001</v>
      </c>
      <c r="L74" s="241">
        <v>441.084</v>
      </c>
      <c r="M74" s="241">
        <v>441.084</v>
      </c>
      <c r="N74" s="241">
        <v>934.215912</v>
      </c>
      <c r="O74" s="241">
        <v>467.107956</v>
      </c>
      <c r="P74" s="241">
        <v>467.107956</v>
      </c>
    </row>
    <row r="75" spans="1:16" s="4" customFormat="1" ht="15" hidden="1" customHeight="1">
      <c r="A75" s="17"/>
      <c r="B75" s="51"/>
      <c r="C75" s="241"/>
      <c r="D75" s="241"/>
      <c r="E75" s="241"/>
      <c r="F75" s="241"/>
      <c r="G75" s="241"/>
      <c r="H75" s="241"/>
      <c r="I75" s="241"/>
      <c r="J75" s="241"/>
      <c r="K75" s="241"/>
      <c r="L75" s="241"/>
      <c r="M75" s="241"/>
      <c r="N75" s="241"/>
      <c r="O75" s="241"/>
      <c r="P75" s="241"/>
    </row>
    <row r="76" spans="1:16" s="4" customFormat="1" ht="15" hidden="1" customHeight="1">
      <c r="A76" s="17"/>
      <c r="B76" s="51"/>
      <c r="C76" s="241"/>
      <c r="D76" s="241"/>
      <c r="E76" s="241"/>
      <c r="F76" s="241"/>
      <c r="G76" s="241"/>
      <c r="H76" s="241"/>
      <c r="I76" s="241"/>
      <c r="J76" s="241"/>
      <c r="K76" s="241"/>
      <c r="L76" s="241"/>
      <c r="M76" s="241"/>
      <c r="N76" s="241"/>
      <c r="O76" s="241"/>
      <c r="P76" s="241"/>
    </row>
    <row r="77" spans="1:16" s="4" customFormat="1" ht="15" hidden="1" customHeight="1">
      <c r="A77" s="17"/>
      <c r="B77" s="51"/>
      <c r="C77" s="241"/>
      <c r="D77" s="241"/>
      <c r="E77" s="241"/>
      <c r="F77" s="241"/>
      <c r="G77" s="241"/>
      <c r="H77" s="241"/>
      <c r="I77" s="241"/>
      <c r="J77" s="241"/>
      <c r="K77" s="241"/>
      <c r="L77" s="241"/>
      <c r="M77" s="241"/>
      <c r="N77" s="241"/>
      <c r="O77" s="241"/>
      <c r="P77" s="241"/>
    </row>
    <row r="78" spans="1:16" s="1034" customFormat="1" ht="33.75" customHeight="1">
      <c r="A78" s="1030" t="s">
        <v>391</v>
      </c>
      <c r="B78" s="1031" t="s">
        <v>392</v>
      </c>
      <c r="C78" s="1032">
        <f>SUM(C79:C82)</f>
        <v>0</v>
      </c>
      <c r="D78" s="1032">
        <f t="shared" ref="D78" si="9">SUM(D79:D82)</f>
        <v>29566</v>
      </c>
      <c r="E78" s="1032">
        <f>SUM(E79:E82)</f>
        <v>0</v>
      </c>
      <c r="F78" s="1032">
        <v>222429</v>
      </c>
      <c r="G78" s="1032">
        <v>0</v>
      </c>
      <c r="H78" s="1032">
        <v>46020.299999999996</v>
      </c>
      <c r="I78" s="1032">
        <v>1081</v>
      </c>
      <c r="J78" s="1032">
        <v>103673.944</v>
      </c>
      <c r="K78" s="1032">
        <v>318851.92000000004</v>
      </c>
      <c r="L78" s="1032">
        <v>553.0800000000022</v>
      </c>
      <c r="M78" s="1032">
        <v>318298.84000000003</v>
      </c>
      <c r="N78" s="1032">
        <v>269626.22743999999</v>
      </c>
      <c r="O78" s="1032">
        <v>1179.6137200000035</v>
      </c>
      <c r="P78" s="1032">
        <v>268446.61372000002</v>
      </c>
    </row>
    <row r="79" spans="1:16" s="1046" customFormat="1" ht="30">
      <c r="A79" s="1044"/>
      <c r="B79" s="1045" t="s">
        <v>393</v>
      </c>
      <c r="C79" s="258">
        <f>'4.6_сбыт_КТЭЦ'!C79</f>
        <v>0</v>
      </c>
      <c r="D79" s="258">
        <f>'4.6_сбыт_КТЭЦ'!D79+'4.6_косв.'!U79</f>
        <v>0</v>
      </c>
      <c r="E79" s="258">
        <f>'4.6_сбыт_КТЭЦ'!E79</f>
        <v>0</v>
      </c>
      <c r="F79" s="258">
        <v>0</v>
      </c>
      <c r="G79" s="258">
        <v>0</v>
      </c>
      <c r="H79" s="258">
        <v>0</v>
      </c>
      <c r="I79" s="258">
        <v>0</v>
      </c>
      <c r="J79" s="258">
        <v>0</v>
      </c>
      <c r="K79" s="258">
        <v>0</v>
      </c>
      <c r="L79" s="258"/>
      <c r="M79" s="258">
        <v>0</v>
      </c>
      <c r="N79" s="258">
        <v>0</v>
      </c>
      <c r="O79" s="258"/>
      <c r="P79" s="258">
        <v>0</v>
      </c>
    </row>
    <row r="80" spans="1:16" s="1046" customFormat="1" ht="30" customHeight="1">
      <c r="A80" s="1044"/>
      <c r="B80" s="1045" t="s">
        <v>394</v>
      </c>
      <c r="C80" s="258">
        <f>'4.6_сбыт_КТЭЦ'!C80</f>
        <v>0</v>
      </c>
      <c r="D80" s="258">
        <f>'4.6_сбыт_КТЭЦ'!D80+'4.6_косв.'!U80</f>
        <v>476</v>
      </c>
      <c r="E80" s="258">
        <f>'4.6_сбыт_КТЭЦ'!E80</f>
        <v>0</v>
      </c>
      <c r="F80" s="258">
        <v>487</v>
      </c>
      <c r="G80" s="258">
        <v>0</v>
      </c>
      <c r="H80" s="258">
        <v>417</v>
      </c>
      <c r="I80" s="258">
        <v>543</v>
      </c>
      <c r="J80" s="258">
        <v>543</v>
      </c>
      <c r="K80" s="258">
        <v>579.92399999999998</v>
      </c>
      <c r="L80" s="258">
        <v>289.96199999999999</v>
      </c>
      <c r="M80" s="258">
        <v>289.96199999999999</v>
      </c>
      <c r="N80" s="258">
        <v>614.13951599999996</v>
      </c>
      <c r="O80" s="258">
        <v>307.06975799999998</v>
      </c>
      <c r="P80" s="258">
        <v>307.06975799999998</v>
      </c>
    </row>
    <row r="81" spans="1:16" s="1046" customFormat="1" ht="15" customHeight="1">
      <c r="A81" s="1044"/>
      <c r="B81" s="1045" t="s">
        <v>1568</v>
      </c>
      <c r="C81" s="258">
        <f>'4.6_сбыт_КТЭЦ'!C81</f>
        <v>0</v>
      </c>
      <c r="D81" s="258">
        <f>'4.6_сбыт_КТЭЦ'!D81+'4.6_косв.'!U81</f>
        <v>28997</v>
      </c>
      <c r="E81" s="258">
        <f>'4.6_сбыт_КТЭЦ'!E81</f>
        <v>0</v>
      </c>
      <c r="F81" s="258">
        <v>221704</v>
      </c>
      <c r="G81" s="258">
        <v>0</v>
      </c>
      <c r="H81" s="258">
        <v>45526.299999999996</v>
      </c>
      <c r="I81" s="258">
        <v>0</v>
      </c>
      <c r="J81" s="258">
        <v>326.94400000000002</v>
      </c>
      <c r="K81" s="258">
        <v>202017.76</v>
      </c>
      <c r="L81" s="258">
        <v>0</v>
      </c>
      <c r="M81" s="258">
        <v>202017.76</v>
      </c>
      <c r="N81" s="258">
        <v>145699</v>
      </c>
      <c r="O81" s="258">
        <v>0</v>
      </c>
      <c r="P81" s="258">
        <v>145699</v>
      </c>
    </row>
    <row r="82" spans="1:16" s="1046" customFormat="1" ht="28.5" customHeight="1">
      <c r="A82" s="1044"/>
      <c r="B82" s="1045" t="s">
        <v>1957</v>
      </c>
      <c r="C82" s="258">
        <f>'4.6_сбыт_КТЭЦ'!C82</f>
        <v>0</v>
      </c>
      <c r="D82" s="258">
        <f>'4.6_сбыт_КТЭЦ'!D82+'4.6_косв.'!U82</f>
        <v>93</v>
      </c>
      <c r="E82" s="258">
        <f>'4.6_сбыт_КТЭЦ'!E82</f>
        <v>0</v>
      </c>
      <c r="F82" s="258">
        <v>238</v>
      </c>
      <c r="G82" s="258">
        <v>0</v>
      </c>
      <c r="H82" s="258">
        <v>77</v>
      </c>
      <c r="I82" s="258">
        <v>538</v>
      </c>
      <c r="J82" s="258">
        <v>102804</v>
      </c>
      <c r="K82" s="258">
        <v>116254.236</v>
      </c>
      <c r="L82" s="258">
        <v>263.11800000000221</v>
      </c>
      <c r="M82" s="258">
        <v>115991.118</v>
      </c>
      <c r="N82" s="258">
        <v>123313.08792400001</v>
      </c>
      <c r="O82" s="258">
        <v>872.54396200000338</v>
      </c>
      <c r="P82" s="258">
        <v>122440.543962</v>
      </c>
    </row>
    <row r="83" spans="1:16" s="1034" customFormat="1" ht="15" customHeight="1">
      <c r="A83" s="1030" t="s">
        <v>395</v>
      </c>
      <c r="B83" s="1031" t="s">
        <v>396</v>
      </c>
      <c r="C83" s="1032">
        <f>(C68+C69+C70+C78)/0.8*0.2</f>
        <v>0</v>
      </c>
      <c r="D83" s="1032">
        <f t="shared" ref="D83" si="10">(D68+D69+D70+D78)/0.8*0.2</f>
        <v>182833.75</v>
      </c>
      <c r="E83" s="1032">
        <f>E78/0.8*0.2</f>
        <v>0</v>
      </c>
      <c r="F83" s="1032">
        <v>301747.75</v>
      </c>
      <c r="G83" s="1032">
        <v>22804.5</v>
      </c>
      <c r="H83" s="1032">
        <v>273002.43599999999</v>
      </c>
      <c r="I83" s="1032">
        <v>13228.849236170998</v>
      </c>
      <c r="J83" s="1032">
        <v>38877.085236170999</v>
      </c>
      <c r="K83" s="1032">
        <v>92345.23000000001</v>
      </c>
      <c r="L83" s="1032">
        <v>138.27000000000055</v>
      </c>
      <c r="M83" s="1032">
        <v>92206.96</v>
      </c>
      <c r="N83" s="1032">
        <v>67406.556859999997</v>
      </c>
      <c r="O83" s="1032">
        <v>294.90343000000087</v>
      </c>
      <c r="P83" s="1032">
        <v>67111.653430000006</v>
      </c>
    </row>
    <row r="84" spans="1:16" s="1034" customFormat="1" ht="15" customHeight="1">
      <c r="A84" s="1030" t="s">
        <v>397</v>
      </c>
      <c r="B84" s="1031" t="s">
        <v>398</v>
      </c>
      <c r="C84" s="1032">
        <f>C85-C88</f>
        <v>0</v>
      </c>
      <c r="D84" s="1032">
        <f t="shared" ref="D84" si="11">D85-D88</f>
        <v>0</v>
      </c>
      <c r="E84" s="1032">
        <f>E85-E88</f>
        <v>0</v>
      </c>
      <c r="F84" s="1032">
        <v>0</v>
      </c>
      <c r="G84" s="1032">
        <v>0</v>
      </c>
      <c r="H84" s="1032">
        <v>0</v>
      </c>
      <c r="I84" s="1032">
        <v>-59491</v>
      </c>
      <c r="J84" s="1032">
        <v>-59491</v>
      </c>
      <c r="K84" s="1032">
        <v>755977</v>
      </c>
      <c r="L84" s="1032">
        <v>0</v>
      </c>
      <c r="M84" s="1032">
        <v>755977</v>
      </c>
      <c r="N84" s="1032">
        <v>0</v>
      </c>
      <c r="O84" s="1032">
        <v>0</v>
      </c>
      <c r="P84" s="1032">
        <v>0</v>
      </c>
    </row>
    <row r="85" spans="1:16" s="585" customFormat="1" ht="15" customHeight="1">
      <c r="A85" s="583"/>
      <c r="B85" s="582" t="s">
        <v>1140</v>
      </c>
      <c r="C85" s="587">
        <f>C86+C87</f>
        <v>0</v>
      </c>
      <c r="D85" s="587">
        <f t="shared" ref="D85" si="12">D86+D87</f>
        <v>0</v>
      </c>
      <c r="E85" s="587">
        <f>E86+E87</f>
        <v>0</v>
      </c>
      <c r="F85" s="587">
        <v>0</v>
      </c>
      <c r="G85" s="587">
        <v>0</v>
      </c>
      <c r="H85" s="587">
        <v>0</v>
      </c>
      <c r="I85" s="587">
        <v>166992</v>
      </c>
      <c r="J85" s="587">
        <v>166992</v>
      </c>
      <c r="K85" s="587">
        <v>757093</v>
      </c>
      <c r="L85" s="587">
        <v>0</v>
      </c>
      <c r="M85" s="587">
        <v>757093</v>
      </c>
      <c r="N85" s="587">
        <v>0</v>
      </c>
      <c r="O85" s="587">
        <v>0</v>
      </c>
      <c r="P85" s="587">
        <v>0</v>
      </c>
    </row>
    <row r="86" spans="1:16" s="341" customFormat="1" ht="15" customHeight="1">
      <c r="A86" s="339"/>
      <c r="B86" s="340" t="s">
        <v>959</v>
      </c>
      <c r="C86" s="241">
        <f>'4.6_сбыт_КТЭЦ'!C86</f>
        <v>0</v>
      </c>
      <c r="D86" s="241">
        <f>'4.6_сбыт_КТЭЦ'!D86+'4.6_косв.'!U86</f>
        <v>0</v>
      </c>
      <c r="E86" s="241">
        <f>'4.6_сбыт_КТЭЦ'!E86</f>
        <v>0</v>
      </c>
      <c r="F86" s="241">
        <v>0</v>
      </c>
      <c r="G86" s="241">
        <v>0</v>
      </c>
      <c r="H86" s="241">
        <v>0</v>
      </c>
      <c r="I86" s="241">
        <v>0</v>
      </c>
      <c r="J86" s="308">
        <v>0</v>
      </c>
      <c r="K86" s="241">
        <v>375680</v>
      </c>
      <c r="L86" s="308">
        <v>0</v>
      </c>
      <c r="M86" s="308">
        <v>375680</v>
      </c>
      <c r="N86" s="241">
        <v>0</v>
      </c>
      <c r="O86" s="308">
        <v>0</v>
      </c>
      <c r="P86" s="308">
        <v>0</v>
      </c>
    </row>
    <row r="87" spans="1:16" s="341" customFormat="1" ht="15" customHeight="1">
      <c r="A87" s="339"/>
      <c r="B87" s="51" t="s">
        <v>960</v>
      </c>
      <c r="C87" s="241">
        <f>'4.6_сбыт_КТЭЦ'!C87</f>
        <v>0</v>
      </c>
      <c r="D87" s="241">
        <f>'4.6_сбыт_КТЭЦ'!D87+'4.6_косв.'!U87</f>
        <v>0</v>
      </c>
      <c r="E87" s="241">
        <f>'4.6_сбыт_КТЭЦ'!E87</f>
        <v>0</v>
      </c>
      <c r="F87" s="241">
        <v>0</v>
      </c>
      <c r="G87" s="241">
        <v>0</v>
      </c>
      <c r="H87" s="241">
        <v>0</v>
      </c>
      <c r="I87" s="241">
        <v>0</v>
      </c>
      <c r="J87" s="241">
        <v>0</v>
      </c>
      <c r="K87" s="241">
        <v>381413</v>
      </c>
      <c r="L87" s="241">
        <v>0</v>
      </c>
      <c r="M87" s="308">
        <v>381413</v>
      </c>
      <c r="N87" s="241">
        <v>0</v>
      </c>
      <c r="O87" s="241">
        <v>0</v>
      </c>
      <c r="P87" s="308">
        <v>0</v>
      </c>
    </row>
    <row r="88" spans="1:16" s="588" customFormat="1" ht="15" customHeight="1">
      <c r="A88" s="586"/>
      <c r="B88" s="582" t="s">
        <v>1141</v>
      </c>
      <c r="C88" s="587">
        <f>C89+C90</f>
        <v>0</v>
      </c>
      <c r="D88" s="587">
        <f t="shared" ref="D88" si="13">D89+D90</f>
        <v>0</v>
      </c>
      <c r="E88" s="587">
        <f>E89+E90</f>
        <v>0</v>
      </c>
      <c r="F88" s="587">
        <v>0</v>
      </c>
      <c r="G88" s="587">
        <v>0</v>
      </c>
      <c r="H88" s="587">
        <v>0</v>
      </c>
      <c r="I88" s="587">
        <v>226483</v>
      </c>
      <c r="J88" s="587">
        <v>226483</v>
      </c>
      <c r="K88" s="587">
        <v>1116</v>
      </c>
      <c r="L88" s="587">
        <v>0</v>
      </c>
      <c r="M88" s="587">
        <v>1116</v>
      </c>
      <c r="N88" s="587">
        <v>0</v>
      </c>
      <c r="O88" s="587">
        <v>0</v>
      </c>
      <c r="P88" s="587">
        <v>0</v>
      </c>
    </row>
    <row r="89" spans="1:16" s="341" customFormat="1" ht="15" customHeight="1">
      <c r="A89" s="339"/>
      <c r="B89" s="340" t="s">
        <v>959</v>
      </c>
      <c r="C89" s="241">
        <f>'4.6_сбыт_КТЭЦ'!C89</f>
        <v>0</v>
      </c>
      <c r="D89" s="241">
        <f>'4.6_сбыт_КТЭЦ'!D89+'4.6_косв.'!U89</f>
        <v>0</v>
      </c>
      <c r="E89" s="241">
        <f>'4.6_сбыт_КТЭЦ'!E89</f>
        <v>0</v>
      </c>
      <c r="F89" s="241">
        <v>0</v>
      </c>
      <c r="G89" s="241">
        <v>0</v>
      </c>
      <c r="H89" s="241">
        <v>0</v>
      </c>
      <c r="I89" s="241">
        <v>0</v>
      </c>
      <c r="J89" s="241">
        <v>0</v>
      </c>
      <c r="K89" s="241">
        <v>1116</v>
      </c>
      <c r="L89" s="241">
        <v>0</v>
      </c>
      <c r="M89" s="308">
        <v>1116</v>
      </c>
      <c r="N89" s="241">
        <v>0</v>
      </c>
      <c r="O89" s="241">
        <v>0</v>
      </c>
      <c r="P89" s="308">
        <v>0</v>
      </c>
    </row>
    <row r="90" spans="1:16" s="341" customFormat="1" ht="15" customHeight="1">
      <c r="A90" s="339"/>
      <c r="B90" s="51" t="s">
        <v>960</v>
      </c>
      <c r="C90" s="241">
        <f>'4.6_сбыт_КТЭЦ'!C90</f>
        <v>0</v>
      </c>
      <c r="D90" s="241">
        <f>'4.6_сбыт_КТЭЦ'!D90+'4.6_косв.'!U90</f>
        <v>0</v>
      </c>
      <c r="E90" s="241">
        <f>'4.6_сбыт_КТЭЦ'!E90</f>
        <v>0</v>
      </c>
      <c r="F90" s="241">
        <v>0</v>
      </c>
      <c r="G90" s="241">
        <v>0</v>
      </c>
      <c r="H90" s="241">
        <v>0</v>
      </c>
      <c r="I90" s="241">
        <v>0</v>
      </c>
      <c r="J90" s="241">
        <v>0</v>
      </c>
      <c r="K90" s="241">
        <v>0</v>
      </c>
      <c r="L90" s="241">
        <v>0</v>
      </c>
      <c r="M90" s="308">
        <v>0</v>
      </c>
      <c r="N90" s="241">
        <v>0</v>
      </c>
      <c r="O90" s="241">
        <v>0</v>
      </c>
      <c r="P90" s="308">
        <v>0</v>
      </c>
    </row>
    <row r="91" spans="1:16" s="1055" customFormat="1" ht="15" customHeight="1">
      <c r="A91" s="1052" t="s">
        <v>399</v>
      </c>
      <c r="B91" s="1053" t="s">
        <v>400</v>
      </c>
      <c r="C91" s="1054">
        <f t="shared" ref="C91:E91" si="14">C7+C67+C78+C83+C84</f>
        <v>0</v>
      </c>
      <c r="D91" s="1054">
        <f t="shared" si="14"/>
        <v>1053753.6869000001</v>
      </c>
      <c r="E91" s="1054">
        <f t="shared" si="14"/>
        <v>0</v>
      </c>
      <c r="F91" s="1054">
        <v>1685267.6448000001</v>
      </c>
      <c r="G91" s="1054">
        <v>114022.5</v>
      </c>
      <c r="H91" s="1054">
        <v>1555304.3420920002</v>
      </c>
      <c r="I91" s="1054">
        <v>69928.246180854985</v>
      </c>
      <c r="J91" s="1054">
        <v>318281.78010085505</v>
      </c>
      <c r="K91" s="1054">
        <v>1420786.38268</v>
      </c>
      <c r="L91" s="1054">
        <v>98888.861862000005</v>
      </c>
      <c r="M91" s="1054">
        <v>1321897.520818</v>
      </c>
      <c r="N91" s="1610">
        <v>552013.28869852994</v>
      </c>
      <c r="O91" s="1054">
        <v>105769.33617256153</v>
      </c>
      <c r="P91" s="1054">
        <v>446244.95252596849</v>
      </c>
    </row>
    <row r="92" spans="1:16" s="4" customFormat="1" ht="15" customHeight="1">
      <c r="A92" s="17" t="s">
        <v>401</v>
      </c>
      <c r="B92" s="51" t="s">
        <v>1272</v>
      </c>
      <c r="C92" s="241"/>
      <c r="D92" s="241"/>
      <c r="E92" s="241"/>
      <c r="F92" s="241"/>
      <c r="G92" s="241"/>
      <c r="H92" s="241"/>
      <c r="I92" s="241"/>
      <c r="J92" s="241"/>
      <c r="K92" s="241"/>
      <c r="L92" s="241"/>
      <c r="M92" s="241"/>
      <c r="N92" s="982"/>
      <c r="O92" s="241"/>
      <c r="P92" s="241"/>
    </row>
    <row r="93" spans="1:16" s="4" customFormat="1" ht="15" customHeight="1">
      <c r="A93" s="17" t="s">
        <v>403</v>
      </c>
      <c r="B93" s="51" t="s">
        <v>1273</v>
      </c>
      <c r="C93" s="241">
        <f>C91-C94-C95</f>
        <v>0</v>
      </c>
      <c r="D93" s="241">
        <f t="shared" ref="D93:E93" si="15">D91-D94-D95</f>
        <v>1053753.6869000001</v>
      </c>
      <c r="E93" s="241">
        <f t="shared" si="15"/>
        <v>0</v>
      </c>
      <c r="F93" s="241">
        <v>1685267.6448000001</v>
      </c>
      <c r="G93" s="241">
        <v>114022.5</v>
      </c>
      <c r="H93" s="241">
        <v>1555304.3420920002</v>
      </c>
      <c r="I93" s="241">
        <v>69928.246180854985</v>
      </c>
      <c r="J93" s="241">
        <v>318281.78010085505</v>
      </c>
      <c r="K93" s="241">
        <v>1420786.38268</v>
      </c>
      <c r="L93" s="241">
        <v>98888.861862000005</v>
      </c>
      <c r="M93" s="241">
        <v>1321897.520818</v>
      </c>
      <c r="N93" s="982">
        <v>552013.28869852994</v>
      </c>
      <c r="O93" s="241">
        <v>105769.33617256153</v>
      </c>
      <c r="P93" s="241">
        <v>446244.95252596849</v>
      </c>
    </row>
    <row r="94" spans="1:16" s="4" customFormat="1" ht="15" customHeight="1">
      <c r="A94" s="17" t="s">
        <v>405</v>
      </c>
      <c r="B94" s="51" t="s">
        <v>1274</v>
      </c>
      <c r="C94" s="241"/>
      <c r="D94" s="241"/>
      <c r="E94" s="241"/>
      <c r="F94" s="241"/>
      <c r="G94" s="241"/>
      <c r="H94" s="241"/>
      <c r="I94" s="241"/>
      <c r="J94" s="241"/>
      <c r="K94" s="241"/>
      <c r="L94" s="241"/>
      <c r="M94" s="241"/>
      <c r="N94" s="982"/>
      <c r="O94" s="241"/>
      <c r="P94" s="241"/>
    </row>
    <row r="95" spans="1:16" s="4" customFormat="1" ht="15" customHeight="1">
      <c r="A95" s="17" t="s">
        <v>407</v>
      </c>
      <c r="B95" s="51" t="s">
        <v>408</v>
      </c>
      <c r="C95" s="241"/>
      <c r="D95" s="241"/>
      <c r="E95" s="241"/>
      <c r="F95" s="241"/>
      <c r="G95" s="241"/>
      <c r="H95" s="241"/>
      <c r="I95" s="241"/>
      <c r="J95" s="241"/>
      <c r="K95" s="241"/>
      <c r="L95" s="241"/>
      <c r="M95" s="241"/>
      <c r="N95" s="982"/>
      <c r="O95" s="241"/>
      <c r="P95" s="241"/>
    </row>
    <row r="96" spans="1:16" s="4" customFormat="1" ht="15" customHeight="1">
      <c r="A96" s="17"/>
      <c r="B96" s="51"/>
      <c r="C96" s="241"/>
      <c r="D96" s="241"/>
      <c r="E96" s="241"/>
      <c r="F96" s="241"/>
      <c r="G96" s="241"/>
      <c r="H96" s="241"/>
      <c r="I96" s="241"/>
      <c r="J96" s="241"/>
      <c r="K96" s="241"/>
      <c r="L96" s="241"/>
      <c r="M96" s="241"/>
      <c r="N96" s="982"/>
      <c r="O96" s="241"/>
      <c r="P96" s="241"/>
    </row>
    <row r="97" spans="1:16" s="4" customFormat="1" ht="28.5">
      <c r="A97" s="17"/>
      <c r="B97" s="755" t="s">
        <v>1268</v>
      </c>
      <c r="C97" s="286">
        <f>'4.3_КТЭЦ'!E8</f>
        <v>922.65</v>
      </c>
      <c r="D97" s="286">
        <f>'4.3_КТЭЦ'!I8</f>
        <v>907.11299999999994</v>
      </c>
      <c r="E97" s="286">
        <f>'4.3_КТЭЦ'!M8</f>
        <v>911.197</v>
      </c>
      <c r="F97" s="286">
        <v>858.0397999999999</v>
      </c>
      <c r="G97" s="286">
        <v>904.44797589999962</v>
      </c>
      <c r="H97" s="286">
        <v>836.25261320499999</v>
      </c>
      <c r="I97" s="286">
        <v>0</v>
      </c>
      <c r="J97" s="286">
        <v>307.87799999999999</v>
      </c>
      <c r="K97" s="286">
        <v>860.72499999999991</v>
      </c>
      <c r="L97" s="286">
        <v>523.05800000000011</v>
      </c>
      <c r="M97" s="286">
        <v>337.66699999999992</v>
      </c>
      <c r="N97" s="286">
        <v>860.72499999999991</v>
      </c>
      <c r="O97" s="286">
        <v>523.05800000000011</v>
      </c>
      <c r="P97" s="286">
        <v>337.66699999999992</v>
      </c>
    </row>
    <row r="98" spans="1:16" s="4" customFormat="1" ht="15" customHeight="1">
      <c r="A98" s="17"/>
      <c r="B98" s="51"/>
      <c r="C98" s="241"/>
      <c r="D98" s="241"/>
      <c r="E98" s="241"/>
      <c r="F98" s="241"/>
      <c r="G98" s="241"/>
      <c r="H98" s="241"/>
      <c r="I98" s="241"/>
      <c r="J98" s="241"/>
      <c r="K98" s="241"/>
      <c r="L98" s="241"/>
      <c r="M98" s="241"/>
      <c r="N98" s="982"/>
      <c r="O98" s="241"/>
      <c r="P98" s="241"/>
    </row>
    <row r="99" spans="1:16" s="4" customFormat="1" ht="15" customHeight="1">
      <c r="A99" s="17"/>
      <c r="B99" s="253" t="s">
        <v>1266</v>
      </c>
      <c r="C99" s="428">
        <f>C93/C97</f>
        <v>0</v>
      </c>
      <c r="D99" s="428">
        <f t="shared" ref="D99:E99" si="16">D93/D97</f>
        <v>1161.6564715752063</v>
      </c>
      <c r="E99" s="428">
        <f t="shared" si="16"/>
        <v>0</v>
      </c>
      <c r="F99" s="428">
        <v>1964.0902960445428</v>
      </c>
      <c r="G99" s="428">
        <v>126.06861095193264</v>
      </c>
      <c r="H99" s="428">
        <v>1859.8499036447627</v>
      </c>
      <c r="I99" s="428" t="e">
        <v>#DIV/0!</v>
      </c>
      <c r="J99" s="428">
        <v>1033.7918919210047</v>
      </c>
      <c r="K99" s="428">
        <v>1650.6856227947371</v>
      </c>
      <c r="L99" s="428">
        <v>189.05907540272779</v>
      </c>
      <c r="M99" s="428">
        <v>3914.796295812147</v>
      </c>
      <c r="N99" s="1128">
        <v>641.33525655526444</v>
      </c>
      <c r="O99" s="428">
        <v>202.21339922639842</v>
      </c>
      <c r="P99" s="428">
        <v>1321.5533425711385</v>
      </c>
    </row>
    <row r="100" spans="1:16" s="4" customFormat="1" ht="15" customHeight="1">
      <c r="A100" s="17"/>
      <c r="B100" s="253" t="s">
        <v>1267</v>
      </c>
      <c r="C100" s="428"/>
      <c r="D100" s="428"/>
      <c r="E100" s="428"/>
      <c r="F100" s="428"/>
      <c r="G100" s="428"/>
      <c r="H100" s="428"/>
      <c r="I100" s="428"/>
      <c r="J100" s="428"/>
      <c r="K100" s="1128"/>
      <c r="L100" s="428"/>
      <c r="M100" s="428"/>
      <c r="N100" s="978"/>
      <c r="O100" s="978"/>
      <c r="P100" s="978"/>
    </row>
    <row r="101" spans="1:16" s="4" customFormat="1" ht="15" customHeight="1">
      <c r="A101" s="17"/>
      <c r="B101" s="1131" t="s">
        <v>1512</v>
      </c>
      <c r="C101" s="428"/>
      <c r="D101" s="428"/>
      <c r="E101" s="428"/>
      <c r="F101" s="428"/>
      <c r="G101" s="428"/>
      <c r="H101" s="428"/>
      <c r="I101" s="428"/>
      <c r="J101" s="428"/>
      <c r="K101" s="1128"/>
      <c r="L101" s="428"/>
      <c r="M101" s="428"/>
      <c r="N101" s="978"/>
      <c r="O101" s="978"/>
      <c r="P101" s="978"/>
    </row>
    <row r="102" spans="1:16" s="4" customFormat="1" ht="15" customHeight="1">
      <c r="A102" s="17"/>
      <c r="B102" s="1131" t="s">
        <v>1513</v>
      </c>
      <c r="C102" s="428"/>
      <c r="D102" s="428"/>
      <c r="E102" s="428"/>
      <c r="F102" s="428"/>
      <c r="G102" s="428"/>
      <c r="H102" s="428"/>
      <c r="I102" s="428"/>
      <c r="J102" s="428"/>
      <c r="K102" s="1128"/>
      <c r="L102" s="428"/>
      <c r="M102" s="428"/>
      <c r="N102" s="978"/>
      <c r="O102" s="978"/>
      <c r="P102" s="978"/>
    </row>
    <row r="103" spans="1:16" hidden="1">
      <c r="A103" s="253" t="s">
        <v>965</v>
      </c>
      <c r="B103" s="253"/>
      <c r="C103" s="308">
        <f>C67+C78+C83+C87-C90</f>
        <v>0</v>
      </c>
      <c r="D103" s="308">
        <f t="shared" ref="D103:M103" si="17">D67+D78+D83+D87-D90</f>
        <v>923255.75</v>
      </c>
      <c r="E103" s="308">
        <f t="shared" si="17"/>
        <v>0</v>
      </c>
      <c r="F103" s="308">
        <f t="shared" si="17"/>
        <v>1519317.65</v>
      </c>
      <c r="G103" s="308"/>
      <c r="H103" s="308"/>
      <c r="I103" s="308"/>
      <c r="J103" s="308"/>
      <c r="K103" s="982">
        <f t="shared" si="17"/>
        <v>844547.86336000008</v>
      </c>
      <c r="L103" s="308">
        <f t="shared" si="17"/>
        <v>1395.706680000003</v>
      </c>
      <c r="M103" s="308">
        <f t="shared" si="17"/>
        <v>843152.15668000001</v>
      </c>
      <c r="N103" s="762"/>
      <c r="O103" s="762"/>
      <c r="P103" s="762"/>
    </row>
    <row r="104" spans="1:16">
      <c r="A104" s="1776"/>
      <c r="B104" s="1776"/>
      <c r="C104" s="762"/>
      <c r="D104" s="762"/>
      <c r="E104" s="762"/>
      <c r="F104" s="762"/>
      <c r="G104" s="762"/>
      <c r="H104" s="762">
        <f>'4.6_сбыт_КТЭЦ'!H93+'4.6_косв.'!W93</f>
        <v>1555304.5531000001</v>
      </c>
      <c r="I104" s="762"/>
      <c r="J104" s="762">
        <f>'4.6_сбыт_КТЭЦ'!J93+'4.6_косв.'!X93</f>
        <v>318281.42618085502</v>
      </c>
      <c r="K104" s="762">
        <f>'4.6_сбыт_КТЭЦ'!K93+'4.6_косв.'!Y93</f>
        <v>1420786.6928000001</v>
      </c>
      <c r="L104" s="762"/>
      <c r="M104" s="762"/>
      <c r="N104" s="762">
        <f>'4.6_сбыт_КТЭЦ'!L93+'4.6_косв.'!Z93</f>
        <v>552015.26665852999</v>
      </c>
      <c r="O104" s="762"/>
      <c r="P104" s="762"/>
    </row>
    <row r="105" spans="1:16" s="26" customFormat="1">
      <c r="A105" s="26" t="s">
        <v>88</v>
      </c>
      <c r="K105" s="883"/>
    </row>
    <row r="106" spans="1:16" s="914" customFormat="1" ht="58.5" customHeight="1">
      <c r="A106" s="914" t="s">
        <v>89</v>
      </c>
      <c r="B106" s="1842" t="s">
        <v>409</v>
      </c>
      <c r="C106" s="1842"/>
      <c r="D106" s="1842"/>
      <c r="E106" s="1842"/>
      <c r="F106" s="1842"/>
      <c r="G106" s="1842"/>
      <c r="H106" s="1842"/>
      <c r="I106" s="1842"/>
      <c r="J106" s="1842"/>
      <c r="K106" s="1842"/>
      <c r="L106" s="1842"/>
      <c r="M106" s="1842"/>
      <c r="N106" s="1629"/>
      <c r="O106" s="1629"/>
      <c r="P106" s="1629"/>
    </row>
    <row r="107" spans="1:16" s="914" customFormat="1" ht="58.5" customHeight="1">
      <c r="A107" s="914" t="s">
        <v>91</v>
      </c>
      <c r="B107" s="1842" t="s">
        <v>410</v>
      </c>
      <c r="C107" s="1842"/>
      <c r="D107" s="1842"/>
      <c r="E107" s="1842"/>
      <c r="F107" s="1842"/>
      <c r="G107" s="1842"/>
      <c r="H107" s="1842"/>
      <c r="I107" s="1842"/>
      <c r="J107" s="1842"/>
      <c r="K107" s="1842"/>
      <c r="L107" s="1842"/>
      <c r="M107" s="1842"/>
      <c r="N107" s="1629"/>
      <c r="O107" s="1629"/>
      <c r="P107" s="1629"/>
    </row>
    <row r="108" spans="1:16" s="914" customFormat="1" ht="58.5" customHeight="1">
      <c r="A108" s="914" t="s">
        <v>93</v>
      </c>
      <c r="B108" s="1842" t="s">
        <v>411</v>
      </c>
      <c r="C108" s="1842"/>
      <c r="D108" s="1842"/>
      <c r="E108" s="1842"/>
      <c r="F108" s="1842"/>
      <c r="G108" s="1842"/>
      <c r="H108" s="1842"/>
      <c r="I108" s="1842"/>
      <c r="J108" s="1842"/>
      <c r="K108" s="1842"/>
      <c r="L108" s="1842"/>
      <c r="M108" s="1842"/>
      <c r="N108" s="1629"/>
      <c r="O108" s="1629"/>
      <c r="P108" s="1629"/>
    </row>
    <row r="109" spans="1:16" ht="18.75" customHeight="1"/>
  </sheetData>
  <mergeCells count="4">
    <mergeCell ref="B106:M106"/>
    <mergeCell ref="B107:M107"/>
    <mergeCell ref="B108:M108"/>
    <mergeCell ref="A3:J3"/>
  </mergeCells>
  <pageMargins left="0.78740157480314965" right="0.31496062992125984" top="0.19685039370078741" bottom="0.22" header="0.19685039370078741" footer="0.19685039370078741"/>
  <pageSetup paperSize="9" scale="50" orientation="portrait" r:id="rId1"/>
  <headerFooter alignWithMargins="0"/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P108"/>
  <sheetViews>
    <sheetView view="pageBreakPreview" zoomScaleNormal="100" workbookViewId="0">
      <pane xSplit="2" ySplit="5" topLeftCell="C6" activePane="bottomRight" state="frozen"/>
      <selection activeCell="F4" sqref="F4"/>
      <selection pane="topRight" activeCell="F4" sqref="F4"/>
      <selection pane="bottomLeft" activeCell="F4" sqref="F4"/>
      <selection pane="bottomRight" activeCell="F4" sqref="F4"/>
    </sheetView>
  </sheetViews>
  <sheetFormatPr defaultColWidth="3.7109375" defaultRowHeight="15" outlineLevelRow="1"/>
  <cols>
    <col min="1" max="1" width="5.140625" style="1" customWidth="1"/>
    <col min="2" max="2" width="43.28515625" style="1" customWidth="1"/>
    <col min="3" max="4" width="13.42578125" style="1" hidden="1" customWidth="1"/>
    <col min="5" max="9" width="13.42578125" style="1" customWidth="1"/>
    <col min="10" max="10" width="15.7109375" style="1" customWidth="1"/>
    <col min="11" max="11" width="12.28515625" style="1" customWidth="1"/>
    <col min="12" max="12" width="12.140625" style="1" customWidth="1"/>
    <col min="13" max="51" width="9.140625" style="1" customWidth="1"/>
    <col min="52" max="16384" width="3.7109375" style="1"/>
  </cols>
  <sheetData>
    <row r="1" spans="1:16" ht="16.5" customHeight="1">
      <c r="A1" s="74" t="s">
        <v>1860</v>
      </c>
      <c r="J1" s="23"/>
      <c r="K1" s="23" t="s">
        <v>359</v>
      </c>
      <c r="L1" s="23"/>
    </row>
    <row r="2" spans="1:16" ht="12.75" customHeight="1">
      <c r="A2" s="105" t="str">
        <f>'3.1'!$A$2</f>
        <v>ПКГО - Комбинированная выработка КТЭЦ</v>
      </c>
    </row>
    <row r="3" spans="1:16" ht="18.75">
      <c r="A3" s="1877" t="s">
        <v>1149</v>
      </c>
      <c r="B3" s="1914"/>
      <c r="C3" s="1914"/>
      <c r="D3" s="1914"/>
      <c r="E3" s="1914"/>
      <c r="F3" s="1914"/>
      <c r="G3" s="1914"/>
      <c r="H3" s="1914"/>
      <c r="I3" s="1914"/>
      <c r="J3" s="1914"/>
      <c r="K3" s="1630"/>
      <c r="L3" s="1630"/>
    </row>
    <row r="4" spans="1:16" ht="14.25" customHeight="1">
      <c r="J4" s="23"/>
      <c r="K4" s="23" t="s">
        <v>360</v>
      </c>
      <c r="L4" s="23"/>
    </row>
    <row r="5" spans="1:16" s="3" customFormat="1" ht="75">
      <c r="A5" s="103" t="s">
        <v>0</v>
      </c>
      <c r="B5" s="103" t="s">
        <v>1</v>
      </c>
      <c r="C5" s="944" t="s">
        <v>1534</v>
      </c>
      <c r="D5" s="944" t="s">
        <v>1130</v>
      </c>
      <c r="E5" s="944" t="s">
        <v>1520</v>
      </c>
      <c r="F5" s="540" t="s">
        <v>1695</v>
      </c>
      <c r="G5" s="1284" t="s">
        <v>1702</v>
      </c>
      <c r="H5" s="1576" t="s">
        <v>1828</v>
      </c>
      <c r="I5" s="1631" t="s">
        <v>1842</v>
      </c>
      <c r="J5" s="1631" t="s">
        <v>1861</v>
      </c>
      <c r="K5" s="1631" t="s">
        <v>1862</v>
      </c>
      <c r="L5" s="1631" t="s">
        <v>1863</v>
      </c>
    </row>
    <row r="6" spans="1:16" s="2" customFormat="1">
      <c r="A6" s="13">
        <v>1</v>
      </c>
      <c r="B6" s="13">
        <v>2</v>
      </c>
      <c r="C6" s="13">
        <v>3</v>
      </c>
      <c r="D6" s="13">
        <v>4</v>
      </c>
      <c r="E6" s="13">
        <v>3</v>
      </c>
      <c r="F6" s="13">
        <v>4</v>
      </c>
      <c r="G6" s="13">
        <v>5</v>
      </c>
      <c r="H6" s="13">
        <v>6</v>
      </c>
      <c r="I6" s="13">
        <v>7</v>
      </c>
      <c r="J6" s="13">
        <v>8</v>
      </c>
      <c r="K6" s="13">
        <v>9</v>
      </c>
      <c r="L6" s="13">
        <v>10</v>
      </c>
      <c r="M6" s="2">
        <v>10</v>
      </c>
      <c r="N6" s="2">
        <v>11</v>
      </c>
      <c r="O6" s="1790">
        <v>1.0680000000000001</v>
      </c>
      <c r="P6" s="1790">
        <v>1.0589999999999999</v>
      </c>
    </row>
    <row r="7" spans="1:16" s="1041" customFormat="1" ht="30" customHeight="1">
      <c r="A7" s="1037" t="s">
        <v>361</v>
      </c>
      <c r="B7" s="1038" t="s">
        <v>362</v>
      </c>
      <c r="C7" s="1039">
        <f t="shared" ref="C7:E7" si="0">C8+SUM(C10:C15)+C20+SUM(C22:C25)+SUM(C56:C61)</f>
        <v>0</v>
      </c>
      <c r="D7" s="1039">
        <f t="shared" si="0"/>
        <v>103415.0634</v>
      </c>
      <c r="E7" s="1039">
        <f t="shared" si="0"/>
        <v>0</v>
      </c>
      <c r="F7" s="1039">
        <v>131395.86929999999</v>
      </c>
      <c r="G7" s="1039">
        <v>0</v>
      </c>
      <c r="H7" s="1039">
        <v>135866.22203</v>
      </c>
      <c r="I7" s="1039">
        <v>61702</v>
      </c>
      <c r="J7" s="1039">
        <v>151956</v>
      </c>
      <c r="K7" s="1039">
        <v>168882.82944</v>
      </c>
      <c r="L7" s="1039">
        <v>178309.9669457624</v>
      </c>
      <c r="M7" s="1652"/>
      <c r="N7" s="1040"/>
      <c r="O7" s="1790">
        <f>'5.2_пр-во КТЭЦ+котельн'!H21</f>
        <v>1.05732</v>
      </c>
      <c r="P7" s="1790">
        <f>'5.2_пр-во КТЭЦ+котельн'!I21</f>
        <v>1.0484099999999998</v>
      </c>
    </row>
    <row r="8" spans="1:16" s="1046" customFormat="1" ht="15" customHeight="1">
      <c r="A8" s="1044"/>
      <c r="B8" s="1045" t="s">
        <v>363</v>
      </c>
      <c r="C8" s="258"/>
      <c r="D8" s="258">
        <v>532</v>
      </c>
      <c r="E8" s="258"/>
      <c r="F8" s="258">
        <v>835</v>
      </c>
      <c r="G8" s="258"/>
      <c r="H8" s="258">
        <v>1518</v>
      </c>
      <c r="I8" s="1719">
        <v>1988</v>
      </c>
      <c r="J8" s="1719">
        <v>1988</v>
      </c>
      <c r="K8" s="1719">
        <v>2101.9521600000003</v>
      </c>
      <c r="L8" s="1443">
        <v>2203.7076640656001</v>
      </c>
    </row>
    <row r="9" spans="1:16" s="4" customFormat="1" ht="15" customHeight="1">
      <c r="A9" s="17"/>
      <c r="B9" s="580" t="s">
        <v>1134</v>
      </c>
      <c r="C9" s="751"/>
      <c r="D9" s="751">
        <v>0</v>
      </c>
      <c r="E9" s="751"/>
      <c r="F9" s="751">
        <v>0</v>
      </c>
      <c r="G9" s="751"/>
      <c r="H9" s="751">
        <v>0</v>
      </c>
      <c r="I9" s="751">
        <v>0</v>
      </c>
      <c r="J9" s="751">
        <v>0</v>
      </c>
      <c r="K9" s="751">
        <v>0</v>
      </c>
      <c r="L9" s="1444">
        <v>0</v>
      </c>
    </row>
    <row r="10" spans="1:16" s="1046" customFormat="1" ht="15" customHeight="1">
      <c r="A10" s="1044"/>
      <c r="B10" s="1045" t="s">
        <v>364</v>
      </c>
      <c r="C10" s="258"/>
      <c r="D10" s="258">
        <v>0</v>
      </c>
      <c r="E10" s="258"/>
      <c r="F10" s="258">
        <v>0</v>
      </c>
      <c r="G10" s="258"/>
      <c r="H10" s="258">
        <v>0</v>
      </c>
      <c r="I10" s="258">
        <v>0</v>
      </c>
      <c r="J10" s="258">
        <v>0</v>
      </c>
      <c r="K10" s="258">
        <v>0</v>
      </c>
      <c r="L10" s="258">
        <v>0</v>
      </c>
    </row>
    <row r="11" spans="1:16" s="1046" customFormat="1" ht="30">
      <c r="A11" s="1044"/>
      <c r="B11" s="1045" t="s">
        <v>365</v>
      </c>
      <c r="C11" s="258"/>
      <c r="D11" s="258">
        <v>0</v>
      </c>
      <c r="E11" s="258"/>
      <c r="F11" s="258">
        <v>0</v>
      </c>
      <c r="G11" s="258"/>
      <c r="H11" s="258">
        <v>0</v>
      </c>
      <c r="I11" s="258">
        <v>0</v>
      </c>
      <c r="J11" s="258">
        <v>0</v>
      </c>
      <c r="K11" s="258">
        <v>0</v>
      </c>
      <c r="L11" s="258">
        <v>0</v>
      </c>
    </row>
    <row r="12" spans="1:16" s="1046" customFormat="1" ht="15" customHeight="1">
      <c r="A12" s="1044"/>
      <c r="B12" s="1045" t="s">
        <v>366</v>
      </c>
      <c r="C12" s="258"/>
      <c r="D12" s="258">
        <v>0</v>
      </c>
      <c r="E12" s="258"/>
      <c r="F12" s="258"/>
      <c r="G12" s="258"/>
      <c r="H12" s="258">
        <v>0</v>
      </c>
      <c r="I12" s="258">
        <v>0</v>
      </c>
      <c r="J12" s="258">
        <v>0</v>
      </c>
      <c r="K12" s="258">
        <v>0</v>
      </c>
      <c r="L12" s="258">
        <v>0</v>
      </c>
    </row>
    <row r="13" spans="1:16" s="1046" customFormat="1" ht="15" customHeight="1">
      <c r="A13" s="1044"/>
      <c r="B13" s="1045" t="s">
        <v>367</v>
      </c>
      <c r="C13" s="258"/>
      <c r="D13" s="258"/>
      <c r="E13" s="258"/>
      <c r="F13" s="258"/>
      <c r="G13" s="258"/>
      <c r="H13" s="258"/>
      <c r="I13" s="258"/>
      <c r="J13" s="258"/>
      <c r="K13" s="258"/>
      <c r="L13" s="258"/>
    </row>
    <row r="14" spans="1:16" s="1046" customFormat="1" ht="30">
      <c r="A14" s="1044"/>
      <c r="B14" s="1045" t="s">
        <v>368</v>
      </c>
      <c r="C14" s="258"/>
      <c r="D14" s="258">
        <f>'4.10_сбыт_КТЭЦ'!E97</f>
        <v>558</v>
      </c>
      <c r="E14" s="258"/>
      <c r="F14" s="258">
        <v>679</v>
      </c>
      <c r="G14" s="258">
        <v>0</v>
      </c>
      <c r="H14" s="258">
        <v>535</v>
      </c>
      <c r="I14" s="258">
        <v>0</v>
      </c>
      <c r="J14" s="258">
        <v>896</v>
      </c>
      <c r="K14" s="258">
        <v>1053</v>
      </c>
      <c r="L14" s="258">
        <v>1166</v>
      </c>
    </row>
    <row r="15" spans="1:16" s="1046" customFormat="1" ht="15" customHeight="1">
      <c r="A15" s="1044"/>
      <c r="B15" s="1045" t="s">
        <v>1135</v>
      </c>
      <c r="C15" s="258">
        <f>C16+C18+C19</f>
        <v>0</v>
      </c>
      <c r="D15" s="258">
        <f t="shared" ref="D15:E15" si="1">D16+D18+D19</f>
        <v>48529</v>
      </c>
      <c r="E15" s="258">
        <f t="shared" si="1"/>
        <v>0</v>
      </c>
      <c r="F15" s="258">
        <v>64017</v>
      </c>
      <c r="G15" s="258">
        <v>0</v>
      </c>
      <c r="H15" s="258">
        <v>57466</v>
      </c>
      <c r="I15" s="258">
        <v>0</v>
      </c>
      <c r="J15" s="258">
        <v>71850</v>
      </c>
      <c r="K15" s="258">
        <v>79798.5</v>
      </c>
      <c r="L15" s="258">
        <v>84482</v>
      </c>
    </row>
    <row r="16" spans="1:16" s="341" customFormat="1" ht="15" customHeight="1">
      <c r="A16" s="339"/>
      <c r="B16" s="581" t="s">
        <v>1136</v>
      </c>
      <c r="C16" s="308"/>
      <c r="D16" s="981">
        <v>47028</v>
      </c>
      <c r="E16" s="981"/>
      <c r="F16" s="981">
        <v>62874</v>
      </c>
      <c r="G16" s="981"/>
      <c r="H16" s="981">
        <v>55769</v>
      </c>
      <c r="I16" s="981"/>
      <c r="J16" s="981">
        <v>70403</v>
      </c>
      <c r="K16" s="981">
        <v>78699.5</v>
      </c>
      <c r="L16" s="981">
        <v>83333</v>
      </c>
    </row>
    <row r="17" spans="1:14" s="341" customFormat="1" ht="15" customHeight="1">
      <c r="A17" s="339"/>
      <c r="B17" s="580" t="s">
        <v>1134</v>
      </c>
      <c r="C17" s="752"/>
      <c r="D17" s="752">
        <v>0</v>
      </c>
      <c r="E17" s="752"/>
      <c r="F17" s="752">
        <v>0</v>
      </c>
      <c r="G17" s="752"/>
      <c r="H17" s="752">
        <v>0</v>
      </c>
      <c r="I17" s="752">
        <v>0</v>
      </c>
      <c r="J17" s="752">
        <v>0</v>
      </c>
      <c r="K17" s="752">
        <v>0</v>
      </c>
      <c r="L17" s="1444">
        <v>0</v>
      </c>
    </row>
    <row r="18" spans="1:14" s="341" customFormat="1" ht="15" customHeight="1">
      <c r="A18" s="339"/>
      <c r="B18" s="581" t="s">
        <v>1137</v>
      </c>
      <c r="C18" s="308"/>
      <c r="D18" s="981">
        <v>1501</v>
      </c>
      <c r="E18" s="981"/>
      <c r="F18" s="981">
        <v>1076</v>
      </c>
      <c r="G18" s="981"/>
      <c r="H18" s="981">
        <v>1610</v>
      </c>
      <c r="I18" s="981"/>
      <c r="J18" s="981">
        <v>1447</v>
      </c>
      <c r="K18" s="981">
        <v>1099</v>
      </c>
      <c r="L18" s="981">
        <v>1149</v>
      </c>
    </row>
    <row r="19" spans="1:14" s="341" customFormat="1" ht="15" customHeight="1">
      <c r="A19" s="339"/>
      <c r="B19" s="581" t="s">
        <v>1138</v>
      </c>
      <c r="C19" s="752"/>
      <c r="D19" s="981">
        <v>0</v>
      </c>
      <c r="E19" s="981"/>
      <c r="F19" s="981">
        <v>67</v>
      </c>
      <c r="G19" s="981"/>
      <c r="H19" s="981">
        <v>87</v>
      </c>
      <c r="I19" s="981">
        <v>0</v>
      </c>
      <c r="J19" s="981">
        <v>0</v>
      </c>
      <c r="K19" s="981">
        <v>0</v>
      </c>
      <c r="L19" s="981">
        <v>0</v>
      </c>
    </row>
    <row r="20" spans="1:14" s="1046" customFormat="1">
      <c r="A20" s="1044"/>
      <c r="B20" s="1045" t="s">
        <v>369</v>
      </c>
      <c r="C20" s="258"/>
      <c r="D20" s="258">
        <v>13384</v>
      </c>
      <c r="E20" s="258"/>
      <c r="F20" s="258">
        <v>16324</v>
      </c>
      <c r="G20" s="258"/>
      <c r="H20" s="258">
        <v>15128</v>
      </c>
      <c r="I20" s="258"/>
      <c r="J20" s="258">
        <v>16321</v>
      </c>
      <c r="K20" s="258">
        <v>21672</v>
      </c>
      <c r="L20" s="982">
        <v>23116</v>
      </c>
    </row>
    <row r="21" spans="1:14" s="341" customFormat="1">
      <c r="A21" s="339"/>
      <c r="B21" s="580" t="s">
        <v>1134</v>
      </c>
      <c r="C21" s="752"/>
      <c r="D21" s="752">
        <v>0</v>
      </c>
      <c r="E21" s="752"/>
      <c r="F21" s="752">
        <v>0</v>
      </c>
      <c r="G21" s="752"/>
      <c r="H21" s="752">
        <v>0</v>
      </c>
      <c r="I21" s="752">
        <v>0</v>
      </c>
      <c r="J21" s="752">
        <v>0</v>
      </c>
      <c r="K21" s="752">
        <v>0</v>
      </c>
      <c r="L21" s="1444">
        <v>0</v>
      </c>
    </row>
    <row r="22" spans="1:14" s="1046" customFormat="1" ht="30" customHeight="1">
      <c r="A22" s="1044"/>
      <c r="B22" s="1045" t="s">
        <v>370</v>
      </c>
      <c r="C22" s="258"/>
      <c r="D22" s="258">
        <v>1113</v>
      </c>
      <c r="E22" s="258"/>
      <c r="F22" s="258">
        <v>234</v>
      </c>
      <c r="G22" s="258"/>
      <c r="H22" s="258">
        <v>576</v>
      </c>
      <c r="I22" s="258">
        <v>810</v>
      </c>
      <c r="J22" s="258">
        <v>771</v>
      </c>
      <c r="K22" s="258">
        <v>968</v>
      </c>
      <c r="L22" s="1443">
        <v>897.88893757199992</v>
      </c>
    </row>
    <row r="23" spans="1:14" s="1046" customFormat="1" ht="60">
      <c r="A23" s="1044"/>
      <c r="B23" s="1045" t="s">
        <v>1139</v>
      </c>
      <c r="C23" s="258"/>
      <c r="D23" s="258">
        <v>0</v>
      </c>
      <c r="E23" s="258"/>
      <c r="F23" s="258">
        <v>0</v>
      </c>
      <c r="G23" s="258"/>
      <c r="H23" s="258">
        <v>0</v>
      </c>
      <c r="I23" s="258">
        <v>0</v>
      </c>
      <c r="J23" s="258">
        <v>0</v>
      </c>
      <c r="K23" s="258">
        <v>0</v>
      </c>
      <c r="L23" s="258">
        <v>0</v>
      </c>
    </row>
    <row r="24" spans="1:14" s="1046" customFormat="1" ht="60">
      <c r="A24" s="1044"/>
      <c r="B24" s="1045" t="s">
        <v>372</v>
      </c>
      <c r="C24" s="258"/>
      <c r="D24" s="258">
        <f>6597-1113</f>
        <v>5484</v>
      </c>
      <c r="E24" s="258"/>
      <c r="F24" s="258">
        <v>5237</v>
      </c>
      <c r="G24" s="258">
        <v>0</v>
      </c>
      <c r="H24" s="258">
        <v>5374</v>
      </c>
      <c r="I24" s="1719">
        <v>15263</v>
      </c>
      <c r="J24" s="1719">
        <v>15263</v>
      </c>
      <c r="K24" s="1719">
        <v>16137.875160000001</v>
      </c>
      <c r="L24" s="1443">
        <v>16919.109696495598</v>
      </c>
    </row>
    <row r="25" spans="1:14" s="1046" customFormat="1" ht="90">
      <c r="A25" s="1044"/>
      <c r="B25" s="1045" t="s">
        <v>373</v>
      </c>
      <c r="C25" s="258">
        <f>C27+C28+C29+C55</f>
        <v>0</v>
      </c>
      <c r="D25" s="258">
        <f t="shared" ref="D25:N25" si="2">D27+D28+D29+D55</f>
        <v>32442.063399999995</v>
      </c>
      <c r="E25" s="258">
        <f>E27+E28+E29</f>
        <v>0</v>
      </c>
      <c r="F25" s="258">
        <v>42632.869299999998</v>
      </c>
      <c r="G25" s="258">
        <v>0</v>
      </c>
      <c r="H25" s="258">
        <v>53976.222030000004</v>
      </c>
      <c r="I25" s="1719">
        <v>42874</v>
      </c>
      <c r="J25" s="1719">
        <v>42874</v>
      </c>
      <c r="K25" s="1719">
        <v>45331.537680000001</v>
      </c>
      <c r="L25" s="1443">
        <v>47526.037419088796</v>
      </c>
      <c r="M25" s="258"/>
      <c r="N25" s="258"/>
    </row>
    <row r="26" spans="1:14" s="4" customFormat="1">
      <c r="A26" s="17"/>
      <c r="B26" s="51" t="s">
        <v>70</v>
      </c>
      <c r="C26" s="241"/>
      <c r="D26" s="241"/>
      <c r="E26" s="241"/>
      <c r="F26" s="241"/>
      <c r="G26" s="241"/>
      <c r="H26" s="241"/>
      <c r="I26" s="241"/>
      <c r="J26" s="241"/>
      <c r="K26" s="241"/>
      <c r="L26" s="241"/>
    </row>
    <row r="27" spans="1:14" s="4" customFormat="1">
      <c r="A27" s="17"/>
      <c r="B27" s="581" t="s">
        <v>1275</v>
      </c>
      <c r="C27" s="766"/>
      <c r="D27" s="766">
        <v>4</v>
      </c>
      <c r="E27" s="766"/>
      <c r="F27" s="766">
        <v>4</v>
      </c>
      <c r="G27" s="766"/>
      <c r="H27" s="766">
        <v>0</v>
      </c>
      <c r="I27" s="766">
        <v>0</v>
      </c>
      <c r="J27" s="766">
        <v>0</v>
      </c>
      <c r="K27" s="766">
        <v>0</v>
      </c>
      <c r="L27" s="766">
        <v>0</v>
      </c>
    </row>
    <row r="28" spans="1:14" s="4" customFormat="1">
      <c r="A28" s="17"/>
      <c r="B28" s="581" t="s">
        <v>1276</v>
      </c>
      <c r="C28" s="766"/>
      <c r="D28" s="766">
        <v>0</v>
      </c>
      <c r="E28" s="766"/>
      <c r="F28" s="766">
        <v>79</v>
      </c>
      <c r="G28" s="766"/>
      <c r="H28" s="766">
        <v>92</v>
      </c>
      <c r="I28" s="1720">
        <v>164</v>
      </c>
      <c r="J28" s="1720">
        <v>164</v>
      </c>
      <c r="K28" s="1720">
        <v>173.40048000000002</v>
      </c>
      <c r="L28" s="1720">
        <v>181.79479723679998</v>
      </c>
    </row>
    <row r="29" spans="1:14" s="4" customFormat="1">
      <c r="A29" s="17"/>
      <c r="B29" s="581" t="s">
        <v>1559</v>
      </c>
      <c r="C29" s="766">
        <f>C30+C31</f>
        <v>0</v>
      </c>
      <c r="D29" s="766">
        <f t="shared" ref="D29:E29" si="3">D30+D31</f>
        <v>32438.063399999995</v>
      </c>
      <c r="E29" s="766">
        <f t="shared" si="3"/>
        <v>0</v>
      </c>
      <c r="F29" s="766">
        <v>42549.869299999998</v>
      </c>
      <c r="G29" s="766">
        <v>0</v>
      </c>
      <c r="H29" s="766">
        <v>53884.222030000004</v>
      </c>
      <c r="I29" s="1720">
        <v>42710</v>
      </c>
      <c r="J29" s="1720">
        <v>42710</v>
      </c>
      <c r="K29" s="1720">
        <v>45158.137200000005</v>
      </c>
      <c r="L29" s="1720">
        <v>47344.242621851998</v>
      </c>
    </row>
    <row r="30" spans="1:14" s="4" customFormat="1" outlineLevel="1">
      <c r="A30" s="737" t="s">
        <v>89</v>
      </c>
      <c r="B30" s="738" t="s">
        <v>1244</v>
      </c>
      <c r="C30" s="746"/>
      <c r="D30" s="746">
        <v>737</v>
      </c>
      <c r="E30" s="746"/>
      <c r="F30" s="746">
        <v>795</v>
      </c>
      <c r="G30" s="746"/>
      <c r="H30" s="746">
        <v>832</v>
      </c>
      <c r="I30" s="746"/>
      <c r="J30" s="746"/>
      <c r="K30" s="746"/>
      <c r="L30" s="1451"/>
      <c r="M30" s="1"/>
    </row>
    <row r="31" spans="1:14" s="341" customFormat="1" outlineLevel="1">
      <c r="A31" s="760" t="s">
        <v>91</v>
      </c>
      <c r="B31" s="761" t="s">
        <v>1245</v>
      </c>
      <c r="C31" s="746">
        <f t="shared" ref="C31:D31" si="4">SUM(C32:C43)+C45</f>
        <v>0</v>
      </c>
      <c r="D31" s="746">
        <f t="shared" si="4"/>
        <v>31701.063399999995</v>
      </c>
      <c r="E31" s="746">
        <f>SUM(E32:E45)</f>
        <v>0</v>
      </c>
      <c r="F31" s="746">
        <v>41754.869299999998</v>
      </c>
      <c r="G31" s="746">
        <v>0</v>
      </c>
      <c r="H31" s="746">
        <v>53052.222030000004</v>
      </c>
      <c r="I31" s="746">
        <v>2627.3660999999997</v>
      </c>
      <c r="J31" s="746">
        <v>2627.3660999999997</v>
      </c>
      <c r="K31" s="746">
        <v>0</v>
      </c>
      <c r="L31" s="746">
        <v>0</v>
      </c>
      <c r="M31" s="763"/>
    </row>
    <row r="32" spans="1:14" s="4" customFormat="1" ht="26.25" outlineLevel="1">
      <c r="A32" s="739" t="s">
        <v>1044</v>
      </c>
      <c r="B32" s="740" t="s">
        <v>1247</v>
      </c>
      <c r="C32" s="740"/>
      <c r="D32" s="952">
        <f>3837*0.2602</f>
        <v>998.38739999999996</v>
      </c>
      <c r="E32" s="308"/>
      <c r="F32" s="308">
        <v>2532.8520000000003</v>
      </c>
      <c r="G32" s="952"/>
      <c r="H32" s="308">
        <v>2300.45424</v>
      </c>
      <c r="I32" s="308"/>
      <c r="J32" s="308"/>
      <c r="K32" s="308"/>
      <c r="L32" s="308"/>
      <c r="M32" s="1"/>
    </row>
    <row r="33" spans="1:14" s="4" customFormat="1" ht="39" outlineLevel="1">
      <c r="A33" s="739" t="s">
        <v>1043</v>
      </c>
      <c r="B33" s="740" t="s">
        <v>1249</v>
      </c>
      <c r="C33" s="740"/>
      <c r="D33" s="952">
        <f>57*0.2602</f>
        <v>14.831399999999999</v>
      </c>
      <c r="E33" s="308"/>
      <c r="F33" s="879">
        <v>1.5076500000000002</v>
      </c>
      <c r="G33" s="952"/>
      <c r="H33" s="879"/>
      <c r="I33" s="879"/>
      <c r="J33" s="879"/>
      <c r="K33" s="879"/>
      <c r="L33" s="879"/>
      <c r="M33" s="1"/>
    </row>
    <row r="34" spans="1:14" s="4" customFormat="1" outlineLevel="1">
      <c r="A34" s="741" t="s">
        <v>1540</v>
      </c>
      <c r="B34" s="740" t="s">
        <v>1250</v>
      </c>
      <c r="C34" s="740"/>
      <c r="D34" s="952">
        <f>968*0.2602</f>
        <v>251.87359999999998</v>
      </c>
      <c r="E34" s="308"/>
      <c r="F34" s="308">
        <v>646.78185000000008</v>
      </c>
      <c r="G34" s="952"/>
      <c r="H34" s="308">
        <v>797.54424000000006</v>
      </c>
      <c r="I34" s="308"/>
      <c r="J34" s="308"/>
      <c r="K34" s="308"/>
      <c r="L34" s="308"/>
      <c r="M34" s="1"/>
    </row>
    <row r="35" spans="1:14" s="4" customFormat="1" ht="15" customHeight="1" outlineLevel="1">
      <c r="A35" s="739" t="s">
        <v>1541</v>
      </c>
      <c r="B35" s="740" t="s">
        <v>1251</v>
      </c>
      <c r="C35" s="740"/>
      <c r="D35" s="952">
        <f>2408*0.2602</f>
        <v>626.5616</v>
      </c>
      <c r="E35" s="308"/>
      <c r="F35" s="308">
        <v>2027.2867000000001</v>
      </c>
      <c r="G35" s="952"/>
      <c r="H35" s="308">
        <v>1542.9876000000002</v>
      </c>
      <c r="I35" s="308"/>
      <c r="J35" s="308"/>
      <c r="K35" s="308"/>
      <c r="L35" s="308"/>
      <c r="M35" s="1"/>
    </row>
    <row r="36" spans="1:14" s="4" customFormat="1" outlineLevel="1">
      <c r="A36" s="739" t="s">
        <v>1542</v>
      </c>
      <c r="B36" s="740" t="s">
        <v>1252</v>
      </c>
      <c r="C36" s="740"/>
      <c r="D36" s="952">
        <f>11786*0.2602</f>
        <v>3066.7172</v>
      </c>
      <c r="E36" s="308"/>
      <c r="F36" s="308">
        <v>5682.8354000000008</v>
      </c>
      <c r="G36" s="952"/>
      <c r="H36" s="308">
        <v>8620.1907900000006</v>
      </c>
      <c r="I36" s="308"/>
      <c r="J36" s="308"/>
      <c r="K36" s="308"/>
      <c r="L36" s="1442"/>
      <c r="M36" s="1"/>
    </row>
    <row r="37" spans="1:14" s="4" customFormat="1" outlineLevel="1">
      <c r="A37" s="739" t="s">
        <v>1543</v>
      </c>
      <c r="B37" s="740" t="s">
        <v>1253</v>
      </c>
      <c r="C37" s="740"/>
      <c r="D37" s="952">
        <f>10310*0.2602</f>
        <v>2682.6619999999998</v>
      </c>
      <c r="E37" s="308"/>
      <c r="F37" s="308">
        <v>5004.8954500000009</v>
      </c>
      <c r="G37" s="952"/>
      <c r="H37" s="308">
        <v>9703.7889000000014</v>
      </c>
      <c r="I37" s="308"/>
      <c r="J37" s="308"/>
      <c r="K37" s="308"/>
      <c r="L37" s="308"/>
      <c r="M37" s="1"/>
    </row>
    <row r="38" spans="1:14" s="4" customFormat="1" outlineLevel="1">
      <c r="A38" s="739" t="s">
        <v>1544</v>
      </c>
      <c r="B38" s="742" t="s">
        <v>1254</v>
      </c>
      <c r="C38" s="742"/>
      <c r="D38" s="952">
        <f>1516*0.2602</f>
        <v>394.46319999999997</v>
      </c>
      <c r="E38" s="308"/>
      <c r="F38" s="308">
        <v>1246.3240000000001</v>
      </c>
      <c r="G38" s="952"/>
      <c r="H38" s="308">
        <v>1205.3338200000001</v>
      </c>
      <c r="I38" s="308">
        <v>2627.3660999999997</v>
      </c>
      <c r="J38" s="308">
        <v>2627.3660999999997</v>
      </c>
      <c r="K38" s="308"/>
      <c r="L38" s="308"/>
      <c r="M38" s="1"/>
    </row>
    <row r="39" spans="1:14" s="4" customFormat="1" outlineLevel="1">
      <c r="A39" s="739" t="s">
        <v>1545</v>
      </c>
      <c r="B39" s="740" t="s">
        <v>1255</v>
      </c>
      <c r="C39" s="740"/>
      <c r="D39" s="952">
        <f>261*0.2602</f>
        <v>67.912199999999999</v>
      </c>
      <c r="E39" s="308"/>
      <c r="F39" s="308">
        <v>183.43075000000002</v>
      </c>
      <c r="G39" s="952"/>
      <c r="H39" s="308">
        <v>255.49470000000002</v>
      </c>
      <c r="I39" s="308"/>
      <c r="J39" s="308"/>
      <c r="K39" s="308"/>
      <c r="L39" s="308"/>
      <c r="M39" s="1"/>
    </row>
    <row r="40" spans="1:14" s="4" customFormat="1" ht="25.5" outlineLevel="1">
      <c r="A40" s="739" t="s">
        <v>1546</v>
      </c>
      <c r="B40" s="742" t="s">
        <v>1256</v>
      </c>
      <c r="C40" s="742"/>
      <c r="D40" s="952">
        <f>745*0.2602</f>
        <v>193.84899999999999</v>
      </c>
      <c r="E40" s="308"/>
      <c r="F40" s="308">
        <v>704.57510000000002</v>
      </c>
      <c r="G40" s="952"/>
      <c r="H40" s="308">
        <v>228.44232000000002</v>
      </c>
      <c r="I40" s="308"/>
      <c r="J40" s="308"/>
      <c r="K40" s="308"/>
      <c r="L40" s="308"/>
      <c r="M40" s="1"/>
    </row>
    <row r="41" spans="1:14" s="4" customFormat="1" outlineLevel="1">
      <c r="A41" s="739" t="s">
        <v>1547</v>
      </c>
      <c r="B41" s="742" t="s">
        <v>1257</v>
      </c>
      <c r="C41" s="742"/>
      <c r="D41" s="952">
        <f>11163*0.2602+19157</f>
        <v>22061.6126</v>
      </c>
      <c r="E41" s="308"/>
      <c r="F41" s="308">
        <v>19465.269150000004</v>
      </c>
      <c r="G41" s="952"/>
      <c r="H41" s="308">
        <v>23611.71804</v>
      </c>
      <c r="I41" s="308"/>
      <c r="J41" s="308"/>
      <c r="K41" s="308"/>
      <c r="L41" s="308"/>
      <c r="M41" s="1"/>
    </row>
    <row r="42" spans="1:14" s="4" customFormat="1" outlineLevel="1">
      <c r="A42" s="741" t="s">
        <v>1548</v>
      </c>
      <c r="B42" s="742" t="s">
        <v>1556</v>
      </c>
      <c r="C42" s="742"/>
      <c r="D42" s="952">
        <f>337*0.2602</f>
        <v>87.687399999999997</v>
      </c>
      <c r="E42" s="308"/>
      <c r="F42" s="308">
        <v>532.20045000000005</v>
      </c>
      <c r="G42" s="952"/>
      <c r="H42" s="308">
        <v>267.01701000000003</v>
      </c>
      <c r="I42" s="308"/>
      <c r="J42" s="308"/>
      <c r="K42" s="308"/>
      <c r="L42" s="308"/>
      <c r="M42" s="1"/>
    </row>
    <row r="43" spans="1:14" s="4" customFormat="1" outlineLevel="1">
      <c r="A43" s="741" t="s">
        <v>1549</v>
      </c>
      <c r="B43" s="742" t="s">
        <v>1258</v>
      </c>
      <c r="C43" s="742"/>
      <c r="D43" s="952">
        <f>1682*0.2602</f>
        <v>437.65639999999996</v>
      </c>
      <c r="E43" s="308"/>
      <c r="F43" s="308">
        <v>785.98820000000012</v>
      </c>
      <c r="G43" s="952"/>
      <c r="H43" s="308">
        <v>1005.4467900000001</v>
      </c>
      <c r="I43" s="308"/>
      <c r="J43" s="308"/>
      <c r="K43" s="308"/>
      <c r="L43" s="308"/>
      <c r="M43" s="1"/>
    </row>
    <row r="44" spans="1:14" s="4" customFormat="1" outlineLevel="1">
      <c r="A44" s="764" t="s">
        <v>1555</v>
      </c>
      <c r="B44" s="742" t="s">
        <v>1890</v>
      </c>
      <c r="C44" s="742"/>
      <c r="D44" s="952">
        <v>438</v>
      </c>
      <c r="E44" s="308"/>
      <c r="F44" s="308"/>
      <c r="G44" s="952"/>
      <c r="H44" s="308"/>
      <c r="I44" s="308"/>
      <c r="J44" s="308"/>
      <c r="K44" s="308"/>
      <c r="L44" s="952"/>
      <c r="M44" s="1"/>
    </row>
    <row r="45" spans="1:14" s="341" customFormat="1" outlineLevel="1">
      <c r="A45" s="764" t="s">
        <v>1889</v>
      </c>
      <c r="B45" s="765" t="s">
        <v>1259</v>
      </c>
      <c r="C45" s="746">
        <f t="shared" ref="C45:E45" si="5">SUM(C46:C55)</f>
        <v>0</v>
      </c>
      <c r="D45" s="746">
        <f t="shared" si="5"/>
        <v>816.84939999999983</v>
      </c>
      <c r="E45" s="746">
        <f t="shared" si="5"/>
        <v>0</v>
      </c>
      <c r="F45" s="746">
        <v>2940.9226000000003</v>
      </c>
      <c r="G45" s="746">
        <v>0</v>
      </c>
      <c r="H45" s="746">
        <v>3513.8035800000007</v>
      </c>
      <c r="I45" s="746">
        <v>0</v>
      </c>
      <c r="J45" s="746">
        <v>0</v>
      </c>
      <c r="K45" s="746">
        <v>0</v>
      </c>
      <c r="L45" s="746">
        <v>0</v>
      </c>
      <c r="M45" s="746"/>
      <c r="N45" s="746"/>
    </row>
    <row r="46" spans="1:14" s="4" customFormat="1" outlineLevel="1">
      <c r="A46" s="744"/>
      <c r="B46" s="745" t="s">
        <v>1260</v>
      </c>
      <c r="C46" s="745"/>
      <c r="D46" s="952">
        <f>472*0.2602</f>
        <v>122.81439999999999</v>
      </c>
      <c r="E46" s="308"/>
      <c r="F46" s="308">
        <v>268.86425000000003</v>
      </c>
      <c r="G46" s="952"/>
      <c r="H46" s="308">
        <v>183.35502</v>
      </c>
      <c r="I46" s="308"/>
      <c r="J46" s="308"/>
      <c r="K46" s="308"/>
      <c r="L46" s="308"/>
      <c r="M46" s="1"/>
    </row>
    <row r="47" spans="1:14" s="4" customFormat="1" outlineLevel="1">
      <c r="A47" s="744"/>
      <c r="B47" s="743" t="s">
        <v>1261</v>
      </c>
      <c r="C47" s="743"/>
      <c r="D47" s="952">
        <f>634*0.2602</f>
        <v>164.96679999999998</v>
      </c>
      <c r="E47" s="308"/>
      <c r="F47" s="308">
        <v>455.31030000000004</v>
      </c>
      <c r="G47" s="952"/>
      <c r="H47" s="308">
        <v>384.74495999999999</v>
      </c>
      <c r="I47" s="308"/>
      <c r="J47" s="308"/>
      <c r="K47" s="308"/>
      <c r="L47" s="308"/>
      <c r="M47" s="1"/>
    </row>
    <row r="48" spans="1:14" s="4" customFormat="1" outlineLevel="1">
      <c r="A48" s="744"/>
      <c r="B48" s="743" t="s">
        <v>1262</v>
      </c>
      <c r="C48" s="743"/>
      <c r="D48" s="952">
        <f>809*0.2602</f>
        <v>210.5018</v>
      </c>
      <c r="E48" s="308"/>
      <c r="F48" s="308">
        <v>553.81010000000003</v>
      </c>
      <c r="G48" s="952"/>
      <c r="H48" s="308">
        <v>513.99522000000002</v>
      </c>
      <c r="I48" s="308"/>
      <c r="J48" s="308"/>
      <c r="K48" s="308"/>
      <c r="L48" s="308"/>
      <c r="M48" s="1"/>
    </row>
    <row r="49" spans="1:13" s="4" customFormat="1" outlineLevel="1">
      <c r="A49" s="744"/>
      <c r="B49" s="743" t="s">
        <v>1263</v>
      </c>
      <c r="C49" s="743"/>
      <c r="D49" s="952">
        <f>257*0.2602</f>
        <v>66.871399999999994</v>
      </c>
      <c r="E49" s="308"/>
      <c r="F49" s="308">
        <v>462.34600000000006</v>
      </c>
      <c r="G49" s="952"/>
      <c r="H49" s="308">
        <v>134.25996000000001</v>
      </c>
      <c r="I49" s="308"/>
      <c r="J49" s="308"/>
      <c r="K49" s="308"/>
      <c r="L49" s="308"/>
      <c r="M49" s="1"/>
    </row>
    <row r="50" spans="1:13" s="4" customFormat="1" ht="25.5" outlineLevel="1">
      <c r="A50" s="744"/>
      <c r="B50" s="743" t="s">
        <v>1891</v>
      </c>
      <c r="C50" s="743"/>
      <c r="D50" s="952">
        <f>975*0.2602-2</f>
        <v>251.69499999999999</v>
      </c>
      <c r="E50" s="308"/>
      <c r="F50" s="308">
        <v>1200.5919500000002</v>
      </c>
      <c r="G50" s="952"/>
      <c r="H50" s="308">
        <v>1149.2251800000001</v>
      </c>
      <c r="I50" s="308"/>
      <c r="J50" s="308"/>
      <c r="K50" s="308"/>
      <c r="L50" s="308"/>
      <c r="M50" s="1"/>
    </row>
    <row r="51" spans="1:13" s="4" customFormat="1" ht="25.5" outlineLevel="1">
      <c r="A51" s="744"/>
      <c r="B51" s="743" t="s">
        <v>1264</v>
      </c>
      <c r="C51" s="743"/>
      <c r="D51" s="308"/>
      <c r="E51" s="308"/>
      <c r="F51" s="308"/>
      <c r="G51" s="308"/>
      <c r="H51" s="1302"/>
      <c r="I51" s="308"/>
      <c r="J51" s="308"/>
      <c r="K51" s="308"/>
      <c r="L51" s="308"/>
      <c r="M51" s="1"/>
    </row>
    <row r="52" spans="1:13" s="4" customFormat="1" outlineLevel="1">
      <c r="A52" s="744"/>
      <c r="B52" s="1391" t="s">
        <v>1883</v>
      </c>
      <c r="C52" s="743"/>
      <c r="D52" s="308"/>
      <c r="E52" s="308"/>
      <c r="F52" s="308"/>
      <c r="G52" s="308"/>
      <c r="H52" s="1302"/>
      <c r="I52" s="308"/>
      <c r="J52" s="308"/>
      <c r="K52" s="308"/>
      <c r="L52" s="1443"/>
      <c r="M52" s="1"/>
    </row>
    <row r="53" spans="1:13" s="4" customFormat="1" outlineLevel="1">
      <c r="A53" s="744"/>
      <c r="B53" s="743" t="s">
        <v>1884</v>
      </c>
      <c r="C53" s="743"/>
      <c r="D53" s="308"/>
      <c r="E53" s="308"/>
      <c r="F53" s="308"/>
      <c r="G53" s="308"/>
      <c r="H53" s="308">
        <v>1148.22324</v>
      </c>
      <c r="I53" s="308"/>
      <c r="J53" s="308"/>
      <c r="K53" s="308"/>
      <c r="L53" s="308"/>
      <c r="M53" s="1"/>
    </row>
    <row r="54" spans="1:13" s="4" customFormat="1" ht="25.5" outlineLevel="1">
      <c r="A54" s="17"/>
      <c r="B54" s="743" t="s">
        <v>1885</v>
      </c>
      <c r="C54" s="241"/>
      <c r="D54" s="241"/>
      <c r="E54" s="241"/>
      <c r="F54" s="241"/>
      <c r="G54" s="241"/>
      <c r="H54" s="308"/>
      <c r="I54" s="308"/>
      <c r="J54" s="308"/>
      <c r="K54" s="308"/>
      <c r="L54" s="241"/>
    </row>
    <row r="55" spans="1:13" s="341" customFormat="1" ht="25.5" outlineLevel="1">
      <c r="A55" s="339"/>
      <c r="B55" s="743" t="s">
        <v>1886</v>
      </c>
      <c r="C55" s="308"/>
      <c r="D55" s="308"/>
      <c r="E55" s="308"/>
      <c r="F55" s="308"/>
      <c r="G55" s="308"/>
      <c r="H55" s="308"/>
      <c r="I55" s="308"/>
      <c r="J55" s="308"/>
      <c r="K55" s="308"/>
      <c r="L55" s="308"/>
    </row>
    <row r="56" spans="1:13" s="1046" customFormat="1" ht="90">
      <c r="A56" s="1044"/>
      <c r="B56" s="1045" t="s">
        <v>374</v>
      </c>
      <c r="C56" s="258"/>
      <c r="D56" s="258">
        <v>0</v>
      </c>
      <c r="E56" s="258"/>
      <c r="F56" s="258">
        <v>0</v>
      </c>
      <c r="G56" s="258"/>
      <c r="H56" s="258">
        <v>0</v>
      </c>
      <c r="I56" s="258">
        <v>0</v>
      </c>
      <c r="J56" s="258">
        <v>0</v>
      </c>
      <c r="K56" s="258">
        <v>0</v>
      </c>
      <c r="L56" s="1443">
        <v>0</v>
      </c>
    </row>
    <row r="57" spans="1:13" s="1046" customFormat="1" ht="30">
      <c r="A57" s="1044"/>
      <c r="B57" s="1045" t="s">
        <v>375</v>
      </c>
      <c r="C57" s="258"/>
      <c r="D57" s="258">
        <v>743</v>
      </c>
      <c r="E57" s="258"/>
      <c r="F57" s="258">
        <v>557</v>
      </c>
      <c r="G57" s="258"/>
      <c r="H57" s="258">
        <v>539</v>
      </c>
      <c r="I57" s="258"/>
      <c r="J57" s="258">
        <v>856</v>
      </c>
      <c r="K57" s="258">
        <v>619</v>
      </c>
      <c r="L57" s="258">
        <v>656</v>
      </c>
    </row>
    <row r="58" spans="1:13" s="1046" customFormat="1" ht="15" customHeight="1">
      <c r="A58" s="1044"/>
      <c r="B58" s="1045" t="s">
        <v>376</v>
      </c>
      <c r="C58" s="258"/>
      <c r="D58" s="258">
        <v>154</v>
      </c>
      <c r="E58" s="258"/>
      <c r="F58" s="258">
        <v>318</v>
      </c>
      <c r="G58" s="258"/>
      <c r="H58" s="258">
        <v>260</v>
      </c>
      <c r="I58" s="1719">
        <v>594</v>
      </c>
      <c r="J58" s="1719">
        <v>594</v>
      </c>
      <c r="K58" s="1719">
        <v>628.04808000000003</v>
      </c>
      <c r="L58" s="1443">
        <v>658.45188755279992</v>
      </c>
    </row>
    <row r="59" spans="1:13" s="1046" customFormat="1" ht="15" customHeight="1">
      <c r="A59" s="1044"/>
      <c r="B59" s="1045" t="s">
        <v>377</v>
      </c>
      <c r="C59" s="258"/>
      <c r="D59" s="258">
        <v>45</v>
      </c>
      <c r="E59" s="258"/>
      <c r="F59" s="258">
        <v>94</v>
      </c>
      <c r="G59" s="258"/>
      <c r="H59" s="258">
        <v>144</v>
      </c>
      <c r="I59" s="1719">
        <v>173</v>
      </c>
      <c r="J59" s="1719">
        <v>173</v>
      </c>
      <c r="K59" s="1719">
        <v>182.91636</v>
      </c>
      <c r="L59" s="1443">
        <v>191.77134098759996</v>
      </c>
    </row>
    <row r="60" spans="1:13" s="1046" customFormat="1" ht="45" customHeight="1">
      <c r="A60" s="1044"/>
      <c r="B60" s="1045" t="s">
        <v>378</v>
      </c>
      <c r="C60" s="258"/>
      <c r="D60" s="258">
        <v>193</v>
      </c>
      <c r="E60" s="258"/>
      <c r="F60" s="258">
        <v>190</v>
      </c>
      <c r="G60" s="258"/>
      <c r="H60" s="258">
        <v>125</v>
      </c>
      <c r="I60" s="258"/>
      <c r="J60" s="258">
        <v>168</v>
      </c>
      <c r="K60" s="258">
        <v>189</v>
      </c>
      <c r="L60" s="258">
        <v>200</v>
      </c>
    </row>
    <row r="61" spans="1:13" s="1046" customFormat="1" ht="30" customHeight="1">
      <c r="A61" s="1044"/>
      <c r="B61" s="1045" t="s">
        <v>379</v>
      </c>
      <c r="C61" s="258">
        <f>SUM(C62:C66)</f>
        <v>0</v>
      </c>
      <c r="D61" s="258">
        <f t="shared" ref="D61:E61" si="6">SUM(D62:D66)</f>
        <v>238</v>
      </c>
      <c r="E61" s="258">
        <f t="shared" si="6"/>
        <v>0</v>
      </c>
      <c r="F61" s="258">
        <v>278</v>
      </c>
      <c r="G61" s="258">
        <v>0</v>
      </c>
      <c r="H61" s="258">
        <v>225</v>
      </c>
      <c r="I61" s="258">
        <v>0</v>
      </c>
      <c r="J61" s="258">
        <v>202</v>
      </c>
      <c r="K61" s="258">
        <v>201</v>
      </c>
      <c r="L61" s="258">
        <v>293</v>
      </c>
    </row>
    <row r="62" spans="1:13" s="4" customFormat="1" ht="15" customHeight="1">
      <c r="A62" s="17"/>
      <c r="B62" s="51" t="s">
        <v>380</v>
      </c>
      <c r="C62" s="241"/>
      <c r="D62" s="241">
        <v>237</v>
      </c>
      <c r="E62" s="241"/>
      <c r="F62" s="241">
        <v>277</v>
      </c>
      <c r="G62" s="241"/>
      <c r="H62" s="241">
        <v>225</v>
      </c>
      <c r="I62" s="241"/>
      <c r="J62" s="241">
        <v>201</v>
      </c>
      <c r="K62" s="241">
        <v>200</v>
      </c>
      <c r="L62" s="1443">
        <v>292</v>
      </c>
    </row>
    <row r="63" spans="1:13" s="4" customFormat="1" ht="15" customHeight="1">
      <c r="A63" s="17"/>
      <c r="B63" s="51" t="s">
        <v>381</v>
      </c>
      <c r="C63" s="241"/>
      <c r="D63" s="241">
        <v>1</v>
      </c>
      <c r="E63" s="241"/>
      <c r="F63" s="241">
        <v>1</v>
      </c>
      <c r="G63" s="241"/>
      <c r="H63" s="241">
        <v>0</v>
      </c>
      <c r="I63" s="241">
        <v>0</v>
      </c>
      <c r="J63" s="308">
        <v>1</v>
      </c>
      <c r="K63" s="308">
        <v>1</v>
      </c>
      <c r="L63" s="1443">
        <v>1</v>
      </c>
    </row>
    <row r="64" spans="1:13" s="4" customFormat="1" ht="15" customHeight="1">
      <c r="A64" s="17"/>
      <c r="B64" s="51" t="s">
        <v>382</v>
      </c>
      <c r="C64" s="241"/>
      <c r="D64" s="241">
        <v>0</v>
      </c>
      <c r="E64" s="241"/>
      <c r="F64" s="241">
        <v>0</v>
      </c>
      <c r="G64" s="241"/>
      <c r="H64" s="241">
        <v>0</v>
      </c>
      <c r="I64" s="241">
        <v>0</v>
      </c>
      <c r="J64" s="241">
        <v>0</v>
      </c>
      <c r="K64" s="241">
        <v>0</v>
      </c>
      <c r="L64" s="1443">
        <v>0</v>
      </c>
    </row>
    <row r="65" spans="1:14" s="4" customFormat="1" ht="15" customHeight="1">
      <c r="A65" s="17"/>
      <c r="B65" s="51" t="s">
        <v>383</v>
      </c>
      <c r="C65" s="241"/>
      <c r="D65" s="241"/>
      <c r="E65" s="241"/>
      <c r="F65" s="241"/>
      <c r="G65" s="241"/>
      <c r="H65" s="241"/>
      <c r="I65" s="241"/>
      <c r="J65" s="241"/>
      <c r="K65" s="241"/>
      <c r="L65" s="241"/>
    </row>
    <row r="66" spans="1:14" s="4" customFormat="1" ht="15" customHeight="1">
      <c r="A66" s="17"/>
      <c r="B66" s="51" t="s">
        <v>384</v>
      </c>
      <c r="C66" s="241"/>
      <c r="D66" s="241"/>
      <c r="E66" s="241"/>
      <c r="F66" s="241"/>
      <c r="G66" s="241"/>
      <c r="H66" s="241"/>
      <c r="I66" s="241"/>
      <c r="J66" s="241"/>
      <c r="K66" s="241"/>
      <c r="L66" s="241"/>
    </row>
    <row r="67" spans="1:14" s="1034" customFormat="1" ht="12.75" customHeight="1">
      <c r="A67" s="1030" t="s">
        <v>385</v>
      </c>
      <c r="B67" s="1031" t="s">
        <v>386</v>
      </c>
      <c r="C67" s="1032">
        <f>SUM(C68:C71)</f>
        <v>0</v>
      </c>
      <c r="D67" s="1032">
        <f t="shared" ref="D67:E67" si="7">SUM(D68:D71)</f>
        <v>709750</v>
      </c>
      <c r="E67" s="1032">
        <f t="shared" si="7"/>
        <v>0</v>
      </c>
      <c r="F67" s="1032">
        <v>994775.9</v>
      </c>
      <c r="G67" s="1032">
        <v>91218</v>
      </c>
      <c r="H67" s="1032">
        <v>1063794.7439999999</v>
      </c>
      <c r="I67" s="1032">
        <v>53158.396944683991</v>
      </c>
      <c r="J67" s="1032">
        <v>53158.396944683991</v>
      </c>
      <c r="K67" s="1032">
        <v>51937.713360000002</v>
      </c>
      <c r="L67" s="1032">
        <v>1486.2513328775999</v>
      </c>
    </row>
    <row r="68" spans="1:14" s="1046" customFormat="1" ht="30" customHeight="1">
      <c r="A68" s="1044"/>
      <c r="B68" s="1045" t="s">
        <v>387</v>
      </c>
      <c r="C68" s="258"/>
      <c r="D68" s="258"/>
      <c r="E68" s="258"/>
      <c r="F68" s="258"/>
      <c r="G68" s="258"/>
      <c r="H68" s="258"/>
      <c r="I68" s="258"/>
      <c r="J68" s="258"/>
      <c r="K68" s="258"/>
      <c r="L68" s="258"/>
    </row>
    <row r="69" spans="1:14" s="1046" customFormat="1" ht="15" customHeight="1">
      <c r="A69" s="1044"/>
      <c r="B69" s="1045" t="s">
        <v>388</v>
      </c>
      <c r="C69" s="258"/>
      <c r="D69" s="258">
        <v>701769</v>
      </c>
      <c r="E69" s="258"/>
      <c r="F69" s="258">
        <v>984562</v>
      </c>
      <c r="G69" s="258">
        <v>91218</v>
      </c>
      <c r="H69" s="258">
        <v>1045989.444</v>
      </c>
      <c r="I69" s="258">
        <v>51834.396944683991</v>
      </c>
      <c r="J69" s="258">
        <v>51834.396944683991</v>
      </c>
      <c r="K69" s="258">
        <v>50529</v>
      </c>
      <c r="L69" s="1443"/>
      <c r="N69" s="1059"/>
    </row>
    <row r="70" spans="1:14" s="1046" customFormat="1" ht="60.75" customHeight="1">
      <c r="A70" s="1044"/>
      <c r="B70" s="1045" t="s">
        <v>389</v>
      </c>
      <c r="C70" s="1045"/>
      <c r="D70" s="1045"/>
      <c r="E70" s="1045"/>
      <c r="F70" s="1045"/>
      <c r="G70" s="1045"/>
      <c r="H70" s="1045"/>
      <c r="I70" s="1045"/>
      <c r="J70" s="1045"/>
      <c r="K70" s="1045"/>
      <c r="L70" s="258"/>
    </row>
    <row r="71" spans="1:14" s="1046" customFormat="1" ht="15" customHeight="1">
      <c r="A71" s="1044"/>
      <c r="B71" s="1045" t="s">
        <v>390</v>
      </c>
      <c r="C71" s="258">
        <f>SUM(C72:C77)</f>
        <v>0</v>
      </c>
      <c r="D71" s="258">
        <f t="shared" ref="D71:E71" si="8">SUM(D72:D77)</f>
        <v>7981</v>
      </c>
      <c r="E71" s="258">
        <f t="shared" si="8"/>
        <v>0</v>
      </c>
      <c r="F71" s="258">
        <v>10213.9</v>
      </c>
      <c r="G71" s="258">
        <v>0</v>
      </c>
      <c r="H71" s="258">
        <v>17805.3</v>
      </c>
      <c r="I71" s="258">
        <v>1324</v>
      </c>
      <c r="J71" s="258">
        <v>1324</v>
      </c>
      <c r="K71" s="258">
        <v>1408.7133600000002</v>
      </c>
      <c r="L71" s="258">
        <v>1486.2513328775999</v>
      </c>
      <c r="N71" s="1089"/>
    </row>
    <row r="72" spans="1:14" s="4" customFormat="1" ht="15" customHeight="1">
      <c r="A72" s="17"/>
      <c r="B72" s="51" t="s">
        <v>961</v>
      </c>
      <c r="C72" s="308"/>
      <c r="D72" s="308">
        <v>0</v>
      </c>
      <c r="E72" s="308"/>
      <c r="F72" s="308">
        <v>414</v>
      </c>
      <c r="G72" s="308"/>
      <c r="H72" s="308">
        <v>474</v>
      </c>
      <c r="I72" s="1719">
        <v>498</v>
      </c>
      <c r="J72" s="1719">
        <v>498</v>
      </c>
      <c r="K72" s="1719">
        <v>526.54536000000007</v>
      </c>
      <c r="L72" s="1443">
        <v>552.03542087760002</v>
      </c>
    </row>
    <row r="73" spans="1:14" s="4" customFormat="1" ht="15" customHeight="1">
      <c r="A73" s="17"/>
      <c r="B73" s="51" t="s">
        <v>962</v>
      </c>
      <c r="C73" s="308"/>
      <c r="D73" s="308"/>
      <c r="E73" s="308"/>
      <c r="F73" s="308"/>
      <c r="G73" s="308"/>
      <c r="H73" s="308"/>
      <c r="I73" s="308"/>
      <c r="J73" s="308"/>
      <c r="K73" s="308"/>
      <c r="L73" s="308"/>
    </row>
    <row r="74" spans="1:14" s="4" customFormat="1" ht="15" customHeight="1">
      <c r="A74" s="17"/>
      <c r="B74" s="51" t="s">
        <v>963</v>
      </c>
      <c r="C74" s="308"/>
      <c r="D74" s="308">
        <f>19085*0.4+39+12+296</f>
        <v>7981</v>
      </c>
      <c r="E74" s="308"/>
      <c r="F74" s="308">
        <v>9799.9</v>
      </c>
      <c r="G74" s="308"/>
      <c r="H74" s="308">
        <v>17331.3</v>
      </c>
      <c r="I74" s="1719">
        <v>826</v>
      </c>
      <c r="J74" s="1719">
        <v>826</v>
      </c>
      <c r="K74" s="1719">
        <v>882.16800000000001</v>
      </c>
      <c r="L74" s="1443">
        <v>934.215912</v>
      </c>
    </row>
    <row r="75" spans="1:14" s="4" customFormat="1" ht="15" hidden="1" customHeight="1">
      <c r="A75" s="17"/>
      <c r="B75" s="51"/>
      <c r="C75" s="241"/>
      <c r="D75" s="241"/>
      <c r="E75" s="241"/>
      <c r="F75" s="241"/>
      <c r="G75" s="241"/>
      <c r="H75" s="241"/>
      <c r="I75" s="241"/>
      <c r="J75" s="241"/>
      <c r="K75" s="241"/>
      <c r="L75" s="241"/>
    </row>
    <row r="76" spans="1:14" s="4" customFormat="1" ht="15" hidden="1" customHeight="1">
      <c r="A76" s="17"/>
      <c r="B76" s="51"/>
      <c r="C76" s="241"/>
      <c r="D76" s="241"/>
      <c r="E76" s="241"/>
      <c r="F76" s="241"/>
      <c r="G76" s="241"/>
      <c r="H76" s="241"/>
      <c r="I76" s="241"/>
      <c r="J76" s="241"/>
      <c r="K76" s="241"/>
      <c r="L76" s="241"/>
    </row>
    <row r="77" spans="1:14" s="4" customFormat="1" ht="15" hidden="1" customHeight="1">
      <c r="A77" s="17"/>
      <c r="B77" s="51"/>
      <c r="C77" s="241"/>
      <c r="D77" s="241"/>
      <c r="E77" s="241"/>
      <c r="F77" s="241"/>
      <c r="G77" s="241"/>
      <c r="H77" s="241"/>
      <c r="I77" s="241"/>
      <c r="J77" s="241"/>
      <c r="K77" s="241"/>
      <c r="L77" s="241"/>
    </row>
    <row r="78" spans="1:14" s="1034" customFormat="1" ht="33.75" customHeight="1">
      <c r="A78" s="1030" t="s">
        <v>391</v>
      </c>
      <c r="B78" s="1031" t="s">
        <v>392</v>
      </c>
      <c r="C78" s="1032">
        <f>SUM(C79:C82)</f>
        <v>0</v>
      </c>
      <c r="D78" s="1032">
        <f t="shared" ref="D78:E78" si="9">SUM(D79:D82)</f>
        <v>29444</v>
      </c>
      <c r="E78" s="1032">
        <f t="shared" si="9"/>
        <v>0</v>
      </c>
      <c r="F78" s="1032">
        <v>222257</v>
      </c>
      <c r="G78" s="1032">
        <v>0</v>
      </c>
      <c r="H78" s="1032">
        <v>45878.2</v>
      </c>
      <c r="I78" s="1032">
        <v>1081</v>
      </c>
      <c r="J78" s="1032">
        <v>103673.944</v>
      </c>
      <c r="K78" s="1032">
        <v>318851.92000000004</v>
      </c>
      <c r="L78" s="1032">
        <v>269626.22743999999</v>
      </c>
    </row>
    <row r="79" spans="1:14" s="1046" customFormat="1" ht="30">
      <c r="A79" s="1044"/>
      <c r="B79" s="1045" t="s">
        <v>393</v>
      </c>
      <c r="C79" s="258"/>
      <c r="D79" s="258"/>
      <c r="E79" s="258"/>
      <c r="F79" s="258"/>
      <c r="G79" s="258"/>
      <c r="H79" s="258"/>
      <c r="I79" s="258"/>
      <c r="J79" s="258"/>
      <c r="K79" s="258"/>
      <c r="L79" s="258"/>
    </row>
    <row r="80" spans="1:14" s="1046" customFormat="1" ht="30" customHeight="1">
      <c r="A80" s="1044"/>
      <c r="B80" s="1045" t="s">
        <v>394</v>
      </c>
      <c r="C80" s="258"/>
      <c r="D80" s="258">
        <v>354</v>
      </c>
      <c r="E80" s="258"/>
      <c r="F80" s="258">
        <v>315</v>
      </c>
      <c r="G80" s="258"/>
      <c r="H80" s="258">
        <v>274.89999999999998</v>
      </c>
      <c r="I80" s="1719">
        <v>543</v>
      </c>
      <c r="J80" s="1719">
        <v>543</v>
      </c>
      <c r="K80" s="1719">
        <v>579.92399999999998</v>
      </c>
      <c r="L80" s="1443">
        <v>614.13951599999996</v>
      </c>
    </row>
    <row r="81" spans="1:12" s="1046" customFormat="1" ht="15" customHeight="1">
      <c r="A81" s="1044"/>
      <c r="B81" s="1045" t="s">
        <v>1568</v>
      </c>
      <c r="C81" s="258"/>
      <c r="D81" s="258">
        <f>9449+19548</f>
        <v>28997</v>
      </c>
      <c r="E81" s="258"/>
      <c r="F81" s="258">
        <v>221704</v>
      </c>
      <c r="G81" s="258"/>
      <c r="H81" s="258">
        <v>45526.299999999996</v>
      </c>
      <c r="I81" s="258"/>
      <c r="J81" s="258">
        <v>326.94400000000002</v>
      </c>
      <c r="K81" s="258">
        <v>202017.76</v>
      </c>
      <c r="L81" s="1443">
        <v>145699</v>
      </c>
    </row>
    <row r="82" spans="1:12" s="1046" customFormat="1" ht="28.5" customHeight="1">
      <c r="A82" s="1044"/>
      <c r="B82" s="1045" t="s">
        <v>1957</v>
      </c>
      <c r="C82" s="258"/>
      <c r="D82" s="258">
        <f>36+31+11+15</f>
        <v>93</v>
      </c>
      <c r="E82" s="258"/>
      <c r="F82" s="258">
        <v>238</v>
      </c>
      <c r="G82" s="258"/>
      <c r="H82" s="258">
        <v>77</v>
      </c>
      <c r="I82" s="1719">
        <v>538</v>
      </c>
      <c r="J82" s="1719">
        <v>102804</v>
      </c>
      <c r="K82" s="1719">
        <v>116254.236</v>
      </c>
      <c r="L82" s="1443">
        <v>123313.08792400001</v>
      </c>
    </row>
    <row r="83" spans="1:12" s="1034" customFormat="1" ht="15" customHeight="1">
      <c r="A83" s="1030" t="s">
        <v>395</v>
      </c>
      <c r="B83" s="1031" t="s">
        <v>396</v>
      </c>
      <c r="C83" s="1032">
        <f>(C68+C69+C70+C78)/0.8*0.2</f>
        <v>0</v>
      </c>
      <c r="D83" s="1383">
        <f t="shared" ref="D83" si="10">(D68+D69+D70+D78)/0.8*0.2</f>
        <v>182803.25</v>
      </c>
      <c r="E83" s="1032">
        <f>E78/0.8*0.2</f>
        <v>0</v>
      </c>
      <c r="F83" s="1032">
        <v>301704.75</v>
      </c>
      <c r="G83" s="1032">
        <v>22804.5</v>
      </c>
      <c r="H83" s="1032">
        <v>272966.91100000002</v>
      </c>
      <c r="I83" s="1032">
        <v>13228.849236170998</v>
      </c>
      <c r="J83" s="1032">
        <v>38877.085236170999</v>
      </c>
      <c r="K83" s="1032">
        <v>92345.23000000001</v>
      </c>
      <c r="L83" s="1032">
        <v>67406.556859999997</v>
      </c>
    </row>
    <row r="84" spans="1:12" s="1034" customFormat="1" ht="15" customHeight="1">
      <c r="A84" s="1030" t="s">
        <v>397</v>
      </c>
      <c r="B84" s="1031" t="s">
        <v>398</v>
      </c>
      <c r="C84" s="1032">
        <f>C85-C88</f>
        <v>0</v>
      </c>
      <c r="D84" s="1032">
        <f t="shared" ref="D84:E84" si="11">D85-D88</f>
        <v>0</v>
      </c>
      <c r="E84" s="1032">
        <f t="shared" si="11"/>
        <v>0</v>
      </c>
      <c r="F84" s="1032">
        <v>0</v>
      </c>
      <c r="G84" s="1032">
        <v>0</v>
      </c>
      <c r="H84" s="1032">
        <v>0</v>
      </c>
      <c r="I84" s="1032">
        <v>-59491</v>
      </c>
      <c r="J84" s="1032">
        <v>-59491</v>
      </c>
      <c r="K84" s="1032">
        <v>755977</v>
      </c>
      <c r="L84" s="1032">
        <v>0</v>
      </c>
    </row>
    <row r="85" spans="1:12" s="585" customFormat="1" ht="15" customHeight="1">
      <c r="A85" s="583"/>
      <c r="B85" s="582" t="s">
        <v>1140</v>
      </c>
      <c r="C85" s="587">
        <f>C86+C87</f>
        <v>0</v>
      </c>
      <c r="D85" s="587">
        <f t="shared" ref="D85:E85" si="12">D86+D87</f>
        <v>0</v>
      </c>
      <c r="E85" s="587">
        <f t="shared" si="12"/>
        <v>0</v>
      </c>
      <c r="F85" s="587">
        <v>0</v>
      </c>
      <c r="G85" s="587">
        <v>0</v>
      </c>
      <c r="H85" s="587">
        <v>0</v>
      </c>
      <c r="I85" s="587">
        <v>166992</v>
      </c>
      <c r="J85" s="587">
        <v>166992</v>
      </c>
      <c r="K85" s="587">
        <v>757093</v>
      </c>
      <c r="L85" s="587">
        <v>0</v>
      </c>
    </row>
    <row r="86" spans="1:12" s="341" customFormat="1" ht="15" customHeight="1">
      <c r="A86" s="339"/>
      <c r="B86" s="340" t="s">
        <v>959</v>
      </c>
      <c r="C86" s="308"/>
      <c r="D86" s="308"/>
      <c r="E86" s="308"/>
      <c r="F86" s="308"/>
      <c r="G86" s="308"/>
      <c r="H86" s="308"/>
      <c r="I86" s="308">
        <v>0</v>
      </c>
      <c r="J86" s="308">
        <v>0</v>
      </c>
      <c r="K86" s="308">
        <v>375680</v>
      </c>
      <c r="L86" s="1431"/>
    </row>
    <row r="87" spans="1:12" s="341" customFormat="1" ht="15" customHeight="1">
      <c r="A87" s="339"/>
      <c r="B87" s="51" t="s">
        <v>960</v>
      </c>
      <c r="C87" s="241"/>
      <c r="D87" s="241"/>
      <c r="E87" s="241"/>
      <c r="F87" s="241"/>
      <c r="G87" s="241"/>
      <c r="H87" s="241"/>
      <c r="I87" s="241">
        <v>0</v>
      </c>
      <c r="J87" s="241">
        <v>0</v>
      </c>
      <c r="K87" s="241">
        <v>381413</v>
      </c>
      <c r="L87" s="1431"/>
    </row>
    <row r="88" spans="1:12" s="588" customFormat="1" ht="15" customHeight="1">
      <c r="A88" s="586"/>
      <c r="B88" s="582" t="s">
        <v>1141</v>
      </c>
      <c r="C88" s="587">
        <f>C89+C90</f>
        <v>0</v>
      </c>
      <c r="D88" s="587">
        <f t="shared" ref="D88:E88" si="13">D89+D90</f>
        <v>0</v>
      </c>
      <c r="E88" s="587">
        <f t="shared" si="13"/>
        <v>0</v>
      </c>
      <c r="F88" s="587">
        <v>0</v>
      </c>
      <c r="G88" s="587">
        <v>0</v>
      </c>
      <c r="H88" s="587">
        <v>0</v>
      </c>
      <c r="I88" s="587">
        <v>226483</v>
      </c>
      <c r="J88" s="587">
        <v>226483</v>
      </c>
      <c r="K88" s="587">
        <v>1116</v>
      </c>
      <c r="L88" s="587">
        <v>0</v>
      </c>
    </row>
    <row r="89" spans="1:12" s="341" customFormat="1" ht="15" customHeight="1">
      <c r="A89" s="339"/>
      <c r="B89" s="340" t="s">
        <v>959</v>
      </c>
      <c r="C89" s="241"/>
      <c r="D89" s="241"/>
      <c r="E89" s="241"/>
      <c r="F89" s="241"/>
      <c r="G89" s="241"/>
      <c r="H89" s="241"/>
      <c r="I89" s="241"/>
      <c r="J89" s="241"/>
      <c r="K89" s="241">
        <v>1116</v>
      </c>
      <c r="L89" s="308"/>
    </row>
    <row r="90" spans="1:12" s="341" customFormat="1" ht="15" customHeight="1">
      <c r="A90" s="339"/>
      <c r="B90" s="51" t="s">
        <v>960</v>
      </c>
      <c r="C90" s="241"/>
      <c r="D90" s="241"/>
      <c r="E90" s="241"/>
      <c r="F90" s="241"/>
      <c r="G90" s="241"/>
      <c r="H90" s="241"/>
      <c r="I90" s="241"/>
      <c r="J90" s="241"/>
      <c r="K90" s="241"/>
      <c r="L90" s="308"/>
    </row>
    <row r="91" spans="1:12" s="1055" customFormat="1" ht="15" customHeight="1">
      <c r="A91" s="1052" t="s">
        <v>399</v>
      </c>
      <c r="B91" s="1053" t="s">
        <v>400</v>
      </c>
      <c r="C91" s="1054">
        <f>C7+C67+C78+C83+C84</f>
        <v>0</v>
      </c>
      <c r="D91" s="1054">
        <f>D7+D67+D78+D83+D84</f>
        <v>1025412.3134</v>
      </c>
      <c r="E91" s="1054">
        <f>E7+E67+E78+E83+E84</f>
        <v>0</v>
      </c>
      <c r="F91" s="1054">
        <v>1650133.5193</v>
      </c>
      <c r="G91" s="1054">
        <v>114022.5</v>
      </c>
      <c r="H91" s="1054">
        <v>1518506.07703</v>
      </c>
      <c r="I91" s="1054">
        <v>69679.246180854985</v>
      </c>
      <c r="J91" s="1054">
        <v>288174.42618085502</v>
      </c>
      <c r="K91" s="1054">
        <v>1387994.6928000001</v>
      </c>
      <c r="L91" s="1054">
        <v>516829.00257864001</v>
      </c>
    </row>
    <row r="92" spans="1:12" s="4" customFormat="1" ht="15" customHeight="1">
      <c r="A92" s="17" t="s">
        <v>401</v>
      </c>
      <c r="B92" s="51" t="s">
        <v>1272</v>
      </c>
      <c r="C92" s="241"/>
      <c r="D92" s="241"/>
      <c r="E92" s="241"/>
      <c r="F92" s="241"/>
      <c r="G92" s="241"/>
      <c r="H92" s="241"/>
      <c r="I92" s="241"/>
      <c r="J92" s="241"/>
      <c r="K92" s="241"/>
      <c r="L92" s="241"/>
    </row>
    <row r="93" spans="1:12" s="4" customFormat="1" ht="15" customHeight="1">
      <c r="A93" s="17" t="s">
        <v>403</v>
      </c>
      <c r="B93" s="51" t="s">
        <v>1273</v>
      </c>
      <c r="C93" s="241">
        <f>C91-C94-C95</f>
        <v>0</v>
      </c>
      <c r="D93" s="241">
        <f t="shared" ref="D93:E93" si="14">D91-D94-D95</f>
        <v>1025412.3134</v>
      </c>
      <c r="E93" s="241">
        <f t="shared" si="14"/>
        <v>0</v>
      </c>
      <c r="F93" s="241">
        <v>1650133.5193</v>
      </c>
      <c r="G93" s="241">
        <v>114022.5</v>
      </c>
      <c r="H93" s="241">
        <v>1518506.07703</v>
      </c>
      <c r="I93" s="241">
        <v>69679.246180854985</v>
      </c>
      <c r="J93" s="241">
        <v>288174.42618085502</v>
      </c>
      <c r="K93" s="241">
        <v>1387994.6928000001</v>
      </c>
      <c r="L93" s="241">
        <v>516829.00257864001</v>
      </c>
    </row>
    <row r="94" spans="1:12" s="4" customFormat="1" ht="15" customHeight="1">
      <c r="A94" s="17" t="s">
        <v>405</v>
      </c>
      <c r="B94" s="51" t="s">
        <v>1274</v>
      </c>
      <c r="C94" s="241"/>
      <c r="D94" s="241"/>
      <c r="E94" s="241"/>
      <c r="F94" s="241"/>
      <c r="G94" s="241"/>
      <c r="H94" s="241"/>
      <c r="I94" s="241"/>
      <c r="J94" s="241"/>
      <c r="K94" s="241"/>
      <c r="L94" s="241"/>
    </row>
    <row r="95" spans="1:12" s="4" customFormat="1" ht="15" customHeight="1">
      <c r="A95" s="17" t="s">
        <v>407</v>
      </c>
      <c r="B95" s="51" t="s">
        <v>408</v>
      </c>
      <c r="C95" s="241"/>
      <c r="D95" s="241"/>
      <c r="E95" s="241"/>
      <c r="F95" s="241"/>
      <c r="G95" s="241"/>
      <c r="H95" s="241"/>
      <c r="I95" s="241"/>
      <c r="J95" s="241"/>
      <c r="K95" s="241"/>
      <c r="L95" s="241"/>
    </row>
    <row r="96" spans="1:12" s="4" customFormat="1" ht="15" customHeight="1">
      <c r="A96" s="17"/>
      <c r="B96" s="51"/>
      <c r="C96" s="241"/>
      <c r="D96" s="241"/>
      <c r="E96" s="241"/>
      <c r="F96" s="241"/>
      <c r="G96" s="241"/>
      <c r="H96" s="241"/>
      <c r="I96" s="241"/>
      <c r="J96" s="241"/>
      <c r="K96" s="241"/>
      <c r="L96" s="241"/>
    </row>
    <row r="97" spans="1:12" s="4" customFormat="1" ht="28.5">
      <c r="A97" s="17"/>
      <c r="B97" s="755" t="s">
        <v>1268</v>
      </c>
      <c r="C97" s="286">
        <f>'4.3_КТЭЦ'!E8</f>
        <v>922.65</v>
      </c>
      <c r="D97" s="286">
        <f>'4.3_КТЭЦ'!I8</f>
        <v>907.11299999999994</v>
      </c>
      <c r="E97" s="286">
        <f>'4.3_КТЭЦ'!M8</f>
        <v>911.197</v>
      </c>
      <c r="F97" s="286">
        <v>858.0397999999999</v>
      </c>
      <c r="G97" s="286">
        <v>904.44797589999962</v>
      </c>
      <c r="H97" s="286">
        <v>836.25261320499999</v>
      </c>
      <c r="I97" s="286">
        <v>0</v>
      </c>
      <c r="J97" s="286">
        <v>307.87799999999999</v>
      </c>
      <c r="K97" s="286">
        <v>860.72499999999991</v>
      </c>
      <c r="L97" s="286">
        <v>0</v>
      </c>
    </row>
    <row r="98" spans="1:12" s="4" customFormat="1" ht="15" customHeight="1">
      <c r="A98" s="17"/>
      <c r="B98" s="51"/>
      <c r="C98" s="241"/>
      <c r="D98" s="241"/>
      <c r="E98" s="241"/>
      <c r="F98" s="241"/>
      <c r="G98" s="241"/>
      <c r="H98" s="241"/>
      <c r="I98" s="241"/>
      <c r="J98" s="241"/>
      <c r="K98" s="241"/>
      <c r="L98" s="241"/>
    </row>
    <row r="99" spans="1:12" s="4" customFormat="1" ht="15" customHeight="1">
      <c r="A99" s="17"/>
      <c r="B99" s="253" t="s">
        <v>1266</v>
      </c>
      <c r="C99" s="428">
        <f>C93/C97</f>
        <v>0</v>
      </c>
      <c r="D99" s="428">
        <f t="shared" ref="D99:E99" si="15">D93/D97</f>
        <v>1130.412984269876</v>
      </c>
      <c r="E99" s="428">
        <f t="shared" si="15"/>
        <v>0</v>
      </c>
      <c r="F99" s="428">
        <v>1923.1433312300901</v>
      </c>
      <c r="G99" s="428">
        <v>126.06861095193264</v>
      </c>
      <c r="H99" s="428">
        <v>1815.8461367435532</v>
      </c>
      <c r="I99" s="428" t="e">
        <v>#DIV/0!</v>
      </c>
      <c r="J99" s="428">
        <v>936.00200787602569</v>
      </c>
      <c r="K99" s="428">
        <v>1612.5878681344218</v>
      </c>
      <c r="L99" s="428" t="e">
        <v>#DIV/0!</v>
      </c>
    </row>
    <row r="100" spans="1:12" s="4" customFormat="1" ht="15" customHeight="1">
      <c r="A100" s="17"/>
      <c r="B100" s="253" t="s">
        <v>1267</v>
      </c>
      <c r="C100" s="428"/>
      <c r="D100" s="428"/>
      <c r="E100" s="428"/>
      <c r="F100" s="428"/>
      <c r="G100" s="428"/>
      <c r="H100" s="428"/>
      <c r="I100" s="428"/>
      <c r="J100" s="428"/>
      <c r="K100" s="428"/>
      <c r="L100" s="978"/>
    </row>
    <row r="101" spans="1:12" s="4" customFormat="1" ht="15" customHeight="1">
      <c r="A101" s="17"/>
      <c r="B101" s="1131" t="s">
        <v>1512</v>
      </c>
      <c r="C101" s="428"/>
      <c r="D101" s="428"/>
      <c r="E101" s="428"/>
      <c r="F101" s="428"/>
      <c r="G101" s="428"/>
      <c r="H101" s="428"/>
      <c r="I101" s="428"/>
      <c r="J101" s="428"/>
      <c r="K101" s="428"/>
      <c r="L101" s="978"/>
    </row>
    <row r="102" spans="1:12" s="4" customFormat="1" ht="15" customHeight="1">
      <c r="A102" s="17"/>
      <c r="B102" s="1131" t="s">
        <v>1513</v>
      </c>
      <c r="C102" s="428"/>
      <c r="D102" s="428"/>
      <c r="E102" s="428"/>
      <c r="F102" s="428"/>
      <c r="G102" s="428"/>
      <c r="H102" s="428"/>
      <c r="I102" s="428"/>
      <c r="J102" s="428"/>
      <c r="K102" s="428"/>
      <c r="L102" s="978"/>
    </row>
    <row r="103" spans="1:12" hidden="1">
      <c r="A103" s="253" t="s">
        <v>965</v>
      </c>
      <c r="B103" s="253"/>
      <c r="C103" s="308">
        <f>C67+C78+C83+C87-C90</f>
        <v>0</v>
      </c>
      <c r="D103" s="308">
        <f t="shared" ref="D103:K103" si="16">D67+D78+D83+D87-D90</f>
        <v>921997.25</v>
      </c>
      <c r="E103" s="308">
        <f t="shared" si="16"/>
        <v>0</v>
      </c>
      <c r="F103" s="308">
        <f t="shared" si="16"/>
        <v>1518737.65</v>
      </c>
      <c r="G103" s="308"/>
      <c r="H103" s="308"/>
      <c r="I103" s="308"/>
      <c r="J103" s="308"/>
      <c r="K103" s="308">
        <f t="shared" si="16"/>
        <v>844547.86336000008</v>
      </c>
      <c r="L103" s="762"/>
    </row>
    <row r="104" spans="1:12" s="26" customFormat="1">
      <c r="A104" s="26" t="s">
        <v>88</v>
      </c>
    </row>
    <row r="105" spans="1:12" s="104" customFormat="1" ht="58.5" customHeight="1">
      <c r="A105" s="104" t="s">
        <v>89</v>
      </c>
      <c r="B105" s="1842" t="s">
        <v>409</v>
      </c>
      <c r="C105" s="1842"/>
      <c r="D105" s="1842"/>
      <c r="E105" s="1842"/>
      <c r="F105" s="1842"/>
      <c r="G105" s="1842"/>
      <c r="H105" s="1842"/>
      <c r="I105" s="1842"/>
      <c r="J105" s="1842"/>
      <c r="K105" s="1842"/>
      <c r="L105" s="1629"/>
    </row>
    <row r="106" spans="1:12" s="104" customFormat="1" ht="58.5" customHeight="1">
      <c r="A106" s="104" t="s">
        <v>91</v>
      </c>
      <c r="B106" s="1842" t="s">
        <v>410</v>
      </c>
      <c r="C106" s="1842"/>
      <c r="D106" s="1842"/>
      <c r="E106" s="1842"/>
      <c r="F106" s="1842"/>
      <c r="G106" s="1842"/>
      <c r="H106" s="1842"/>
      <c r="I106" s="1842"/>
      <c r="J106" s="1842"/>
      <c r="K106" s="1842"/>
      <c r="L106" s="1629"/>
    </row>
    <row r="107" spans="1:12" s="104" customFormat="1" ht="58.5" customHeight="1">
      <c r="A107" s="104" t="s">
        <v>93</v>
      </c>
      <c r="B107" s="1842" t="s">
        <v>411</v>
      </c>
      <c r="C107" s="1842"/>
      <c r="D107" s="1842"/>
      <c r="E107" s="1842"/>
      <c r="F107" s="1842"/>
      <c r="G107" s="1842"/>
      <c r="H107" s="1842"/>
      <c r="I107" s="1842"/>
      <c r="J107" s="1842"/>
      <c r="K107" s="1842"/>
      <c r="L107" s="1629"/>
    </row>
    <row r="108" spans="1:12" ht="18.75" customHeight="1"/>
  </sheetData>
  <mergeCells count="4">
    <mergeCell ref="B105:K105"/>
    <mergeCell ref="B106:K106"/>
    <mergeCell ref="B107:K107"/>
    <mergeCell ref="A3:J3"/>
  </mergeCells>
  <pageMargins left="0.78740157480314965" right="0.31496062992125984" top="0.19685039370078741" bottom="0.39370078740157483" header="0.19685039370078741" footer="0.19685039370078741"/>
  <pageSetup paperSize="9" scale="51" orientation="portrait" r:id="rId1"/>
  <headerFooter alignWithMargins="0"/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4"/>
  <sheetViews>
    <sheetView view="pageBreakPreview" zoomScaleNormal="100" zoomScaleSheetLayoutView="100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2" sqref="A2"/>
    </sheetView>
  </sheetViews>
  <sheetFormatPr defaultColWidth="3.5703125" defaultRowHeight="12" customHeight="1"/>
  <cols>
    <col min="1" max="1" width="3.5703125" style="26" customWidth="1"/>
    <col min="2" max="2" width="22.28515625" style="26" customWidth="1"/>
    <col min="3" max="3" width="12.85546875" style="26" customWidth="1"/>
    <col min="4" max="4" width="12.42578125" style="26" customWidth="1"/>
    <col min="5" max="5" width="12.140625" style="26" customWidth="1"/>
    <col min="6" max="6" width="13.140625" style="26" customWidth="1"/>
    <col min="7" max="7" width="11.7109375" style="26" customWidth="1"/>
    <col min="8" max="10" width="7.7109375" style="26" customWidth="1"/>
    <col min="11" max="48" width="9" style="26" customWidth="1"/>
    <col min="49" max="16384" width="3.5703125" style="26"/>
  </cols>
  <sheetData>
    <row r="1" spans="1:10" s="24" customFormat="1" ht="20.25" customHeight="1">
      <c r="A1" s="74" t="s">
        <v>765</v>
      </c>
      <c r="J1" s="25" t="s">
        <v>412</v>
      </c>
    </row>
    <row r="2" spans="1:10" ht="15">
      <c r="A2" s="105" t="str">
        <f>'3.1'!$A$2</f>
        <v>ПКГО - Комбинированная выработка КТЭЦ</v>
      </c>
    </row>
    <row r="3" spans="1:10" ht="18.75">
      <c r="A3" s="1876" t="s">
        <v>413</v>
      </c>
      <c r="B3" s="1876"/>
      <c r="C3" s="1876"/>
      <c r="D3" s="1876"/>
      <c r="E3" s="1876"/>
      <c r="F3" s="1876"/>
      <c r="G3" s="1876"/>
      <c r="H3" s="1876"/>
      <c r="I3" s="1876"/>
      <c r="J3" s="1876"/>
    </row>
    <row r="4" spans="1:10" s="28" customFormat="1" ht="12.75" customHeight="1"/>
    <row r="5" spans="1:10" s="31" customFormat="1" ht="29.25" customHeight="1">
      <c r="A5" s="1858" t="s">
        <v>0</v>
      </c>
      <c r="B5" s="1858" t="s">
        <v>414</v>
      </c>
      <c r="C5" s="1837" t="s">
        <v>415</v>
      </c>
      <c r="D5" s="1837" t="s">
        <v>416</v>
      </c>
      <c r="E5" s="1834" t="s">
        <v>417</v>
      </c>
      <c r="F5" s="1835"/>
      <c r="G5" s="1836"/>
      <c r="H5" s="1834" t="s">
        <v>418</v>
      </c>
      <c r="I5" s="1835"/>
      <c r="J5" s="1835"/>
    </row>
    <row r="6" spans="1:10" s="31" customFormat="1" ht="15" customHeight="1">
      <c r="A6" s="1859"/>
      <c r="B6" s="1859"/>
      <c r="C6" s="1838"/>
      <c r="D6" s="1838"/>
      <c r="E6" s="1837" t="s">
        <v>419</v>
      </c>
      <c r="F6" s="1834" t="s">
        <v>420</v>
      </c>
      <c r="G6" s="1836"/>
      <c r="H6" s="1837" t="s">
        <v>421</v>
      </c>
      <c r="I6" s="1837" t="s">
        <v>422</v>
      </c>
      <c r="J6" s="1917" t="s">
        <v>63</v>
      </c>
    </row>
    <row r="7" spans="1:10" s="31" customFormat="1" ht="29.25" customHeight="1">
      <c r="A7" s="1859"/>
      <c r="B7" s="1859"/>
      <c r="C7" s="1838"/>
      <c r="D7" s="1838"/>
      <c r="E7" s="1839"/>
      <c r="F7" s="32" t="s">
        <v>423</v>
      </c>
      <c r="G7" s="32" t="s">
        <v>424</v>
      </c>
      <c r="H7" s="1838"/>
      <c r="I7" s="1838"/>
      <c r="J7" s="1918"/>
    </row>
    <row r="8" spans="1:10" s="31" customFormat="1" ht="97.5" customHeight="1">
      <c r="A8" s="1860"/>
      <c r="B8" s="1860"/>
      <c r="C8" s="1839"/>
      <c r="D8" s="1839"/>
      <c r="E8" s="32" t="s">
        <v>425</v>
      </c>
      <c r="F8" s="32" t="s">
        <v>426</v>
      </c>
      <c r="G8" s="32" t="s">
        <v>425</v>
      </c>
      <c r="H8" s="1839"/>
      <c r="I8" s="1839"/>
      <c r="J8" s="1919"/>
    </row>
    <row r="9" spans="1:10" s="48" customFormat="1" ht="15">
      <c r="A9" s="13">
        <v>1</v>
      </c>
      <c r="B9" s="13">
        <v>2</v>
      </c>
      <c r="C9" s="33">
        <v>3</v>
      </c>
      <c r="D9" s="33">
        <v>4</v>
      </c>
      <c r="E9" s="33">
        <v>5</v>
      </c>
      <c r="F9" s="33">
        <v>6</v>
      </c>
      <c r="G9" s="33">
        <v>7</v>
      </c>
      <c r="H9" s="33">
        <v>8</v>
      </c>
      <c r="I9" s="33">
        <v>9</v>
      </c>
      <c r="J9" s="33">
        <v>10</v>
      </c>
    </row>
    <row r="10" spans="1:10" s="28" customFormat="1" ht="15">
      <c r="A10" s="1878" t="s">
        <v>778</v>
      </c>
      <c r="B10" s="1879"/>
      <c r="C10" s="1879"/>
      <c r="D10" s="1879"/>
      <c r="E10" s="1879"/>
      <c r="F10" s="1879"/>
      <c r="G10" s="1879"/>
      <c r="H10" s="1879"/>
      <c r="I10" s="1879"/>
      <c r="J10" s="1880"/>
    </row>
    <row r="11" spans="1:10" s="28" customFormat="1" ht="28.5" customHeight="1">
      <c r="A11" s="60" t="s">
        <v>4</v>
      </c>
      <c r="B11" s="68" t="s">
        <v>427</v>
      </c>
      <c r="C11" s="67"/>
      <c r="D11" s="67"/>
      <c r="E11" s="67"/>
      <c r="F11" s="67"/>
      <c r="G11" s="67"/>
      <c r="H11" s="67"/>
      <c r="I11" s="67"/>
      <c r="J11" s="67"/>
    </row>
    <row r="12" spans="1:10" s="28" customFormat="1" ht="15">
      <c r="A12" s="60"/>
      <c r="B12" s="68"/>
      <c r="C12" s="67"/>
      <c r="D12" s="67"/>
      <c r="E12" s="67"/>
      <c r="F12" s="67"/>
      <c r="G12" s="67"/>
      <c r="H12" s="67"/>
      <c r="I12" s="67"/>
      <c r="J12" s="67"/>
    </row>
    <row r="13" spans="1:10" s="28" customFormat="1" ht="15" customHeight="1">
      <c r="A13" s="60" t="s">
        <v>5</v>
      </c>
      <c r="B13" s="68" t="s">
        <v>428</v>
      </c>
      <c r="C13" s="67"/>
      <c r="D13" s="67"/>
      <c r="E13" s="67"/>
      <c r="F13" s="67"/>
      <c r="G13" s="67"/>
      <c r="H13" s="67"/>
      <c r="I13" s="67"/>
      <c r="J13" s="67"/>
    </row>
    <row r="14" spans="1:10" s="28" customFormat="1" ht="15" customHeight="1">
      <c r="A14" s="60" t="s">
        <v>6</v>
      </c>
      <c r="B14" s="68" t="s">
        <v>429</v>
      </c>
      <c r="C14" s="67"/>
      <c r="D14" s="67"/>
      <c r="E14" s="67"/>
      <c r="F14" s="67"/>
      <c r="G14" s="67"/>
      <c r="H14" s="67"/>
      <c r="I14" s="67"/>
      <c r="J14" s="67"/>
    </row>
    <row r="15" spans="1:10" s="28" customFormat="1" ht="15">
      <c r="A15" s="60" t="s">
        <v>7</v>
      </c>
      <c r="B15" s="68" t="s">
        <v>26</v>
      </c>
      <c r="C15" s="67"/>
      <c r="D15" s="67"/>
      <c r="E15" s="67"/>
      <c r="F15" s="67"/>
      <c r="G15" s="67"/>
      <c r="H15" s="67"/>
      <c r="I15" s="67"/>
      <c r="J15" s="67"/>
    </row>
    <row r="16" spans="1:10" s="28" customFormat="1" ht="15">
      <c r="A16" s="60" t="s">
        <v>26</v>
      </c>
      <c r="B16" s="68"/>
      <c r="C16" s="67"/>
      <c r="D16" s="67"/>
      <c r="E16" s="67"/>
      <c r="F16" s="67"/>
      <c r="G16" s="67"/>
      <c r="H16" s="67"/>
      <c r="I16" s="67"/>
      <c r="J16" s="67"/>
    </row>
    <row r="17" spans="1:10" s="28" customFormat="1" ht="15" customHeight="1">
      <c r="A17" s="60" t="s">
        <v>11</v>
      </c>
      <c r="B17" s="68" t="s">
        <v>430</v>
      </c>
      <c r="C17" s="67"/>
      <c r="D17" s="67"/>
      <c r="E17" s="67"/>
      <c r="F17" s="67"/>
      <c r="G17" s="67"/>
      <c r="H17" s="67"/>
      <c r="I17" s="67"/>
      <c r="J17" s="67"/>
    </row>
    <row r="18" spans="1:10" s="28" customFormat="1" ht="15" customHeight="1">
      <c r="A18" s="60" t="s">
        <v>12</v>
      </c>
      <c r="B18" s="68" t="s">
        <v>429</v>
      </c>
      <c r="C18" s="67"/>
      <c r="D18" s="67"/>
      <c r="E18" s="67"/>
      <c r="F18" s="67"/>
      <c r="G18" s="67"/>
      <c r="H18" s="67"/>
      <c r="I18" s="67"/>
      <c r="J18" s="67"/>
    </row>
    <row r="19" spans="1:10" s="28" customFormat="1" ht="15">
      <c r="A19" s="60" t="s">
        <v>18</v>
      </c>
      <c r="B19" s="68" t="s">
        <v>26</v>
      </c>
      <c r="C19" s="67"/>
      <c r="D19" s="67"/>
      <c r="E19" s="67"/>
      <c r="F19" s="67"/>
      <c r="G19" s="67"/>
      <c r="H19" s="67"/>
      <c r="I19" s="67"/>
      <c r="J19" s="67"/>
    </row>
    <row r="20" spans="1:10" s="28" customFormat="1" ht="15">
      <c r="A20" s="60"/>
      <c r="B20" s="68"/>
      <c r="C20" s="67"/>
      <c r="D20" s="67"/>
      <c r="E20" s="67"/>
      <c r="F20" s="67"/>
      <c r="G20" s="67"/>
      <c r="H20" s="67"/>
      <c r="I20" s="67"/>
      <c r="J20" s="67"/>
    </row>
    <row r="21" spans="1:10" s="28" customFormat="1" ht="15" customHeight="1">
      <c r="A21" s="60" t="s">
        <v>23</v>
      </c>
      <c r="B21" s="68" t="s">
        <v>431</v>
      </c>
      <c r="C21" s="67"/>
      <c r="D21" s="67"/>
      <c r="E21" s="67"/>
      <c r="F21" s="67"/>
      <c r="G21" s="67"/>
      <c r="H21" s="67"/>
      <c r="I21" s="67"/>
      <c r="J21" s="67"/>
    </row>
    <row r="22" spans="1:10" s="28" customFormat="1" ht="15" customHeight="1">
      <c r="A22" s="60" t="s">
        <v>24</v>
      </c>
      <c r="B22" s="68" t="s">
        <v>429</v>
      </c>
      <c r="C22" s="67"/>
      <c r="D22" s="67"/>
      <c r="E22" s="67"/>
      <c r="F22" s="67"/>
      <c r="G22" s="67"/>
      <c r="H22" s="67"/>
      <c r="I22" s="67"/>
      <c r="J22" s="67"/>
    </row>
    <row r="23" spans="1:10" s="28" customFormat="1" ht="15" customHeight="1">
      <c r="A23" s="60" t="s">
        <v>139</v>
      </c>
      <c r="B23" s="68" t="s">
        <v>432</v>
      </c>
      <c r="C23" s="67"/>
      <c r="D23" s="67"/>
      <c r="E23" s="67"/>
      <c r="F23" s="67"/>
      <c r="G23" s="67"/>
      <c r="H23" s="67"/>
      <c r="I23" s="67"/>
      <c r="J23" s="67"/>
    </row>
    <row r="24" spans="1:10" s="28" customFormat="1" ht="15">
      <c r="A24" s="60" t="s">
        <v>433</v>
      </c>
      <c r="B24" s="68" t="s">
        <v>26</v>
      </c>
      <c r="C24" s="67"/>
      <c r="D24" s="67"/>
      <c r="E24" s="67"/>
      <c r="F24" s="67"/>
      <c r="G24" s="67"/>
      <c r="H24" s="67"/>
      <c r="I24" s="67"/>
      <c r="J24" s="67"/>
    </row>
    <row r="25" spans="1:10" s="28" customFormat="1" ht="15">
      <c r="A25" s="60" t="s">
        <v>26</v>
      </c>
      <c r="B25" s="68"/>
      <c r="C25" s="67"/>
      <c r="D25" s="67"/>
      <c r="E25" s="67"/>
      <c r="F25" s="67"/>
      <c r="G25" s="67"/>
      <c r="H25" s="67"/>
      <c r="I25" s="67"/>
      <c r="J25" s="67"/>
    </row>
    <row r="26" spans="1:10" s="77" customFormat="1" ht="15" customHeight="1">
      <c r="A26" s="82" t="s">
        <v>434</v>
      </c>
      <c r="B26" s="80" t="s">
        <v>435</v>
      </c>
      <c r="C26" s="79"/>
      <c r="D26" s="79"/>
      <c r="E26" s="79"/>
      <c r="F26" s="79"/>
      <c r="G26" s="79"/>
      <c r="H26" s="79"/>
      <c r="I26" s="79"/>
      <c r="J26" s="79"/>
    </row>
    <row r="27" spans="1:10" s="28" customFormat="1" ht="15"/>
    <row r="28" spans="1:10" s="28" customFormat="1" ht="28.5" customHeight="1">
      <c r="A28" s="60" t="s">
        <v>4</v>
      </c>
      <c r="B28" s="68" t="s">
        <v>427</v>
      </c>
      <c r="C28" s="67"/>
      <c r="D28" s="67"/>
      <c r="E28" s="67"/>
      <c r="F28" s="67"/>
      <c r="G28" s="67"/>
      <c r="H28" s="67"/>
      <c r="I28" s="67"/>
      <c r="J28" s="67"/>
    </row>
    <row r="29" spans="1:10" s="28" customFormat="1" ht="15" customHeight="1">
      <c r="A29" s="60" t="s">
        <v>5</v>
      </c>
      <c r="B29" s="68" t="s">
        <v>428</v>
      </c>
      <c r="C29" s="67"/>
      <c r="D29" s="67"/>
      <c r="E29" s="67"/>
      <c r="F29" s="67"/>
      <c r="G29" s="67"/>
      <c r="H29" s="67"/>
      <c r="I29" s="67"/>
      <c r="J29" s="67"/>
    </row>
    <row r="30" spans="1:10" s="28" customFormat="1" ht="15" customHeight="1">
      <c r="A30" s="60" t="s">
        <v>6</v>
      </c>
      <c r="B30" s="68" t="s">
        <v>429</v>
      </c>
      <c r="C30" s="67"/>
      <c r="D30" s="67"/>
      <c r="E30" s="67"/>
      <c r="F30" s="67"/>
      <c r="G30" s="67"/>
      <c r="H30" s="67"/>
      <c r="I30" s="67"/>
      <c r="J30" s="67"/>
    </row>
    <row r="31" spans="1:10" s="28" customFormat="1" ht="15">
      <c r="A31" s="60" t="s">
        <v>7</v>
      </c>
      <c r="B31" s="68" t="s">
        <v>26</v>
      </c>
      <c r="C31" s="67"/>
      <c r="D31" s="67"/>
      <c r="E31" s="67"/>
      <c r="F31" s="67"/>
      <c r="G31" s="67"/>
      <c r="H31" s="67"/>
      <c r="I31" s="67"/>
      <c r="J31" s="67"/>
    </row>
    <row r="32" spans="1:10" s="28" customFormat="1" ht="15">
      <c r="A32" s="60" t="s">
        <v>26</v>
      </c>
      <c r="B32" s="68"/>
      <c r="C32" s="67"/>
      <c r="D32" s="67"/>
      <c r="E32" s="67"/>
      <c r="F32" s="67"/>
      <c r="G32" s="67"/>
      <c r="H32" s="67"/>
      <c r="I32" s="67"/>
      <c r="J32" s="67"/>
    </row>
    <row r="33" spans="1:10" s="28" customFormat="1" ht="15" customHeight="1">
      <c r="A33" s="60" t="s">
        <v>11</v>
      </c>
      <c r="B33" s="68" t="s">
        <v>430</v>
      </c>
      <c r="C33" s="67"/>
      <c r="D33" s="67"/>
      <c r="E33" s="67"/>
      <c r="F33" s="67"/>
      <c r="G33" s="67"/>
      <c r="H33" s="67"/>
      <c r="I33" s="67"/>
      <c r="J33" s="67"/>
    </row>
    <row r="34" spans="1:10" s="28" customFormat="1" ht="15" customHeight="1">
      <c r="A34" s="60" t="s">
        <v>12</v>
      </c>
      <c r="B34" s="68" t="s">
        <v>429</v>
      </c>
      <c r="C34" s="67"/>
      <c r="D34" s="67"/>
      <c r="E34" s="67"/>
      <c r="F34" s="67"/>
      <c r="G34" s="67"/>
      <c r="H34" s="67"/>
      <c r="I34" s="67"/>
      <c r="J34" s="67"/>
    </row>
    <row r="35" spans="1:10" s="28" customFormat="1" ht="15">
      <c r="A35" s="60" t="s">
        <v>18</v>
      </c>
      <c r="B35" s="68" t="s">
        <v>26</v>
      </c>
      <c r="C35" s="67"/>
      <c r="D35" s="67"/>
      <c r="E35" s="67"/>
      <c r="F35" s="67"/>
      <c r="G35" s="67"/>
      <c r="H35" s="67"/>
      <c r="I35" s="67"/>
      <c r="J35" s="67"/>
    </row>
    <row r="36" spans="1:10" s="28" customFormat="1" ht="15">
      <c r="A36" s="60"/>
      <c r="B36" s="68"/>
      <c r="C36" s="67"/>
      <c r="D36" s="67"/>
      <c r="E36" s="67"/>
      <c r="F36" s="67"/>
      <c r="G36" s="67"/>
      <c r="H36" s="67"/>
      <c r="I36" s="67"/>
      <c r="J36" s="67"/>
    </row>
    <row r="37" spans="1:10" s="28" customFormat="1" ht="15" customHeight="1">
      <c r="A37" s="60" t="s">
        <v>23</v>
      </c>
      <c r="B37" s="68" t="s">
        <v>436</v>
      </c>
      <c r="C37" s="67"/>
      <c r="D37" s="67"/>
      <c r="E37" s="67"/>
      <c r="F37" s="67"/>
      <c r="G37" s="67"/>
      <c r="H37" s="67"/>
      <c r="I37" s="67"/>
      <c r="J37" s="67"/>
    </row>
    <row r="38" spans="1:10" s="28" customFormat="1" ht="15" customHeight="1">
      <c r="A38" s="60" t="s">
        <v>24</v>
      </c>
      <c r="B38" s="68" t="s">
        <v>429</v>
      </c>
      <c r="C38" s="67"/>
      <c r="D38" s="67"/>
      <c r="E38" s="67"/>
      <c r="F38" s="67"/>
      <c r="G38" s="67"/>
      <c r="H38" s="67"/>
      <c r="I38" s="67"/>
      <c r="J38" s="67"/>
    </row>
    <row r="39" spans="1:10" s="28" customFormat="1" ht="15" customHeight="1">
      <c r="A39" s="60" t="s">
        <v>139</v>
      </c>
      <c r="B39" s="68" t="s">
        <v>432</v>
      </c>
      <c r="C39" s="67"/>
      <c r="D39" s="67"/>
      <c r="E39" s="67"/>
      <c r="F39" s="67"/>
      <c r="G39" s="67"/>
      <c r="H39" s="67"/>
      <c r="I39" s="67"/>
      <c r="J39" s="67"/>
    </row>
    <row r="40" spans="1:10" s="28" customFormat="1" ht="15">
      <c r="A40" s="60" t="s">
        <v>433</v>
      </c>
      <c r="B40" s="68" t="s">
        <v>26</v>
      </c>
      <c r="C40" s="67"/>
      <c r="D40" s="67"/>
      <c r="E40" s="67"/>
      <c r="F40" s="67"/>
      <c r="G40" s="67"/>
      <c r="H40" s="67"/>
      <c r="I40" s="67"/>
      <c r="J40" s="67"/>
    </row>
    <row r="41" spans="1:10" s="28" customFormat="1" ht="15">
      <c r="A41" s="60" t="s">
        <v>26</v>
      </c>
      <c r="B41" s="68"/>
      <c r="C41" s="67"/>
      <c r="D41" s="67"/>
      <c r="E41" s="67"/>
      <c r="F41" s="67"/>
      <c r="G41" s="67"/>
      <c r="H41" s="67"/>
      <c r="I41" s="67"/>
      <c r="J41" s="67"/>
    </row>
    <row r="42" spans="1:10" s="77" customFormat="1" ht="15" customHeight="1">
      <c r="A42" s="82" t="s">
        <v>434</v>
      </c>
      <c r="B42" s="80" t="s">
        <v>435</v>
      </c>
      <c r="C42" s="79"/>
      <c r="D42" s="79"/>
      <c r="E42" s="79"/>
      <c r="F42" s="79"/>
      <c r="G42" s="79"/>
      <c r="H42" s="79"/>
      <c r="I42" s="79"/>
      <c r="J42" s="79"/>
    </row>
    <row r="43" spans="1:10" s="28" customFormat="1" ht="15">
      <c r="A43" s="1878" t="s">
        <v>776</v>
      </c>
      <c r="B43" s="1879"/>
      <c r="C43" s="1879"/>
      <c r="D43" s="1879"/>
      <c r="E43" s="1879"/>
      <c r="F43" s="1879"/>
      <c r="G43" s="1879"/>
      <c r="H43" s="1879"/>
      <c r="I43" s="1879"/>
      <c r="J43" s="1880"/>
    </row>
    <row r="44" spans="1:10" s="28" customFormat="1" ht="28.5" customHeight="1">
      <c r="A44" s="60" t="s">
        <v>4</v>
      </c>
      <c r="B44" s="68" t="s">
        <v>427</v>
      </c>
      <c r="C44" s="67"/>
      <c r="D44" s="67"/>
      <c r="E44" s="67"/>
      <c r="F44" s="67"/>
      <c r="G44" s="67"/>
      <c r="H44" s="67"/>
      <c r="I44" s="67"/>
      <c r="J44" s="67"/>
    </row>
    <row r="45" spans="1:10" s="28" customFormat="1" ht="15" customHeight="1">
      <c r="A45" s="60" t="s">
        <v>5</v>
      </c>
      <c r="B45" s="68" t="s">
        <v>428</v>
      </c>
      <c r="C45" s="67"/>
      <c r="D45" s="67"/>
      <c r="E45" s="67"/>
      <c r="F45" s="67"/>
      <c r="G45" s="67"/>
      <c r="H45" s="67"/>
      <c r="I45" s="67"/>
      <c r="J45" s="67"/>
    </row>
    <row r="46" spans="1:10" s="28" customFormat="1" ht="15" customHeight="1">
      <c r="A46" s="60" t="s">
        <v>6</v>
      </c>
      <c r="B46" s="68" t="s">
        <v>429</v>
      </c>
      <c r="C46" s="67"/>
      <c r="D46" s="67"/>
      <c r="E46" s="67"/>
      <c r="F46" s="67"/>
      <c r="G46" s="67"/>
      <c r="H46" s="67"/>
      <c r="I46" s="67"/>
      <c r="J46" s="67"/>
    </row>
    <row r="47" spans="1:10" s="28" customFormat="1" ht="15">
      <c r="A47" s="60" t="s">
        <v>7</v>
      </c>
      <c r="B47" s="68" t="s">
        <v>26</v>
      </c>
      <c r="C47" s="67"/>
      <c r="D47" s="67"/>
      <c r="E47" s="67"/>
      <c r="F47" s="67"/>
      <c r="G47" s="67"/>
      <c r="H47" s="67"/>
      <c r="I47" s="67"/>
      <c r="J47" s="67"/>
    </row>
    <row r="48" spans="1:10" s="28" customFormat="1" ht="15">
      <c r="A48" s="60" t="s">
        <v>26</v>
      </c>
      <c r="B48" s="68"/>
      <c r="C48" s="67"/>
      <c r="D48" s="67"/>
      <c r="E48" s="67"/>
      <c r="F48" s="67"/>
      <c r="G48" s="67"/>
      <c r="H48" s="67"/>
      <c r="I48" s="67"/>
      <c r="J48" s="67"/>
    </row>
    <row r="49" spans="1:10" s="28" customFormat="1" ht="15" customHeight="1">
      <c r="A49" s="60" t="s">
        <v>11</v>
      </c>
      <c r="B49" s="68" t="s">
        <v>430</v>
      </c>
      <c r="C49" s="67"/>
      <c r="D49" s="67"/>
      <c r="E49" s="67"/>
      <c r="F49" s="67"/>
      <c r="G49" s="67"/>
      <c r="H49" s="67"/>
      <c r="I49" s="67"/>
      <c r="J49" s="67"/>
    </row>
    <row r="50" spans="1:10" s="28" customFormat="1" ht="15" customHeight="1">
      <c r="A50" s="60" t="s">
        <v>12</v>
      </c>
      <c r="B50" s="68" t="s">
        <v>429</v>
      </c>
      <c r="C50" s="67"/>
      <c r="D50" s="67"/>
      <c r="E50" s="67"/>
      <c r="F50" s="67"/>
      <c r="G50" s="67"/>
      <c r="H50" s="67"/>
      <c r="I50" s="67"/>
      <c r="J50" s="67"/>
    </row>
    <row r="51" spans="1:10" s="28" customFormat="1" ht="15">
      <c r="A51" s="60" t="s">
        <v>18</v>
      </c>
      <c r="B51" s="68" t="s">
        <v>26</v>
      </c>
      <c r="C51" s="67"/>
      <c r="D51" s="67"/>
      <c r="E51" s="67"/>
      <c r="F51" s="67"/>
      <c r="G51" s="67"/>
      <c r="H51" s="67"/>
      <c r="I51" s="67"/>
      <c r="J51" s="67"/>
    </row>
    <row r="52" spans="1:10" s="28" customFormat="1" ht="15">
      <c r="A52" s="60"/>
      <c r="B52" s="68"/>
      <c r="C52" s="67"/>
      <c r="D52" s="67"/>
      <c r="E52" s="67"/>
      <c r="F52" s="67"/>
      <c r="G52" s="67"/>
      <c r="H52" s="67"/>
      <c r="I52" s="67"/>
      <c r="J52" s="67"/>
    </row>
    <row r="53" spans="1:10" s="28" customFormat="1" ht="15" customHeight="1">
      <c r="A53" s="60" t="s">
        <v>23</v>
      </c>
      <c r="B53" s="68" t="s">
        <v>436</v>
      </c>
      <c r="C53" s="67"/>
      <c r="D53" s="67"/>
      <c r="E53" s="67"/>
      <c r="F53" s="67"/>
      <c r="G53" s="67"/>
      <c r="H53" s="67"/>
      <c r="I53" s="67"/>
      <c r="J53" s="67"/>
    </row>
    <row r="54" spans="1:10" s="28" customFormat="1" ht="15" customHeight="1">
      <c r="A54" s="60" t="s">
        <v>24</v>
      </c>
      <c r="B54" s="68" t="s">
        <v>429</v>
      </c>
      <c r="C54" s="67"/>
      <c r="D54" s="67"/>
      <c r="E54" s="67"/>
      <c r="F54" s="67"/>
      <c r="G54" s="67"/>
      <c r="H54" s="67"/>
      <c r="I54" s="67"/>
      <c r="J54" s="67"/>
    </row>
    <row r="55" spans="1:10" s="28" customFormat="1" ht="15" customHeight="1">
      <c r="A55" s="60" t="s">
        <v>139</v>
      </c>
      <c r="B55" s="68" t="s">
        <v>432</v>
      </c>
      <c r="C55" s="67"/>
      <c r="D55" s="67"/>
      <c r="E55" s="67"/>
      <c r="F55" s="67"/>
      <c r="G55" s="67"/>
      <c r="H55" s="67"/>
      <c r="I55" s="67"/>
      <c r="J55" s="67"/>
    </row>
    <row r="56" spans="1:10" s="28" customFormat="1" ht="15">
      <c r="A56" s="60" t="s">
        <v>433</v>
      </c>
      <c r="B56" s="68" t="s">
        <v>26</v>
      </c>
      <c r="C56" s="67"/>
      <c r="D56" s="67"/>
      <c r="E56" s="67"/>
      <c r="F56" s="67"/>
      <c r="G56" s="67"/>
      <c r="H56" s="67"/>
      <c r="I56" s="67"/>
      <c r="J56" s="67"/>
    </row>
    <row r="57" spans="1:10" s="28" customFormat="1" ht="15">
      <c r="A57" s="60" t="s">
        <v>26</v>
      </c>
      <c r="B57" s="68"/>
      <c r="C57" s="67"/>
      <c r="D57" s="67"/>
      <c r="E57" s="67"/>
      <c r="F57" s="67"/>
      <c r="G57" s="67"/>
      <c r="H57" s="67"/>
      <c r="I57" s="67"/>
      <c r="J57" s="67"/>
    </row>
    <row r="58" spans="1:10" s="77" customFormat="1" ht="15" customHeight="1">
      <c r="A58" s="82" t="s">
        <v>434</v>
      </c>
      <c r="B58" s="80" t="s">
        <v>435</v>
      </c>
      <c r="C58" s="79"/>
      <c r="D58" s="79"/>
      <c r="E58" s="79"/>
      <c r="F58" s="79"/>
      <c r="G58" s="79"/>
      <c r="H58" s="79"/>
      <c r="I58" s="79"/>
      <c r="J58" s="79"/>
    </row>
    <row r="59" spans="1:10" s="28" customFormat="1" ht="15">
      <c r="A59" s="1878" t="s">
        <v>777</v>
      </c>
      <c r="B59" s="1879"/>
      <c r="C59" s="1879"/>
      <c r="D59" s="1879"/>
      <c r="E59" s="1879"/>
      <c r="F59" s="1879"/>
      <c r="G59" s="1879"/>
      <c r="H59" s="1879"/>
      <c r="I59" s="1879"/>
      <c r="J59" s="1880"/>
    </row>
    <row r="60" spans="1:10" s="28" customFormat="1" ht="28.5" customHeight="1">
      <c r="A60" s="60" t="s">
        <v>4</v>
      </c>
      <c r="B60" s="68" t="s">
        <v>427</v>
      </c>
      <c r="C60" s="67"/>
      <c r="D60" s="67"/>
      <c r="E60" s="67"/>
      <c r="F60" s="67"/>
      <c r="G60" s="67"/>
      <c r="H60" s="67"/>
      <c r="I60" s="67"/>
      <c r="J60" s="67"/>
    </row>
    <row r="61" spans="1:10" s="28" customFormat="1" ht="15" customHeight="1">
      <c r="A61" s="60" t="s">
        <v>5</v>
      </c>
      <c r="B61" s="68" t="s">
        <v>428</v>
      </c>
      <c r="C61" s="67"/>
      <c r="D61" s="67"/>
      <c r="E61" s="67"/>
      <c r="F61" s="67"/>
      <c r="G61" s="67"/>
      <c r="H61" s="67"/>
      <c r="I61" s="67"/>
      <c r="J61" s="67"/>
    </row>
    <row r="62" spans="1:10" s="28" customFormat="1" ht="15" customHeight="1">
      <c r="A62" s="60" t="s">
        <v>6</v>
      </c>
      <c r="B62" s="68" t="s">
        <v>429</v>
      </c>
      <c r="C62" s="67"/>
      <c r="D62" s="67"/>
      <c r="E62" s="67"/>
      <c r="F62" s="67"/>
      <c r="G62" s="67"/>
      <c r="H62" s="67"/>
      <c r="I62" s="67"/>
      <c r="J62" s="67"/>
    </row>
    <row r="63" spans="1:10" s="28" customFormat="1" ht="15">
      <c r="A63" s="60" t="s">
        <v>7</v>
      </c>
      <c r="B63" s="68" t="s">
        <v>26</v>
      </c>
      <c r="C63" s="67"/>
      <c r="D63" s="67"/>
      <c r="E63" s="67"/>
      <c r="F63" s="67"/>
      <c r="G63" s="67"/>
      <c r="H63" s="67"/>
      <c r="I63" s="67"/>
      <c r="J63" s="67"/>
    </row>
    <row r="64" spans="1:10" s="28" customFormat="1" ht="15">
      <c r="A64" s="60" t="s">
        <v>26</v>
      </c>
      <c r="B64" s="68"/>
      <c r="C64" s="67"/>
      <c r="D64" s="67"/>
      <c r="E64" s="67"/>
      <c r="F64" s="67"/>
      <c r="G64" s="67"/>
      <c r="H64" s="67"/>
      <c r="I64" s="67"/>
      <c r="J64" s="67"/>
    </row>
    <row r="65" spans="1:10" s="28" customFormat="1" ht="15" customHeight="1">
      <c r="A65" s="60" t="s">
        <v>11</v>
      </c>
      <c r="B65" s="68" t="s">
        <v>430</v>
      </c>
      <c r="C65" s="67"/>
      <c r="D65" s="67"/>
      <c r="E65" s="67"/>
      <c r="F65" s="67"/>
      <c r="G65" s="67"/>
      <c r="H65" s="67"/>
      <c r="I65" s="67"/>
      <c r="J65" s="67"/>
    </row>
    <row r="66" spans="1:10" s="28" customFormat="1" ht="15" customHeight="1">
      <c r="A66" s="60" t="s">
        <v>12</v>
      </c>
      <c r="B66" s="68" t="s">
        <v>429</v>
      </c>
      <c r="C66" s="67"/>
      <c r="D66" s="67"/>
      <c r="E66" s="67"/>
      <c r="F66" s="67"/>
      <c r="G66" s="67"/>
      <c r="H66" s="67"/>
      <c r="I66" s="67"/>
      <c r="J66" s="67"/>
    </row>
    <row r="67" spans="1:10" s="28" customFormat="1" ht="15">
      <c r="A67" s="60" t="s">
        <v>18</v>
      </c>
      <c r="B67" s="68" t="s">
        <v>26</v>
      </c>
      <c r="C67" s="67"/>
      <c r="D67" s="67"/>
      <c r="E67" s="67"/>
      <c r="F67" s="67"/>
      <c r="G67" s="67"/>
      <c r="H67" s="67"/>
      <c r="I67" s="67"/>
      <c r="J67" s="67"/>
    </row>
    <row r="68" spans="1:10" s="28" customFormat="1" ht="15">
      <c r="A68" s="60"/>
      <c r="B68" s="68"/>
      <c r="C68" s="67"/>
      <c r="D68" s="67"/>
      <c r="E68" s="67"/>
      <c r="F68" s="67"/>
      <c r="G68" s="67"/>
      <c r="H68" s="67"/>
      <c r="I68" s="67"/>
      <c r="J68" s="67"/>
    </row>
    <row r="69" spans="1:10" s="28" customFormat="1" ht="15" customHeight="1">
      <c r="A69" s="60" t="s">
        <v>23</v>
      </c>
      <c r="B69" s="68" t="s">
        <v>436</v>
      </c>
      <c r="C69" s="67"/>
      <c r="D69" s="67"/>
      <c r="E69" s="67"/>
      <c r="F69" s="67"/>
      <c r="G69" s="67"/>
      <c r="H69" s="67"/>
      <c r="I69" s="67"/>
      <c r="J69" s="67"/>
    </row>
    <row r="70" spans="1:10" s="28" customFormat="1" ht="15" customHeight="1">
      <c r="A70" s="60" t="s">
        <v>24</v>
      </c>
      <c r="B70" s="68" t="s">
        <v>429</v>
      </c>
      <c r="C70" s="67"/>
      <c r="D70" s="67"/>
      <c r="E70" s="67"/>
      <c r="F70" s="67"/>
      <c r="G70" s="67"/>
      <c r="H70" s="67"/>
      <c r="I70" s="67"/>
      <c r="J70" s="67"/>
    </row>
    <row r="71" spans="1:10" s="28" customFormat="1" ht="15" customHeight="1">
      <c r="A71" s="60" t="s">
        <v>139</v>
      </c>
      <c r="B71" s="68" t="s">
        <v>432</v>
      </c>
      <c r="C71" s="67"/>
      <c r="D71" s="67"/>
      <c r="E71" s="67"/>
      <c r="F71" s="67"/>
      <c r="G71" s="67"/>
      <c r="H71" s="67"/>
      <c r="I71" s="67"/>
      <c r="J71" s="67"/>
    </row>
    <row r="72" spans="1:10" s="28" customFormat="1" ht="15">
      <c r="A72" s="60" t="s">
        <v>433</v>
      </c>
      <c r="B72" s="68" t="s">
        <v>26</v>
      </c>
      <c r="C72" s="67"/>
      <c r="D72" s="67"/>
      <c r="E72" s="67"/>
      <c r="F72" s="67"/>
      <c r="G72" s="67"/>
      <c r="H72" s="67"/>
      <c r="I72" s="67"/>
      <c r="J72" s="67"/>
    </row>
    <row r="73" spans="1:10" s="28" customFormat="1" ht="15">
      <c r="A73" s="60" t="s">
        <v>26</v>
      </c>
      <c r="B73" s="68"/>
      <c r="C73" s="67"/>
      <c r="D73" s="67"/>
      <c r="E73" s="67"/>
      <c r="F73" s="67"/>
      <c r="G73" s="67"/>
      <c r="H73" s="67"/>
      <c r="I73" s="67"/>
      <c r="J73" s="67"/>
    </row>
    <row r="74" spans="1:10" s="77" customFormat="1" ht="15" customHeight="1">
      <c r="A74" s="82" t="s">
        <v>434</v>
      </c>
      <c r="B74" s="80" t="s">
        <v>435</v>
      </c>
      <c r="C74" s="79"/>
      <c r="D74" s="79"/>
      <c r="E74" s="79"/>
      <c r="F74" s="79"/>
      <c r="G74" s="79"/>
      <c r="H74" s="79"/>
      <c r="I74" s="79"/>
      <c r="J74" s="79"/>
    </row>
  </sheetData>
  <mergeCells count="15">
    <mergeCell ref="A3:J3"/>
    <mergeCell ref="A59:J59"/>
    <mergeCell ref="D5:D8"/>
    <mergeCell ref="C5:C8"/>
    <mergeCell ref="B5:B8"/>
    <mergeCell ref="A5:A8"/>
    <mergeCell ref="A43:J43"/>
    <mergeCell ref="A10:J10"/>
    <mergeCell ref="H5:J5"/>
    <mergeCell ref="H6:H8"/>
    <mergeCell ref="I6:I8"/>
    <mergeCell ref="J6:J8"/>
    <mergeCell ref="F6:G6"/>
    <mergeCell ref="E6:E7"/>
    <mergeCell ref="E5:G5"/>
  </mergeCells>
  <pageMargins left="0.83" right="0.22" top="0.49" bottom="0.39370078740157483" header="0.19685039370078741" footer="0.19685039370078741"/>
  <pageSetup paperSize="9" scale="83" orientation="portrait" r:id="rId1"/>
  <headerFooter alignWithMargins="0"/>
  <rowBreaks count="1" manualBreakCount="1">
    <brk id="42" max="9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0"/>
  <sheetViews>
    <sheetView view="pageBreakPreview" zoomScaleNormal="100" zoomScaleSheetLayoutView="10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D31" sqref="D31"/>
    </sheetView>
  </sheetViews>
  <sheetFormatPr defaultColWidth="3.28515625" defaultRowHeight="12" customHeight="1"/>
  <cols>
    <col min="1" max="1" width="3.28515625" style="26" customWidth="1"/>
    <col min="2" max="2" width="41.7109375" style="26" customWidth="1"/>
    <col min="3" max="14" width="11" style="26" customWidth="1"/>
    <col min="15" max="70" width="9.42578125" style="26" customWidth="1"/>
    <col min="71" max="16384" width="3.28515625" style="26"/>
  </cols>
  <sheetData>
    <row r="1" spans="1:14" s="24" customFormat="1" ht="21" customHeight="1">
      <c r="A1" s="74" t="s">
        <v>765</v>
      </c>
      <c r="H1" s="25"/>
      <c r="K1" s="25"/>
      <c r="N1" s="25" t="s">
        <v>437</v>
      </c>
    </row>
    <row r="2" spans="1:14" s="24" customFormat="1" ht="12.75" customHeight="1">
      <c r="A2" s="105" t="str">
        <f>'3.1'!$A$2</f>
        <v>ПКГО - Комбинированная выработка КТЭЦ</v>
      </c>
    </row>
    <row r="3" spans="1:14" ht="18.75">
      <c r="A3" s="1876" t="s">
        <v>438</v>
      </c>
      <c r="B3" s="1876"/>
      <c r="C3" s="1876"/>
      <c r="D3" s="1876"/>
      <c r="E3" s="1876"/>
      <c r="F3" s="1876"/>
      <c r="G3" s="1876"/>
      <c r="H3" s="1876"/>
      <c r="I3" s="1876"/>
      <c r="J3" s="1876"/>
      <c r="K3" s="1876"/>
      <c r="L3" s="1876"/>
      <c r="M3" s="1876"/>
      <c r="N3" s="1876"/>
    </row>
    <row r="4" spans="1:14" ht="12.75" customHeight="1">
      <c r="A4" s="27"/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</row>
    <row r="5" spans="1:14" s="31" customFormat="1" ht="15" customHeight="1">
      <c r="A5" s="1858" t="s">
        <v>439</v>
      </c>
      <c r="B5" s="1858" t="s">
        <v>440</v>
      </c>
      <c r="C5" s="1834" t="s">
        <v>771</v>
      </c>
      <c r="D5" s="1835"/>
      <c r="E5" s="1836"/>
      <c r="F5" s="1834" t="s">
        <v>773</v>
      </c>
      <c r="G5" s="1835"/>
      <c r="H5" s="1835"/>
      <c r="I5" s="1834" t="s">
        <v>767</v>
      </c>
      <c r="J5" s="1835"/>
      <c r="K5" s="1835"/>
      <c r="L5" s="1834" t="s">
        <v>766</v>
      </c>
      <c r="M5" s="1835"/>
      <c r="N5" s="1835"/>
    </row>
    <row r="6" spans="1:14" s="31" customFormat="1" ht="64.5" customHeight="1">
      <c r="A6" s="1859"/>
      <c r="B6" s="1859"/>
      <c r="C6" s="83" t="s">
        <v>441</v>
      </c>
      <c r="D6" s="83" t="s">
        <v>442</v>
      </c>
      <c r="E6" s="83" t="s">
        <v>443</v>
      </c>
      <c r="F6" s="83" t="s">
        <v>441</v>
      </c>
      <c r="G6" s="83" t="s">
        <v>442</v>
      </c>
      <c r="H6" s="83" t="s">
        <v>443</v>
      </c>
      <c r="I6" s="83" t="s">
        <v>441</v>
      </c>
      <c r="J6" s="83" t="s">
        <v>442</v>
      </c>
      <c r="K6" s="83" t="s">
        <v>443</v>
      </c>
      <c r="L6" s="83" t="s">
        <v>441</v>
      </c>
      <c r="M6" s="83" t="s">
        <v>442</v>
      </c>
      <c r="N6" s="83" t="s">
        <v>443</v>
      </c>
    </row>
    <row r="7" spans="1:14" s="85" customFormat="1" ht="13.5">
      <c r="A7" s="1860"/>
      <c r="B7" s="1860"/>
      <c r="C7" s="84" t="s">
        <v>779</v>
      </c>
      <c r="D7" s="84" t="s">
        <v>780</v>
      </c>
      <c r="E7" s="84" t="s">
        <v>240</v>
      </c>
      <c r="F7" s="84" t="s">
        <v>779</v>
      </c>
      <c r="G7" s="84" t="s">
        <v>780</v>
      </c>
      <c r="H7" s="84" t="s">
        <v>240</v>
      </c>
      <c r="I7" s="84" t="s">
        <v>779</v>
      </c>
      <c r="J7" s="84" t="s">
        <v>780</v>
      </c>
      <c r="K7" s="84" t="s">
        <v>240</v>
      </c>
      <c r="L7" s="84" t="s">
        <v>779</v>
      </c>
      <c r="M7" s="84" t="s">
        <v>780</v>
      </c>
      <c r="N7" s="84" t="s">
        <v>240</v>
      </c>
    </row>
    <row r="8" spans="1:14" s="48" customFormat="1" ht="15">
      <c r="A8" s="11">
        <v>1</v>
      </c>
      <c r="B8" s="11">
        <v>2</v>
      </c>
      <c r="C8" s="47">
        <v>3</v>
      </c>
      <c r="D8" s="47">
        <v>4</v>
      </c>
      <c r="E8" s="47">
        <v>5</v>
      </c>
      <c r="F8" s="47">
        <v>6</v>
      </c>
      <c r="G8" s="47">
        <v>7</v>
      </c>
      <c r="H8" s="47">
        <v>8</v>
      </c>
      <c r="I8" s="47">
        <v>6</v>
      </c>
      <c r="J8" s="47">
        <v>7</v>
      </c>
      <c r="K8" s="47">
        <v>8</v>
      </c>
      <c r="L8" s="47">
        <v>6</v>
      </c>
      <c r="M8" s="47">
        <v>7</v>
      </c>
      <c r="N8" s="47">
        <v>8</v>
      </c>
    </row>
    <row r="9" spans="1:14" ht="15" customHeight="1">
      <c r="A9" s="17" t="s">
        <v>4</v>
      </c>
      <c r="B9" s="16" t="s">
        <v>444</v>
      </c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</row>
    <row r="10" spans="1:14" ht="15" customHeight="1">
      <c r="A10" s="17" t="s">
        <v>5</v>
      </c>
      <c r="B10" s="51" t="s">
        <v>402</v>
      </c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</row>
    <row r="11" spans="1:14" ht="15" customHeight="1">
      <c r="A11" s="17" t="s">
        <v>11</v>
      </c>
      <c r="B11" s="51" t="s">
        <v>404</v>
      </c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</row>
    <row r="12" spans="1:14" ht="15" customHeight="1">
      <c r="A12" s="17" t="s">
        <v>445</v>
      </c>
      <c r="B12" s="51" t="s">
        <v>406</v>
      </c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</row>
    <row r="13" spans="1:14" ht="15" customHeight="1">
      <c r="A13" s="17" t="s">
        <v>446</v>
      </c>
      <c r="B13" s="51" t="s">
        <v>408</v>
      </c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</row>
    <row r="14" spans="1:14" ht="15" customHeight="1">
      <c r="A14" s="17" t="s">
        <v>23</v>
      </c>
      <c r="B14" s="16" t="s">
        <v>447</v>
      </c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</row>
    <row r="15" spans="1:14" ht="15"/>
    <row r="16" spans="1:14" ht="15">
      <c r="A16" s="26" t="s">
        <v>88</v>
      </c>
    </row>
    <row r="17" spans="1:14" s="28" customFormat="1" ht="43.5" customHeight="1">
      <c r="A17" s="45" t="s">
        <v>89</v>
      </c>
      <c r="B17" s="1842" t="s">
        <v>409</v>
      </c>
      <c r="C17" s="1842"/>
      <c r="D17" s="1842"/>
      <c r="E17" s="1842"/>
      <c r="F17" s="1842"/>
      <c r="G17" s="1842"/>
      <c r="H17" s="1842"/>
      <c r="I17" s="1842"/>
      <c r="J17" s="1842"/>
      <c r="K17" s="1842"/>
      <c r="L17" s="1842"/>
      <c r="M17" s="1842"/>
      <c r="N17" s="1842"/>
    </row>
    <row r="18" spans="1:14" s="28" customFormat="1" ht="43.5" customHeight="1">
      <c r="A18" s="45" t="s">
        <v>91</v>
      </c>
      <c r="B18" s="1842" t="s">
        <v>448</v>
      </c>
      <c r="C18" s="1842"/>
      <c r="D18" s="1842"/>
      <c r="E18" s="1842"/>
      <c r="F18" s="1842"/>
      <c r="G18" s="1842"/>
      <c r="H18" s="1842"/>
      <c r="I18" s="1842"/>
      <c r="J18" s="1842"/>
      <c r="K18" s="1842"/>
      <c r="L18" s="1842"/>
      <c r="M18" s="1842"/>
      <c r="N18" s="1842"/>
    </row>
    <row r="19" spans="1:14" s="28" customFormat="1" ht="15" customHeight="1">
      <c r="A19" s="45" t="s">
        <v>93</v>
      </c>
      <c r="B19" s="28" t="s">
        <v>449</v>
      </c>
    </row>
    <row r="20" spans="1:14" s="28" customFormat="1" ht="15" customHeight="1">
      <c r="A20" s="45" t="s">
        <v>95</v>
      </c>
      <c r="B20" s="28" t="s">
        <v>450</v>
      </c>
    </row>
  </sheetData>
  <mergeCells count="9">
    <mergeCell ref="L5:N5"/>
    <mergeCell ref="B17:N17"/>
    <mergeCell ref="B18:N18"/>
    <mergeCell ref="A3:N3"/>
    <mergeCell ref="B5:B7"/>
    <mergeCell ref="A5:A7"/>
    <mergeCell ref="C5:E5"/>
    <mergeCell ref="F5:H5"/>
    <mergeCell ref="I5:K5"/>
  </mergeCells>
  <pageMargins left="0.78740157480314965" right="0.70866141732283472" top="0.78740157480314965" bottom="0.39370078740157483" header="0.19685039370078741" footer="0.19685039370078741"/>
  <pageSetup paperSize="9" scale="65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</sheetPr>
  <dimension ref="A1:AB108"/>
  <sheetViews>
    <sheetView view="pageBreakPreview" zoomScaleNormal="100" workbookViewId="0">
      <pane xSplit="2" ySplit="5" topLeftCell="N6" activePane="bottomRight" state="frozen"/>
      <selection activeCell="F4" sqref="F4"/>
      <selection pane="topRight" activeCell="F4" sqref="F4"/>
      <selection pane="bottomLeft" activeCell="F4" sqref="F4"/>
      <selection pane="bottomRight" activeCell="F4" sqref="F4"/>
    </sheetView>
  </sheetViews>
  <sheetFormatPr defaultColWidth="3.7109375" defaultRowHeight="15" outlineLevelRow="1"/>
  <cols>
    <col min="1" max="1" width="6.28515625" style="1" customWidth="1"/>
    <col min="2" max="2" width="42" style="1" customWidth="1"/>
    <col min="3" max="3" width="11.85546875" style="1" hidden="1" customWidth="1"/>
    <col min="4" max="6" width="11.85546875" style="1" customWidth="1"/>
    <col min="7" max="8" width="10.85546875" style="1" customWidth="1"/>
    <col min="9" max="9" width="11.28515625" style="1" hidden="1" customWidth="1"/>
    <col min="10" max="11" width="12.28515625" style="1" customWidth="1"/>
    <col min="12" max="12" width="12.28515625" style="1603" customWidth="1"/>
    <col min="13" max="14" width="10.85546875" style="1603" customWidth="1"/>
    <col min="15" max="15" width="10.85546875" style="1" hidden="1" customWidth="1"/>
    <col min="16" max="17" width="11.85546875" style="1" customWidth="1"/>
    <col min="18" max="18" width="11.85546875" style="1603" customWidth="1"/>
    <col min="19" max="20" width="11.28515625" style="1603" customWidth="1"/>
    <col min="21" max="21" width="11.5703125" style="1" hidden="1" customWidth="1"/>
    <col min="22" max="23" width="12.140625" style="1" customWidth="1"/>
    <col min="24" max="24" width="12.140625" style="1603" customWidth="1"/>
    <col min="25" max="25" width="11.42578125" style="1603" customWidth="1"/>
    <col min="26" max="26" width="11.140625" style="1603" customWidth="1"/>
    <col min="27" max="59" width="9.140625" style="1" customWidth="1"/>
    <col min="60" max="16384" width="3.7109375" style="1"/>
  </cols>
  <sheetData>
    <row r="1" spans="1:28" ht="16.5" customHeight="1">
      <c r="A1" s="74" t="s">
        <v>1860</v>
      </c>
      <c r="L1" s="763"/>
      <c r="M1" s="763"/>
      <c r="N1" s="763"/>
      <c r="O1" s="23"/>
      <c r="R1" s="763"/>
      <c r="S1" s="763"/>
      <c r="T1" s="763"/>
      <c r="X1" s="763"/>
      <c r="Y1" s="1717"/>
      <c r="Z1" s="1717" t="s">
        <v>359</v>
      </c>
    </row>
    <row r="2" spans="1:28" ht="12.75" customHeight="1">
      <c r="A2" s="759" t="str">
        <f>'3.1'!$A$2</f>
        <v>ПКГО - Комбинированная выработка КТЭЦ</v>
      </c>
      <c r="L2" s="763"/>
      <c r="M2" s="763"/>
      <c r="N2" s="763"/>
      <c r="R2" s="763"/>
      <c r="S2" s="763"/>
      <c r="T2" s="763"/>
      <c r="X2" s="763"/>
      <c r="Y2" s="763"/>
      <c r="Z2" s="763"/>
    </row>
    <row r="3" spans="1:28" ht="18.75">
      <c r="A3" s="1877" t="s">
        <v>1532</v>
      </c>
      <c r="B3" s="1877"/>
      <c r="C3" s="1877"/>
      <c r="D3" s="1877"/>
      <c r="E3" s="1877"/>
      <c r="F3" s="1877"/>
      <c r="G3" s="1877"/>
      <c r="H3" s="1877"/>
      <c r="I3" s="1877"/>
      <c r="J3" s="1877"/>
      <c r="K3" s="1877"/>
      <c r="L3" s="1877"/>
      <c r="M3" s="1877"/>
      <c r="N3" s="1877"/>
      <c r="O3" s="1877"/>
      <c r="R3" s="763"/>
      <c r="S3" s="763"/>
      <c r="T3" s="763"/>
      <c r="X3" s="763"/>
      <c r="Y3" s="763"/>
      <c r="Z3" s="763"/>
      <c r="AA3" s="1791">
        <f>'4.6_сбыт_КТЭЦ'!O7</f>
        <v>1.05732</v>
      </c>
      <c r="AB3" s="1791">
        <f>'4.6_сбыт_КТЭЦ'!P7</f>
        <v>1.0484099999999998</v>
      </c>
    </row>
    <row r="4" spans="1:28" ht="14.25" customHeight="1">
      <c r="I4" s="21" t="s">
        <v>1533</v>
      </c>
      <c r="J4" s="21" t="s">
        <v>1533</v>
      </c>
      <c r="K4" s="21" t="s">
        <v>1533</v>
      </c>
      <c r="L4" s="1713" t="s">
        <v>1533</v>
      </c>
      <c r="M4" s="1713" t="s">
        <v>1533</v>
      </c>
      <c r="N4" s="1713" t="s">
        <v>1533</v>
      </c>
      <c r="O4" s="21" t="s">
        <v>1525</v>
      </c>
      <c r="P4" s="21" t="s">
        <v>1525</v>
      </c>
      <c r="Q4" s="21" t="s">
        <v>1525</v>
      </c>
      <c r="R4" s="1713" t="s">
        <v>1525</v>
      </c>
      <c r="S4" s="1713" t="s">
        <v>1525</v>
      </c>
      <c r="T4" s="1713" t="s">
        <v>1525</v>
      </c>
      <c r="U4" s="21" t="s">
        <v>1526</v>
      </c>
      <c r="V4" s="21" t="s">
        <v>1526</v>
      </c>
      <c r="W4" s="21" t="s">
        <v>1526</v>
      </c>
      <c r="X4" s="1713" t="s">
        <v>1526</v>
      </c>
      <c r="Y4" s="1713" t="s">
        <v>1526</v>
      </c>
      <c r="Z4" s="1713" t="s">
        <v>1526</v>
      </c>
      <c r="AB4" s="23"/>
    </row>
    <row r="5" spans="1:28" s="3" customFormat="1" ht="45">
      <c r="A5" s="913" t="s">
        <v>0</v>
      </c>
      <c r="B5" s="913" t="s">
        <v>1</v>
      </c>
      <c r="C5" s="913" t="s">
        <v>1130</v>
      </c>
      <c r="D5" s="913" t="s">
        <v>1695</v>
      </c>
      <c r="E5" s="1284" t="s">
        <v>1828</v>
      </c>
      <c r="F5" s="1576" t="s">
        <v>1834</v>
      </c>
      <c r="G5" s="1637" t="s">
        <v>1560</v>
      </c>
      <c r="H5" s="960" t="s">
        <v>1875</v>
      </c>
      <c r="I5" s="916" t="s">
        <v>1130</v>
      </c>
      <c r="J5" s="1284" t="s">
        <v>1695</v>
      </c>
      <c r="K5" s="1576" t="s">
        <v>1828</v>
      </c>
      <c r="L5" s="1687" t="s">
        <v>1834</v>
      </c>
      <c r="M5" s="1710" t="s">
        <v>1560</v>
      </c>
      <c r="N5" s="1714" t="s">
        <v>1875</v>
      </c>
      <c r="O5" s="960" t="s">
        <v>1876</v>
      </c>
      <c r="P5" s="1284" t="s">
        <v>1695</v>
      </c>
      <c r="Q5" s="1576" t="s">
        <v>1828</v>
      </c>
      <c r="R5" s="1687" t="s">
        <v>1834</v>
      </c>
      <c r="S5" s="1710" t="s">
        <v>1560</v>
      </c>
      <c r="T5" s="1714" t="s">
        <v>1875</v>
      </c>
      <c r="U5" s="916" t="s">
        <v>1130</v>
      </c>
      <c r="V5" s="1284" t="s">
        <v>1695</v>
      </c>
      <c r="W5" s="1576" t="s">
        <v>1828</v>
      </c>
      <c r="X5" s="1687" t="s">
        <v>1834</v>
      </c>
      <c r="Y5" s="1687" t="s">
        <v>1560</v>
      </c>
      <c r="Z5" s="1687" t="s">
        <v>1875</v>
      </c>
    </row>
    <row r="6" spans="1:28" s="2" customFormat="1">
      <c r="A6" s="13">
        <v>1</v>
      </c>
      <c r="B6" s="13">
        <v>2</v>
      </c>
      <c r="C6" s="13">
        <v>3</v>
      </c>
      <c r="D6" s="13">
        <v>3</v>
      </c>
      <c r="E6" s="11">
        <v>4</v>
      </c>
      <c r="F6" s="11">
        <v>5</v>
      </c>
      <c r="G6" s="11">
        <v>6</v>
      </c>
      <c r="H6" s="961">
        <v>7</v>
      </c>
      <c r="I6" s="949">
        <v>7</v>
      </c>
      <c r="J6" s="13">
        <v>8</v>
      </c>
      <c r="K6" s="11">
        <v>9</v>
      </c>
      <c r="L6" s="1715">
        <v>10</v>
      </c>
      <c r="M6" s="1715">
        <v>11</v>
      </c>
      <c r="N6" s="1716">
        <v>12</v>
      </c>
      <c r="O6" s="949">
        <v>11</v>
      </c>
      <c r="P6" s="13">
        <v>13</v>
      </c>
      <c r="Q6" s="11">
        <v>14</v>
      </c>
      <c r="R6" s="1715">
        <v>15</v>
      </c>
      <c r="S6" s="1715">
        <v>16</v>
      </c>
      <c r="T6" s="1716">
        <v>17</v>
      </c>
      <c r="U6" s="949">
        <v>15</v>
      </c>
      <c r="V6" s="13">
        <v>18</v>
      </c>
      <c r="W6" s="13">
        <v>19</v>
      </c>
      <c r="X6" s="1718">
        <v>20</v>
      </c>
      <c r="Y6" s="1718">
        <v>21</v>
      </c>
      <c r="Z6" s="1718">
        <v>22</v>
      </c>
    </row>
    <row r="7" spans="1:28" s="1041" customFormat="1" ht="30" customHeight="1">
      <c r="A7" s="1037" t="s">
        <v>361</v>
      </c>
      <c r="B7" s="1038" t="s">
        <v>362</v>
      </c>
      <c r="C7" s="1039">
        <f t="shared" ref="C7:Y7" si="0">C8+SUM(C10:C15)+C20+SUM(C22:C25)+SUM(C56:C61)</f>
        <v>253177.61129999999</v>
      </c>
      <c r="D7" s="1039">
        <f t="shared" si="0"/>
        <v>295255.77408</v>
      </c>
      <c r="E7" s="1039">
        <f t="shared" ref="E7:F7" si="1">E8+SUM(E10:E15)+E20+SUM(E22:E25)+SUM(E56:E61)</f>
        <v>325410.75597</v>
      </c>
      <c r="F7" s="1039">
        <f t="shared" si="1"/>
        <v>277861</v>
      </c>
      <c r="G7" s="1652">
        <f t="shared" si="0"/>
        <v>302203</v>
      </c>
      <c r="H7" s="1042">
        <f t="shared" ref="H7" si="2">H8+SUM(H10:H15)+H20+SUM(H22:H25)+SUM(H56:H61)</f>
        <v>324247.87536139198</v>
      </c>
      <c r="I7" s="1043">
        <f t="shared" si="0"/>
        <v>93647.231400000004</v>
      </c>
      <c r="J7" s="1039">
        <f t="shared" si="0"/>
        <v>110313.30356</v>
      </c>
      <c r="K7" s="1039">
        <f t="shared" si="0"/>
        <v>117118.80359</v>
      </c>
      <c r="L7" s="1039">
        <f t="shared" ref="L7" si="3">L8+SUM(L10:L15)+L20+SUM(L22:L25)+SUM(L56:L61)</f>
        <v>103129</v>
      </c>
      <c r="M7" s="1652">
        <f t="shared" si="0"/>
        <v>110984</v>
      </c>
      <c r="N7" s="1042">
        <f t="shared" ref="N7" si="4">N8+SUM(N10:N15)+N20+SUM(N22:N25)+SUM(N56:N61)</f>
        <v>119394.8480862224</v>
      </c>
      <c r="O7" s="1043">
        <f t="shared" si="0"/>
        <v>132447.50640000001</v>
      </c>
      <c r="P7" s="1039">
        <f t="shared" ref="P7:S7" si="5">P8+SUM(P10:P15)+P20+SUM(P22:P25)+SUM(P56:P61)</f>
        <v>150388.34502000001</v>
      </c>
      <c r="Q7" s="1039">
        <f t="shared" ref="Q7:R7" si="6">Q8+SUM(Q10:Q15)+Q20+SUM(Q22:Q25)+SUM(Q56:Q61)</f>
        <v>171889.00130999999</v>
      </c>
      <c r="R7" s="1039">
        <f t="shared" si="6"/>
        <v>144625</v>
      </c>
      <c r="S7" s="1652">
        <f t="shared" si="5"/>
        <v>158427</v>
      </c>
      <c r="T7" s="1042">
        <f t="shared" ref="T7" si="7">T8+SUM(T10:T15)+T20+SUM(T22:T25)+SUM(T56:T61)</f>
        <v>169666.76319527961</v>
      </c>
      <c r="U7" s="1043">
        <f t="shared" si="0"/>
        <v>27082.873500000002</v>
      </c>
      <c r="V7" s="1039">
        <f t="shared" si="0"/>
        <v>34554.125500000002</v>
      </c>
      <c r="W7" s="1039">
        <f t="shared" si="0"/>
        <v>36402.951069999996</v>
      </c>
      <c r="X7" s="1039">
        <f t="shared" si="0"/>
        <v>30107</v>
      </c>
      <c r="Y7" s="1652">
        <f t="shared" si="0"/>
        <v>32792</v>
      </c>
      <c r="Z7" s="1042">
        <f t="shared" ref="Z7" si="8">Z8+SUM(Z10:Z15)+Z20+SUM(Z22:Z25)+SUM(Z56:Z61)</f>
        <v>35186.264079890003</v>
      </c>
    </row>
    <row r="8" spans="1:28" s="1046" customFormat="1" ht="15" customHeight="1">
      <c r="A8" s="1044"/>
      <c r="B8" s="1045" t="s">
        <v>363</v>
      </c>
      <c r="C8" s="258">
        <f>I8+O8+U8</f>
        <v>5158</v>
      </c>
      <c r="D8" s="258">
        <f>J8+P8+V8</f>
        <v>5210</v>
      </c>
      <c r="E8" s="258">
        <f>K8+Q8+W8</f>
        <v>5776</v>
      </c>
      <c r="F8" s="258">
        <f>L8+R8+X8</f>
        <v>0</v>
      </c>
      <c r="G8" s="1298">
        <f t="shared" ref="G8:H14" si="9">M8+S8+Y8</f>
        <v>0</v>
      </c>
      <c r="H8" s="1048">
        <f t="shared" si="9"/>
        <v>0</v>
      </c>
      <c r="I8" s="1049">
        <v>1908</v>
      </c>
      <c r="J8" s="258">
        <v>1962</v>
      </c>
      <c r="K8" s="1298">
        <v>2077</v>
      </c>
      <c r="L8" s="258">
        <v>0</v>
      </c>
      <c r="M8" s="1298">
        <v>0</v>
      </c>
      <c r="N8" s="1048">
        <v>0</v>
      </c>
      <c r="O8" s="1049">
        <v>2698</v>
      </c>
      <c r="P8" s="258">
        <v>2647</v>
      </c>
      <c r="Q8" s="1298">
        <v>3053</v>
      </c>
      <c r="R8" s="258">
        <v>0</v>
      </c>
      <c r="S8" s="1298">
        <v>0</v>
      </c>
      <c r="T8" s="1048">
        <v>0</v>
      </c>
      <c r="U8" s="1049">
        <v>552</v>
      </c>
      <c r="V8" s="258">
        <v>601</v>
      </c>
      <c r="W8" s="1298">
        <v>646</v>
      </c>
      <c r="X8" s="258">
        <v>0</v>
      </c>
      <c r="Y8" s="1298">
        <v>0</v>
      </c>
      <c r="Z8" s="1048">
        <v>0</v>
      </c>
    </row>
    <row r="9" spans="1:28" s="4" customFormat="1" ht="15" customHeight="1">
      <c r="A9" s="17"/>
      <c r="B9" s="580" t="s">
        <v>1134</v>
      </c>
      <c r="C9" s="751">
        <f t="shared" ref="C9:C24" si="10">I9+O9+U9</f>
        <v>0</v>
      </c>
      <c r="D9" s="751">
        <f t="shared" ref="D9:F14" si="11">J9+P9+V9</f>
        <v>0</v>
      </c>
      <c r="E9" s="751">
        <f t="shared" si="11"/>
        <v>0</v>
      </c>
      <c r="F9" s="751">
        <f t="shared" si="11"/>
        <v>0</v>
      </c>
      <c r="G9" s="1299">
        <f t="shared" si="9"/>
        <v>0</v>
      </c>
      <c r="H9" s="963">
        <f t="shared" si="9"/>
        <v>0</v>
      </c>
      <c r="I9" s="951">
        <v>0</v>
      </c>
      <c r="J9" s="751">
        <v>0</v>
      </c>
      <c r="K9" s="1299">
        <v>0</v>
      </c>
      <c r="L9" s="1299">
        <v>0</v>
      </c>
      <c r="M9" s="1299">
        <v>0</v>
      </c>
      <c r="N9" s="963">
        <v>0</v>
      </c>
      <c r="O9" s="951">
        <v>0</v>
      </c>
      <c r="P9" s="751">
        <v>0</v>
      </c>
      <c r="Q9" s="1299">
        <v>0</v>
      </c>
      <c r="R9" s="1299">
        <v>0</v>
      </c>
      <c r="S9" s="1299">
        <v>0</v>
      </c>
      <c r="T9" s="963">
        <v>0</v>
      </c>
      <c r="U9" s="951">
        <v>0</v>
      </c>
      <c r="V9" s="751">
        <v>0</v>
      </c>
      <c r="W9" s="1299">
        <v>0</v>
      </c>
      <c r="X9" s="1299">
        <v>0</v>
      </c>
      <c r="Y9" s="1299">
        <v>0</v>
      </c>
      <c r="Z9" s="963">
        <v>0</v>
      </c>
    </row>
    <row r="10" spans="1:28" s="1046" customFormat="1" ht="15" customHeight="1">
      <c r="A10" s="1044"/>
      <c r="B10" s="1045" t="s">
        <v>364</v>
      </c>
      <c r="C10" s="258">
        <f t="shared" si="10"/>
        <v>0</v>
      </c>
      <c r="D10" s="258">
        <f t="shared" si="11"/>
        <v>0</v>
      </c>
      <c r="E10" s="258">
        <f t="shared" si="11"/>
        <v>0</v>
      </c>
      <c r="F10" s="258">
        <f t="shared" si="11"/>
        <v>0</v>
      </c>
      <c r="G10" s="1298">
        <f t="shared" si="9"/>
        <v>0</v>
      </c>
      <c r="H10" s="1048">
        <f t="shared" si="9"/>
        <v>0</v>
      </c>
      <c r="I10" s="1049">
        <v>0</v>
      </c>
      <c r="J10" s="258">
        <v>0</v>
      </c>
      <c r="K10" s="258">
        <v>0</v>
      </c>
      <c r="L10" s="258">
        <v>0</v>
      </c>
      <c r="M10" s="258">
        <v>0</v>
      </c>
      <c r="N10" s="1048">
        <v>0</v>
      </c>
      <c r="O10" s="1049">
        <v>0</v>
      </c>
      <c r="P10" s="258">
        <v>0</v>
      </c>
      <c r="Q10" s="258">
        <v>0</v>
      </c>
      <c r="R10" s="258">
        <v>0</v>
      </c>
      <c r="S10" s="258">
        <v>0</v>
      </c>
      <c r="T10" s="1048">
        <v>0</v>
      </c>
      <c r="U10" s="1049">
        <v>0</v>
      </c>
      <c r="V10" s="258">
        <v>0</v>
      </c>
      <c r="W10" s="258">
        <v>0</v>
      </c>
      <c r="X10" s="258">
        <v>0</v>
      </c>
      <c r="Y10" s="258">
        <v>0</v>
      </c>
      <c r="Z10" s="1048">
        <v>0</v>
      </c>
    </row>
    <row r="11" spans="1:28" s="1046" customFormat="1" ht="30">
      <c r="A11" s="1044"/>
      <c r="B11" s="1045" t="s">
        <v>365</v>
      </c>
      <c r="C11" s="258">
        <f t="shared" si="10"/>
        <v>0</v>
      </c>
      <c r="D11" s="258">
        <f t="shared" si="11"/>
        <v>0</v>
      </c>
      <c r="E11" s="258">
        <f t="shared" si="11"/>
        <v>0</v>
      </c>
      <c r="F11" s="258">
        <f t="shared" si="11"/>
        <v>0</v>
      </c>
      <c r="G11" s="1298">
        <f t="shared" si="9"/>
        <v>0</v>
      </c>
      <c r="H11" s="1048">
        <f t="shared" si="9"/>
        <v>0</v>
      </c>
      <c r="I11" s="1049">
        <v>0</v>
      </c>
      <c r="J11" s="258">
        <v>0</v>
      </c>
      <c r="K11" s="258">
        <v>0</v>
      </c>
      <c r="L11" s="258">
        <v>0</v>
      </c>
      <c r="M11" s="258">
        <v>0</v>
      </c>
      <c r="N11" s="1048">
        <v>0</v>
      </c>
      <c r="O11" s="1049">
        <v>0</v>
      </c>
      <c r="P11" s="258">
        <v>0</v>
      </c>
      <c r="Q11" s="258">
        <v>0</v>
      </c>
      <c r="R11" s="258">
        <v>0</v>
      </c>
      <c r="S11" s="258">
        <v>0</v>
      </c>
      <c r="T11" s="1048">
        <v>0</v>
      </c>
      <c r="U11" s="1049">
        <v>0</v>
      </c>
      <c r="V11" s="258">
        <v>0</v>
      </c>
      <c r="W11" s="258">
        <v>0</v>
      </c>
      <c r="X11" s="258">
        <v>0</v>
      </c>
      <c r="Y11" s="258">
        <v>0</v>
      </c>
      <c r="Z11" s="1048">
        <v>0</v>
      </c>
    </row>
    <row r="12" spans="1:28" s="1046" customFormat="1" ht="15" customHeight="1">
      <c r="A12" s="1044"/>
      <c r="B12" s="1045" t="s">
        <v>366</v>
      </c>
      <c r="C12" s="258">
        <f t="shared" si="10"/>
        <v>0</v>
      </c>
      <c r="D12" s="258">
        <f t="shared" si="11"/>
        <v>0</v>
      </c>
      <c r="E12" s="258">
        <f t="shared" si="11"/>
        <v>0</v>
      </c>
      <c r="F12" s="258">
        <f t="shared" si="11"/>
        <v>0</v>
      </c>
      <c r="G12" s="1298">
        <f t="shared" si="9"/>
        <v>0</v>
      </c>
      <c r="H12" s="1048">
        <f t="shared" si="9"/>
        <v>0</v>
      </c>
      <c r="I12" s="1049">
        <v>0</v>
      </c>
      <c r="J12" s="258">
        <v>0</v>
      </c>
      <c r="K12" s="258">
        <v>0</v>
      </c>
      <c r="L12" s="258">
        <v>0</v>
      </c>
      <c r="M12" s="258">
        <v>0</v>
      </c>
      <c r="N12" s="1048">
        <v>0</v>
      </c>
      <c r="O12" s="1049">
        <v>0</v>
      </c>
      <c r="P12" s="258">
        <v>0</v>
      </c>
      <c r="Q12" s="258">
        <v>0</v>
      </c>
      <c r="R12" s="258">
        <v>0</v>
      </c>
      <c r="S12" s="258">
        <v>0</v>
      </c>
      <c r="T12" s="1048">
        <v>0</v>
      </c>
      <c r="U12" s="1049">
        <v>0</v>
      </c>
      <c r="V12" s="258">
        <v>0</v>
      </c>
      <c r="W12" s="258">
        <v>0</v>
      </c>
      <c r="X12" s="258">
        <v>0</v>
      </c>
      <c r="Y12" s="258">
        <v>0</v>
      </c>
      <c r="Z12" s="1048">
        <v>0</v>
      </c>
    </row>
    <row r="13" spans="1:28" s="1046" customFormat="1" ht="15" customHeight="1">
      <c r="A13" s="1044"/>
      <c r="B13" s="1045" t="s">
        <v>367</v>
      </c>
      <c r="C13" s="258">
        <f t="shared" si="10"/>
        <v>0</v>
      </c>
      <c r="D13" s="258">
        <f t="shared" si="11"/>
        <v>0</v>
      </c>
      <c r="E13" s="258">
        <f t="shared" si="11"/>
        <v>0</v>
      </c>
      <c r="F13" s="258">
        <f t="shared" si="11"/>
        <v>0</v>
      </c>
      <c r="G13" s="1298">
        <f t="shared" si="9"/>
        <v>0</v>
      </c>
      <c r="H13" s="1048">
        <f t="shared" si="9"/>
        <v>0</v>
      </c>
      <c r="I13" s="1049">
        <v>0</v>
      </c>
      <c r="J13" s="258">
        <v>0</v>
      </c>
      <c r="K13" s="258">
        <v>0</v>
      </c>
      <c r="L13" s="258">
        <v>0</v>
      </c>
      <c r="M13" s="258">
        <v>0</v>
      </c>
      <c r="N13" s="1048">
        <v>0</v>
      </c>
      <c r="O13" s="1049">
        <v>0</v>
      </c>
      <c r="P13" s="258">
        <v>0</v>
      </c>
      <c r="Q13" s="258">
        <v>0</v>
      </c>
      <c r="R13" s="258">
        <v>0</v>
      </c>
      <c r="S13" s="258">
        <v>0</v>
      </c>
      <c r="T13" s="1048">
        <v>0</v>
      </c>
      <c r="U13" s="1049">
        <v>0</v>
      </c>
      <c r="V13" s="258">
        <v>0</v>
      </c>
      <c r="W13" s="258">
        <v>0</v>
      </c>
      <c r="X13" s="258">
        <v>0</v>
      </c>
      <c r="Y13" s="258">
        <v>0</v>
      </c>
      <c r="Z13" s="1048">
        <v>0</v>
      </c>
    </row>
    <row r="14" spans="1:28" s="1046" customFormat="1" ht="30">
      <c r="A14" s="1044"/>
      <c r="B14" s="1045" t="s">
        <v>368</v>
      </c>
      <c r="C14" s="258">
        <f t="shared" si="10"/>
        <v>3750</v>
      </c>
      <c r="D14" s="258">
        <f t="shared" si="11"/>
        <v>4769</v>
      </c>
      <c r="E14" s="258">
        <f t="shared" si="11"/>
        <v>5355</v>
      </c>
      <c r="F14" s="258">
        <f t="shared" si="11"/>
        <v>5658</v>
      </c>
      <c r="G14" s="1298">
        <f t="shared" si="9"/>
        <v>7199</v>
      </c>
      <c r="H14" s="1048">
        <f t="shared" si="9"/>
        <v>9549</v>
      </c>
      <c r="I14" s="1049">
        <v>1387</v>
      </c>
      <c r="J14" s="1049">
        <v>1796</v>
      </c>
      <c r="K14" s="1049">
        <v>1925</v>
      </c>
      <c r="L14" s="1049">
        <v>2411</v>
      </c>
      <c r="M14" s="1049">
        <v>3068</v>
      </c>
      <c r="N14" s="1048">
        <v>4069</v>
      </c>
      <c r="O14" s="1049">
        <v>1962</v>
      </c>
      <c r="P14" s="1049">
        <v>2423</v>
      </c>
      <c r="Q14" s="1049">
        <v>2830</v>
      </c>
      <c r="R14" s="1049">
        <v>2587</v>
      </c>
      <c r="S14" s="1049">
        <v>3290</v>
      </c>
      <c r="T14" s="1048">
        <v>4364</v>
      </c>
      <c r="U14" s="1049">
        <v>401</v>
      </c>
      <c r="V14" s="1049">
        <v>550</v>
      </c>
      <c r="W14" s="1049">
        <v>600</v>
      </c>
      <c r="X14" s="1049">
        <v>660</v>
      </c>
      <c r="Y14" s="1049">
        <v>841</v>
      </c>
      <c r="Z14" s="1048">
        <v>1116</v>
      </c>
    </row>
    <row r="15" spans="1:28" s="1046" customFormat="1" ht="15" customHeight="1">
      <c r="A15" s="1044"/>
      <c r="B15" s="1045" t="s">
        <v>1135</v>
      </c>
      <c r="C15" s="258">
        <f>C16+C18+C19</f>
        <v>161393</v>
      </c>
      <c r="D15" s="258">
        <f t="shared" ref="D15:Y15" si="12">D16+D18+D19</f>
        <v>189953</v>
      </c>
      <c r="E15" s="258">
        <f t="shared" ref="E15:F15" si="13">E16+E18+E19</f>
        <v>204850</v>
      </c>
      <c r="F15" s="258">
        <f t="shared" si="13"/>
        <v>218557</v>
      </c>
      <c r="G15" s="1298">
        <f t="shared" si="12"/>
        <v>242025</v>
      </c>
      <c r="H15" s="1048">
        <f t="shared" ref="H15" si="14">H16+H18+H19</f>
        <v>256255</v>
      </c>
      <c r="I15" s="1049">
        <f t="shared" si="12"/>
        <v>59698</v>
      </c>
      <c r="J15" s="258">
        <f t="shared" si="12"/>
        <v>71535</v>
      </c>
      <c r="K15" s="258">
        <f t="shared" si="12"/>
        <v>73639</v>
      </c>
      <c r="L15" s="258">
        <f t="shared" ref="L15" si="15">L16+L18+L19</f>
        <v>78507</v>
      </c>
      <c r="M15" s="258">
        <f t="shared" si="12"/>
        <v>86299</v>
      </c>
      <c r="N15" s="1048">
        <f t="shared" ref="N15" si="16">N16+N18+N19</f>
        <v>91365</v>
      </c>
      <c r="O15" s="1049">
        <f t="shared" si="12"/>
        <v>84430</v>
      </c>
      <c r="P15" s="258">
        <f t="shared" ref="P15:S15" si="17">P16+P18+P19</f>
        <v>96502</v>
      </c>
      <c r="Q15" s="258">
        <f t="shared" si="17"/>
        <v>108280</v>
      </c>
      <c r="R15" s="258">
        <f t="shared" si="17"/>
        <v>115958</v>
      </c>
      <c r="S15" s="258">
        <f t="shared" si="17"/>
        <v>129066</v>
      </c>
      <c r="T15" s="1048">
        <f t="shared" ref="T15" si="18">T16+T18+T19</f>
        <v>136665</v>
      </c>
      <c r="U15" s="1049">
        <f t="shared" si="12"/>
        <v>17265</v>
      </c>
      <c r="V15" s="258">
        <f t="shared" si="12"/>
        <v>21916</v>
      </c>
      <c r="W15" s="258">
        <f t="shared" si="12"/>
        <v>22931</v>
      </c>
      <c r="X15" s="258">
        <f t="shared" si="12"/>
        <v>24092</v>
      </c>
      <c r="Y15" s="258">
        <f t="shared" si="12"/>
        <v>26660</v>
      </c>
      <c r="Z15" s="1048">
        <f t="shared" ref="Z15" si="19">Z16+Z18+Z19</f>
        <v>28225</v>
      </c>
    </row>
    <row r="16" spans="1:28" s="341" customFormat="1" ht="15" customHeight="1">
      <c r="A16" s="339"/>
      <c r="B16" s="581" t="s">
        <v>1136</v>
      </c>
      <c r="C16" s="766">
        <f t="shared" si="10"/>
        <v>151038</v>
      </c>
      <c r="D16" s="766">
        <f t="shared" ref="D16:D24" si="20">J16+P16+V16</f>
        <v>179286</v>
      </c>
      <c r="E16" s="766">
        <f t="shared" ref="E16:E24" si="21">K16+Q16+W16</f>
        <v>193477</v>
      </c>
      <c r="F16" s="766">
        <f t="shared" ref="F16:F24" si="22">L16+R16+X16</f>
        <v>206424</v>
      </c>
      <c r="G16" s="1300">
        <f t="shared" ref="G16:H24" si="23">M16+S16+Y16</f>
        <v>231108</v>
      </c>
      <c r="H16" s="965">
        <f t="shared" si="23"/>
        <v>244736</v>
      </c>
      <c r="I16" s="992">
        <v>55868</v>
      </c>
      <c r="J16" s="981">
        <v>67518</v>
      </c>
      <c r="K16" s="1304">
        <f>28641+40910</f>
        <v>69551</v>
      </c>
      <c r="L16" s="1304">
        <f>30378+43293</f>
        <v>73671</v>
      </c>
      <c r="M16" s="1304">
        <f>33969+48696</f>
        <v>82665</v>
      </c>
      <c r="N16" s="1711">
        <f>35969+51563</f>
        <v>87532</v>
      </c>
      <c r="O16" s="954">
        <v>79013</v>
      </c>
      <c r="P16" s="981">
        <v>91081</v>
      </c>
      <c r="Q16" s="1304">
        <v>102268</v>
      </c>
      <c r="R16" s="1304">
        <v>109925</v>
      </c>
      <c r="S16" s="1304">
        <v>122917</v>
      </c>
      <c r="T16" s="1711">
        <v>130175</v>
      </c>
      <c r="U16" s="954">
        <v>16157</v>
      </c>
      <c r="V16" s="981">
        <v>20687</v>
      </c>
      <c r="W16" s="1304">
        <v>21658</v>
      </c>
      <c r="X16" s="1304">
        <v>22828</v>
      </c>
      <c r="Y16" s="981">
        <v>25526</v>
      </c>
      <c r="Z16" s="981">
        <v>27029</v>
      </c>
    </row>
    <row r="17" spans="1:26" s="341" customFormat="1" ht="15" customHeight="1">
      <c r="A17" s="339"/>
      <c r="B17" s="580" t="s">
        <v>1134</v>
      </c>
      <c r="C17" s="751">
        <f t="shared" si="10"/>
        <v>0</v>
      </c>
      <c r="D17" s="751">
        <f t="shared" si="20"/>
        <v>0</v>
      </c>
      <c r="E17" s="751">
        <f t="shared" si="21"/>
        <v>0</v>
      </c>
      <c r="F17" s="751">
        <f t="shared" si="22"/>
        <v>0</v>
      </c>
      <c r="G17" s="1299">
        <f t="shared" si="23"/>
        <v>0</v>
      </c>
      <c r="H17" s="963">
        <f t="shared" si="23"/>
        <v>0</v>
      </c>
      <c r="I17" s="953">
        <v>0</v>
      </c>
      <c r="J17" s="752">
        <v>0</v>
      </c>
      <c r="K17" s="1305">
        <v>0</v>
      </c>
      <c r="L17" s="1305">
        <v>0</v>
      </c>
      <c r="M17" s="1305">
        <v>0</v>
      </c>
      <c r="N17" s="1712">
        <v>0</v>
      </c>
      <c r="O17" s="951">
        <v>0</v>
      </c>
      <c r="P17" s="752">
        <v>0</v>
      </c>
      <c r="Q17" s="1305">
        <v>0</v>
      </c>
      <c r="R17" s="1305">
        <v>0</v>
      </c>
      <c r="S17" s="1305">
        <v>0</v>
      </c>
      <c r="T17" s="1712">
        <v>0</v>
      </c>
      <c r="U17" s="951">
        <v>0</v>
      </c>
      <c r="V17" s="752">
        <v>0</v>
      </c>
      <c r="W17" s="1305">
        <v>0</v>
      </c>
      <c r="X17" s="1305">
        <v>0</v>
      </c>
      <c r="Y17" s="752">
        <v>0</v>
      </c>
      <c r="Z17" s="752">
        <v>0</v>
      </c>
    </row>
    <row r="18" spans="1:26" s="341" customFormat="1" ht="15" customHeight="1">
      <c r="A18" s="339"/>
      <c r="B18" s="581" t="s">
        <v>1137</v>
      </c>
      <c r="C18" s="766">
        <f t="shared" si="10"/>
        <v>1914</v>
      </c>
      <c r="D18" s="766">
        <f t="shared" si="20"/>
        <v>2433</v>
      </c>
      <c r="E18" s="766">
        <f t="shared" si="21"/>
        <v>2502</v>
      </c>
      <c r="F18" s="766">
        <f t="shared" si="22"/>
        <v>2285</v>
      </c>
      <c r="G18" s="1300">
        <f t="shared" si="23"/>
        <v>3039</v>
      </c>
      <c r="H18" s="965">
        <f t="shared" si="23"/>
        <v>3176</v>
      </c>
      <c r="I18" s="952">
        <v>708</v>
      </c>
      <c r="J18" s="308">
        <v>916</v>
      </c>
      <c r="K18" s="1302">
        <f>370+529</f>
        <v>899</v>
      </c>
      <c r="L18" s="1302">
        <f>390+545</f>
        <v>935</v>
      </c>
      <c r="M18" s="1302">
        <f>447+640</f>
        <v>1087</v>
      </c>
      <c r="N18" s="964">
        <f>467+669</f>
        <v>1136</v>
      </c>
      <c r="O18" s="950">
        <v>1001</v>
      </c>
      <c r="P18" s="308">
        <v>1236</v>
      </c>
      <c r="Q18" s="1302">
        <v>1323</v>
      </c>
      <c r="R18" s="1302">
        <v>1100</v>
      </c>
      <c r="S18" s="1302">
        <v>1616</v>
      </c>
      <c r="T18" s="964">
        <v>1689</v>
      </c>
      <c r="U18" s="950">
        <v>205</v>
      </c>
      <c r="V18" s="308">
        <v>281</v>
      </c>
      <c r="W18" s="1302">
        <v>280</v>
      </c>
      <c r="X18" s="1302">
        <v>250</v>
      </c>
      <c r="Y18" s="308">
        <v>336</v>
      </c>
      <c r="Z18" s="308">
        <v>351</v>
      </c>
    </row>
    <row r="19" spans="1:26" s="341" customFormat="1" ht="15" customHeight="1">
      <c r="A19" s="339"/>
      <c r="B19" s="581" t="s">
        <v>1138</v>
      </c>
      <c r="C19" s="766">
        <f t="shared" si="10"/>
        <v>8441</v>
      </c>
      <c r="D19" s="766">
        <f t="shared" si="20"/>
        <v>8234</v>
      </c>
      <c r="E19" s="766">
        <f t="shared" si="21"/>
        <v>8871</v>
      </c>
      <c r="F19" s="766">
        <f t="shared" si="22"/>
        <v>9848</v>
      </c>
      <c r="G19" s="1300">
        <f t="shared" si="23"/>
        <v>7878</v>
      </c>
      <c r="H19" s="965">
        <f t="shared" si="23"/>
        <v>8343</v>
      </c>
      <c r="I19" s="992">
        <v>3122</v>
      </c>
      <c r="J19" s="981">
        <v>3101</v>
      </c>
      <c r="K19" s="1304">
        <v>3189</v>
      </c>
      <c r="L19" s="766">
        <v>3901</v>
      </c>
      <c r="M19" s="1300">
        <v>2547</v>
      </c>
      <c r="N19" s="965">
        <v>2697</v>
      </c>
      <c r="O19" s="954">
        <v>4416</v>
      </c>
      <c r="P19" s="981">
        <v>4185</v>
      </c>
      <c r="Q19" s="1304">
        <v>4689</v>
      </c>
      <c r="R19" s="766">
        <v>4933</v>
      </c>
      <c r="S19" s="1300">
        <v>4533</v>
      </c>
      <c r="T19" s="965">
        <v>4801</v>
      </c>
      <c r="U19" s="954">
        <v>903</v>
      </c>
      <c r="V19" s="981">
        <v>948</v>
      </c>
      <c r="W19" s="1304">
        <v>993</v>
      </c>
      <c r="X19" s="1304">
        <v>1014</v>
      </c>
      <c r="Y19" s="981">
        <v>798</v>
      </c>
      <c r="Z19" s="981">
        <v>845</v>
      </c>
    </row>
    <row r="20" spans="1:26" s="1046" customFormat="1">
      <c r="A20" s="1044"/>
      <c r="B20" s="1045" t="s">
        <v>369</v>
      </c>
      <c r="C20" s="258">
        <f t="shared" si="10"/>
        <v>31642</v>
      </c>
      <c r="D20" s="258">
        <f t="shared" si="20"/>
        <v>37967</v>
      </c>
      <c r="E20" s="258">
        <f t="shared" si="21"/>
        <v>42586</v>
      </c>
      <c r="F20" s="258">
        <f t="shared" si="22"/>
        <v>47226</v>
      </c>
      <c r="G20" s="1298">
        <f t="shared" si="23"/>
        <v>49046</v>
      </c>
      <c r="H20" s="1048">
        <f t="shared" si="23"/>
        <v>52571</v>
      </c>
      <c r="I20" s="1049">
        <v>11790</v>
      </c>
      <c r="J20" s="258">
        <v>14298</v>
      </c>
      <c r="K20" s="1298">
        <v>15309</v>
      </c>
      <c r="L20" s="258">
        <v>18708</v>
      </c>
      <c r="M20" s="258">
        <v>20109</v>
      </c>
      <c r="N20" s="1048">
        <v>21554</v>
      </c>
      <c r="O20" s="1049">
        <v>16347</v>
      </c>
      <c r="P20" s="258">
        <v>19288</v>
      </c>
      <c r="Q20" s="1298">
        <v>22510</v>
      </c>
      <c r="R20" s="258">
        <v>23657</v>
      </c>
      <c r="S20" s="258">
        <v>24032</v>
      </c>
      <c r="T20" s="1048">
        <v>25759</v>
      </c>
      <c r="U20" s="1049">
        <v>3505</v>
      </c>
      <c r="V20" s="258">
        <v>4381</v>
      </c>
      <c r="W20" s="1298">
        <v>4767</v>
      </c>
      <c r="X20" s="258">
        <v>4861</v>
      </c>
      <c r="Y20" s="258">
        <v>4905</v>
      </c>
      <c r="Z20" s="1048">
        <v>5258</v>
      </c>
    </row>
    <row r="21" spans="1:26" s="341" customFormat="1">
      <c r="A21" s="339"/>
      <c r="B21" s="580" t="s">
        <v>1134</v>
      </c>
      <c r="C21" s="751">
        <f t="shared" si="10"/>
        <v>0</v>
      </c>
      <c r="D21" s="751">
        <f t="shared" si="20"/>
        <v>0</v>
      </c>
      <c r="E21" s="751">
        <f t="shared" si="21"/>
        <v>0</v>
      </c>
      <c r="F21" s="751">
        <f t="shared" si="22"/>
        <v>0</v>
      </c>
      <c r="G21" s="1299">
        <f t="shared" si="23"/>
        <v>0</v>
      </c>
      <c r="H21" s="963">
        <f t="shared" si="23"/>
        <v>0</v>
      </c>
      <c r="I21" s="953">
        <v>0</v>
      </c>
      <c r="J21" s="752">
        <v>0</v>
      </c>
      <c r="K21" s="1305">
        <v>0</v>
      </c>
      <c r="L21" s="1305">
        <v>0</v>
      </c>
      <c r="M21" s="1305">
        <v>0</v>
      </c>
      <c r="N21" s="1712">
        <v>0</v>
      </c>
      <c r="O21" s="951">
        <v>0</v>
      </c>
      <c r="P21" s="752">
        <v>0</v>
      </c>
      <c r="Q21" s="1305">
        <v>0</v>
      </c>
      <c r="R21" s="1305">
        <v>0</v>
      </c>
      <c r="S21" s="1305">
        <v>0</v>
      </c>
      <c r="T21" s="1712">
        <v>0</v>
      </c>
      <c r="U21" s="951">
        <v>0</v>
      </c>
      <c r="V21" s="752">
        <v>0</v>
      </c>
      <c r="W21" s="1305">
        <v>0</v>
      </c>
      <c r="X21" s="1305">
        <v>0</v>
      </c>
      <c r="Y21" s="752">
        <v>0</v>
      </c>
      <c r="Z21" s="752">
        <v>0</v>
      </c>
    </row>
    <row r="22" spans="1:26" s="1046" customFormat="1" ht="30" customHeight="1">
      <c r="A22" s="1044"/>
      <c r="B22" s="1045" t="s">
        <v>370</v>
      </c>
      <c r="C22" s="258">
        <f t="shared" si="10"/>
        <v>3761</v>
      </c>
      <c r="D22" s="258">
        <f t="shared" si="20"/>
        <v>3805</v>
      </c>
      <c r="E22" s="258">
        <f t="shared" si="21"/>
        <v>3224</v>
      </c>
      <c r="F22" s="258">
        <f t="shared" si="22"/>
        <v>3160</v>
      </c>
      <c r="G22" s="1298">
        <f t="shared" si="23"/>
        <v>1834</v>
      </c>
      <c r="H22" s="1048">
        <f t="shared" si="23"/>
        <v>3502.8753613919998</v>
      </c>
      <c r="I22" s="1049">
        <v>1391</v>
      </c>
      <c r="J22" s="258">
        <v>1433</v>
      </c>
      <c r="K22" s="1298">
        <v>1159</v>
      </c>
      <c r="L22" s="1298">
        <v>1252</v>
      </c>
      <c r="M22" s="1298">
        <v>599</v>
      </c>
      <c r="N22" s="1048">
        <f>L22*AA3*AB3</f>
        <v>1387.8480862223998</v>
      </c>
      <c r="O22" s="1049">
        <v>1968</v>
      </c>
      <c r="P22" s="258">
        <v>1933</v>
      </c>
      <c r="Q22" s="1298">
        <v>1704</v>
      </c>
      <c r="R22" s="1298">
        <v>1583</v>
      </c>
      <c r="S22" s="1298">
        <v>1050</v>
      </c>
      <c r="T22" s="1048">
        <f>R22*AA3*AB3</f>
        <v>1754.7631952795998</v>
      </c>
      <c r="U22" s="1049">
        <v>402</v>
      </c>
      <c r="V22" s="258">
        <v>439</v>
      </c>
      <c r="W22" s="1298">
        <v>361</v>
      </c>
      <c r="X22" s="1298">
        <v>325</v>
      </c>
      <c r="Y22" s="1298">
        <v>185</v>
      </c>
      <c r="Z22" s="1048">
        <f>X22*AA3*AB3</f>
        <v>360.26407988999995</v>
      </c>
    </row>
    <row r="23" spans="1:26" s="1046" customFormat="1" ht="60">
      <c r="A23" s="1044"/>
      <c r="B23" s="1045" t="s">
        <v>1139</v>
      </c>
      <c r="C23" s="258">
        <f t="shared" si="10"/>
        <v>0</v>
      </c>
      <c r="D23" s="258">
        <f t="shared" si="20"/>
        <v>0</v>
      </c>
      <c r="E23" s="258">
        <f t="shared" si="21"/>
        <v>0</v>
      </c>
      <c r="F23" s="258">
        <f t="shared" si="22"/>
        <v>0</v>
      </c>
      <c r="G23" s="1298">
        <f t="shared" si="23"/>
        <v>0</v>
      </c>
      <c r="H23" s="1048">
        <f t="shared" si="23"/>
        <v>0</v>
      </c>
      <c r="I23" s="1049">
        <v>0</v>
      </c>
      <c r="J23" s="258">
        <v>0</v>
      </c>
      <c r="K23" s="1298">
        <v>0</v>
      </c>
      <c r="L23" s="1298">
        <v>0</v>
      </c>
      <c r="M23" s="1298">
        <v>0</v>
      </c>
      <c r="N23" s="1048">
        <v>0</v>
      </c>
      <c r="O23" s="1049">
        <v>0</v>
      </c>
      <c r="P23" s="258">
        <v>0</v>
      </c>
      <c r="Q23" s="1298">
        <v>0</v>
      </c>
      <c r="R23" s="1298">
        <v>0</v>
      </c>
      <c r="S23" s="1298">
        <v>0</v>
      </c>
      <c r="T23" s="1048">
        <v>0</v>
      </c>
      <c r="U23" s="1049">
        <v>0</v>
      </c>
      <c r="V23" s="258">
        <v>0</v>
      </c>
      <c r="W23" s="1298">
        <v>0</v>
      </c>
      <c r="X23" s="1298">
        <v>0</v>
      </c>
      <c r="Y23" s="1298">
        <v>0</v>
      </c>
      <c r="Z23" s="1048">
        <v>0</v>
      </c>
    </row>
    <row r="24" spans="1:26" s="1046" customFormat="1" ht="60">
      <c r="A24" s="1044"/>
      <c r="B24" s="1045" t="s">
        <v>372</v>
      </c>
      <c r="C24" s="258">
        <f t="shared" si="10"/>
        <v>13154</v>
      </c>
      <c r="D24" s="258">
        <f t="shared" si="20"/>
        <v>16056</v>
      </c>
      <c r="E24" s="258">
        <f t="shared" si="21"/>
        <v>17819</v>
      </c>
      <c r="F24" s="258">
        <f t="shared" si="22"/>
        <v>0</v>
      </c>
      <c r="G24" s="1298">
        <f t="shared" si="23"/>
        <v>0</v>
      </c>
      <c r="H24" s="1048">
        <f t="shared" si="23"/>
        <v>0</v>
      </c>
      <c r="I24" s="1049">
        <f>6256-1391</f>
        <v>4865</v>
      </c>
      <c r="J24" s="258">
        <f>7480-J22</f>
        <v>6047</v>
      </c>
      <c r="K24" s="1298">
        <f>7565-K22</f>
        <v>6406</v>
      </c>
      <c r="L24" s="1298">
        <v>0</v>
      </c>
      <c r="M24" s="1298">
        <v>0</v>
      </c>
      <c r="N24" s="1048">
        <v>0</v>
      </c>
      <c r="O24" s="1049">
        <f>8849-1968</f>
        <v>6881</v>
      </c>
      <c r="P24" s="258">
        <f>10090-P22</f>
        <v>8157</v>
      </c>
      <c r="Q24" s="1298">
        <f>11123-Q22</f>
        <v>9419</v>
      </c>
      <c r="R24" s="1298">
        <v>0</v>
      </c>
      <c r="S24" s="1298">
        <v>0</v>
      </c>
      <c r="T24" s="1048">
        <v>0</v>
      </c>
      <c r="U24" s="1049">
        <f>1810-402</f>
        <v>1408</v>
      </c>
      <c r="V24" s="258">
        <f>2291-V22</f>
        <v>1852</v>
      </c>
      <c r="W24" s="1298">
        <f>2355-W22</f>
        <v>1994</v>
      </c>
      <c r="X24" s="1298">
        <v>0</v>
      </c>
      <c r="Y24" s="1298">
        <v>0</v>
      </c>
      <c r="Z24" s="1048">
        <v>0</v>
      </c>
    </row>
    <row r="25" spans="1:26" s="1046" customFormat="1" ht="105">
      <c r="A25" s="1044"/>
      <c r="B25" s="1045" t="s">
        <v>373</v>
      </c>
      <c r="C25" s="258">
        <f t="shared" ref="C25:U25" si="24">C27+C28+C29+C55</f>
        <v>28533.6113</v>
      </c>
      <c r="D25" s="258">
        <f>D27+D28+D29</f>
        <v>30338.774079999996</v>
      </c>
      <c r="E25" s="258">
        <f t="shared" ref="E25:G25" si="25">E27+E28+E29</f>
        <v>39435.755970000006</v>
      </c>
      <c r="F25" s="258">
        <f t="shared" si="25"/>
        <v>0</v>
      </c>
      <c r="G25" s="258">
        <f t="shared" si="25"/>
        <v>0</v>
      </c>
      <c r="H25" s="1048">
        <f>H27+H28+H29</f>
        <v>0</v>
      </c>
      <c r="I25" s="1049">
        <f t="shared" si="24"/>
        <v>10467.231400000001</v>
      </c>
      <c r="J25" s="258">
        <f>J27+J28+J29</f>
        <v>10346.30356</v>
      </c>
      <c r="K25" s="258">
        <f t="shared" ref="K25:M25" si="26">K27+K28+K29</f>
        <v>14175.80359</v>
      </c>
      <c r="L25" s="258">
        <f t="shared" si="26"/>
        <v>0</v>
      </c>
      <c r="M25" s="258">
        <f t="shared" si="26"/>
        <v>0</v>
      </c>
      <c r="N25" s="1048">
        <f>N27+N28+N29</f>
        <v>0</v>
      </c>
      <c r="O25" s="1049">
        <f t="shared" si="24"/>
        <v>15135.506399999998</v>
      </c>
      <c r="P25" s="258">
        <f>P27+P28+P29</f>
        <v>15965.345020000001</v>
      </c>
      <c r="Q25" s="258">
        <f t="shared" ref="Q25:S25" si="27">Q27+Q28+Q29</f>
        <v>20845.00131</v>
      </c>
      <c r="R25" s="258">
        <f t="shared" si="27"/>
        <v>0</v>
      </c>
      <c r="S25" s="258">
        <f t="shared" si="27"/>
        <v>0</v>
      </c>
      <c r="T25" s="1048">
        <f>T27+T28+T29</f>
        <v>0</v>
      </c>
      <c r="U25" s="1049">
        <f t="shared" si="24"/>
        <v>2930.8735000000006</v>
      </c>
      <c r="V25" s="258">
        <f>V27+V28+V29</f>
        <v>4027.1255000000001</v>
      </c>
      <c r="W25" s="258">
        <f t="shared" ref="W25:Y25" si="28">W27+W28+W29</f>
        <v>4414.9510699999992</v>
      </c>
      <c r="X25" s="258">
        <f t="shared" si="28"/>
        <v>0</v>
      </c>
      <c r="Y25" s="258">
        <f t="shared" si="28"/>
        <v>0</v>
      </c>
      <c r="Z25" s="1048">
        <f>Z27+Z28+Z29</f>
        <v>0</v>
      </c>
    </row>
    <row r="26" spans="1:26" s="4" customFormat="1">
      <c r="A26" s="17"/>
      <c r="B26" s="51" t="s">
        <v>70</v>
      </c>
      <c r="C26" s="241"/>
      <c r="D26" s="241"/>
      <c r="E26" s="241"/>
      <c r="F26" s="241"/>
      <c r="G26" s="1301"/>
      <c r="H26" s="962"/>
      <c r="I26" s="950"/>
      <c r="J26" s="241"/>
      <c r="K26" s="1301"/>
      <c r="L26" s="241"/>
      <c r="M26" s="1301"/>
      <c r="N26" s="962"/>
      <c r="O26" s="950"/>
      <c r="P26" s="241"/>
      <c r="Q26" s="1301"/>
      <c r="R26" s="241"/>
      <c r="S26" s="1301"/>
      <c r="T26" s="962"/>
      <c r="U26" s="950"/>
      <c r="V26" s="241"/>
      <c r="W26" s="1301"/>
      <c r="X26" s="241"/>
      <c r="Y26" s="1301"/>
      <c r="Z26" s="962"/>
    </row>
    <row r="27" spans="1:26" s="4" customFormat="1">
      <c r="A27" s="17"/>
      <c r="B27" s="581" t="s">
        <v>1275</v>
      </c>
      <c r="C27" s="766">
        <f t="shared" ref="C27:C51" si="29">I27+O27+U27</f>
        <v>2512</v>
      </c>
      <c r="D27" s="766">
        <f t="shared" ref="D27:F28" si="30">J27+P27+V27</f>
        <v>2080</v>
      </c>
      <c r="E27" s="766">
        <f t="shared" si="30"/>
        <v>2007</v>
      </c>
      <c r="F27" s="766">
        <f t="shared" si="30"/>
        <v>0</v>
      </c>
      <c r="G27" s="1300">
        <f t="shared" ref="G27:H28" si="31">M27+S27+Y27</f>
        <v>0</v>
      </c>
      <c r="H27" s="965">
        <f t="shared" si="31"/>
        <v>0</v>
      </c>
      <c r="I27" s="954">
        <v>929</v>
      </c>
      <c r="J27" s="766">
        <v>783</v>
      </c>
      <c r="K27" s="1300">
        <v>721</v>
      </c>
      <c r="L27" s="766">
        <v>0</v>
      </c>
      <c r="M27" s="1300">
        <v>0</v>
      </c>
      <c r="N27" s="965">
        <v>0</v>
      </c>
      <c r="O27" s="954">
        <v>1314</v>
      </c>
      <c r="P27" s="766">
        <v>1057</v>
      </c>
      <c r="Q27" s="1300">
        <v>1061</v>
      </c>
      <c r="R27" s="766"/>
      <c r="S27" s="1300"/>
      <c r="T27" s="965"/>
      <c r="U27" s="954">
        <v>269</v>
      </c>
      <c r="V27" s="766">
        <v>240</v>
      </c>
      <c r="W27" s="1300">
        <v>225</v>
      </c>
      <c r="X27" s="766"/>
      <c r="Y27" s="1300"/>
      <c r="Z27" s="965"/>
    </row>
    <row r="28" spans="1:26" s="4" customFormat="1">
      <c r="A28" s="17"/>
      <c r="B28" s="581" t="s">
        <v>1276</v>
      </c>
      <c r="C28" s="766">
        <f t="shared" si="29"/>
        <v>1601</v>
      </c>
      <c r="D28" s="766">
        <f t="shared" si="30"/>
        <v>2120</v>
      </c>
      <c r="E28" s="766">
        <f t="shared" si="30"/>
        <v>1050</v>
      </c>
      <c r="F28" s="766">
        <f t="shared" si="30"/>
        <v>0</v>
      </c>
      <c r="G28" s="1300">
        <f t="shared" si="31"/>
        <v>0</v>
      </c>
      <c r="H28" s="965">
        <f t="shared" si="31"/>
        <v>0</v>
      </c>
      <c r="I28" s="954">
        <v>592</v>
      </c>
      <c r="J28" s="766">
        <v>798</v>
      </c>
      <c r="K28" s="1300">
        <v>377</v>
      </c>
      <c r="L28" s="766">
        <v>0</v>
      </c>
      <c r="M28" s="1300">
        <f>L28*1.068</f>
        <v>0</v>
      </c>
      <c r="N28" s="965">
        <f>M28*1.059</f>
        <v>0</v>
      </c>
      <c r="O28" s="954">
        <v>838</v>
      </c>
      <c r="P28" s="766">
        <v>1077</v>
      </c>
      <c r="Q28" s="1300">
        <v>555</v>
      </c>
      <c r="R28" s="766">
        <v>0</v>
      </c>
      <c r="S28" s="1300">
        <f>R28*1.068</f>
        <v>0</v>
      </c>
      <c r="T28" s="965">
        <f>S28*1.059</f>
        <v>0</v>
      </c>
      <c r="U28" s="954">
        <v>171</v>
      </c>
      <c r="V28" s="766">
        <v>245</v>
      </c>
      <c r="W28" s="1300">
        <v>118</v>
      </c>
      <c r="X28" s="766">
        <v>0</v>
      </c>
      <c r="Y28" s="1300">
        <f>X28*1.068</f>
        <v>0</v>
      </c>
      <c r="Z28" s="965">
        <f>Y28*1.059</f>
        <v>0</v>
      </c>
    </row>
    <row r="29" spans="1:26" s="4" customFormat="1">
      <c r="A29" s="17"/>
      <c r="B29" s="581" t="s">
        <v>1559</v>
      </c>
      <c r="C29" s="766">
        <f t="shared" si="29"/>
        <v>24420.6113</v>
      </c>
      <c r="D29" s="766">
        <f t="shared" ref="D29:K29" si="32">D30+D31</f>
        <v>26138.774079999996</v>
      </c>
      <c r="E29" s="766">
        <f t="shared" ref="E29:F29" si="33">E30+E31</f>
        <v>36378.755970000006</v>
      </c>
      <c r="F29" s="766">
        <f t="shared" si="33"/>
        <v>0</v>
      </c>
      <c r="G29" s="1300">
        <f t="shared" si="32"/>
        <v>0</v>
      </c>
      <c r="H29" s="965">
        <f t="shared" ref="H29" si="34">H30+H31</f>
        <v>0</v>
      </c>
      <c r="I29" s="992">
        <f>I30+I31</f>
        <v>8946.2314000000006</v>
      </c>
      <c r="J29" s="992">
        <f>J30+J31</f>
        <v>8765.3035600000003</v>
      </c>
      <c r="K29" s="766">
        <f t="shared" si="32"/>
        <v>13077.80359</v>
      </c>
      <c r="L29" s="766">
        <v>0</v>
      </c>
      <c r="M29" s="1300">
        <f>L29*1.068</f>
        <v>0</v>
      </c>
      <c r="N29" s="965">
        <f>M29*1.059</f>
        <v>0</v>
      </c>
      <c r="O29" s="992">
        <f>O30+O31</f>
        <v>12983.506399999998</v>
      </c>
      <c r="P29" s="992">
        <f>P30+P31</f>
        <v>13831.345020000001</v>
      </c>
      <c r="Q29" s="766">
        <f t="shared" ref="Q29" si="35">Q30+Q31</f>
        <v>19229.00131</v>
      </c>
      <c r="R29" s="766">
        <v>0</v>
      </c>
      <c r="S29" s="1300">
        <f>R29*1.068</f>
        <v>0</v>
      </c>
      <c r="T29" s="965">
        <f>S29*1.059</f>
        <v>0</v>
      </c>
      <c r="U29" s="992">
        <f>U30+U31</f>
        <v>2490.8735000000006</v>
      </c>
      <c r="V29" s="992">
        <f>V30+V31</f>
        <v>3542.1255000000001</v>
      </c>
      <c r="W29" s="766">
        <f t="shared" ref="W29" si="36">W30+W31</f>
        <v>4071.9510699999996</v>
      </c>
      <c r="X29" s="766">
        <v>0</v>
      </c>
      <c r="Y29" s="1300">
        <f>X29*1.068</f>
        <v>0</v>
      </c>
      <c r="Z29" s="965">
        <f>Y29*1.059</f>
        <v>0</v>
      </c>
    </row>
    <row r="30" spans="1:26" s="4" customFormat="1" outlineLevel="1">
      <c r="A30" s="737" t="s">
        <v>89</v>
      </c>
      <c r="B30" s="738" t="s">
        <v>1244</v>
      </c>
      <c r="C30" s="971">
        <f t="shared" si="29"/>
        <v>2777</v>
      </c>
      <c r="D30" s="971">
        <f>J30+P30+V30</f>
        <v>2436</v>
      </c>
      <c r="E30" s="971">
        <f>K30+Q30+W30</f>
        <v>2382</v>
      </c>
      <c r="F30" s="971">
        <f>L30+R30+X30</f>
        <v>0</v>
      </c>
      <c r="G30" s="1700">
        <f t="shared" ref="G30:H30" si="37">M30+S30+Y30</f>
        <v>0</v>
      </c>
      <c r="H30" s="1701">
        <f t="shared" si="37"/>
        <v>0</v>
      </c>
      <c r="I30" s="955">
        <v>1027</v>
      </c>
      <c r="J30" s="955">
        <v>917</v>
      </c>
      <c r="K30" s="955">
        <v>856</v>
      </c>
      <c r="L30" s="971"/>
      <c r="M30" s="1700"/>
      <c r="N30" s="1701"/>
      <c r="O30" s="955">
        <v>1453</v>
      </c>
      <c r="P30" s="955">
        <v>1238</v>
      </c>
      <c r="Q30" s="955">
        <v>1259</v>
      </c>
      <c r="R30" s="971"/>
      <c r="S30" s="1700"/>
      <c r="T30" s="1701"/>
      <c r="U30" s="955">
        <v>297</v>
      </c>
      <c r="V30" s="955">
        <v>281</v>
      </c>
      <c r="W30" s="955">
        <v>267</v>
      </c>
      <c r="X30" s="971"/>
      <c r="Y30" s="1700"/>
      <c r="Z30" s="1701"/>
    </row>
    <row r="31" spans="1:26" s="341" customFormat="1" outlineLevel="1">
      <c r="A31" s="760" t="s">
        <v>91</v>
      </c>
      <c r="B31" s="761" t="s">
        <v>1245</v>
      </c>
      <c r="C31" s="746">
        <f t="shared" ref="C31:O31" si="38">SUM(C32:C43)+C45</f>
        <v>21643.6113</v>
      </c>
      <c r="D31" s="746">
        <f>SUM(D32:D45)</f>
        <v>23702.774079999996</v>
      </c>
      <c r="E31" s="746">
        <f t="shared" ref="E31:G31" si="39">SUM(E32:E45)</f>
        <v>33996.755970000006</v>
      </c>
      <c r="F31" s="746">
        <f t="shared" si="39"/>
        <v>0</v>
      </c>
      <c r="G31" s="746">
        <f t="shared" si="39"/>
        <v>0</v>
      </c>
      <c r="H31" s="966">
        <f>SUM(H32:H45)</f>
        <v>0</v>
      </c>
      <c r="I31" s="955">
        <f t="shared" si="38"/>
        <v>7919.2314000000006</v>
      </c>
      <c r="J31" s="746">
        <f>SUM(J32:J45)</f>
        <v>7848.3035600000012</v>
      </c>
      <c r="K31" s="746">
        <f t="shared" ref="K31" si="40">SUM(K32:K45)</f>
        <v>12221.80359</v>
      </c>
      <c r="L31" s="746">
        <f t="shared" ref="L31" si="41">SUM(L32:L45)</f>
        <v>0</v>
      </c>
      <c r="M31" s="746">
        <f t="shared" ref="M31" si="42">SUM(M32:M45)</f>
        <v>0</v>
      </c>
      <c r="N31" s="966">
        <f>SUM(N32:N45)</f>
        <v>0</v>
      </c>
      <c r="O31" s="955">
        <f t="shared" si="38"/>
        <v>11530.506399999998</v>
      </c>
      <c r="P31" s="746">
        <f>SUM(P32:P45)</f>
        <v>12593.345020000001</v>
      </c>
      <c r="Q31" s="746">
        <f t="shared" ref="Q31" si="43">SUM(Q32:Q45)</f>
        <v>17970.00131</v>
      </c>
      <c r="R31" s="746">
        <f t="shared" ref="R31" si="44">SUM(R32:R45)</f>
        <v>0</v>
      </c>
      <c r="S31" s="746">
        <f t="shared" ref="S31" si="45">SUM(S32:S45)</f>
        <v>0</v>
      </c>
      <c r="T31" s="966">
        <f>SUM(T32:T45)</f>
        <v>0</v>
      </c>
      <c r="U31" s="955">
        <f t="shared" ref="U31" si="46">SUM(U32:U43)+U45</f>
        <v>2193.8735000000006</v>
      </c>
      <c r="V31" s="746">
        <f>SUM(V32:V45)</f>
        <v>3261.1255000000001</v>
      </c>
      <c r="W31" s="746">
        <f t="shared" ref="W31" si="47">SUM(W32:W45)</f>
        <v>3804.9510699999996</v>
      </c>
      <c r="X31" s="746">
        <f t="shared" ref="X31" si="48">SUM(X32:X45)</f>
        <v>0</v>
      </c>
      <c r="Y31" s="746">
        <f t="shared" ref="Y31" si="49">SUM(Y32:Y45)</f>
        <v>0</v>
      </c>
      <c r="Z31" s="966">
        <f>SUM(Z32:Z45)</f>
        <v>0</v>
      </c>
    </row>
    <row r="32" spans="1:26" s="4" customFormat="1" ht="25.5" outlineLevel="1">
      <c r="A32" s="739" t="s">
        <v>1044</v>
      </c>
      <c r="B32" s="740" t="s">
        <v>1247</v>
      </c>
      <c r="C32" s="753">
        <f t="shared" si="29"/>
        <v>1722.4293</v>
      </c>
      <c r="D32" s="753">
        <f t="shared" ref="D32:D44" si="50">J32+P32+V32</f>
        <v>1437.8111999999999</v>
      </c>
      <c r="E32" s="753">
        <f t="shared" ref="E32:E44" si="51">K32+Q32+W32</f>
        <v>1474.16976</v>
      </c>
      <c r="F32" s="753">
        <f t="shared" ref="F32:F44" si="52">L32+R32+X32</f>
        <v>0</v>
      </c>
      <c r="G32" s="1659">
        <f t="shared" ref="G32:H44" si="53">M32+S32+Y32</f>
        <v>0</v>
      </c>
      <c r="H32" s="973">
        <f t="shared" si="53"/>
        <v>0</v>
      </c>
      <c r="I32" s="952">
        <f>3837*0.1642</f>
        <v>630.0354000000001</v>
      </c>
      <c r="J32" s="308">
        <f>5040*0.09446</f>
        <v>476.07839999999999</v>
      </c>
      <c r="K32" s="308">
        <f>4592*0.11541</f>
        <v>529.96271999999999</v>
      </c>
      <c r="L32" s="753"/>
      <c r="M32" s="1659"/>
      <c r="N32" s="973"/>
      <c r="O32" s="952">
        <f>3837*0.2392</f>
        <v>917.81039999999996</v>
      </c>
      <c r="P32" s="308">
        <f>5040*0.15157</f>
        <v>763.91280000000006</v>
      </c>
      <c r="Q32" s="308">
        <f>4592*0.16969</f>
        <v>779.21648000000005</v>
      </c>
      <c r="R32" s="753"/>
      <c r="S32" s="1659"/>
      <c r="T32" s="973"/>
      <c r="U32" s="952">
        <f>3837*0.0455</f>
        <v>174.58349999999999</v>
      </c>
      <c r="V32" s="308">
        <f>5040*0.03925</f>
        <v>197.82</v>
      </c>
      <c r="W32" s="308">
        <f>4592*0.03593</f>
        <v>164.99055999999999</v>
      </c>
      <c r="X32" s="753"/>
      <c r="Y32" s="1659"/>
      <c r="Z32" s="973"/>
    </row>
    <row r="33" spans="1:26" s="4" customFormat="1" ht="23.25" customHeight="1" outlineLevel="1">
      <c r="A33" s="739" t="s">
        <v>1043</v>
      </c>
      <c r="B33" s="740" t="s">
        <v>1249</v>
      </c>
      <c r="C33" s="753">
        <f t="shared" si="29"/>
        <v>25.587299999999999</v>
      </c>
      <c r="D33" s="753">
        <f t="shared" si="50"/>
        <v>0.85584000000000016</v>
      </c>
      <c r="E33" s="753">
        <f t="shared" si="51"/>
        <v>0</v>
      </c>
      <c r="F33" s="753">
        <f t="shared" si="52"/>
        <v>0</v>
      </c>
      <c r="G33" s="1659">
        <f t="shared" si="53"/>
        <v>0</v>
      </c>
      <c r="H33" s="973">
        <f t="shared" si="53"/>
        <v>0</v>
      </c>
      <c r="I33" s="952">
        <f>57*0.1642</f>
        <v>9.3594000000000008</v>
      </c>
      <c r="J33" s="879">
        <f>3*0.09446</f>
        <v>0.28338000000000002</v>
      </c>
      <c r="K33" s="879"/>
      <c r="L33" s="753"/>
      <c r="M33" s="1659"/>
      <c r="N33" s="973"/>
      <c r="O33" s="952">
        <f>57*0.2392</f>
        <v>13.634399999999999</v>
      </c>
      <c r="P33" s="879">
        <f>3*0.15157</f>
        <v>0.45471000000000006</v>
      </c>
      <c r="Q33" s="879"/>
      <c r="R33" s="753"/>
      <c r="S33" s="1659"/>
      <c r="T33" s="973"/>
      <c r="U33" s="952">
        <f>57*0.0455</f>
        <v>2.5935000000000001</v>
      </c>
      <c r="V33" s="879">
        <f>3*0.03925</f>
        <v>0.11774999999999999</v>
      </c>
      <c r="W33" s="879"/>
      <c r="X33" s="753"/>
      <c r="Y33" s="1659"/>
      <c r="Z33" s="973"/>
    </row>
    <row r="34" spans="1:26" s="4" customFormat="1" outlineLevel="1">
      <c r="A34" s="741" t="s">
        <v>1540</v>
      </c>
      <c r="B34" s="740" t="s">
        <v>1250</v>
      </c>
      <c r="C34" s="753">
        <f t="shared" si="29"/>
        <v>434.53520000000003</v>
      </c>
      <c r="D34" s="753">
        <f t="shared" si="50"/>
        <v>367.15536000000003</v>
      </c>
      <c r="E34" s="753">
        <f t="shared" si="51"/>
        <v>511.07975999999996</v>
      </c>
      <c r="F34" s="753">
        <f t="shared" si="52"/>
        <v>0</v>
      </c>
      <c r="G34" s="1659">
        <f t="shared" si="53"/>
        <v>0</v>
      </c>
      <c r="H34" s="973">
        <f t="shared" si="53"/>
        <v>0</v>
      </c>
      <c r="I34" s="952">
        <f>968*0.1642</f>
        <v>158.94560000000001</v>
      </c>
      <c r="J34" s="308">
        <f>1287*0.09446</f>
        <v>121.57002</v>
      </c>
      <c r="K34" s="308">
        <f>1592*0.11541</f>
        <v>183.73272</v>
      </c>
      <c r="L34" s="753"/>
      <c r="M34" s="1659"/>
      <c r="N34" s="973"/>
      <c r="O34" s="952">
        <f>968*0.2392</f>
        <v>231.54560000000001</v>
      </c>
      <c r="P34" s="308">
        <f>1287*0.15157</f>
        <v>195.07059000000001</v>
      </c>
      <c r="Q34" s="308">
        <f>1592*0.16969</f>
        <v>270.14648</v>
      </c>
      <c r="R34" s="753"/>
      <c r="S34" s="1659"/>
      <c r="T34" s="973"/>
      <c r="U34" s="952">
        <f>968*0.0455</f>
        <v>44.043999999999997</v>
      </c>
      <c r="V34" s="308">
        <f>1287*0.03925</f>
        <v>50.514749999999999</v>
      </c>
      <c r="W34" s="308">
        <f>1592*0.03593</f>
        <v>57.200559999999996</v>
      </c>
      <c r="X34" s="753"/>
      <c r="Y34" s="1659"/>
      <c r="Z34" s="973"/>
    </row>
    <row r="35" spans="1:26" s="4" customFormat="1" ht="25.5" outlineLevel="1">
      <c r="A35" s="739" t="s">
        <v>1541</v>
      </c>
      <c r="B35" s="740" t="s">
        <v>1251</v>
      </c>
      <c r="C35" s="753">
        <f t="shared" si="29"/>
        <v>1080.9512000000002</v>
      </c>
      <c r="D35" s="753">
        <f t="shared" si="50"/>
        <v>1150.81952</v>
      </c>
      <c r="E35" s="753">
        <f t="shared" si="51"/>
        <v>988.77240000000006</v>
      </c>
      <c r="F35" s="753">
        <f t="shared" si="52"/>
        <v>0</v>
      </c>
      <c r="G35" s="1659">
        <f t="shared" si="53"/>
        <v>0</v>
      </c>
      <c r="H35" s="973">
        <f t="shared" si="53"/>
        <v>0</v>
      </c>
      <c r="I35" s="952">
        <f>2408*0.1642</f>
        <v>395.39360000000005</v>
      </c>
      <c r="J35" s="308">
        <f>4034*0.09446</f>
        <v>381.05164000000002</v>
      </c>
      <c r="K35" s="308">
        <f>(1356+1724)*0.11541</f>
        <v>355.46280000000002</v>
      </c>
      <c r="L35" s="753"/>
      <c r="M35" s="1659"/>
      <c r="N35" s="973"/>
      <c r="O35" s="952">
        <f>2408*0.2392</f>
        <v>575.99360000000001</v>
      </c>
      <c r="P35" s="308">
        <f>4034*0.15157</f>
        <v>611.43338000000006</v>
      </c>
      <c r="Q35" s="308">
        <f>(1356+1724)*0.16969</f>
        <v>522.64520000000005</v>
      </c>
      <c r="R35" s="753"/>
      <c r="S35" s="1659"/>
      <c r="T35" s="973"/>
      <c r="U35" s="952">
        <f>2408*0.0455</f>
        <v>109.56399999999999</v>
      </c>
      <c r="V35" s="308">
        <f>4034*0.03925</f>
        <v>158.33449999999999</v>
      </c>
      <c r="W35" s="308">
        <f>(1356+1724)*0.03593</f>
        <v>110.66439999999999</v>
      </c>
      <c r="X35" s="753"/>
      <c r="Y35" s="1659"/>
      <c r="Z35" s="973"/>
    </row>
    <row r="36" spans="1:26" s="4" customFormat="1" ht="13.5" customHeight="1" outlineLevel="1">
      <c r="A36" s="739" t="s">
        <v>1542</v>
      </c>
      <c r="B36" s="740" t="s">
        <v>1252</v>
      </c>
      <c r="C36" s="753">
        <f t="shared" si="29"/>
        <v>5290.7353999999996</v>
      </c>
      <c r="D36" s="753">
        <f t="shared" si="50"/>
        <v>3225.9462400000002</v>
      </c>
      <c r="E36" s="753">
        <f t="shared" si="51"/>
        <v>5523.9632099999999</v>
      </c>
      <c r="F36" s="753">
        <f t="shared" si="52"/>
        <v>0</v>
      </c>
      <c r="G36" s="1659">
        <f t="shared" si="53"/>
        <v>0</v>
      </c>
      <c r="H36" s="973">
        <f t="shared" si="53"/>
        <v>0</v>
      </c>
      <c r="I36" s="952">
        <f>11786*0.1642</f>
        <v>1935.2612000000001</v>
      </c>
      <c r="J36" s="308">
        <f>11308*0.09446</f>
        <v>1068.1536800000001</v>
      </c>
      <c r="K36" s="308">
        <f>17207*0.11541</f>
        <v>1985.85987</v>
      </c>
      <c r="L36" s="753"/>
      <c r="M36" s="1659"/>
      <c r="N36" s="973"/>
      <c r="O36" s="952">
        <f>11786*0.2392</f>
        <v>2819.2111999999997</v>
      </c>
      <c r="P36" s="308">
        <f>11308*0.15157</f>
        <v>1713.9535600000002</v>
      </c>
      <c r="Q36" s="308">
        <f>17207*0.16969</f>
        <v>2919.85583</v>
      </c>
      <c r="R36" s="753"/>
      <c r="S36" s="1659"/>
      <c r="T36" s="973"/>
      <c r="U36" s="952">
        <f>11786*0.0455</f>
        <v>536.26300000000003</v>
      </c>
      <c r="V36" s="308">
        <f>11308*0.03925</f>
        <v>443.839</v>
      </c>
      <c r="W36" s="308">
        <f>17207*0.03593</f>
        <v>618.24750999999992</v>
      </c>
      <c r="X36" s="753"/>
      <c r="Y36" s="1659"/>
      <c r="Z36" s="973"/>
    </row>
    <row r="37" spans="1:26" s="4" customFormat="1" outlineLevel="1">
      <c r="A37" s="739" t="s">
        <v>1543</v>
      </c>
      <c r="B37" s="740" t="s">
        <v>1253</v>
      </c>
      <c r="C37" s="753">
        <f t="shared" si="29"/>
        <v>4628.1589999999997</v>
      </c>
      <c r="D37" s="753">
        <f t="shared" si="50"/>
        <v>2841.1035200000001</v>
      </c>
      <c r="E37" s="753">
        <f t="shared" si="51"/>
        <v>6218.3511000000008</v>
      </c>
      <c r="F37" s="753">
        <f t="shared" si="52"/>
        <v>0</v>
      </c>
      <c r="G37" s="1659">
        <f t="shared" si="53"/>
        <v>0</v>
      </c>
      <c r="H37" s="973">
        <f t="shared" si="53"/>
        <v>0</v>
      </c>
      <c r="I37" s="952">
        <f>10310*0.1642</f>
        <v>1692.902</v>
      </c>
      <c r="J37" s="308">
        <f>9959*0.09446</f>
        <v>940.72714000000008</v>
      </c>
      <c r="K37" s="308">
        <f>19370*0.11541</f>
        <v>2235.4917</v>
      </c>
      <c r="L37" s="753"/>
      <c r="M37" s="1659"/>
      <c r="N37" s="973"/>
      <c r="O37" s="952">
        <f>10310*0.2392</f>
        <v>2466.152</v>
      </c>
      <c r="P37" s="308">
        <f>9959*0.15157</f>
        <v>1509.4856300000001</v>
      </c>
      <c r="Q37" s="308">
        <f>19370*0.16969</f>
        <v>3286.8953000000001</v>
      </c>
      <c r="R37" s="753"/>
      <c r="S37" s="1659"/>
      <c r="T37" s="973"/>
      <c r="U37" s="952">
        <f>10310*0.0455</f>
        <v>469.10499999999996</v>
      </c>
      <c r="V37" s="308">
        <f>9959*0.03925</f>
        <v>390.89075000000003</v>
      </c>
      <c r="W37" s="308">
        <f>19370*0.03593</f>
        <v>695.96409999999992</v>
      </c>
      <c r="X37" s="753"/>
      <c r="Y37" s="1659"/>
      <c r="Z37" s="973"/>
    </row>
    <row r="38" spans="1:26" s="4" customFormat="1" outlineLevel="1">
      <c r="A38" s="739" t="s">
        <v>1544</v>
      </c>
      <c r="B38" s="742" t="s">
        <v>1254</v>
      </c>
      <c r="C38" s="753">
        <f t="shared" si="29"/>
        <v>680.53239999999994</v>
      </c>
      <c r="D38" s="753">
        <f t="shared" si="50"/>
        <v>707.49440000000016</v>
      </c>
      <c r="E38" s="753">
        <f t="shared" si="51"/>
        <v>772.39818000000014</v>
      </c>
      <c r="F38" s="753">
        <f t="shared" si="52"/>
        <v>0</v>
      </c>
      <c r="G38" s="1659">
        <f t="shared" si="53"/>
        <v>0</v>
      </c>
      <c r="H38" s="973">
        <f t="shared" si="53"/>
        <v>0</v>
      </c>
      <c r="I38" s="952">
        <f>1516*0.1642</f>
        <v>248.92720000000003</v>
      </c>
      <c r="J38" s="308">
        <f>2480*0.09446</f>
        <v>234.26080000000002</v>
      </c>
      <c r="K38" s="308">
        <f>2406*0.11541</f>
        <v>277.67646000000002</v>
      </c>
      <c r="L38" s="753"/>
      <c r="M38" s="1659"/>
      <c r="N38" s="973"/>
      <c r="O38" s="952">
        <f>1516*0.2392</f>
        <v>362.62720000000002</v>
      </c>
      <c r="P38" s="308">
        <f>2480*0.15157</f>
        <v>375.89360000000005</v>
      </c>
      <c r="Q38" s="308">
        <f>2406*0.16969</f>
        <v>408.27414000000005</v>
      </c>
      <c r="R38" s="753"/>
      <c r="S38" s="1659"/>
      <c r="T38" s="973"/>
      <c r="U38" s="952">
        <f>1516*0.0455</f>
        <v>68.977999999999994</v>
      </c>
      <c r="V38" s="308">
        <f>2480*0.03925</f>
        <v>97.34</v>
      </c>
      <c r="W38" s="308">
        <f>2406*0.03593</f>
        <v>86.447579999999988</v>
      </c>
      <c r="X38" s="753"/>
      <c r="Y38" s="1659"/>
      <c r="Z38" s="973"/>
    </row>
    <row r="39" spans="1:26" s="4" customFormat="1" outlineLevel="1">
      <c r="A39" s="739" t="s">
        <v>1545</v>
      </c>
      <c r="B39" s="740" t="s">
        <v>1255</v>
      </c>
      <c r="C39" s="753">
        <f t="shared" si="29"/>
        <v>117.16289999999999</v>
      </c>
      <c r="D39" s="753">
        <f t="shared" si="50"/>
        <v>104.1272</v>
      </c>
      <c r="E39" s="753">
        <f t="shared" si="51"/>
        <v>163.7253</v>
      </c>
      <c r="F39" s="753">
        <f t="shared" si="52"/>
        <v>0</v>
      </c>
      <c r="G39" s="1659">
        <f t="shared" si="53"/>
        <v>0</v>
      </c>
      <c r="H39" s="973">
        <f t="shared" si="53"/>
        <v>0</v>
      </c>
      <c r="I39" s="952">
        <f>261*0.1642</f>
        <v>42.856200000000001</v>
      </c>
      <c r="J39" s="308">
        <f>365*0.09446</f>
        <v>34.477899999999998</v>
      </c>
      <c r="K39" s="308">
        <f>510*0.11541</f>
        <v>58.859099999999998</v>
      </c>
      <c r="L39" s="753"/>
      <c r="M39" s="1659"/>
      <c r="N39" s="973"/>
      <c r="O39" s="952">
        <f>261*0.2392</f>
        <v>62.431199999999997</v>
      </c>
      <c r="P39" s="308">
        <f>365*0.15157</f>
        <v>55.323050000000002</v>
      </c>
      <c r="Q39" s="308">
        <f>510*0.16969</f>
        <v>86.541899999999998</v>
      </c>
      <c r="R39" s="753"/>
      <c r="S39" s="1659"/>
      <c r="T39" s="973"/>
      <c r="U39" s="952">
        <f>261*0.0455</f>
        <v>11.875499999999999</v>
      </c>
      <c r="V39" s="308">
        <f>365*0.03925</f>
        <v>14.32625</v>
      </c>
      <c r="W39" s="308">
        <f>510*0.03593</f>
        <v>18.324299999999997</v>
      </c>
      <c r="X39" s="753"/>
      <c r="Y39" s="1659"/>
      <c r="Z39" s="973"/>
    </row>
    <row r="40" spans="1:26" s="4" customFormat="1" ht="25.5" outlineLevel="1">
      <c r="A40" s="739" t="s">
        <v>1546</v>
      </c>
      <c r="B40" s="742" t="s">
        <v>1256</v>
      </c>
      <c r="C40" s="753">
        <f t="shared" si="29"/>
        <v>334.43049999999999</v>
      </c>
      <c r="D40" s="753">
        <f t="shared" si="50"/>
        <v>399.96256000000005</v>
      </c>
      <c r="E40" s="753">
        <f t="shared" si="51"/>
        <v>146.38968</v>
      </c>
      <c r="F40" s="753">
        <f t="shared" si="52"/>
        <v>0</v>
      </c>
      <c r="G40" s="1659">
        <f t="shared" si="53"/>
        <v>0</v>
      </c>
      <c r="H40" s="973">
        <f t="shared" si="53"/>
        <v>0</v>
      </c>
      <c r="I40" s="952">
        <f>745*0.1642</f>
        <v>122.32900000000001</v>
      </c>
      <c r="J40" s="308">
        <f>1402*0.09446</f>
        <v>132.43292</v>
      </c>
      <c r="K40" s="308">
        <f>456*0.11541</f>
        <v>52.626959999999997</v>
      </c>
      <c r="L40" s="753"/>
      <c r="M40" s="1659"/>
      <c r="N40" s="973"/>
      <c r="O40" s="952">
        <f>745*0.2392</f>
        <v>178.20400000000001</v>
      </c>
      <c r="P40" s="308">
        <f>1402*0.15157</f>
        <v>212.50114000000002</v>
      </c>
      <c r="Q40" s="308">
        <f>456*0.16969</f>
        <v>77.378640000000004</v>
      </c>
      <c r="R40" s="753"/>
      <c r="S40" s="1659"/>
      <c r="T40" s="973"/>
      <c r="U40" s="952">
        <f>745*0.0455</f>
        <v>33.897500000000001</v>
      </c>
      <c r="V40" s="308">
        <f>1402*0.03925</f>
        <v>55.028500000000001</v>
      </c>
      <c r="W40" s="308">
        <f>456*0.03593</f>
        <v>16.384079999999997</v>
      </c>
      <c r="X40" s="753"/>
      <c r="Y40" s="1659"/>
      <c r="Z40" s="973"/>
    </row>
    <row r="41" spans="1:26" s="4" customFormat="1" outlineLevel="1">
      <c r="A41" s="739" t="s">
        <v>1547</v>
      </c>
      <c r="B41" s="742" t="s">
        <v>1257</v>
      </c>
      <c r="C41" s="753">
        <f t="shared" si="29"/>
        <v>5011.0707000000011</v>
      </c>
      <c r="D41" s="753">
        <f t="shared" si="50"/>
        <v>11049.750239999999</v>
      </c>
      <c r="E41" s="753">
        <f t="shared" si="51"/>
        <v>15130.785960000001</v>
      </c>
      <c r="F41" s="753">
        <f t="shared" si="52"/>
        <v>0</v>
      </c>
      <c r="G41" s="1659">
        <f t="shared" si="53"/>
        <v>0</v>
      </c>
      <c r="H41" s="973">
        <f t="shared" si="53"/>
        <v>0</v>
      </c>
      <c r="I41" s="952">
        <f>11163*0.1642</f>
        <v>1832.9646000000002</v>
      </c>
      <c r="J41" s="308">
        <f>38733*0.09446</f>
        <v>3658.7191800000001</v>
      </c>
      <c r="K41" s="308">
        <f>47132*0.11541</f>
        <v>5439.5041199999996</v>
      </c>
      <c r="L41" s="753"/>
      <c r="M41" s="1659"/>
      <c r="N41" s="973"/>
      <c r="O41" s="952">
        <f>11163*0.2392</f>
        <v>2670.1896000000002</v>
      </c>
      <c r="P41" s="308">
        <f>38733*0.15157</f>
        <v>5870.7608100000007</v>
      </c>
      <c r="Q41" s="308">
        <f>47132*0.16969</f>
        <v>7997.8290800000004</v>
      </c>
      <c r="R41" s="753"/>
      <c r="S41" s="1659"/>
      <c r="T41" s="973"/>
      <c r="U41" s="952">
        <f>11163*0.0455</f>
        <v>507.91649999999998</v>
      </c>
      <c r="V41" s="308">
        <f>38733*0.03925</f>
        <v>1520.27025</v>
      </c>
      <c r="W41" s="308">
        <f>47132*0.03593</f>
        <v>1693.4527599999999</v>
      </c>
      <c r="X41" s="753"/>
      <c r="Y41" s="1659"/>
      <c r="Z41" s="973"/>
    </row>
    <row r="42" spans="1:26" s="4" customFormat="1" outlineLevel="1">
      <c r="A42" s="741" t="s">
        <v>1548</v>
      </c>
      <c r="B42" s="742" t="s">
        <v>1556</v>
      </c>
      <c r="C42" s="753">
        <f t="shared" ref="C42" si="54">I42+O42+U42</f>
        <v>151.27930000000001</v>
      </c>
      <c r="D42" s="753">
        <f t="shared" si="50"/>
        <v>302.11151999999998</v>
      </c>
      <c r="E42" s="753">
        <f t="shared" si="51"/>
        <v>171.10899000000001</v>
      </c>
      <c r="F42" s="753">
        <f t="shared" si="52"/>
        <v>0</v>
      </c>
      <c r="G42" s="1659">
        <f t="shared" ref="G42:H42" si="55">M42+S42+Y42</f>
        <v>0</v>
      </c>
      <c r="H42" s="973">
        <f t="shared" si="55"/>
        <v>0</v>
      </c>
      <c r="I42" s="952">
        <f>337*0.1642</f>
        <v>55.335400000000007</v>
      </c>
      <c r="J42" s="308">
        <f>1059*0.09446</f>
        <v>100.03314</v>
      </c>
      <c r="K42" s="308">
        <f>533*0.11541</f>
        <v>61.513529999999996</v>
      </c>
      <c r="L42" s="753"/>
      <c r="M42" s="1659"/>
      <c r="N42" s="973"/>
      <c r="O42" s="952">
        <f>337*0.2392</f>
        <v>80.610399999999998</v>
      </c>
      <c r="P42" s="308">
        <f>1059*0.15157</f>
        <v>160.51263</v>
      </c>
      <c r="Q42" s="308">
        <f>533*0.16969</f>
        <v>90.444770000000005</v>
      </c>
      <c r="R42" s="753"/>
      <c r="S42" s="1659"/>
      <c r="T42" s="973"/>
      <c r="U42" s="952">
        <f>337*0.0455</f>
        <v>15.333499999999999</v>
      </c>
      <c r="V42" s="308">
        <f>1059*0.03925</f>
        <v>41.565750000000001</v>
      </c>
      <c r="W42" s="308">
        <f>533*0.03593</f>
        <v>19.150689999999997</v>
      </c>
      <c r="X42" s="753"/>
      <c r="Y42" s="1659"/>
      <c r="Z42" s="973"/>
    </row>
    <row r="43" spans="1:26" s="4" customFormat="1" outlineLevel="1">
      <c r="A43" s="741" t="s">
        <v>1549</v>
      </c>
      <c r="B43" s="742" t="s">
        <v>1258</v>
      </c>
      <c r="C43" s="753">
        <f t="shared" si="29"/>
        <v>755.0498</v>
      </c>
      <c r="D43" s="753">
        <f t="shared" si="50"/>
        <v>446.17792000000003</v>
      </c>
      <c r="E43" s="753">
        <f t="shared" si="51"/>
        <v>644.30720999999994</v>
      </c>
      <c r="F43" s="753">
        <f t="shared" si="52"/>
        <v>0</v>
      </c>
      <c r="G43" s="1659">
        <f t="shared" si="53"/>
        <v>0</v>
      </c>
      <c r="H43" s="973">
        <f t="shared" si="53"/>
        <v>0</v>
      </c>
      <c r="I43" s="952">
        <f>1682*0.1642</f>
        <v>276.18440000000004</v>
      </c>
      <c r="J43" s="308">
        <f>1564*0.09446</f>
        <v>147.73544000000001</v>
      </c>
      <c r="K43" s="308">
        <f>2007*0.11541</f>
        <v>231.62787</v>
      </c>
      <c r="L43" s="753"/>
      <c r="M43" s="1659"/>
      <c r="N43" s="973"/>
      <c r="O43" s="952">
        <f>1682*0.2392</f>
        <v>402.33440000000002</v>
      </c>
      <c r="P43" s="308">
        <f>1564*0.15157</f>
        <v>237.05548000000002</v>
      </c>
      <c r="Q43" s="308">
        <f>2007*0.16969</f>
        <v>340.56783000000001</v>
      </c>
      <c r="R43" s="753"/>
      <c r="S43" s="1659"/>
      <c r="T43" s="973"/>
      <c r="U43" s="952">
        <f>1682*0.0455</f>
        <v>76.530999999999992</v>
      </c>
      <c r="V43" s="308">
        <f>1564*0.03925</f>
        <v>61.387</v>
      </c>
      <c r="W43" s="308">
        <f>2007*0.03593</f>
        <v>72.111509999999996</v>
      </c>
      <c r="X43" s="753"/>
      <c r="Y43" s="1659"/>
      <c r="Z43" s="973"/>
    </row>
    <row r="44" spans="1:26" s="4" customFormat="1" outlineLevel="1">
      <c r="A44" s="764" t="s">
        <v>1555</v>
      </c>
      <c r="B44" s="765" t="s">
        <v>1892</v>
      </c>
      <c r="C44" s="972">
        <f t="shared" si="29"/>
        <v>755</v>
      </c>
      <c r="D44" s="753">
        <f t="shared" si="50"/>
        <v>0</v>
      </c>
      <c r="E44" s="753">
        <f t="shared" si="51"/>
        <v>0</v>
      </c>
      <c r="F44" s="753">
        <f t="shared" si="52"/>
        <v>0</v>
      </c>
      <c r="G44" s="1659">
        <f t="shared" si="53"/>
        <v>0</v>
      </c>
      <c r="H44" s="973">
        <f t="shared" si="53"/>
        <v>0</v>
      </c>
      <c r="I44" s="952">
        <v>276</v>
      </c>
      <c r="J44" s="308"/>
      <c r="K44" s="308"/>
      <c r="L44" s="753"/>
      <c r="M44" s="1659"/>
      <c r="N44" s="973"/>
      <c r="O44" s="952">
        <v>402</v>
      </c>
      <c r="P44" s="308"/>
      <c r="Q44" s="308"/>
      <c r="R44" s="753"/>
      <c r="S44" s="1659"/>
      <c r="T44" s="973"/>
      <c r="U44" s="952">
        <v>77</v>
      </c>
      <c r="V44" s="308"/>
      <c r="W44" s="308"/>
      <c r="X44" s="753"/>
      <c r="Y44" s="1659"/>
      <c r="Z44" s="973"/>
    </row>
    <row r="45" spans="1:26" s="341" customFormat="1" outlineLevel="1">
      <c r="A45" s="764" t="s">
        <v>1889</v>
      </c>
      <c r="B45" s="765" t="s">
        <v>1259</v>
      </c>
      <c r="C45" s="746">
        <f t="shared" ref="C45" si="56">SUM(C46:C54)</f>
        <v>1411.6883</v>
      </c>
      <c r="D45" s="746">
        <f>SUM(D46:D55)</f>
        <v>1669.45856</v>
      </c>
      <c r="E45" s="746">
        <f>SUM(E46:E55)</f>
        <v>2251.70442</v>
      </c>
      <c r="F45" s="746">
        <f t="shared" ref="F45:H45" si="57">SUM(F46:F55)</f>
        <v>0</v>
      </c>
      <c r="G45" s="746">
        <f t="shared" si="57"/>
        <v>0</v>
      </c>
      <c r="H45" s="973">
        <f t="shared" si="57"/>
        <v>0</v>
      </c>
      <c r="I45" s="955">
        <f>SUM(I46:I55)</f>
        <v>518.73740000000009</v>
      </c>
      <c r="J45" s="746">
        <f t="shared" ref="J45:Y45" si="58">SUM(J46:J55)</f>
        <v>552.77991999999995</v>
      </c>
      <c r="K45" s="746">
        <f>SUM(K46:K55)</f>
        <v>809.48574000000008</v>
      </c>
      <c r="L45" s="746">
        <f t="shared" ref="L45" si="59">SUM(L46:L55)</f>
        <v>0</v>
      </c>
      <c r="M45" s="746">
        <f t="shared" si="58"/>
        <v>0</v>
      </c>
      <c r="N45" s="973">
        <f t="shared" ref="N45" si="60">SUM(N46:N55)</f>
        <v>0</v>
      </c>
      <c r="O45" s="955">
        <f t="shared" si="58"/>
        <v>749.76239999999996</v>
      </c>
      <c r="P45" s="746">
        <f t="shared" si="58"/>
        <v>886.98764000000006</v>
      </c>
      <c r="Q45" s="746">
        <f>SUM(Q46:Q55)</f>
        <v>1190.2056600000001</v>
      </c>
      <c r="R45" s="746"/>
      <c r="S45" s="746">
        <f t="shared" si="58"/>
        <v>0</v>
      </c>
      <c r="T45" s="1721">
        <f t="shared" ref="T45" si="61">SUM(T46:T55)</f>
        <v>0</v>
      </c>
      <c r="U45" s="955">
        <f t="shared" si="58"/>
        <v>143.18849999999998</v>
      </c>
      <c r="V45" s="746">
        <f t="shared" si="58"/>
        <v>229.691</v>
      </c>
      <c r="W45" s="746">
        <f>SUM(W46:W55)</f>
        <v>252.01301999999998</v>
      </c>
      <c r="X45" s="746"/>
      <c r="Y45" s="746">
        <f t="shared" si="58"/>
        <v>0</v>
      </c>
      <c r="Z45" s="1721">
        <f t="shared" ref="Z45" si="62">SUM(Z46:Z55)</f>
        <v>0</v>
      </c>
    </row>
    <row r="46" spans="1:26" s="4" customFormat="1" outlineLevel="1">
      <c r="A46" s="744"/>
      <c r="B46" s="745" t="s">
        <v>1260</v>
      </c>
      <c r="C46" s="972">
        <f t="shared" si="29"/>
        <v>211.88080000000002</v>
      </c>
      <c r="D46" s="972">
        <f t="shared" ref="D46:F54" si="63">J46+P46+V46</f>
        <v>152.62480000000002</v>
      </c>
      <c r="E46" s="972">
        <f t="shared" si="63"/>
        <v>117.49697999999999</v>
      </c>
      <c r="F46" s="972">
        <f t="shared" si="63"/>
        <v>0</v>
      </c>
      <c r="G46" s="1660">
        <f t="shared" ref="G46:H51" si="64">M46+S46+Y46</f>
        <v>0</v>
      </c>
      <c r="H46" s="974">
        <f t="shared" si="64"/>
        <v>0</v>
      </c>
      <c r="I46" s="952">
        <f>472*0.1642</f>
        <v>77.502400000000009</v>
      </c>
      <c r="J46" s="308">
        <f>535*0.09446</f>
        <v>50.536100000000005</v>
      </c>
      <c r="K46" s="308">
        <f>366*0.11541</f>
        <v>42.24006</v>
      </c>
      <c r="L46" s="972"/>
      <c r="M46" s="1660"/>
      <c r="N46" s="974"/>
      <c r="O46" s="952">
        <f>472*0.2392</f>
        <v>112.9024</v>
      </c>
      <c r="P46" s="308">
        <f>535*0.15157</f>
        <v>81.089950000000002</v>
      </c>
      <c r="Q46" s="308">
        <f>366*0.16969</f>
        <v>62.106540000000003</v>
      </c>
      <c r="R46" s="972"/>
      <c r="S46" s="1660"/>
      <c r="T46" s="974"/>
      <c r="U46" s="952">
        <f>472*0.0455</f>
        <v>21.475999999999999</v>
      </c>
      <c r="V46" s="308">
        <f>535*0.03925</f>
        <v>20.998750000000001</v>
      </c>
      <c r="W46" s="308">
        <f>366*0.03593</f>
        <v>13.150379999999998</v>
      </c>
      <c r="X46" s="972"/>
      <c r="Y46" s="1660"/>
      <c r="Z46" s="974"/>
    </row>
    <row r="47" spans="1:26" s="4" customFormat="1" outlineLevel="1">
      <c r="A47" s="744"/>
      <c r="B47" s="743" t="s">
        <v>1261</v>
      </c>
      <c r="C47" s="972">
        <f t="shared" si="29"/>
        <v>284.6026</v>
      </c>
      <c r="D47" s="972">
        <f t="shared" si="63"/>
        <v>258.46368000000001</v>
      </c>
      <c r="E47" s="972">
        <f t="shared" si="63"/>
        <v>246.55104</v>
      </c>
      <c r="F47" s="972">
        <f t="shared" si="63"/>
        <v>0</v>
      </c>
      <c r="G47" s="1660">
        <f t="shared" si="64"/>
        <v>0</v>
      </c>
      <c r="H47" s="974">
        <f t="shared" si="64"/>
        <v>0</v>
      </c>
      <c r="I47" s="952">
        <f>634*0.1642</f>
        <v>104.1028</v>
      </c>
      <c r="J47" s="308">
        <f>906*0.09446</f>
        <v>85.580759999999998</v>
      </c>
      <c r="K47" s="308">
        <f>768*0.11541</f>
        <v>88.634879999999995</v>
      </c>
      <c r="L47" s="972"/>
      <c r="M47" s="1660"/>
      <c r="N47" s="974"/>
      <c r="O47" s="952">
        <f>634*0.2392</f>
        <v>151.65279999999998</v>
      </c>
      <c r="P47" s="308">
        <f>906*0.15157</f>
        <v>137.32242000000002</v>
      </c>
      <c r="Q47" s="308">
        <f>768*0.16969</f>
        <v>130.32192000000001</v>
      </c>
      <c r="R47" s="972"/>
      <c r="S47" s="1660"/>
      <c r="T47" s="974"/>
      <c r="U47" s="952">
        <f>634*0.0455</f>
        <v>28.846999999999998</v>
      </c>
      <c r="V47" s="308">
        <f>906*0.03925</f>
        <v>35.560499999999998</v>
      </c>
      <c r="W47" s="308">
        <f>768*0.03593</f>
        <v>27.594239999999999</v>
      </c>
      <c r="X47" s="972"/>
      <c r="Y47" s="1660"/>
      <c r="Z47" s="974"/>
    </row>
    <row r="48" spans="1:26" s="4" customFormat="1" outlineLevel="1">
      <c r="A48" s="744"/>
      <c r="B48" s="743" t="s">
        <v>1262</v>
      </c>
      <c r="C48" s="972">
        <f t="shared" si="29"/>
        <v>363.1601</v>
      </c>
      <c r="D48" s="972">
        <f t="shared" si="63"/>
        <v>314.37855999999999</v>
      </c>
      <c r="E48" s="972">
        <f t="shared" si="63"/>
        <v>329.37678</v>
      </c>
      <c r="F48" s="972">
        <f t="shared" si="63"/>
        <v>0</v>
      </c>
      <c r="G48" s="1660">
        <f t="shared" si="64"/>
        <v>0</v>
      </c>
      <c r="H48" s="974">
        <f t="shared" si="64"/>
        <v>0</v>
      </c>
      <c r="I48" s="952">
        <f>809*0.1642</f>
        <v>132.83780000000002</v>
      </c>
      <c r="J48" s="308">
        <f>1102*0.09446</f>
        <v>104.09492</v>
      </c>
      <c r="K48" s="308">
        <f>1026*0.11541</f>
        <v>118.41065999999999</v>
      </c>
      <c r="L48" s="972"/>
      <c r="M48" s="1660"/>
      <c r="N48" s="974"/>
      <c r="O48" s="952">
        <f>809*0.2392</f>
        <v>193.5128</v>
      </c>
      <c r="P48" s="308">
        <f>1102*0.15157</f>
        <v>167.03014000000002</v>
      </c>
      <c r="Q48" s="308">
        <f>1026*0.16969</f>
        <v>174.10194000000001</v>
      </c>
      <c r="R48" s="972"/>
      <c r="S48" s="1660"/>
      <c r="T48" s="974"/>
      <c r="U48" s="952">
        <f>809*0.0455</f>
        <v>36.8095</v>
      </c>
      <c r="V48" s="308">
        <f>1102*0.03925</f>
        <v>43.253500000000003</v>
      </c>
      <c r="W48" s="308">
        <f>1026*0.03593</f>
        <v>36.864179999999998</v>
      </c>
      <c r="X48" s="972"/>
      <c r="Y48" s="1660"/>
      <c r="Z48" s="974"/>
    </row>
    <row r="49" spans="1:26" s="4" customFormat="1" outlineLevel="1">
      <c r="A49" s="744"/>
      <c r="B49" s="743" t="s">
        <v>1263</v>
      </c>
      <c r="C49" s="972">
        <f t="shared" si="29"/>
        <v>115.3673</v>
      </c>
      <c r="D49" s="972">
        <f t="shared" si="63"/>
        <v>262.45760000000001</v>
      </c>
      <c r="E49" s="972">
        <f t="shared" si="63"/>
        <v>86.03604</v>
      </c>
      <c r="F49" s="972">
        <f t="shared" si="63"/>
        <v>0</v>
      </c>
      <c r="G49" s="1660">
        <f t="shared" si="64"/>
        <v>0</v>
      </c>
      <c r="H49" s="974">
        <f t="shared" si="64"/>
        <v>0</v>
      </c>
      <c r="I49" s="952">
        <f>257*0.1642</f>
        <v>42.199400000000004</v>
      </c>
      <c r="J49" s="308">
        <f>920*0.09446</f>
        <v>86.903199999999998</v>
      </c>
      <c r="K49" s="308">
        <f>268*0.11541</f>
        <v>30.929880000000001</v>
      </c>
      <c r="L49" s="972"/>
      <c r="M49" s="1660"/>
      <c r="N49" s="974"/>
      <c r="O49" s="952">
        <f>257*0.2392</f>
        <v>61.474399999999996</v>
      </c>
      <c r="P49" s="308">
        <f>920*0.15157</f>
        <v>139.4444</v>
      </c>
      <c r="Q49" s="308">
        <f>268*0.16969</f>
        <v>45.47692</v>
      </c>
      <c r="R49" s="972"/>
      <c r="S49" s="1660"/>
      <c r="T49" s="974"/>
      <c r="U49" s="952">
        <f>257*0.0455</f>
        <v>11.6935</v>
      </c>
      <c r="V49" s="308">
        <f>920*0.03925</f>
        <v>36.11</v>
      </c>
      <c r="W49" s="308">
        <f>268*0.03593</f>
        <v>9.6292399999999994</v>
      </c>
      <c r="X49" s="972"/>
      <c r="Y49" s="1660"/>
      <c r="Z49" s="974"/>
    </row>
    <row r="50" spans="1:26" s="4" customFormat="1" ht="38.25" outlineLevel="1">
      <c r="A50" s="744"/>
      <c r="B50" s="743" t="s">
        <v>1891</v>
      </c>
      <c r="C50" s="972">
        <f t="shared" si="29"/>
        <v>436.67750000000001</v>
      </c>
      <c r="D50" s="972">
        <f t="shared" si="63"/>
        <v>681.53391999999997</v>
      </c>
      <c r="E50" s="972">
        <f t="shared" si="63"/>
        <v>736.44281999999998</v>
      </c>
      <c r="F50" s="972">
        <f t="shared" si="63"/>
        <v>0</v>
      </c>
      <c r="G50" s="1660">
        <f t="shared" si="64"/>
        <v>0</v>
      </c>
      <c r="H50" s="974">
        <f t="shared" si="64"/>
        <v>0</v>
      </c>
      <c r="I50" s="952">
        <f>975*0.1642+2</f>
        <v>162.095</v>
      </c>
      <c r="J50" s="308">
        <f>2389*0.09446</f>
        <v>225.66494</v>
      </c>
      <c r="K50" s="308">
        <f>2294*0.11541</f>
        <v>264.75054</v>
      </c>
      <c r="L50" s="972"/>
      <c r="M50" s="1660"/>
      <c r="N50" s="974"/>
      <c r="O50" s="952">
        <f>975*0.2392-3</f>
        <v>230.22</v>
      </c>
      <c r="P50" s="308">
        <f>2389*0.15157</f>
        <v>362.10073</v>
      </c>
      <c r="Q50" s="308">
        <f>2294*0.16969</f>
        <v>389.26886000000002</v>
      </c>
      <c r="R50" s="972"/>
      <c r="S50" s="1660"/>
      <c r="T50" s="974"/>
      <c r="U50" s="952">
        <f>975*0.0455</f>
        <v>44.362499999999997</v>
      </c>
      <c r="V50" s="308">
        <f>2389*0.03925</f>
        <v>93.768249999999995</v>
      </c>
      <c r="W50" s="308">
        <f>2294*0.03593</f>
        <v>82.423419999999993</v>
      </c>
      <c r="X50" s="972"/>
      <c r="Y50" s="1660"/>
      <c r="Z50" s="974"/>
    </row>
    <row r="51" spans="1:26" s="4" customFormat="1" ht="25.5" outlineLevel="1">
      <c r="A51" s="744"/>
      <c r="B51" s="743" t="s">
        <v>1264</v>
      </c>
      <c r="C51" s="972">
        <f t="shared" si="29"/>
        <v>0</v>
      </c>
      <c r="D51" s="972">
        <f t="shared" si="63"/>
        <v>0</v>
      </c>
      <c r="E51" s="972">
        <f t="shared" si="63"/>
        <v>0</v>
      </c>
      <c r="F51" s="972">
        <f t="shared" si="63"/>
        <v>0</v>
      </c>
      <c r="G51" s="1660">
        <f t="shared" si="64"/>
        <v>0</v>
      </c>
      <c r="H51" s="974">
        <f t="shared" si="64"/>
        <v>0</v>
      </c>
      <c r="I51" s="952"/>
      <c r="J51" s="308"/>
      <c r="K51" s="1302"/>
      <c r="L51" s="972"/>
      <c r="M51" s="1660"/>
      <c r="N51" s="974"/>
      <c r="O51" s="952"/>
      <c r="P51" s="308"/>
      <c r="Q51" s="1302"/>
      <c r="R51" s="972"/>
      <c r="S51" s="1660"/>
      <c r="T51" s="974"/>
      <c r="U51" s="952"/>
      <c r="V51" s="308"/>
      <c r="W51" s="1302"/>
      <c r="X51" s="972"/>
      <c r="Y51" s="1660"/>
      <c r="Z51" s="974"/>
    </row>
    <row r="52" spans="1:26" s="4" customFormat="1" outlineLevel="1">
      <c r="A52" s="744"/>
      <c r="B52" s="1391" t="s">
        <v>1883</v>
      </c>
      <c r="C52" s="972">
        <f t="shared" ref="C52" si="65">I52+O52+U52</f>
        <v>0</v>
      </c>
      <c r="D52" s="972">
        <f t="shared" si="63"/>
        <v>0</v>
      </c>
      <c r="E52" s="972">
        <f t="shared" si="63"/>
        <v>0</v>
      </c>
      <c r="F52" s="972">
        <f t="shared" si="63"/>
        <v>0</v>
      </c>
      <c r="G52" s="1660">
        <f t="shared" ref="G52:H54" si="66">M52+S52+Y52</f>
        <v>0</v>
      </c>
      <c r="H52" s="974">
        <f t="shared" si="66"/>
        <v>0</v>
      </c>
      <c r="I52" s="952"/>
      <c r="J52" s="308"/>
      <c r="K52" s="1302"/>
      <c r="L52" s="972"/>
      <c r="M52" s="1660"/>
      <c r="N52" s="974"/>
      <c r="O52" s="952"/>
      <c r="P52" s="308"/>
      <c r="Q52" s="1302"/>
      <c r="R52" s="972"/>
      <c r="S52" s="1660"/>
      <c r="T52" s="974"/>
      <c r="U52" s="952"/>
      <c r="V52" s="308"/>
      <c r="W52" s="1302"/>
      <c r="X52" s="972"/>
      <c r="Y52" s="1660"/>
      <c r="Z52" s="974"/>
    </row>
    <row r="53" spans="1:26" s="4" customFormat="1" outlineLevel="1">
      <c r="A53" s="744"/>
      <c r="B53" s="743" t="s">
        <v>1884</v>
      </c>
      <c r="C53" s="743"/>
      <c r="D53" s="308"/>
      <c r="E53" s="972">
        <f t="shared" si="63"/>
        <v>735.80075999999997</v>
      </c>
      <c r="F53" s="972">
        <f t="shared" ref="F53:F54" si="67">L53+R53+X53</f>
        <v>0</v>
      </c>
      <c r="G53" s="972">
        <f t="shared" si="66"/>
        <v>0</v>
      </c>
      <c r="H53" s="974">
        <f t="shared" si="66"/>
        <v>0</v>
      </c>
      <c r="I53" s="952"/>
      <c r="J53" s="308"/>
      <c r="K53" s="308">
        <f>2292*0.11541</f>
        <v>264.51972000000001</v>
      </c>
      <c r="L53" s="972"/>
      <c r="M53" s="972"/>
      <c r="N53" s="974"/>
      <c r="O53" s="952"/>
      <c r="P53" s="308"/>
      <c r="Q53" s="308">
        <f>2292*0.16969</f>
        <v>388.92948000000001</v>
      </c>
      <c r="R53" s="972"/>
      <c r="S53" s="972"/>
      <c r="T53" s="974"/>
      <c r="U53" s="952"/>
      <c r="V53" s="308"/>
      <c r="W53" s="308">
        <f>2292*0.03593</f>
        <v>82.351559999999992</v>
      </c>
      <c r="X53" s="972"/>
      <c r="Y53" s="972"/>
      <c r="Z53" s="974"/>
    </row>
    <row r="54" spans="1:26" s="4" customFormat="1" ht="25.5" outlineLevel="1">
      <c r="A54" s="17"/>
      <c r="B54" s="743" t="s">
        <v>1885</v>
      </c>
      <c r="C54" s="241"/>
      <c r="D54" s="241"/>
      <c r="E54" s="972">
        <f t="shared" si="63"/>
        <v>0</v>
      </c>
      <c r="F54" s="972">
        <f t="shared" si="67"/>
        <v>0</v>
      </c>
      <c r="G54" s="972">
        <f t="shared" si="66"/>
        <v>0</v>
      </c>
      <c r="H54" s="974">
        <f t="shared" si="66"/>
        <v>0</v>
      </c>
      <c r="I54" s="950"/>
      <c r="J54" s="308"/>
      <c r="K54" s="308"/>
      <c r="L54" s="972"/>
      <c r="M54" s="972"/>
      <c r="N54" s="974"/>
      <c r="O54" s="950"/>
      <c r="P54" s="308"/>
      <c r="Q54" s="308"/>
      <c r="R54" s="972"/>
      <c r="S54" s="972"/>
      <c r="T54" s="974"/>
      <c r="U54" s="950"/>
      <c r="V54" s="308"/>
      <c r="W54" s="308"/>
      <c r="X54" s="972"/>
      <c r="Y54" s="972"/>
      <c r="Z54" s="974"/>
    </row>
    <row r="55" spans="1:26" s="341" customFormat="1" ht="25.5" outlineLevel="1">
      <c r="A55" s="339"/>
      <c r="B55" s="743" t="s">
        <v>1886</v>
      </c>
      <c r="C55" s="998">
        <f t="shared" ref="C55" si="68">I55+O55+U55</f>
        <v>0</v>
      </c>
      <c r="D55" s="998">
        <f t="shared" ref="D55:F60" si="69">J55+P55+V55</f>
        <v>0</v>
      </c>
      <c r="E55" s="998">
        <f t="shared" si="69"/>
        <v>0</v>
      </c>
      <c r="F55" s="998">
        <f t="shared" si="69"/>
        <v>0</v>
      </c>
      <c r="G55" s="1416">
        <f t="shared" ref="G55:H55" si="70">M55+S55+Y55</f>
        <v>0</v>
      </c>
      <c r="H55" s="1392">
        <f t="shared" si="70"/>
        <v>0</v>
      </c>
      <c r="I55" s="1658"/>
      <c r="J55" s="998"/>
      <c r="K55" s="308"/>
      <c r="L55" s="998"/>
      <c r="M55" s="1416"/>
      <c r="N55" s="1392"/>
      <c r="O55" s="1658"/>
      <c r="P55" s="998"/>
      <c r="Q55" s="308"/>
      <c r="R55" s="998"/>
      <c r="S55" s="1416"/>
      <c r="T55" s="1392"/>
      <c r="U55" s="1658"/>
      <c r="V55" s="998"/>
      <c r="W55" s="308"/>
      <c r="X55" s="998"/>
      <c r="Y55" s="1416"/>
      <c r="Z55" s="1392"/>
    </row>
    <row r="56" spans="1:26" s="1046" customFormat="1" ht="90">
      <c r="A56" s="1044"/>
      <c r="B56" s="1045" t="s">
        <v>374</v>
      </c>
      <c r="C56" s="258">
        <f t="shared" ref="C56:C75" si="71">I56+O56+U56</f>
        <v>362</v>
      </c>
      <c r="D56" s="258">
        <f t="shared" si="69"/>
        <v>322</v>
      </c>
      <c r="E56" s="258">
        <f t="shared" si="69"/>
        <v>219</v>
      </c>
      <c r="F56" s="258">
        <f t="shared" si="69"/>
        <v>1587</v>
      </c>
      <c r="G56" s="1298">
        <f t="shared" ref="G56:H60" si="72">M56+S56+Y56</f>
        <v>126</v>
      </c>
      <c r="H56" s="1048">
        <f t="shared" si="72"/>
        <v>126</v>
      </c>
      <c r="I56" s="1049">
        <v>134</v>
      </c>
      <c r="J56" s="258">
        <v>322</v>
      </c>
      <c r="K56" s="1298">
        <v>219</v>
      </c>
      <c r="L56" s="1298">
        <v>1587</v>
      </c>
      <c r="M56" s="1298">
        <v>126</v>
      </c>
      <c r="N56" s="1048">
        <v>126</v>
      </c>
      <c r="O56" s="1049">
        <v>189</v>
      </c>
      <c r="P56" s="258">
        <v>0</v>
      </c>
      <c r="Q56" s="1298">
        <v>0</v>
      </c>
      <c r="R56" s="1298">
        <v>0</v>
      </c>
      <c r="S56" s="1298">
        <v>0</v>
      </c>
      <c r="T56" s="1298">
        <v>0</v>
      </c>
      <c r="U56" s="1048">
        <v>39</v>
      </c>
      <c r="V56" s="258">
        <v>0</v>
      </c>
      <c r="W56" s="1298">
        <v>0</v>
      </c>
      <c r="X56" s="258"/>
      <c r="Y56" s="1298">
        <v>0</v>
      </c>
      <c r="Z56" s="1048">
        <v>0</v>
      </c>
    </row>
    <row r="57" spans="1:26" s="1046" customFormat="1" ht="30">
      <c r="A57" s="1044"/>
      <c r="B57" s="1045" t="s">
        <v>375</v>
      </c>
      <c r="C57" s="258">
        <f t="shared" si="71"/>
        <v>0</v>
      </c>
      <c r="D57" s="258">
        <f t="shared" si="69"/>
        <v>0</v>
      </c>
      <c r="E57" s="258">
        <f t="shared" si="69"/>
        <v>33</v>
      </c>
      <c r="F57" s="258">
        <f t="shared" si="69"/>
        <v>0</v>
      </c>
      <c r="G57" s="1298">
        <f t="shared" si="72"/>
        <v>0</v>
      </c>
      <c r="H57" s="1048">
        <f t="shared" si="72"/>
        <v>0</v>
      </c>
      <c r="I57" s="1049">
        <v>0</v>
      </c>
      <c r="J57" s="258">
        <v>0</v>
      </c>
      <c r="K57" s="1298">
        <v>12</v>
      </c>
      <c r="L57" s="258">
        <v>0</v>
      </c>
      <c r="M57" s="1298">
        <v>0</v>
      </c>
      <c r="N57" s="1048">
        <v>0</v>
      </c>
      <c r="O57" s="1049">
        <v>0</v>
      </c>
      <c r="P57" s="258">
        <v>0</v>
      </c>
      <c r="Q57" s="1298">
        <v>17</v>
      </c>
      <c r="R57" s="258">
        <v>0</v>
      </c>
      <c r="S57" s="1298">
        <v>0</v>
      </c>
      <c r="T57" s="1048">
        <v>0</v>
      </c>
      <c r="U57" s="1049">
        <v>0</v>
      </c>
      <c r="V57" s="258">
        <v>0</v>
      </c>
      <c r="W57" s="1298">
        <v>4</v>
      </c>
      <c r="X57" s="258">
        <v>0</v>
      </c>
      <c r="Y57" s="1298">
        <v>0</v>
      </c>
      <c r="Z57" s="1048">
        <v>0</v>
      </c>
    </row>
    <row r="58" spans="1:26" s="1046" customFormat="1" ht="15" customHeight="1">
      <c r="A58" s="1044"/>
      <c r="B58" s="1045" t="s">
        <v>376</v>
      </c>
      <c r="C58" s="258">
        <f t="shared" si="71"/>
        <v>3517</v>
      </c>
      <c r="D58" s="258">
        <f t="shared" si="69"/>
        <v>4133</v>
      </c>
      <c r="E58" s="258">
        <f t="shared" si="69"/>
        <v>3366</v>
      </c>
      <c r="F58" s="258">
        <f t="shared" si="69"/>
        <v>0</v>
      </c>
      <c r="G58" s="1298">
        <f t="shared" si="72"/>
        <v>0</v>
      </c>
      <c r="H58" s="1048">
        <f t="shared" si="72"/>
        <v>0</v>
      </c>
      <c r="I58" s="1049">
        <v>1301</v>
      </c>
      <c r="J58" s="258">
        <v>1556</v>
      </c>
      <c r="K58" s="1298">
        <v>1210</v>
      </c>
      <c r="L58" s="258">
        <v>0</v>
      </c>
      <c r="M58" s="1298">
        <v>0</v>
      </c>
      <c r="N58" s="1048">
        <v>0</v>
      </c>
      <c r="O58" s="1049">
        <v>1840</v>
      </c>
      <c r="P58" s="258">
        <v>2100</v>
      </c>
      <c r="Q58" s="1298">
        <v>1779</v>
      </c>
      <c r="R58" s="258">
        <v>0</v>
      </c>
      <c r="S58" s="1298">
        <v>0</v>
      </c>
      <c r="T58" s="1048">
        <v>0</v>
      </c>
      <c r="U58" s="1049">
        <v>376</v>
      </c>
      <c r="V58" s="258">
        <v>477</v>
      </c>
      <c r="W58" s="1298">
        <v>377</v>
      </c>
      <c r="X58" s="258">
        <v>0</v>
      </c>
      <c r="Y58" s="1298">
        <v>0</v>
      </c>
      <c r="Z58" s="1048">
        <v>0</v>
      </c>
    </row>
    <row r="59" spans="1:26" s="1046" customFormat="1" ht="15" customHeight="1">
      <c r="A59" s="1044"/>
      <c r="B59" s="1045" t="s">
        <v>377</v>
      </c>
      <c r="C59" s="258">
        <f t="shared" si="71"/>
        <v>989</v>
      </c>
      <c r="D59" s="258">
        <f t="shared" si="69"/>
        <v>643</v>
      </c>
      <c r="E59" s="258">
        <f t="shared" si="69"/>
        <v>901</v>
      </c>
      <c r="F59" s="258">
        <f t="shared" si="69"/>
        <v>0</v>
      </c>
      <c r="G59" s="1298">
        <f t="shared" si="72"/>
        <v>0</v>
      </c>
      <c r="H59" s="1048">
        <f t="shared" si="72"/>
        <v>0</v>
      </c>
      <c r="I59" s="1049">
        <v>366</v>
      </c>
      <c r="J59" s="258">
        <v>242</v>
      </c>
      <c r="K59" s="1298">
        <v>324</v>
      </c>
      <c r="L59" s="258">
        <v>0</v>
      </c>
      <c r="M59" s="1298">
        <v>0</v>
      </c>
      <c r="N59" s="1048">
        <v>0</v>
      </c>
      <c r="O59" s="1049">
        <v>517</v>
      </c>
      <c r="P59" s="258">
        <v>327</v>
      </c>
      <c r="Q59" s="1298">
        <v>476</v>
      </c>
      <c r="R59" s="258">
        <v>0</v>
      </c>
      <c r="S59" s="1298">
        <v>0</v>
      </c>
      <c r="T59" s="1048">
        <v>0</v>
      </c>
      <c r="U59" s="1049">
        <v>106</v>
      </c>
      <c r="V59" s="258">
        <v>74</v>
      </c>
      <c r="W59" s="1298">
        <v>101</v>
      </c>
      <c r="X59" s="258">
        <v>0</v>
      </c>
      <c r="Y59" s="1298">
        <v>0</v>
      </c>
      <c r="Z59" s="1048">
        <v>0</v>
      </c>
    </row>
    <row r="60" spans="1:26" s="1046" customFormat="1" ht="45" customHeight="1">
      <c r="A60" s="1044"/>
      <c r="B60" s="1045" t="s">
        <v>378</v>
      </c>
      <c r="C60" s="258">
        <f t="shared" si="71"/>
        <v>349</v>
      </c>
      <c r="D60" s="258">
        <f t="shared" si="69"/>
        <v>297</v>
      </c>
      <c r="E60" s="258">
        <f t="shared" si="69"/>
        <v>229</v>
      </c>
      <c r="F60" s="258">
        <f t="shared" si="69"/>
        <v>160</v>
      </c>
      <c r="G60" s="1298">
        <f t="shared" si="72"/>
        <v>181</v>
      </c>
      <c r="H60" s="1048">
        <f t="shared" si="72"/>
        <v>191</v>
      </c>
      <c r="I60" s="1049">
        <v>129</v>
      </c>
      <c r="J60" s="258">
        <v>112</v>
      </c>
      <c r="K60" s="1298">
        <v>82</v>
      </c>
      <c r="L60" s="1298">
        <v>52</v>
      </c>
      <c r="M60" s="1298">
        <v>59</v>
      </c>
      <c r="N60" s="1048">
        <v>62</v>
      </c>
      <c r="O60" s="1049">
        <v>183</v>
      </c>
      <c r="P60" s="258">
        <v>151</v>
      </c>
      <c r="Q60" s="1298">
        <v>121</v>
      </c>
      <c r="R60" s="1298">
        <v>92</v>
      </c>
      <c r="S60" s="1298">
        <v>104</v>
      </c>
      <c r="T60" s="1048">
        <v>110</v>
      </c>
      <c r="U60" s="1049">
        <v>37</v>
      </c>
      <c r="V60" s="258">
        <v>34</v>
      </c>
      <c r="W60" s="1298">
        <v>26</v>
      </c>
      <c r="X60" s="1298">
        <v>16</v>
      </c>
      <c r="Y60" s="1298">
        <v>18</v>
      </c>
      <c r="Z60" s="1048">
        <v>19</v>
      </c>
    </row>
    <row r="61" spans="1:26" s="1046" customFormat="1" ht="30" customHeight="1">
      <c r="A61" s="1044"/>
      <c r="B61" s="1045" t="s">
        <v>379</v>
      </c>
      <c r="C61" s="258">
        <f>SUM(C62:C66)</f>
        <v>569</v>
      </c>
      <c r="D61" s="258">
        <f t="shared" ref="D61:Y61" si="73">SUM(D62:D66)</f>
        <v>1762</v>
      </c>
      <c r="E61" s="258">
        <f t="shared" ref="E61:F61" si="74">SUM(E62:E66)</f>
        <v>1617</v>
      </c>
      <c r="F61" s="258">
        <f t="shared" si="74"/>
        <v>1513</v>
      </c>
      <c r="G61" s="1298">
        <f t="shared" si="73"/>
        <v>1792</v>
      </c>
      <c r="H61" s="1048">
        <f t="shared" ref="H61" si="75">SUM(H62:H66)</f>
        <v>2053</v>
      </c>
      <c r="I61" s="1049">
        <f t="shared" si="73"/>
        <v>211</v>
      </c>
      <c r="J61" s="258">
        <f t="shared" si="73"/>
        <v>664</v>
      </c>
      <c r="K61" s="258">
        <f t="shared" si="73"/>
        <v>581</v>
      </c>
      <c r="L61" s="258">
        <f t="shared" ref="L61" si="76">SUM(L62:L66)</f>
        <v>612</v>
      </c>
      <c r="M61" s="1298">
        <f t="shared" si="73"/>
        <v>724</v>
      </c>
      <c r="N61" s="1048">
        <f t="shared" ref="N61" si="77">SUM(N62:N66)</f>
        <v>831</v>
      </c>
      <c r="O61" s="1049">
        <f t="shared" si="73"/>
        <v>297</v>
      </c>
      <c r="P61" s="258">
        <f t="shared" ref="P61:S61" si="78">SUM(P62:P66)</f>
        <v>895</v>
      </c>
      <c r="Q61" s="258">
        <f t="shared" si="78"/>
        <v>855</v>
      </c>
      <c r="R61" s="258">
        <f t="shared" si="78"/>
        <v>748</v>
      </c>
      <c r="S61" s="1298">
        <f t="shared" si="78"/>
        <v>885</v>
      </c>
      <c r="T61" s="1048">
        <f t="shared" ref="T61" si="79">SUM(T62:T66)</f>
        <v>1014</v>
      </c>
      <c r="U61" s="1049">
        <f t="shared" si="73"/>
        <v>61</v>
      </c>
      <c r="V61" s="258">
        <f t="shared" si="73"/>
        <v>203</v>
      </c>
      <c r="W61" s="258">
        <f t="shared" si="73"/>
        <v>181</v>
      </c>
      <c r="X61" s="982">
        <f t="shared" si="73"/>
        <v>153</v>
      </c>
      <c r="Y61" s="982">
        <f t="shared" si="73"/>
        <v>183</v>
      </c>
      <c r="Z61" s="982">
        <f t="shared" ref="Z61" si="80">SUM(Z62:Z66)</f>
        <v>208</v>
      </c>
    </row>
    <row r="62" spans="1:26" s="4" customFormat="1" ht="15" customHeight="1">
      <c r="A62" s="17"/>
      <c r="B62" s="51" t="s">
        <v>380</v>
      </c>
      <c r="C62" s="241">
        <f t="shared" si="71"/>
        <v>480</v>
      </c>
      <c r="D62" s="241">
        <f t="shared" ref="D62:F66" si="81">J62+P62+V62</f>
        <v>1675</v>
      </c>
      <c r="E62" s="241">
        <f t="shared" si="81"/>
        <v>1538</v>
      </c>
      <c r="F62" s="241">
        <f t="shared" si="81"/>
        <v>1437</v>
      </c>
      <c r="G62" s="1301">
        <f t="shared" ref="G62:H66" si="82">M62+S62+Y62</f>
        <v>1715</v>
      </c>
      <c r="H62" s="962">
        <f t="shared" si="82"/>
        <v>1975</v>
      </c>
      <c r="I62" s="950">
        <v>178</v>
      </c>
      <c r="J62" s="241">
        <v>631</v>
      </c>
      <c r="K62" s="1301">
        <v>553</v>
      </c>
      <c r="L62" s="1302">
        <v>582</v>
      </c>
      <c r="M62" s="1302">
        <v>694</v>
      </c>
      <c r="N62" s="964">
        <v>800</v>
      </c>
      <c r="O62" s="950">
        <v>251</v>
      </c>
      <c r="P62" s="241">
        <v>851</v>
      </c>
      <c r="Q62" s="1301">
        <v>813</v>
      </c>
      <c r="R62" s="1302">
        <v>709</v>
      </c>
      <c r="S62" s="1302">
        <v>845</v>
      </c>
      <c r="T62" s="964">
        <v>974</v>
      </c>
      <c r="U62" s="950">
        <v>51</v>
      </c>
      <c r="V62" s="241">
        <v>193</v>
      </c>
      <c r="W62" s="1301">
        <v>172</v>
      </c>
      <c r="X62" s="1302">
        <v>146</v>
      </c>
      <c r="Y62" s="308">
        <v>176</v>
      </c>
      <c r="Z62" s="308">
        <v>201</v>
      </c>
    </row>
    <row r="63" spans="1:26" s="4" customFormat="1" ht="15" customHeight="1">
      <c r="A63" s="17"/>
      <c r="B63" s="51" t="s">
        <v>381</v>
      </c>
      <c r="C63" s="241">
        <f t="shared" si="71"/>
        <v>89</v>
      </c>
      <c r="D63" s="241">
        <f t="shared" si="81"/>
        <v>87</v>
      </c>
      <c r="E63" s="241">
        <f t="shared" si="81"/>
        <v>79</v>
      </c>
      <c r="F63" s="241">
        <f t="shared" si="81"/>
        <v>76</v>
      </c>
      <c r="G63" s="1301">
        <f t="shared" si="82"/>
        <v>77</v>
      </c>
      <c r="H63" s="962">
        <f t="shared" si="82"/>
        <v>78</v>
      </c>
      <c r="I63" s="950">
        <v>33</v>
      </c>
      <c r="J63" s="241">
        <v>33</v>
      </c>
      <c r="K63" s="1301">
        <v>28</v>
      </c>
      <c r="L63" s="1302">
        <f>26+4</f>
        <v>30</v>
      </c>
      <c r="M63" s="1302">
        <f>26+4</f>
        <v>30</v>
      </c>
      <c r="N63" s="964">
        <f>26+5</f>
        <v>31</v>
      </c>
      <c r="O63" s="950">
        <v>46</v>
      </c>
      <c r="P63" s="241">
        <v>44</v>
      </c>
      <c r="Q63" s="1301">
        <v>42</v>
      </c>
      <c r="R63" s="1302">
        <f>32+7</f>
        <v>39</v>
      </c>
      <c r="S63" s="1302">
        <f>32+8</f>
        <v>40</v>
      </c>
      <c r="T63" s="964">
        <f>32+8</f>
        <v>40</v>
      </c>
      <c r="U63" s="950">
        <v>10</v>
      </c>
      <c r="V63" s="241">
        <v>10</v>
      </c>
      <c r="W63" s="1302">
        <v>9</v>
      </c>
      <c r="X63" s="1302">
        <f>6+1</f>
        <v>7</v>
      </c>
      <c r="Y63" s="1302">
        <f>6+1</f>
        <v>7</v>
      </c>
      <c r="Z63" s="964">
        <f>6+1</f>
        <v>7</v>
      </c>
    </row>
    <row r="64" spans="1:26" s="4" customFormat="1" ht="15" customHeight="1">
      <c r="A64" s="17"/>
      <c r="B64" s="51" t="s">
        <v>382</v>
      </c>
      <c r="C64" s="241">
        <f t="shared" si="71"/>
        <v>0</v>
      </c>
      <c r="D64" s="241">
        <f t="shared" si="81"/>
        <v>0</v>
      </c>
      <c r="E64" s="241">
        <f t="shared" si="81"/>
        <v>0</v>
      </c>
      <c r="F64" s="241">
        <f t="shared" si="81"/>
        <v>0</v>
      </c>
      <c r="G64" s="1301">
        <f t="shared" si="82"/>
        <v>0</v>
      </c>
      <c r="H64" s="962">
        <f t="shared" si="82"/>
        <v>0</v>
      </c>
      <c r="I64" s="950">
        <v>0</v>
      </c>
      <c r="J64" s="241">
        <v>0</v>
      </c>
      <c r="K64" s="241">
        <v>0</v>
      </c>
      <c r="L64" s="308">
        <v>0</v>
      </c>
      <c r="M64" s="1302">
        <v>0</v>
      </c>
      <c r="N64" s="964">
        <v>0</v>
      </c>
      <c r="O64" s="950">
        <v>0</v>
      </c>
      <c r="P64" s="241">
        <v>0</v>
      </c>
      <c r="Q64" s="241">
        <v>0</v>
      </c>
      <c r="R64" s="308">
        <v>0</v>
      </c>
      <c r="S64" s="1302">
        <v>0</v>
      </c>
      <c r="T64" s="964">
        <v>0</v>
      </c>
      <c r="U64" s="950">
        <v>0</v>
      </c>
      <c r="V64" s="241">
        <v>0</v>
      </c>
      <c r="W64" s="241">
        <v>0</v>
      </c>
      <c r="X64" s="308">
        <v>0</v>
      </c>
      <c r="Y64" s="1302">
        <v>0</v>
      </c>
      <c r="Z64" s="964">
        <v>0</v>
      </c>
    </row>
    <row r="65" spans="1:26" s="4" customFormat="1" ht="15" customHeight="1">
      <c r="A65" s="17"/>
      <c r="B65" s="51" t="s">
        <v>383</v>
      </c>
      <c r="C65" s="241">
        <f t="shared" si="71"/>
        <v>0</v>
      </c>
      <c r="D65" s="241">
        <f t="shared" si="81"/>
        <v>0</v>
      </c>
      <c r="E65" s="241">
        <f t="shared" si="81"/>
        <v>0</v>
      </c>
      <c r="F65" s="241">
        <f t="shared" si="81"/>
        <v>0</v>
      </c>
      <c r="G65" s="1301">
        <f t="shared" si="82"/>
        <v>0</v>
      </c>
      <c r="H65" s="962">
        <f t="shared" si="82"/>
        <v>0</v>
      </c>
      <c r="I65" s="950">
        <v>0</v>
      </c>
      <c r="J65" s="241">
        <v>0</v>
      </c>
      <c r="K65" s="241">
        <v>0</v>
      </c>
      <c r="L65" s="308">
        <v>0</v>
      </c>
      <c r="M65" s="1302">
        <v>0</v>
      </c>
      <c r="N65" s="964">
        <v>0</v>
      </c>
      <c r="O65" s="950">
        <v>0</v>
      </c>
      <c r="P65" s="241">
        <v>0</v>
      </c>
      <c r="Q65" s="241">
        <v>0</v>
      </c>
      <c r="R65" s="308">
        <v>0</v>
      </c>
      <c r="S65" s="1302">
        <v>0</v>
      </c>
      <c r="T65" s="964">
        <v>0</v>
      </c>
      <c r="U65" s="950">
        <v>0</v>
      </c>
      <c r="V65" s="241">
        <v>0</v>
      </c>
      <c r="W65" s="241">
        <v>0</v>
      </c>
      <c r="X65" s="308">
        <v>0</v>
      </c>
      <c r="Y65" s="1302">
        <v>0</v>
      </c>
      <c r="Z65" s="964">
        <v>0</v>
      </c>
    </row>
    <row r="66" spans="1:26" s="4" customFormat="1" ht="15" customHeight="1">
      <c r="A66" s="17"/>
      <c r="B66" s="51" t="s">
        <v>384</v>
      </c>
      <c r="C66" s="241">
        <f t="shared" si="71"/>
        <v>0</v>
      </c>
      <c r="D66" s="241">
        <f t="shared" si="81"/>
        <v>0</v>
      </c>
      <c r="E66" s="241">
        <f t="shared" si="81"/>
        <v>0</v>
      </c>
      <c r="F66" s="241">
        <f t="shared" si="81"/>
        <v>0</v>
      </c>
      <c r="G66" s="1301">
        <f t="shared" si="82"/>
        <v>0</v>
      </c>
      <c r="H66" s="962">
        <f t="shared" si="82"/>
        <v>0</v>
      </c>
      <c r="I66" s="950">
        <v>0</v>
      </c>
      <c r="J66" s="241">
        <v>0</v>
      </c>
      <c r="K66" s="241">
        <v>0</v>
      </c>
      <c r="L66" s="308">
        <v>0</v>
      </c>
      <c r="M66" s="1302">
        <v>0</v>
      </c>
      <c r="N66" s="964">
        <v>0</v>
      </c>
      <c r="O66" s="950">
        <v>0</v>
      </c>
      <c r="P66" s="241">
        <v>0</v>
      </c>
      <c r="Q66" s="241">
        <v>0</v>
      </c>
      <c r="R66" s="308">
        <v>0</v>
      </c>
      <c r="S66" s="1302">
        <v>0</v>
      </c>
      <c r="T66" s="964">
        <v>0</v>
      </c>
      <c r="U66" s="950">
        <v>0</v>
      </c>
      <c r="V66" s="241">
        <v>0</v>
      </c>
      <c r="W66" s="241">
        <v>0</v>
      </c>
      <c r="X66" s="308">
        <v>0</v>
      </c>
      <c r="Y66" s="1302">
        <v>0</v>
      </c>
      <c r="Z66" s="964">
        <v>0</v>
      </c>
    </row>
    <row r="67" spans="1:26" s="1034" customFormat="1" ht="15" customHeight="1">
      <c r="A67" s="1030" t="s">
        <v>385</v>
      </c>
      <c r="B67" s="1031" t="s">
        <v>386</v>
      </c>
      <c r="C67" s="1032">
        <f>SUM(C68:C71)</f>
        <v>1106</v>
      </c>
      <c r="D67" s="1032">
        <f t="shared" ref="D67:Y67" si="83">SUM(D68:D71)</f>
        <v>3172.5</v>
      </c>
      <c r="E67" s="1032">
        <f t="shared" ref="E67:F67" si="84">SUM(E68:E71)</f>
        <v>1972.5</v>
      </c>
      <c r="F67" s="1032">
        <f t="shared" si="84"/>
        <v>0</v>
      </c>
      <c r="G67" s="1653">
        <f t="shared" si="83"/>
        <v>0</v>
      </c>
      <c r="H67" s="1035">
        <f t="shared" ref="H67" si="85">SUM(H68:H71)</f>
        <v>0</v>
      </c>
      <c r="I67" s="1036">
        <f t="shared" si="83"/>
        <v>0</v>
      </c>
      <c r="J67" s="1032">
        <f t="shared" si="83"/>
        <v>1193.9000000000001</v>
      </c>
      <c r="K67" s="1032">
        <f t="shared" si="83"/>
        <v>705.5</v>
      </c>
      <c r="L67" s="1032">
        <f t="shared" si="83"/>
        <v>0</v>
      </c>
      <c r="M67" s="1032">
        <f t="shared" si="83"/>
        <v>0</v>
      </c>
      <c r="N67" s="1035">
        <f t="shared" si="83"/>
        <v>0</v>
      </c>
      <c r="O67" s="1036">
        <f t="shared" si="83"/>
        <v>0</v>
      </c>
      <c r="P67" s="1032">
        <f t="shared" ref="P67:S67" si="86">SUM(P68:P71)</f>
        <v>1613.6</v>
      </c>
      <c r="Q67" s="1032">
        <f t="shared" si="86"/>
        <v>1049.0999999999999</v>
      </c>
      <c r="R67" s="1032">
        <f t="shared" si="86"/>
        <v>0</v>
      </c>
      <c r="S67" s="1032">
        <f t="shared" si="86"/>
        <v>0</v>
      </c>
      <c r="T67" s="1035">
        <f t="shared" ref="T67" si="87">SUM(T68:T71)</f>
        <v>0</v>
      </c>
      <c r="U67" s="1036">
        <f t="shared" si="83"/>
        <v>1106</v>
      </c>
      <c r="V67" s="1032">
        <f t="shared" si="83"/>
        <v>365</v>
      </c>
      <c r="W67" s="1032">
        <f t="shared" si="83"/>
        <v>217.9</v>
      </c>
      <c r="X67" s="1032">
        <f t="shared" si="83"/>
        <v>0</v>
      </c>
      <c r="Y67" s="1032">
        <f t="shared" si="83"/>
        <v>0</v>
      </c>
      <c r="Z67" s="1035">
        <f t="shared" ref="Z67" si="88">SUM(Z68:Z71)</f>
        <v>0</v>
      </c>
    </row>
    <row r="68" spans="1:26" s="1046" customFormat="1" ht="30" customHeight="1">
      <c r="A68" s="1044"/>
      <c r="B68" s="1045" t="s">
        <v>387</v>
      </c>
      <c r="C68" s="258">
        <f t="shared" si="71"/>
        <v>0</v>
      </c>
      <c r="D68" s="258">
        <f t="shared" ref="D68:F70" si="89">J68+P68+V68</f>
        <v>0</v>
      </c>
      <c r="E68" s="258">
        <f t="shared" si="89"/>
        <v>0</v>
      </c>
      <c r="F68" s="258">
        <f t="shared" si="89"/>
        <v>0</v>
      </c>
      <c r="G68" s="1298">
        <f t="shared" ref="G68:H70" si="90">M68+S68+Y68</f>
        <v>0</v>
      </c>
      <c r="H68" s="1048">
        <f t="shared" si="90"/>
        <v>0</v>
      </c>
      <c r="I68" s="1049">
        <v>0</v>
      </c>
      <c r="J68" s="258">
        <v>0</v>
      </c>
      <c r="K68" s="1298"/>
      <c r="L68" s="1298"/>
      <c r="M68" s="1298">
        <v>0</v>
      </c>
      <c r="N68" s="1048">
        <v>0</v>
      </c>
      <c r="O68" s="1049">
        <v>0</v>
      </c>
      <c r="P68" s="258">
        <v>0</v>
      </c>
      <c r="Q68" s="1298"/>
      <c r="R68" s="1298"/>
      <c r="S68" s="1298">
        <v>0</v>
      </c>
      <c r="T68" s="1048">
        <v>0</v>
      </c>
      <c r="U68" s="1744">
        <v>0</v>
      </c>
      <c r="V68" s="258">
        <v>0</v>
      </c>
      <c r="W68" s="1298"/>
      <c r="X68" s="1298"/>
      <c r="Y68" s="1298">
        <v>0</v>
      </c>
      <c r="Z68" s="1048">
        <v>0</v>
      </c>
    </row>
    <row r="69" spans="1:26" s="1046" customFormat="1" ht="15" customHeight="1">
      <c r="A69" s="1044"/>
      <c r="B69" s="1045" t="s">
        <v>388</v>
      </c>
      <c r="C69" s="258">
        <f t="shared" si="71"/>
        <v>0</v>
      </c>
      <c r="D69" s="258">
        <f t="shared" si="89"/>
        <v>0</v>
      </c>
      <c r="E69" s="258">
        <f t="shared" si="89"/>
        <v>0</v>
      </c>
      <c r="F69" s="258">
        <f t="shared" si="89"/>
        <v>0</v>
      </c>
      <c r="G69" s="1298">
        <f t="shared" si="90"/>
        <v>0</v>
      </c>
      <c r="H69" s="1048">
        <f t="shared" si="90"/>
        <v>0</v>
      </c>
      <c r="I69" s="1049"/>
      <c r="J69" s="258"/>
      <c r="K69" s="1298"/>
      <c r="L69" s="1298"/>
      <c r="M69" s="1298"/>
      <c r="N69" s="1048"/>
      <c r="O69" s="1049"/>
      <c r="P69" s="258"/>
      <c r="Q69" s="1298"/>
      <c r="R69" s="1298"/>
      <c r="S69" s="1298"/>
      <c r="T69" s="1048"/>
      <c r="U69" s="1744"/>
      <c r="V69" s="258"/>
      <c r="W69" s="1298"/>
      <c r="X69" s="1298"/>
      <c r="Y69" s="1298"/>
      <c r="Z69" s="1048"/>
    </row>
    <row r="70" spans="1:26" s="1046" customFormat="1" ht="60.75" customHeight="1">
      <c r="A70" s="1044"/>
      <c r="B70" s="1045" t="s">
        <v>389</v>
      </c>
      <c r="C70" s="258">
        <f t="shared" si="71"/>
        <v>0</v>
      </c>
      <c r="D70" s="258">
        <f t="shared" si="89"/>
        <v>0</v>
      </c>
      <c r="E70" s="258">
        <f t="shared" si="89"/>
        <v>0</v>
      </c>
      <c r="F70" s="258">
        <f t="shared" si="89"/>
        <v>0</v>
      </c>
      <c r="G70" s="1298">
        <f t="shared" si="90"/>
        <v>0</v>
      </c>
      <c r="H70" s="1048">
        <f t="shared" si="90"/>
        <v>0</v>
      </c>
      <c r="I70" s="1049">
        <v>0</v>
      </c>
      <c r="J70" s="258">
        <v>0</v>
      </c>
      <c r="K70" s="1298"/>
      <c r="L70" s="1298"/>
      <c r="M70" s="1298">
        <v>0</v>
      </c>
      <c r="N70" s="1048">
        <v>0</v>
      </c>
      <c r="O70" s="1049">
        <v>0</v>
      </c>
      <c r="P70" s="258">
        <v>0</v>
      </c>
      <c r="Q70" s="1298"/>
      <c r="R70" s="1298"/>
      <c r="S70" s="1298">
        <v>0</v>
      </c>
      <c r="T70" s="1048">
        <v>0</v>
      </c>
      <c r="U70" s="1744">
        <v>0</v>
      </c>
      <c r="V70" s="258">
        <v>0</v>
      </c>
      <c r="W70" s="1298"/>
      <c r="X70" s="1298"/>
      <c r="Y70" s="1298">
        <v>0</v>
      </c>
      <c r="Z70" s="1048">
        <v>0</v>
      </c>
    </row>
    <row r="71" spans="1:26" s="1046" customFormat="1" ht="15" customHeight="1">
      <c r="A71" s="1044"/>
      <c r="B71" s="1045" t="s">
        <v>390</v>
      </c>
      <c r="C71" s="258">
        <f>SUM(C72:C77)</f>
        <v>1106</v>
      </c>
      <c r="D71" s="258">
        <f t="shared" ref="D71:Y71" si="91">SUM(D72:D77)</f>
        <v>3172.5</v>
      </c>
      <c r="E71" s="258">
        <f t="shared" ref="E71:F71" si="92">SUM(E72:E77)</f>
        <v>1972.5</v>
      </c>
      <c r="F71" s="258">
        <f t="shared" si="92"/>
        <v>0</v>
      </c>
      <c r="G71" s="1298">
        <f t="shared" si="91"/>
        <v>0</v>
      </c>
      <c r="H71" s="1048">
        <f t="shared" ref="H71" si="93">SUM(H72:H77)</f>
        <v>0</v>
      </c>
      <c r="I71" s="1049">
        <f t="shared" si="91"/>
        <v>0</v>
      </c>
      <c r="J71" s="258">
        <f t="shared" si="91"/>
        <v>1193.9000000000001</v>
      </c>
      <c r="K71" s="258">
        <f t="shared" si="91"/>
        <v>705.5</v>
      </c>
      <c r="L71" s="258">
        <f t="shared" ref="L71" si="94">SUM(L72:L77)</f>
        <v>0</v>
      </c>
      <c r="M71" s="258">
        <f t="shared" si="91"/>
        <v>0</v>
      </c>
      <c r="N71" s="1048">
        <f t="shared" ref="N71" si="95">SUM(N72:N77)</f>
        <v>0</v>
      </c>
      <c r="O71" s="1049">
        <f t="shared" si="91"/>
        <v>0</v>
      </c>
      <c r="P71" s="258">
        <f t="shared" ref="P71:S71" si="96">SUM(P72:P77)</f>
        <v>1613.6</v>
      </c>
      <c r="Q71" s="258">
        <f t="shared" si="96"/>
        <v>1049.0999999999999</v>
      </c>
      <c r="R71" s="258">
        <f t="shared" si="96"/>
        <v>0</v>
      </c>
      <c r="S71" s="258">
        <f t="shared" si="96"/>
        <v>0</v>
      </c>
      <c r="T71" s="1048">
        <f t="shared" ref="T71" si="97">SUM(T72:T77)</f>
        <v>0</v>
      </c>
      <c r="U71" s="1744">
        <f t="shared" si="91"/>
        <v>1106</v>
      </c>
      <c r="V71" s="258">
        <f t="shared" si="91"/>
        <v>365</v>
      </c>
      <c r="W71" s="258">
        <f t="shared" si="91"/>
        <v>217.9</v>
      </c>
      <c r="X71" s="258">
        <f t="shared" si="91"/>
        <v>0</v>
      </c>
      <c r="Y71" s="258">
        <f t="shared" si="91"/>
        <v>0</v>
      </c>
      <c r="Z71" s="1048">
        <f t="shared" ref="Z71" si="98">SUM(Z72:Z77)</f>
        <v>0</v>
      </c>
    </row>
    <row r="72" spans="1:26" s="4" customFormat="1" ht="15" customHeight="1">
      <c r="A72" s="17"/>
      <c r="B72" s="51" t="s">
        <v>961</v>
      </c>
      <c r="C72" s="241">
        <f t="shared" si="71"/>
        <v>1106</v>
      </c>
      <c r="D72" s="241">
        <f t="shared" ref="D72:F75" si="99">J72+P72+V72</f>
        <v>0</v>
      </c>
      <c r="E72" s="241">
        <f t="shared" si="99"/>
        <v>0</v>
      </c>
      <c r="F72" s="241">
        <f t="shared" si="99"/>
        <v>0</v>
      </c>
      <c r="G72" s="1301">
        <f t="shared" ref="G72:H75" si="100">M72+S72+Y72</f>
        <v>0</v>
      </c>
      <c r="H72" s="962">
        <f t="shared" si="100"/>
        <v>0</v>
      </c>
      <c r="I72" s="952">
        <v>0</v>
      </c>
      <c r="J72" s="308">
        <v>0</v>
      </c>
      <c r="K72" s="1302"/>
      <c r="L72" s="1302"/>
      <c r="M72" s="1302">
        <v>0</v>
      </c>
      <c r="N72" s="964">
        <v>0</v>
      </c>
      <c r="O72" s="952">
        <v>0</v>
      </c>
      <c r="P72" s="308">
        <v>0</v>
      </c>
      <c r="Q72" s="1302"/>
      <c r="R72" s="1302"/>
      <c r="S72" s="1302">
        <v>0</v>
      </c>
      <c r="T72" s="964">
        <v>0</v>
      </c>
      <c r="U72" s="1744">
        <v>1106</v>
      </c>
      <c r="V72" s="308">
        <v>0</v>
      </c>
      <c r="W72" s="1302"/>
      <c r="X72" s="1302"/>
      <c r="Y72" s="1302">
        <v>0</v>
      </c>
      <c r="Z72" s="964">
        <v>0</v>
      </c>
    </row>
    <row r="73" spans="1:26" s="4" customFormat="1" ht="15" customHeight="1">
      <c r="A73" s="17"/>
      <c r="B73" s="51" t="s">
        <v>962</v>
      </c>
      <c r="C73" s="241">
        <f t="shared" si="71"/>
        <v>0</v>
      </c>
      <c r="D73" s="241">
        <f t="shared" si="99"/>
        <v>0</v>
      </c>
      <c r="E73" s="241">
        <f t="shared" si="99"/>
        <v>0</v>
      </c>
      <c r="F73" s="241">
        <f t="shared" si="99"/>
        <v>0</v>
      </c>
      <c r="G73" s="1301">
        <f t="shared" si="100"/>
        <v>0</v>
      </c>
      <c r="H73" s="962">
        <f t="shared" si="100"/>
        <v>0</v>
      </c>
      <c r="I73" s="952">
        <v>0</v>
      </c>
      <c r="J73" s="308">
        <v>0</v>
      </c>
      <c r="K73" s="1302"/>
      <c r="L73" s="1302"/>
      <c r="M73" s="1302">
        <v>0</v>
      </c>
      <c r="N73" s="964">
        <v>0</v>
      </c>
      <c r="O73" s="952">
        <v>0</v>
      </c>
      <c r="P73" s="308">
        <v>0</v>
      </c>
      <c r="Q73" s="1302"/>
      <c r="R73" s="1302"/>
      <c r="S73" s="1302">
        <v>0</v>
      </c>
      <c r="T73" s="964">
        <v>0</v>
      </c>
      <c r="U73" s="1744">
        <v>0</v>
      </c>
      <c r="V73" s="308">
        <v>0</v>
      </c>
      <c r="W73" s="1302"/>
      <c r="X73" s="1302"/>
      <c r="Y73" s="1302">
        <v>0</v>
      </c>
      <c r="Z73" s="964">
        <v>0</v>
      </c>
    </row>
    <row r="74" spans="1:26" s="4" customFormat="1" ht="15" customHeight="1">
      <c r="A74" s="17"/>
      <c r="B74" s="51" t="s">
        <v>963</v>
      </c>
      <c r="C74" s="241">
        <f t="shared" si="71"/>
        <v>0</v>
      </c>
      <c r="D74" s="241">
        <f t="shared" si="99"/>
        <v>3172.5</v>
      </c>
      <c r="E74" s="241">
        <f t="shared" si="99"/>
        <v>1972.5</v>
      </c>
      <c r="F74" s="241">
        <f t="shared" si="99"/>
        <v>0</v>
      </c>
      <c r="G74" s="1301">
        <f t="shared" si="100"/>
        <v>0</v>
      </c>
      <c r="H74" s="962">
        <f t="shared" si="100"/>
        <v>0</v>
      </c>
      <c r="I74" s="952">
        <v>0</v>
      </c>
      <c r="J74" s="308">
        <f>1193.9</f>
        <v>1193.9000000000001</v>
      </c>
      <c r="K74" s="308">
        <v>705.5</v>
      </c>
      <c r="L74" s="1302"/>
      <c r="M74" s="1302"/>
      <c r="N74" s="964"/>
      <c r="O74" s="952">
        <v>0</v>
      </c>
      <c r="P74" s="308">
        <f>1613.6</f>
        <v>1613.6</v>
      </c>
      <c r="Q74" s="308">
        <v>1049.0999999999999</v>
      </c>
      <c r="R74" s="1302"/>
      <c r="S74" s="1302"/>
      <c r="T74" s="964"/>
      <c r="U74" s="952">
        <v>0</v>
      </c>
      <c r="V74" s="308">
        <f>365</f>
        <v>365</v>
      </c>
      <c r="W74" s="308">
        <v>217.9</v>
      </c>
      <c r="X74" s="1302"/>
      <c r="Y74" s="1302"/>
      <c r="Z74" s="964"/>
    </row>
    <row r="75" spans="1:26" s="4" customFormat="1" ht="15" customHeight="1">
      <c r="A75" s="17"/>
      <c r="B75" s="51" t="s">
        <v>964</v>
      </c>
      <c r="C75" s="241">
        <f t="shared" si="71"/>
        <v>0</v>
      </c>
      <c r="D75" s="241">
        <f t="shared" si="99"/>
        <v>0</v>
      </c>
      <c r="E75" s="241">
        <f t="shared" si="99"/>
        <v>0</v>
      </c>
      <c r="F75" s="241">
        <f t="shared" si="99"/>
        <v>0</v>
      </c>
      <c r="G75" s="1301">
        <f t="shared" si="100"/>
        <v>0</v>
      </c>
      <c r="H75" s="962">
        <f t="shared" si="100"/>
        <v>0</v>
      </c>
      <c r="I75" s="950"/>
      <c r="J75" s="241"/>
      <c r="K75" s="1301"/>
      <c r="L75" s="1302"/>
      <c r="M75" s="1302"/>
      <c r="N75" s="964"/>
      <c r="O75" s="950"/>
      <c r="P75" s="241"/>
      <c r="Q75" s="1301"/>
      <c r="R75" s="1302"/>
      <c r="S75" s="1302"/>
      <c r="T75" s="964"/>
      <c r="U75" s="950"/>
      <c r="V75" s="241"/>
      <c r="W75" s="1301"/>
      <c r="X75" s="1302"/>
      <c r="Y75" s="1302"/>
      <c r="Z75" s="964"/>
    </row>
    <row r="76" spans="1:26" s="4" customFormat="1" ht="15" hidden="1" customHeight="1">
      <c r="A76" s="17"/>
      <c r="B76" s="51"/>
      <c r="C76" s="241"/>
      <c r="D76" s="241"/>
      <c r="E76" s="241"/>
      <c r="F76" s="241"/>
      <c r="G76" s="1301"/>
      <c r="H76" s="962"/>
      <c r="I76" s="950"/>
      <c r="J76" s="241"/>
      <c r="K76" s="1301"/>
      <c r="L76" s="1302"/>
      <c r="M76" s="1302"/>
      <c r="N76" s="964"/>
      <c r="O76" s="950"/>
      <c r="P76" s="241"/>
      <c r="Q76" s="1301"/>
      <c r="R76" s="1302"/>
      <c r="S76" s="1302"/>
      <c r="T76" s="964"/>
      <c r="U76" s="950"/>
      <c r="V76" s="241"/>
      <c r="W76" s="1301"/>
      <c r="X76" s="1302"/>
      <c r="Y76" s="1302"/>
      <c r="Z76" s="964"/>
    </row>
    <row r="77" spans="1:26" s="4" customFormat="1" ht="15" hidden="1" customHeight="1">
      <c r="A77" s="17"/>
      <c r="B77" s="51"/>
      <c r="C77" s="241"/>
      <c r="D77" s="241"/>
      <c r="E77" s="241"/>
      <c r="F77" s="241"/>
      <c r="G77" s="1301"/>
      <c r="H77" s="962"/>
      <c r="I77" s="950"/>
      <c r="J77" s="241"/>
      <c r="K77" s="1301"/>
      <c r="L77" s="1302"/>
      <c r="M77" s="1302"/>
      <c r="N77" s="964"/>
      <c r="O77" s="950"/>
      <c r="P77" s="241"/>
      <c r="Q77" s="1301"/>
      <c r="R77" s="1302"/>
      <c r="S77" s="1302"/>
      <c r="T77" s="964"/>
      <c r="U77" s="950"/>
      <c r="V77" s="241"/>
      <c r="W77" s="1301"/>
      <c r="X77" s="1302"/>
      <c r="Y77" s="1302"/>
      <c r="Z77" s="964"/>
    </row>
    <row r="78" spans="1:26" s="1034" customFormat="1" ht="33.75" customHeight="1">
      <c r="A78" s="1030" t="s">
        <v>391</v>
      </c>
      <c r="B78" s="1031" t="s">
        <v>392</v>
      </c>
      <c r="C78" s="1032">
        <f>SUM(C79:C82)</f>
        <v>1956</v>
      </c>
      <c r="D78" s="1032">
        <f t="shared" ref="D78:Y78" si="101">SUM(D79:D82)</f>
        <v>1496</v>
      </c>
      <c r="E78" s="1032">
        <f t="shared" ref="E78:F78" si="102">SUM(E79:E82)</f>
        <v>1286.0999999999999</v>
      </c>
      <c r="F78" s="1032">
        <f t="shared" si="102"/>
        <v>0</v>
      </c>
      <c r="G78" s="1653">
        <f t="shared" si="101"/>
        <v>0</v>
      </c>
      <c r="H78" s="1035">
        <f t="shared" ref="H78" si="103">SUM(H79:H82)</f>
        <v>0</v>
      </c>
      <c r="I78" s="1036">
        <f t="shared" si="101"/>
        <v>656</v>
      </c>
      <c r="J78" s="1032">
        <f t="shared" si="101"/>
        <v>563</v>
      </c>
      <c r="K78" s="1032">
        <f t="shared" si="101"/>
        <v>460</v>
      </c>
      <c r="L78" s="1032">
        <f t="shared" ref="L78" si="104">SUM(L79:L82)</f>
        <v>0</v>
      </c>
      <c r="M78" s="1032">
        <f t="shared" si="101"/>
        <v>0</v>
      </c>
      <c r="N78" s="1035">
        <f t="shared" ref="N78" si="105">SUM(N79:N82)</f>
        <v>0</v>
      </c>
      <c r="O78" s="1036">
        <f t="shared" si="101"/>
        <v>1178</v>
      </c>
      <c r="P78" s="1032">
        <f t="shared" ref="P78:S78" si="106">SUM(P79:P82)</f>
        <v>761</v>
      </c>
      <c r="Q78" s="1032">
        <f t="shared" si="106"/>
        <v>684</v>
      </c>
      <c r="R78" s="1032">
        <f t="shared" si="106"/>
        <v>0</v>
      </c>
      <c r="S78" s="1032">
        <f t="shared" si="106"/>
        <v>0</v>
      </c>
      <c r="T78" s="1035">
        <f t="shared" ref="T78" si="107">SUM(T79:T82)</f>
        <v>0</v>
      </c>
      <c r="U78" s="1036">
        <f t="shared" si="101"/>
        <v>122</v>
      </c>
      <c r="V78" s="1032">
        <f t="shared" si="101"/>
        <v>172</v>
      </c>
      <c r="W78" s="1032">
        <f t="shared" si="101"/>
        <v>142.1</v>
      </c>
      <c r="X78" s="1032">
        <f t="shared" si="101"/>
        <v>0</v>
      </c>
      <c r="Y78" s="1032">
        <f t="shared" si="101"/>
        <v>0</v>
      </c>
      <c r="Z78" s="1035">
        <f t="shared" ref="Z78" si="108">SUM(Z79:Z82)</f>
        <v>0</v>
      </c>
    </row>
    <row r="79" spans="1:26" s="1046" customFormat="1" ht="15" customHeight="1">
      <c r="A79" s="1044"/>
      <c r="B79" s="1045" t="s">
        <v>393</v>
      </c>
      <c r="C79" s="258">
        <f t="shared" ref="C79:C82" si="109">I79+O79+U79</f>
        <v>0</v>
      </c>
      <c r="D79" s="258">
        <f t="shared" ref="D79:F82" si="110">J79+P79+V79</f>
        <v>0</v>
      </c>
      <c r="E79" s="258">
        <f t="shared" si="110"/>
        <v>0</v>
      </c>
      <c r="F79" s="258">
        <f t="shared" si="110"/>
        <v>0</v>
      </c>
      <c r="G79" s="1298">
        <f t="shared" ref="G79:H82" si="111">M79+S79+Y79</f>
        <v>0</v>
      </c>
      <c r="H79" s="1048">
        <f t="shared" si="111"/>
        <v>0</v>
      </c>
      <c r="I79" s="1049">
        <v>0</v>
      </c>
      <c r="J79" s="258">
        <v>0</v>
      </c>
      <c r="K79" s="1298"/>
      <c r="L79" s="1298"/>
      <c r="M79" s="1298">
        <v>0</v>
      </c>
      <c r="N79" s="1048">
        <v>0</v>
      </c>
      <c r="O79" s="1049">
        <v>0</v>
      </c>
      <c r="P79" s="258">
        <v>0</v>
      </c>
      <c r="Q79" s="1298"/>
      <c r="R79" s="1298"/>
      <c r="S79" s="1298">
        <v>0</v>
      </c>
      <c r="T79" s="1048">
        <v>0</v>
      </c>
      <c r="U79" s="1049">
        <v>0</v>
      </c>
      <c r="V79" s="258">
        <v>0</v>
      </c>
      <c r="W79" s="1298"/>
      <c r="X79" s="1298"/>
      <c r="Y79" s="1298">
        <v>0</v>
      </c>
      <c r="Z79" s="1048">
        <v>0</v>
      </c>
    </row>
    <row r="80" spans="1:26" s="1046" customFormat="1" ht="30" customHeight="1">
      <c r="A80" s="1044"/>
      <c r="B80" s="1045" t="s">
        <v>394</v>
      </c>
      <c r="C80" s="258">
        <f t="shared" si="109"/>
        <v>1956</v>
      </c>
      <c r="D80" s="258">
        <f t="shared" si="110"/>
        <v>1496</v>
      </c>
      <c r="E80" s="258">
        <f t="shared" si="110"/>
        <v>1286.0999999999999</v>
      </c>
      <c r="F80" s="258">
        <f t="shared" si="110"/>
        <v>0</v>
      </c>
      <c r="G80" s="1298">
        <f t="shared" si="111"/>
        <v>0</v>
      </c>
      <c r="H80" s="1048">
        <f t="shared" si="111"/>
        <v>0</v>
      </c>
      <c r="I80" s="1049">
        <v>656</v>
      </c>
      <c r="J80" s="258">
        <v>563</v>
      </c>
      <c r="K80" s="1298">
        <v>460</v>
      </c>
      <c r="L80" s="1298"/>
      <c r="M80" s="1298"/>
      <c r="N80" s="1048"/>
      <c r="O80" s="1049">
        <v>1178</v>
      </c>
      <c r="P80" s="258">
        <v>761</v>
      </c>
      <c r="Q80" s="1298">
        <v>684</v>
      </c>
      <c r="R80" s="1298"/>
      <c r="S80" s="1298"/>
      <c r="T80" s="1048"/>
      <c r="U80" s="1049">
        <v>122</v>
      </c>
      <c r="V80" s="258">
        <v>172</v>
      </c>
      <c r="W80" s="1298">
        <v>142.1</v>
      </c>
      <c r="X80" s="1298"/>
      <c r="Y80" s="1298"/>
      <c r="Z80" s="1048"/>
    </row>
    <row r="81" spans="1:26" s="1046" customFormat="1" ht="15" customHeight="1">
      <c r="A81" s="1044"/>
      <c r="B81" s="1045" t="s">
        <v>1568</v>
      </c>
      <c r="C81" s="258">
        <f t="shared" si="109"/>
        <v>0</v>
      </c>
      <c r="D81" s="258">
        <f t="shared" si="110"/>
        <v>0</v>
      </c>
      <c r="E81" s="258">
        <f t="shared" si="110"/>
        <v>0</v>
      </c>
      <c r="F81" s="258">
        <f t="shared" si="110"/>
        <v>0</v>
      </c>
      <c r="G81" s="1298">
        <f t="shared" si="111"/>
        <v>0</v>
      </c>
      <c r="H81" s="1048">
        <f t="shared" si="111"/>
        <v>0</v>
      </c>
      <c r="I81" s="1049"/>
      <c r="J81" s="258"/>
      <c r="K81" s="1298"/>
      <c r="L81" s="1298"/>
      <c r="M81" s="1298"/>
      <c r="N81" s="1048"/>
      <c r="O81" s="1049"/>
      <c r="P81" s="258"/>
      <c r="Q81" s="1298"/>
      <c r="R81" s="1298"/>
      <c r="S81" s="1298"/>
      <c r="T81" s="1048"/>
      <c r="U81" s="1049"/>
      <c r="V81" s="258"/>
      <c r="W81" s="1298"/>
      <c r="X81" s="1298"/>
      <c r="Y81" s="1298"/>
      <c r="Z81" s="1048"/>
    </row>
    <row r="82" spans="1:26" s="1046" customFormat="1" ht="28.5" customHeight="1">
      <c r="A82" s="1044"/>
      <c r="B82" s="1045" t="s">
        <v>1957</v>
      </c>
      <c r="C82" s="258">
        <f t="shared" si="109"/>
        <v>0</v>
      </c>
      <c r="D82" s="258">
        <f t="shared" si="110"/>
        <v>0</v>
      </c>
      <c r="E82" s="258">
        <f t="shared" si="110"/>
        <v>0</v>
      </c>
      <c r="F82" s="258">
        <f t="shared" si="110"/>
        <v>0</v>
      </c>
      <c r="G82" s="1298">
        <f t="shared" si="111"/>
        <v>0</v>
      </c>
      <c r="H82" s="1048">
        <f t="shared" si="111"/>
        <v>0</v>
      </c>
      <c r="I82" s="1049">
        <v>0</v>
      </c>
      <c r="J82" s="258">
        <v>0</v>
      </c>
      <c r="K82" s="1298"/>
      <c r="L82" s="1298"/>
      <c r="M82" s="1298">
        <v>0</v>
      </c>
      <c r="N82" s="1048">
        <v>0</v>
      </c>
      <c r="O82" s="1049">
        <v>0</v>
      </c>
      <c r="P82" s="258">
        <v>0</v>
      </c>
      <c r="Q82" s="1298"/>
      <c r="R82" s="1298"/>
      <c r="S82" s="1298">
        <v>0</v>
      </c>
      <c r="T82" s="1048">
        <v>0</v>
      </c>
      <c r="U82" s="1049">
        <v>0</v>
      </c>
      <c r="V82" s="258">
        <v>0</v>
      </c>
      <c r="W82" s="1298"/>
      <c r="X82" s="1298"/>
      <c r="Y82" s="1298">
        <v>0</v>
      </c>
      <c r="Z82" s="1048">
        <v>0</v>
      </c>
    </row>
    <row r="83" spans="1:26" s="1034" customFormat="1" ht="15" customHeight="1">
      <c r="A83" s="1030" t="s">
        <v>395</v>
      </c>
      <c r="B83" s="1031" t="s">
        <v>396</v>
      </c>
      <c r="C83" s="1383">
        <f>(C68+C69+C70+C78)/0.8*0.2</f>
        <v>489</v>
      </c>
      <c r="D83" s="1032">
        <f>D78/0.8*0.2</f>
        <v>374</v>
      </c>
      <c r="E83" s="1032">
        <f>E78/0.8*0.2</f>
        <v>321.52499999999998</v>
      </c>
      <c r="F83" s="1032">
        <f>F78/0.8*0.2</f>
        <v>0</v>
      </c>
      <c r="G83" s="1653">
        <f>G78/0.8*0.2</f>
        <v>0</v>
      </c>
      <c r="H83" s="1035">
        <f>H78/0.8*0.2</f>
        <v>0</v>
      </c>
      <c r="I83" s="1384">
        <f t="shared" ref="I83:O83" si="112">(I68+I69+I70+I78)/0.8*0.2</f>
        <v>164</v>
      </c>
      <c r="J83" s="1032">
        <f>J78/0.8*0.2</f>
        <v>140.75</v>
      </c>
      <c r="K83" s="1032">
        <f>K78/0.8*0.2</f>
        <v>115</v>
      </c>
      <c r="L83" s="1032">
        <f>L78/0.8*0.2</f>
        <v>0</v>
      </c>
      <c r="M83" s="1032">
        <f>M78/0.8*0.2</f>
        <v>0</v>
      </c>
      <c r="N83" s="1035">
        <f>N78/0.8*0.2</f>
        <v>0</v>
      </c>
      <c r="O83" s="1384">
        <f t="shared" si="112"/>
        <v>294.5</v>
      </c>
      <c r="P83" s="1032">
        <f>P78/0.8*0.2</f>
        <v>190.25</v>
      </c>
      <c r="Q83" s="1032">
        <f>Q78/0.8*0.2</f>
        <v>171</v>
      </c>
      <c r="R83" s="1032">
        <f>R78/0.8*0.2</f>
        <v>0</v>
      </c>
      <c r="S83" s="1032">
        <f>S78/0.8*0.2</f>
        <v>0</v>
      </c>
      <c r="T83" s="1035">
        <f>T78/0.8*0.2</f>
        <v>0</v>
      </c>
      <c r="U83" s="1384">
        <f t="shared" ref="U83" si="113">(U68+U69+U70+U78)/0.8*0.2</f>
        <v>30.5</v>
      </c>
      <c r="V83" s="1032">
        <f>V78/0.8*0.2</f>
        <v>43</v>
      </c>
      <c r="W83" s="1032">
        <f>W78/0.8*0.2</f>
        <v>35.524999999999999</v>
      </c>
      <c r="X83" s="1032">
        <f>X78/0.8*0.2</f>
        <v>0</v>
      </c>
      <c r="Y83" s="1032">
        <f>Y78/0.8*0.2</f>
        <v>0</v>
      </c>
      <c r="Z83" s="1035">
        <f>Z78/0.8*0.2</f>
        <v>0</v>
      </c>
    </row>
    <row r="84" spans="1:26" s="1034" customFormat="1" ht="15" customHeight="1">
      <c r="A84" s="1030" t="s">
        <v>397</v>
      </c>
      <c r="B84" s="1031" t="s">
        <v>398</v>
      </c>
      <c r="C84" s="1032">
        <f>C85-C88</f>
        <v>0</v>
      </c>
      <c r="D84" s="1032">
        <f t="shared" ref="D84:O84" si="114">D85-D88</f>
        <v>0</v>
      </c>
      <c r="E84" s="1032">
        <f t="shared" ref="E84:F84" si="115">E85-E88</f>
        <v>0</v>
      </c>
      <c r="F84" s="1032">
        <f t="shared" si="115"/>
        <v>0</v>
      </c>
      <c r="G84" s="1653">
        <f t="shared" si="114"/>
        <v>0</v>
      </c>
      <c r="H84" s="1035">
        <f t="shared" ref="H84" si="116">H85-H88</f>
        <v>0</v>
      </c>
      <c r="I84" s="1036">
        <f t="shared" si="114"/>
        <v>0</v>
      </c>
      <c r="J84" s="1032">
        <f t="shared" si="114"/>
        <v>0</v>
      </c>
      <c r="K84" s="1032">
        <f t="shared" si="114"/>
        <v>0</v>
      </c>
      <c r="L84" s="1032">
        <f t="shared" ref="L84" si="117">L85-L88</f>
        <v>0</v>
      </c>
      <c r="M84" s="1032">
        <f t="shared" si="114"/>
        <v>0</v>
      </c>
      <c r="N84" s="1035">
        <f t="shared" ref="N84" si="118">N85-N88</f>
        <v>0</v>
      </c>
      <c r="O84" s="1036">
        <f t="shared" si="114"/>
        <v>0</v>
      </c>
      <c r="P84" s="1032">
        <f t="shared" ref="P84:S84" si="119">P85-P88</f>
        <v>0</v>
      </c>
      <c r="Q84" s="1032">
        <f t="shared" si="119"/>
        <v>0</v>
      </c>
      <c r="R84" s="1032">
        <f t="shared" si="119"/>
        <v>0</v>
      </c>
      <c r="S84" s="1032">
        <f t="shared" si="119"/>
        <v>0</v>
      </c>
      <c r="T84" s="1035">
        <f t="shared" ref="T84" si="120">T85-T88</f>
        <v>0</v>
      </c>
      <c r="U84" s="1036">
        <f t="shared" ref="U84:Y84" si="121">U85-U88</f>
        <v>0</v>
      </c>
      <c r="V84" s="1032">
        <f t="shared" si="121"/>
        <v>0</v>
      </c>
      <c r="W84" s="1032">
        <f t="shared" si="121"/>
        <v>0</v>
      </c>
      <c r="X84" s="1032">
        <f t="shared" si="121"/>
        <v>0</v>
      </c>
      <c r="Y84" s="1032">
        <f t="shared" si="121"/>
        <v>0</v>
      </c>
      <c r="Z84" s="1035">
        <f t="shared" ref="Z84" si="122">Z85-Z88</f>
        <v>0</v>
      </c>
    </row>
    <row r="85" spans="1:26" s="585" customFormat="1" ht="15" customHeight="1">
      <c r="A85" s="583"/>
      <c r="B85" s="582" t="s">
        <v>1140</v>
      </c>
      <c r="C85" s="584">
        <f>C86+C87</f>
        <v>0</v>
      </c>
      <c r="D85" s="584">
        <f t="shared" ref="D85:O85" si="123">D86+D87</f>
        <v>0</v>
      </c>
      <c r="E85" s="584">
        <f t="shared" ref="E85:F85" si="124">E86+E87</f>
        <v>0</v>
      </c>
      <c r="F85" s="584">
        <f t="shared" si="124"/>
        <v>0</v>
      </c>
      <c r="G85" s="1655">
        <f t="shared" si="123"/>
        <v>0</v>
      </c>
      <c r="H85" s="967">
        <f t="shared" ref="H85" si="125">H86+H87</f>
        <v>0</v>
      </c>
      <c r="I85" s="956">
        <f t="shared" si="123"/>
        <v>0</v>
      </c>
      <c r="J85" s="584">
        <f t="shared" si="123"/>
        <v>0</v>
      </c>
      <c r="K85" s="584">
        <f t="shared" si="123"/>
        <v>0</v>
      </c>
      <c r="L85" s="584">
        <f t="shared" ref="L85" si="126">L86+L87</f>
        <v>0</v>
      </c>
      <c r="M85" s="1655">
        <f t="shared" si="123"/>
        <v>0</v>
      </c>
      <c r="N85" s="967">
        <f t="shared" ref="N85" si="127">N86+N87</f>
        <v>0</v>
      </c>
      <c r="O85" s="956">
        <f t="shared" si="123"/>
        <v>0</v>
      </c>
      <c r="P85" s="584">
        <f t="shared" ref="P85:S85" si="128">P86+P87</f>
        <v>0</v>
      </c>
      <c r="Q85" s="584">
        <f t="shared" si="128"/>
        <v>0</v>
      </c>
      <c r="R85" s="584">
        <f t="shared" si="128"/>
        <v>0</v>
      </c>
      <c r="S85" s="1655">
        <f t="shared" si="128"/>
        <v>0</v>
      </c>
      <c r="T85" s="967">
        <f t="shared" ref="T85" si="129">T86+T87</f>
        <v>0</v>
      </c>
      <c r="U85" s="956">
        <f t="shared" ref="U85:Y85" si="130">U86+U87</f>
        <v>0</v>
      </c>
      <c r="V85" s="584">
        <f t="shared" si="130"/>
        <v>0</v>
      </c>
      <c r="W85" s="584">
        <f t="shared" si="130"/>
        <v>0</v>
      </c>
      <c r="X85" s="584">
        <f t="shared" si="130"/>
        <v>0</v>
      </c>
      <c r="Y85" s="1655">
        <f t="shared" si="130"/>
        <v>0</v>
      </c>
      <c r="Z85" s="967">
        <f t="shared" ref="Z85" si="131">Z86+Z87</f>
        <v>0</v>
      </c>
    </row>
    <row r="86" spans="1:26" s="341" customFormat="1" ht="15" customHeight="1">
      <c r="A86" s="339"/>
      <c r="B86" s="340" t="s">
        <v>959</v>
      </c>
      <c r="C86" s="308"/>
      <c r="D86" s="308"/>
      <c r="E86" s="308"/>
      <c r="F86" s="308"/>
      <c r="G86" s="1302"/>
      <c r="H86" s="964"/>
      <c r="I86" s="952"/>
      <c r="J86" s="308"/>
      <c r="K86" s="308"/>
      <c r="L86" s="308"/>
      <c r="M86" s="1302"/>
      <c r="N86" s="964"/>
      <c r="O86" s="952"/>
      <c r="P86" s="308"/>
      <c r="Q86" s="308"/>
      <c r="R86" s="308"/>
      <c r="S86" s="1302"/>
      <c r="T86" s="964"/>
      <c r="U86" s="952"/>
      <c r="V86" s="308"/>
      <c r="W86" s="308"/>
      <c r="X86" s="308"/>
      <c r="Y86" s="1302"/>
      <c r="Z86" s="964"/>
    </row>
    <row r="87" spans="1:26" s="341" customFormat="1" ht="15" customHeight="1">
      <c r="A87" s="339"/>
      <c r="B87" s="51" t="s">
        <v>960</v>
      </c>
      <c r="C87" s="241"/>
      <c r="D87" s="241"/>
      <c r="E87" s="241"/>
      <c r="F87" s="241"/>
      <c r="G87" s="1301"/>
      <c r="H87" s="962"/>
      <c r="I87" s="950"/>
      <c r="J87" s="241"/>
      <c r="K87" s="1301"/>
      <c r="L87" s="1302"/>
      <c r="M87" s="1302"/>
      <c r="N87" s="964"/>
      <c r="O87" s="950"/>
      <c r="P87" s="241"/>
      <c r="Q87" s="1301"/>
      <c r="R87" s="1302"/>
      <c r="S87" s="1302"/>
      <c r="T87" s="964"/>
      <c r="U87" s="950"/>
      <c r="V87" s="241"/>
      <c r="W87" s="1301"/>
      <c r="X87" s="1302"/>
      <c r="Y87" s="1302"/>
      <c r="Z87" s="964"/>
    </row>
    <row r="88" spans="1:26" s="588" customFormat="1" ht="15" customHeight="1">
      <c r="A88" s="586"/>
      <c r="B88" s="582" t="s">
        <v>1141</v>
      </c>
      <c r="C88" s="587">
        <f>C89+C90</f>
        <v>0</v>
      </c>
      <c r="D88" s="587">
        <f t="shared" ref="D88:O88" si="132">D89+D90</f>
        <v>0</v>
      </c>
      <c r="E88" s="587">
        <f t="shared" ref="E88:F88" si="133">E89+E90</f>
        <v>0</v>
      </c>
      <c r="F88" s="587">
        <f t="shared" si="133"/>
        <v>0</v>
      </c>
      <c r="G88" s="1656">
        <f t="shared" si="132"/>
        <v>0</v>
      </c>
      <c r="H88" s="968">
        <f t="shared" ref="H88" si="134">H89+H90</f>
        <v>0</v>
      </c>
      <c r="I88" s="957">
        <f t="shared" si="132"/>
        <v>0</v>
      </c>
      <c r="J88" s="587">
        <f t="shared" si="132"/>
        <v>0</v>
      </c>
      <c r="K88" s="587">
        <f t="shared" si="132"/>
        <v>0</v>
      </c>
      <c r="L88" s="587">
        <f t="shared" ref="L88" si="135">L89+L90</f>
        <v>0</v>
      </c>
      <c r="M88" s="1656">
        <f t="shared" si="132"/>
        <v>0</v>
      </c>
      <c r="N88" s="968">
        <f t="shared" ref="N88" si="136">N89+N90</f>
        <v>0</v>
      </c>
      <c r="O88" s="957">
        <f t="shared" si="132"/>
        <v>0</v>
      </c>
      <c r="P88" s="587">
        <f t="shared" ref="P88:S88" si="137">P89+P90</f>
        <v>0</v>
      </c>
      <c r="Q88" s="587">
        <f t="shared" si="137"/>
        <v>0</v>
      </c>
      <c r="R88" s="587">
        <f t="shared" si="137"/>
        <v>0</v>
      </c>
      <c r="S88" s="1656">
        <f t="shared" si="137"/>
        <v>0</v>
      </c>
      <c r="T88" s="968">
        <f t="shared" ref="T88" si="138">T89+T90</f>
        <v>0</v>
      </c>
      <c r="U88" s="957">
        <f t="shared" ref="U88:Y88" si="139">U89+U90</f>
        <v>0</v>
      </c>
      <c r="V88" s="587">
        <f t="shared" si="139"/>
        <v>0</v>
      </c>
      <c r="W88" s="587">
        <f t="shared" si="139"/>
        <v>0</v>
      </c>
      <c r="X88" s="587">
        <f t="shared" si="139"/>
        <v>0</v>
      </c>
      <c r="Y88" s="1656">
        <f t="shared" si="139"/>
        <v>0</v>
      </c>
      <c r="Z88" s="968">
        <f t="shared" ref="Z88" si="140">Z89+Z90</f>
        <v>0</v>
      </c>
    </row>
    <row r="89" spans="1:26" s="341" customFormat="1" ht="15" customHeight="1">
      <c r="A89" s="339"/>
      <c r="B89" s="340" t="s">
        <v>959</v>
      </c>
      <c r="C89" s="241"/>
      <c r="D89" s="241"/>
      <c r="E89" s="241"/>
      <c r="F89" s="241"/>
      <c r="G89" s="1301"/>
      <c r="H89" s="962"/>
      <c r="I89" s="950"/>
      <c r="J89" s="308"/>
      <c r="K89" s="1302"/>
      <c r="L89" s="1302"/>
      <c r="M89" s="1302"/>
      <c r="N89" s="964"/>
      <c r="O89" s="950"/>
      <c r="P89" s="308"/>
      <c r="Q89" s="1302"/>
      <c r="R89" s="1302"/>
      <c r="S89" s="1302"/>
      <c r="T89" s="964"/>
      <c r="U89" s="950"/>
      <c r="V89" s="308"/>
      <c r="W89" s="1302"/>
      <c r="X89" s="1302"/>
      <c r="Y89" s="1302"/>
      <c r="Z89" s="964"/>
    </row>
    <row r="90" spans="1:26" s="341" customFormat="1" ht="15" customHeight="1">
      <c r="A90" s="339"/>
      <c r="B90" s="51" t="s">
        <v>960</v>
      </c>
      <c r="C90" s="241"/>
      <c r="D90" s="241"/>
      <c r="E90" s="241"/>
      <c r="F90" s="241"/>
      <c r="G90" s="1301"/>
      <c r="H90" s="962"/>
      <c r="I90" s="950"/>
      <c r="J90" s="308"/>
      <c r="K90" s="1302"/>
      <c r="L90" s="1302"/>
      <c r="M90" s="1302"/>
      <c r="N90" s="964"/>
      <c r="O90" s="950"/>
      <c r="P90" s="308"/>
      <c r="Q90" s="1302"/>
      <c r="R90" s="1302"/>
      <c r="S90" s="1302"/>
      <c r="T90" s="964"/>
      <c r="U90" s="950"/>
      <c r="V90" s="308"/>
      <c r="W90" s="1302"/>
      <c r="X90" s="1302"/>
      <c r="Y90" s="1302"/>
      <c r="Z90" s="964"/>
    </row>
    <row r="91" spans="1:26" s="1055" customFormat="1" ht="15" customHeight="1">
      <c r="A91" s="1052" t="s">
        <v>399</v>
      </c>
      <c r="B91" s="1053" t="s">
        <v>400</v>
      </c>
      <c r="C91" s="1054">
        <f t="shared" ref="C91:Y91" si="141">C7+C67+C78+C83+C84</f>
        <v>256728.61129999999</v>
      </c>
      <c r="D91" s="1054">
        <f t="shared" si="141"/>
        <v>300298.27408</v>
      </c>
      <c r="E91" s="1054">
        <f t="shared" ref="E91:F91" si="142">E7+E67+E78+E83+E84</f>
        <v>328990.88097</v>
      </c>
      <c r="F91" s="1054">
        <f t="shared" si="142"/>
        <v>277861</v>
      </c>
      <c r="G91" s="1657">
        <f t="shared" si="141"/>
        <v>302203</v>
      </c>
      <c r="H91" s="1057">
        <f t="shared" ref="H91" si="143">H7+H67+H78+H83+H84</f>
        <v>324247.87536139198</v>
      </c>
      <c r="I91" s="1058">
        <f t="shared" si="141"/>
        <v>94467.231400000004</v>
      </c>
      <c r="J91" s="1054">
        <f t="shared" si="141"/>
        <v>112210.95355999999</v>
      </c>
      <c r="K91" s="1054">
        <f t="shared" si="141"/>
        <v>118399.30359</v>
      </c>
      <c r="L91" s="1032">
        <f t="shared" ref="L91" si="144">L7+L67+L78+L83+L84</f>
        <v>103129</v>
      </c>
      <c r="M91" s="1032">
        <f t="shared" si="141"/>
        <v>110984</v>
      </c>
      <c r="N91" s="1035">
        <f t="shared" ref="N91" si="145">N7+N67+N78+N83+N84</f>
        <v>119394.8480862224</v>
      </c>
      <c r="O91" s="1058">
        <f t="shared" si="141"/>
        <v>133920.00640000001</v>
      </c>
      <c r="P91" s="1054">
        <f t="shared" ref="P91:S91" si="146">P7+P67+P78+P83+P84</f>
        <v>152953.19502000001</v>
      </c>
      <c r="Q91" s="1054">
        <f t="shared" si="146"/>
        <v>173793.10131</v>
      </c>
      <c r="R91" s="1032">
        <f t="shared" si="146"/>
        <v>144625</v>
      </c>
      <c r="S91" s="1032">
        <f t="shared" si="146"/>
        <v>158427</v>
      </c>
      <c r="T91" s="1035">
        <f t="shared" ref="T91" si="147">T7+T67+T78+T83+T84</f>
        <v>169666.76319527961</v>
      </c>
      <c r="U91" s="1058">
        <f t="shared" si="141"/>
        <v>28341.373500000002</v>
      </c>
      <c r="V91" s="1054">
        <f t="shared" si="141"/>
        <v>35134.125500000002</v>
      </c>
      <c r="W91" s="1054">
        <f t="shared" si="141"/>
        <v>36798.476069999997</v>
      </c>
      <c r="X91" s="1032">
        <f t="shared" si="141"/>
        <v>30107</v>
      </c>
      <c r="Y91" s="1032">
        <f t="shared" si="141"/>
        <v>32792</v>
      </c>
      <c r="Z91" s="1035">
        <f t="shared" ref="Z91" si="148">Z7+Z67+Z78+Z83+Z84</f>
        <v>35186.264079890003</v>
      </c>
    </row>
    <row r="92" spans="1:26" s="4" customFormat="1" ht="15" customHeight="1">
      <c r="A92" s="17" t="s">
        <v>401</v>
      </c>
      <c r="B92" s="51" t="s">
        <v>1272</v>
      </c>
      <c r="C92" s="241"/>
      <c r="D92" s="241"/>
      <c r="E92" s="241"/>
      <c r="F92" s="241"/>
      <c r="G92" s="1301"/>
      <c r="H92" s="962"/>
      <c r="I92" s="950"/>
      <c r="J92" s="241"/>
      <c r="K92" s="1301"/>
      <c r="L92" s="1302"/>
      <c r="M92" s="1302"/>
      <c r="N92" s="964"/>
      <c r="O92" s="950"/>
      <c r="P92" s="241"/>
      <c r="Q92" s="1301"/>
      <c r="R92" s="1302"/>
      <c r="S92" s="1302"/>
      <c r="T92" s="964"/>
      <c r="U92" s="950"/>
      <c r="V92" s="241"/>
      <c r="W92" s="1301"/>
      <c r="X92" s="1302"/>
      <c r="Y92" s="1302"/>
      <c r="Z92" s="964"/>
    </row>
    <row r="93" spans="1:26" s="4" customFormat="1" ht="15" customHeight="1">
      <c r="A93" s="17" t="s">
        <v>403</v>
      </c>
      <c r="B93" s="51" t="s">
        <v>1273</v>
      </c>
      <c r="C93" s="241">
        <f>C91-C94-C95</f>
        <v>256728.61129999999</v>
      </c>
      <c r="D93" s="241">
        <f t="shared" ref="D93:O93" si="149">D91-D94-D95</f>
        <v>300298.27408</v>
      </c>
      <c r="E93" s="241">
        <f t="shared" ref="E93:F93" si="150">E91-E94-E95</f>
        <v>328990.88097</v>
      </c>
      <c r="F93" s="241">
        <f t="shared" si="150"/>
        <v>277861</v>
      </c>
      <c r="G93" s="1301">
        <f t="shared" si="149"/>
        <v>302203</v>
      </c>
      <c r="H93" s="962">
        <f t="shared" ref="H93" si="151">H91-H94-H95</f>
        <v>324247.87536139198</v>
      </c>
      <c r="I93" s="950">
        <f t="shared" si="149"/>
        <v>94467.231400000004</v>
      </c>
      <c r="J93" s="241">
        <f t="shared" si="149"/>
        <v>112210.95355999999</v>
      </c>
      <c r="K93" s="241">
        <f t="shared" si="149"/>
        <v>118399.30359</v>
      </c>
      <c r="L93" s="308">
        <f t="shared" ref="L93" si="152">L91-L94-L95</f>
        <v>103129</v>
      </c>
      <c r="M93" s="1302">
        <f t="shared" si="149"/>
        <v>110984</v>
      </c>
      <c r="N93" s="964">
        <f t="shared" ref="N93" si="153">N91-N94-N95</f>
        <v>119394.8480862224</v>
      </c>
      <c r="O93" s="950">
        <f t="shared" si="149"/>
        <v>133920.00640000001</v>
      </c>
      <c r="P93" s="241">
        <f t="shared" ref="P93:S93" si="154">P91-P94-P95</f>
        <v>152953.19502000001</v>
      </c>
      <c r="Q93" s="241">
        <f t="shared" si="154"/>
        <v>173793.10131</v>
      </c>
      <c r="R93" s="308">
        <f t="shared" si="154"/>
        <v>144625</v>
      </c>
      <c r="S93" s="1302">
        <f t="shared" si="154"/>
        <v>158427</v>
      </c>
      <c r="T93" s="964">
        <f t="shared" ref="T93" si="155">T91-T94-T95</f>
        <v>169666.76319527961</v>
      </c>
      <c r="U93" s="950">
        <f t="shared" ref="U93:Y93" si="156">U91-U94-U95</f>
        <v>28341.373500000002</v>
      </c>
      <c r="V93" s="241">
        <f t="shared" si="156"/>
        <v>35134.125500000002</v>
      </c>
      <c r="W93" s="241">
        <f t="shared" si="156"/>
        <v>36798.476069999997</v>
      </c>
      <c r="X93" s="308">
        <f t="shared" si="156"/>
        <v>30107</v>
      </c>
      <c r="Y93" s="1302">
        <f t="shared" si="156"/>
        <v>32792</v>
      </c>
      <c r="Z93" s="964">
        <f t="shared" ref="Z93" si="157">Z91-Z94-Z95</f>
        <v>35186.264079890003</v>
      </c>
    </row>
    <row r="94" spans="1:26" s="4" customFormat="1" ht="15" customHeight="1">
      <c r="A94" s="17" t="s">
        <v>405</v>
      </c>
      <c r="B94" s="51" t="s">
        <v>1274</v>
      </c>
      <c r="C94" s="241"/>
      <c r="D94" s="241"/>
      <c r="E94" s="241"/>
      <c r="F94" s="241"/>
      <c r="G94" s="1301"/>
      <c r="H94" s="962"/>
      <c r="I94" s="950"/>
      <c r="J94" s="241"/>
      <c r="K94" s="1301"/>
      <c r="L94" s="1302"/>
      <c r="M94" s="1302"/>
      <c r="N94" s="964"/>
      <c r="O94" s="950"/>
      <c r="P94" s="241"/>
      <c r="Q94" s="1301"/>
      <c r="R94" s="1302"/>
      <c r="S94" s="1302"/>
      <c r="T94" s="964"/>
      <c r="U94" s="950"/>
      <c r="V94" s="241"/>
      <c r="W94" s="1301"/>
      <c r="X94" s="1302"/>
      <c r="Y94" s="1302"/>
      <c r="Z94" s="964"/>
    </row>
    <row r="95" spans="1:26" s="4" customFormat="1" ht="15" customHeight="1">
      <c r="A95" s="17" t="s">
        <v>407</v>
      </c>
      <c r="B95" s="51" t="s">
        <v>408</v>
      </c>
      <c r="C95" s="241"/>
      <c r="D95" s="241"/>
      <c r="E95" s="241"/>
      <c r="F95" s="241"/>
      <c r="G95" s="1301"/>
      <c r="H95" s="962"/>
      <c r="I95" s="950"/>
      <c r="J95" s="241"/>
      <c r="K95" s="1301"/>
      <c r="L95" s="1302"/>
      <c r="M95" s="1302"/>
      <c r="N95" s="964"/>
      <c r="O95" s="950"/>
      <c r="P95" s="241"/>
      <c r="Q95" s="1301"/>
      <c r="R95" s="1302"/>
      <c r="S95" s="1302"/>
      <c r="T95" s="964"/>
      <c r="U95" s="950"/>
      <c r="V95" s="241"/>
      <c r="W95" s="1301"/>
      <c r="X95" s="1302"/>
      <c r="Y95" s="1302"/>
      <c r="Z95" s="964"/>
    </row>
    <row r="96" spans="1:26" s="4" customFormat="1" ht="15" customHeight="1">
      <c r="A96" s="17"/>
      <c r="B96" s="51"/>
      <c r="C96" s="241"/>
      <c r="D96" s="241"/>
      <c r="E96" s="1301"/>
      <c r="F96" s="1301"/>
      <c r="G96" s="962"/>
      <c r="H96" s="1306"/>
      <c r="I96" s="950"/>
      <c r="J96" s="241"/>
      <c r="K96" s="1301"/>
      <c r="L96" s="1654"/>
      <c r="M96" s="1436"/>
      <c r="N96" s="1702"/>
      <c r="O96" s="950"/>
      <c r="P96" s="950"/>
      <c r="Q96" s="1306"/>
      <c r="R96" s="1702"/>
      <c r="S96" s="1436"/>
      <c r="T96" s="1702"/>
      <c r="U96" s="950"/>
      <c r="V96" s="950"/>
      <c r="W96" s="950"/>
      <c r="X96" s="1672"/>
      <c r="Y96" s="1672"/>
      <c r="Z96" s="1707"/>
    </row>
    <row r="97" spans="1:26" s="4" customFormat="1" ht="14.25" customHeight="1">
      <c r="A97" s="17"/>
      <c r="B97" s="755" t="s">
        <v>1268</v>
      </c>
      <c r="C97" s="286">
        <f>'4.3_КТЭЦ'!E8</f>
        <v>922.65</v>
      </c>
      <c r="D97" s="286">
        <f>'4.3_КТЭЦ'!I8</f>
        <v>907.11299999999994</v>
      </c>
      <c r="E97" s="1303"/>
      <c r="F97" s="1303"/>
      <c r="G97" s="969">
        <f>'4.3_КТЭЦ'!M8</f>
        <v>911.197</v>
      </c>
      <c r="H97" s="1307"/>
      <c r="I97" s="958">
        <f>'4.3_КТЭЦ'!Q8</f>
        <v>858.0397999999999</v>
      </c>
      <c r="J97" s="286">
        <f>'4.3_КТЭЦ'!AK8</f>
        <v>860.72499999999991</v>
      </c>
      <c r="K97" s="286">
        <f>'4.3_КТЭЦ'!AL8</f>
        <v>0</v>
      </c>
      <c r="L97" s="1673"/>
      <c r="M97" s="1703">
        <f>'4.3_КТЭЦ'!AO8</f>
        <v>523.05800000000011</v>
      </c>
      <c r="N97" s="1704"/>
      <c r="O97" s="958">
        <f>'4.3_КТЭЦ'!AS8</f>
        <v>337.66699999999992</v>
      </c>
      <c r="P97" s="958">
        <f>'4.3_КТЭЦ'!AT8</f>
        <v>0</v>
      </c>
      <c r="Q97" s="1307"/>
      <c r="R97" s="1704"/>
      <c r="S97" s="1703">
        <f>'4.3_КТЭЦ'!AR8</f>
        <v>0</v>
      </c>
      <c r="T97" s="1704"/>
      <c r="U97" s="958">
        <f>'4.3_КТЭЦ'!BH8</f>
        <v>0</v>
      </c>
      <c r="V97" s="958">
        <f>'4.3_КТЭЦ'!BI8</f>
        <v>0</v>
      </c>
      <c r="W97" s="958"/>
      <c r="X97" s="1708"/>
      <c r="Y97" s="1708">
        <f>'4.3_КТЭЦ'!BJ8</f>
        <v>0</v>
      </c>
      <c r="Z97" s="1707"/>
    </row>
    <row r="98" spans="1:26" s="4" customFormat="1" ht="15" customHeight="1">
      <c r="A98" s="17"/>
      <c r="B98" s="51"/>
      <c r="C98" s="241"/>
      <c r="D98" s="241"/>
      <c r="E98" s="1301"/>
      <c r="F98" s="1301"/>
      <c r="G98" s="962"/>
      <c r="H98" s="1306"/>
      <c r="I98" s="950"/>
      <c r="J98" s="241"/>
      <c r="K98" s="1301"/>
      <c r="L98" s="1654"/>
      <c r="M98" s="1436"/>
      <c r="N98" s="1702"/>
      <c r="O98" s="950"/>
      <c r="P98" s="950"/>
      <c r="Q98" s="1306"/>
      <c r="R98" s="1702"/>
      <c r="S98" s="1436"/>
      <c r="T98" s="1702"/>
      <c r="U98" s="950"/>
      <c r="V98" s="950"/>
      <c r="W98" s="950"/>
      <c r="X98" s="1672"/>
      <c r="Y98" s="1672"/>
      <c r="Z98" s="1707"/>
    </row>
    <row r="99" spans="1:26" s="4" customFormat="1" ht="15" customHeight="1">
      <c r="A99" s="17"/>
      <c r="B99" s="253" t="s">
        <v>1266</v>
      </c>
      <c r="C99" s="428">
        <f>C93/C97</f>
        <v>278.25135349265702</v>
      </c>
      <c r="D99" s="428">
        <f t="shared" ref="D99:O99" si="158">D93/D97</f>
        <v>331.0483634122761</v>
      </c>
      <c r="E99" s="870"/>
      <c r="F99" s="870"/>
      <c r="G99" s="970">
        <f t="shared" si="158"/>
        <v>331.65495496583065</v>
      </c>
      <c r="H99" s="1308"/>
      <c r="I99" s="959">
        <f t="shared" si="158"/>
        <v>110.09656125508398</v>
      </c>
      <c r="J99" s="428">
        <f t="shared" si="158"/>
        <v>130.36794976328096</v>
      </c>
      <c r="K99" s="428" t="e">
        <f t="shared" si="158"/>
        <v>#DIV/0!</v>
      </c>
      <c r="L99" s="1674"/>
      <c r="M99" s="1705">
        <f t="shared" si="158"/>
        <v>212.18297014862591</v>
      </c>
      <c r="N99" s="1706"/>
      <c r="O99" s="959">
        <f t="shared" si="158"/>
        <v>396.60377354020397</v>
      </c>
      <c r="P99" s="959" t="e">
        <f t="shared" ref="P99:Y99" si="159">P93/P97</f>
        <v>#DIV/0!</v>
      </c>
      <c r="Q99" s="1308"/>
      <c r="R99" s="1706"/>
      <c r="S99" s="1705" t="e">
        <f t="shared" si="159"/>
        <v>#DIV/0!</v>
      </c>
      <c r="T99" s="1706"/>
      <c r="U99" s="959" t="e">
        <f t="shared" si="159"/>
        <v>#DIV/0!</v>
      </c>
      <c r="V99" s="959" t="e">
        <f t="shared" si="159"/>
        <v>#DIV/0!</v>
      </c>
      <c r="W99" s="959"/>
      <c r="X99" s="1709"/>
      <c r="Y99" s="1709" t="e">
        <f t="shared" si="159"/>
        <v>#DIV/0!</v>
      </c>
      <c r="Z99" s="1707"/>
    </row>
    <row r="100" spans="1:26" s="4" customFormat="1" ht="15" customHeight="1">
      <c r="A100" s="17"/>
      <c r="B100" s="253" t="s">
        <v>1267</v>
      </c>
      <c r="C100" s="428" t="e">
        <f>C94/'4.2_КТЭЦ'!C25</f>
        <v>#DIV/0!</v>
      </c>
      <c r="D100" s="428"/>
      <c r="E100" s="870"/>
      <c r="F100" s="870"/>
      <c r="G100" s="970"/>
      <c r="H100" s="1308"/>
      <c r="I100" s="959"/>
      <c r="J100" s="428"/>
      <c r="K100" s="870"/>
      <c r="L100" s="1674"/>
      <c r="M100" s="1705"/>
      <c r="N100" s="1706"/>
      <c r="O100" s="959"/>
      <c r="P100" s="959"/>
      <c r="Q100" s="1308"/>
      <c r="R100" s="1706"/>
      <c r="S100" s="1705"/>
      <c r="T100" s="1706"/>
      <c r="U100" s="959"/>
      <c r="V100" s="959"/>
      <c r="W100" s="959"/>
      <c r="X100" s="1709"/>
      <c r="Y100" s="1709"/>
      <c r="Z100" s="1707"/>
    </row>
    <row r="101" spans="1:26" s="4" customFormat="1" ht="15" customHeight="1">
      <c r="A101" s="17"/>
      <c r="B101" s="1131" t="s">
        <v>1512</v>
      </c>
      <c r="C101" s="428"/>
      <c r="D101" s="428"/>
      <c r="E101" s="870"/>
      <c r="F101" s="870"/>
      <c r="G101" s="870"/>
      <c r="H101" s="1308"/>
      <c r="I101" s="959"/>
      <c r="J101" s="428"/>
      <c r="K101" s="870"/>
      <c r="L101" s="1674"/>
      <c r="M101" s="1674"/>
      <c r="N101" s="1706"/>
      <c r="O101" s="959"/>
      <c r="P101" s="978"/>
      <c r="Q101" s="978"/>
      <c r="R101" s="1651"/>
      <c r="S101" s="1651"/>
      <c r="T101" s="1651"/>
      <c r="U101" s="978"/>
      <c r="V101" s="978"/>
      <c r="W101" s="978"/>
      <c r="X101" s="1651"/>
      <c r="Y101" s="1651"/>
      <c r="Z101" s="1707"/>
    </row>
    <row r="102" spans="1:26" s="4" customFormat="1" ht="15" customHeight="1">
      <c r="A102" s="17"/>
      <c r="B102" s="1131" t="s">
        <v>1513</v>
      </c>
      <c r="C102" s="428"/>
      <c r="D102" s="428"/>
      <c r="E102" s="870"/>
      <c r="F102" s="870"/>
      <c r="G102" s="870"/>
      <c r="H102" s="1308"/>
      <c r="I102" s="959"/>
      <c r="J102" s="428"/>
      <c r="K102" s="870"/>
      <c r="L102" s="1674"/>
      <c r="M102" s="1674"/>
      <c r="N102" s="1706"/>
      <c r="O102" s="959"/>
      <c r="P102" s="978"/>
      <c r="Q102" s="978"/>
      <c r="R102" s="1651"/>
      <c r="S102" s="1651"/>
      <c r="T102" s="1651"/>
      <c r="U102" s="978"/>
      <c r="V102" s="978"/>
      <c r="W102" s="978"/>
      <c r="X102" s="1651"/>
      <c r="Y102" s="1651"/>
      <c r="Z102" s="1707"/>
    </row>
    <row r="103" spans="1:26" hidden="1">
      <c r="A103" s="253" t="s">
        <v>965</v>
      </c>
      <c r="B103" s="253"/>
      <c r="C103" s="308">
        <f>C67+C78+C83+C87-C90</f>
        <v>3551</v>
      </c>
      <c r="D103" s="308">
        <f t="shared" ref="D103:O103" si="160">D67+D78+D83+D87-D90</f>
        <v>5042.5</v>
      </c>
      <c r="E103" s="308"/>
      <c r="F103" s="308"/>
      <c r="G103" s="308">
        <f t="shared" si="160"/>
        <v>0</v>
      </c>
      <c r="H103" s="308"/>
      <c r="I103" s="308">
        <f t="shared" si="160"/>
        <v>820</v>
      </c>
      <c r="J103" s="308">
        <f t="shared" si="160"/>
        <v>1897.65</v>
      </c>
      <c r="K103" s="308"/>
      <c r="L103" s="982"/>
      <c r="M103" s="982">
        <f t="shared" si="160"/>
        <v>0</v>
      </c>
      <c r="N103" s="982"/>
      <c r="O103" s="308">
        <f t="shared" si="160"/>
        <v>1472.5</v>
      </c>
    </row>
    <row r="104" spans="1:26" s="26" customFormat="1">
      <c r="A104" s="26" t="s">
        <v>88</v>
      </c>
      <c r="L104" s="883"/>
      <c r="M104" s="883"/>
      <c r="N104" s="883"/>
      <c r="R104" s="883"/>
      <c r="S104" s="883"/>
      <c r="T104" s="883"/>
      <c r="X104" s="883"/>
      <c r="Y104" s="883"/>
      <c r="Z104" s="883"/>
    </row>
    <row r="105" spans="1:26" s="914" customFormat="1" ht="58.5" customHeight="1">
      <c r="A105" s="914" t="s">
        <v>89</v>
      </c>
      <c r="B105" s="1842" t="s">
        <v>409</v>
      </c>
      <c r="C105" s="1842"/>
      <c r="D105" s="1842"/>
      <c r="E105" s="1842"/>
      <c r="F105" s="1842"/>
      <c r="G105" s="1842"/>
      <c r="H105" s="1842"/>
      <c r="I105" s="1842"/>
      <c r="J105" s="1842"/>
      <c r="K105" s="1842"/>
      <c r="L105" s="1842"/>
      <c r="M105" s="1842"/>
      <c r="N105" s="1842"/>
      <c r="O105" s="1842"/>
      <c r="Q105" s="1285"/>
      <c r="R105" s="854"/>
      <c r="S105" s="854"/>
      <c r="T105" s="854"/>
      <c r="W105" s="1285"/>
      <c r="X105" s="854"/>
      <c r="Y105" s="854"/>
      <c r="Z105" s="854"/>
    </row>
    <row r="106" spans="1:26" s="914" customFormat="1" ht="58.5" customHeight="1">
      <c r="A106" s="914" t="s">
        <v>91</v>
      </c>
      <c r="B106" s="1842" t="s">
        <v>410</v>
      </c>
      <c r="C106" s="1842"/>
      <c r="D106" s="1842"/>
      <c r="E106" s="1842"/>
      <c r="F106" s="1842"/>
      <c r="G106" s="1842"/>
      <c r="H106" s="1842"/>
      <c r="I106" s="1842"/>
      <c r="J106" s="1842"/>
      <c r="K106" s="1842"/>
      <c r="L106" s="1842"/>
      <c r="M106" s="1842"/>
      <c r="N106" s="1842"/>
      <c r="O106" s="1842"/>
      <c r="Q106" s="1285"/>
      <c r="R106" s="854"/>
      <c r="S106" s="854"/>
      <c r="T106" s="854"/>
      <c r="W106" s="1285"/>
      <c r="X106" s="854"/>
      <c r="Y106" s="854"/>
      <c r="Z106" s="854"/>
    </row>
    <row r="107" spans="1:26" s="914" customFormat="1" ht="58.5" customHeight="1">
      <c r="A107" s="914" t="s">
        <v>93</v>
      </c>
      <c r="B107" s="1842" t="s">
        <v>411</v>
      </c>
      <c r="C107" s="1842"/>
      <c r="D107" s="1842"/>
      <c r="E107" s="1842"/>
      <c r="F107" s="1842"/>
      <c r="G107" s="1842"/>
      <c r="H107" s="1842"/>
      <c r="I107" s="1842"/>
      <c r="J107" s="1842"/>
      <c r="K107" s="1842"/>
      <c r="L107" s="1842"/>
      <c r="M107" s="1842"/>
      <c r="N107" s="1842"/>
      <c r="O107" s="1842"/>
      <c r="Q107" s="1285"/>
      <c r="R107" s="854"/>
      <c r="S107" s="854"/>
      <c r="T107" s="854"/>
      <c r="W107" s="1285"/>
      <c r="X107" s="854"/>
      <c r="Y107" s="854"/>
      <c r="Z107" s="854"/>
    </row>
    <row r="108" spans="1:26" ht="18.75" customHeight="1"/>
  </sheetData>
  <mergeCells count="4">
    <mergeCell ref="A3:O3"/>
    <mergeCell ref="B105:O105"/>
    <mergeCell ref="B106:O106"/>
    <mergeCell ref="B107:O107"/>
  </mergeCells>
  <pageMargins left="0.78740157480314965" right="0.31496062992125984" top="0.19685039370078741" bottom="0.39370078740157483" header="0.19685039370078741" footer="0.19685039370078741"/>
  <pageSetup paperSize="9" scale="46" orientation="portrait" r:id="rId1"/>
  <headerFooter alignWithMargins="0"/>
  <colBreaks count="1" manualBreakCount="1">
    <brk id="15" max="94" man="1"/>
  </col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FF00"/>
  </sheetPr>
  <dimension ref="A1:EZ36"/>
  <sheetViews>
    <sheetView view="pageBreakPreview" zoomScale="90" zoomScaleNormal="100" zoomScaleSheetLayoutView="90" workbookViewId="0">
      <pane xSplit="2" ySplit="8" topLeftCell="DZ9" activePane="bottomRight" state="frozen"/>
      <selection pane="topRight" activeCell="C1" sqref="C1"/>
      <selection pane="bottomLeft" activeCell="A16" sqref="A16"/>
      <selection pane="bottomRight" activeCell="FA2" sqref="FA2"/>
    </sheetView>
  </sheetViews>
  <sheetFormatPr defaultColWidth="4.85546875" defaultRowHeight="12" customHeight="1" outlineLevelCol="1"/>
  <cols>
    <col min="1" max="1" width="4.85546875" style="26" customWidth="1"/>
    <col min="2" max="2" width="40.140625" style="26" customWidth="1"/>
    <col min="3" max="3" width="10.28515625" style="26" hidden="1" customWidth="1"/>
    <col min="4" max="7" width="10" style="26" hidden="1" customWidth="1"/>
    <col min="8" max="8" width="7.85546875" style="26" hidden="1" customWidth="1"/>
    <col min="9" max="9" width="3.85546875" style="26" hidden="1" customWidth="1"/>
    <col min="10" max="10" width="7.140625" style="26" hidden="1" customWidth="1"/>
    <col min="11" max="12" width="3.85546875" style="26" hidden="1" customWidth="1"/>
    <col min="13" max="13" width="3.140625" style="26" hidden="1" customWidth="1"/>
    <col min="14" max="14" width="10.7109375" style="26" hidden="1" customWidth="1"/>
    <col min="15" max="18" width="9.7109375" style="26" hidden="1" customWidth="1"/>
    <col min="19" max="19" width="7.140625" style="26" hidden="1" customWidth="1"/>
    <col min="20" max="20" width="2.7109375" style="26" hidden="1" customWidth="1" outlineLevel="1"/>
    <col min="21" max="21" width="7.7109375" style="26" hidden="1" customWidth="1" outlineLevel="1"/>
    <col min="22" max="24" width="3.140625" style="26" hidden="1" customWidth="1" outlineLevel="1"/>
    <col min="25" max="25" width="10.5703125" style="26" customWidth="1" outlineLevel="1"/>
    <col min="26" max="26" width="10.140625" style="26" customWidth="1" outlineLevel="1"/>
    <col min="27" max="29" width="10.140625" style="26" hidden="1" customWidth="1" outlineLevel="1"/>
    <col min="30" max="30" width="7" style="26" customWidth="1" outlineLevel="1"/>
    <col min="31" max="31" width="3.140625" style="26" customWidth="1" outlineLevel="1"/>
    <col min="32" max="32" width="7.140625" style="26" customWidth="1" outlineLevel="1"/>
    <col min="33" max="35" width="3.140625" style="26" customWidth="1" outlineLevel="1"/>
    <col min="36" max="36" width="10.28515625" style="26" customWidth="1" outlineLevel="1"/>
    <col min="37" max="40" width="9.85546875" style="26" customWidth="1" outlineLevel="1"/>
    <col min="41" max="41" width="8.42578125" style="26" customWidth="1" outlineLevel="1"/>
    <col min="42" max="42" width="3.140625" style="26" customWidth="1" outlineLevel="1"/>
    <col min="43" max="43" width="9.140625" style="26" customWidth="1" outlineLevel="1"/>
    <col min="44" max="46" width="3.140625" style="26" customWidth="1" outlineLevel="1"/>
    <col min="47" max="47" width="10.7109375" style="26" customWidth="1" outlineLevel="1"/>
    <col min="48" max="48" width="10.140625" style="26" customWidth="1" outlineLevel="1"/>
    <col min="49" max="51" width="10.140625" style="26" hidden="1" customWidth="1" outlineLevel="1"/>
    <col min="52" max="52" width="7.7109375" style="26" customWidth="1" outlineLevel="1"/>
    <col min="53" max="53" width="3.140625" style="26" customWidth="1" outlineLevel="1"/>
    <col min="54" max="54" width="7.85546875" style="26" customWidth="1" outlineLevel="1"/>
    <col min="55" max="57" width="3.140625" style="26" customWidth="1" outlineLevel="1"/>
    <col min="58" max="58" width="10.42578125" style="26" customWidth="1" outlineLevel="1"/>
    <col min="59" max="60" width="9.7109375" style="26" customWidth="1" outlineLevel="1"/>
    <col min="61" max="61" width="9.85546875" style="26" customWidth="1" outlineLevel="1"/>
    <col min="62" max="62" width="10.140625" style="26" customWidth="1" outlineLevel="1"/>
    <col min="63" max="63" width="6.85546875" style="26" customWidth="1" outlineLevel="1"/>
    <col min="64" max="64" width="3.140625" style="26" customWidth="1" outlineLevel="1"/>
    <col min="65" max="65" width="7.28515625" style="26" customWidth="1" outlineLevel="1"/>
    <col min="66" max="68" width="3.140625" style="26" customWidth="1" outlineLevel="1"/>
    <col min="69" max="69" width="9.85546875" style="26" customWidth="1" outlineLevel="1"/>
    <col min="70" max="70" width="10.140625" style="26" customWidth="1" outlineLevel="1"/>
    <col min="71" max="71" width="10.28515625" style="26" customWidth="1" outlineLevel="1"/>
    <col min="72" max="72" width="11" style="26" customWidth="1" outlineLevel="1"/>
    <col min="73" max="73" width="9.5703125" style="26" customWidth="1" outlineLevel="1"/>
    <col min="74" max="74" width="9.28515625" style="26" customWidth="1" outlineLevel="1"/>
    <col min="75" max="75" width="3.7109375" style="26" customWidth="1" outlineLevel="1"/>
    <col min="76" max="76" width="7.42578125" style="26" customWidth="1" outlineLevel="1"/>
    <col min="77" max="77" width="3.28515625" style="26" customWidth="1" outlineLevel="1"/>
    <col min="78" max="79" width="3.140625" style="26" customWidth="1" outlineLevel="1"/>
    <col min="80" max="80" width="9.85546875" style="26" customWidth="1" outlineLevel="1"/>
    <col min="81" max="82" width="10.28515625" style="26" customWidth="1" outlineLevel="1"/>
    <col min="83" max="83" width="9.7109375" style="26" customWidth="1" outlineLevel="1"/>
    <col min="84" max="84" width="10.42578125" style="26" customWidth="1" outlineLevel="1"/>
    <col min="85" max="85" width="8" style="26" customWidth="1" outlineLevel="1"/>
    <col min="86" max="86" width="3.140625" style="26" customWidth="1" outlineLevel="1"/>
    <col min="87" max="87" width="7.5703125" style="26" customWidth="1" outlineLevel="1"/>
    <col min="88" max="90" width="3.140625" style="26" customWidth="1" outlineLevel="1"/>
    <col min="91" max="91" width="10.7109375" style="300" customWidth="1"/>
    <col min="92" max="95" width="10.42578125" style="300" customWidth="1"/>
    <col min="96" max="96" width="7" style="300" customWidth="1"/>
    <col min="97" max="97" width="2.5703125" style="300" customWidth="1" outlineLevel="1"/>
    <col min="98" max="98" width="6.85546875" style="300" customWidth="1" outlineLevel="1"/>
    <col min="99" max="101" width="2.7109375" style="300" customWidth="1" outlineLevel="1"/>
    <col min="102" max="102" width="9.85546875" style="26" customWidth="1"/>
    <col min="103" max="106" width="10" style="26" customWidth="1"/>
    <col min="107" max="107" width="8" style="26" customWidth="1"/>
    <col min="108" max="108" width="3.140625" style="26" customWidth="1" outlineLevel="1"/>
    <col min="109" max="109" width="7.28515625" style="26" customWidth="1" outlineLevel="1"/>
    <col min="110" max="112" width="2.42578125" style="26" customWidth="1" outlineLevel="1"/>
    <col min="113" max="113" width="9.85546875" style="26" customWidth="1"/>
    <col min="114" max="117" width="9.7109375" style="26" customWidth="1"/>
    <col min="118" max="118" width="7.28515625" style="26" customWidth="1"/>
    <col min="119" max="119" width="2.5703125" style="26" customWidth="1" outlineLevel="1"/>
    <col min="120" max="120" width="7.140625" style="26" customWidth="1" outlineLevel="1"/>
    <col min="121" max="121" width="2.85546875" style="26" customWidth="1" outlineLevel="1"/>
    <col min="122" max="122" width="3" style="26" customWidth="1" outlineLevel="1"/>
    <col min="123" max="123" width="2.85546875" style="26" customWidth="1" outlineLevel="1"/>
    <col min="124" max="124" width="10.42578125" style="26" customWidth="1"/>
    <col min="125" max="125" width="10.28515625" style="26" customWidth="1"/>
    <col min="126" max="126" width="10.42578125" style="26" customWidth="1"/>
    <col min="127" max="127" width="10.7109375" style="26" customWidth="1"/>
    <col min="128" max="128" width="10" style="26" customWidth="1"/>
    <col min="129" max="129" width="7.140625" style="26" customWidth="1"/>
    <col min="130" max="130" width="4.85546875" style="26"/>
    <col min="131" max="131" width="7.42578125" style="26" customWidth="1"/>
    <col min="132" max="132" width="4.28515625" style="26" customWidth="1"/>
    <col min="133" max="133" width="3.7109375" style="26" customWidth="1"/>
    <col min="134" max="134" width="4.85546875" style="26"/>
    <col min="135" max="135" width="10.42578125" style="26" customWidth="1"/>
    <col min="136" max="136" width="10.28515625" style="26" customWidth="1"/>
    <col min="137" max="137" width="8" style="26" customWidth="1"/>
    <col min="138" max="138" width="9.140625" style="26" customWidth="1"/>
    <col min="139" max="139" width="10.28515625" style="26" customWidth="1"/>
    <col min="140" max="140" width="7.42578125" style="26" customWidth="1"/>
    <col min="141" max="141" width="4" style="26" customWidth="1"/>
    <col min="142" max="142" width="8.28515625" style="26" customWidth="1"/>
    <col min="143" max="143" width="3.5703125" style="26" customWidth="1"/>
    <col min="144" max="145" width="3.85546875" style="26" customWidth="1"/>
    <col min="146" max="146" width="10.5703125" style="26" customWidth="1"/>
    <col min="147" max="147" width="9.140625" style="26" customWidth="1"/>
    <col min="148" max="148" width="8.28515625" style="26" customWidth="1"/>
    <col min="149" max="149" width="9.5703125" style="26" customWidth="1"/>
    <col min="150" max="150" width="10.5703125" style="26" customWidth="1"/>
    <col min="151" max="151" width="8.28515625" style="26" customWidth="1"/>
    <col min="152" max="152" width="4" style="26" customWidth="1"/>
    <col min="153" max="153" width="8.28515625" style="26" customWidth="1"/>
    <col min="154" max="154" width="4.28515625" style="26" customWidth="1"/>
    <col min="155" max="155" width="3.5703125" style="26" customWidth="1"/>
    <col min="156" max="156" width="3.85546875" style="26" customWidth="1"/>
    <col min="157" max="16384" width="4.85546875" style="26"/>
  </cols>
  <sheetData>
    <row r="1" spans="1:156" s="24" customFormat="1" ht="14.25">
      <c r="A1" s="74" t="s">
        <v>1860</v>
      </c>
      <c r="BD1" s="25" t="s">
        <v>60</v>
      </c>
      <c r="BP1" s="25"/>
      <c r="CK1" s="25" t="s">
        <v>60</v>
      </c>
      <c r="CM1" s="298"/>
      <c r="CN1" s="298"/>
      <c r="CO1" s="298"/>
      <c r="CP1" s="298"/>
      <c r="CQ1" s="298"/>
      <c r="CR1" s="298"/>
      <c r="CS1" s="298"/>
      <c r="CU1" s="298"/>
      <c r="CV1" s="298"/>
      <c r="CW1" s="25"/>
      <c r="DH1" s="25"/>
      <c r="DS1" s="25" t="s">
        <v>60</v>
      </c>
      <c r="EZ1" s="25" t="s">
        <v>60</v>
      </c>
    </row>
    <row r="2" spans="1:156" ht="15" customHeight="1">
      <c r="A2" s="105" t="s">
        <v>1125</v>
      </c>
    </row>
    <row r="3" spans="1:156" ht="18.75">
      <c r="A3" s="1622"/>
      <c r="B3" s="1622"/>
      <c r="C3" s="1622"/>
      <c r="D3" s="1622"/>
      <c r="E3" s="1622"/>
      <c r="F3" s="1622"/>
      <c r="G3" s="1622"/>
      <c r="H3" s="1622"/>
      <c r="I3" s="1622"/>
      <c r="J3" s="1622"/>
      <c r="K3" s="1622"/>
      <c r="L3" s="1622"/>
      <c r="M3" s="1622"/>
      <c r="N3" s="1622"/>
      <c r="O3" s="1622"/>
      <c r="P3" s="1622"/>
      <c r="Q3" s="1622"/>
      <c r="R3" s="1622"/>
      <c r="S3" s="1622"/>
      <c r="T3" s="1622"/>
      <c r="U3" s="1622"/>
      <c r="V3" s="1622"/>
      <c r="W3" s="1622"/>
      <c r="X3" s="1622"/>
      <c r="Y3" s="1622"/>
      <c r="Z3" s="1622"/>
      <c r="AA3" s="1622"/>
      <c r="AB3" s="1622"/>
      <c r="AC3" s="1622"/>
      <c r="AD3" s="1622"/>
      <c r="AE3" s="1622"/>
      <c r="AF3" s="1622" t="s">
        <v>61</v>
      </c>
      <c r="AG3" s="1622"/>
      <c r="AH3" s="1622"/>
      <c r="AI3" s="1622"/>
      <c r="AJ3" s="1622"/>
      <c r="AK3" s="1622"/>
      <c r="AL3" s="1622"/>
      <c r="AM3" s="1622"/>
      <c r="AN3" s="1622"/>
      <c r="AO3" s="1622"/>
      <c r="AP3" s="1622"/>
      <c r="AQ3" s="1622"/>
      <c r="AR3" s="1622"/>
      <c r="AS3" s="1622"/>
      <c r="AT3" s="1622"/>
      <c r="AU3" s="1622"/>
      <c r="AV3" s="1622"/>
      <c r="AW3" s="1622"/>
      <c r="AX3" s="1622"/>
      <c r="AY3" s="1622"/>
      <c r="AZ3" s="1622"/>
      <c r="BA3" s="1622"/>
      <c r="BB3" s="1622"/>
      <c r="BC3" s="1622"/>
      <c r="BD3" s="1788"/>
      <c r="BE3" s="1622"/>
      <c r="BF3" s="1622"/>
      <c r="BG3" s="1622"/>
      <c r="BH3" s="1622"/>
      <c r="BI3" s="1622"/>
      <c r="BJ3" s="1622"/>
      <c r="BK3" s="1622"/>
      <c r="BL3" s="1622"/>
      <c r="BM3" s="1622"/>
      <c r="BN3" s="1622"/>
      <c r="BO3" s="1622"/>
      <c r="BP3" s="1622"/>
      <c r="BQ3" s="1622"/>
      <c r="BR3" s="1622"/>
      <c r="BS3" s="1622"/>
      <c r="BT3" s="1622"/>
      <c r="BU3" s="1622"/>
      <c r="BV3" s="1622" t="s">
        <v>61</v>
      </c>
      <c r="BW3" s="1622"/>
      <c r="BX3" s="1622"/>
      <c r="BY3" s="1622"/>
      <c r="BZ3" s="1622"/>
      <c r="CA3" s="1622"/>
      <c r="CB3" s="1622"/>
      <c r="CC3" s="1622"/>
      <c r="CD3" s="1622"/>
      <c r="CE3" s="1622"/>
      <c r="CF3" s="1622"/>
      <c r="CG3" s="1622"/>
      <c r="CH3" s="1622"/>
      <c r="CI3" s="1622"/>
      <c r="CJ3" s="1622"/>
      <c r="CK3" s="1788"/>
      <c r="CL3" s="1622"/>
      <c r="CM3" s="1622"/>
      <c r="CN3" s="1622"/>
      <c r="CO3" s="1622"/>
      <c r="CP3" s="1622"/>
      <c r="CQ3" s="1622" t="s">
        <v>61</v>
      </c>
      <c r="CR3" s="1622"/>
      <c r="CS3" s="1622"/>
      <c r="CT3" s="1622"/>
      <c r="CU3" s="1622"/>
      <c r="CV3" s="1622"/>
      <c r="CW3" s="1622"/>
      <c r="CX3" s="1622"/>
      <c r="CY3" s="1622"/>
      <c r="CZ3" s="1622"/>
      <c r="DA3" s="1622"/>
      <c r="DB3" s="1622"/>
      <c r="DC3" s="1622"/>
      <c r="DD3" s="1622"/>
      <c r="DE3" s="1622"/>
      <c r="DF3" s="1622"/>
      <c r="DG3" s="1622"/>
      <c r="DH3" s="1622"/>
      <c r="DI3" s="1622"/>
      <c r="DJ3" s="1622"/>
      <c r="DK3" s="1622"/>
      <c r="DL3" s="1622"/>
      <c r="DM3" s="1622"/>
      <c r="DN3" s="1622"/>
      <c r="DO3" s="1622"/>
      <c r="DP3" s="1622"/>
      <c r="DQ3" s="1622"/>
      <c r="DR3" s="1622"/>
      <c r="DS3" s="1622"/>
      <c r="DX3" s="1622" t="s">
        <v>61</v>
      </c>
      <c r="EZ3" s="1622"/>
    </row>
    <row r="4" spans="1:156" s="541" customFormat="1" ht="15.75" customHeight="1">
      <c r="E4" s="1382"/>
      <c r="F4" s="1382"/>
      <c r="G4" s="1382"/>
      <c r="P4" s="1382"/>
      <c r="Q4" s="1382"/>
      <c r="R4" s="1382"/>
      <c r="AA4" s="1382"/>
      <c r="AB4" s="1382"/>
      <c r="AC4" s="1382"/>
      <c r="AL4" s="1382"/>
      <c r="AM4" s="1382"/>
      <c r="AN4" s="1382"/>
      <c r="AU4" s="1275"/>
      <c r="AV4" s="1275"/>
      <c r="AW4" s="1382"/>
      <c r="AX4" s="1382"/>
      <c r="AY4" s="1382"/>
      <c r="AZ4" s="1275"/>
      <c r="BA4" s="1275"/>
      <c r="BB4" s="1275"/>
      <c r="BC4" s="1275"/>
      <c r="BD4" s="29" t="s">
        <v>62</v>
      </c>
      <c r="BE4" s="1275"/>
      <c r="BF4" s="1275"/>
      <c r="BG4" s="1275"/>
      <c r="BH4" s="1382"/>
      <c r="BI4" s="1382"/>
      <c r="BJ4" s="1382"/>
      <c r="BK4" s="1275"/>
      <c r="BL4" s="1275"/>
      <c r="BM4" s="1275"/>
      <c r="BN4" s="1275"/>
      <c r="BO4" s="1275"/>
      <c r="BP4" s="29"/>
      <c r="BQ4" s="1579"/>
      <c r="BR4" s="1579"/>
      <c r="BS4" s="1579"/>
      <c r="BT4" s="1579"/>
      <c r="BU4" s="1579"/>
      <c r="BV4" s="1579"/>
      <c r="BW4" s="1579"/>
      <c r="BX4" s="1579"/>
      <c r="BY4" s="1579"/>
      <c r="BZ4" s="1579"/>
      <c r="CA4" s="1579"/>
      <c r="CB4" s="1579"/>
      <c r="CC4" s="1579"/>
      <c r="CD4" s="1579"/>
      <c r="CE4" s="1579"/>
      <c r="CF4" s="1579"/>
      <c r="CG4" s="1579"/>
      <c r="CH4" s="1579"/>
      <c r="CI4" s="1579"/>
      <c r="CJ4" s="1579"/>
      <c r="CK4" s="29" t="s">
        <v>62</v>
      </c>
      <c r="CL4" s="1579"/>
      <c r="CM4" s="294"/>
      <c r="CN4" s="294"/>
      <c r="CO4" s="294"/>
      <c r="CP4" s="294"/>
      <c r="CQ4" s="294"/>
      <c r="CR4" s="294"/>
      <c r="CS4" s="294"/>
      <c r="CT4" s="294"/>
      <c r="CU4" s="294"/>
      <c r="CV4" s="294"/>
      <c r="CW4" s="301"/>
      <c r="CZ4" s="1382"/>
      <c r="DA4" s="1382"/>
      <c r="DB4" s="1382"/>
      <c r="DH4" s="29"/>
      <c r="DK4" s="1382"/>
      <c r="DL4" s="1382"/>
      <c r="DM4" s="1382"/>
      <c r="DS4" s="29" t="s">
        <v>62</v>
      </c>
      <c r="EZ4" s="29" t="s">
        <v>62</v>
      </c>
    </row>
    <row r="5" spans="1:156" s="31" customFormat="1" ht="19.5" customHeight="1">
      <c r="A5" s="1858" t="s">
        <v>0</v>
      </c>
      <c r="B5" s="1858" t="s">
        <v>1</v>
      </c>
      <c r="C5" s="1834" t="s">
        <v>1126</v>
      </c>
      <c r="D5" s="1835"/>
      <c r="E5" s="1835"/>
      <c r="F5" s="1835"/>
      <c r="G5" s="1835"/>
      <c r="H5" s="1835"/>
      <c r="I5" s="1835"/>
      <c r="J5" s="1835"/>
      <c r="K5" s="1835"/>
      <c r="L5" s="1835"/>
      <c r="M5" s="1836"/>
      <c r="N5" s="1834" t="s">
        <v>1127</v>
      </c>
      <c r="O5" s="1835"/>
      <c r="P5" s="1835"/>
      <c r="Q5" s="1835"/>
      <c r="R5" s="1835"/>
      <c r="S5" s="1835"/>
      <c r="T5" s="1835"/>
      <c r="U5" s="1835"/>
      <c r="V5" s="1835"/>
      <c r="W5" s="1835"/>
      <c r="X5" s="1836"/>
      <c r="Y5" s="1834" t="s">
        <v>1128</v>
      </c>
      <c r="Z5" s="1835"/>
      <c r="AA5" s="1835"/>
      <c r="AB5" s="1835"/>
      <c r="AC5" s="1835"/>
      <c r="AD5" s="1835"/>
      <c r="AE5" s="1835"/>
      <c r="AF5" s="1835"/>
      <c r="AG5" s="1835"/>
      <c r="AH5" s="1835"/>
      <c r="AI5" s="1836"/>
      <c r="AJ5" s="1834" t="s">
        <v>1691</v>
      </c>
      <c r="AK5" s="1835"/>
      <c r="AL5" s="1835"/>
      <c r="AM5" s="1835"/>
      <c r="AN5" s="1835"/>
      <c r="AO5" s="1835"/>
      <c r="AP5" s="1835"/>
      <c r="AQ5" s="1835"/>
      <c r="AR5" s="1835"/>
      <c r="AS5" s="1835"/>
      <c r="AT5" s="1836"/>
      <c r="AU5" s="1834" t="s">
        <v>1692</v>
      </c>
      <c r="AV5" s="1835"/>
      <c r="AW5" s="1835"/>
      <c r="AX5" s="1835"/>
      <c r="AY5" s="1835"/>
      <c r="AZ5" s="1835"/>
      <c r="BA5" s="1835"/>
      <c r="BB5" s="1835"/>
      <c r="BC5" s="1835"/>
      <c r="BD5" s="1835"/>
      <c r="BE5" s="1836"/>
      <c r="BF5" s="1834" t="s">
        <v>1828</v>
      </c>
      <c r="BG5" s="1835"/>
      <c r="BH5" s="1835"/>
      <c r="BI5" s="1835"/>
      <c r="BJ5" s="1835"/>
      <c r="BK5" s="1835"/>
      <c r="BL5" s="1835"/>
      <c r="BM5" s="1835"/>
      <c r="BN5" s="1835"/>
      <c r="BO5" s="1835"/>
      <c r="BP5" s="1836"/>
      <c r="BQ5" s="1834" t="s">
        <v>1833</v>
      </c>
      <c r="BR5" s="1835"/>
      <c r="BS5" s="1835"/>
      <c r="BT5" s="1835"/>
      <c r="BU5" s="1835"/>
      <c r="BV5" s="1835"/>
      <c r="BW5" s="1835"/>
      <c r="BX5" s="1835"/>
      <c r="BY5" s="1835"/>
      <c r="BZ5" s="1835"/>
      <c r="CA5" s="1836"/>
      <c r="CB5" s="1834" t="s">
        <v>1861</v>
      </c>
      <c r="CC5" s="1835"/>
      <c r="CD5" s="1835"/>
      <c r="CE5" s="1835"/>
      <c r="CF5" s="1835"/>
      <c r="CG5" s="1835"/>
      <c r="CH5" s="1835"/>
      <c r="CI5" s="1835"/>
      <c r="CJ5" s="1835"/>
      <c r="CK5" s="1835"/>
      <c r="CL5" s="1836"/>
      <c r="CM5" s="1844" t="s">
        <v>1862</v>
      </c>
      <c r="CN5" s="1845"/>
      <c r="CO5" s="1845"/>
      <c r="CP5" s="1845"/>
      <c r="CQ5" s="1845"/>
      <c r="CR5" s="1845"/>
      <c r="CS5" s="1845"/>
      <c r="CT5" s="1845"/>
      <c r="CU5" s="1845"/>
      <c r="CV5" s="1845"/>
      <c r="CW5" s="1845"/>
      <c r="CX5" s="1834" t="s">
        <v>1830</v>
      </c>
      <c r="CY5" s="1835"/>
      <c r="CZ5" s="1835"/>
      <c r="DA5" s="1835"/>
      <c r="DB5" s="1835"/>
      <c r="DC5" s="1835"/>
      <c r="DD5" s="1835"/>
      <c r="DE5" s="1835"/>
      <c r="DF5" s="1835"/>
      <c r="DG5" s="1835"/>
      <c r="DH5" s="1835"/>
      <c r="DI5" s="1846" t="s">
        <v>1831</v>
      </c>
      <c r="DJ5" s="1846"/>
      <c r="DK5" s="1846"/>
      <c r="DL5" s="1846"/>
      <c r="DM5" s="1846"/>
      <c r="DN5" s="1846"/>
      <c r="DO5" s="1846"/>
      <c r="DP5" s="1846"/>
      <c r="DQ5" s="1846"/>
      <c r="DR5" s="1846"/>
      <c r="DS5" s="1846"/>
      <c r="DT5" s="1844" t="s">
        <v>1863</v>
      </c>
      <c r="DU5" s="1845"/>
      <c r="DV5" s="1845"/>
      <c r="DW5" s="1845"/>
      <c r="DX5" s="1845"/>
      <c r="DY5" s="1845"/>
      <c r="DZ5" s="1845"/>
      <c r="EA5" s="1845"/>
      <c r="EB5" s="1845"/>
      <c r="EC5" s="1845"/>
      <c r="ED5" s="1845"/>
      <c r="EE5" s="1834" t="s">
        <v>1864</v>
      </c>
      <c r="EF5" s="1835"/>
      <c r="EG5" s="1835"/>
      <c r="EH5" s="1835"/>
      <c r="EI5" s="1835"/>
      <c r="EJ5" s="1835"/>
      <c r="EK5" s="1835"/>
      <c r="EL5" s="1835"/>
      <c r="EM5" s="1835"/>
      <c r="EN5" s="1835"/>
      <c r="EO5" s="1835"/>
      <c r="EP5" s="1846" t="s">
        <v>1865</v>
      </c>
      <c r="EQ5" s="1846"/>
      <c r="ER5" s="1846"/>
      <c r="ES5" s="1846"/>
      <c r="ET5" s="1846"/>
      <c r="EU5" s="1846"/>
      <c r="EV5" s="1846"/>
      <c r="EW5" s="1846"/>
      <c r="EX5" s="1846"/>
      <c r="EY5" s="1846"/>
      <c r="EZ5" s="1846"/>
    </row>
    <row r="6" spans="1:156" s="31" customFormat="1" ht="15" customHeight="1">
      <c r="A6" s="1859"/>
      <c r="B6" s="1859"/>
      <c r="C6" s="1837" t="s">
        <v>63</v>
      </c>
      <c r="D6" s="1834" t="s">
        <v>64</v>
      </c>
      <c r="E6" s="1835"/>
      <c r="F6" s="1835"/>
      <c r="G6" s="1835"/>
      <c r="H6" s="1835"/>
      <c r="I6" s="1835"/>
      <c r="J6" s="1835"/>
      <c r="K6" s="1835"/>
      <c r="L6" s="1835"/>
      <c r="M6" s="1836"/>
      <c r="N6" s="1837" t="s">
        <v>63</v>
      </c>
      <c r="O6" s="1834" t="s">
        <v>64</v>
      </c>
      <c r="P6" s="1835"/>
      <c r="Q6" s="1835"/>
      <c r="R6" s="1835"/>
      <c r="S6" s="1835"/>
      <c r="T6" s="1835"/>
      <c r="U6" s="1835"/>
      <c r="V6" s="1835"/>
      <c r="W6" s="1835"/>
      <c r="X6" s="1836"/>
      <c r="Y6" s="1837" t="s">
        <v>63</v>
      </c>
      <c r="Z6" s="1834" t="s">
        <v>64</v>
      </c>
      <c r="AA6" s="1835"/>
      <c r="AB6" s="1835"/>
      <c r="AC6" s="1835"/>
      <c r="AD6" s="1835"/>
      <c r="AE6" s="1835"/>
      <c r="AF6" s="1835"/>
      <c r="AG6" s="1835"/>
      <c r="AH6" s="1835"/>
      <c r="AI6" s="1836"/>
      <c r="AJ6" s="1837" t="s">
        <v>63</v>
      </c>
      <c r="AK6" s="1834" t="s">
        <v>64</v>
      </c>
      <c r="AL6" s="1835"/>
      <c r="AM6" s="1835"/>
      <c r="AN6" s="1835"/>
      <c r="AO6" s="1835"/>
      <c r="AP6" s="1835"/>
      <c r="AQ6" s="1835"/>
      <c r="AR6" s="1835"/>
      <c r="AS6" s="1835"/>
      <c r="AT6" s="1836"/>
      <c r="AU6" s="1837" t="s">
        <v>63</v>
      </c>
      <c r="AV6" s="1834" t="s">
        <v>64</v>
      </c>
      <c r="AW6" s="1835"/>
      <c r="AX6" s="1835"/>
      <c r="AY6" s="1835"/>
      <c r="AZ6" s="1835"/>
      <c r="BA6" s="1835"/>
      <c r="BB6" s="1835"/>
      <c r="BC6" s="1835"/>
      <c r="BD6" s="1835"/>
      <c r="BE6" s="1836"/>
      <c r="BF6" s="1837" t="s">
        <v>63</v>
      </c>
      <c r="BG6" s="1834" t="s">
        <v>64</v>
      </c>
      <c r="BH6" s="1835"/>
      <c r="BI6" s="1835"/>
      <c r="BJ6" s="1835"/>
      <c r="BK6" s="1835"/>
      <c r="BL6" s="1835"/>
      <c r="BM6" s="1835"/>
      <c r="BN6" s="1835"/>
      <c r="BO6" s="1835"/>
      <c r="BP6" s="1836"/>
      <c r="BQ6" s="1837" t="s">
        <v>63</v>
      </c>
      <c r="BR6" s="1834" t="s">
        <v>64</v>
      </c>
      <c r="BS6" s="1835"/>
      <c r="BT6" s="1835"/>
      <c r="BU6" s="1835"/>
      <c r="BV6" s="1835"/>
      <c r="BW6" s="1835"/>
      <c r="BX6" s="1835"/>
      <c r="BY6" s="1835"/>
      <c r="BZ6" s="1835"/>
      <c r="CA6" s="1836"/>
      <c r="CB6" s="1837" t="s">
        <v>63</v>
      </c>
      <c r="CC6" s="1834" t="s">
        <v>64</v>
      </c>
      <c r="CD6" s="1835"/>
      <c r="CE6" s="1835"/>
      <c r="CF6" s="1835"/>
      <c r="CG6" s="1835"/>
      <c r="CH6" s="1835"/>
      <c r="CI6" s="1835"/>
      <c r="CJ6" s="1835"/>
      <c r="CK6" s="1835"/>
      <c r="CL6" s="1836"/>
      <c r="CM6" s="1851" t="s">
        <v>63</v>
      </c>
      <c r="CN6" s="1844" t="s">
        <v>64</v>
      </c>
      <c r="CO6" s="1845"/>
      <c r="CP6" s="1845"/>
      <c r="CQ6" s="1845"/>
      <c r="CR6" s="1845"/>
      <c r="CS6" s="1845"/>
      <c r="CT6" s="1845"/>
      <c r="CU6" s="1845"/>
      <c r="CV6" s="1845"/>
      <c r="CW6" s="1845"/>
      <c r="CX6" s="1837" t="s">
        <v>63</v>
      </c>
      <c r="CY6" s="1834" t="s">
        <v>64</v>
      </c>
      <c r="CZ6" s="1835"/>
      <c r="DA6" s="1835"/>
      <c r="DB6" s="1835"/>
      <c r="DC6" s="1835"/>
      <c r="DD6" s="1835"/>
      <c r="DE6" s="1835"/>
      <c r="DF6" s="1835"/>
      <c r="DG6" s="1835"/>
      <c r="DH6" s="1835"/>
      <c r="DI6" s="1846" t="s">
        <v>63</v>
      </c>
      <c r="DJ6" s="1846" t="s">
        <v>64</v>
      </c>
      <c r="DK6" s="1846"/>
      <c r="DL6" s="1846"/>
      <c r="DM6" s="1846"/>
      <c r="DN6" s="1846"/>
      <c r="DO6" s="1846"/>
      <c r="DP6" s="1846"/>
      <c r="DQ6" s="1846"/>
      <c r="DR6" s="1846"/>
      <c r="DS6" s="1846"/>
      <c r="DT6" s="1851" t="s">
        <v>63</v>
      </c>
      <c r="DU6" s="1844" t="s">
        <v>64</v>
      </c>
      <c r="DV6" s="1845"/>
      <c r="DW6" s="1845"/>
      <c r="DX6" s="1845"/>
      <c r="DY6" s="1845"/>
      <c r="DZ6" s="1845"/>
      <c r="EA6" s="1845"/>
      <c r="EB6" s="1845"/>
      <c r="EC6" s="1845"/>
      <c r="ED6" s="1845"/>
      <c r="EE6" s="1837" t="s">
        <v>63</v>
      </c>
      <c r="EF6" s="1834" t="s">
        <v>64</v>
      </c>
      <c r="EG6" s="1835"/>
      <c r="EH6" s="1835"/>
      <c r="EI6" s="1835"/>
      <c r="EJ6" s="1835"/>
      <c r="EK6" s="1835"/>
      <c r="EL6" s="1835"/>
      <c r="EM6" s="1835"/>
      <c r="EN6" s="1835"/>
      <c r="EO6" s="1835"/>
      <c r="EP6" s="1846" t="s">
        <v>63</v>
      </c>
      <c r="EQ6" s="1846" t="s">
        <v>64</v>
      </c>
      <c r="ER6" s="1846"/>
      <c r="ES6" s="1846"/>
      <c r="ET6" s="1846"/>
      <c r="EU6" s="1846"/>
      <c r="EV6" s="1846"/>
      <c r="EW6" s="1846"/>
      <c r="EX6" s="1846"/>
      <c r="EY6" s="1846"/>
      <c r="EZ6" s="1846"/>
    </row>
    <row r="7" spans="1:156" s="31" customFormat="1" ht="15" customHeight="1">
      <c r="A7" s="1859"/>
      <c r="B7" s="1859"/>
      <c r="C7" s="1838"/>
      <c r="D7" s="1840" t="s">
        <v>65</v>
      </c>
      <c r="E7" s="1834" t="s">
        <v>64</v>
      </c>
      <c r="F7" s="1835"/>
      <c r="G7" s="1835"/>
      <c r="H7" s="1840" t="s">
        <v>66</v>
      </c>
      <c r="I7" s="1834" t="s">
        <v>64</v>
      </c>
      <c r="J7" s="1835"/>
      <c r="K7" s="1835"/>
      <c r="L7" s="1835"/>
      <c r="M7" s="1836"/>
      <c r="N7" s="1838"/>
      <c r="O7" s="1840" t="s">
        <v>65</v>
      </c>
      <c r="P7" s="1834" t="s">
        <v>64</v>
      </c>
      <c r="Q7" s="1835"/>
      <c r="R7" s="1835"/>
      <c r="S7" s="1840" t="s">
        <v>66</v>
      </c>
      <c r="T7" s="1834" t="s">
        <v>64</v>
      </c>
      <c r="U7" s="1835"/>
      <c r="V7" s="1835"/>
      <c r="W7" s="1835"/>
      <c r="X7" s="1836"/>
      <c r="Y7" s="1838"/>
      <c r="Z7" s="1840" t="s">
        <v>65</v>
      </c>
      <c r="AA7" s="1834" t="s">
        <v>64</v>
      </c>
      <c r="AB7" s="1835"/>
      <c r="AC7" s="1835"/>
      <c r="AD7" s="1840" t="s">
        <v>66</v>
      </c>
      <c r="AE7" s="1834" t="s">
        <v>64</v>
      </c>
      <c r="AF7" s="1835"/>
      <c r="AG7" s="1835"/>
      <c r="AH7" s="1835"/>
      <c r="AI7" s="1836"/>
      <c r="AJ7" s="1838"/>
      <c r="AK7" s="1840" t="s">
        <v>65</v>
      </c>
      <c r="AL7" s="1834" t="s">
        <v>64</v>
      </c>
      <c r="AM7" s="1835"/>
      <c r="AN7" s="1835"/>
      <c r="AO7" s="1840" t="s">
        <v>66</v>
      </c>
      <c r="AP7" s="1834" t="s">
        <v>64</v>
      </c>
      <c r="AQ7" s="1835"/>
      <c r="AR7" s="1835"/>
      <c r="AS7" s="1835"/>
      <c r="AT7" s="1836"/>
      <c r="AU7" s="1838"/>
      <c r="AV7" s="1840" t="s">
        <v>65</v>
      </c>
      <c r="AW7" s="1834" t="s">
        <v>64</v>
      </c>
      <c r="AX7" s="1835"/>
      <c r="AY7" s="1835"/>
      <c r="AZ7" s="1840" t="s">
        <v>66</v>
      </c>
      <c r="BA7" s="1834" t="s">
        <v>64</v>
      </c>
      <c r="BB7" s="1835"/>
      <c r="BC7" s="1835"/>
      <c r="BD7" s="1835"/>
      <c r="BE7" s="1836"/>
      <c r="BF7" s="1838"/>
      <c r="BG7" s="1840" t="s">
        <v>65</v>
      </c>
      <c r="BH7" s="1834" t="s">
        <v>64</v>
      </c>
      <c r="BI7" s="1835"/>
      <c r="BJ7" s="1835"/>
      <c r="BK7" s="1840" t="s">
        <v>66</v>
      </c>
      <c r="BL7" s="1834" t="s">
        <v>64</v>
      </c>
      <c r="BM7" s="1835"/>
      <c r="BN7" s="1835"/>
      <c r="BO7" s="1835"/>
      <c r="BP7" s="1836"/>
      <c r="BQ7" s="1838"/>
      <c r="BR7" s="1840" t="s">
        <v>65</v>
      </c>
      <c r="BS7" s="1834" t="s">
        <v>64</v>
      </c>
      <c r="BT7" s="1835"/>
      <c r="BU7" s="1835"/>
      <c r="BV7" s="1840" t="s">
        <v>66</v>
      </c>
      <c r="BW7" s="1834" t="s">
        <v>64</v>
      </c>
      <c r="BX7" s="1835"/>
      <c r="BY7" s="1835"/>
      <c r="BZ7" s="1835"/>
      <c r="CA7" s="1836"/>
      <c r="CB7" s="1838"/>
      <c r="CC7" s="1840" t="s">
        <v>65</v>
      </c>
      <c r="CD7" s="1834" t="s">
        <v>64</v>
      </c>
      <c r="CE7" s="1835"/>
      <c r="CF7" s="1835"/>
      <c r="CG7" s="1840" t="s">
        <v>66</v>
      </c>
      <c r="CH7" s="1834" t="s">
        <v>64</v>
      </c>
      <c r="CI7" s="1835"/>
      <c r="CJ7" s="1835"/>
      <c r="CK7" s="1835"/>
      <c r="CL7" s="1836"/>
      <c r="CM7" s="1852"/>
      <c r="CN7" s="1854" t="s">
        <v>65</v>
      </c>
      <c r="CO7" s="1834" t="s">
        <v>64</v>
      </c>
      <c r="CP7" s="1835"/>
      <c r="CQ7" s="1835"/>
      <c r="CR7" s="1856" t="s">
        <v>66</v>
      </c>
      <c r="CS7" s="1844" t="s">
        <v>64</v>
      </c>
      <c r="CT7" s="1845"/>
      <c r="CU7" s="1845"/>
      <c r="CV7" s="1845"/>
      <c r="CW7" s="1845"/>
      <c r="CX7" s="1838"/>
      <c r="CY7" s="1840" t="s">
        <v>65</v>
      </c>
      <c r="CZ7" s="1834" t="s">
        <v>64</v>
      </c>
      <c r="DA7" s="1835"/>
      <c r="DB7" s="1835"/>
      <c r="DC7" s="1847" t="s">
        <v>66</v>
      </c>
      <c r="DD7" s="1834" t="s">
        <v>64</v>
      </c>
      <c r="DE7" s="1835"/>
      <c r="DF7" s="1835"/>
      <c r="DG7" s="1835"/>
      <c r="DH7" s="1835"/>
      <c r="DI7" s="1846"/>
      <c r="DJ7" s="1849" t="s">
        <v>65</v>
      </c>
      <c r="DK7" s="1834" t="s">
        <v>64</v>
      </c>
      <c r="DL7" s="1835"/>
      <c r="DM7" s="1835"/>
      <c r="DN7" s="1850" t="s">
        <v>66</v>
      </c>
      <c r="DO7" s="1846" t="s">
        <v>64</v>
      </c>
      <c r="DP7" s="1846"/>
      <c r="DQ7" s="1846"/>
      <c r="DR7" s="1846"/>
      <c r="DS7" s="1846"/>
      <c r="DT7" s="1852"/>
      <c r="DU7" s="1854" t="s">
        <v>65</v>
      </c>
      <c r="DV7" s="1834" t="s">
        <v>64</v>
      </c>
      <c r="DW7" s="1835"/>
      <c r="DX7" s="1835"/>
      <c r="DY7" s="1856" t="s">
        <v>66</v>
      </c>
      <c r="DZ7" s="1844" t="s">
        <v>64</v>
      </c>
      <c r="EA7" s="1845"/>
      <c r="EB7" s="1845"/>
      <c r="EC7" s="1845"/>
      <c r="ED7" s="1845"/>
      <c r="EE7" s="1838"/>
      <c r="EF7" s="1840" t="s">
        <v>65</v>
      </c>
      <c r="EG7" s="1834" t="s">
        <v>64</v>
      </c>
      <c r="EH7" s="1835"/>
      <c r="EI7" s="1835"/>
      <c r="EJ7" s="1847" t="s">
        <v>66</v>
      </c>
      <c r="EK7" s="1834" t="s">
        <v>64</v>
      </c>
      <c r="EL7" s="1835"/>
      <c r="EM7" s="1835"/>
      <c r="EN7" s="1835"/>
      <c r="EO7" s="1835"/>
      <c r="EP7" s="1846"/>
      <c r="EQ7" s="1849" t="s">
        <v>65</v>
      </c>
      <c r="ER7" s="1834" t="s">
        <v>64</v>
      </c>
      <c r="ES7" s="1835"/>
      <c r="ET7" s="1835"/>
      <c r="EU7" s="1850" t="s">
        <v>66</v>
      </c>
      <c r="EV7" s="1846" t="s">
        <v>64</v>
      </c>
      <c r="EW7" s="1846"/>
      <c r="EX7" s="1846"/>
      <c r="EY7" s="1846"/>
      <c r="EZ7" s="1846"/>
    </row>
    <row r="8" spans="1:156" s="31" customFormat="1" ht="84.75" customHeight="1">
      <c r="A8" s="1860"/>
      <c r="B8" s="1860"/>
      <c r="C8" s="1839"/>
      <c r="D8" s="1841"/>
      <c r="E8" s="1380" t="s">
        <v>1697</v>
      </c>
      <c r="F8" s="1380" t="s">
        <v>1512</v>
      </c>
      <c r="G8" s="1380" t="s">
        <v>1513</v>
      </c>
      <c r="H8" s="1841"/>
      <c r="I8" s="277" t="s">
        <v>942</v>
      </c>
      <c r="J8" s="284" t="s">
        <v>67</v>
      </c>
      <c r="K8" s="277" t="s">
        <v>940</v>
      </c>
      <c r="L8" s="277" t="s">
        <v>941</v>
      </c>
      <c r="M8" s="277" t="s">
        <v>68</v>
      </c>
      <c r="N8" s="1839"/>
      <c r="O8" s="1841"/>
      <c r="P8" s="1380" t="s">
        <v>1697</v>
      </c>
      <c r="Q8" s="1380" t="s">
        <v>1512</v>
      </c>
      <c r="R8" s="1380" t="s">
        <v>1513</v>
      </c>
      <c r="S8" s="1841"/>
      <c r="T8" s="277" t="s">
        <v>942</v>
      </c>
      <c r="U8" s="284" t="s">
        <v>67</v>
      </c>
      <c r="V8" s="277" t="s">
        <v>940</v>
      </c>
      <c r="W8" s="277" t="s">
        <v>941</v>
      </c>
      <c r="X8" s="277" t="s">
        <v>68</v>
      </c>
      <c r="Y8" s="1839"/>
      <c r="Z8" s="1841"/>
      <c r="AA8" s="1380" t="s">
        <v>1697</v>
      </c>
      <c r="AB8" s="1380" t="s">
        <v>1512</v>
      </c>
      <c r="AC8" s="1380" t="s">
        <v>1513</v>
      </c>
      <c r="AD8" s="1841"/>
      <c r="AE8" s="277" t="s">
        <v>942</v>
      </c>
      <c r="AF8" s="284" t="s">
        <v>67</v>
      </c>
      <c r="AG8" s="277" t="s">
        <v>940</v>
      </c>
      <c r="AH8" s="277" t="s">
        <v>941</v>
      </c>
      <c r="AI8" s="277" t="s">
        <v>68</v>
      </c>
      <c r="AJ8" s="1839"/>
      <c r="AK8" s="1841"/>
      <c r="AL8" s="1380" t="s">
        <v>1697</v>
      </c>
      <c r="AM8" s="1380" t="s">
        <v>1512</v>
      </c>
      <c r="AN8" s="1380" t="s">
        <v>1513</v>
      </c>
      <c r="AO8" s="1841"/>
      <c r="AP8" s="277" t="s">
        <v>942</v>
      </c>
      <c r="AQ8" s="284" t="s">
        <v>67</v>
      </c>
      <c r="AR8" s="277" t="s">
        <v>940</v>
      </c>
      <c r="AS8" s="277" t="s">
        <v>941</v>
      </c>
      <c r="AT8" s="277" t="s">
        <v>68</v>
      </c>
      <c r="AU8" s="1839"/>
      <c r="AV8" s="1841"/>
      <c r="AW8" s="1380" t="s">
        <v>1697</v>
      </c>
      <c r="AX8" s="1380" t="s">
        <v>1512</v>
      </c>
      <c r="AY8" s="1380" t="s">
        <v>1513</v>
      </c>
      <c r="AZ8" s="1841"/>
      <c r="BA8" s="277" t="s">
        <v>942</v>
      </c>
      <c r="BB8" s="284" t="s">
        <v>67</v>
      </c>
      <c r="BC8" s="277" t="s">
        <v>940</v>
      </c>
      <c r="BD8" s="277" t="s">
        <v>941</v>
      </c>
      <c r="BE8" s="277" t="s">
        <v>68</v>
      </c>
      <c r="BF8" s="1839"/>
      <c r="BG8" s="1841"/>
      <c r="BH8" s="1380" t="s">
        <v>1697</v>
      </c>
      <c r="BI8" s="1380" t="s">
        <v>1512</v>
      </c>
      <c r="BJ8" s="1380" t="s">
        <v>1513</v>
      </c>
      <c r="BK8" s="1841"/>
      <c r="BL8" s="277" t="s">
        <v>942</v>
      </c>
      <c r="BM8" s="284" t="s">
        <v>67</v>
      </c>
      <c r="BN8" s="277" t="s">
        <v>940</v>
      </c>
      <c r="BO8" s="277" t="s">
        <v>941</v>
      </c>
      <c r="BP8" s="277" t="s">
        <v>68</v>
      </c>
      <c r="BQ8" s="1839"/>
      <c r="BR8" s="1841"/>
      <c r="BS8" s="1573" t="s">
        <v>1697</v>
      </c>
      <c r="BT8" s="1573" t="s">
        <v>1512</v>
      </c>
      <c r="BU8" s="1573" t="s">
        <v>1513</v>
      </c>
      <c r="BV8" s="1841"/>
      <c r="BW8" s="277" t="s">
        <v>942</v>
      </c>
      <c r="BX8" s="284" t="s">
        <v>67</v>
      </c>
      <c r="BY8" s="277" t="s">
        <v>940</v>
      </c>
      <c r="BZ8" s="277" t="s">
        <v>941</v>
      </c>
      <c r="CA8" s="277" t="s">
        <v>68</v>
      </c>
      <c r="CB8" s="1839"/>
      <c r="CC8" s="1841"/>
      <c r="CD8" s="1573" t="s">
        <v>1697</v>
      </c>
      <c r="CE8" s="1573" t="s">
        <v>1512</v>
      </c>
      <c r="CF8" s="1573" t="s">
        <v>1513</v>
      </c>
      <c r="CG8" s="1841"/>
      <c r="CH8" s="277" t="s">
        <v>942</v>
      </c>
      <c r="CI8" s="284" t="s">
        <v>67</v>
      </c>
      <c r="CJ8" s="277" t="s">
        <v>940</v>
      </c>
      <c r="CK8" s="277" t="s">
        <v>941</v>
      </c>
      <c r="CL8" s="277" t="s">
        <v>68</v>
      </c>
      <c r="CM8" s="1853"/>
      <c r="CN8" s="1855"/>
      <c r="CO8" s="1380" t="s">
        <v>1697</v>
      </c>
      <c r="CP8" s="1380" t="s">
        <v>1512</v>
      </c>
      <c r="CQ8" s="1380" t="s">
        <v>1513</v>
      </c>
      <c r="CR8" s="1857"/>
      <c r="CS8" s="302" t="s">
        <v>942</v>
      </c>
      <c r="CT8" s="303" t="s">
        <v>67</v>
      </c>
      <c r="CU8" s="302" t="s">
        <v>940</v>
      </c>
      <c r="CV8" s="302" t="s">
        <v>941</v>
      </c>
      <c r="CW8" s="302" t="s">
        <v>68</v>
      </c>
      <c r="CX8" s="1839"/>
      <c r="CY8" s="1841"/>
      <c r="CZ8" s="1380" t="s">
        <v>1697</v>
      </c>
      <c r="DA8" s="1380" t="s">
        <v>1512</v>
      </c>
      <c r="DB8" s="1380" t="s">
        <v>1513</v>
      </c>
      <c r="DC8" s="1848"/>
      <c r="DD8" s="277" t="s">
        <v>942</v>
      </c>
      <c r="DE8" s="284" t="s">
        <v>67</v>
      </c>
      <c r="DF8" s="277" t="s">
        <v>940</v>
      </c>
      <c r="DG8" s="277" t="s">
        <v>941</v>
      </c>
      <c r="DH8" s="277" t="s">
        <v>68</v>
      </c>
      <c r="DI8" s="1846"/>
      <c r="DJ8" s="1849"/>
      <c r="DK8" s="1380" t="s">
        <v>1697</v>
      </c>
      <c r="DL8" s="1380" t="s">
        <v>1512</v>
      </c>
      <c r="DM8" s="1380" t="s">
        <v>1513</v>
      </c>
      <c r="DN8" s="1850"/>
      <c r="DO8" s="278" t="s">
        <v>942</v>
      </c>
      <c r="DP8" s="65" t="s">
        <v>67</v>
      </c>
      <c r="DQ8" s="278" t="s">
        <v>940</v>
      </c>
      <c r="DR8" s="278" t="s">
        <v>941</v>
      </c>
      <c r="DS8" s="278" t="s">
        <v>68</v>
      </c>
      <c r="DT8" s="1853"/>
      <c r="DU8" s="1855"/>
      <c r="DV8" s="1624" t="s">
        <v>1697</v>
      </c>
      <c r="DW8" s="1624" t="s">
        <v>1512</v>
      </c>
      <c r="DX8" s="1624" t="s">
        <v>1513</v>
      </c>
      <c r="DY8" s="1857"/>
      <c r="DZ8" s="302" t="s">
        <v>942</v>
      </c>
      <c r="EA8" s="303" t="s">
        <v>67</v>
      </c>
      <c r="EB8" s="302" t="s">
        <v>940</v>
      </c>
      <c r="EC8" s="302" t="s">
        <v>941</v>
      </c>
      <c r="ED8" s="302" t="s">
        <v>68</v>
      </c>
      <c r="EE8" s="1839"/>
      <c r="EF8" s="1841"/>
      <c r="EG8" s="1624" t="s">
        <v>1697</v>
      </c>
      <c r="EH8" s="1624" t="s">
        <v>1512</v>
      </c>
      <c r="EI8" s="1624" t="s">
        <v>1513</v>
      </c>
      <c r="EJ8" s="1848"/>
      <c r="EK8" s="277" t="s">
        <v>942</v>
      </c>
      <c r="EL8" s="284" t="s">
        <v>67</v>
      </c>
      <c r="EM8" s="277" t="s">
        <v>940</v>
      </c>
      <c r="EN8" s="277" t="s">
        <v>941</v>
      </c>
      <c r="EO8" s="277" t="s">
        <v>68</v>
      </c>
      <c r="EP8" s="1846"/>
      <c r="EQ8" s="1849"/>
      <c r="ER8" s="1624" t="s">
        <v>1697</v>
      </c>
      <c r="ES8" s="1624" t="s">
        <v>1512</v>
      </c>
      <c r="ET8" s="1624" t="s">
        <v>1513</v>
      </c>
      <c r="EU8" s="1850"/>
      <c r="EV8" s="278" t="s">
        <v>942</v>
      </c>
      <c r="EW8" s="1620" t="s">
        <v>67</v>
      </c>
      <c r="EX8" s="278" t="s">
        <v>940</v>
      </c>
      <c r="EY8" s="278" t="s">
        <v>941</v>
      </c>
      <c r="EZ8" s="278" t="s">
        <v>68</v>
      </c>
    </row>
    <row r="9" spans="1:156" s="48" customFormat="1" ht="15">
      <c r="A9" s="13">
        <v>1</v>
      </c>
      <c r="B9" s="13">
        <v>2</v>
      </c>
      <c r="C9" s="33">
        <v>3</v>
      </c>
      <c r="D9" s="33">
        <v>4</v>
      </c>
      <c r="E9" s="33"/>
      <c r="F9" s="33"/>
      <c r="G9" s="33"/>
      <c r="H9" s="33">
        <v>5</v>
      </c>
      <c r="I9" s="33">
        <v>6</v>
      </c>
      <c r="J9" s="33">
        <v>7</v>
      </c>
      <c r="K9" s="33">
        <v>8</v>
      </c>
      <c r="L9" s="33">
        <v>9</v>
      </c>
      <c r="M9" s="33">
        <v>10</v>
      </c>
      <c r="N9" s="281">
        <v>11</v>
      </c>
      <c r="O9" s="281">
        <v>12</v>
      </c>
      <c r="P9" s="281"/>
      <c r="Q9" s="281"/>
      <c r="R9" s="281"/>
      <c r="S9" s="281">
        <v>13</v>
      </c>
      <c r="T9" s="281">
        <v>14</v>
      </c>
      <c r="U9" s="281">
        <v>15</v>
      </c>
      <c r="V9" s="281">
        <v>16</v>
      </c>
      <c r="W9" s="281">
        <v>17</v>
      </c>
      <c r="X9" s="281">
        <v>18</v>
      </c>
      <c r="Y9" s="281">
        <v>3</v>
      </c>
      <c r="Z9" s="281">
        <v>4</v>
      </c>
      <c r="AA9" s="281"/>
      <c r="AB9" s="281"/>
      <c r="AC9" s="281"/>
      <c r="AD9" s="281">
        <v>5</v>
      </c>
      <c r="AE9" s="281">
        <v>6</v>
      </c>
      <c r="AF9" s="281">
        <v>7</v>
      </c>
      <c r="AG9" s="281">
        <v>8</v>
      </c>
      <c r="AH9" s="281">
        <v>9</v>
      </c>
      <c r="AI9" s="281">
        <v>10</v>
      </c>
      <c r="AJ9" s="281">
        <v>11</v>
      </c>
      <c r="AK9" s="281">
        <v>12</v>
      </c>
      <c r="AL9" s="281">
        <v>13</v>
      </c>
      <c r="AM9" s="281">
        <v>14</v>
      </c>
      <c r="AN9" s="281">
        <v>15</v>
      </c>
      <c r="AO9" s="281">
        <v>16</v>
      </c>
      <c r="AP9" s="281">
        <v>17</v>
      </c>
      <c r="AQ9" s="281">
        <v>18</v>
      </c>
      <c r="AR9" s="281">
        <v>19</v>
      </c>
      <c r="AS9" s="281">
        <v>20</v>
      </c>
      <c r="AT9" s="281">
        <v>21</v>
      </c>
      <c r="AU9" s="281">
        <v>22</v>
      </c>
      <c r="AV9" s="281">
        <v>23</v>
      </c>
      <c r="AW9" s="281">
        <v>21</v>
      </c>
      <c r="AX9" s="281">
        <v>22</v>
      </c>
      <c r="AY9" s="281">
        <v>23</v>
      </c>
      <c r="AZ9" s="281">
        <v>24</v>
      </c>
      <c r="BA9" s="281">
        <v>25</v>
      </c>
      <c r="BB9" s="281">
        <v>26</v>
      </c>
      <c r="BC9" s="281">
        <v>27</v>
      </c>
      <c r="BD9" s="281">
        <v>28</v>
      </c>
      <c r="BE9" s="281">
        <v>29</v>
      </c>
      <c r="BF9" s="281">
        <v>30</v>
      </c>
      <c r="BG9" s="281">
        <v>31</v>
      </c>
      <c r="BH9" s="281">
        <v>32</v>
      </c>
      <c r="BI9" s="281">
        <v>33</v>
      </c>
      <c r="BJ9" s="281">
        <v>34</v>
      </c>
      <c r="BK9" s="281">
        <v>35</v>
      </c>
      <c r="BL9" s="281">
        <v>36</v>
      </c>
      <c r="BM9" s="281">
        <v>37</v>
      </c>
      <c r="BN9" s="281">
        <v>38</v>
      </c>
      <c r="BO9" s="281">
        <v>39</v>
      </c>
      <c r="BP9" s="281">
        <v>40</v>
      </c>
      <c r="BQ9" s="281">
        <v>41</v>
      </c>
      <c r="BR9" s="281">
        <v>42</v>
      </c>
      <c r="BS9" s="281">
        <v>40</v>
      </c>
      <c r="BT9" s="281">
        <v>41</v>
      </c>
      <c r="BU9" s="281">
        <v>42</v>
      </c>
      <c r="BV9" s="281">
        <v>43</v>
      </c>
      <c r="BW9" s="281">
        <v>44</v>
      </c>
      <c r="BX9" s="281">
        <v>45</v>
      </c>
      <c r="BY9" s="281">
        <v>46</v>
      </c>
      <c r="BZ9" s="281">
        <v>47</v>
      </c>
      <c r="CA9" s="281">
        <v>48</v>
      </c>
      <c r="CB9" s="281">
        <v>49</v>
      </c>
      <c r="CC9" s="281">
        <v>50</v>
      </c>
      <c r="CD9" s="281">
        <v>51</v>
      </c>
      <c r="CE9" s="281">
        <v>52</v>
      </c>
      <c r="CF9" s="281">
        <v>53</v>
      </c>
      <c r="CG9" s="281">
        <v>54</v>
      </c>
      <c r="CH9" s="281">
        <v>55</v>
      </c>
      <c r="CI9" s="281">
        <v>56</v>
      </c>
      <c r="CJ9" s="281">
        <v>57</v>
      </c>
      <c r="CK9" s="281">
        <v>58</v>
      </c>
      <c r="CL9" s="281">
        <v>59</v>
      </c>
      <c r="CM9" s="281">
        <v>60</v>
      </c>
      <c r="CN9" s="281">
        <v>61</v>
      </c>
      <c r="CO9" s="281">
        <v>62</v>
      </c>
      <c r="CP9" s="281">
        <v>63</v>
      </c>
      <c r="CQ9" s="281">
        <v>64</v>
      </c>
      <c r="CR9" s="281">
        <v>65</v>
      </c>
      <c r="CS9" s="281">
        <v>66</v>
      </c>
      <c r="CT9" s="281">
        <v>67</v>
      </c>
      <c r="CU9" s="281">
        <v>68</v>
      </c>
      <c r="CV9" s="281">
        <v>69</v>
      </c>
      <c r="CW9" s="281">
        <v>70</v>
      </c>
      <c r="CX9" s="281">
        <v>71</v>
      </c>
      <c r="CY9" s="281">
        <v>72</v>
      </c>
      <c r="CZ9" s="281">
        <v>73</v>
      </c>
      <c r="DA9" s="281">
        <v>74</v>
      </c>
      <c r="DB9" s="281">
        <v>75</v>
      </c>
      <c r="DC9" s="281">
        <v>76</v>
      </c>
      <c r="DD9" s="281">
        <v>77</v>
      </c>
      <c r="DE9" s="281">
        <v>78</v>
      </c>
      <c r="DF9" s="281">
        <v>79</v>
      </c>
      <c r="DG9" s="281">
        <v>80</v>
      </c>
      <c r="DH9" s="281">
        <v>81</v>
      </c>
      <c r="DI9" s="281">
        <v>82</v>
      </c>
      <c r="DJ9" s="281">
        <v>83</v>
      </c>
      <c r="DK9" s="281">
        <v>84</v>
      </c>
      <c r="DL9" s="281">
        <v>85</v>
      </c>
      <c r="DM9" s="281">
        <v>86</v>
      </c>
      <c r="DN9" s="281">
        <v>87</v>
      </c>
      <c r="DO9" s="281">
        <v>88</v>
      </c>
      <c r="DP9" s="281">
        <v>89</v>
      </c>
      <c r="DQ9" s="281">
        <v>90</v>
      </c>
      <c r="DR9" s="281">
        <v>91</v>
      </c>
      <c r="DS9" s="281">
        <v>92</v>
      </c>
      <c r="DT9" s="281">
        <v>93</v>
      </c>
      <c r="DU9" s="281">
        <v>94</v>
      </c>
      <c r="DV9" s="281">
        <v>95</v>
      </c>
      <c r="DW9" s="281">
        <v>96</v>
      </c>
      <c r="DX9" s="281">
        <v>97</v>
      </c>
      <c r="DY9" s="281">
        <v>98</v>
      </c>
      <c r="DZ9" s="281">
        <v>99</v>
      </c>
      <c r="EA9" s="281">
        <v>100</v>
      </c>
      <c r="EB9" s="281">
        <v>101</v>
      </c>
      <c r="EC9" s="281">
        <v>102</v>
      </c>
      <c r="ED9" s="281">
        <v>103</v>
      </c>
      <c r="EE9" s="281">
        <v>104</v>
      </c>
      <c r="EF9" s="281">
        <v>105</v>
      </c>
      <c r="EG9" s="281">
        <v>106</v>
      </c>
      <c r="EH9" s="281">
        <v>107</v>
      </c>
      <c r="EI9" s="281">
        <v>108</v>
      </c>
      <c r="EJ9" s="281">
        <v>109</v>
      </c>
      <c r="EK9" s="281">
        <v>110</v>
      </c>
      <c r="EL9" s="281">
        <v>111</v>
      </c>
      <c r="EM9" s="281">
        <v>112</v>
      </c>
      <c r="EN9" s="281">
        <v>113</v>
      </c>
      <c r="EO9" s="281">
        <v>114</v>
      </c>
      <c r="EP9" s="281">
        <v>115</v>
      </c>
      <c r="EQ9" s="281">
        <v>116</v>
      </c>
      <c r="ER9" s="281">
        <v>117</v>
      </c>
      <c r="ES9" s="281">
        <v>118</v>
      </c>
      <c r="ET9" s="281">
        <v>119</v>
      </c>
      <c r="EU9" s="281">
        <v>120</v>
      </c>
      <c r="EV9" s="281">
        <v>121</v>
      </c>
      <c r="EW9" s="281">
        <v>122</v>
      </c>
      <c r="EX9" s="281">
        <v>123</v>
      </c>
      <c r="EY9" s="281">
        <v>124</v>
      </c>
      <c r="EZ9" s="281">
        <v>125</v>
      </c>
    </row>
    <row r="10" spans="1:156" s="106" customFormat="1" ht="42.75">
      <c r="A10" s="110" t="s">
        <v>4</v>
      </c>
      <c r="B10" s="111" t="s">
        <v>69</v>
      </c>
      <c r="C10" s="286">
        <f>C12+C14+C15</f>
        <v>1763.519</v>
      </c>
      <c r="D10" s="286">
        <f t="shared" ref="D10:J10" si="0">D12+D14+D15</f>
        <v>1761.1369999999999</v>
      </c>
      <c r="E10" s="286"/>
      <c r="F10" s="286"/>
      <c r="G10" s="286"/>
      <c r="H10" s="286">
        <f t="shared" si="0"/>
        <v>2.3820000000000001</v>
      </c>
      <c r="I10" s="286"/>
      <c r="J10" s="286">
        <f t="shared" si="0"/>
        <v>2.3820000000000001</v>
      </c>
      <c r="K10" s="111"/>
      <c r="L10" s="111"/>
      <c r="M10" s="111"/>
      <c r="N10" s="286">
        <f>N12+N14+N15</f>
        <v>1751.6715000000002</v>
      </c>
      <c r="O10" s="286">
        <f t="shared" ref="O10:S10" si="1">O12+O14+O15</f>
        <v>1717.9465</v>
      </c>
      <c r="P10" s="286"/>
      <c r="Q10" s="286"/>
      <c r="R10" s="286"/>
      <c r="S10" s="286">
        <f t="shared" si="1"/>
        <v>33.725000000000001</v>
      </c>
      <c r="T10" s="286"/>
      <c r="U10" s="286">
        <f t="shared" ref="U10" si="2">U12+U14+U15</f>
        <v>33.725000000000001</v>
      </c>
      <c r="V10" s="286"/>
      <c r="W10" s="286"/>
      <c r="X10" s="286"/>
      <c r="Y10" s="286">
        <v>1757.5930000000001</v>
      </c>
      <c r="Z10" s="286">
        <v>1724.624</v>
      </c>
      <c r="AA10" s="286"/>
      <c r="AB10" s="286"/>
      <c r="AC10" s="286"/>
      <c r="AD10" s="286">
        <v>32.969000000000001</v>
      </c>
      <c r="AE10" s="286"/>
      <c r="AF10" s="286">
        <v>32.969000000000001</v>
      </c>
      <c r="AG10" s="286"/>
      <c r="AH10" s="286"/>
      <c r="AI10" s="286"/>
      <c r="AJ10" s="286">
        <v>1672.4161999999999</v>
      </c>
      <c r="AK10" s="286">
        <v>1639.2692</v>
      </c>
      <c r="AL10" s="286">
        <v>1130.8690000000001</v>
      </c>
      <c r="AM10" s="286">
        <v>8.3260000000000005</v>
      </c>
      <c r="AN10" s="286">
        <v>500.07399999999996</v>
      </c>
      <c r="AO10" s="286">
        <v>33.146999999999998</v>
      </c>
      <c r="AP10" s="286"/>
      <c r="AQ10" s="286">
        <v>33.146999999999998</v>
      </c>
      <c r="AR10" s="286"/>
      <c r="AS10" s="286"/>
      <c r="AT10" s="286"/>
      <c r="AU10" s="286">
        <v>1747.8139999999999</v>
      </c>
      <c r="AV10" s="286">
        <v>1713.116</v>
      </c>
      <c r="AW10" s="286"/>
      <c r="AX10" s="286"/>
      <c r="AY10" s="286"/>
      <c r="AZ10" s="286">
        <v>34.698</v>
      </c>
      <c r="BA10" s="286"/>
      <c r="BB10" s="286">
        <v>34.698</v>
      </c>
      <c r="BC10" s="286"/>
      <c r="BD10" s="286"/>
      <c r="BE10" s="286"/>
      <c r="BF10" s="286">
        <v>1598.1370000000002</v>
      </c>
      <c r="BG10" s="286">
        <v>1564.3480000000002</v>
      </c>
      <c r="BH10" s="286">
        <v>1564.3480000000002</v>
      </c>
      <c r="BI10" s="286">
        <v>0</v>
      </c>
      <c r="BJ10" s="286">
        <v>0</v>
      </c>
      <c r="BK10" s="286">
        <v>33.789000000000001</v>
      </c>
      <c r="BL10" s="286"/>
      <c r="BM10" s="286">
        <v>33.789000000000001</v>
      </c>
      <c r="BN10" s="286"/>
      <c r="BO10" s="286"/>
      <c r="BP10" s="286"/>
      <c r="BQ10" s="286">
        <v>1634.7360000000001</v>
      </c>
      <c r="BR10" s="286">
        <v>1601.2322550980064</v>
      </c>
      <c r="BS10" s="286">
        <v>1105.9542550980066</v>
      </c>
      <c r="BT10" s="286">
        <v>8.3260000000000005</v>
      </c>
      <c r="BU10" s="286">
        <v>486.95200000000011</v>
      </c>
      <c r="BV10" s="286">
        <v>33.503744901993528</v>
      </c>
      <c r="BW10" s="286"/>
      <c r="BX10" s="286">
        <v>33.503744901993528</v>
      </c>
      <c r="BY10" s="286"/>
      <c r="BZ10" s="286"/>
      <c r="CA10" s="286"/>
      <c r="CB10" s="286">
        <v>1620.3520000000001</v>
      </c>
      <c r="CC10" s="286">
        <v>1585.8899999999999</v>
      </c>
      <c r="CD10" s="286">
        <v>1585.8899999999999</v>
      </c>
      <c r="CE10" s="286">
        <v>0</v>
      </c>
      <c r="CF10" s="286">
        <v>0</v>
      </c>
      <c r="CG10" s="286">
        <v>34.461999999999996</v>
      </c>
      <c r="CH10" s="286"/>
      <c r="CI10" s="286">
        <v>34.461999999999996</v>
      </c>
      <c r="CJ10" s="286"/>
      <c r="CK10" s="286"/>
      <c r="CL10" s="286"/>
      <c r="CM10" s="286">
        <v>1621.348</v>
      </c>
      <c r="CN10" s="286">
        <v>1586.8859999999997</v>
      </c>
      <c r="CO10" s="286">
        <v>1586.8859999999997</v>
      </c>
      <c r="CP10" s="286">
        <v>0</v>
      </c>
      <c r="CQ10" s="286">
        <v>0</v>
      </c>
      <c r="CR10" s="286">
        <v>34.462000000000003</v>
      </c>
      <c r="CS10" s="286"/>
      <c r="CT10" s="286">
        <v>34.462000000000003</v>
      </c>
      <c r="CU10" s="304"/>
      <c r="CV10" s="304"/>
      <c r="CW10" s="304"/>
      <c r="CX10" s="286">
        <v>982.63400000000001</v>
      </c>
      <c r="CY10" s="286">
        <v>963.80399999999997</v>
      </c>
      <c r="CZ10" s="286">
        <v>963.80399999999997</v>
      </c>
      <c r="DA10" s="286">
        <v>0</v>
      </c>
      <c r="DB10" s="286">
        <v>0</v>
      </c>
      <c r="DC10" s="286">
        <v>18.830000000000002</v>
      </c>
      <c r="DD10" s="286"/>
      <c r="DE10" s="286">
        <v>18.830000000000002</v>
      </c>
      <c r="DF10" s="112"/>
      <c r="DG10" s="112"/>
      <c r="DH10" s="112"/>
      <c r="DI10" s="286">
        <v>638.71399999999994</v>
      </c>
      <c r="DJ10" s="286">
        <v>623.08199999999999</v>
      </c>
      <c r="DK10" s="286">
        <v>623.08199999999999</v>
      </c>
      <c r="DL10" s="286">
        <v>0</v>
      </c>
      <c r="DM10" s="286">
        <v>0</v>
      </c>
      <c r="DN10" s="286">
        <v>15.632000000000001</v>
      </c>
      <c r="DO10" s="286"/>
      <c r="DP10" s="286">
        <v>15.632000000000001</v>
      </c>
      <c r="DQ10" s="112"/>
      <c r="DR10" s="112"/>
      <c r="DS10" s="112"/>
      <c r="DT10" s="286">
        <v>1621.348</v>
      </c>
      <c r="DU10" s="286">
        <v>1586.8859999999997</v>
      </c>
      <c r="DV10" s="286">
        <v>1586.8859999999997</v>
      </c>
      <c r="DW10" s="286">
        <v>0</v>
      </c>
      <c r="DX10" s="286">
        <v>0</v>
      </c>
      <c r="DY10" s="286">
        <v>34.462000000000003</v>
      </c>
      <c r="DZ10" s="286"/>
      <c r="EA10" s="286">
        <v>34.462000000000003</v>
      </c>
      <c r="EB10" s="304"/>
      <c r="EC10" s="304"/>
      <c r="ED10" s="304"/>
      <c r="EE10" s="286">
        <v>982.63400000000001</v>
      </c>
      <c r="EF10" s="286">
        <v>963.80399999999997</v>
      </c>
      <c r="EG10" s="286">
        <v>963.80399999999997</v>
      </c>
      <c r="EH10" s="286">
        <v>0</v>
      </c>
      <c r="EI10" s="286">
        <v>0</v>
      </c>
      <c r="EJ10" s="286">
        <v>18.830000000000002</v>
      </c>
      <c r="EK10" s="286"/>
      <c r="EL10" s="286">
        <v>18.830000000000002</v>
      </c>
      <c r="EM10" s="112"/>
      <c r="EN10" s="112"/>
      <c r="EO10" s="112"/>
      <c r="EP10" s="286">
        <v>638.71399999999994</v>
      </c>
      <c r="EQ10" s="286">
        <v>623.08199999999999</v>
      </c>
      <c r="ER10" s="286">
        <v>623.08199999999999</v>
      </c>
      <c r="ES10" s="286">
        <v>0</v>
      </c>
      <c r="ET10" s="286">
        <v>0</v>
      </c>
      <c r="EU10" s="286">
        <v>15.632000000000001</v>
      </c>
      <c r="EV10" s="286"/>
      <c r="EW10" s="286">
        <v>15.632000000000001</v>
      </c>
      <c r="EX10" s="112"/>
      <c r="EY10" s="112"/>
      <c r="EZ10" s="112"/>
    </row>
    <row r="11" spans="1:156" ht="15" customHeight="1">
      <c r="A11" s="17"/>
      <c r="B11" s="16" t="s">
        <v>70</v>
      </c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283"/>
      <c r="W11" s="283"/>
      <c r="X11" s="283"/>
      <c r="Y11" s="16"/>
      <c r="Z11" s="16"/>
      <c r="AA11" s="16"/>
      <c r="AB11" s="16"/>
      <c r="AC11" s="16"/>
      <c r="AD11" s="16"/>
      <c r="AE11" s="16"/>
      <c r="AF11" s="16"/>
      <c r="AG11" s="283"/>
      <c r="AH11" s="283"/>
      <c r="AI11" s="283"/>
      <c r="AJ11" s="16"/>
      <c r="AK11" s="16"/>
      <c r="AL11" s="16"/>
      <c r="AM11" s="16"/>
      <c r="AN11" s="16"/>
      <c r="AO11" s="16"/>
      <c r="AP11" s="16"/>
      <c r="AQ11" s="16"/>
      <c r="AR11" s="283"/>
      <c r="AS11" s="283"/>
      <c r="AT11" s="283"/>
      <c r="AU11" s="16"/>
      <c r="AV11" s="16"/>
      <c r="AW11" s="16"/>
      <c r="AX11" s="16"/>
      <c r="AY11" s="16"/>
      <c r="AZ11" s="16"/>
      <c r="BA11" s="16"/>
      <c r="BB11" s="16"/>
      <c r="BC11" s="283"/>
      <c r="BD11" s="283"/>
      <c r="BE11" s="283"/>
      <c r="BF11" s="16"/>
      <c r="BG11" s="16"/>
      <c r="BH11" s="16"/>
      <c r="BI11" s="16"/>
      <c r="BJ11" s="16"/>
      <c r="BK11" s="16"/>
      <c r="BL11" s="16"/>
      <c r="BM11" s="16"/>
      <c r="BN11" s="283"/>
      <c r="BO11" s="283"/>
      <c r="BP11" s="283"/>
      <c r="BQ11" s="16"/>
      <c r="BR11" s="16"/>
      <c r="BS11" s="16"/>
      <c r="BT11" s="16"/>
      <c r="BU11" s="16"/>
      <c r="BV11" s="16"/>
      <c r="BW11" s="16"/>
      <c r="BX11" s="16"/>
      <c r="BY11" s="283"/>
      <c r="BZ11" s="283"/>
      <c r="CA11" s="283"/>
      <c r="CB11" s="16"/>
      <c r="CC11" s="16"/>
      <c r="CD11" s="16"/>
      <c r="CE11" s="16"/>
      <c r="CF11" s="16"/>
      <c r="CG11" s="16"/>
      <c r="CH11" s="16"/>
      <c r="CI11" s="16"/>
      <c r="CJ11" s="283"/>
      <c r="CK11" s="283"/>
      <c r="CL11" s="283"/>
      <c r="CM11" s="305"/>
      <c r="CN11" s="305"/>
      <c r="CO11" s="305"/>
      <c r="CP11" s="305"/>
      <c r="CQ11" s="305"/>
      <c r="CR11" s="306"/>
      <c r="CS11" s="305"/>
      <c r="CT11" s="305"/>
      <c r="CU11" s="305"/>
      <c r="CV11" s="305"/>
      <c r="CW11" s="305"/>
      <c r="CX11" s="16"/>
      <c r="CY11" s="16"/>
      <c r="CZ11" s="16"/>
      <c r="DA11" s="16"/>
      <c r="DB11" s="16"/>
      <c r="DC11" s="16"/>
      <c r="DD11" s="16"/>
      <c r="DE11" s="16"/>
      <c r="DF11" s="50"/>
      <c r="DG11" s="50"/>
      <c r="DH11" s="50"/>
      <c r="DI11" s="16"/>
      <c r="DJ11" s="16"/>
      <c r="DK11" s="16"/>
      <c r="DL11" s="16"/>
      <c r="DM11" s="16"/>
      <c r="DN11" s="16"/>
      <c r="DO11" s="16"/>
      <c r="DP11" s="16"/>
      <c r="DQ11" s="50"/>
      <c r="DR11" s="50"/>
      <c r="DS11" s="50"/>
      <c r="DT11" s="305"/>
      <c r="DU11" s="305"/>
      <c r="DV11" s="305"/>
      <c r="DW11" s="305"/>
      <c r="DX11" s="305"/>
      <c r="DY11" s="306"/>
      <c r="DZ11" s="305"/>
      <c r="EA11" s="305"/>
      <c r="EB11" s="305"/>
      <c r="EC11" s="305"/>
      <c r="ED11" s="305"/>
      <c r="EE11" s="16"/>
      <c r="EF11" s="16"/>
      <c r="EG11" s="16"/>
      <c r="EH11" s="16"/>
      <c r="EI11" s="16"/>
      <c r="EJ11" s="16"/>
      <c r="EK11" s="16"/>
      <c r="EL11" s="16"/>
      <c r="EM11" s="50"/>
      <c r="EN11" s="50"/>
      <c r="EO11" s="50"/>
      <c r="EP11" s="16"/>
      <c r="EQ11" s="16"/>
      <c r="ER11" s="16"/>
      <c r="ES11" s="16"/>
      <c r="ET11" s="16"/>
      <c r="EU11" s="16"/>
      <c r="EV11" s="16"/>
      <c r="EW11" s="16"/>
      <c r="EX11" s="50"/>
      <c r="EY11" s="50"/>
      <c r="EZ11" s="50"/>
    </row>
    <row r="12" spans="1:156" ht="15" customHeight="1">
      <c r="A12" s="17"/>
      <c r="B12" s="51" t="s">
        <v>71</v>
      </c>
      <c r="C12" s="613">
        <f>'4.1_КТЭЦ'!C12+'4.1_котельные'!C12</f>
        <v>1206.213</v>
      </c>
      <c r="D12" s="613">
        <f>'4.1_КТЭЦ'!D12+'4.1_котельные'!D12</f>
        <v>1203.8309999999999</v>
      </c>
      <c r="E12" s="613"/>
      <c r="F12" s="613"/>
      <c r="G12" s="613"/>
      <c r="H12" s="613">
        <f>'4.1_КТЭЦ'!H12+'4.1_котельные'!H12</f>
        <v>2.3820000000000001</v>
      </c>
      <c r="I12" s="613"/>
      <c r="J12" s="613">
        <f>'4.1_КТЭЦ'!J12+'4.1_котельные'!J12</f>
        <v>2.3820000000000001</v>
      </c>
      <c r="K12" s="613"/>
      <c r="L12" s="613"/>
      <c r="M12" s="613"/>
      <c r="N12" s="613">
        <f>'4.1_КТЭЦ'!N12+'4.1_котельные'!N12</f>
        <v>1184.578</v>
      </c>
      <c r="O12" s="613">
        <f>'4.1_КТЭЦ'!O12+'4.1_котельные'!O12</f>
        <v>1152.606</v>
      </c>
      <c r="P12" s="613"/>
      <c r="Q12" s="613"/>
      <c r="R12" s="613"/>
      <c r="S12" s="613">
        <f>'4.1_КТЭЦ'!S12+'4.1_котельные'!S12</f>
        <v>31.972000000000001</v>
      </c>
      <c r="T12" s="613"/>
      <c r="U12" s="613">
        <f>'4.1_КТЭЦ'!U12+'4.1_котельные'!U12</f>
        <v>31.972000000000001</v>
      </c>
      <c r="V12" s="283"/>
      <c r="W12" s="283"/>
      <c r="X12" s="283"/>
      <c r="Y12" s="613">
        <v>1193.42</v>
      </c>
      <c r="Z12" s="613">
        <v>1160.451</v>
      </c>
      <c r="AA12" s="613"/>
      <c r="AB12" s="613"/>
      <c r="AC12" s="613"/>
      <c r="AD12" s="613">
        <v>32.969000000000001</v>
      </c>
      <c r="AE12" s="613"/>
      <c r="AF12" s="613">
        <v>32.969000000000001</v>
      </c>
      <c r="AG12" s="283"/>
      <c r="AH12" s="283"/>
      <c r="AI12" s="283"/>
      <c r="AJ12" s="613">
        <v>1159.758</v>
      </c>
      <c r="AK12" s="613">
        <v>1127.979</v>
      </c>
      <c r="AL12" s="613">
        <v>1127.979</v>
      </c>
      <c r="AM12" s="613">
        <v>0</v>
      </c>
      <c r="AN12" s="613">
        <v>0</v>
      </c>
      <c r="AO12" s="613">
        <v>31.779</v>
      </c>
      <c r="AP12" s="613"/>
      <c r="AQ12" s="613">
        <v>31.779</v>
      </c>
      <c r="AR12" s="283"/>
      <c r="AS12" s="283"/>
      <c r="AT12" s="283"/>
      <c r="AU12" s="613">
        <v>1184.578</v>
      </c>
      <c r="AV12" s="613">
        <v>1151.6610000000001</v>
      </c>
      <c r="AW12" s="613"/>
      <c r="AX12" s="613"/>
      <c r="AY12" s="613"/>
      <c r="AZ12" s="613">
        <v>32.917000000000002</v>
      </c>
      <c r="BA12" s="613"/>
      <c r="BB12" s="613">
        <v>32.917000000000002</v>
      </c>
      <c r="BC12" s="283"/>
      <c r="BD12" s="283"/>
      <c r="BE12" s="283"/>
      <c r="BF12" s="613">
        <v>1137.2080000000001</v>
      </c>
      <c r="BG12" s="613">
        <v>1103.9190000000001</v>
      </c>
      <c r="BH12" s="613">
        <v>1103.9190000000001</v>
      </c>
      <c r="BI12" s="613">
        <v>0</v>
      </c>
      <c r="BJ12" s="613">
        <v>0</v>
      </c>
      <c r="BK12" s="613">
        <v>33.289000000000001</v>
      </c>
      <c r="BL12" s="613"/>
      <c r="BM12" s="613">
        <v>33.289000000000001</v>
      </c>
      <c r="BN12" s="283"/>
      <c r="BO12" s="283"/>
      <c r="BP12" s="283"/>
      <c r="BQ12" s="613">
        <v>1135.2</v>
      </c>
      <c r="BR12" s="613">
        <v>1103.0642550980065</v>
      </c>
      <c r="BS12" s="613">
        <v>1103.0642550980065</v>
      </c>
      <c r="BT12" s="613">
        <v>0</v>
      </c>
      <c r="BU12" s="613">
        <v>0</v>
      </c>
      <c r="BV12" s="613">
        <v>32.135744901993526</v>
      </c>
      <c r="BW12" s="613"/>
      <c r="BX12" s="613">
        <v>32.135744901993526</v>
      </c>
      <c r="BY12" s="283"/>
      <c r="BZ12" s="283"/>
      <c r="CA12" s="283"/>
      <c r="CB12" s="613">
        <v>1135.2</v>
      </c>
      <c r="CC12" s="613">
        <v>1101.934</v>
      </c>
      <c r="CD12" s="613">
        <v>1101.934</v>
      </c>
      <c r="CE12" s="613">
        <v>0</v>
      </c>
      <c r="CF12" s="613">
        <v>0</v>
      </c>
      <c r="CG12" s="613">
        <v>33.265999999999998</v>
      </c>
      <c r="CH12" s="613"/>
      <c r="CI12" s="613">
        <v>33.265999999999998</v>
      </c>
      <c r="CJ12" s="283"/>
      <c r="CK12" s="283"/>
      <c r="CL12" s="283"/>
      <c r="CM12" s="306">
        <v>1135.2</v>
      </c>
      <c r="CN12" s="305">
        <v>1101.934</v>
      </c>
      <c r="CO12" s="305">
        <v>1101.934</v>
      </c>
      <c r="CP12" s="305">
        <v>0</v>
      </c>
      <c r="CQ12" s="305">
        <v>0</v>
      </c>
      <c r="CR12" s="306">
        <v>33.266000000000005</v>
      </c>
      <c r="CS12" s="305"/>
      <c r="CT12" s="305">
        <v>33.266000000000005</v>
      </c>
      <c r="CU12" s="305"/>
      <c r="CV12" s="305"/>
      <c r="CW12" s="305"/>
      <c r="CX12" s="613">
        <v>691.89599999999996</v>
      </c>
      <c r="CY12" s="613">
        <v>673.56099999999992</v>
      </c>
      <c r="CZ12" s="613">
        <v>673.56099999999992</v>
      </c>
      <c r="DA12" s="613">
        <v>0</v>
      </c>
      <c r="DB12" s="613">
        <v>0</v>
      </c>
      <c r="DC12" s="613">
        <v>18.335000000000001</v>
      </c>
      <c r="DD12" s="613"/>
      <c r="DE12" s="613">
        <v>18.335000000000001</v>
      </c>
      <c r="DF12" s="50"/>
      <c r="DG12" s="50"/>
      <c r="DH12" s="50"/>
      <c r="DI12" s="613">
        <v>443.30399999999997</v>
      </c>
      <c r="DJ12" s="613">
        <v>428.37299999999999</v>
      </c>
      <c r="DK12" s="613">
        <v>428.37299999999999</v>
      </c>
      <c r="DL12" s="613">
        <v>0</v>
      </c>
      <c r="DM12" s="613">
        <v>0</v>
      </c>
      <c r="DN12" s="613">
        <v>14.931000000000001</v>
      </c>
      <c r="DO12" s="613"/>
      <c r="DP12" s="613">
        <v>14.931000000000001</v>
      </c>
      <c r="DQ12" s="50"/>
      <c r="DR12" s="50"/>
      <c r="DS12" s="50"/>
      <c r="DT12" s="306">
        <v>1135.2</v>
      </c>
      <c r="DU12" s="305">
        <v>1101.934</v>
      </c>
      <c r="DV12" s="305">
        <v>1101.934</v>
      </c>
      <c r="DW12" s="305">
        <v>0</v>
      </c>
      <c r="DX12" s="305">
        <v>0</v>
      </c>
      <c r="DY12" s="306">
        <v>33.266000000000005</v>
      </c>
      <c r="DZ12" s="305"/>
      <c r="EA12" s="305">
        <v>33.266000000000005</v>
      </c>
      <c r="EB12" s="305"/>
      <c r="EC12" s="305"/>
      <c r="ED12" s="305"/>
      <c r="EE12" s="613">
        <v>691.89599999999996</v>
      </c>
      <c r="EF12" s="613">
        <v>673.56099999999992</v>
      </c>
      <c r="EG12" s="613">
        <v>673.56099999999992</v>
      </c>
      <c r="EH12" s="613">
        <v>0</v>
      </c>
      <c r="EI12" s="613">
        <v>0</v>
      </c>
      <c r="EJ12" s="613">
        <v>18.335000000000001</v>
      </c>
      <c r="EK12" s="613"/>
      <c r="EL12" s="613">
        <v>18.335000000000001</v>
      </c>
      <c r="EM12" s="50"/>
      <c r="EN12" s="50"/>
      <c r="EO12" s="50"/>
      <c r="EP12" s="613">
        <v>443.30399999999997</v>
      </c>
      <c r="EQ12" s="613">
        <v>428.37299999999999</v>
      </c>
      <c r="ER12" s="613">
        <v>428.37299999999999</v>
      </c>
      <c r="ES12" s="613">
        <v>0</v>
      </c>
      <c r="ET12" s="613">
        <v>0</v>
      </c>
      <c r="EU12" s="613">
        <v>14.931000000000001</v>
      </c>
      <c r="EV12" s="613"/>
      <c r="EW12" s="613">
        <v>14.931000000000001</v>
      </c>
      <c r="EX12" s="50"/>
      <c r="EY12" s="50"/>
      <c r="EZ12" s="50"/>
    </row>
    <row r="13" spans="1:156" ht="15" customHeight="1">
      <c r="A13" s="17"/>
      <c r="B13" s="51" t="s">
        <v>72</v>
      </c>
      <c r="C13" s="613"/>
      <c r="D13" s="613"/>
      <c r="E13" s="613"/>
      <c r="F13" s="613"/>
      <c r="G13" s="613"/>
      <c r="H13" s="613"/>
      <c r="I13" s="613"/>
      <c r="J13" s="613"/>
      <c r="K13" s="613"/>
      <c r="L13" s="613"/>
      <c r="M13" s="613"/>
      <c r="N13" s="613"/>
      <c r="O13" s="613"/>
      <c r="P13" s="613"/>
      <c r="Q13" s="613"/>
      <c r="R13" s="613"/>
      <c r="S13" s="613"/>
      <c r="T13" s="613"/>
      <c r="U13" s="613"/>
      <c r="V13" s="260"/>
      <c r="W13" s="260"/>
      <c r="X13" s="260"/>
      <c r="Y13" s="613"/>
      <c r="Z13" s="613"/>
      <c r="AA13" s="613"/>
      <c r="AB13" s="613"/>
      <c r="AC13" s="613"/>
      <c r="AD13" s="613"/>
      <c r="AE13" s="613"/>
      <c r="AF13" s="613"/>
      <c r="AG13" s="260"/>
      <c r="AH13" s="260"/>
      <c r="AI13" s="260"/>
      <c r="AJ13" s="613"/>
      <c r="AK13" s="613"/>
      <c r="AL13" s="613"/>
      <c r="AM13" s="613"/>
      <c r="AN13" s="613"/>
      <c r="AO13" s="613"/>
      <c r="AP13" s="613"/>
      <c r="AQ13" s="613"/>
      <c r="AR13" s="260"/>
      <c r="AS13" s="260"/>
      <c r="AT13" s="260"/>
      <c r="AU13" s="613"/>
      <c r="AV13" s="613"/>
      <c r="AW13" s="613"/>
      <c r="AX13" s="613"/>
      <c r="AY13" s="613"/>
      <c r="AZ13" s="613"/>
      <c r="BA13" s="613"/>
      <c r="BB13" s="613"/>
      <c r="BC13" s="260"/>
      <c r="BD13" s="260"/>
      <c r="BE13" s="260"/>
      <c r="BF13" s="613"/>
      <c r="BG13" s="613"/>
      <c r="BH13" s="613"/>
      <c r="BI13" s="613"/>
      <c r="BJ13" s="613"/>
      <c r="BK13" s="613"/>
      <c r="BL13" s="613"/>
      <c r="BM13" s="613"/>
      <c r="BN13" s="260"/>
      <c r="BO13" s="260"/>
      <c r="BP13" s="260"/>
      <c r="BQ13" s="613"/>
      <c r="BR13" s="613"/>
      <c r="BS13" s="613"/>
      <c r="BT13" s="613"/>
      <c r="BU13" s="613"/>
      <c r="BV13" s="613"/>
      <c r="BW13" s="613"/>
      <c r="BX13" s="613"/>
      <c r="BY13" s="260"/>
      <c r="BZ13" s="260"/>
      <c r="CA13" s="260"/>
      <c r="CB13" s="613"/>
      <c r="CC13" s="613"/>
      <c r="CD13" s="613"/>
      <c r="CE13" s="613"/>
      <c r="CF13" s="613"/>
      <c r="CG13" s="613"/>
      <c r="CH13" s="613"/>
      <c r="CI13" s="613"/>
      <c r="CJ13" s="260"/>
      <c r="CK13" s="260"/>
      <c r="CL13" s="260"/>
      <c r="CM13" s="306"/>
      <c r="CN13" s="306"/>
      <c r="CO13" s="306"/>
      <c r="CP13" s="306"/>
      <c r="CQ13" s="306"/>
      <c r="CR13" s="306"/>
      <c r="CS13" s="306"/>
      <c r="CT13" s="306"/>
      <c r="CU13" s="306"/>
      <c r="CV13" s="306"/>
      <c r="CW13" s="306"/>
      <c r="CX13" s="613"/>
      <c r="CY13" s="613"/>
      <c r="CZ13" s="613"/>
      <c r="DA13" s="613"/>
      <c r="DB13" s="613"/>
      <c r="DC13" s="613"/>
      <c r="DD13" s="613"/>
      <c r="DE13" s="613"/>
      <c r="DF13" s="49"/>
      <c r="DG13" s="49"/>
      <c r="DH13" s="49"/>
      <c r="DI13" s="613"/>
      <c r="DJ13" s="613"/>
      <c r="DK13" s="613"/>
      <c r="DL13" s="613"/>
      <c r="DM13" s="613"/>
      <c r="DN13" s="613"/>
      <c r="DO13" s="613"/>
      <c r="DP13" s="613"/>
      <c r="DQ13" s="49"/>
      <c r="DR13" s="49"/>
      <c r="DS13" s="49"/>
      <c r="DT13" s="306"/>
      <c r="DU13" s="306"/>
      <c r="DV13" s="306"/>
      <c r="DW13" s="306"/>
      <c r="DX13" s="306"/>
      <c r="DY13" s="306"/>
      <c r="DZ13" s="306"/>
      <c r="EA13" s="306"/>
      <c r="EB13" s="306"/>
      <c r="EC13" s="306"/>
      <c r="ED13" s="306"/>
      <c r="EE13" s="613"/>
      <c r="EF13" s="613"/>
      <c r="EG13" s="613"/>
      <c r="EH13" s="613"/>
      <c r="EI13" s="613"/>
      <c r="EJ13" s="613"/>
      <c r="EK13" s="613"/>
      <c r="EL13" s="613"/>
      <c r="EM13" s="49"/>
      <c r="EN13" s="49"/>
      <c r="EO13" s="49"/>
      <c r="EP13" s="613"/>
      <c r="EQ13" s="613"/>
      <c r="ER13" s="613"/>
      <c r="ES13" s="613"/>
      <c r="ET13" s="613"/>
      <c r="EU13" s="613"/>
      <c r="EV13" s="613"/>
      <c r="EW13" s="613"/>
      <c r="EX13" s="49"/>
      <c r="EY13" s="49"/>
      <c r="EZ13" s="49"/>
    </row>
    <row r="14" spans="1:156" ht="15" customHeight="1">
      <c r="A14" s="17"/>
      <c r="B14" s="51" t="s">
        <v>73</v>
      </c>
      <c r="C14" s="613">
        <f>'4.1_КТЭЦ'!C14+'4.1_котельные'!C14</f>
        <v>555.37900000000002</v>
      </c>
      <c r="D14" s="613">
        <f>'4.1_КТЭЦ'!D14+'4.1_котельные'!D14</f>
        <v>555.37900000000002</v>
      </c>
      <c r="E14" s="613"/>
      <c r="F14" s="613"/>
      <c r="G14" s="613"/>
      <c r="H14" s="613">
        <f>'4.1_КТЭЦ'!H14+'4.1_котельные'!H14</f>
        <v>0</v>
      </c>
      <c r="I14" s="613"/>
      <c r="J14" s="613">
        <f>'4.1_КТЭЦ'!J14+'4.1_котельные'!J14</f>
        <v>0</v>
      </c>
      <c r="K14" s="613"/>
      <c r="L14" s="613"/>
      <c r="M14" s="613"/>
      <c r="N14" s="613">
        <f>'4.1_КТЭЦ'!N14+'4.1_котельные'!N14</f>
        <v>565.14549999999997</v>
      </c>
      <c r="O14" s="613">
        <f>'4.1_КТЭЦ'!O14+'4.1_котельные'!O14</f>
        <v>563.39249999999993</v>
      </c>
      <c r="P14" s="613"/>
      <c r="Q14" s="613"/>
      <c r="R14" s="613"/>
      <c r="S14" s="613">
        <f>'4.1_КТЭЦ'!S14+'4.1_котельные'!S14</f>
        <v>1.7529999999999999</v>
      </c>
      <c r="T14" s="613"/>
      <c r="U14" s="613">
        <f>'4.1_КТЭЦ'!U14+'4.1_котельные'!U14</f>
        <v>1.7529999999999999</v>
      </c>
      <c r="V14" s="260"/>
      <c r="W14" s="260"/>
      <c r="X14" s="260"/>
      <c r="Y14" s="613">
        <v>562.24599999999998</v>
      </c>
      <c r="Z14" s="613">
        <v>562.24599999999998</v>
      </c>
      <c r="AA14" s="613"/>
      <c r="AB14" s="613"/>
      <c r="AC14" s="613"/>
      <c r="AD14" s="613">
        <v>0</v>
      </c>
      <c r="AE14" s="613"/>
      <c r="AF14" s="613">
        <v>0</v>
      </c>
      <c r="AG14" s="260"/>
      <c r="AH14" s="260"/>
      <c r="AI14" s="260"/>
      <c r="AJ14" s="613">
        <v>510.99399999999997</v>
      </c>
      <c r="AK14" s="613">
        <v>509.62599999999998</v>
      </c>
      <c r="AL14" s="613">
        <v>2.89</v>
      </c>
      <c r="AM14" s="613">
        <v>8.3260000000000005</v>
      </c>
      <c r="AN14" s="613">
        <v>498.40999999999997</v>
      </c>
      <c r="AO14" s="613">
        <v>1.3680000000000001</v>
      </c>
      <c r="AP14" s="613"/>
      <c r="AQ14" s="613">
        <v>1.3680000000000001</v>
      </c>
      <c r="AR14" s="260"/>
      <c r="AS14" s="260"/>
      <c r="AT14" s="260"/>
      <c r="AU14" s="613">
        <v>561.30899999999997</v>
      </c>
      <c r="AV14" s="613">
        <v>559.52800000000002</v>
      </c>
      <c r="AW14" s="613"/>
      <c r="AX14" s="613"/>
      <c r="AY14" s="613"/>
      <c r="AZ14" s="613">
        <v>1.7810000000000001</v>
      </c>
      <c r="BA14" s="613"/>
      <c r="BB14" s="613">
        <v>1.7810000000000001</v>
      </c>
      <c r="BC14" s="260"/>
      <c r="BD14" s="260"/>
      <c r="BE14" s="260"/>
      <c r="BF14" s="613">
        <v>459.084</v>
      </c>
      <c r="BG14" s="613">
        <v>458.584</v>
      </c>
      <c r="BH14" s="613">
        <v>458.584</v>
      </c>
      <c r="BI14" s="613">
        <v>0</v>
      </c>
      <c r="BJ14" s="613">
        <v>0</v>
      </c>
      <c r="BK14" s="613">
        <v>0.5</v>
      </c>
      <c r="BL14" s="613"/>
      <c r="BM14" s="613">
        <v>0.5</v>
      </c>
      <c r="BN14" s="260"/>
      <c r="BO14" s="260"/>
      <c r="BP14" s="260"/>
      <c r="BQ14" s="613">
        <v>497.60900000000009</v>
      </c>
      <c r="BR14" s="613">
        <v>496.2410000000001</v>
      </c>
      <c r="BS14" s="613">
        <v>2.8899999999999997</v>
      </c>
      <c r="BT14" s="613">
        <v>8.3260000000000005</v>
      </c>
      <c r="BU14" s="613">
        <v>485.02500000000009</v>
      </c>
      <c r="BV14" s="613">
        <v>1.3680000000000001</v>
      </c>
      <c r="BW14" s="613"/>
      <c r="BX14" s="613">
        <v>1.3680000000000001</v>
      </c>
      <c r="BY14" s="260"/>
      <c r="BZ14" s="260"/>
      <c r="CA14" s="260"/>
      <c r="CB14" s="613">
        <v>483.22500000000002</v>
      </c>
      <c r="CC14" s="613">
        <v>482.029</v>
      </c>
      <c r="CD14" s="613">
        <v>482.029</v>
      </c>
      <c r="CE14" s="613">
        <v>0</v>
      </c>
      <c r="CF14" s="613">
        <v>0</v>
      </c>
      <c r="CG14" s="613">
        <v>1.196</v>
      </c>
      <c r="CH14" s="613"/>
      <c r="CI14" s="613">
        <v>1.196</v>
      </c>
      <c r="CJ14" s="260"/>
      <c r="CK14" s="260"/>
      <c r="CL14" s="260"/>
      <c r="CM14" s="306">
        <v>484.221</v>
      </c>
      <c r="CN14" s="305">
        <v>483.02499999999998</v>
      </c>
      <c r="CO14" s="305">
        <v>483.02499999999998</v>
      </c>
      <c r="CP14" s="305">
        <v>0</v>
      </c>
      <c r="CQ14" s="305">
        <v>0</v>
      </c>
      <c r="CR14" s="306">
        <v>1.196</v>
      </c>
      <c r="CS14" s="305"/>
      <c r="CT14" s="305">
        <v>1.196</v>
      </c>
      <c r="CU14" s="306"/>
      <c r="CV14" s="306"/>
      <c r="CW14" s="306"/>
      <c r="CX14" s="613">
        <v>289.52800000000002</v>
      </c>
      <c r="CY14" s="613">
        <v>289.03300000000002</v>
      </c>
      <c r="CZ14" s="613">
        <v>289.03300000000002</v>
      </c>
      <c r="DA14" s="613">
        <v>0</v>
      </c>
      <c r="DB14" s="613">
        <v>0</v>
      </c>
      <c r="DC14" s="613">
        <v>0.495</v>
      </c>
      <c r="DD14" s="613"/>
      <c r="DE14" s="613">
        <v>0.495</v>
      </c>
      <c r="DF14" s="49"/>
      <c r="DG14" s="49"/>
      <c r="DH14" s="49"/>
      <c r="DI14" s="613">
        <v>194.69299999999998</v>
      </c>
      <c r="DJ14" s="613">
        <v>193.99199999999999</v>
      </c>
      <c r="DK14" s="613">
        <v>193.99199999999999</v>
      </c>
      <c r="DL14" s="613">
        <v>0</v>
      </c>
      <c r="DM14" s="613">
        <v>0</v>
      </c>
      <c r="DN14" s="613">
        <v>0.70099999999999996</v>
      </c>
      <c r="DO14" s="613"/>
      <c r="DP14" s="613">
        <v>0.70099999999999996</v>
      </c>
      <c r="DQ14" s="49"/>
      <c r="DR14" s="49"/>
      <c r="DS14" s="49"/>
      <c r="DT14" s="306">
        <v>484.221</v>
      </c>
      <c r="DU14" s="305">
        <v>483.02499999999998</v>
      </c>
      <c r="DV14" s="305">
        <v>483.02499999999998</v>
      </c>
      <c r="DW14" s="305">
        <v>0</v>
      </c>
      <c r="DX14" s="305">
        <v>0</v>
      </c>
      <c r="DY14" s="306">
        <v>1.196</v>
      </c>
      <c r="DZ14" s="305"/>
      <c r="EA14" s="305">
        <v>1.196</v>
      </c>
      <c r="EB14" s="306"/>
      <c r="EC14" s="306"/>
      <c r="ED14" s="306"/>
      <c r="EE14" s="613">
        <v>289.52800000000002</v>
      </c>
      <c r="EF14" s="613">
        <v>289.03300000000002</v>
      </c>
      <c r="EG14" s="613">
        <v>289.03300000000002</v>
      </c>
      <c r="EH14" s="613">
        <v>0</v>
      </c>
      <c r="EI14" s="613">
        <v>0</v>
      </c>
      <c r="EJ14" s="613">
        <v>0.495</v>
      </c>
      <c r="EK14" s="613"/>
      <c r="EL14" s="613">
        <v>0.495</v>
      </c>
      <c r="EM14" s="49"/>
      <c r="EN14" s="49"/>
      <c r="EO14" s="49"/>
      <c r="EP14" s="613">
        <v>194.69299999999998</v>
      </c>
      <c r="EQ14" s="613">
        <v>193.99199999999999</v>
      </c>
      <c r="ER14" s="613">
        <v>193.99199999999999</v>
      </c>
      <c r="ES14" s="613">
        <v>0</v>
      </c>
      <c r="ET14" s="613">
        <v>0</v>
      </c>
      <c r="EU14" s="613">
        <v>0.70099999999999996</v>
      </c>
      <c r="EV14" s="613"/>
      <c r="EW14" s="613">
        <v>0.70099999999999996</v>
      </c>
      <c r="EX14" s="49"/>
      <c r="EY14" s="49"/>
      <c r="EZ14" s="49"/>
    </row>
    <row r="15" spans="1:156" ht="15" customHeight="1">
      <c r="A15" s="17"/>
      <c r="B15" s="51" t="s">
        <v>74</v>
      </c>
      <c r="C15" s="613">
        <f>'4.1_КТЭЦ'!C15+'4.1_котельные'!C15</f>
        <v>1.927</v>
      </c>
      <c r="D15" s="613">
        <f>'4.1_КТЭЦ'!D15+'4.1_котельные'!D15</f>
        <v>1.927</v>
      </c>
      <c r="E15" s="613"/>
      <c r="F15" s="613"/>
      <c r="G15" s="613"/>
      <c r="H15" s="613">
        <f>'4.1_КТЭЦ'!H15+'4.1_котельные'!H15</f>
        <v>0</v>
      </c>
      <c r="I15" s="613"/>
      <c r="J15" s="613">
        <f>'4.1_КТЭЦ'!J15+'4.1_котельные'!J15</f>
        <v>0</v>
      </c>
      <c r="K15" s="613"/>
      <c r="L15" s="613"/>
      <c r="M15" s="613"/>
      <c r="N15" s="613">
        <f>'4.1_КТЭЦ'!N15+'4.1_котельные'!N15</f>
        <v>1.948</v>
      </c>
      <c r="O15" s="613">
        <f>'4.1_КТЭЦ'!O15+'4.1_котельные'!O15</f>
        <v>1.948</v>
      </c>
      <c r="P15" s="613"/>
      <c r="Q15" s="613"/>
      <c r="R15" s="613"/>
      <c r="S15" s="613">
        <f>'4.1_КТЭЦ'!S15+'4.1_котельные'!S15</f>
        <v>0</v>
      </c>
      <c r="T15" s="613"/>
      <c r="U15" s="613">
        <f>'4.1_КТЭЦ'!U15+'4.1_котельные'!U15</f>
        <v>0</v>
      </c>
      <c r="V15" s="260"/>
      <c r="W15" s="260"/>
      <c r="X15" s="260"/>
      <c r="Y15" s="613">
        <v>1.927</v>
      </c>
      <c r="Z15" s="613">
        <v>1.927</v>
      </c>
      <c r="AA15" s="613"/>
      <c r="AB15" s="613"/>
      <c r="AC15" s="613"/>
      <c r="AD15" s="613">
        <v>0</v>
      </c>
      <c r="AE15" s="613"/>
      <c r="AF15" s="613">
        <v>0</v>
      </c>
      <c r="AG15" s="260"/>
      <c r="AH15" s="260"/>
      <c r="AI15" s="260"/>
      <c r="AJ15" s="613">
        <v>1.6641999999999999</v>
      </c>
      <c r="AK15" s="613">
        <v>1.6641999999999999</v>
      </c>
      <c r="AL15" s="613">
        <v>0</v>
      </c>
      <c r="AM15" s="613">
        <v>0</v>
      </c>
      <c r="AN15" s="613">
        <v>1.6639999999999999</v>
      </c>
      <c r="AO15" s="613">
        <v>0</v>
      </c>
      <c r="AP15" s="613"/>
      <c r="AQ15" s="613">
        <v>0</v>
      </c>
      <c r="AR15" s="260"/>
      <c r="AS15" s="260"/>
      <c r="AT15" s="260"/>
      <c r="AU15" s="613">
        <v>1.927</v>
      </c>
      <c r="AV15" s="613">
        <v>1.927</v>
      </c>
      <c r="AW15" s="613"/>
      <c r="AX15" s="613"/>
      <c r="AY15" s="613"/>
      <c r="AZ15" s="613">
        <v>0</v>
      </c>
      <c r="BA15" s="613"/>
      <c r="BB15" s="613">
        <v>0</v>
      </c>
      <c r="BC15" s="260"/>
      <c r="BD15" s="260"/>
      <c r="BE15" s="260"/>
      <c r="BF15" s="613">
        <v>1.845</v>
      </c>
      <c r="BG15" s="613">
        <v>1.845</v>
      </c>
      <c r="BH15" s="613">
        <v>1.845</v>
      </c>
      <c r="BI15" s="613">
        <v>0</v>
      </c>
      <c r="BJ15" s="613">
        <v>0</v>
      </c>
      <c r="BK15" s="613">
        <v>0</v>
      </c>
      <c r="BL15" s="613"/>
      <c r="BM15" s="613">
        <v>0</v>
      </c>
      <c r="BN15" s="260"/>
      <c r="BO15" s="260"/>
      <c r="BP15" s="260"/>
      <c r="BQ15" s="613">
        <v>1.927</v>
      </c>
      <c r="BR15" s="613">
        <v>1.927</v>
      </c>
      <c r="BS15" s="613">
        <v>0</v>
      </c>
      <c r="BT15" s="613">
        <v>0</v>
      </c>
      <c r="BU15" s="613">
        <v>1.927</v>
      </c>
      <c r="BV15" s="613">
        <v>0</v>
      </c>
      <c r="BW15" s="613"/>
      <c r="BX15" s="613">
        <v>0</v>
      </c>
      <c r="BY15" s="260"/>
      <c r="BZ15" s="260"/>
      <c r="CA15" s="260"/>
      <c r="CB15" s="613">
        <v>1.927</v>
      </c>
      <c r="CC15" s="613">
        <v>1.927</v>
      </c>
      <c r="CD15" s="613">
        <v>1.927</v>
      </c>
      <c r="CE15" s="613">
        <v>0</v>
      </c>
      <c r="CF15" s="613">
        <v>0</v>
      </c>
      <c r="CG15" s="613">
        <v>0</v>
      </c>
      <c r="CH15" s="613"/>
      <c r="CI15" s="613">
        <v>0</v>
      </c>
      <c r="CJ15" s="260"/>
      <c r="CK15" s="260"/>
      <c r="CL15" s="260"/>
      <c r="CM15" s="306">
        <v>1.927</v>
      </c>
      <c r="CN15" s="305">
        <v>1.927</v>
      </c>
      <c r="CO15" s="305">
        <v>1.927</v>
      </c>
      <c r="CP15" s="305">
        <v>0</v>
      </c>
      <c r="CQ15" s="305">
        <v>0</v>
      </c>
      <c r="CR15" s="306">
        <v>0</v>
      </c>
      <c r="CS15" s="305"/>
      <c r="CT15" s="305">
        <v>0</v>
      </c>
      <c r="CU15" s="306"/>
      <c r="CV15" s="306"/>
      <c r="CW15" s="306"/>
      <c r="CX15" s="613">
        <v>1.21</v>
      </c>
      <c r="CY15" s="613">
        <v>1.21</v>
      </c>
      <c r="CZ15" s="613">
        <v>1.21</v>
      </c>
      <c r="DA15" s="613">
        <v>0</v>
      </c>
      <c r="DB15" s="613">
        <v>0</v>
      </c>
      <c r="DC15" s="613">
        <v>0</v>
      </c>
      <c r="DD15" s="613"/>
      <c r="DE15" s="613">
        <v>0</v>
      </c>
      <c r="DF15" s="49"/>
      <c r="DG15" s="49"/>
      <c r="DH15" s="49"/>
      <c r="DI15" s="613">
        <v>0.71699999999999997</v>
      </c>
      <c r="DJ15" s="613">
        <v>0.71699999999999997</v>
      </c>
      <c r="DK15" s="613">
        <v>0.71699999999999997</v>
      </c>
      <c r="DL15" s="613">
        <v>0</v>
      </c>
      <c r="DM15" s="613">
        <v>0</v>
      </c>
      <c r="DN15" s="613">
        <v>0</v>
      </c>
      <c r="DO15" s="613"/>
      <c r="DP15" s="613">
        <v>0</v>
      </c>
      <c r="DQ15" s="49"/>
      <c r="DR15" s="49"/>
      <c r="DS15" s="49"/>
      <c r="DT15" s="306">
        <v>1.927</v>
      </c>
      <c r="DU15" s="305">
        <v>1.927</v>
      </c>
      <c r="DV15" s="305">
        <v>1.927</v>
      </c>
      <c r="DW15" s="305">
        <v>0</v>
      </c>
      <c r="DX15" s="305">
        <v>0</v>
      </c>
      <c r="DY15" s="306">
        <v>0</v>
      </c>
      <c r="DZ15" s="305"/>
      <c r="EA15" s="305">
        <v>0</v>
      </c>
      <c r="EB15" s="306"/>
      <c r="EC15" s="306"/>
      <c r="ED15" s="306"/>
      <c r="EE15" s="613">
        <v>1.21</v>
      </c>
      <c r="EF15" s="613">
        <v>1.21</v>
      </c>
      <c r="EG15" s="613">
        <v>1.21</v>
      </c>
      <c r="EH15" s="613">
        <v>0</v>
      </c>
      <c r="EI15" s="613">
        <v>0</v>
      </c>
      <c r="EJ15" s="613">
        <v>0</v>
      </c>
      <c r="EK15" s="613"/>
      <c r="EL15" s="613">
        <v>0</v>
      </c>
      <c r="EM15" s="49"/>
      <c r="EN15" s="49"/>
      <c r="EO15" s="49"/>
      <c r="EP15" s="613">
        <v>0.71699999999999997</v>
      </c>
      <c r="EQ15" s="613">
        <v>0.71699999999999997</v>
      </c>
      <c r="ER15" s="613">
        <v>0.71699999999999997</v>
      </c>
      <c r="ES15" s="613">
        <v>0</v>
      </c>
      <c r="ET15" s="613">
        <v>0</v>
      </c>
      <c r="EU15" s="613">
        <v>0</v>
      </c>
      <c r="EV15" s="613"/>
      <c r="EW15" s="613">
        <v>0</v>
      </c>
      <c r="EX15" s="49"/>
      <c r="EY15" s="49"/>
      <c r="EZ15" s="49"/>
    </row>
    <row r="16" spans="1:156" ht="15" customHeight="1">
      <c r="A16" s="17" t="s">
        <v>23</v>
      </c>
      <c r="B16" s="16" t="s">
        <v>75</v>
      </c>
      <c r="C16" s="613"/>
      <c r="D16" s="613"/>
      <c r="E16" s="613"/>
      <c r="F16" s="613"/>
      <c r="G16" s="613"/>
      <c r="H16" s="613"/>
      <c r="I16" s="613"/>
      <c r="J16" s="613"/>
      <c r="K16" s="613"/>
      <c r="L16" s="613"/>
      <c r="M16" s="613"/>
      <c r="N16" s="613"/>
      <c r="O16" s="613"/>
      <c r="P16" s="613"/>
      <c r="Q16" s="613"/>
      <c r="R16" s="613"/>
      <c r="S16" s="613"/>
      <c r="T16" s="613"/>
      <c r="U16" s="613"/>
      <c r="V16" s="260"/>
      <c r="W16" s="260"/>
      <c r="X16" s="260"/>
      <c r="Y16" s="613"/>
      <c r="Z16" s="613"/>
      <c r="AA16" s="613"/>
      <c r="AB16" s="613"/>
      <c r="AC16" s="613"/>
      <c r="AD16" s="613"/>
      <c r="AE16" s="613"/>
      <c r="AF16" s="613"/>
      <c r="AG16" s="260"/>
      <c r="AH16" s="260"/>
      <c r="AI16" s="260"/>
      <c r="AJ16" s="613"/>
      <c r="AK16" s="613"/>
      <c r="AL16" s="613"/>
      <c r="AM16" s="613"/>
      <c r="AN16" s="613"/>
      <c r="AO16" s="613"/>
      <c r="AP16" s="613"/>
      <c r="AQ16" s="613"/>
      <c r="AR16" s="260"/>
      <c r="AS16" s="260"/>
      <c r="AT16" s="260"/>
      <c r="AU16" s="613"/>
      <c r="AV16" s="613"/>
      <c r="AW16" s="613"/>
      <c r="AX16" s="613"/>
      <c r="AY16" s="613"/>
      <c r="AZ16" s="613"/>
      <c r="BA16" s="613"/>
      <c r="BB16" s="613"/>
      <c r="BC16" s="260"/>
      <c r="BD16" s="260"/>
      <c r="BE16" s="260"/>
      <c r="BF16" s="613"/>
      <c r="BG16" s="613"/>
      <c r="BH16" s="613"/>
      <c r="BI16" s="613"/>
      <c r="BJ16" s="613"/>
      <c r="BK16" s="613"/>
      <c r="BL16" s="613"/>
      <c r="BM16" s="613"/>
      <c r="BN16" s="260"/>
      <c r="BO16" s="260"/>
      <c r="BP16" s="260"/>
      <c r="BQ16" s="613"/>
      <c r="BR16" s="613"/>
      <c r="BS16" s="613"/>
      <c r="BT16" s="613"/>
      <c r="BU16" s="613"/>
      <c r="BV16" s="613"/>
      <c r="BW16" s="613"/>
      <c r="BX16" s="613"/>
      <c r="BY16" s="260"/>
      <c r="BZ16" s="260"/>
      <c r="CA16" s="260"/>
      <c r="CB16" s="613"/>
      <c r="CC16" s="613"/>
      <c r="CD16" s="613"/>
      <c r="CE16" s="613"/>
      <c r="CF16" s="613"/>
      <c r="CG16" s="613"/>
      <c r="CH16" s="613"/>
      <c r="CI16" s="613"/>
      <c r="CJ16" s="260"/>
      <c r="CK16" s="260"/>
      <c r="CL16" s="260"/>
      <c r="CM16" s="306"/>
      <c r="CN16" s="306"/>
      <c r="CO16" s="306"/>
      <c r="CP16" s="306"/>
      <c r="CQ16" s="306"/>
      <c r="CR16" s="306"/>
      <c r="CS16" s="306"/>
      <c r="CT16" s="306"/>
      <c r="CU16" s="306"/>
      <c r="CV16" s="306"/>
      <c r="CW16" s="306"/>
      <c r="CX16" s="613"/>
      <c r="CY16" s="613"/>
      <c r="CZ16" s="613"/>
      <c r="DA16" s="613"/>
      <c r="DB16" s="613"/>
      <c r="DC16" s="613"/>
      <c r="DD16" s="613"/>
      <c r="DE16" s="613"/>
      <c r="DF16" s="49"/>
      <c r="DG16" s="49"/>
      <c r="DH16" s="49"/>
      <c r="DI16" s="613"/>
      <c r="DJ16" s="613"/>
      <c r="DK16" s="613"/>
      <c r="DL16" s="613"/>
      <c r="DM16" s="613"/>
      <c r="DN16" s="613"/>
      <c r="DO16" s="613"/>
      <c r="DP16" s="613"/>
      <c r="DQ16" s="49"/>
      <c r="DR16" s="49"/>
      <c r="DS16" s="49"/>
      <c r="DT16" s="306"/>
      <c r="DU16" s="306"/>
      <c r="DV16" s="306"/>
      <c r="DW16" s="306"/>
      <c r="DX16" s="306"/>
      <c r="DY16" s="306"/>
      <c r="DZ16" s="306"/>
      <c r="EA16" s="306"/>
      <c r="EB16" s="306"/>
      <c r="EC16" s="306"/>
      <c r="ED16" s="306"/>
      <c r="EE16" s="613"/>
      <c r="EF16" s="613"/>
      <c r="EG16" s="613"/>
      <c r="EH16" s="613"/>
      <c r="EI16" s="613"/>
      <c r="EJ16" s="613"/>
      <c r="EK16" s="613"/>
      <c r="EL16" s="613"/>
      <c r="EM16" s="49"/>
      <c r="EN16" s="49"/>
      <c r="EO16" s="49"/>
      <c r="EP16" s="613"/>
      <c r="EQ16" s="613"/>
      <c r="ER16" s="613"/>
      <c r="ES16" s="613"/>
      <c r="ET16" s="613"/>
      <c r="EU16" s="613"/>
      <c r="EV16" s="613"/>
      <c r="EW16" s="613"/>
      <c r="EX16" s="49"/>
      <c r="EY16" s="49"/>
      <c r="EZ16" s="49"/>
    </row>
    <row r="17" spans="1:156" ht="15" customHeight="1">
      <c r="A17" s="17"/>
      <c r="B17" s="16" t="s">
        <v>70</v>
      </c>
      <c r="C17" s="613"/>
      <c r="D17" s="613"/>
      <c r="E17" s="613"/>
      <c r="F17" s="613"/>
      <c r="G17" s="613"/>
      <c r="H17" s="613"/>
      <c r="I17" s="613"/>
      <c r="J17" s="613"/>
      <c r="K17" s="613"/>
      <c r="L17" s="613"/>
      <c r="M17" s="613"/>
      <c r="N17" s="613"/>
      <c r="O17" s="613"/>
      <c r="P17" s="613"/>
      <c r="Q17" s="613"/>
      <c r="R17" s="613"/>
      <c r="S17" s="613"/>
      <c r="T17" s="613"/>
      <c r="U17" s="613"/>
      <c r="V17" s="260"/>
      <c r="W17" s="260"/>
      <c r="X17" s="260"/>
      <c r="Y17" s="613"/>
      <c r="Z17" s="613"/>
      <c r="AA17" s="613"/>
      <c r="AB17" s="613"/>
      <c r="AC17" s="613"/>
      <c r="AD17" s="613"/>
      <c r="AE17" s="613"/>
      <c r="AF17" s="613"/>
      <c r="AG17" s="260"/>
      <c r="AH17" s="260"/>
      <c r="AI17" s="260"/>
      <c r="AJ17" s="613"/>
      <c r="AK17" s="613"/>
      <c r="AL17" s="613"/>
      <c r="AM17" s="613"/>
      <c r="AN17" s="613"/>
      <c r="AO17" s="613"/>
      <c r="AP17" s="613"/>
      <c r="AQ17" s="613"/>
      <c r="AR17" s="260"/>
      <c r="AS17" s="260"/>
      <c r="AT17" s="260"/>
      <c r="AU17" s="613"/>
      <c r="AV17" s="613"/>
      <c r="AW17" s="613"/>
      <c r="AX17" s="613"/>
      <c r="AY17" s="613"/>
      <c r="AZ17" s="613"/>
      <c r="BA17" s="613"/>
      <c r="BB17" s="613"/>
      <c r="BC17" s="260"/>
      <c r="BD17" s="260"/>
      <c r="BE17" s="260"/>
      <c r="BF17" s="613"/>
      <c r="BG17" s="613"/>
      <c r="BH17" s="613"/>
      <c r="BI17" s="613"/>
      <c r="BJ17" s="613"/>
      <c r="BK17" s="613"/>
      <c r="BL17" s="613"/>
      <c r="BM17" s="613"/>
      <c r="BN17" s="260"/>
      <c r="BO17" s="260"/>
      <c r="BP17" s="260"/>
      <c r="BQ17" s="613"/>
      <c r="BR17" s="613"/>
      <c r="BS17" s="613"/>
      <c r="BT17" s="613"/>
      <c r="BU17" s="613"/>
      <c r="BV17" s="613"/>
      <c r="BW17" s="613"/>
      <c r="BX17" s="613"/>
      <c r="BY17" s="260"/>
      <c r="BZ17" s="260"/>
      <c r="CA17" s="260"/>
      <c r="CB17" s="613"/>
      <c r="CC17" s="613"/>
      <c r="CD17" s="613"/>
      <c r="CE17" s="613"/>
      <c r="CF17" s="613"/>
      <c r="CG17" s="613"/>
      <c r="CH17" s="613"/>
      <c r="CI17" s="613"/>
      <c r="CJ17" s="260"/>
      <c r="CK17" s="260"/>
      <c r="CL17" s="260"/>
      <c r="CM17" s="306"/>
      <c r="CN17" s="306"/>
      <c r="CO17" s="306"/>
      <c r="CP17" s="306"/>
      <c r="CQ17" s="306"/>
      <c r="CR17" s="306"/>
      <c r="CS17" s="306"/>
      <c r="CT17" s="306"/>
      <c r="CU17" s="306"/>
      <c r="CV17" s="306"/>
      <c r="CW17" s="306"/>
      <c r="CX17" s="613"/>
      <c r="CY17" s="613"/>
      <c r="CZ17" s="613"/>
      <c r="DA17" s="613"/>
      <c r="DB17" s="613"/>
      <c r="DC17" s="613"/>
      <c r="DD17" s="613"/>
      <c r="DE17" s="613"/>
      <c r="DF17" s="49"/>
      <c r="DG17" s="49"/>
      <c r="DH17" s="49"/>
      <c r="DI17" s="613"/>
      <c r="DJ17" s="613"/>
      <c r="DK17" s="613"/>
      <c r="DL17" s="613"/>
      <c r="DM17" s="613"/>
      <c r="DN17" s="613"/>
      <c r="DO17" s="613"/>
      <c r="DP17" s="613"/>
      <c r="DQ17" s="49"/>
      <c r="DR17" s="49"/>
      <c r="DS17" s="49"/>
      <c r="DT17" s="306"/>
      <c r="DU17" s="306"/>
      <c r="DV17" s="306"/>
      <c r="DW17" s="306"/>
      <c r="DX17" s="306"/>
      <c r="DY17" s="306"/>
      <c r="DZ17" s="306"/>
      <c r="EA17" s="306"/>
      <c r="EB17" s="306"/>
      <c r="EC17" s="306"/>
      <c r="ED17" s="306"/>
      <c r="EE17" s="613"/>
      <c r="EF17" s="613"/>
      <c r="EG17" s="613"/>
      <c r="EH17" s="613"/>
      <c r="EI17" s="613"/>
      <c r="EJ17" s="613"/>
      <c r="EK17" s="613"/>
      <c r="EL17" s="613"/>
      <c r="EM17" s="49"/>
      <c r="EN17" s="49"/>
      <c r="EO17" s="49"/>
      <c r="EP17" s="613"/>
      <c r="EQ17" s="613"/>
      <c r="ER17" s="613"/>
      <c r="ES17" s="613"/>
      <c r="ET17" s="613"/>
      <c r="EU17" s="613"/>
      <c r="EV17" s="613"/>
      <c r="EW17" s="613"/>
      <c r="EX17" s="49"/>
      <c r="EY17" s="49"/>
      <c r="EZ17" s="49"/>
    </row>
    <row r="18" spans="1:156" ht="15">
      <c r="A18" s="17"/>
      <c r="B18" s="16" t="s">
        <v>26</v>
      </c>
      <c r="C18" s="613"/>
      <c r="D18" s="613"/>
      <c r="E18" s="613"/>
      <c r="F18" s="613"/>
      <c r="G18" s="613"/>
      <c r="H18" s="613"/>
      <c r="I18" s="613"/>
      <c r="J18" s="613"/>
      <c r="K18" s="613"/>
      <c r="L18" s="613"/>
      <c r="M18" s="613"/>
      <c r="N18" s="613"/>
      <c r="O18" s="613"/>
      <c r="P18" s="613"/>
      <c r="Q18" s="613"/>
      <c r="R18" s="613"/>
      <c r="S18" s="613"/>
      <c r="T18" s="613"/>
      <c r="U18" s="613"/>
      <c r="V18" s="260"/>
      <c r="W18" s="260"/>
      <c r="X18" s="260"/>
      <c r="Y18" s="613"/>
      <c r="Z18" s="613"/>
      <c r="AA18" s="613"/>
      <c r="AB18" s="613"/>
      <c r="AC18" s="613"/>
      <c r="AD18" s="613"/>
      <c r="AE18" s="613"/>
      <c r="AF18" s="613"/>
      <c r="AG18" s="260"/>
      <c r="AH18" s="260"/>
      <c r="AI18" s="260"/>
      <c r="AJ18" s="613"/>
      <c r="AK18" s="613"/>
      <c r="AL18" s="613"/>
      <c r="AM18" s="613"/>
      <c r="AN18" s="613"/>
      <c r="AO18" s="613"/>
      <c r="AP18" s="613"/>
      <c r="AQ18" s="613"/>
      <c r="AR18" s="260"/>
      <c r="AS18" s="260"/>
      <c r="AT18" s="260"/>
      <c r="AU18" s="613"/>
      <c r="AV18" s="613"/>
      <c r="AW18" s="613"/>
      <c r="AX18" s="613"/>
      <c r="AY18" s="613"/>
      <c r="AZ18" s="613"/>
      <c r="BA18" s="613"/>
      <c r="BB18" s="613"/>
      <c r="BC18" s="260"/>
      <c r="BD18" s="260"/>
      <c r="BE18" s="260"/>
      <c r="BF18" s="613"/>
      <c r="BG18" s="613"/>
      <c r="BH18" s="613"/>
      <c r="BI18" s="613"/>
      <c r="BJ18" s="613"/>
      <c r="BK18" s="613"/>
      <c r="BL18" s="613"/>
      <c r="BM18" s="613"/>
      <c r="BN18" s="260"/>
      <c r="BO18" s="260"/>
      <c r="BP18" s="260"/>
      <c r="BQ18" s="613"/>
      <c r="BR18" s="613"/>
      <c r="BS18" s="613"/>
      <c r="BT18" s="613"/>
      <c r="BU18" s="613"/>
      <c r="BV18" s="613"/>
      <c r="BW18" s="613"/>
      <c r="BX18" s="613"/>
      <c r="BY18" s="260"/>
      <c r="BZ18" s="260"/>
      <c r="CA18" s="260"/>
      <c r="CB18" s="613"/>
      <c r="CC18" s="613"/>
      <c r="CD18" s="613"/>
      <c r="CE18" s="613"/>
      <c r="CF18" s="613"/>
      <c r="CG18" s="613"/>
      <c r="CH18" s="613"/>
      <c r="CI18" s="613"/>
      <c r="CJ18" s="260"/>
      <c r="CK18" s="260"/>
      <c r="CL18" s="260"/>
      <c r="CM18" s="306"/>
      <c r="CN18" s="306"/>
      <c r="CO18" s="306"/>
      <c r="CP18" s="306"/>
      <c r="CQ18" s="306"/>
      <c r="CR18" s="306"/>
      <c r="CS18" s="306"/>
      <c r="CT18" s="306"/>
      <c r="CU18" s="306"/>
      <c r="CV18" s="306"/>
      <c r="CW18" s="306"/>
      <c r="CX18" s="613"/>
      <c r="CY18" s="613"/>
      <c r="CZ18" s="613"/>
      <c r="DA18" s="613"/>
      <c r="DB18" s="613"/>
      <c r="DC18" s="613"/>
      <c r="DD18" s="613"/>
      <c r="DE18" s="613"/>
      <c r="DF18" s="49"/>
      <c r="DG18" s="49"/>
      <c r="DH18" s="49"/>
      <c r="DI18" s="613"/>
      <c r="DJ18" s="613"/>
      <c r="DK18" s="613"/>
      <c r="DL18" s="613"/>
      <c r="DM18" s="613"/>
      <c r="DN18" s="613"/>
      <c r="DO18" s="613"/>
      <c r="DP18" s="613"/>
      <c r="DQ18" s="49"/>
      <c r="DR18" s="49"/>
      <c r="DS18" s="49"/>
      <c r="DT18" s="306"/>
      <c r="DU18" s="306"/>
      <c r="DV18" s="306"/>
      <c r="DW18" s="306"/>
      <c r="DX18" s="306"/>
      <c r="DY18" s="306"/>
      <c r="DZ18" s="306"/>
      <c r="EA18" s="306"/>
      <c r="EB18" s="306"/>
      <c r="EC18" s="306"/>
      <c r="ED18" s="306"/>
      <c r="EE18" s="613"/>
      <c r="EF18" s="613"/>
      <c r="EG18" s="613"/>
      <c r="EH18" s="613"/>
      <c r="EI18" s="613"/>
      <c r="EJ18" s="613"/>
      <c r="EK18" s="613"/>
      <c r="EL18" s="613"/>
      <c r="EM18" s="49"/>
      <c r="EN18" s="49"/>
      <c r="EO18" s="49"/>
      <c r="EP18" s="613"/>
      <c r="EQ18" s="613"/>
      <c r="ER18" s="613"/>
      <c r="ES18" s="613"/>
      <c r="ET18" s="613"/>
      <c r="EU18" s="613"/>
      <c r="EV18" s="613"/>
      <c r="EW18" s="613"/>
      <c r="EX18" s="49"/>
      <c r="EY18" s="49"/>
      <c r="EZ18" s="49"/>
    </row>
    <row r="19" spans="1:156" s="106" customFormat="1" ht="30" customHeight="1">
      <c r="A19" s="110" t="s">
        <v>27</v>
      </c>
      <c r="B19" s="111" t="s">
        <v>76</v>
      </c>
      <c r="C19" s="614">
        <f>'4.1_КТЭЦ'!C19+'4.1_котельные'!C19</f>
        <v>47.480999999999995</v>
      </c>
      <c r="D19" s="614">
        <f>'4.1_КТЭЦ'!D19+'4.1_котельные'!D19</f>
        <v>47.480999999999995</v>
      </c>
      <c r="E19" s="614"/>
      <c r="F19" s="614"/>
      <c r="G19" s="614"/>
      <c r="H19" s="614">
        <f>'4.1_КТЭЦ'!H19+'4.1_котельные'!H19</f>
        <v>0</v>
      </c>
      <c r="I19" s="614"/>
      <c r="J19" s="614">
        <f>'4.1_КТЭЦ'!J19+'4.1_котельные'!J19</f>
        <v>0</v>
      </c>
      <c r="K19" s="614"/>
      <c r="L19" s="614"/>
      <c r="M19" s="614"/>
      <c r="N19" s="614">
        <f>'4.1_КТЭЦ'!N19+'4.1_котельные'!N19</f>
        <v>47.086599999999997</v>
      </c>
      <c r="O19" s="614">
        <f>'4.1_КТЭЦ'!O19+'4.1_котельные'!O19</f>
        <v>17.804600000000001</v>
      </c>
      <c r="P19" s="614"/>
      <c r="Q19" s="614"/>
      <c r="R19" s="614"/>
      <c r="S19" s="614">
        <f>'4.1_КТЭЦ'!S19+'4.1_котельные'!S19</f>
        <v>29.282</v>
      </c>
      <c r="T19" s="614"/>
      <c r="U19" s="614">
        <f>'4.1_КТЭЦ'!U19+'4.1_котельные'!U19</f>
        <v>29.282</v>
      </c>
      <c r="V19" s="286"/>
      <c r="W19" s="286"/>
      <c r="X19" s="286"/>
      <c r="Y19" s="614">
        <v>50.639000000000003</v>
      </c>
      <c r="Z19" s="614">
        <v>20.052</v>
      </c>
      <c r="AA19" s="614"/>
      <c r="AB19" s="614"/>
      <c r="AC19" s="614"/>
      <c r="AD19" s="614">
        <v>30.587</v>
      </c>
      <c r="AE19" s="614"/>
      <c r="AF19" s="614">
        <v>30.587</v>
      </c>
      <c r="AG19" s="286"/>
      <c r="AH19" s="286"/>
      <c r="AI19" s="286"/>
      <c r="AJ19" s="614">
        <v>46.820699999999995</v>
      </c>
      <c r="AK19" s="614">
        <v>17.925700000000003</v>
      </c>
      <c r="AL19" s="614">
        <v>17.925999999999998</v>
      </c>
      <c r="AM19" s="614">
        <v>0</v>
      </c>
      <c r="AN19" s="614">
        <v>0</v>
      </c>
      <c r="AO19" s="614">
        <v>28.895</v>
      </c>
      <c r="AP19" s="614"/>
      <c r="AQ19" s="614">
        <v>28.895</v>
      </c>
      <c r="AR19" s="286"/>
      <c r="AS19" s="286"/>
      <c r="AT19" s="286"/>
      <c r="AU19" s="614">
        <v>47.750000000000398</v>
      </c>
      <c r="AV19" s="614">
        <v>17.215000000000401</v>
      </c>
      <c r="AW19" s="614"/>
      <c r="AX19" s="614"/>
      <c r="AY19" s="614"/>
      <c r="AZ19" s="614">
        <v>30.535</v>
      </c>
      <c r="BA19" s="614"/>
      <c r="BB19" s="614">
        <v>30.535</v>
      </c>
      <c r="BC19" s="286"/>
      <c r="BD19" s="286"/>
      <c r="BE19" s="286"/>
      <c r="BF19" s="614">
        <v>48.776000000000003</v>
      </c>
      <c r="BG19" s="614">
        <v>18.408000000000001</v>
      </c>
      <c r="BH19" s="614">
        <v>18.408000000000001</v>
      </c>
      <c r="BI19" s="614">
        <v>0</v>
      </c>
      <c r="BJ19" s="614">
        <v>0</v>
      </c>
      <c r="BK19" s="614">
        <v>30.367999999999999</v>
      </c>
      <c r="BL19" s="614"/>
      <c r="BM19" s="614">
        <v>30.367999999999999</v>
      </c>
      <c r="BN19" s="286"/>
      <c r="BO19" s="286"/>
      <c r="BP19" s="286"/>
      <c r="BQ19" s="614">
        <v>46.820999999999984</v>
      </c>
      <c r="BR19" s="614">
        <v>17.481769804126117</v>
      </c>
      <c r="BS19" s="614">
        <v>17.481769804126117</v>
      </c>
      <c r="BT19" s="614">
        <v>0</v>
      </c>
      <c r="BU19" s="614">
        <v>0</v>
      </c>
      <c r="BV19" s="614">
        <v>29.339230195873867</v>
      </c>
      <c r="BW19" s="614"/>
      <c r="BX19" s="614">
        <v>29.339230195873867</v>
      </c>
      <c r="BY19" s="286"/>
      <c r="BZ19" s="286"/>
      <c r="CA19" s="286"/>
      <c r="CB19" s="614">
        <v>46.888999999999996</v>
      </c>
      <c r="CC19" s="614">
        <v>16.523000000000003</v>
      </c>
      <c r="CD19" s="614">
        <v>16.523000000000003</v>
      </c>
      <c r="CE19" s="614">
        <v>0</v>
      </c>
      <c r="CF19" s="614">
        <v>0</v>
      </c>
      <c r="CG19" s="614">
        <v>30.366</v>
      </c>
      <c r="CH19" s="614"/>
      <c r="CI19" s="614">
        <v>30.366</v>
      </c>
      <c r="CJ19" s="286"/>
      <c r="CK19" s="286"/>
      <c r="CL19" s="286"/>
      <c r="CM19" s="304">
        <v>47.430999999999997</v>
      </c>
      <c r="CN19" s="304">
        <v>17.064999999999998</v>
      </c>
      <c r="CO19" s="304">
        <v>17.064999999999998</v>
      </c>
      <c r="CP19" s="304">
        <v>0</v>
      </c>
      <c r="CQ19" s="304">
        <v>0</v>
      </c>
      <c r="CR19" s="304">
        <v>30.366</v>
      </c>
      <c r="CS19" s="304"/>
      <c r="CT19" s="304">
        <v>30.366</v>
      </c>
      <c r="CU19" s="304"/>
      <c r="CV19" s="304"/>
      <c r="CW19" s="304"/>
      <c r="CX19" s="614">
        <v>27.440999999999999</v>
      </c>
      <c r="CY19" s="614">
        <v>10.545999999999999</v>
      </c>
      <c r="CZ19" s="614">
        <v>10.545999999999999</v>
      </c>
      <c r="DA19" s="614">
        <v>0</v>
      </c>
      <c r="DB19" s="614">
        <v>0</v>
      </c>
      <c r="DC19" s="614">
        <v>16.895</v>
      </c>
      <c r="DD19" s="614"/>
      <c r="DE19" s="614">
        <v>16.895</v>
      </c>
      <c r="DF19" s="112"/>
      <c r="DG19" s="112"/>
      <c r="DH19" s="112"/>
      <c r="DI19" s="614">
        <v>19.989999999999998</v>
      </c>
      <c r="DJ19" s="614">
        <v>6.5190000000000001</v>
      </c>
      <c r="DK19" s="614">
        <v>6.5190000000000001</v>
      </c>
      <c r="DL19" s="614">
        <v>0</v>
      </c>
      <c r="DM19" s="614">
        <v>0</v>
      </c>
      <c r="DN19" s="614">
        <v>13.471</v>
      </c>
      <c r="DO19" s="614"/>
      <c r="DP19" s="614">
        <v>13.471</v>
      </c>
      <c r="DQ19" s="112"/>
      <c r="DR19" s="112"/>
      <c r="DS19" s="112"/>
      <c r="DT19" s="304">
        <v>47.430999999999997</v>
      </c>
      <c r="DU19" s="304">
        <v>17.064999999999998</v>
      </c>
      <c r="DV19" s="304">
        <v>17.064999999999998</v>
      </c>
      <c r="DW19" s="304">
        <v>0</v>
      </c>
      <c r="DX19" s="304">
        <v>0</v>
      </c>
      <c r="DY19" s="304">
        <v>30.366</v>
      </c>
      <c r="DZ19" s="304"/>
      <c r="EA19" s="304">
        <v>30.366</v>
      </c>
      <c r="EB19" s="304"/>
      <c r="EC19" s="304"/>
      <c r="ED19" s="304"/>
      <c r="EE19" s="614">
        <v>27.440999999999999</v>
      </c>
      <c r="EF19" s="614">
        <v>10.545999999999999</v>
      </c>
      <c r="EG19" s="614">
        <v>10.545999999999999</v>
      </c>
      <c r="EH19" s="614">
        <v>0</v>
      </c>
      <c r="EI19" s="614">
        <v>0</v>
      </c>
      <c r="EJ19" s="614">
        <v>16.895</v>
      </c>
      <c r="EK19" s="614"/>
      <c r="EL19" s="614">
        <v>16.895</v>
      </c>
      <c r="EM19" s="112"/>
      <c r="EN19" s="112"/>
      <c r="EO19" s="112"/>
      <c r="EP19" s="614">
        <v>19.989999999999998</v>
      </c>
      <c r="EQ19" s="614">
        <v>6.5190000000000001</v>
      </c>
      <c r="ER19" s="614">
        <v>6.5190000000000001</v>
      </c>
      <c r="ES19" s="614">
        <v>0</v>
      </c>
      <c r="ET19" s="614">
        <v>0</v>
      </c>
      <c r="EU19" s="614">
        <v>13.471</v>
      </c>
      <c r="EV19" s="614"/>
      <c r="EW19" s="614">
        <v>13.471</v>
      </c>
      <c r="EX19" s="112"/>
      <c r="EY19" s="112"/>
      <c r="EZ19" s="112"/>
    </row>
    <row r="20" spans="1:156" s="106" customFormat="1" ht="42.75">
      <c r="A20" s="110" t="s">
        <v>30</v>
      </c>
      <c r="B20" s="111" t="s">
        <v>77</v>
      </c>
      <c r="C20" s="286">
        <f>C10+C16-C19</f>
        <v>1716.038</v>
      </c>
      <c r="D20" s="286">
        <f>D10+D16-D19</f>
        <v>1713.6559999999999</v>
      </c>
      <c r="E20" s="286"/>
      <c r="F20" s="286"/>
      <c r="G20" s="286"/>
      <c r="H20" s="286">
        <f>H10+H16-H19</f>
        <v>2.3820000000000001</v>
      </c>
      <c r="I20" s="286"/>
      <c r="J20" s="286">
        <f t="shared" ref="J20" si="3">J10+J16-J19</f>
        <v>2.3820000000000001</v>
      </c>
      <c r="K20" s="614"/>
      <c r="L20" s="614"/>
      <c r="M20" s="614"/>
      <c r="N20" s="286">
        <f>N10+N16-N19</f>
        <v>1704.5849000000001</v>
      </c>
      <c r="O20" s="286">
        <f>O10+O16-O19</f>
        <v>1700.1419000000001</v>
      </c>
      <c r="P20" s="286"/>
      <c r="Q20" s="286"/>
      <c r="R20" s="286"/>
      <c r="S20" s="286">
        <f>S10+S16-S19</f>
        <v>4.4430000000000014</v>
      </c>
      <c r="T20" s="286"/>
      <c r="U20" s="286">
        <f t="shared" ref="U20" si="4">U10+U16-U19</f>
        <v>4.4430000000000014</v>
      </c>
      <c r="V20" s="286"/>
      <c r="W20" s="286"/>
      <c r="X20" s="286"/>
      <c r="Y20" s="286">
        <v>1706.9540000000002</v>
      </c>
      <c r="Z20" s="286">
        <v>1704.5720000000001</v>
      </c>
      <c r="AA20" s="286"/>
      <c r="AB20" s="286"/>
      <c r="AC20" s="286"/>
      <c r="AD20" s="286">
        <v>2.3820000000000014</v>
      </c>
      <c r="AE20" s="286"/>
      <c r="AF20" s="286">
        <v>2.3820000000000014</v>
      </c>
      <c r="AG20" s="286"/>
      <c r="AH20" s="286"/>
      <c r="AI20" s="286"/>
      <c r="AJ20" s="286">
        <v>1625.5954999999999</v>
      </c>
      <c r="AK20" s="614">
        <v>1621.3434999999999</v>
      </c>
      <c r="AL20" s="286">
        <v>1130.8690000000001</v>
      </c>
      <c r="AM20" s="614">
        <v>1116.9549999999999</v>
      </c>
      <c r="AN20" s="614">
        <v>1446.2799999999997</v>
      </c>
      <c r="AO20" s="286">
        <v>4.2519999999999989</v>
      </c>
      <c r="AP20" s="286"/>
      <c r="AQ20" s="286">
        <v>4.2519999999999989</v>
      </c>
      <c r="AR20" s="286"/>
      <c r="AS20" s="286"/>
      <c r="AT20" s="286"/>
      <c r="AU20" s="286">
        <v>1700.0639999999994</v>
      </c>
      <c r="AV20" s="286">
        <v>1695.9009999999996</v>
      </c>
      <c r="AW20" s="286"/>
      <c r="AX20" s="286"/>
      <c r="AY20" s="286"/>
      <c r="AZ20" s="286">
        <v>4.1630000000000003</v>
      </c>
      <c r="BA20" s="286"/>
      <c r="BB20" s="286">
        <v>4.1630000000000003</v>
      </c>
      <c r="BC20" s="286"/>
      <c r="BD20" s="286"/>
      <c r="BE20" s="286"/>
      <c r="BF20" s="286">
        <v>1549.3610000000001</v>
      </c>
      <c r="BG20" s="614">
        <v>1545.94</v>
      </c>
      <c r="BH20" s="286">
        <v>1564.3480000000002</v>
      </c>
      <c r="BI20" s="614">
        <v>1541.5250000000001</v>
      </c>
      <c r="BJ20" s="614">
        <v>1363.375</v>
      </c>
      <c r="BK20" s="286">
        <v>3.4210000000000029</v>
      </c>
      <c r="BL20" s="286"/>
      <c r="BM20" s="286">
        <v>3.4210000000000029</v>
      </c>
      <c r="BN20" s="286"/>
      <c r="BO20" s="286"/>
      <c r="BP20" s="286"/>
      <c r="BQ20" s="286">
        <v>1587.9150000000002</v>
      </c>
      <c r="BR20" s="614">
        <v>1583.7504852938803</v>
      </c>
      <c r="BS20" s="286">
        <v>1088.472</v>
      </c>
      <c r="BT20" s="614">
        <v>1092.34675128146</v>
      </c>
      <c r="BU20" s="614">
        <v>1411.7901348807084</v>
      </c>
      <c r="BV20" s="286">
        <v>4.164514706119661</v>
      </c>
      <c r="BW20" s="286"/>
      <c r="BX20" s="286">
        <v>4.164514706119661</v>
      </c>
      <c r="BY20" s="286"/>
      <c r="BZ20" s="286"/>
      <c r="CA20" s="286"/>
      <c r="CB20" s="286">
        <v>1573.4630000000002</v>
      </c>
      <c r="CC20" s="614">
        <v>1569.367</v>
      </c>
      <c r="CD20" s="286">
        <v>1585.8899999999999</v>
      </c>
      <c r="CE20" s="614">
        <v>1564.9669999999999</v>
      </c>
      <c r="CF20" s="614">
        <v>1393.4949999999999</v>
      </c>
      <c r="CG20" s="286">
        <v>4.0959999999999965</v>
      </c>
      <c r="CH20" s="286"/>
      <c r="CI20" s="286">
        <v>4.0959999999999965</v>
      </c>
      <c r="CJ20" s="286"/>
      <c r="CK20" s="286"/>
      <c r="CL20" s="286"/>
      <c r="CM20" s="304">
        <v>1573.9169999999999</v>
      </c>
      <c r="CN20" s="614">
        <v>1569.8209999999999</v>
      </c>
      <c r="CO20" s="286">
        <v>1586.8859999999997</v>
      </c>
      <c r="CP20" s="614">
        <v>1083.9689999999998</v>
      </c>
      <c r="CQ20" s="614">
        <v>920.41199999999981</v>
      </c>
      <c r="CR20" s="286">
        <v>4.0960000000000036</v>
      </c>
      <c r="CS20" s="286"/>
      <c r="CT20" s="286">
        <v>4.0960000000000036</v>
      </c>
      <c r="CU20" s="304"/>
      <c r="CV20" s="304"/>
      <c r="CW20" s="304"/>
      <c r="CX20" s="286">
        <v>955.19299999999998</v>
      </c>
      <c r="CY20" s="614">
        <v>953.25799999999992</v>
      </c>
      <c r="CZ20" s="286">
        <v>963.80399999999997</v>
      </c>
      <c r="DA20" s="614">
        <v>950.26799999999992</v>
      </c>
      <c r="DB20" s="614">
        <v>851.42899999999997</v>
      </c>
      <c r="DC20" s="286">
        <v>1.9350000000000023</v>
      </c>
      <c r="DD20" s="286"/>
      <c r="DE20" s="286">
        <v>1.9350000000000023</v>
      </c>
      <c r="DF20" s="112"/>
      <c r="DG20" s="112"/>
      <c r="DH20" s="112"/>
      <c r="DI20" s="286">
        <v>618.72399999999993</v>
      </c>
      <c r="DJ20" s="614">
        <v>616.56299999999999</v>
      </c>
      <c r="DK20" s="286">
        <v>623.08199999999999</v>
      </c>
      <c r="DL20" s="614">
        <v>615.15300000000002</v>
      </c>
      <c r="DM20" s="614">
        <v>542.52</v>
      </c>
      <c r="DN20" s="286">
        <v>2.1610000000000014</v>
      </c>
      <c r="DO20" s="286"/>
      <c r="DP20" s="286">
        <v>2.1610000000000014</v>
      </c>
      <c r="DQ20" s="112"/>
      <c r="DR20" s="112"/>
      <c r="DS20" s="112"/>
      <c r="DT20" s="304">
        <v>1573.9169999999999</v>
      </c>
      <c r="DU20" s="614">
        <v>1569.8209999999999</v>
      </c>
      <c r="DV20" s="286">
        <v>1586.8859999999997</v>
      </c>
      <c r="DW20" s="614">
        <v>1083.9689999999998</v>
      </c>
      <c r="DX20" s="614">
        <v>920.41199999999981</v>
      </c>
      <c r="DY20" s="286">
        <v>4.0960000000000036</v>
      </c>
      <c r="DZ20" s="286"/>
      <c r="EA20" s="286">
        <v>4.0960000000000036</v>
      </c>
      <c r="EB20" s="304"/>
      <c r="EC20" s="304"/>
      <c r="ED20" s="304"/>
      <c r="EE20" s="286">
        <v>955.19299999999998</v>
      </c>
      <c r="EF20" s="614">
        <v>953.25799999999992</v>
      </c>
      <c r="EG20" s="286">
        <v>963.80399999999997</v>
      </c>
      <c r="EH20" s="614">
        <v>950.26799999999992</v>
      </c>
      <c r="EI20" s="614">
        <v>851.42899999999997</v>
      </c>
      <c r="EJ20" s="286">
        <v>1.9350000000000023</v>
      </c>
      <c r="EK20" s="286"/>
      <c r="EL20" s="286">
        <v>1.9350000000000023</v>
      </c>
      <c r="EM20" s="112"/>
      <c r="EN20" s="112"/>
      <c r="EO20" s="112"/>
      <c r="EP20" s="286">
        <v>618.72399999999993</v>
      </c>
      <c r="EQ20" s="614">
        <v>616.56299999999999</v>
      </c>
      <c r="ER20" s="286">
        <v>623.08199999999999</v>
      </c>
      <c r="ES20" s="614">
        <v>615.15300000000002</v>
      </c>
      <c r="ET20" s="614">
        <v>542.52</v>
      </c>
      <c r="EU20" s="286">
        <v>2.1610000000000014</v>
      </c>
      <c r="EV20" s="286"/>
      <c r="EW20" s="286">
        <v>2.1610000000000014</v>
      </c>
      <c r="EX20" s="112"/>
      <c r="EY20" s="112"/>
      <c r="EZ20" s="112"/>
    </row>
    <row r="21" spans="1:156" s="106" customFormat="1" ht="30" customHeight="1">
      <c r="A21" s="110" t="s">
        <v>78</v>
      </c>
      <c r="B21" s="111" t="s">
        <v>79</v>
      </c>
      <c r="C21" s="286">
        <f>SUM(C23:C24)</f>
        <v>336.37900000000002</v>
      </c>
      <c r="D21" s="286">
        <f t="shared" ref="D21:J21" si="5">SUM(D23:D24)</f>
        <v>336.37900000000002</v>
      </c>
      <c r="E21" s="286"/>
      <c r="F21" s="286"/>
      <c r="G21" s="286"/>
      <c r="H21" s="286">
        <f t="shared" si="5"/>
        <v>0</v>
      </c>
      <c r="I21" s="286"/>
      <c r="J21" s="286">
        <f t="shared" si="5"/>
        <v>0</v>
      </c>
      <c r="K21" s="614"/>
      <c r="L21" s="614"/>
      <c r="M21" s="614"/>
      <c r="N21" s="286">
        <f>SUM(N23:N24)</f>
        <v>329.76319999999998</v>
      </c>
      <c r="O21" s="286">
        <f t="shared" ref="O21:S21" si="6">SUM(O23:O24)</f>
        <v>329.76319999999998</v>
      </c>
      <c r="P21" s="286"/>
      <c r="Q21" s="286"/>
      <c r="R21" s="286"/>
      <c r="S21" s="286">
        <f t="shared" si="6"/>
        <v>0</v>
      </c>
      <c r="T21" s="286"/>
      <c r="U21" s="286">
        <f t="shared" ref="U21" si="7">SUM(U23:U24)</f>
        <v>0</v>
      </c>
      <c r="V21" s="286"/>
      <c r="W21" s="286"/>
      <c r="X21" s="286"/>
      <c r="Y21" s="286">
        <v>333.80699999999996</v>
      </c>
      <c r="Z21" s="286">
        <v>333.80699999999996</v>
      </c>
      <c r="AA21" s="286"/>
      <c r="AB21" s="286"/>
      <c r="AC21" s="286"/>
      <c r="AD21" s="286">
        <v>0</v>
      </c>
      <c r="AE21" s="286"/>
      <c r="AF21" s="286">
        <v>0</v>
      </c>
      <c r="AG21" s="286"/>
      <c r="AH21" s="286"/>
      <c r="AI21" s="286"/>
      <c r="AJ21" s="286">
        <v>329.65329999999994</v>
      </c>
      <c r="AK21" s="286">
        <v>329.65329999999994</v>
      </c>
      <c r="AL21" s="286">
        <v>0</v>
      </c>
      <c r="AM21" s="286">
        <v>122.33199999999999</v>
      </c>
      <c r="AN21" s="286">
        <v>207.321</v>
      </c>
      <c r="AO21" s="286">
        <v>0</v>
      </c>
      <c r="AP21" s="286"/>
      <c r="AQ21" s="286">
        <v>0</v>
      </c>
      <c r="AR21" s="286"/>
      <c r="AS21" s="286"/>
      <c r="AT21" s="286"/>
      <c r="AU21" s="286">
        <v>329.52842409999988</v>
      </c>
      <c r="AV21" s="286">
        <v>329.52842409999988</v>
      </c>
      <c r="AW21" s="286"/>
      <c r="AX21" s="286"/>
      <c r="AY21" s="286"/>
      <c r="AZ21" s="286">
        <v>0</v>
      </c>
      <c r="BA21" s="286"/>
      <c r="BB21" s="286">
        <v>0</v>
      </c>
      <c r="BC21" s="286"/>
      <c r="BD21" s="286"/>
      <c r="BE21" s="286"/>
      <c r="BF21" s="286">
        <v>319.02999999999997</v>
      </c>
      <c r="BG21" s="286">
        <v>319.02999999999997</v>
      </c>
      <c r="BH21" s="286">
        <v>0</v>
      </c>
      <c r="BI21" s="286">
        <v>124.319</v>
      </c>
      <c r="BJ21" s="286">
        <v>194.71099999999998</v>
      </c>
      <c r="BK21" s="286">
        <v>0</v>
      </c>
      <c r="BL21" s="286"/>
      <c r="BM21" s="286">
        <v>0</v>
      </c>
      <c r="BN21" s="286"/>
      <c r="BO21" s="286"/>
      <c r="BP21" s="286"/>
      <c r="BQ21" s="286">
        <v>324.54359999999997</v>
      </c>
      <c r="BR21" s="286">
        <v>324.18639999999994</v>
      </c>
      <c r="BS21" s="286">
        <v>0</v>
      </c>
      <c r="BT21" s="286">
        <v>121.88200000000001</v>
      </c>
      <c r="BU21" s="286">
        <v>202.30439999999996</v>
      </c>
      <c r="BV21" s="286">
        <v>0.35720000000000002</v>
      </c>
      <c r="BW21" s="286"/>
      <c r="BX21" s="286">
        <v>0</v>
      </c>
      <c r="BY21" s="286"/>
      <c r="BZ21" s="286"/>
      <c r="CA21" s="286"/>
      <c r="CB21" s="286">
        <v>324.02100000000002</v>
      </c>
      <c r="CC21" s="286">
        <v>324.02100000000002</v>
      </c>
      <c r="CD21" s="286">
        <v>0</v>
      </c>
      <c r="CE21" s="286">
        <v>121.88200000000001</v>
      </c>
      <c r="CF21" s="286">
        <v>202.13899999999998</v>
      </c>
      <c r="CG21" s="286">
        <v>0</v>
      </c>
      <c r="CH21" s="286"/>
      <c r="CI21" s="286">
        <v>0</v>
      </c>
      <c r="CJ21" s="286"/>
      <c r="CK21" s="286"/>
      <c r="CL21" s="286"/>
      <c r="CM21" s="304">
        <v>324.18600000000004</v>
      </c>
      <c r="CN21" s="304">
        <v>324.18600000000004</v>
      </c>
      <c r="CO21" s="304">
        <v>0</v>
      </c>
      <c r="CP21" s="304">
        <v>121.88200000000001</v>
      </c>
      <c r="CQ21" s="304">
        <v>202.304</v>
      </c>
      <c r="CR21" s="304">
        <v>0</v>
      </c>
      <c r="CS21" s="304"/>
      <c r="CT21" s="304">
        <v>0</v>
      </c>
      <c r="CU21" s="304"/>
      <c r="CV21" s="304"/>
      <c r="CW21" s="304"/>
      <c r="CX21" s="286">
        <v>189.64600000000002</v>
      </c>
      <c r="CY21" s="286">
        <v>189.64600000000002</v>
      </c>
      <c r="CZ21" s="286">
        <v>0</v>
      </c>
      <c r="DA21" s="286">
        <v>66.948000000000008</v>
      </c>
      <c r="DB21" s="286">
        <v>122.69800000000001</v>
      </c>
      <c r="DC21" s="286">
        <v>0</v>
      </c>
      <c r="DD21" s="286"/>
      <c r="DE21" s="286">
        <v>0</v>
      </c>
      <c r="DF21" s="112"/>
      <c r="DG21" s="112"/>
      <c r="DH21" s="112"/>
      <c r="DI21" s="286">
        <v>134.54</v>
      </c>
      <c r="DJ21" s="286">
        <v>134.54</v>
      </c>
      <c r="DK21" s="286">
        <v>0</v>
      </c>
      <c r="DL21" s="286">
        <v>54.933999999999997</v>
      </c>
      <c r="DM21" s="286">
        <v>79.605999999999995</v>
      </c>
      <c r="DN21" s="286">
        <v>0</v>
      </c>
      <c r="DO21" s="286"/>
      <c r="DP21" s="286">
        <v>0</v>
      </c>
      <c r="DQ21" s="112"/>
      <c r="DR21" s="112"/>
      <c r="DS21" s="112"/>
      <c r="DT21" s="304">
        <v>324.18600000000004</v>
      </c>
      <c r="DU21" s="304">
        <v>324.18600000000004</v>
      </c>
      <c r="DV21" s="304">
        <v>0</v>
      </c>
      <c r="DW21" s="304">
        <v>121.88200000000001</v>
      </c>
      <c r="DX21" s="304">
        <v>202.304</v>
      </c>
      <c r="DY21" s="304">
        <v>0</v>
      </c>
      <c r="DZ21" s="304"/>
      <c r="EA21" s="304">
        <v>0</v>
      </c>
      <c r="EB21" s="304"/>
      <c r="EC21" s="304"/>
      <c r="ED21" s="304"/>
      <c r="EE21" s="286">
        <v>189.64600000000002</v>
      </c>
      <c r="EF21" s="286">
        <v>189.64600000000002</v>
      </c>
      <c r="EG21" s="286">
        <v>0</v>
      </c>
      <c r="EH21" s="286">
        <v>66.948000000000008</v>
      </c>
      <c r="EI21" s="286">
        <v>122.69800000000001</v>
      </c>
      <c r="EJ21" s="286">
        <v>0</v>
      </c>
      <c r="EK21" s="286"/>
      <c r="EL21" s="286">
        <v>0</v>
      </c>
      <c r="EM21" s="112"/>
      <c r="EN21" s="112"/>
      <c r="EO21" s="112"/>
      <c r="EP21" s="286">
        <v>134.54</v>
      </c>
      <c r="EQ21" s="286">
        <v>134.54</v>
      </c>
      <c r="ER21" s="286">
        <v>0</v>
      </c>
      <c r="ES21" s="286">
        <v>54.933999999999997</v>
      </c>
      <c r="ET21" s="286">
        <v>79.605999999999995</v>
      </c>
      <c r="EU21" s="286">
        <v>0</v>
      </c>
      <c r="EV21" s="286"/>
      <c r="EW21" s="286">
        <v>0</v>
      </c>
      <c r="EX21" s="112"/>
      <c r="EY21" s="112"/>
      <c r="EZ21" s="112"/>
    </row>
    <row r="22" spans="1:156" ht="15" customHeight="1">
      <c r="A22" s="17" t="s">
        <v>80</v>
      </c>
      <c r="B22" s="16" t="s">
        <v>70</v>
      </c>
      <c r="C22" s="613"/>
      <c r="D22" s="613"/>
      <c r="E22" s="613"/>
      <c r="F22" s="613"/>
      <c r="G22" s="613"/>
      <c r="H22" s="613"/>
      <c r="I22" s="613"/>
      <c r="J22" s="613"/>
      <c r="K22" s="613"/>
      <c r="L22" s="613"/>
      <c r="M22" s="613"/>
      <c r="N22" s="613"/>
      <c r="O22" s="613"/>
      <c r="P22" s="613"/>
      <c r="Q22" s="613"/>
      <c r="R22" s="613"/>
      <c r="S22" s="613"/>
      <c r="T22" s="613"/>
      <c r="U22" s="613"/>
      <c r="V22" s="283"/>
      <c r="W22" s="283"/>
      <c r="X22" s="283"/>
      <c r="Y22" s="613"/>
      <c r="Z22" s="613"/>
      <c r="AA22" s="613"/>
      <c r="AB22" s="613"/>
      <c r="AC22" s="613"/>
      <c r="AD22" s="613"/>
      <c r="AE22" s="613"/>
      <c r="AF22" s="613"/>
      <c r="AG22" s="283"/>
      <c r="AH22" s="283"/>
      <c r="AI22" s="283"/>
      <c r="AJ22" s="613"/>
      <c r="AK22" s="613"/>
      <c r="AL22" s="613"/>
      <c r="AM22" s="613"/>
      <c r="AN22" s="613"/>
      <c r="AO22" s="613"/>
      <c r="AP22" s="613"/>
      <c r="AQ22" s="613"/>
      <c r="AR22" s="283"/>
      <c r="AS22" s="283"/>
      <c r="AT22" s="283"/>
      <c r="AU22" s="613"/>
      <c r="AV22" s="613"/>
      <c r="AW22" s="613"/>
      <c r="AX22" s="613"/>
      <c r="AY22" s="613"/>
      <c r="AZ22" s="613"/>
      <c r="BA22" s="613"/>
      <c r="BB22" s="613"/>
      <c r="BC22" s="283"/>
      <c r="BD22" s="283"/>
      <c r="BE22" s="283"/>
      <c r="BF22" s="613"/>
      <c r="BG22" s="613"/>
      <c r="BH22" s="613"/>
      <c r="BI22" s="613"/>
      <c r="BJ22" s="613"/>
      <c r="BK22" s="613"/>
      <c r="BL22" s="613"/>
      <c r="BM22" s="613"/>
      <c r="BN22" s="283"/>
      <c r="BO22" s="283"/>
      <c r="BP22" s="283"/>
      <c r="BQ22" s="613"/>
      <c r="BR22" s="613"/>
      <c r="BS22" s="613"/>
      <c r="BT22" s="613"/>
      <c r="BU22" s="613"/>
      <c r="BV22" s="613"/>
      <c r="BW22" s="613"/>
      <c r="BX22" s="613"/>
      <c r="BY22" s="283"/>
      <c r="BZ22" s="283"/>
      <c r="CA22" s="283"/>
      <c r="CB22" s="613"/>
      <c r="CC22" s="613"/>
      <c r="CD22" s="613"/>
      <c r="CE22" s="613"/>
      <c r="CF22" s="613"/>
      <c r="CG22" s="613"/>
      <c r="CH22" s="613"/>
      <c r="CI22" s="613"/>
      <c r="CJ22" s="283"/>
      <c r="CK22" s="283"/>
      <c r="CL22" s="283"/>
      <c r="CM22" s="305"/>
      <c r="CN22" s="305"/>
      <c r="CO22" s="305"/>
      <c r="CP22" s="305"/>
      <c r="CQ22" s="305"/>
      <c r="CR22" s="305"/>
      <c r="CS22" s="305"/>
      <c r="CT22" s="305"/>
      <c r="CU22" s="305"/>
      <c r="CV22" s="305"/>
      <c r="CW22" s="305"/>
      <c r="CX22" s="613"/>
      <c r="CY22" s="613"/>
      <c r="CZ22" s="613"/>
      <c r="DA22" s="613"/>
      <c r="DB22" s="613"/>
      <c r="DC22" s="613"/>
      <c r="DD22" s="613"/>
      <c r="DE22" s="613"/>
      <c r="DF22" s="50"/>
      <c r="DG22" s="50"/>
      <c r="DH22" s="50"/>
      <c r="DI22" s="613"/>
      <c r="DJ22" s="613"/>
      <c r="DK22" s="613"/>
      <c r="DL22" s="613"/>
      <c r="DM22" s="613"/>
      <c r="DN22" s="613"/>
      <c r="DO22" s="613"/>
      <c r="DP22" s="613"/>
      <c r="DQ22" s="50"/>
      <c r="DR22" s="50"/>
      <c r="DS22" s="50"/>
      <c r="DT22" s="305"/>
      <c r="DU22" s="305"/>
      <c r="DV22" s="305"/>
      <c r="DW22" s="305"/>
      <c r="DX22" s="305"/>
      <c r="DY22" s="305"/>
      <c r="DZ22" s="305"/>
      <c r="EA22" s="305"/>
      <c r="EB22" s="305"/>
      <c r="EC22" s="305"/>
      <c r="ED22" s="305"/>
      <c r="EE22" s="613"/>
      <c r="EF22" s="613"/>
      <c r="EG22" s="613"/>
      <c r="EH22" s="613"/>
      <c r="EI22" s="613"/>
      <c r="EJ22" s="613"/>
      <c r="EK22" s="613"/>
      <c r="EL22" s="613"/>
      <c r="EM22" s="50"/>
      <c r="EN22" s="50"/>
      <c r="EO22" s="50"/>
      <c r="EP22" s="613"/>
      <c r="EQ22" s="613"/>
      <c r="ER22" s="613"/>
      <c r="ES22" s="613"/>
      <c r="ET22" s="613"/>
      <c r="EU22" s="613"/>
      <c r="EV22" s="613"/>
      <c r="EW22" s="613"/>
      <c r="EX22" s="50"/>
      <c r="EY22" s="50"/>
      <c r="EZ22" s="50"/>
    </row>
    <row r="23" spans="1:156" ht="15" customHeight="1">
      <c r="A23" s="17"/>
      <c r="B23" s="51" t="s">
        <v>81</v>
      </c>
      <c r="C23" s="613">
        <f>'4.1_КТЭЦ'!C23+'4.1_котельные'!C23</f>
        <v>302.82400000000001</v>
      </c>
      <c r="D23" s="613">
        <f>'4.1_КТЭЦ'!D23+'4.1_котельные'!D23</f>
        <v>302.82400000000001</v>
      </c>
      <c r="E23" s="613"/>
      <c r="F23" s="613"/>
      <c r="G23" s="613"/>
      <c r="H23" s="613">
        <f>'4.1_КТЭЦ'!H23+'4.1_котельные'!H23</f>
        <v>0</v>
      </c>
      <c r="I23" s="613"/>
      <c r="J23" s="613">
        <f>'4.1_КТЭЦ'!J23+'4.1_котельные'!J23</f>
        <v>0</v>
      </c>
      <c r="K23" s="613"/>
      <c r="L23" s="613"/>
      <c r="M23" s="613"/>
      <c r="N23" s="613">
        <f>'4.1_КТЭЦ'!N23+'4.1_котельные'!N23</f>
        <v>301.12919999999997</v>
      </c>
      <c r="O23" s="613">
        <f>'4.1_КТЭЦ'!O23+'4.1_котельные'!O23</f>
        <v>301.12919999999997</v>
      </c>
      <c r="P23" s="613"/>
      <c r="Q23" s="613"/>
      <c r="R23" s="613"/>
      <c r="S23" s="613">
        <f>'4.1_КТЭЦ'!S23+'4.1_котельные'!S23</f>
        <v>0</v>
      </c>
      <c r="T23" s="613"/>
      <c r="U23" s="613">
        <f>'4.1_КТЭЦ'!U23+'4.1_котельные'!U23</f>
        <v>0</v>
      </c>
      <c r="V23" s="283"/>
      <c r="W23" s="283"/>
      <c r="X23" s="283"/>
      <c r="Y23" s="613">
        <v>300.88299999999998</v>
      </c>
      <c r="Z23" s="613">
        <v>300.88299999999998</v>
      </c>
      <c r="AA23" s="613"/>
      <c r="AB23" s="613"/>
      <c r="AC23" s="613"/>
      <c r="AD23" s="613">
        <v>0</v>
      </c>
      <c r="AE23" s="613"/>
      <c r="AF23" s="613">
        <v>0</v>
      </c>
      <c r="AG23" s="283"/>
      <c r="AH23" s="283"/>
      <c r="AI23" s="283"/>
      <c r="AJ23" s="613">
        <v>298.58529999999996</v>
      </c>
      <c r="AK23" s="613">
        <v>298.58529999999996</v>
      </c>
      <c r="AL23" s="613">
        <v>0</v>
      </c>
      <c r="AM23" s="613">
        <v>96.620999999999995</v>
      </c>
      <c r="AN23" s="613">
        <v>201.964</v>
      </c>
      <c r="AO23" s="613">
        <v>0</v>
      </c>
      <c r="AP23" s="613"/>
      <c r="AQ23" s="613">
        <v>0</v>
      </c>
      <c r="AR23" s="283"/>
      <c r="AS23" s="283"/>
      <c r="AT23" s="283"/>
      <c r="AU23" s="613">
        <v>296.10802714572469</v>
      </c>
      <c r="AV23" s="613">
        <v>296.10802714572469</v>
      </c>
      <c r="AW23" s="613"/>
      <c r="AX23" s="613"/>
      <c r="AY23" s="613"/>
      <c r="AZ23" s="613">
        <v>0</v>
      </c>
      <c r="BA23" s="613"/>
      <c r="BB23" s="613">
        <v>0</v>
      </c>
      <c r="BC23" s="283"/>
      <c r="BD23" s="283"/>
      <c r="BE23" s="283"/>
      <c r="BF23" s="613">
        <v>286.834</v>
      </c>
      <c r="BG23" s="613">
        <v>286.834</v>
      </c>
      <c r="BH23" s="613">
        <v>0</v>
      </c>
      <c r="BI23" s="613">
        <v>96.68</v>
      </c>
      <c r="BJ23" s="613">
        <v>190.154</v>
      </c>
      <c r="BK23" s="613">
        <v>0</v>
      </c>
      <c r="BL23" s="613"/>
      <c r="BM23" s="613">
        <v>0</v>
      </c>
      <c r="BN23" s="283"/>
      <c r="BO23" s="283"/>
      <c r="BP23" s="283"/>
      <c r="BQ23" s="613">
        <v>286.62702628129807</v>
      </c>
      <c r="BR23" s="613">
        <v>286.26982628129804</v>
      </c>
      <c r="BS23" s="613">
        <v>0</v>
      </c>
      <c r="BT23" s="613">
        <v>93.748079110523861</v>
      </c>
      <c r="BU23" s="613">
        <v>192.5217471707742</v>
      </c>
      <c r="BV23" s="613">
        <v>0.35720000000000002</v>
      </c>
      <c r="BW23" s="613"/>
      <c r="BX23" s="613">
        <v>0</v>
      </c>
      <c r="BY23" s="283"/>
      <c r="BZ23" s="283"/>
      <c r="CA23" s="283"/>
      <c r="CB23" s="613">
        <v>286.10300000000001</v>
      </c>
      <c r="CC23" s="613">
        <v>286.10300000000001</v>
      </c>
      <c r="CD23" s="613">
        <v>0</v>
      </c>
      <c r="CE23" s="613">
        <v>93.747</v>
      </c>
      <c r="CF23" s="613">
        <v>192.35599999999999</v>
      </c>
      <c r="CG23" s="613">
        <v>0</v>
      </c>
      <c r="CH23" s="613"/>
      <c r="CI23" s="613">
        <v>0</v>
      </c>
      <c r="CJ23" s="283"/>
      <c r="CK23" s="283"/>
      <c r="CL23" s="283"/>
      <c r="CM23" s="306">
        <v>286.26800000000003</v>
      </c>
      <c r="CN23" s="305">
        <v>286.26800000000003</v>
      </c>
      <c r="CO23" s="305">
        <v>0</v>
      </c>
      <c r="CP23" s="305">
        <v>93.747</v>
      </c>
      <c r="CQ23" s="305">
        <v>192.52100000000002</v>
      </c>
      <c r="CR23" s="306">
        <v>0</v>
      </c>
      <c r="CS23" s="305"/>
      <c r="CT23" s="305">
        <v>0</v>
      </c>
      <c r="CU23" s="305"/>
      <c r="CV23" s="305"/>
      <c r="CW23" s="305"/>
      <c r="CX23" s="613">
        <v>170.089</v>
      </c>
      <c r="CY23" s="613">
        <v>170.089</v>
      </c>
      <c r="CZ23" s="613">
        <v>0</v>
      </c>
      <c r="DA23" s="613">
        <v>52.85</v>
      </c>
      <c r="DB23" s="613">
        <v>117.239</v>
      </c>
      <c r="DC23" s="613">
        <v>0</v>
      </c>
      <c r="DD23" s="613"/>
      <c r="DE23" s="613">
        <v>0</v>
      </c>
      <c r="DF23" s="50"/>
      <c r="DG23" s="50"/>
      <c r="DH23" s="50"/>
      <c r="DI23" s="613">
        <v>116.179</v>
      </c>
      <c r="DJ23" s="613">
        <v>116.179</v>
      </c>
      <c r="DK23" s="613">
        <v>0</v>
      </c>
      <c r="DL23" s="613">
        <v>40.896999999999998</v>
      </c>
      <c r="DM23" s="613">
        <v>75.281999999999996</v>
      </c>
      <c r="DN23" s="613">
        <v>0</v>
      </c>
      <c r="DO23" s="613"/>
      <c r="DP23" s="613">
        <v>0</v>
      </c>
      <c r="DQ23" s="50"/>
      <c r="DR23" s="50"/>
      <c r="DS23" s="50"/>
      <c r="DT23" s="306">
        <v>286.26800000000003</v>
      </c>
      <c r="DU23" s="305">
        <v>286.26800000000003</v>
      </c>
      <c r="DV23" s="305">
        <v>0</v>
      </c>
      <c r="DW23" s="305">
        <v>93.747</v>
      </c>
      <c r="DX23" s="305">
        <v>192.52100000000002</v>
      </c>
      <c r="DY23" s="306">
        <v>0</v>
      </c>
      <c r="DZ23" s="305"/>
      <c r="EA23" s="305">
        <v>0</v>
      </c>
      <c r="EB23" s="305"/>
      <c r="EC23" s="305"/>
      <c r="ED23" s="305"/>
      <c r="EE23" s="613">
        <v>170.089</v>
      </c>
      <c r="EF23" s="613">
        <v>170.089</v>
      </c>
      <c r="EG23" s="613">
        <v>0</v>
      </c>
      <c r="EH23" s="613">
        <v>52.85</v>
      </c>
      <c r="EI23" s="613">
        <v>117.239</v>
      </c>
      <c r="EJ23" s="613">
        <v>0</v>
      </c>
      <c r="EK23" s="613"/>
      <c r="EL23" s="613">
        <v>0</v>
      </c>
      <c r="EM23" s="50"/>
      <c r="EN23" s="50"/>
      <c r="EO23" s="50"/>
      <c r="EP23" s="613">
        <v>116.179</v>
      </c>
      <c r="EQ23" s="613">
        <v>116.179</v>
      </c>
      <c r="ER23" s="613">
        <v>0</v>
      </c>
      <c r="ES23" s="613">
        <v>40.896999999999998</v>
      </c>
      <c r="ET23" s="613">
        <v>75.281999999999996</v>
      </c>
      <c r="EU23" s="613">
        <v>0</v>
      </c>
      <c r="EV23" s="613"/>
      <c r="EW23" s="613">
        <v>0</v>
      </c>
      <c r="EX23" s="50"/>
      <c r="EY23" s="50"/>
      <c r="EZ23" s="50"/>
    </row>
    <row r="24" spans="1:156" ht="15" customHeight="1">
      <c r="A24" s="17" t="s">
        <v>82</v>
      </c>
      <c r="B24" s="51" t="s">
        <v>83</v>
      </c>
      <c r="C24" s="613">
        <f>'4.1_КТЭЦ'!C24+'4.1_котельные'!C24</f>
        <v>33.555</v>
      </c>
      <c r="D24" s="613">
        <f>'4.1_КТЭЦ'!D24+'4.1_котельные'!D24</f>
        <v>33.555</v>
      </c>
      <c r="E24" s="613"/>
      <c r="F24" s="613"/>
      <c r="G24" s="613"/>
      <c r="H24" s="613">
        <f>'4.1_КТЭЦ'!H24+'4.1_котельные'!H24</f>
        <v>0</v>
      </c>
      <c r="I24" s="613"/>
      <c r="J24" s="613">
        <f>'4.1_КТЭЦ'!J24+'4.1_котельные'!J24</f>
        <v>0</v>
      </c>
      <c r="K24" s="613"/>
      <c r="L24" s="613"/>
      <c r="M24" s="613"/>
      <c r="N24" s="613">
        <f>'4.1_КТЭЦ'!N24+'4.1_котельные'!N24</f>
        <v>28.634</v>
      </c>
      <c r="O24" s="613">
        <f>'4.1_КТЭЦ'!O24+'4.1_котельные'!O24</f>
        <v>28.634</v>
      </c>
      <c r="P24" s="613"/>
      <c r="Q24" s="613"/>
      <c r="R24" s="613"/>
      <c r="S24" s="613">
        <f>'4.1_КТЭЦ'!S24+'4.1_котельные'!S24</f>
        <v>0</v>
      </c>
      <c r="T24" s="613"/>
      <c r="U24" s="613">
        <f>'4.1_КТЭЦ'!U24+'4.1_котельные'!U24</f>
        <v>0</v>
      </c>
      <c r="V24" s="260"/>
      <c r="W24" s="260"/>
      <c r="X24" s="260"/>
      <c r="Y24" s="613">
        <v>32.923999999999999</v>
      </c>
      <c r="Z24" s="613">
        <v>32.923999999999999</v>
      </c>
      <c r="AA24" s="613"/>
      <c r="AB24" s="613"/>
      <c r="AC24" s="613"/>
      <c r="AD24" s="613">
        <v>0</v>
      </c>
      <c r="AE24" s="613"/>
      <c r="AF24" s="613">
        <v>0</v>
      </c>
      <c r="AG24" s="260"/>
      <c r="AH24" s="260"/>
      <c r="AI24" s="260"/>
      <c r="AJ24" s="613">
        <v>31.067999999999998</v>
      </c>
      <c r="AK24" s="613">
        <v>31.067999999999998</v>
      </c>
      <c r="AL24" s="613">
        <v>0</v>
      </c>
      <c r="AM24" s="613">
        <v>25.710999999999999</v>
      </c>
      <c r="AN24" s="613">
        <v>5.3570000000000002</v>
      </c>
      <c r="AO24" s="613">
        <v>0</v>
      </c>
      <c r="AP24" s="613"/>
      <c r="AQ24" s="613">
        <v>0</v>
      </c>
      <c r="AR24" s="260"/>
      <c r="AS24" s="260"/>
      <c r="AT24" s="260"/>
      <c r="AU24" s="613">
        <v>33.420396954275205</v>
      </c>
      <c r="AV24" s="613">
        <v>33.420396954275205</v>
      </c>
      <c r="AW24" s="613"/>
      <c r="AX24" s="613"/>
      <c r="AY24" s="613"/>
      <c r="AZ24" s="613">
        <v>0</v>
      </c>
      <c r="BA24" s="613"/>
      <c r="BB24" s="613">
        <v>0</v>
      </c>
      <c r="BC24" s="260"/>
      <c r="BD24" s="260"/>
      <c r="BE24" s="260"/>
      <c r="BF24" s="613">
        <v>32.195999999999998</v>
      </c>
      <c r="BG24" s="613">
        <v>32.195999999999998</v>
      </c>
      <c r="BH24" s="613">
        <v>0</v>
      </c>
      <c r="BI24" s="613">
        <v>27.638999999999999</v>
      </c>
      <c r="BJ24" s="613">
        <v>4.5570000000000004</v>
      </c>
      <c r="BK24" s="613">
        <v>0</v>
      </c>
      <c r="BL24" s="613"/>
      <c r="BM24" s="613">
        <v>0</v>
      </c>
      <c r="BN24" s="260"/>
      <c r="BO24" s="260"/>
      <c r="BP24" s="260"/>
      <c r="BQ24" s="613">
        <v>37.916573718701898</v>
      </c>
      <c r="BR24" s="613">
        <v>37.916573718701898</v>
      </c>
      <c r="BS24" s="613">
        <v>0</v>
      </c>
      <c r="BT24" s="613">
        <v>28.133920889476137</v>
      </c>
      <c r="BU24" s="613">
        <v>9.7826528292257624</v>
      </c>
      <c r="BV24" s="613">
        <v>0</v>
      </c>
      <c r="BW24" s="613"/>
      <c r="BX24" s="613">
        <v>0</v>
      </c>
      <c r="BY24" s="260"/>
      <c r="BZ24" s="260"/>
      <c r="CA24" s="260"/>
      <c r="CB24" s="613">
        <v>37.917999999999999</v>
      </c>
      <c r="CC24" s="613">
        <v>37.917999999999999</v>
      </c>
      <c r="CD24" s="613">
        <v>0</v>
      </c>
      <c r="CE24" s="613">
        <v>28.135000000000002</v>
      </c>
      <c r="CF24" s="613">
        <v>9.7829999999999995</v>
      </c>
      <c r="CG24" s="613">
        <v>0</v>
      </c>
      <c r="CH24" s="613"/>
      <c r="CI24" s="613">
        <v>0</v>
      </c>
      <c r="CJ24" s="260"/>
      <c r="CK24" s="260"/>
      <c r="CL24" s="260"/>
      <c r="CM24" s="306">
        <v>37.918000000000006</v>
      </c>
      <c r="CN24" s="305">
        <v>37.918000000000006</v>
      </c>
      <c r="CO24" s="305">
        <v>0</v>
      </c>
      <c r="CP24" s="305">
        <v>28.135000000000002</v>
      </c>
      <c r="CQ24" s="305">
        <v>9.7829999999999995</v>
      </c>
      <c r="CR24" s="306"/>
      <c r="CS24" s="306"/>
      <c r="CT24" s="305">
        <v>0</v>
      </c>
      <c r="CU24" s="306"/>
      <c r="CV24" s="306"/>
      <c r="CW24" s="306"/>
      <c r="CX24" s="613">
        <v>19.557000000000002</v>
      </c>
      <c r="CY24" s="613">
        <v>19.557000000000002</v>
      </c>
      <c r="CZ24" s="613">
        <v>0</v>
      </c>
      <c r="DA24" s="613">
        <v>14.098000000000001</v>
      </c>
      <c r="DB24" s="613">
        <v>5.4589999999999996</v>
      </c>
      <c r="DC24" s="613">
        <v>0</v>
      </c>
      <c r="DD24" s="613"/>
      <c r="DE24" s="613">
        <v>0</v>
      </c>
      <c r="DF24" s="49"/>
      <c r="DG24" s="49"/>
      <c r="DH24" s="49"/>
      <c r="DI24" s="613">
        <v>18.361000000000001</v>
      </c>
      <c r="DJ24" s="613">
        <v>18.361000000000001</v>
      </c>
      <c r="DK24" s="613">
        <v>0</v>
      </c>
      <c r="DL24" s="613">
        <v>14.037000000000001</v>
      </c>
      <c r="DM24" s="613">
        <v>4.3239999999999998</v>
      </c>
      <c r="DN24" s="613">
        <v>0</v>
      </c>
      <c r="DO24" s="613"/>
      <c r="DP24" s="613">
        <v>0</v>
      </c>
      <c r="DQ24" s="49"/>
      <c r="DR24" s="49"/>
      <c r="DS24" s="49"/>
      <c r="DT24" s="306">
        <v>37.918000000000006</v>
      </c>
      <c r="DU24" s="305">
        <v>37.918000000000006</v>
      </c>
      <c r="DV24" s="305">
        <v>0</v>
      </c>
      <c r="DW24" s="305">
        <v>28.135000000000002</v>
      </c>
      <c r="DX24" s="305">
        <v>9.7829999999999995</v>
      </c>
      <c r="DY24" s="306"/>
      <c r="DZ24" s="306"/>
      <c r="EA24" s="305">
        <v>0</v>
      </c>
      <c r="EB24" s="306"/>
      <c r="EC24" s="306"/>
      <c r="ED24" s="306"/>
      <c r="EE24" s="613">
        <v>19.557000000000002</v>
      </c>
      <c r="EF24" s="613">
        <v>19.557000000000002</v>
      </c>
      <c r="EG24" s="613">
        <v>0</v>
      </c>
      <c r="EH24" s="613">
        <v>14.098000000000001</v>
      </c>
      <c r="EI24" s="613">
        <v>5.4589999999999996</v>
      </c>
      <c r="EJ24" s="613">
        <v>0</v>
      </c>
      <c r="EK24" s="613"/>
      <c r="EL24" s="613">
        <v>0</v>
      </c>
      <c r="EM24" s="49"/>
      <c r="EN24" s="49"/>
      <c r="EO24" s="49"/>
      <c r="EP24" s="613">
        <v>18.361000000000001</v>
      </c>
      <c r="EQ24" s="613">
        <v>18.361000000000001</v>
      </c>
      <c r="ER24" s="613">
        <v>0</v>
      </c>
      <c r="ES24" s="613">
        <v>14.037000000000001</v>
      </c>
      <c r="ET24" s="613">
        <v>4.3239999999999998</v>
      </c>
      <c r="EU24" s="613">
        <v>0</v>
      </c>
      <c r="EV24" s="613"/>
      <c r="EW24" s="613">
        <v>0</v>
      </c>
      <c r="EX24" s="49"/>
      <c r="EY24" s="49"/>
      <c r="EZ24" s="49"/>
    </row>
    <row r="25" spans="1:156" ht="30">
      <c r="A25" s="17" t="s">
        <v>84</v>
      </c>
      <c r="B25" s="16" t="s">
        <v>85</v>
      </c>
      <c r="C25" s="260">
        <f t="shared" ref="C25" si="8">D25+H25</f>
        <v>19.62931883645259</v>
      </c>
      <c r="D25" s="260">
        <f t="shared" ref="D25:J25" si="9">D21/D20*100</f>
        <v>19.62931883645259</v>
      </c>
      <c r="E25" s="260"/>
      <c r="F25" s="260"/>
      <c r="G25" s="260"/>
      <c r="H25" s="260">
        <f t="shared" ref="H25" si="10">J25</f>
        <v>0</v>
      </c>
      <c r="I25" s="260"/>
      <c r="J25" s="260">
        <f t="shared" si="9"/>
        <v>0</v>
      </c>
      <c r="K25" s="613"/>
      <c r="L25" s="613"/>
      <c r="M25" s="613"/>
      <c r="N25" s="260">
        <f t="shared" ref="N25" si="11">O25+S25</f>
        <v>19.396216280535171</v>
      </c>
      <c r="O25" s="260">
        <f t="shared" ref="O25" si="12">O21/O20*100</f>
        <v>19.396216280535171</v>
      </c>
      <c r="P25" s="260"/>
      <c r="Q25" s="260"/>
      <c r="R25" s="260"/>
      <c r="S25" s="260">
        <f t="shared" ref="S25" si="13">U25</f>
        <v>0</v>
      </c>
      <c r="T25" s="260"/>
      <c r="U25" s="260">
        <f t="shared" ref="U25" si="14">U21/U20*100</f>
        <v>0</v>
      </c>
      <c r="V25" s="260"/>
      <c r="W25" s="260"/>
      <c r="X25" s="260"/>
      <c r="Y25" s="260">
        <v>19.583039026805551</v>
      </c>
      <c r="Z25" s="260">
        <v>19.583039026805551</v>
      </c>
      <c r="AA25" s="260"/>
      <c r="AB25" s="260"/>
      <c r="AC25" s="260"/>
      <c r="AD25" s="260">
        <v>0</v>
      </c>
      <c r="AE25" s="260"/>
      <c r="AF25" s="260">
        <v>0</v>
      </c>
      <c r="AG25" s="260"/>
      <c r="AH25" s="260"/>
      <c r="AI25" s="260"/>
      <c r="AJ25" s="260">
        <v>20.332107292501554</v>
      </c>
      <c r="AK25" s="260">
        <v>20.332107292501554</v>
      </c>
      <c r="AL25" s="260">
        <v>0</v>
      </c>
      <c r="AM25" s="260">
        <v>10.952276501739103</v>
      </c>
      <c r="AN25" s="260">
        <v>14.334776115275053</v>
      </c>
      <c r="AO25" s="260">
        <v>0</v>
      </c>
      <c r="AP25" s="260"/>
      <c r="AQ25" s="260">
        <v>0</v>
      </c>
      <c r="AR25" s="260"/>
      <c r="AS25" s="260"/>
      <c r="AT25" s="260"/>
      <c r="AU25" s="260">
        <v>19.430876218600019</v>
      </c>
      <c r="AV25" s="260">
        <v>19.430876218600019</v>
      </c>
      <c r="AW25" s="260"/>
      <c r="AX25" s="260"/>
      <c r="AY25" s="260"/>
      <c r="AZ25" s="260">
        <v>0</v>
      </c>
      <c r="BA25" s="260"/>
      <c r="BB25" s="260">
        <v>0</v>
      </c>
      <c r="BC25" s="260"/>
      <c r="BD25" s="260"/>
      <c r="BE25" s="260"/>
      <c r="BF25" s="260">
        <v>20.636635315730235</v>
      </c>
      <c r="BG25" s="260">
        <v>20.636635315730235</v>
      </c>
      <c r="BH25" s="260">
        <v>0</v>
      </c>
      <c r="BI25" s="260">
        <v>8.0646762134898875</v>
      </c>
      <c r="BJ25" s="260">
        <v>14.28154396259283</v>
      </c>
      <c r="BK25" s="260">
        <v>0</v>
      </c>
      <c r="BL25" s="260"/>
      <c r="BM25" s="260">
        <v>0</v>
      </c>
      <c r="BN25" s="260"/>
      <c r="BO25" s="260"/>
      <c r="BP25" s="260"/>
      <c r="BQ25" s="260">
        <v>20.438348400260715</v>
      </c>
      <c r="BR25" s="260">
        <v>20.469537531970765</v>
      </c>
      <c r="BS25" s="260">
        <v>0</v>
      </c>
      <c r="BT25" s="260">
        <v>11.157812284150349</v>
      </c>
      <c r="BU25" s="260">
        <v>14.329636891611658</v>
      </c>
      <c r="BV25" s="260">
        <v>8.5772298864763918</v>
      </c>
      <c r="BW25" s="260"/>
      <c r="BX25" s="260">
        <v>0</v>
      </c>
      <c r="BY25" s="260"/>
      <c r="BZ25" s="260"/>
      <c r="CA25" s="260"/>
      <c r="CB25" s="260">
        <v>20.64660465015513</v>
      </c>
      <c r="CC25" s="260">
        <v>20.64660465015513</v>
      </c>
      <c r="CD25" s="260">
        <v>0</v>
      </c>
      <c r="CE25" s="260">
        <v>7.7881514434489683</v>
      </c>
      <c r="CF25" s="260">
        <v>14.505900631146865</v>
      </c>
      <c r="CG25" s="260">
        <v>0</v>
      </c>
      <c r="CH25" s="260"/>
      <c r="CI25" s="260">
        <v>0</v>
      </c>
      <c r="CJ25" s="260"/>
      <c r="CK25" s="260"/>
      <c r="CL25" s="260"/>
      <c r="CM25" s="307">
        <v>20.65114430243958</v>
      </c>
      <c r="CN25" s="307">
        <v>20.65114430243958</v>
      </c>
      <c r="CO25" s="307">
        <v>0</v>
      </c>
      <c r="CP25" s="307">
        <v>11.24404849216168</v>
      </c>
      <c r="CQ25" s="307">
        <v>21.979722124439931</v>
      </c>
      <c r="CR25" s="306">
        <v>0</v>
      </c>
      <c r="CS25" s="306"/>
      <c r="CT25" s="306">
        <v>0</v>
      </c>
      <c r="CU25" s="306"/>
      <c r="CV25" s="306"/>
      <c r="CW25" s="306"/>
      <c r="CX25" s="260">
        <v>19.894509146526968</v>
      </c>
      <c r="CY25" s="260">
        <v>19.894509146526968</v>
      </c>
      <c r="CZ25" s="260">
        <v>0</v>
      </c>
      <c r="DA25" s="260">
        <v>7.0451704150829046</v>
      </c>
      <c r="DB25" s="260">
        <v>14.410831672400166</v>
      </c>
      <c r="DC25" s="260">
        <v>0</v>
      </c>
      <c r="DD25" s="260"/>
      <c r="DE25" s="260">
        <v>0</v>
      </c>
      <c r="DF25" s="49"/>
      <c r="DG25" s="49"/>
      <c r="DH25" s="49"/>
      <c r="DI25" s="260">
        <v>21.820965578537795</v>
      </c>
      <c r="DJ25" s="260">
        <v>21.820965578537795</v>
      </c>
      <c r="DK25" s="260">
        <v>0</v>
      </c>
      <c r="DL25" s="260">
        <v>8.930136079967097</v>
      </c>
      <c r="DM25" s="260">
        <v>14.673376096733762</v>
      </c>
      <c r="DN25" s="260">
        <v>0</v>
      </c>
      <c r="DO25" s="260"/>
      <c r="DP25" s="260">
        <v>0</v>
      </c>
      <c r="DQ25" s="49"/>
      <c r="DR25" s="49"/>
      <c r="DS25" s="49"/>
      <c r="DT25" s="307">
        <v>20.65114430243958</v>
      </c>
      <c r="DU25" s="307">
        <v>20.65114430243958</v>
      </c>
      <c r="DV25" s="307">
        <v>0</v>
      </c>
      <c r="DW25" s="307">
        <v>11.24404849216168</v>
      </c>
      <c r="DX25" s="307">
        <v>21.979722124439931</v>
      </c>
      <c r="DY25" s="306">
        <v>0</v>
      </c>
      <c r="DZ25" s="306"/>
      <c r="EA25" s="306">
        <v>0</v>
      </c>
      <c r="EB25" s="306"/>
      <c r="EC25" s="306"/>
      <c r="ED25" s="306"/>
      <c r="EE25" s="260">
        <v>19.894509146526968</v>
      </c>
      <c r="EF25" s="260">
        <v>19.894509146526968</v>
      </c>
      <c r="EG25" s="260">
        <v>0</v>
      </c>
      <c r="EH25" s="260">
        <v>7.0451704150829046</v>
      </c>
      <c r="EI25" s="260">
        <v>14.410831672400166</v>
      </c>
      <c r="EJ25" s="260">
        <v>0</v>
      </c>
      <c r="EK25" s="260"/>
      <c r="EL25" s="260">
        <v>0</v>
      </c>
      <c r="EM25" s="49"/>
      <c r="EN25" s="49"/>
      <c r="EO25" s="49"/>
      <c r="EP25" s="260">
        <v>21.820965578537795</v>
      </c>
      <c r="EQ25" s="260">
        <v>21.820965578537795</v>
      </c>
      <c r="ER25" s="260">
        <v>0</v>
      </c>
      <c r="ES25" s="260">
        <v>8.930136079967097</v>
      </c>
      <c r="ET25" s="260">
        <v>14.673376096733762</v>
      </c>
      <c r="EU25" s="260">
        <v>0</v>
      </c>
      <c r="EV25" s="260"/>
      <c r="EW25" s="260">
        <v>0</v>
      </c>
      <c r="EX25" s="49"/>
      <c r="EY25" s="49"/>
      <c r="EZ25" s="49"/>
    </row>
    <row r="26" spans="1:156" ht="30">
      <c r="A26" s="17"/>
      <c r="B26" s="113" t="s">
        <v>787</v>
      </c>
      <c r="C26" s="613">
        <f>'4.1_КТЭЦ'!C26+'4.1_котельные'!C26</f>
        <v>0</v>
      </c>
      <c r="D26" s="613">
        <f>'4.1_КТЭЦ'!D26+'4.1_котельные'!D26</f>
        <v>0</v>
      </c>
      <c r="E26" s="613"/>
      <c r="F26" s="613"/>
      <c r="G26" s="613"/>
      <c r="H26" s="613">
        <f>'4.1_КТЭЦ'!H26+'4.1_котельные'!H26</f>
        <v>0</v>
      </c>
      <c r="I26" s="613"/>
      <c r="J26" s="613">
        <f>'4.1_КТЭЦ'!J26+'4.1_котельные'!J26</f>
        <v>0</v>
      </c>
      <c r="K26" s="615"/>
      <c r="L26" s="615"/>
      <c r="M26" s="615"/>
      <c r="N26" s="613">
        <f>'4.1_КТЭЦ'!N26+'4.1_котельные'!N26</f>
        <v>0</v>
      </c>
      <c r="O26" s="613">
        <f>'4.1_КТЭЦ'!O26+'4.1_котельные'!O26</f>
        <v>0</v>
      </c>
      <c r="P26" s="613"/>
      <c r="Q26" s="613"/>
      <c r="R26" s="613"/>
      <c r="S26" s="613">
        <f>'4.1_КТЭЦ'!S26+'4.1_котельные'!S26</f>
        <v>0</v>
      </c>
      <c r="T26" s="613"/>
      <c r="U26" s="613">
        <f>'4.1_КТЭЦ'!U26+'4.1_котельные'!U26</f>
        <v>0</v>
      </c>
      <c r="V26" s="260"/>
      <c r="W26" s="260"/>
      <c r="X26" s="260"/>
      <c r="Y26" s="613">
        <v>0</v>
      </c>
      <c r="Z26" s="613">
        <v>0</v>
      </c>
      <c r="AA26" s="613"/>
      <c r="AB26" s="613"/>
      <c r="AC26" s="613"/>
      <c r="AD26" s="613">
        <v>0</v>
      </c>
      <c r="AE26" s="613"/>
      <c r="AF26" s="613">
        <v>0</v>
      </c>
      <c r="AG26" s="260"/>
      <c r="AH26" s="260"/>
      <c r="AI26" s="260"/>
      <c r="AJ26" s="613">
        <v>0</v>
      </c>
      <c r="AK26" s="613">
        <v>0</v>
      </c>
      <c r="AL26" s="613">
        <v>0</v>
      </c>
      <c r="AM26" s="613">
        <v>0</v>
      </c>
      <c r="AN26" s="613">
        <v>0</v>
      </c>
      <c r="AO26" s="613">
        <v>0</v>
      </c>
      <c r="AP26" s="613"/>
      <c r="AQ26" s="613">
        <v>0</v>
      </c>
      <c r="AR26" s="260"/>
      <c r="AS26" s="260"/>
      <c r="AT26" s="260"/>
      <c r="AU26" s="613">
        <v>0</v>
      </c>
      <c r="AV26" s="613">
        <v>0</v>
      </c>
      <c r="AW26" s="613"/>
      <c r="AX26" s="613"/>
      <c r="AY26" s="613"/>
      <c r="AZ26" s="613">
        <v>0</v>
      </c>
      <c r="BA26" s="613"/>
      <c r="BB26" s="613">
        <v>0</v>
      </c>
      <c r="BC26" s="260"/>
      <c r="BD26" s="260"/>
      <c r="BE26" s="260"/>
      <c r="BF26" s="613">
        <v>0</v>
      </c>
      <c r="BG26" s="613">
        <v>0</v>
      </c>
      <c r="BH26" s="613">
        <v>0</v>
      </c>
      <c r="BI26" s="613">
        <v>0</v>
      </c>
      <c r="BJ26" s="613">
        <v>0</v>
      </c>
      <c r="BK26" s="613">
        <v>0</v>
      </c>
      <c r="BL26" s="613"/>
      <c r="BM26" s="613">
        <v>0</v>
      </c>
      <c r="BN26" s="260"/>
      <c r="BO26" s="260"/>
      <c r="BP26" s="260"/>
      <c r="BQ26" s="613"/>
      <c r="BR26" s="613"/>
      <c r="BS26" s="613"/>
      <c r="BT26" s="613"/>
      <c r="BU26" s="613"/>
      <c r="BV26" s="613"/>
      <c r="BW26" s="613"/>
      <c r="BX26" s="613"/>
      <c r="BY26" s="260"/>
      <c r="BZ26" s="260"/>
      <c r="CA26" s="260"/>
      <c r="CB26" s="613">
        <v>0</v>
      </c>
      <c r="CC26" s="613">
        <v>0</v>
      </c>
      <c r="CD26" s="613">
        <v>0</v>
      </c>
      <c r="CE26" s="613">
        <v>0</v>
      </c>
      <c r="CF26" s="613">
        <v>0</v>
      </c>
      <c r="CG26" s="613">
        <v>0</v>
      </c>
      <c r="CH26" s="613"/>
      <c r="CI26" s="613">
        <v>0</v>
      </c>
      <c r="CJ26" s="260"/>
      <c r="CK26" s="260"/>
      <c r="CL26" s="260"/>
      <c r="CM26" s="305">
        <v>0</v>
      </c>
      <c r="CN26" s="305">
        <v>0</v>
      </c>
      <c r="CO26" s="305">
        <v>0</v>
      </c>
      <c r="CP26" s="305">
        <v>0</v>
      </c>
      <c r="CQ26" s="305">
        <v>0</v>
      </c>
      <c r="CR26" s="306"/>
      <c r="CS26" s="306"/>
      <c r="CT26" s="305">
        <v>0</v>
      </c>
      <c r="CU26" s="306"/>
      <c r="CV26" s="306"/>
      <c r="CW26" s="306"/>
      <c r="CX26" s="613">
        <v>0</v>
      </c>
      <c r="CY26" s="613">
        <v>0</v>
      </c>
      <c r="CZ26" s="613">
        <v>0</v>
      </c>
      <c r="DA26" s="613">
        <v>0</v>
      </c>
      <c r="DB26" s="613">
        <v>0</v>
      </c>
      <c r="DC26" s="613">
        <v>0</v>
      </c>
      <c r="DD26" s="613"/>
      <c r="DE26" s="613">
        <v>0</v>
      </c>
      <c r="DF26" s="49"/>
      <c r="DG26" s="49"/>
      <c r="DH26" s="49"/>
      <c r="DI26" s="613">
        <v>0</v>
      </c>
      <c r="DJ26" s="613">
        <v>0</v>
      </c>
      <c r="DK26" s="613">
        <v>0</v>
      </c>
      <c r="DL26" s="613">
        <v>0</v>
      </c>
      <c r="DM26" s="613">
        <v>0</v>
      </c>
      <c r="DN26" s="613">
        <v>0</v>
      </c>
      <c r="DO26" s="613"/>
      <c r="DP26" s="613">
        <v>0</v>
      </c>
      <c r="DQ26" s="49"/>
      <c r="DR26" s="49"/>
      <c r="DS26" s="49"/>
      <c r="DT26" s="305">
        <v>0</v>
      </c>
      <c r="DU26" s="305">
        <v>0</v>
      </c>
      <c r="DV26" s="305">
        <v>0</v>
      </c>
      <c r="DW26" s="305">
        <v>0</v>
      </c>
      <c r="DX26" s="305">
        <v>0</v>
      </c>
      <c r="DY26" s="306"/>
      <c r="DZ26" s="306"/>
      <c r="EA26" s="305">
        <v>0</v>
      </c>
      <c r="EB26" s="306"/>
      <c r="EC26" s="306"/>
      <c r="ED26" s="306"/>
      <c r="EE26" s="613">
        <v>0</v>
      </c>
      <c r="EF26" s="613">
        <v>0</v>
      </c>
      <c r="EG26" s="613">
        <v>0</v>
      </c>
      <c r="EH26" s="613">
        <v>0</v>
      </c>
      <c r="EI26" s="613">
        <v>0</v>
      </c>
      <c r="EJ26" s="613">
        <v>0</v>
      </c>
      <c r="EK26" s="613"/>
      <c r="EL26" s="613">
        <v>0</v>
      </c>
      <c r="EM26" s="49"/>
      <c r="EN26" s="49"/>
      <c r="EO26" s="49"/>
      <c r="EP26" s="613">
        <v>0</v>
      </c>
      <c r="EQ26" s="613">
        <v>0</v>
      </c>
      <c r="ER26" s="613">
        <v>0</v>
      </c>
      <c r="ES26" s="613">
        <v>0</v>
      </c>
      <c r="ET26" s="613">
        <v>0</v>
      </c>
      <c r="EU26" s="613">
        <v>0</v>
      </c>
      <c r="EV26" s="613"/>
      <c r="EW26" s="613">
        <v>0</v>
      </c>
      <c r="EX26" s="49"/>
      <c r="EY26" s="49"/>
      <c r="EZ26" s="49"/>
    </row>
    <row r="27" spans="1:156" ht="15" hidden="1">
      <c r="A27" s="17"/>
      <c r="B27" s="113" t="s">
        <v>788</v>
      </c>
      <c r="C27" s="613">
        <f>'4.1_КТЭЦ'!C27+'4.1_котельные'!C27</f>
        <v>0</v>
      </c>
      <c r="D27" s="613">
        <f>'4.1_КТЭЦ'!D27+'4.1_котельные'!D27</f>
        <v>0</v>
      </c>
      <c r="E27" s="613"/>
      <c r="F27" s="613"/>
      <c r="G27" s="613"/>
      <c r="H27" s="613">
        <f>'4.1_КТЭЦ'!H27+'4.1_котельные'!H27</f>
        <v>0</v>
      </c>
      <c r="I27" s="613"/>
      <c r="J27" s="613">
        <f>'4.1_КТЭЦ'!J27+'4.1_котельные'!J27</f>
        <v>0</v>
      </c>
      <c r="K27" s="615"/>
      <c r="L27" s="615"/>
      <c r="M27" s="615"/>
      <c r="N27" s="613">
        <f>'4.1_КТЭЦ'!N27+'4.1_котельные'!N27</f>
        <v>57.133000000000003</v>
      </c>
      <c r="O27" s="613">
        <f>'4.1_КТЭЦ'!O27+'4.1_котельные'!O27</f>
        <v>57.133000000000003</v>
      </c>
      <c r="P27" s="613"/>
      <c r="Q27" s="613"/>
      <c r="R27" s="613"/>
      <c r="S27" s="613">
        <f>'4.1_КТЭЦ'!S27+'4.1_котельные'!S27</f>
        <v>0</v>
      </c>
      <c r="T27" s="613"/>
      <c r="U27" s="613">
        <f>'4.1_КТЭЦ'!U27+'4.1_котельные'!U27</f>
        <v>0</v>
      </c>
      <c r="V27" s="260"/>
      <c r="W27" s="260"/>
      <c r="X27" s="260"/>
      <c r="Y27" s="613">
        <v>0</v>
      </c>
      <c r="Z27" s="613">
        <v>0</v>
      </c>
      <c r="AA27" s="613"/>
      <c r="AB27" s="613"/>
      <c r="AC27" s="613"/>
      <c r="AD27" s="613">
        <v>0</v>
      </c>
      <c r="AE27" s="613"/>
      <c r="AF27" s="613">
        <v>0</v>
      </c>
      <c r="AG27" s="260"/>
      <c r="AH27" s="260"/>
      <c r="AI27" s="260"/>
      <c r="AJ27" s="613">
        <v>12.13</v>
      </c>
      <c r="AK27" s="613">
        <v>12.13</v>
      </c>
      <c r="AL27" s="613">
        <v>0</v>
      </c>
      <c r="AM27" s="613">
        <v>0</v>
      </c>
      <c r="AN27" s="613">
        <v>12.13</v>
      </c>
      <c r="AO27" s="613">
        <v>0</v>
      </c>
      <c r="AP27" s="613"/>
      <c r="AQ27" s="613">
        <v>0</v>
      </c>
      <c r="AR27" s="260"/>
      <c r="AS27" s="260"/>
      <c r="AT27" s="260"/>
      <c r="AU27" s="613">
        <v>0</v>
      </c>
      <c r="AV27" s="613">
        <v>0</v>
      </c>
      <c r="AW27" s="613"/>
      <c r="AX27" s="613"/>
      <c r="AY27" s="613"/>
      <c r="AZ27" s="613">
        <v>0</v>
      </c>
      <c r="BA27" s="613"/>
      <c r="BB27" s="613">
        <v>0</v>
      </c>
      <c r="BC27" s="260"/>
      <c r="BD27" s="260"/>
      <c r="BE27" s="260"/>
      <c r="BF27" s="613">
        <v>16.797999999999998</v>
      </c>
      <c r="BG27" s="613">
        <v>16.797999999999998</v>
      </c>
      <c r="BH27" s="613">
        <v>0</v>
      </c>
      <c r="BI27" s="613">
        <v>0</v>
      </c>
      <c r="BJ27" s="613">
        <v>16.797999999999998</v>
      </c>
      <c r="BK27" s="613">
        <v>0</v>
      </c>
      <c r="BL27" s="613"/>
      <c r="BM27" s="613">
        <v>0</v>
      </c>
      <c r="BN27" s="260"/>
      <c r="BO27" s="260"/>
      <c r="BP27" s="260"/>
      <c r="BQ27" s="613"/>
      <c r="BR27" s="613"/>
      <c r="BS27" s="613"/>
      <c r="BT27" s="613"/>
      <c r="BU27" s="613"/>
      <c r="BV27" s="613"/>
      <c r="BW27" s="613"/>
      <c r="BX27" s="613"/>
      <c r="BY27" s="260"/>
      <c r="BZ27" s="260"/>
      <c r="CA27" s="260"/>
      <c r="CB27" s="613">
        <v>-11.694000000000141</v>
      </c>
      <c r="CC27" s="613">
        <v>-11.694000000000141</v>
      </c>
      <c r="CD27" s="613">
        <v>0</v>
      </c>
      <c r="CE27" s="613">
        <v>0</v>
      </c>
      <c r="CF27" s="613">
        <v>-11.694000000000141</v>
      </c>
      <c r="CG27" s="613">
        <v>0</v>
      </c>
      <c r="CH27" s="613"/>
      <c r="CI27" s="613">
        <v>0</v>
      </c>
      <c r="CJ27" s="260"/>
      <c r="CK27" s="260"/>
      <c r="CL27" s="260"/>
      <c r="CM27" s="306">
        <v>6.0000000000002274E-3</v>
      </c>
      <c r="CN27" s="305">
        <v>6.0000000000002274E-3</v>
      </c>
      <c r="CO27" s="305">
        <v>0</v>
      </c>
      <c r="CP27" s="305">
        <v>0</v>
      </c>
      <c r="CQ27" s="305">
        <v>6.0000000000002274E-3</v>
      </c>
      <c r="CR27" s="306">
        <v>0</v>
      </c>
      <c r="CS27" s="306"/>
      <c r="CT27" s="305">
        <v>0</v>
      </c>
      <c r="CU27" s="306"/>
      <c r="CV27" s="306"/>
      <c r="CW27" s="306"/>
      <c r="CX27" s="613">
        <v>5.3890000000000011</v>
      </c>
      <c r="CY27" s="613">
        <v>5.3890000000000011</v>
      </c>
      <c r="CZ27" s="613">
        <v>0</v>
      </c>
      <c r="DA27" s="613">
        <v>0</v>
      </c>
      <c r="DB27" s="613">
        <v>5.3890000000000011</v>
      </c>
      <c r="DC27" s="613">
        <v>0</v>
      </c>
      <c r="DD27" s="613"/>
      <c r="DE27" s="613">
        <v>0</v>
      </c>
      <c r="DF27" s="49"/>
      <c r="DG27" s="49"/>
      <c r="DH27" s="49"/>
      <c r="DI27" s="613">
        <v>-5.3830000000000009</v>
      </c>
      <c r="DJ27" s="613">
        <v>-5.3830000000000009</v>
      </c>
      <c r="DK27" s="613">
        <v>0</v>
      </c>
      <c r="DL27" s="613">
        <v>0</v>
      </c>
      <c r="DM27" s="613">
        <v>-5.3830000000000009</v>
      </c>
      <c r="DN27" s="613">
        <v>0</v>
      </c>
      <c r="DO27" s="613"/>
      <c r="DP27" s="613">
        <v>0</v>
      </c>
      <c r="DQ27" s="49"/>
      <c r="DR27" s="49"/>
      <c r="DS27" s="49"/>
      <c r="DT27" s="306">
        <v>6.0000000000002274E-3</v>
      </c>
      <c r="DU27" s="305">
        <v>6.0000000000002274E-3</v>
      </c>
      <c r="DV27" s="305">
        <v>0</v>
      </c>
      <c r="DW27" s="305">
        <v>0</v>
      </c>
      <c r="DX27" s="305">
        <v>6.0000000000002274E-3</v>
      </c>
      <c r="DY27" s="306">
        <v>0</v>
      </c>
      <c r="DZ27" s="306"/>
      <c r="EA27" s="305">
        <v>0</v>
      </c>
      <c r="EB27" s="306"/>
      <c r="EC27" s="306"/>
      <c r="ED27" s="306"/>
      <c r="EE27" s="613">
        <v>5.3890000000000011</v>
      </c>
      <c r="EF27" s="613">
        <v>5.3890000000000011</v>
      </c>
      <c r="EG27" s="613">
        <v>0</v>
      </c>
      <c r="EH27" s="613">
        <v>0</v>
      </c>
      <c r="EI27" s="613">
        <v>5.3890000000000011</v>
      </c>
      <c r="EJ27" s="613">
        <v>0</v>
      </c>
      <c r="EK27" s="613"/>
      <c r="EL27" s="613">
        <v>0</v>
      </c>
      <c r="EM27" s="49"/>
      <c r="EN27" s="49"/>
      <c r="EO27" s="49"/>
      <c r="EP27" s="613">
        <v>-5.3830000000000009</v>
      </c>
      <c r="EQ27" s="613">
        <v>-5.3830000000000009</v>
      </c>
      <c r="ER27" s="613">
        <v>0</v>
      </c>
      <c r="ES27" s="613">
        <v>0</v>
      </c>
      <c r="ET27" s="613">
        <v>-5.3830000000000009</v>
      </c>
      <c r="EU27" s="613">
        <v>0</v>
      </c>
      <c r="EV27" s="613"/>
      <c r="EW27" s="613">
        <v>0</v>
      </c>
      <c r="EX27" s="49"/>
      <c r="EY27" s="49"/>
      <c r="EZ27" s="49"/>
    </row>
    <row r="28" spans="1:156" ht="42.75">
      <c r="A28" s="110" t="s">
        <v>86</v>
      </c>
      <c r="B28" s="111" t="s">
        <v>87</v>
      </c>
      <c r="C28" s="286">
        <f t="shared" ref="C28" si="15">D28+H28</f>
        <v>1379.6590000000001</v>
      </c>
      <c r="D28" s="286">
        <f>D20-D21-D26-D27</f>
        <v>1377.277</v>
      </c>
      <c r="E28" s="286"/>
      <c r="F28" s="286"/>
      <c r="G28" s="286"/>
      <c r="H28" s="286">
        <f t="shared" ref="H28:J28" si="16">H20-H21-H26-H27</f>
        <v>2.3820000000000001</v>
      </c>
      <c r="I28" s="286"/>
      <c r="J28" s="286">
        <f t="shared" si="16"/>
        <v>2.3820000000000001</v>
      </c>
      <c r="K28" s="614"/>
      <c r="L28" s="614"/>
      <c r="M28" s="614"/>
      <c r="N28" s="286">
        <f t="shared" ref="N28" si="17">O28+S28</f>
        <v>1317.6887000000002</v>
      </c>
      <c r="O28" s="286">
        <f>O20-O21-O26-O27</f>
        <v>1313.2457000000002</v>
      </c>
      <c r="P28" s="286"/>
      <c r="Q28" s="286"/>
      <c r="R28" s="286"/>
      <c r="S28" s="286">
        <f t="shared" ref="S28" si="18">S20-S21-S26-S27</f>
        <v>4.4430000000000014</v>
      </c>
      <c r="T28" s="286"/>
      <c r="U28" s="286">
        <f t="shared" ref="U28" si="19">U20-U21-U26-U27</f>
        <v>4.4430000000000014</v>
      </c>
      <c r="V28" s="286"/>
      <c r="W28" s="286"/>
      <c r="X28" s="286"/>
      <c r="Y28" s="286">
        <v>1373.1470000000002</v>
      </c>
      <c r="Z28" s="286">
        <v>1370.7650000000001</v>
      </c>
      <c r="AA28" s="286"/>
      <c r="AB28" s="286"/>
      <c r="AC28" s="286"/>
      <c r="AD28" s="286">
        <v>2.3820000000000014</v>
      </c>
      <c r="AE28" s="286"/>
      <c r="AF28" s="286">
        <v>2.3820000000000014</v>
      </c>
      <c r="AG28" s="286"/>
      <c r="AH28" s="286"/>
      <c r="AI28" s="286"/>
      <c r="AJ28" s="286">
        <v>1283.8131999999998</v>
      </c>
      <c r="AK28" s="1401">
        <v>1279.5611999999999</v>
      </c>
      <c r="AL28" s="1401">
        <v>4.3140000000000001</v>
      </c>
      <c r="AM28" s="1401">
        <v>48.417000000000002</v>
      </c>
      <c r="AN28" s="1401">
        <v>1226.83</v>
      </c>
      <c r="AO28" s="1401">
        <v>4.2519999999999998</v>
      </c>
      <c r="AP28" s="286"/>
      <c r="AQ28" s="1401">
        <v>4.2519999999999998</v>
      </c>
      <c r="AR28" s="286"/>
      <c r="AS28" s="286"/>
      <c r="AT28" s="286"/>
      <c r="AU28" s="286">
        <v>1370.5355758999997</v>
      </c>
      <c r="AV28" s="286">
        <v>1366.3725758999997</v>
      </c>
      <c r="AW28" s="286"/>
      <c r="AX28" s="286"/>
      <c r="AY28" s="286"/>
      <c r="AZ28" s="286">
        <v>4.1630000000000003</v>
      </c>
      <c r="BA28" s="286"/>
      <c r="BB28" s="286">
        <v>4.1630000000000003</v>
      </c>
      <c r="BC28" s="286"/>
      <c r="BD28" s="286"/>
      <c r="BE28" s="286"/>
      <c r="BF28" s="286">
        <v>1213.5350000000001</v>
      </c>
      <c r="BG28" s="1401">
        <v>1210.114</v>
      </c>
      <c r="BH28" s="1401">
        <v>4.415</v>
      </c>
      <c r="BI28" s="1401">
        <v>53.831000000000003</v>
      </c>
      <c r="BJ28" s="1401">
        <v>1151.8679999999999</v>
      </c>
      <c r="BK28" s="1401">
        <v>3.4209999999999998</v>
      </c>
      <c r="BL28" s="286"/>
      <c r="BM28" s="1401">
        <v>3.4209999999999998</v>
      </c>
      <c r="BN28" s="286"/>
      <c r="BO28" s="286"/>
      <c r="BP28" s="286"/>
      <c r="BQ28" s="286">
        <v>1265.6863147061197</v>
      </c>
      <c r="BR28" s="1401">
        <v>1261.8779999999999</v>
      </c>
      <c r="BS28" s="1401">
        <v>4.4267086048777111</v>
      </c>
      <c r="BT28" s="1401">
        <v>47.965880107234675</v>
      </c>
      <c r="BU28" s="1401">
        <v>1209.4857348807084</v>
      </c>
      <c r="BV28" s="1401">
        <v>3.8073147061196608</v>
      </c>
      <c r="BW28" s="286"/>
      <c r="BX28" s="1401">
        <v>3.8330000000000002</v>
      </c>
      <c r="BY28" s="286"/>
      <c r="BZ28" s="286"/>
      <c r="CA28" s="286"/>
      <c r="CB28" s="286">
        <v>1261.136</v>
      </c>
      <c r="CC28" s="1401">
        <v>1257.04</v>
      </c>
      <c r="CD28" s="1401">
        <v>4.4000000000000004</v>
      </c>
      <c r="CE28" s="1401">
        <v>49.589999999999996</v>
      </c>
      <c r="CF28" s="1401">
        <v>1203.05</v>
      </c>
      <c r="CG28" s="1401">
        <v>4.0960000000000001</v>
      </c>
      <c r="CH28" s="286"/>
      <c r="CI28" s="1401">
        <v>4.0960000000000001</v>
      </c>
      <c r="CJ28" s="286"/>
      <c r="CK28" s="286"/>
      <c r="CL28" s="286"/>
      <c r="CM28" s="304">
        <v>1249.7249999999999</v>
      </c>
      <c r="CN28" s="1401">
        <v>1245.6289999999999</v>
      </c>
      <c r="CO28" s="1401">
        <v>4.3999999999999995</v>
      </c>
      <c r="CP28" s="1401">
        <v>49.589999999999996</v>
      </c>
      <c r="CQ28" s="1401">
        <v>1191.6390000000001</v>
      </c>
      <c r="CR28" s="1401">
        <v>4.0960000000000019</v>
      </c>
      <c r="CS28" s="286"/>
      <c r="CT28" s="1401">
        <v>4.0960000000000001</v>
      </c>
      <c r="CU28" s="304"/>
      <c r="CV28" s="304"/>
      <c r="CW28" s="304"/>
      <c r="CX28" s="286">
        <v>760.1579999999999</v>
      </c>
      <c r="CY28" s="1401">
        <v>758.22299999999996</v>
      </c>
      <c r="CZ28" s="1401">
        <v>2.9899999999999998</v>
      </c>
      <c r="DA28" s="1401">
        <v>31.891000000000002</v>
      </c>
      <c r="DB28" s="1401">
        <v>723.34199999999998</v>
      </c>
      <c r="DC28" s="1401">
        <v>1.9350000000000014</v>
      </c>
      <c r="DD28" s="286"/>
      <c r="DE28" s="1401">
        <v>1.9350000000000001</v>
      </c>
      <c r="DF28" s="112"/>
      <c r="DG28" s="112"/>
      <c r="DH28" s="112"/>
      <c r="DI28" s="286">
        <v>489.56699999999995</v>
      </c>
      <c r="DJ28" s="1401">
        <v>487.40599999999995</v>
      </c>
      <c r="DK28" s="1401">
        <v>1.41</v>
      </c>
      <c r="DL28" s="1401">
        <v>17.698999999999998</v>
      </c>
      <c r="DM28" s="1401">
        <v>468.29699999999997</v>
      </c>
      <c r="DN28" s="1401">
        <v>2.1610000000000009</v>
      </c>
      <c r="DO28" s="286"/>
      <c r="DP28" s="1401">
        <v>2.161</v>
      </c>
      <c r="DQ28" s="112"/>
      <c r="DR28" s="112"/>
      <c r="DS28" s="112"/>
      <c r="DT28" s="304">
        <v>1249.7249999999999</v>
      </c>
      <c r="DU28" s="1401">
        <v>1245.6289999999999</v>
      </c>
      <c r="DV28" s="1401">
        <v>4.3999999999999995</v>
      </c>
      <c r="DW28" s="1401">
        <v>49.589999999999996</v>
      </c>
      <c r="DX28" s="1401">
        <v>1191.6390000000001</v>
      </c>
      <c r="DY28" s="1401">
        <v>4.0960000000000019</v>
      </c>
      <c r="DZ28" s="286"/>
      <c r="EA28" s="1401">
        <v>4.0960000000000001</v>
      </c>
      <c r="EB28" s="304"/>
      <c r="EC28" s="304"/>
      <c r="ED28" s="304"/>
      <c r="EE28" s="286">
        <v>760.1579999999999</v>
      </c>
      <c r="EF28" s="1401">
        <v>758.22299999999996</v>
      </c>
      <c r="EG28" s="1401">
        <v>2.9899999999999998</v>
      </c>
      <c r="EH28" s="1401">
        <v>31.891000000000002</v>
      </c>
      <c r="EI28" s="1401">
        <v>723.34199999999998</v>
      </c>
      <c r="EJ28" s="1401">
        <v>1.9350000000000014</v>
      </c>
      <c r="EK28" s="286"/>
      <c r="EL28" s="1401">
        <v>1.9350000000000001</v>
      </c>
      <c r="EM28" s="112"/>
      <c r="EN28" s="112"/>
      <c r="EO28" s="112"/>
      <c r="EP28" s="286">
        <v>489.56699999999995</v>
      </c>
      <c r="EQ28" s="1401">
        <v>487.40599999999995</v>
      </c>
      <c r="ER28" s="1401">
        <v>1.41</v>
      </c>
      <c r="ES28" s="1401">
        <v>17.698999999999998</v>
      </c>
      <c r="ET28" s="1401">
        <v>468.29699999999997</v>
      </c>
      <c r="EU28" s="1401">
        <v>2.1610000000000009</v>
      </c>
      <c r="EV28" s="286"/>
      <c r="EW28" s="1401">
        <v>2.161</v>
      </c>
      <c r="EX28" s="112"/>
      <c r="EY28" s="112"/>
      <c r="EZ28" s="112"/>
    </row>
    <row r="29" spans="1:156" ht="15">
      <c r="BH29" s="1567">
        <f>BG20-BH28</f>
        <v>1541.5250000000001</v>
      </c>
      <c r="CN29" s="1567">
        <f>CN28-CO28</f>
        <v>1241.2289999999998</v>
      </c>
      <c r="CO29" s="1567">
        <f>CN20-CO28</f>
        <v>1565.4209999999998</v>
      </c>
    </row>
    <row r="30" spans="1:156" ht="15">
      <c r="A30" s="26" t="s">
        <v>88</v>
      </c>
    </row>
    <row r="31" spans="1:156" s="541" customFormat="1" ht="46.5" customHeight="1">
      <c r="A31" s="45" t="s">
        <v>89</v>
      </c>
      <c r="B31" s="1842" t="s">
        <v>90</v>
      </c>
      <c r="C31" s="1842"/>
      <c r="D31" s="1842"/>
      <c r="E31" s="1842"/>
      <c r="F31" s="1842"/>
      <c r="G31" s="1842"/>
      <c r="H31" s="1842"/>
      <c r="I31" s="1842"/>
      <c r="J31" s="1842"/>
      <c r="K31" s="1842"/>
      <c r="L31" s="1842"/>
      <c r="M31" s="1842"/>
      <c r="N31" s="1843"/>
      <c r="O31" s="1843"/>
      <c r="P31" s="1843"/>
      <c r="Q31" s="1843"/>
      <c r="R31" s="1843"/>
      <c r="S31" s="1843"/>
      <c r="T31" s="1843"/>
      <c r="U31" s="1843"/>
      <c r="V31" s="1843"/>
      <c r="W31" s="1843"/>
      <c r="X31" s="1843"/>
      <c r="Y31" s="1843"/>
      <c r="Z31" s="1843"/>
      <c r="AA31" s="1843"/>
      <c r="AB31" s="1843"/>
      <c r="AC31" s="1843"/>
      <c r="AD31" s="1843"/>
      <c r="AE31" s="1843"/>
      <c r="AF31" s="1843"/>
      <c r="AG31" s="1843"/>
      <c r="AH31" s="1843"/>
      <c r="AI31" s="1843"/>
      <c r="AJ31" s="1843"/>
      <c r="AK31" s="1843"/>
      <c r="AL31" s="1843"/>
      <c r="AM31" s="1843"/>
      <c r="AN31" s="1843"/>
      <c r="AO31" s="1843"/>
      <c r="AP31" s="1843"/>
      <c r="AQ31" s="1843"/>
      <c r="AR31" s="1843"/>
      <c r="AS31" s="1843"/>
      <c r="AT31" s="1843"/>
      <c r="AU31" s="1843"/>
      <c r="AV31" s="1843"/>
      <c r="AW31" s="1843"/>
      <c r="AX31" s="1843"/>
      <c r="AY31" s="1843"/>
      <c r="AZ31" s="1843"/>
      <c r="BA31" s="1843"/>
      <c r="BB31" s="1843"/>
      <c r="BC31" s="1843"/>
      <c r="BD31" s="1843"/>
      <c r="BE31" s="1843"/>
      <c r="BF31" s="1843"/>
      <c r="BG31" s="1843"/>
      <c r="BH31" s="1843"/>
      <c r="BI31" s="1843"/>
      <c r="BJ31" s="1843"/>
      <c r="BK31" s="1843"/>
      <c r="BL31" s="1843"/>
      <c r="BM31" s="1843"/>
      <c r="BN31" s="1843"/>
      <c r="BO31" s="1843"/>
      <c r="BP31" s="1843"/>
      <c r="BQ31" s="1843"/>
      <c r="BR31" s="1843"/>
      <c r="BS31" s="1843"/>
      <c r="BT31" s="1843"/>
      <c r="BU31" s="1843"/>
      <c r="BV31" s="1843"/>
      <c r="BW31" s="1843"/>
      <c r="BX31" s="1843"/>
      <c r="BY31" s="1843"/>
      <c r="BZ31" s="1843"/>
      <c r="CA31" s="1843"/>
      <c r="CB31" s="1843"/>
      <c r="CC31" s="1843"/>
      <c r="CD31" s="1843"/>
      <c r="CE31" s="1843"/>
      <c r="CF31" s="1843"/>
      <c r="CG31" s="1843"/>
      <c r="CH31" s="1843"/>
      <c r="CI31" s="1843"/>
      <c r="CJ31" s="1843"/>
      <c r="CK31" s="1843"/>
      <c r="CL31" s="1843"/>
      <c r="CM31" s="1843"/>
      <c r="CN31" s="1843"/>
      <c r="CO31" s="1843"/>
      <c r="CP31" s="1843"/>
      <c r="CQ31" s="1843"/>
      <c r="CR31" s="1843"/>
      <c r="CS31" s="1843"/>
      <c r="CT31" s="1843"/>
      <c r="CU31" s="1843"/>
      <c r="CV31" s="1843"/>
      <c r="CW31" s="1843"/>
      <c r="CX31" s="536"/>
      <c r="CY31" s="536"/>
      <c r="CZ31" s="1381"/>
      <c r="DA31" s="1381"/>
      <c r="DB31" s="1381"/>
      <c r="DC31" s="536"/>
      <c r="DD31" s="536"/>
      <c r="DE31" s="536"/>
      <c r="DF31" s="536"/>
      <c r="DG31" s="536"/>
      <c r="DH31" s="536"/>
      <c r="DI31" s="536"/>
      <c r="DJ31" s="536"/>
      <c r="DK31" s="1381"/>
      <c r="DL31" s="1381"/>
      <c r="DM31" s="1381"/>
      <c r="DN31" s="536"/>
      <c r="DO31" s="536"/>
      <c r="DP31" s="536"/>
      <c r="DQ31" s="536"/>
      <c r="DR31" s="536"/>
      <c r="DS31" s="536"/>
    </row>
    <row r="32" spans="1:156" s="541" customFormat="1" ht="15" customHeight="1">
      <c r="A32" s="45" t="s">
        <v>91</v>
      </c>
      <c r="B32" s="541" t="s">
        <v>92</v>
      </c>
      <c r="E32" s="1382"/>
      <c r="F32" s="1382"/>
      <c r="G32" s="1382"/>
      <c r="P32" s="1382"/>
      <c r="Q32" s="1382"/>
      <c r="R32" s="1382"/>
      <c r="AA32" s="1382"/>
      <c r="AB32" s="1382"/>
      <c r="AC32" s="1382"/>
      <c r="AL32" s="1382"/>
      <c r="AM32" s="1382"/>
      <c r="AN32" s="1382"/>
      <c r="AU32" s="1275"/>
      <c r="AV32" s="1275"/>
      <c r="AW32" s="1382"/>
      <c r="AX32" s="1382"/>
      <c r="AY32" s="1382"/>
      <c r="AZ32" s="1275"/>
      <c r="BA32" s="1275"/>
      <c r="BB32" s="1275"/>
      <c r="BC32" s="1275"/>
      <c r="BD32" s="1275"/>
      <c r="BE32" s="1275"/>
      <c r="BF32" s="1275"/>
      <c r="BG32" s="1275"/>
      <c r="BH32" s="1382"/>
      <c r="BI32" s="1382"/>
      <c r="BJ32" s="1382"/>
      <c r="BK32" s="1275"/>
      <c r="BL32" s="1275"/>
      <c r="BM32" s="1275"/>
      <c r="BN32" s="1275"/>
      <c r="BO32" s="1275"/>
      <c r="BP32" s="1275"/>
      <c r="BQ32" s="1579"/>
      <c r="BR32" s="1579"/>
      <c r="BS32" s="1579"/>
      <c r="BT32" s="1579"/>
      <c r="BU32" s="1579"/>
      <c r="BV32" s="1579"/>
      <c r="BW32" s="1579"/>
      <c r="BX32" s="1579"/>
      <c r="BY32" s="1579"/>
      <c r="BZ32" s="1579"/>
      <c r="CA32" s="1579"/>
      <c r="CB32" s="1579"/>
      <c r="CC32" s="1579"/>
      <c r="CD32" s="1579"/>
      <c r="CE32" s="1579"/>
      <c r="CF32" s="1579"/>
      <c r="CG32" s="1579"/>
      <c r="CH32" s="1579"/>
      <c r="CI32" s="1579"/>
      <c r="CJ32" s="1579"/>
      <c r="CK32" s="1579"/>
      <c r="CL32" s="1579"/>
      <c r="CM32" s="294"/>
      <c r="CN32" s="294"/>
      <c r="CO32" s="294"/>
      <c r="CP32" s="294"/>
      <c r="CQ32" s="294"/>
      <c r="CR32" s="294"/>
      <c r="CS32" s="294"/>
      <c r="CT32" s="294"/>
      <c r="CU32" s="294"/>
      <c r="CV32" s="294"/>
      <c r="CW32" s="294"/>
      <c r="CZ32" s="1382"/>
      <c r="DA32" s="1382"/>
      <c r="DB32" s="1382"/>
      <c r="DK32" s="1382"/>
      <c r="DL32" s="1382"/>
      <c r="DM32" s="1382"/>
    </row>
    <row r="33" spans="1:123" s="541" customFormat="1" ht="15" customHeight="1">
      <c r="A33" s="45" t="s">
        <v>93</v>
      </c>
      <c r="B33" s="541" t="s">
        <v>94</v>
      </c>
      <c r="E33" s="1382"/>
      <c r="F33" s="1382"/>
      <c r="G33" s="1382"/>
      <c r="P33" s="1382"/>
      <c r="Q33" s="1382"/>
      <c r="R33" s="1382"/>
      <c r="AA33" s="1382"/>
      <c r="AB33" s="1382"/>
      <c r="AC33" s="1382"/>
      <c r="AL33" s="1382"/>
      <c r="AM33" s="1382"/>
      <c r="AN33" s="1382"/>
      <c r="AU33" s="1275"/>
      <c r="AV33" s="1275"/>
      <c r="AW33" s="1382"/>
      <c r="AX33" s="1382"/>
      <c r="AY33" s="1382"/>
      <c r="AZ33" s="1275"/>
      <c r="BA33" s="1275"/>
      <c r="BB33" s="1275"/>
      <c r="BC33" s="1275"/>
      <c r="BD33" s="1275"/>
      <c r="BE33" s="1275"/>
      <c r="BF33" s="1275"/>
      <c r="BG33" s="1275"/>
      <c r="BH33" s="1382"/>
      <c r="BI33" s="1382"/>
      <c r="BJ33" s="1382"/>
      <c r="BK33" s="1275"/>
      <c r="BL33" s="1275"/>
      <c r="BM33" s="1275"/>
      <c r="BN33" s="1275"/>
      <c r="BO33" s="1275"/>
      <c r="BP33" s="1275"/>
      <c r="BQ33" s="1579"/>
      <c r="BR33" s="1579"/>
      <c r="BS33" s="1579"/>
      <c r="BT33" s="1579"/>
      <c r="BU33" s="1579"/>
      <c r="BV33" s="1579"/>
      <c r="BW33" s="1579"/>
      <c r="BX33" s="1579"/>
      <c r="BY33" s="1579"/>
      <c r="BZ33" s="1579"/>
      <c r="CA33" s="1579"/>
      <c r="CB33" s="1579"/>
      <c r="CC33" s="1579"/>
      <c r="CD33" s="1579"/>
      <c r="CE33" s="1579"/>
      <c r="CF33" s="1579"/>
      <c r="CG33" s="1579"/>
      <c r="CH33" s="1579"/>
      <c r="CI33" s="1579"/>
      <c r="CJ33" s="1579"/>
      <c r="CK33" s="1579"/>
      <c r="CL33" s="1579"/>
      <c r="CM33" s="294"/>
      <c r="CN33" s="294"/>
      <c r="CO33" s="294"/>
      <c r="CP33" s="294"/>
      <c r="CQ33" s="294"/>
      <c r="CR33" s="294"/>
      <c r="CS33" s="294"/>
      <c r="CT33" s="294"/>
      <c r="CU33" s="294"/>
      <c r="CV33" s="294"/>
      <c r="CW33" s="294"/>
      <c r="CZ33" s="1382"/>
      <c r="DA33" s="1382"/>
      <c r="DB33" s="1382"/>
      <c r="DK33" s="1382"/>
      <c r="DL33" s="1382"/>
      <c r="DM33" s="1382"/>
    </row>
    <row r="34" spans="1:123" s="541" customFormat="1" ht="15" customHeight="1">
      <c r="A34" s="45" t="s">
        <v>95</v>
      </c>
      <c r="B34" s="541" t="s">
        <v>96</v>
      </c>
      <c r="E34" s="1382"/>
      <c r="F34" s="1382"/>
      <c r="G34" s="1382"/>
      <c r="P34" s="1382"/>
      <c r="Q34" s="1382"/>
      <c r="R34" s="1382"/>
      <c r="AA34" s="1382"/>
      <c r="AB34" s="1382"/>
      <c r="AC34" s="1382"/>
      <c r="AL34" s="1382"/>
      <c r="AM34" s="1382"/>
      <c r="AN34" s="1382"/>
      <c r="AU34" s="1275"/>
      <c r="AV34" s="1275"/>
      <c r="AW34" s="1382"/>
      <c r="AX34" s="1382"/>
      <c r="AY34" s="1382"/>
      <c r="AZ34" s="1275"/>
      <c r="BA34" s="1275"/>
      <c r="BB34" s="1275"/>
      <c r="BC34" s="1275"/>
      <c r="BD34" s="1275"/>
      <c r="BE34" s="1275"/>
      <c r="BF34" s="1275"/>
      <c r="BG34" s="1275"/>
      <c r="BH34" s="1382"/>
      <c r="BI34" s="1382"/>
      <c r="BJ34" s="1382"/>
      <c r="BK34" s="1275"/>
      <c r="BL34" s="1275"/>
      <c r="BM34" s="1275"/>
      <c r="BN34" s="1275"/>
      <c r="BO34" s="1275"/>
      <c r="BP34" s="1275"/>
      <c r="BQ34" s="1579"/>
      <c r="BR34" s="1579"/>
      <c r="BS34" s="1579"/>
      <c r="BT34" s="1579"/>
      <c r="BU34" s="1579"/>
      <c r="BV34" s="1579"/>
      <c r="BW34" s="1579"/>
      <c r="BX34" s="1579"/>
      <c r="BY34" s="1579"/>
      <c r="BZ34" s="1579"/>
      <c r="CA34" s="1579"/>
      <c r="CB34" s="1579"/>
      <c r="CC34" s="1579"/>
      <c r="CD34" s="1579"/>
      <c r="CE34" s="1579"/>
      <c r="CF34" s="1579"/>
      <c r="CG34" s="1579"/>
      <c r="CH34" s="1579"/>
      <c r="CI34" s="1579"/>
      <c r="CJ34" s="1579"/>
      <c r="CK34" s="1579"/>
      <c r="CL34" s="1579"/>
      <c r="CM34" s="294"/>
      <c r="CN34" s="294"/>
      <c r="CO34" s="294"/>
      <c r="CP34" s="294"/>
      <c r="CQ34" s="294"/>
      <c r="CR34" s="294"/>
      <c r="CS34" s="294"/>
      <c r="CT34" s="294"/>
      <c r="CU34" s="294"/>
      <c r="CV34" s="294"/>
      <c r="CW34" s="294"/>
      <c r="CZ34" s="1382"/>
      <c r="DA34" s="1382"/>
      <c r="DB34" s="1382"/>
      <c r="DK34" s="1382"/>
      <c r="DL34" s="1382"/>
      <c r="DM34" s="1382"/>
    </row>
    <row r="35" spans="1:123" s="541" customFormat="1" ht="35.25" customHeight="1">
      <c r="A35" s="45" t="s">
        <v>97</v>
      </c>
      <c r="B35" s="1842" t="s">
        <v>98</v>
      </c>
      <c r="C35" s="1842"/>
      <c r="D35" s="1842"/>
      <c r="E35" s="1842"/>
      <c r="F35" s="1842"/>
      <c r="G35" s="1842"/>
      <c r="H35" s="1842"/>
      <c r="I35" s="1842"/>
      <c r="J35" s="1842"/>
      <c r="K35" s="1842"/>
      <c r="L35" s="1842"/>
      <c r="M35" s="1842"/>
      <c r="N35" s="1843"/>
      <c r="O35" s="1843"/>
      <c r="P35" s="1843"/>
      <c r="Q35" s="1843"/>
      <c r="R35" s="1843"/>
      <c r="S35" s="1843"/>
      <c r="T35" s="1843"/>
      <c r="U35" s="1843"/>
      <c r="V35" s="1843"/>
      <c r="W35" s="1843"/>
      <c r="X35" s="1843"/>
      <c r="Y35" s="1843"/>
      <c r="Z35" s="1843"/>
      <c r="AA35" s="1843"/>
      <c r="AB35" s="1843"/>
      <c r="AC35" s="1843"/>
      <c r="AD35" s="1843"/>
      <c r="AE35" s="1843"/>
      <c r="AF35" s="1843"/>
      <c r="AG35" s="1843"/>
      <c r="AH35" s="1843"/>
      <c r="AI35" s="1843"/>
      <c r="AJ35" s="1843"/>
      <c r="AK35" s="1843"/>
      <c r="AL35" s="1843"/>
      <c r="AM35" s="1843"/>
      <c r="AN35" s="1843"/>
      <c r="AO35" s="1843"/>
      <c r="AP35" s="1843"/>
      <c r="AQ35" s="1843"/>
      <c r="AR35" s="1843"/>
      <c r="AS35" s="1843"/>
      <c r="AT35" s="1843"/>
      <c r="AU35" s="1843"/>
      <c r="AV35" s="1843"/>
      <c r="AW35" s="1843"/>
      <c r="AX35" s="1843"/>
      <c r="AY35" s="1843"/>
      <c r="AZ35" s="1843"/>
      <c r="BA35" s="1843"/>
      <c r="BB35" s="1843"/>
      <c r="BC35" s="1843"/>
      <c r="BD35" s="1843"/>
      <c r="BE35" s="1843"/>
      <c r="BF35" s="1843"/>
      <c r="BG35" s="1843"/>
      <c r="BH35" s="1843"/>
      <c r="BI35" s="1843"/>
      <c r="BJ35" s="1843"/>
      <c r="BK35" s="1843"/>
      <c r="BL35" s="1843"/>
      <c r="BM35" s="1843"/>
      <c r="BN35" s="1843"/>
      <c r="BO35" s="1843"/>
      <c r="BP35" s="1843"/>
      <c r="BQ35" s="1843"/>
      <c r="BR35" s="1843"/>
      <c r="BS35" s="1843"/>
      <c r="BT35" s="1843"/>
      <c r="BU35" s="1843"/>
      <c r="BV35" s="1843"/>
      <c r="BW35" s="1843"/>
      <c r="BX35" s="1843"/>
      <c r="BY35" s="1843"/>
      <c r="BZ35" s="1843"/>
      <c r="CA35" s="1843"/>
      <c r="CB35" s="1843"/>
      <c r="CC35" s="1843"/>
      <c r="CD35" s="1843"/>
      <c r="CE35" s="1843"/>
      <c r="CF35" s="1843"/>
      <c r="CG35" s="1843"/>
      <c r="CH35" s="1843"/>
      <c r="CI35" s="1843"/>
      <c r="CJ35" s="1843"/>
      <c r="CK35" s="1843"/>
      <c r="CL35" s="1843"/>
      <c r="CM35" s="1843"/>
      <c r="CN35" s="1843"/>
      <c r="CO35" s="1843"/>
      <c r="CP35" s="1843"/>
      <c r="CQ35" s="1843"/>
      <c r="CR35" s="1843"/>
      <c r="CS35" s="1843"/>
      <c r="CT35" s="1843"/>
      <c r="CU35" s="1843"/>
      <c r="CV35" s="1843"/>
      <c r="CW35" s="1843"/>
      <c r="CX35" s="536"/>
      <c r="CY35" s="536"/>
      <c r="CZ35" s="1381"/>
      <c r="DA35" s="1381"/>
      <c r="DB35" s="1381"/>
      <c r="DC35" s="536"/>
      <c r="DD35" s="536"/>
      <c r="DE35" s="536"/>
      <c r="DF35" s="536"/>
      <c r="DG35" s="536"/>
      <c r="DH35" s="536"/>
      <c r="DI35" s="536"/>
      <c r="DJ35" s="536"/>
      <c r="DK35" s="1381"/>
      <c r="DL35" s="1381"/>
      <c r="DM35" s="1381"/>
      <c r="DN35" s="536"/>
      <c r="DO35" s="536"/>
      <c r="DP35" s="536"/>
      <c r="DQ35" s="536"/>
      <c r="DR35" s="536"/>
      <c r="DS35" s="536"/>
    </row>
    <row r="36" spans="1:123" s="541" customFormat="1" ht="26.25" customHeight="1">
      <c r="E36" s="1382"/>
      <c r="F36" s="1382"/>
      <c r="G36" s="1382"/>
      <c r="P36" s="1382"/>
      <c r="Q36" s="1382"/>
      <c r="R36" s="1382"/>
      <c r="AA36" s="1382"/>
      <c r="AB36" s="1382"/>
      <c r="AC36" s="1382"/>
      <c r="AL36" s="1382"/>
      <c r="AM36" s="1382"/>
      <c r="AN36" s="1382"/>
      <c r="AU36" s="1275"/>
      <c r="AV36" s="1275"/>
      <c r="AW36" s="1382"/>
      <c r="AX36" s="1382"/>
      <c r="AY36" s="1382"/>
      <c r="AZ36" s="1275"/>
      <c r="BA36" s="1275"/>
      <c r="BB36" s="1275"/>
      <c r="BC36" s="1275"/>
      <c r="BD36" s="1275"/>
      <c r="BE36" s="1275"/>
      <c r="BF36" s="1275"/>
      <c r="BG36" s="1275"/>
      <c r="BH36" s="1382"/>
      <c r="BI36" s="1382"/>
      <c r="BJ36" s="1382"/>
      <c r="BK36" s="1275"/>
      <c r="BL36" s="1275"/>
      <c r="BM36" s="1275"/>
      <c r="BN36" s="1275"/>
      <c r="BO36" s="1275"/>
      <c r="BP36" s="1275"/>
      <c r="BQ36" s="1579"/>
      <c r="BR36" s="1579"/>
      <c r="BS36" s="1579"/>
      <c r="BT36" s="1579"/>
      <c r="BU36" s="1579"/>
      <c r="BV36" s="1579"/>
      <c r="BW36" s="1579"/>
      <c r="BX36" s="1579"/>
      <c r="BY36" s="1579"/>
      <c r="BZ36" s="1579"/>
      <c r="CA36" s="1579"/>
      <c r="CB36" s="1579"/>
      <c r="CC36" s="1579"/>
      <c r="CD36" s="1579"/>
      <c r="CE36" s="1579"/>
      <c r="CF36" s="1579"/>
      <c r="CG36" s="1579"/>
      <c r="CH36" s="1579"/>
      <c r="CI36" s="1579"/>
      <c r="CJ36" s="1579"/>
      <c r="CK36" s="1579"/>
      <c r="CL36" s="1579"/>
      <c r="CM36" s="294"/>
      <c r="CN36" s="294"/>
      <c r="CO36" s="294"/>
      <c r="CP36" s="294"/>
      <c r="CQ36" s="294"/>
      <c r="CR36" s="294"/>
      <c r="CS36" s="294"/>
      <c r="CT36" s="294"/>
      <c r="CU36" s="294"/>
      <c r="CV36" s="294"/>
      <c r="CW36" s="294"/>
      <c r="CZ36" s="1382"/>
      <c r="DA36" s="1382"/>
      <c r="DB36" s="1382"/>
      <c r="DK36" s="1382"/>
      <c r="DL36" s="1382"/>
      <c r="DM36" s="1382"/>
    </row>
  </sheetData>
  <mergeCells count="102">
    <mergeCell ref="EE5:EO5"/>
    <mergeCell ref="EP5:EZ5"/>
    <mergeCell ref="EE6:EE8"/>
    <mergeCell ref="EF6:EO6"/>
    <mergeCell ref="EP6:EP8"/>
    <mergeCell ref="EQ6:EZ6"/>
    <mergeCell ref="EF7:EF8"/>
    <mergeCell ref="EG7:EI7"/>
    <mergeCell ref="EJ7:EJ8"/>
    <mergeCell ref="EK7:EO7"/>
    <mergeCell ref="EQ7:EQ8"/>
    <mergeCell ref="ER7:ET7"/>
    <mergeCell ref="EU7:EU8"/>
    <mergeCell ref="EV7:EZ7"/>
    <mergeCell ref="DT5:ED5"/>
    <mergeCell ref="DT6:DT8"/>
    <mergeCell ref="DU6:ED6"/>
    <mergeCell ref="DU7:DU8"/>
    <mergeCell ref="DV7:DX7"/>
    <mergeCell ref="DY7:DY8"/>
    <mergeCell ref="DZ7:ED7"/>
    <mergeCell ref="A5:A8"/>
    <mergeCell ref="B5:B8"/>
    <mergeCell ref="N5:X5"/>
    <mergeCell ref="CM5:CW5"/>
    <mergeCell ref="CX5:DH5"/>
    <mergeCell ref="DI5:DS5"/>
    <mergeCell ref="N6:N8"/>
    <mergeCell ref="O6:X6"/>
    <mergeCell ref="CM6:CM8"/>
    <mergeCell ref="O7:O8"/>
    <mergeCell ref="S7:S8"/>
    <mergeCell ref="T7:X7"/>
    <mergeCell ref="CN7:CN8"/>
    <mergeCell ref="CR7:CR8"/>
    <mergeCell ref="CN6:CW6"/>
    <mergeCell ref="CX6:CX8"/>
    <mergeCell ref="CY6:DH6"/>
    <mergeCell ref="DI6:DI8"/>
    <mergeCell ref="DJ6:DS6"/>
    <mergeCell ref="DO7:DS7"/>
    <mergeCell ref="CY7:CY8"/>
    <mergeCell ref="DC7:DC8"/>
    <mergeCell ref="DD7:DH7"/>
    <mergeCell ref="DJ7:DJ8"/>
    <mergeCell ref="DN7:DN8"/>
    <mergeCell ref="CZ7:DB7"/>
    <mergeCell ref="DK7:DM7"/>
    <mergeCell ref="B31:CW31"/>
    <mergeCell ref="E7:G7"/>
    <mergeCell ref="P7:R7"/>
    <mergeCell ref="AA7:AC7"/>
    <mergeCell ref="AL7:AN7"/>
    <mergeCell ref="AW7:AY7"/>
    <mergeCell ref="CO7:CQ7"/>
    <mergeCell ref="B35:CW35"/>
    <mergeCell ref="C5:M5"/>
    <mergeCell ref="C6:C8"/>
    <mergeCell ref="D6:M6"/>
    <mergeCell ref="D7:D8"/>
    <mergeCell ref="H7:H8"/>
    <mergeCell ref="I7:M7"/>
    <mergeCell ref="Y5:AI5"/>
    <mergeCell ref="CS7:CW7"/>
    <mergeCell ref="AJ5:AT5"/>
    <mergeCell ref="AJ6:AJ8"/>
    <mergeCell ref="AK6:AT6"/>
    <mergeCell ref="AK7:AK8"/>
    <mergeCell ref="AO7:AO8"/>
    <mergeCell ref="AP7:AT7"/>
    <mergeCell ref="Y6:Y8"/>
    <mergeCell ref="Z6:AI6"/>
    <mergeCell ref="Z7:Z8"/>
    <mergeCell ref="AD7:AD8"/>
    <mergeCell ref="AE7:AI7"/>
    <mergeCell ref="AU5:BE5"/>
    <mergeCell ref="BF5:BP5"/>
    <mergeCell ref="AU6:AU8"/>
    <mergeCell ref="AV6:BE6"/>
    <mergeCell ref="BF6:BF8"/>
    <mergeCell ref="BG6:BP6"/>
    <mergeCell ref="AV7:AV8"/>
    <mergeCell ref="AZ7:AZ8"/>
    <mergeCell ref="BA7:BE7"/>
    <mergeCell ref="BG7:BG8"/>
    <mergeCell ref="BK7:BK8"/>
    <mergeCell ref="BL7:BP7"/>
    <mergeCell ref="BH7:BJ7"/>
    <mergeCell ref="BQ5:CA5"/>
    <mergeCell ref="BQ6:BQ8"/>
    <mergeCell ref="BR6:CA6"/>
    <mergeCell ref="BR7:BR8"/>
    <mergeCell ref="BS7:BU7"/>
    <mergeCell ref="BV7:BV8"/>
    <mergeCell ref="BW7:CA7"/>
    <mergeCell ref="CB5:CL5"/>
    <mergeCell ref="CB6:CB8"/>
    <mergeCell ref="CC6:CL6"/>
    <mergeCell ref="CC7:CC8"/>
    <mergeCell ref="CD7:CF7"/>
    <mergeCell ref="CG7:CG8"/>
    <mergeCell ref="CH7:CL7"/>
  </mergeCells>
  <pageMargins left="0.47244094488188981" right="0.15748031496062992" top="0.78740157480314965" bottom="0.39370078740157483" header="0.19685039370078741" footer="0.19685039370078741"/>
  <pageSetup paperSize="9" scale="45" orientation="landscape" r:id="rId1"/>
  <headerFooter alignWithMargins="0"/>
  <rowBreaks count="1" manualBreakCount="1">
    <brk id="35" max="33" man="1"/>
  </rowBreaks>
  <colBreaks count="3" manualBreakCount="3">
    <brk id="57" max="27" man="1"/>
    <brk id="90" max="27" man="1"/>
    <brk id="123" max="27" man="1"/>
  </colBreaks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39997558519241921"/>
  </sheetPr>
  <dimension ref="A1:P108"/>
  <sheetViews>
    <sheetView view="pageBreakPreview" zoomScaleNormal="100" workbookViewId="0">
      <pane xSplit="2" ySplit="5" topLeftCell="E6" activePane="bottomRight" state="frozen"/>
      <selection activeCell="B82" sqref="B82"/>
      <selection pane="topRight" activeCell="B82" sqref="B82"/>
      <selection pane="bottomLeft" activeCell="B82" sqref="B82"/>
      <selection pane="bottomRight" activeCell="L15" sqref="L15"/>
    </sheetView>
  </sheetViews>
  <sheetFormatPr defaultColWidth="3.7109375" defaultRowHeight="15" outlineLevelRow="1"/>
  <cols>
    <col min="1" max="1" width="5.85546875" style="1" customWidth="1"/>
    <col min="2" max="2" width="45.28515625" style="1" customWidth="1"/>
    <col min="3" max="4" width="13.42578125" style="1" hidden="1" customWidth="1"/>
    <col min="5" max="9" width="13.42578125" style="1" customWidth="1"/>
    <col min="10" max="10" width="16.5703125" style="1" customWidth="1"/>
    <col min="11" max="11" width="12.7109375" style="1603" customWidth="1"/>
    <col min="12" max="12" width="12.140625" style="1" customWidth="1"/>
    <col min="13" max="13" width="12.28515625" style="1" customWidth="1"/>
    <col min="14" max="14" width="12.7109375" style="1" customWidth="1"/>
    <col min="15" max="16" width="10.85546875" style="1" customWidth="1"/>
    <col min="17" max="50" width="9.140625" style="1" customWidth="1"/>
    <col min="51" max="16384" width="3.7109375" style="1"/>
  </cols>
  <sheetData>
    <row r="1" spans="1:16" ht="12.75" customHeight="1">
      <c r="A1" s="74" t="s">
        <v>1860</v>
      </c>
      <c r="J1" s="23"/>
      <c r="K1" s="23"/>
      <c r="M1" s="23" t="s">
        <v>359</v>
      </c>
      <c r="N1" s="23"/>
      <c r="O1" s="23"/>
      <c r="P1" s="23"/>
    </row>
    <row r="2" spans="1:16" ht="12.75" customHeight="1">
      <c r="A2" s="105" t="str">
        <f>'4.1_котельные'!A2</f>
        <v>ПКГО - выработка котельными</v>
      </c>
      <c r="K2" s="763"/>
      <c r="M2" s="763"/>
    </row>
    <row r="3" spans="1:16" ht="18.75">
      <c r="A3" s="1877" t="s">
        <v>1150</v>
      </c>
      <c r="B3" s="1914"/>
      <c r="C3" s="1914"/>
      <c r="D3" s="1914"/>
      <c r="E3" s="1914"/>
      <c r="F3" s="1914"/>
      <c r="G3" s="1914"/>
      <c r="H3" s="1914"/>
      <c r="I3" s="1914"/>
      <c r="J3" s="1914"/>
      <c r="K3" s="1632"/>
      <c r="L3" s="1632"/>
      <c r="M3" s="1767"/>
      <c r="N3" s="1632"/>
      <c r="O3" s="1632"/>
      <c r="P3" s="1632"/>
    </row>
    <row r="4" spans="1:16" ht="14.25" customHeight="1">
      <c r="J4" s="23"/>
      <c r="K4" s="23"/>
      <c r="M4" s="23" t="s">
        <v>360</v>
      </c>
      <c r="N4" s="23"/>
      <c r="O4" s="23"/>
      <c r="P4" s="23"/>
    </row>
    <row r="5" spans="1:16" s="3" customFormat="1" ht="77.25" customHeight="1">
      <c r="A5" s="540" t="s">
        <v>0</v>
      </c>
      <c r="B5" s="540" t="s">
        <v>1</v>
      </c>
      <c r="C5" s="540" t="s">
        <v>1129</v>
      </c>
      <c r="D5" s="540" t="s">
        <v>1130</v>
      </c>
      <c r="E5" s="944" t="s">
        <v>1520</v>
      </c>
      <c r="F5" s="540" t="s">
        <v>1695</v>
      </c>
      <c r="G5" s="1290" t="s">
        <v>1692</v>
      </c>
      <c r="H5" s="1576" t="s">
        <v>1828</v>
      </c>
      <c r="I5" s="1576" t="s">
        <v>1842</v>
      </c>
      <c r="J5" s="1631" t="s">
        <v>1861</v>
      </c>
      <c r="K5" s="1631" t="s">
        <v>1862</v>
      </c>
      <c r="L5" s="1631" t="s">
        <v>763</v>
      </c>
      <c r="M5" s="1631" t="s">
        <v>764</v>
      </c>
      <c r="N5" s="1631" t="s">
        <v>1863</v>
      </c>
      <c r="O5" s="1631" t="s">
        <v>763</v>
      </c>
      <c r="P5" s="1631" t="s">
        <v>764</v>
      </c>
    </row>
    <row r="6" spans="1:16" s="2" customFormat="1">
      <c r="A6" s="13">
        <v>1</v>
      </c>
      <c r="B6" s="13">
        <v>2</v>
      </c>
      <c r="C6" s="13">
        <v>3</v>
      </c>
      <c r="D6" s="13">
        <v>4</v>
      </c>
      <c r="E6" s="13">
        <v>3</v>
      </c>
      <c r="F6" s="13">
        <v>4</v>
      </c>
      <c r="G6" s="13">
        <v>5</v>
      </c>
      <c r="H6" s="13">
        <v>6</v>
      </c>
      <c r="I6" s="13">
        <v>7</v>
      </c>
      <c r="J6" s="13">
        <v>8</v>
      </c>
      <c r="K6" s="13">
        <v>9</v>
      </c>
      <c r="L6" s="13">
        <v>10</v>
      </c>
      <c r="M6" s="13">
        <v>11</v>
      </c>
      <c r="N6" s="1604">
        <v>12</v>
      </c>
      <c r="O6" s="13">
        <v>13</v>
      </c>
      <c r="P6" s="13">
        <v>14</v>
      </c>
    </row>
    <row r="7" spans="1:16" s="1041" customFormat="1" ht="30" customHeight="1">
      <c r="A7" s="1037" t="s">
        <v>361</v>
      </c>
      <c r="B7" s="1038" t="s">
        <v>362</v>
      </c>
      <c r="C7" s="1039">
        <f>C8+SUM(C10:C15)+C20+SUM(C22:C25)+SUM(C56:C61)-2</f>
        <v>2161532.8069495549</v>
      </c>
      <c r="D7" s="1039">
        <f t="shared" ref="D7:E7" si="0">D8+SUM(D10:D15)+D20+SUM(D22:D25)+SUM(D56:D61)</f>
        <v>2373559.9566411106</v>
      </c>
      <c r="E7" s="1088">
        <f t="shared" si="0"/>
        <v>1989930</v>
      </c>
      <c r="F7" s="1039">
        <v>2408024.0828664862</v>
      </c>
      <c r="G7" s="1039">
        <v>2592870.7848649835</v>
      </c>
      <c r="H7" s="1039">
        <v>2502739.8115496598</v>
      </c>
      <c r="I7" s="1039">
        <v>31125</v>
      </c>
      <c r="J7" s="1039">
        <v>2752212.2387732789</v>
      </c>
      <c r="K7" s="1039">
        <v>3026370.0573349153</v>
      </c>
      <c r="L7" s="1039">
        <v>1607438.5190270001</v>
      </c>
      <c r="M7" s="1039">
        <v>1418932.5383079159</v>
      </c>
      <c r="N7" s="1605">
        <v>3171300.1819390487</v>
      </c>
      <c r="O7" s="1039">
        <v>1690944.2095359769</v>
      </c>
      <c r="P7" s="1039">
        <v>1480354.9724030716</v>
      </c>
    </row>
    <row r="8" spans="1:16" s="1046" customFormat="1" ht="15" customHeight="1">
      <c r="A8" s="1044"/>
      <c r="B8" s="1045" t="s">
        <v>363</v>
      </c>
      <c r="C8" s="258">
        <f>'4.6_генерация_котельн.'!C8+'4.6_транзит+сбыт_котельн.'!C8</f>
        <v>22137</v>
      </c>
      <c r="D8" s="258">
        <f>'4.6_генерация_котельн.'!D8+'4.6_транзит+сбыт_котельн.'!D8</f>
        <v>44252</v>
      </c>
      <c r="E8" s="1047">
        <f>'4.6_генерация_котельн.'!E8+'4.6_транзит+сбыт_котельн.'!E8</f>
        <v>31864</v>
      </c>
      <c r="F8" s="258">
        <v>39730</v>
      </c>
      <c r="G8" s="258">
        <v>48500.291860629579</v>
      </c>
      <c r="H8" s="258">
        <v>52436</v>
      </c>
      <c r="I8" s="258"/>
      <c r="J8" s="258">
        <v>30199.5</v>
      </c>
      <c r="K8" s="258">
        <v>39997.479299999999</v>
      </c>
      <c r="L8" s="258">
        <v>13999.117754999999</v>
      </c>
      <c r="M8" s="258">
        <v>25998.361545</v>
      </c>
      <c r="N8" s="982">
        <v>33476.292555809392</v>
      </c>
      <c r="O8" s="258">
        <v>11716.702394533288</v>
      </c>
      <c r="P8" s="258">
        <v>21759.590161276108</v>
      </c>
    </row>
    <row r="9" spans="1:16" s="4" customFormat="1" ht="15" customHeight="1">
      <c r="A9" s="17"/>
      <c r="B9" s="580" t="s">
        <v>1134</v>
      </c>
      <c r="C9" s="751">
        <f>'4.6_генерация_котельн.'!C9+'4.6_транзит+сбыт_котельн.'!C9</f>
        <v>7686</v>
      </c>
      <c r="D9" s="751">
        <f>'4.6_генерация_котельн.'!D9+'4.6_транзит+сбыт_котельн.'!D9</f>
        <v>21871</v>
      </c>
      <c r="E9" s="984">
        <f>'4.6_генерация_котельн.'!E9+'4.6_транзит+сбыт_котельн.'!E9</f>
        <v>0</v>
      </c>
      <c r="F9" s="751">
        <v>18746</v>
      </c>
      <c r="G9" s="751">
        <v>23385</v>
      </c>
      <c r="H9" s="751">
        <v>27128</v>
      </c>
      <c r="I9" s="751"/>
      <c r="J9" s="751">
        <v>26372</v>
      </c>
      <c r="K9" s="751">
        <v>30617</v>
      </c>
      <c r="L9" s="751">
        <v>10715.949999999999</v>
      </c>
      <c r="M9" s="751">
        <v>19901.050000000003</v>
      </c>
      <c r="N9" s="1606">
        <v>29233.490199566397</v>
      </c>
      <c r="O9" s="751">
        <v>10231.721569848238</v>
      </c>
      <c r="P9" s="751">
        <v>19001.768629718157</v>
      </c>
    </row>
    <row r="10" spans="1:16" s="1046" customFormat="1" ht="15" customHeight="1">
      <c r="A10" s="1044"/>
      <c r="B10" s="1045" t="s">
        <v>364</v>
      </c>
      <c r="C10" s="258">
        <f>'4.6_генерация_котельн.'!C10+'4.6_транзит+сбыт_котельн.'!C10</f>
        <v>1089837.8069495547</v>
      </c>
      <c r="D10" s="258">
        <f>'4.6_генерация_котельн.'!D10+'4.6_транзит+сбыт_котельн.'!D10</f>
        <v>1154298.1266000001</v>
      </c>
      <c r="E10" s="1047">
        <f>'4.6_генерация_котельн.'!E10+'4.6_транзит+сбыт_котельн.'!E10</f>
        <v>1035518</v>
      </c>
      <c r="F10" s="258">
        <v>1053276.9508700001</v>
      </c>
      <c r="G10" s="258">
        <v>1249077.8021018123</v>
      </c>
      <c r="H10" s="258">
        <v>995305.16267999995</v>
      </c>
      <c r="I10" s="258"/>
      <c r="J10" s="258">
        <v>1095460.1892599999</v>
      </c>
      <c r="K10" s="258">
        <v>1215556.9890000001</v>
      </c>
      <c r="L10" s="258">
        <v>720362.24774999998</v>
      </c>
      <c r="M10" s="258">
        <v>495194.74125000002</v>
      </c>
      <c r="N10" s="982">
        <v>1258949.7462500001</v>
      </c>
      <c r="O10" s="258">
        <v>748598.48124999995</v>
      </c>
      <c r="P10" s="258">
        <v>510351.26500000001</v>
      </c>
    </row>
    <row r="11" spans="1:16" s="1046" customFormat="1" ht="30">
      <c r="A11" s="1044"/>
      <c r="B11" s="1045" t="s">
        <v>365</v>
      </c>
      <c r="C11" s="258">
        <f>'4.6_генерация_котельн.'!C11+'4.6_транзит+сбыт_котельн.'!C11</f>
        <v>109432</v>
      </c>
      <c r="D11" s="258">
        <f>'4.6_генерация_котельн.'!D11+'4.6_транзит+сбыт_котельн.'!D11</f>
        <v>130497.495688</v>
      </c>
      <c r="E11" s="1047">
        <f>'4.6_генерация_котельн.'!E11+'4.6_транзит+сбыт_котельн.'!E11</f>
        <v>94840</v>
      </c>
      <c r="F11" s="258">
        <v>118307.45407200002</v>
      </c>
      <c r="G11" s="258">
        <v>149311.03311387141</v>
      </c>
      <c r="H11" s="258">
        <v>125591.41889900001</v>
      </c>
      <c r="I11" s="258"/>
      <c r="J11" s="258">
        <v>140308.62900000002</v>
      </c>
      <c r="K11" s="258">
        <v>155650.99657199997</v>
      </c>
      <c r="L11" s="258">
        <v>88956.484800000006</v>
      </c>
      <c r="M11" s="258">
        <v>66694.511771999983</v>
      </c>
      <c r="N11" s="982">
        <v>169904.37655947596</v>
      </c>
      <c r="O11" s="258">
        <v>97674.220310399993</v>
      </c>
      <c r="P11" s="258">
        <v>72230.156249075982</v>
      </c>
    </row>
    <row r="12" spans="1:16" s="1046" customFormat="1" ht="15" customHeight="1">
      <c r="A12" s="1044"/>
      <c r="B12" s="1045" t="s">
        <v>366</v>
      </c>
      <c r="C12" s="258">
        <f>'4.6_генерация_котельн.'!C12+'4.6_транзит+сбыт_котельн.'!C12</f>
        <v>11899</v>
      </c>
      <c r="D12" s="258">
        <f>'4.6_генерация_котельн.'!D12+'4.6_транзит+сбыт_котельн.'!D12</f>
        <v>66755.264353110251</v>
      </c>
      <c r="E12" s="1047">
        <f>'4.6_генерация_котельн.'!E12+'4.6_транзит+сбыт_котельн.'!E12</f>
        <v>2050</v>
      </c>
      <c r="F12" s="258">
        <v>79550.233389999994</v>
      </c>
      <c r="G12" s="258">
        <v>14736.954475163762</v>
      </c>
      <c r="H12" s="258">
        <v>20920.172711173062</v>
      </c>
      <c r="I12" s="258"/>
      <c r="J12" s="258">
        <v>24704.803834666556</v>
      </c>
      <c r="K12" s="258">
        <v>26231.711889861799</v>
      </c>
      <c r="L12" s="258">
        <v>12952.661162</v>
      </c>
      <c r="M12" s="258">
        <v>13279.050727861797</v>
      </c>
      <c r="N12" s="982">
        <v>28007.961338357578</v>
      </c>
      <c r="O12" s="258">
        <v>14131.353327741999</v>
      </c>
      <c r="P12" s="258">
        <v>13876.608010615579</v>
      </c>
    </row>
    <row r="13" spans="1:16" s="1046" customFormat="1" ht="15" customHeight="1">
      <c r="A13" s="1044"/>
      <c r="B13" s="1045" t="s">
        <v>367</v>
      </c>
      <c r="C13" s="258">
        <f>'4.6_генерация_котельн.'!C13+'4.6_транзит+сбыт_котельн.'!C13</f>
        <v>0</v>
      </c>
      <c r="D13" s="258">
        <f>'4.6_генерация_котельн.'!D13+'4.6_транзит+сбыт_котельн.'!D13</f>
        <v>0</v>
      </c>
      <c r="E13" s="1047">
        <f>'4.6_генерация_котельн.'!E13+'4.6_транзит+сбыт_котельн.'!E13</f>
        <v>0</v>
      </c>
      <c r="F13" s="258">
        <v>0</v>
      </c>
      <c r="G13" s="258">
        <v>0</v>
      </c>
      <c r="H13" s="258">
        <v>57632.192678826934</v>
      </c>
      <c r="I13" s="258"/>
      <c r="J13" s="258">
        <v>64184.400598612483</v>
      </c>
      <c r="K13" s="258">
        <v>67778.700203054002</v>
      </c>
      <c r="L13" s="258">
        <v>35642.265741999996</v>
      </c>
      <c r="M13" s="258">
        <v>32136.434461054007</v>
      </c>
      <c r="N13" s="982">
        <v>72468.285936323431</v>
      </c>
      <c r="O13" s="258">
        <v>38885.711924522002</v>
      </c>
      <c r="P13" s="258">
        <v>33582.574011801429</v>
      </c>
    </row>
    <row r="14" spans="1:16" s="1046" customFormat="1" ht="30">
      <c r="A14" s="1044"/>
      <c r="B14" s="1045" t="s">
        <v>368</v>
      </c>
      <c r="C14" s="258">
        <f>'4.6_генерация_котельн.'!C14+'4.6_транзит+сбыт_котельн.'!C14</f>
        <v>1251</v>
      </c>
      <c r="D14" s="258">
        <f>'4.6_генерация_котельн.'!D14+'4.6_транзит+сбыт_котельн.'!D14</f>
        <v>5448.07</v>
      </c>
      <c r="E14" s="1047">
        <f>'4.6_генерация_котельн.'!E14+'4.6_транзит+сбыт_котельн.'!E14</f>
        <v>3586</v>
      </c>
      <c r="F14" s="258">
        <v>5454.1603144860628</v>
      </c>
      <c r="G14" s="258">
        <v>4176.2336823196965</v>
      </c>
      <c r="H14" s="258">
        <v>11351</v>
      </c>
      <c r="I14" s="258"/>
      <c r="J14" s="258">
        <v>36247</v>
      </c>
      <c r="K14" s="258">
        <v>15472</v>
      </c>
      <c r="L14" s="258">
        <v>7834</v>
      </c>
      <c r="M14" s="258">
        <v>7638</v>
      </c>
      <c r="N14" s="982">
        <v>13972</v>
      </c>
      <c r="O14" s="258">
        <v>6985</v>
      </c>
      <c r="P14" s="258">
        <v>6987</v>
      </c>
    </row>
    <row r="15" spans="1:16" s="1046" customFormat="1" ht="15" customHeight="1">
      <c r="A15" s="1044"/>
      <c r="B15" s="1045" t="s">
        <v>1135</v>
      </c>
      <c r="C15" s="258">
        <f>C16+C18+C19</f>
        <v>546979</v>
      </c>
      <c r="D15" s="258">
        <f t="shared" ref="D15:E15" si="1">D16+D18+D19</f>
        <v>627587</v>
      </c>
      <c r="E15" s="1047">
        <f t="shared" si="1"/>
        <v>581713</v>
      </c>
      <c r="F15" s="258">
        <v>738098</v>
      </c>
      <c r="G15" s="258">
        <v>763410.19244190666</v>
      </c>
      <c r="H15" s="258">
        <v>825054.86458066013</v>
      </c>
      <c r="I15" s="258"/>
      <c r="J15" s="258">
        <v>912314.71607999993</v>
      </c>
      <c r="K15" s="258">
        <v>1015323.36973</v>
      </c>
      <c r="L15" s="258">
        <v>487951.17255999998</v>
      </c>
      <c r="M15" s="258">
        <v>527373.19717000006</v>
      </c>
      <c r="N15" s="982">
        <v>1074774.97429</v>
      </c>
      <c r="O15" s="258">
        <v>520641.80534999998</v>
      </c>
      <c r="P15" s="258">
        <v>554132.16894</v>
      </c>
    </row>
    <row r="16" spans="1:16" s="4" customFormat="1" ht="15" customHeight="1">
      <c r="A16" s="17"/>
      <c r="B16" s="581" t="s">
        <v>1136</v>
      </c>
      <c r="C16" s="241">
        <f>'4.6_генерация_котельн.'!C16+'4.6_транзит+сбыт_котельн.'!C16</f>
        <v>538762</v>
      </c>
      <c r="D16" s="241">
        <f>'4.6_генерация_котельн.'!D16+'4.6_транзит+сбыт_котельн.'!D16</f>
        <v>616248</v>
      </c>
      <c r="E16" s="983">
        <f>'4.6_генерация_котельн.'!E16+'4.6_транзит+сбыт_котельн.'!E16</f>
        <v>572148</v>
      </c>
      <c r="F16" s="241">
        <v>723084</v>
      </c>
      <c r="G16" s="241">
        <v>750100.61474814184</v>
      </c>
      <c r="H16" s="241">
        <v>808203.86458066013</v>
      </c>
      <c r="I16" s="241"/>
      <c r="J16" s="241">
        <v>892142.71607999993</v>
      </c>
      <c r="K16" s="241">
        <v>990274.36973000003</v>
      </c>
      <c r="L16" s="241">
        <v>475426.17255999998</v>
      </c>
      <c r="M16" s="241">
        <v>514848.19717000006</v>
      </c>
      <c r="N16" s="982">
        <v>1048597.97429</v>
      </c>
      <c r="O16" s="241">
        <v>507553.30534999998</v>
      </c>
      <c r="P16" s="241">
        <v>541043.66894</v>
      </c>
    </row>
    <row r="17" spans="1:16" s="4" customFormat="1" ht="15" customHeight="1">
      <c r="A17" s="17"/>
      <c r="B17" s="580" t="s">
        <v>1134</v>
      </c>
      <c r="C17" s="751">
        <f>'4.6_генерация_котельн.'!C17+'4.6_транзит+сбыт_котельн.'!C17</f>
        <v>45925</v>
      </c>
      <c r="D17" s="751">
        <f>'4.6_генерация_котельн.'!D17+'4.6_транзит+сбыт_котельн.'!D17</f>
        <v>63500</v>
      </c>
      <c r="E17" s="984">
        <f>'4.6_генерация_котельн.'!E17+'4.6_транзит+сбыт_котельн.'!E17</f>
        <v>0</v>
      </c>
      <c r="F17" s="751">
        <v>71872</v>
      </c>
      <c r="G17" s="751">
        <v>80948.421117975435</v>
      </c>
      <c r="H17" s="751">
        <v>76869</v>
      </c>
      <c r="I17" s="751"/>
      <c r="J17" s="751">
        <v>82185</v>
      </c>
      <c r="K17" s="751">
        <v>96997</v>
      </c>
      <c r="L17" s="751">
        <v>46605</v>
      </c>
      <c r="M17" s="751">
        <v>50392</v>
      </c>
      <c r="N17" s="1606">
        <v>102659</v>
      </c>
      <c r="O17" s="751">
        <v>49721</v>
      </c>
      <c r="P17" s="751">
        <v>52938</v>
      </c>
    </row>
    <row r="18" spans="1:16" s="4" customFormat="1" ht="15" customHeight="1">
      <c r="A18" s="17"/>
      <c r="B18" s="581" t="s">
        <v>1137</v>
      </c>
      <c r="C18" s="241">
        <f>'4.6_генерация_котельн.'!C18+'4.6_транзит+сбыт_котельн.'!C18</f>
        <v>8217</v>
      </c>
      <c r="D18" s="241">
        <f>'4.6_генерация_котельн.'!D18+'4.6_транзит+сбыт_котельн.'!D18</f>
        <v>11339</v>
      </c>
      <c r="E18" s="983">
        <f>'4.6_генерация_котельн.'!E18+'4.6_транзит+сбыт_котельн.'!E18</f>
        <v>9565</v>
      </c>
      <c r="F18" s="241">
        <v>14725</v>
      </c>
      <c r="G18" s="241">
        <v>13309.577693764819</v>
      </c>
      <c r="H18" s="241">
        <v>16556</v>
      </c>
      <c r="I18" s="241"/>
      <c r="J18" s="241">
        <v>20172</v>
      </c>
      <c r="K18" s="241">
        <v>25049</v>
      </c>
      <c r="L18" s="241">
        <v>12525</v>
      </c>
      <c r="M18" s="241">
        <v>12525</v>
      </c>
      <c r="N18" s="982">
        <v>26177</v>
      </c>
      <c r="O18" s="241">
        <v>13088.5</v>
      </c>
      <c r="P18" s="241">
        <v>13088.5</v>
      </c>
    </row>
    <row r="19" spans="1:16" s="4" customFormat="1" ht="15" customHeight="1">
      <c r="A19" s="17"/>
      <c r="B19" s="581" t="s">
        <v>1138</v>
      </c>
      <c r="C19" s="241">
        <f>'4.6_генерация_котельн.'!C19+'4.6_транзит+сбыт_котельн.'!C19</f>
        <v>0</v>
      </c>
      <c r="D19" s="241">
        <f>'4.6_генерация_котельн.'!D19+'4.6_транзит+сбыт_котельн.'!D19</f>
        <v>0</v>
      </c>
      <c r="E19" s="983">
        <f>'4.6_генерация_котельн.'!E19+'4.6_транзит+сбыт_котельн.'!E19</f>
        <v>0</v>
      </c>
      <c r="F19" s="241">
        <v>289</v>
      </c>
      <c r="G19" s="241">
        <v>0</v>
      </c>
      <c r="H19" s="241">
        <v>295</v>
      </c>
      <c r="I19" s="241"/>
      <c r="J19" s="241">
        <v>0</v>
      </c>
      <c r="K19" s="241">
        <v>0</v>
      </c>
      <c r="L19" s="241">
        <v>0</v>
      </c>
      <c r="M19" s="241">
        <v>0</v>
      </c>
      <c r="N19" s="982">
        <v>0</v>
      </c>
      <c r="O19" s="241">
        <v>0</v>
      </c>
      <c r="P19" s="241">
        <v>0</v>
      </c>
    </row>
    <row r="20" spans="1:16" s="1046" customFormat="1">
      <c r="A20" s="1044"/>
      <c r="B20" s="1045" t="s">
        <v>369</v>
      </c>
      <c r="C20" s="258">
        <f>'4.6_генерация_котельн.'!C20+'4.6_транзит+сбыт_котельн.'!C20</f>
        <v>157042</v>
      </c>
      <c r="D20" s="258">
        <f>'4.6_генерация_котельн.'!D20+'4.6_транзит+сбыт_котельн.'!D20</f>
        <v>178199</v>
      </c>
      <c r="E20" s="1047">
        <f>'4.6_генерация_котельн.'!E20+'4.6_транзит+сбыт_котельн.'!E20</f>
        <v>157085</v>
      </c>
      <c r="F20" s="258">
        <v>208698</v>
      </c>
      <c r="G20" s="258">
        <v>225637.55206086891</v>
      </c>
      <c r="H20" s="258">
        <v>237831</v>
      </c>
      <c r="I20" s="258"/>
      <c r="J20" s="258">
        <v>267016</v>
      </c>
      <c r="K20" s="258">
        <v>305625</v>
      </c>
      <c r="L20" s="258">
        <v>152296</v>
      </c>
      <c r="M20" s="258">
        <v>153329</v>
      </c>
      <c r="N20" s="982">
        <v>325600</v>
      </c>
      <c r="O20" s="258">
        <v>160373</v>
      </c>
      <c r="P20" s="258">
        <v>165227</v>
      </c>
    </row>
    <row r="21" spans="1:16" s="4" customFormat="1">
      <c r="A21" s="17"/>
      <c r="B21" s="580" t="s">
        <v>1134</v>
      </c>
      <c r="C21" s="751">
        <f>'4.6_генерация_котельн.'!C21+'4.6_транзит+сбыт_котельн.'!C21</f>
        <v>13387</v>
      </c>
      <c r="D21" s="751">
        <f>'4.6_генерация_котельн.'!D21+'4.6_транзит+сбыт_котельн.'!D21</f>
        <v>19678</v>
      </c>
      <c r="E21" s="984">
        <f>'4.6_генерация_котельн.'!E21+'4.6_транзит+сбыт_котельн.'!E21</f>
        <v>0</v>
      </c>
      <c r="F21" s="751">
        <v>22840</v>
      </c>
      <c r="G21" s="751">
        <v>25069.816372791145</v>
      </c>
      <c r="H21" s="751">
        <v>25138</v>
      </c>
      <c r="I21" s="751"/>
      <c r="J21" s="751">
        <v>27129</v>
      </c>
      <c r="K21" s="751">
        <v>29293</v>
      </c>
      <c r="L21" s="752">
        <v>13455.154787658415</v>
      </c>
      <c r="M21" s="752">
        <v>15837.845212341585</v>
      </c>
      <c r="N21" s="1606">
        <v>33714.98283420199</v>
      </c>
      <c r="O21" s="752">
        <v>14354.761201638117</v>
      </c>
      <c r="P21" s="752">
        <v>19360.221632563873</v>
      </c>
    </row>
    <row r="22" spans="1:16" s="1046" customFormat="1" ht="30" customHeight="1">
      <c r="A22" s="1044"/>
      <c r="B22" s="1045" t="s">
        <v>370</v>
      </c>
      <c r="C22" s="258">
        <f>'4.6_генерация_котельн.'!C22+'4.6_транзит+сбыт_котельн.'!C22</f>
        <v>44554</v>
      </c>
      <c r="D22" s="258">
        <f>'4.6_генерация_котельн.'!D22+'4.6_транзит+сбыт_котельн.'!D22</f>
        <v>21840</v>
      </c>
      <c r="E22" s="1047">
        <f>'4.6_генерация_котельн.'!E22+'4.6_транзит+сбыт_котельн.'!E22</f>
        <v>2000</v>
      </c>
      <c r="F22" s="258">
        <v>2996</v>
      </c>
      <c r="G22" s="258">
        <v>0</v>
      </c>
      <c r="H22" s="258">
        <v>27940</v>
      </c>
      <c r="I22" s="258"/>
      <c r="J22" s="258">
        <v>12610</v>
      </c>
      <c r="K22" s="258">
        <v>16948</v>
      </c>
      <c r="L22" s="258">
        <v>8474</v>
      </c>
      <c r="M22" s="258">
        <v>8474</v>
      </c>
      <c r="N22" s="982">
        <v>17190.098409999999</v>
      </c>
      <c r="O22" s="258">
        <v>8595.0492049999993</v>
      </c>
      <c r="P22" s="258">
        <v>8595.0492049999993</v>
      </c>
    </row>
    <row r="23" spans="1:16" s="1046" customFormat="1" ht="45">
      <c r="A23" s="1044"/>
      <c r="B23" s="1045" t="s">
        <v>1139</v>
      </c>
      <c r="C23" s="258">
        <f>'4.6_генерация_котельн.'!C23+'4.6_транзит+сбыт_котельн.'!C23</f>
        <v>30613</v>
      </c>
      <c r="D23" s="258">
        <f>'4.6_генерация_котельн.'!D23+'4.6_транзит+сбыт_котельн.'!D23</f>
        <v>0</v>
      </c>
      <c r="E23" s="1047">
        <f>'4.6_генерация_котельн.'!E23+'4.6_транзит+сбыт_котельн.'!E23</f>
        <v>0</v>
      </c>
      <c r="F23" s="258">
        <v>2560</v>
      </c>
      <c r="G23" s="258">
        <v>0</v>
      </c>
      <c r="H23" s="258">
        <v>2575</v>
      </c>
      <c r="I23" s="258"/>
      <c r="J23" s="258">
        <v>2743</v>
      </c>
      <c r="K23" s="258">
        <v>2975</v>
      </c>
      <c r="L23" s="258">
        <v>1923</v>
      </c>
      <c r="M23" s="258">
        <v>1052</v>
      </c>
      <c r="N23" s="982">
        <v>3167</v>
      </c>
      <c r="O23" s="258">
        <v>2053</v>
      </c>
      <c r="P23" s="258">
        <v>1114</v>
      </c>
    </row>
    <row r="24" spans="1:16" s="1046" customFormat="1" ht="60">
      <c r="A24" s="1044"/>
      <c r="B24" s="1045" t="s">
        <v>372</v>
      </c>
      <c r="C24" s="258">
        <f>'4.6_генерация_котельн.'!C24+'4.6_транзит+сбыт_котельн.'!C24</f>
        <v>11226</v>
      </c>
      <c r="D24" s="258">
        <f>'4.6_генерация_котельн.'!D24+'4.6_транзит+сбыт_котельн.'!D24</f>
        <v>19893</v>
      </c>
      <c r="E24" s="1047">
        <f>'4.6_генерация_котельн.'!E24+'4.6_транзит+сбыт_котельн.'!E24</f>
        <v>28184</v>
      </c>
      <c r="F24" s="258">
        <v>23547</v>
      </c>
      <c r="G24" s="258">
        <v>21766.744730728344</v>
      </c>
      <c r="H24" s="258">
        <v>18158</v>
      </c>
      <c r="I24" s="258"/>
      <c r="J24" s="258">
        <v>33669</v>
      </c>
      <c r="K24" s="258">
        <v>35598.907080000004</v>
      </c>
      <c r="L24" s="258">
        <v>12459.617478</v>
      </c>
      <c r="M24" s="258">
        <v>23139.289602000001</v>
      </c>
      <c r="N24" s="982">
        <v>37322.250171742795</v>
      </c>
      <c r="O24" s="258">
        <v>13062.787560109979</v>
      </c>
      <c r="P24" s="258">
        <v>24259.462611632818</v>
      </c>
    </row>
    <row r="25" spans="1:16" s="1046" customFormat="1" ht="90">
      <c r="A25" s="1044"/>
      <c r="B25" s="1045" t="s">
        <v>373</v>
      </c>
      <c r="C25" s="258">
        <f>C27+C28+C29+C55</f>
        <v>27407</v>
      </c>
      <c r="D25" s="258">
        <f t="shared" ref="D25:E25" si="2">D27+D28+D29+D55</f>
        <v>29088</v>
      </c>
      <c r="E25" s="1135">
        <f t="shared" si="2"/>
        <v>18928</v>
      </c>
      <c r="F25" s="258">
        <v>32687.284220000001</v>
      </c>
      <c r="G25" s="258">
        <v>16195.862790634608</v>
      </c>
      <c r="H25" s="258">
        <v>37845</v>
      </c>
      <c r="I25" s="258">
        <v>31116</v>
      </c>
      <c r="J25" s="258">
        <v>31116</v>
      </c>
      <c r="K25" s="258">
        <v>32899.56912</v>
      </c>
      <c r="L25" s="258">
        <v>16449.78456</v>
      </c>
      <c r="M25" s="258">
        <v>16449.78456</v>
      </c>
      <c r="N25" s="258">
        <v>34492.237261099195</v>
      </c>
      <c r="O25" s="258">
        <v>17246.118630549598</v>
      </c>
      <c r="P25" s="258">
        <v>17246.118630549598</v>
      </c>
    </row>
    <row r="26" spans="1:16" s="4" customFormat="1">
      <c r="A26" s="17"/>
      <c r="B26" s="51" t="s">
        <v>70</v>
      </c>
      <c r="C26" s="241"/>
      <c r="D26" s="241"/>
      <c r="E26" s="983"/>
      <c r="F26" s="241"/>
      <c r="G26" s="983"/>
      <c r="H26" s="241"/>
      <c r="I26" s="241"/>
      <c r="J26" s="241"/>
      <c r="K26" s="241"/>
      <c r="L26" s="241"/>
      <c r="M26" s="241"/>
      <c r="N26" s="982"/>
      <c r="O26" s="241"/>
      <c r="P26" s="241"/>
    </row>
    <row r="27" spans="1:16" s="4" customFormat="1">
      <c r="A27" s="17"/>
      <c r="B27" s="581" t="s">
        <v>1275</v>
      </c>
      <c r="C27" s="766">
        <f>'4.6_генерация_котельн.'!C27+'4.6_транзит+сбыт_котельн.'!C27+1</f>
        <v>195</v>
      </c>
      <c r="D27" s="766">
        <f>'4.6_генерация_котельн.'!D27+'4.6_транзит+сбыт_котельн.'!D27</f>
        <v>6</v>
      </c>
      <c r="E27" s="984">
        <f>'4.6_генерация_котельн.'!E27+'4.6_транзит+сбыт_котельн.'!E27</f>
        <v>151</v>
      </c>
      <c r="F27" s="766">
        <v>3</v>
      </c>
      <c r="G27" s="766">
        <v>0</v>
      </c>
      <c r="H27" s="766">
        <v>0</v>
      </c>
      <c r="I27" s="766"/>
      <c r="J27" s="766">
        <v>0</v>
      </c>
      <c r="K27" s="766">
        <v>0</v>
      </c>
      <c r="L27" s="766">
        <v>0</v>
      </c>
      <c r="M27" s="766">
        <v>0</v>
      </c>
      <c r="N27" s="993">
        <v>0</v>
      </c>
      <c r="O27" s="766">
        <v>0</v>
      </c>
      <c r="P27" s="766">
        <v>0</v>
      </c>
    </row>
    <row r="28" spans="1:16" s="4" customFormat="1">
      <c r="A28" s="17"/>
      <c r="B28" s="581" t="s">
        <v>1276</v>
      </c>
      <c r="C28" s="766">
        <f>'4.6_генерация_котельн.'!C28+'4.6_транзит+сбыт_котельн.'!C28</f>
        <v>239</v>
      </c>
      <c r="D28" s="766">
        <f>'4.6_генерация_котельн.'!D28+'4.6_транзит+сбыт_котельн.'!D28</f>
        <v>33</v>
      </c>
      <c r="E28" s="984">
        <f>'4.6_генерация_котельн.'!E28+'4.6_транзит+сбыт_котельн.'!E28</f>
        <v>254</v>
      </c>
      <c r="F28" s="766">
        <v>34</v>
      </c>
      <c r="G28" s="766">
        <v>0</v>
      </c>
      <c r="H28" s="766">
        <v>32</v>
      </c>
      <c r="I28" s="766">
        <v>227</v>
      </c>
      <c r="J28" s="766">
        <v>227</v>
      </c>
      <c r="K28" s="766">
        <v>240.01164000000003</v>
      </c>
      <c r="L28" s="766">
        <v>120.00582000000001</v>
      </c>
      <c r="M28" s="766">
        <v>120.00582000000001</v>
      </c>
      <c r="N28" s="766">
        <v>251.63060349239998</v>
      </c>
      <c r="O28" s="766">
        <v>125.81530174619999</v>
      </c>
      <c r="P28" s="766">
        <v>125.81530174619999</v>
      </c>
    </row>
    <row r="29" spans="1:16" s="4" customFormat="1">
      <c r="A29" s="17"/>
      <c r="B29" s="581" t="s">
        <v>1559</v>
      </c>
      <c r="C29" s="766">
        <f>'4.6_генерация_котельн.'!C29+'4.6_транзит+сбыт_котельн.'!C29</f>
        <v>26973</v>
      </c>
      <c r="D29" s="981">
        <f>'4.6_генерация_котельн.'!D29+'4.6_транзит+сбыт_котельн.'!D29</f>
        <v>29049</v>
      </c>
      <c r="E29" s="984">
        <f>'4.6_генерация_котельн.'!E29+'4.6_транзит+сбыт_котельн.'!E29</f>
        <v>18523</v>
      </c>
      <c r="F29" s="766">
        <v>32650.284220000001</v>
      </c>
      <c r="G29" s="766">
        <v>16195.862790634608</v>
      </c>
      <c r="H29" s="766">
        <v>37813</v>
      </c>
      <c r="I29" s="766">
        <v>30889</v>
      </c>
      <c r="J29" s="766">
        <v>30889</v>
      </c>
      <c r="K29" s="766">
        <v>32659.557479999999</v>
      </c>
      <c r="L29" s="766">
        <v>16329.77874</v>
      </c>
      <c r="M29" s="766">
        <v>16329.77874</v>
      </c>
      <c r="N29" s="766">
        <v>34240.606657606797</v>
      </c>
      <c r="O29" s="766">
        <v>17120.303328803398</v>
      </c>
      <c r="P29" s="766">
        <v>17120.303328803398</v>
      </c>
    </row>
    <row r="30" spans="1:16" s="4" customFormat="1" hidden="1" outlineLevel="1">
      <c r="A30" s="737" t="s">
        <v>89</v>
      </c>
      <c r="B30" s="738" t="s">
        <v>1244</v>
      </c>
      <c r="C30" s="746">
        <f>'4.6_генерация_котельн.'!C30+'4.6_транзит+сбыт_котельн.'!C30</f>
        <v>0</v>
      </c>
      <c r="D30" s="746">
        <f>'4.6_генерация_котельн.'!D30+'4.6_транзит+сбыт_котельн.'!D30</f>
        <v>5691</v>
      </c>
      <c r="E30" s="746">
        <f>'4.6_генерация_котельн.'!E30+'4.6_транзит+сбыт_котельн.'!E30</f>
        <v>0</v>
      </c>
      <c r="F30" s="746">
        <v>4228</v>
      </c>
      <c r="G30" s="746">
        <v>0</v>
      </c>
      <c r="H30" s="746">
        <v>4360</v>
      </c>
      <c r="I30" s="746">
        <v>5285</v>
      </c>
      <c r="J30" s="746">
        <v>5285</v>
      </c>
      <c r="K30" s="746">
        <v>5644.38</v>
      </c>
      <c r="L30" s="746">
        <v>2822.19</v>
      </c>
      <c r="M30" s="746">
        <v>2822.19</v>
      </c>
      <c r="N30" s="1607">
        <v>5977.3984199999995</v>
      </c>
      <c r="O30" s="746">
        <v>2988.6992099999998</v>
      </c>
      <c r="P30" s="746">
        <v>2988.6992099999998</v>
      </c>
    </row>
    <row r="31" spans="1:16" s="341" customFormat="1" hidden="1" outlineLevel="1">
      <c r="A31" s="760" t="s">
        <v>91</v>
      </c>
      <c r="B31" s="761" t="s">
        <v>1245</v>
      </c>
      <c r="C31" s="746">
        <f t="shared" ref="C31:D31" si="3">SUM(C32:C43)+C45</f>
        <v>0</v>
      </c>
      <c r="D31" s="746">
        <f t="shared" si="3"/>
        <v>23358</v>
      </c>
      <c r="E31" s="746">
        <f t="shared" ref="E31" si="4">SUM(E32:E45)</f>
        <v>0</v>
      </c>
      <c r="F31" s="746">
        <v>28422.284220000001</v>
      </c>
      <c r="G31" s="746">
        <v>0</v>
      </c>
      <c r="H31" s="746">
        <v>33453</v>
      </c>
      <c r="I31" s="746">
        <v>11426</v>
      </c>
      <c r="J31" s="746">
        <v>11426</v>
      </c>
      <c r="K31" s="746">
        <v>0</v>
      </c>
      <c r="L31" s="746">
        <v>0</v>
      </c>
      <c r="M31" s="746">
        <v>0</v>
      </c>
      <c r="N31" s="746">
        <v>0</v>
      </c>
      <c r="O31" s="746">
        <v>0</v>
      </c>
      <c r="P31" s="746">
        <v>0</v>
      </c>
    </row>
    <row r="32" spans="1:16" s="4" customFormat="1" ht="25.5" hidden="1" outlineLevel="1">
      <c r="A32" s="739" t="s">
        <v>1044</v>
      </c>
      <c r="B32" s="740" t="s">
        <v>1247</v>
      </c>
      <c r="C32" s="753">
        <f>'4.6_генерация_котельн.'!C32+'4.6_транзит+сбыт_котельн.'!C32</f>
        <v>0</v>
      </c>
      <c r="D32" s="753">
        <f>'4.6_генерация_котельн.'!D32+'4.6_транзит+сбыт_котельн.'!D32</f>
        <v>2361</v>
      </c>
      <c r="E32" s="753">
        <f>'4.6_генерация_котельн.'!E32+'4.6_транзит+сбыт_котельн.'!E32</f>
        <v>0</v>
      </c>
      <c r="F32" s="753">
        <v>2193.0219299999999</v>
      </c>
      <c r="G32" s="753">
        <v>0</v>
      </c>
      <c r="H32" s="753">
        <v>2381</v>
      </c>
      <c r="I32" s="753">
        <v>1582</v>
      </c>
      <c r="J32" s="753">
        <v>1582</v>
      </c>
      <c r="K32" s="753">
        <v>0</v>
      </c>
      <c r="L32" s="753">
        <v>0</v>
      </c>
      <c r="M32" s="753">
        <v>0</v>
      </c>
      <c r="N32" s="1608">
        <v>0</v>
      </c>
      <c r="O32" s="753">
        <v>0</v>
      </c>
      <c r="P32" s="753">
        <v>0</v>
      </c>
    </row>
    <row r="33" spans="1:16" s="4" customFormat="1" ht="25.5" hidden="1" outlineLevel="1">
      <c r="A33" s="739" t="s">
        <v>1043</v>
      </c>
      <c r="B33" s="740" t="s">
        <v>1249</v>
      </c>
      <c r="C33" s="753">
        <f>'4.6_генерация_котельн.'!C33+'4.6_транзит+сбыт_котельн.'!C33</f>
        <v>0</v>
      </c>
      <c r="D33" s="753">
        <f>'4.6_генерация_котельн.'!D33+'4.6_транзит+сбыт_котельн.'!D33</f>
        <v>0</v>
      </c>
      <c r="E33" s="753">
        <f>'4.6_генерация_котельн.'!E33+'4.6_транзит+сбыт_котельн.'!E33</f>
        <v>0</v>
      </c>
      <c r="F33" s="753">
        <v>1.0000100000000001</v>
      </c>
      <c r="G33" s="753">
        <v>0</v>
      </c>
      <c r="H33" s="753">
        <v>0</v>
      </c>
      <c r="I33" s="753"/>
      <c r="J33" s="753">
        <v>0</v>
      </c>
      <c r="K33" s="753">
        <v>0</v>
      </c>
      <c r="L33" s="753">
        <v>0</v>
      </c>
      <c r="M33" s="753">
        <v>0</v>
      </c>
      <c r="N33" s="1608">
        <v>0</v>
      </c>
      <c r="O33" s="753">
        <v>0</v>
      </c>
      <c r="P33" s="753">
        <v>0</v>
      </c>
    </row>
    <row r="34" spans="1:16" s="4" customFormat="1" hidden="1" outlineLevel="1">
      <c r="A34" s="741" t="s">
        <v>1540</v>
      </c>
      <c r="B34" s="740" t="s">
        <v>1250</v>
      </c>
      <c r="C34" s="753">
        <f>'4.6_генерация_котельн.'!C34+'4.6_транзит+сбыт_котельн.'!C34</f>
        <v>0</v>
      </c>
      <c r="D34" s="753">
        <f>'4.6_генерация_котельн.'!D34+'4.6_транзит+сбыт_котельн.'!D34</f>
        <v>250</v>
      </c>
      <c r="E34" s="753">
        <f>'4.6_генерация_котельн.'!E34+'4.6_транзит+сбыт_котельн.'!E34</f>
        <v>0</v>
      </c>
      <c r="F34" s="753">
        <v>268.00268</v>
      </c>
      <c r="G34" s="753">
        <v>0</v>
      </c>
      <c r="H34" s="753">
        <v>314</v>
      </c>
      <c r="I34" s="753"/>
      <c r="J34" s="753">
        <v>0</v>
      </c>
      <c r="K34" s="753">
        <v>0</v>
      </c>
      <c r="L34" s="753">
        <v>0</v>
      </c>
      <c r="M34" s="753">
        <v>0</v>
      </c>
      <c r="N34" s="1608">
        <v>0</v>
      </c>
      <c r="O34" s="753">
        <v>0</v>
      </c>
      <c r="P34" s="753">
        <v>0</v>
      </c>
    </row>
    <row r="35" spans="1:16" s="4" customFormat="1" ht="25.5" hidden="1" outlineLevel="1">
      <c r="A35" s="739" t="s">
        <v>1541</v>
      </c>
      <c r="B35" s="740" t="s">
        <v>1251</v>
      </c>
      <c r="C35" s="753">
        <f>'4.6_генерация_котельн.'!C35+'4.6_транзит+сбыт_котельн.'!C35</f>
        <v>0</v>
      </c>
      <c r="D35" s="753">
        <f>'4.6_генерация_котельн.'!D35+'4.6_транзит+сбыт_котельн.'!D35</f>
        <v>2156</v>
      </c>
      <c r="E35" s="753">
        <f>'4.6_генерация_котельн.'!E35+'4.6_транзит+сбыт_котельн.'!E35</f>
        <v>0</v>
      </c>
      <c r="F35" s="753">
        <v>1921.0192099999999</v>
      </c>
      <c r="G35" s="753">
        <v>0</v>
      </c>
      <c r="H35" s="753">
        <v>1525</v>
      </c>
      <c r="I35" s="753">
        <v>1584</v>
      </c>
      <c r="J35" s="753">
        <v>1584</v>
      </c>
      <c r="K35" s="753">
        <v>0</v>
      </c>
      <c r="L35" s="753">
        <v>0</v>
      </c>
      <c r="M35" s="753">
        <v>0</v>
      </c>
      <c r="N35" s="1608">
        <v>0</v>
      </c>
      <c r="O35" s="753">
        <v>0</v>
      </c>
      <c r="P35" s="753">
        <v>0</v>
      </c>
    </row>
    <row r="36" spans="1:16" s="4" customFormat="1" hidden="1" outlineLevel="1">
      <c r="A36" s="739" t="s">
        <v>1542</v>
      </c>
      <c r="B36" s="740" t="s">
        <v>1252</v>
      </c>
      <c r="C36" s="753">
        <f>'4.6_генерация_котельн.'!C36+'4.6_транзит+сбыт_котельн.'!C36</f>
        <v>0</v>
      </c>
      <c r="D36" s="753">
        <f>'4.6_генерация_котельн.'!D36+'4.6_транзит+сбыт_котельн.'!D36</f>
        <v>8037</v>
      </c>
      <c r="E36" s="753">
        <f>'4.6_генерация_котельн.'!E36+'4.6_транзит+сбыт_котельн.'!E36</f>
        <v>0</v>
      </c>
      <c r="F36" s="753">
        <v>10186.101859999999</v>
      </c>
      <c r="G36" s="753">
        <v>0</v>
      </c>
      <c r="H36" s="753">
        <v>11491</v>
      </c>
      <c r="I36" s="753">
        <v>6429</v>
      </c>
      <c r="J36" s="753">
        <v>6429</v>
      </c>
      <c r="K36" s="753">
        <v>0</v>
      </c>
      <c r="L36" s="753">
        <v>0</v>
      </c>
      <c r="M36" s="753">
        <v>0</v>
      </c>
      <c r="N36" s="1608">
        <v>0</v>
      </c>
      <c r="O36" s="753">
        <v>0</v>
      </c>
      <c r="P36" s="753">
        <v>0</v>
      </c>
    </row>
    <row r="37" spans="1:16" s="4" customFormat="1" hidden="1" outlineLevel="1">
      <c r="A37" s="739" t="s">
        <v>1543</v>
      </c>
      <c r="B37" s="740" t="s">
        <v>1253</v>
      </c>
      <c r="C37" s="753">
        <f>'4.6_генерация_котельн.'!C37+'4.6_транзит+сбыт_котельн.'!C37</f>
        <v>0</v>
      </c>
      <c r="D37" s="753">
        <f>'4.6_генерация_котельн.'!D37+'4.6_транзит+сбыт_котельн.'!D37</f>
        <v>2640</v>
      </c>
      <c r="E37" s="753">
        <f>'4.6_генерация_котельн.'!E37+'4.6_транзит+сбыт_котельн.'!E37</f>
        <v>0</v>
      </c>
      <c r="F37" s="753">
        <v>124.00124</v>
      </c>
      <c r="G37" s="753">
        <v>0</v>
      </c>
      <c r="H37" s="753">
        <v>135</v>
      </c>
      <c r="I37" s="753"/>
      <c r="J37" s="753">
        <v>0</v>
      </c>
      <c r="K37" s="753">
        <v>0</v>
      </c>
      <c r="L37" s="753">
        <v>0</v>
      </c>
      <c r="M37" s="753">
        <v>0</v>
      </c>
      <c r="N37" s="1608">
        <v>0</v>
      </c>
      <c r="O37" s="753">
        <v>0</v>
      </c>
      <c r="P37" s="753">
        <v>0</v>
      </c>
    </row>
    <row r="38" spans="1:16" s="4" customFormat="1" hidden="1" outlineLevel="1">
      <c r="A38" s="739" t="s">
        <v>1544</v>
      </c>
      <c r="B38" s="742" t="s">
        <v>1254</v>
      </c>
      <c r="C38" s="753">
        <f>'4.6_генерация_котельн.'!C38+'4.6_транзит+сбыт_котельн.'!C38</f>
        <v>0</v>
      </c>
      <c r="D38" s="753">
        <f>'4.6_генерация_котельн.'!D38+'4.6_транзит+сбыт_котельн.'!D38</f>
        <v>495</v>
      </c>
      <c r="E38" s="753">
        <f>'4.6_генерация_котельн.'!E38+'4.6_транзит+сбыт_котельн.'!E38</f>
        <v>0</v>
      </c>
      <c r="F38" s="753">
        <v>410.00409999999999</v>
      </c>
      <c r="G38" s="753">
        <v>0</v>
      </c>
      <c r="H38" s="753">
        <v>32</v>
      </c>
      <c r="I38" s="753"/>
      <c r="J38" s="753">
        <v>0</v>
      </c>
      <c r="K38" s="753">
        <v>0</v>
      </c>
      <c r="L38" s="753">
        <v>0</v>
      </c>
      <c r="M38" s="753">
        <v>0</v>
      </c>
      <c r="N38" s="1608">
        <v>0</v>
      </c>
      <c r="O38" s="753">
        <v>0</v>
      </c>
      <c r="P38" s="753">
        <v>0</v>
      </c>
    </row>
    <row r="39" spans="1:16" s="4" customFormat="1" hidden="1" outlineLevel="1">
      <c r="A39" s="739" t="s">
        <v>1545</v>
      </c>
      <c r="B39" s="740" t="s">
        <v>1255</v>
      </c>
      <c r="C39" s="753">
        <f>'4.6_генерация_котельн.'!C39+'4.6_транзит+сбыт_котельн.'!C39</f>
        <v>0</v>
      </c>
      <c r="D39" s="753">
        <f>'4.6_генерация_котельн.'!D39+'4.6_транзит+сбыт_котельн.'!D39</f>
        <v>302</v>
      </c>
      <c r="E39" s="753">
        <f>'4.6_генерация_котельн.'!E39+'4.6_транзит+сбыт_котельн.'!E39</f>
        <v>0</v>
      </c>
      <c r="F39" s="753">
        <v>292.00292000000002</v>
      </c>
      <c r="G39" s="753">
        <v>0</v>
      </c>
      <c r="H39" s="753">
        <v>233</v>
      </c>
      <c r="I39" s="753"/>
      <c r="J39" s="753">
        <v>0</v>
      </c>
      <c r="K39" s="753">
        <v>0</v>
      </c>
      <c r="L39" s="753">
        <v>0</v>
      </c>
      <c r="M39" s="753">
        <v>0</v>
      </c>
      <c r="N39" s="1608">
        <v>0</v>
      </c>
      <c r="O39" s="753">
        <v>0</v>
      </c>
      <c r="P39" s="753">
        <v>0</v>
      </c>
    </row>
    <row r="40" spans="1:16" s="4" customFormat="1" ht="25.5" hidden="1" outlineLevel="1">
      <c r="A40" s="739" t="s">
        <v>1546</v>
      </c>
      <c r="B40" s="742" t="s">
        <v>1256</v>
      </c>
      <c r="C40" s="753">
        <f>'4.6_генерация_котельн.'!C40+'4.6_транзит+сбыт_котельн.'!C40</f>
        <v>0</v>
      </c>
      <c r="D40" s="753">
        <f>'4.6_генерация_котельн.'!D40+'4.6_транзит+сбыт_котельн.'!D40</f>
        <v>529</v>
      </c>
      <c r="E40" s="753">
        <f>'4.6_генерация_котельн.'!E40+'4.6_транзит+сбыт_котельн.'!E40</f>
        <v>0</v>
      </c>
      <c r="F40" s="753">
        <v>302.00301999999999</v>
      </c>
      <c r="G40" s="753">
        <v>0</v>
      </c>
      <c r="H40" s="753">
        <v>354</v>
      </c>
      <c r="I40" s="753"/>
      <c r="J40" s="753">
        <v>0</v>
      </c>
      <c r="K40" s="753">
        <v>0</v>
      </c>
      <c r="L40" s="753">
        <v>0</v>
      </c>
      <c r="M40" s="753">
        <v>0</v>
      </c>
      <c r="N40" s="1608">
        <v>0</v>
      </c>
      <c r="O40" s="753">
        <v>0</v>
      </c>
      <c r="P40" s="753">
        <v>0</v>
      </c>
    </row>
    <row r="41" spans="1:16" s="4" customFormat="1" hidden="1" outlineLevel="1">
      <c r="A41" s="739" t="s">
        <v>1547</v>
      </c>
      <c r="B41" s="742" t="s">
        <v>1257</v>
      </c>
      <c r="C41" s="753">
        <f>'4.6_генерация_котельн.'!C41+'4.6_транзит+сбыт_котельн.'!C41</f>
        <v>0</v>
      </c>
      <c r="D41" s="753">
        <f>'4.6_генерация_котельн.'!D41+'4.6_транзит+сбыт_котельн.'!D41</f>
        <v>3908</v>
      </c>
      <c r="E41" s="753">
        <f>'4.6_генерация_котельн.'!E41+'4.6_транзит+сбыт_котельн.'!E41</f>
        <v>0</v>
      </c>
      <c r="F41" s="753">
        <v>10211.10211</v>
      </c>
      <c r="G41" s="753">
        <v>0</v>
      </c>
      <c r="H41" s="753">
        <v>9678</v>
      </c>
      <c r="I41" s="753"/>
      <c r="J41" s="753">
        <v>0</v>
      </c>
      <c r="K41" s="753">
        <v>0</v>
      </c>
      <c r="L41" s="753">
        <v>0</v>
      </c>
      <c r="M41" s="753">
        <v>0</v>
      </c>
      <c r="N41" s="1608">
        <v>0</v>
      </c>
      <c r="O41" s="753">
        <v>0</v>
      </c>
      <c r="P41" s="753">
        <v>0</v>
      </c>
    </row>
    <row r="42" spans="1:16" s="4" customFormat="1" hidden="1" outlineLevel="1">
      <c r="A42" s="741" t="s">
        <v>1548</v>
      </c>
      <c r="B42" s="742" t="s">
        <v>1556</v>
      </c>
      <c r="C42" s="753">
        <f>'4.6_генерация_котельн.'!C42+'4.6_транзит+сбыт_котельн.'!C42</f>
        <v>0</v>
      </c>
      <c r="D42" s="753">
        <f>'4.6_генерация_котельн.'!D42+'4.6_транзит+сбыт_котельн.'!D42</f>
        <v>363</v>
      </c>
      <c r="E42" s="753">
        <f>'4.6_генерация_котельн.'!E42+'4.6_транзит+сбыт_котельн.'!E42</f>
        <v>0</v>
      </c>
      <c r="F42" s="753">
        <v>1312.0131200000001</v>
      </c>
      <c r="G42" s="753">
        <v>0</v>
      </c>
      <c r="H42" s="753">
        <v>772</v>
      </c>
      <c r="I42" s="753">
        <v>982</v>
      </c>
      <c r="J42" s="753">
        <v>982</v>
      </c>
      <c r="K42" s="753">
        <v>0</v>
      </c>
      <c r="L42" s="753">
        <v>0</v>
      </c>
      <c r="M42" s="753">
        <v>0</v>
      </c>
      <c r="N42" s="1608">
        <v>0</v>
      </c>
      <c r="O42" s="753">
        <v>0</v>
      </c>
      <c r="P42" s="753">
        <v>0</v>
      </c>
    </row>
    <row r="43" spans="1:16" s="4" customFormat="1" hidden="1" outlineLevel="1">
      <c r="A43" s="741" t="s">
        <v>1549</v>
      </c>
      <c r="B43" s="742" t="s">
        <v>1258</v>
      </c>
      <c r="C43" s="753">
        <f>'4.6_генерация_котельн.'!C43+'4.6_транзит+сбыт_котельн.'!C43</f>
        <v>0</v>
      </c>
      <c r="D43" s="753">
        <f>'4.6_генерация_котельн.'!D43+'4.6_транзит+сбыт_котельн.'!D43</f>
        <v>349</v>
      </c>
      <c r="E43" s="753">
        <f>'4.6_генерация_котельн.'!E43+'4.6_транзит+сбыт_котельн.'!E43</f>
        <v>0</v>
      </c>
      <c r="F43" s="753">
        <v>10.0001</v>
      </c>
      <c r="G43" s="753">
        <v>0</v>
      </c>
      <c r="H43" s="753">
        <v>0</v>
      </c>
      <c r="I43" s="753">
        <v>849</v>
      </c>
      <c r="J43" s="753">
        <v>849</v>
      </c>
      <c r="K43" s="753">
        <v>0</v>
      </c>
      <c r="L43" s="753">
        <v>0</v>
      </c>
      <c r="M43" s="753">
        <v>0</v>
      </c>
      <c r="N43" s="1608">
        <v>0</v>
      </c>
      <c r="O43" s="753">
        <v>0</v>
      </c>
      <c r="P43" s="753">
        <v>0</v>
      </c>
    </row>
    <row r="44" spans="1:16" s="4" customFormat="1" hidden="1" outlineLevel="1">
      <c r="A44" s="764" t="s">
        <v>1555</v>
      </c>
      <c r="B44" s="742" t="s">
        <v>1890</v>
      </c>
      <c r="C44" s="753">
        <f>'4.6_генерация_котельн.'!C44+'4.6_транзит+сбыт_котельн.'!C44</f>
        <v>0</v>
      </c>
      <c r="D44" s="753">
        <f>'4.6_генерация_котельн.'!D44+'4.6_транзит+сбыт_котельн.'!D44</f>
        <v>349</v>
      </c>
      <c r="E44" s="753">
        <f>'4.6_генерация_котельн.'!E44+'4.6_транзит+сбыт_котельн.'!E44</f>
        <v>0</v>
      </c>
      <c r="F44" s="753">
        <v>0</v>
      </c>
      <c r="G44" s="753">
        <v>0</v>
      </c>
      <c r="H44" s="753">
        <v>0</v>
      </c>
      <c r="I44" s="753"/>
      <c r="J44" s="753">
        <v>0</v>
      </c>
      <c r="K44" s="753">
        <v>0</v>
      </c>
      <c r="L44" s="753">
        <v>0</v>
      </c>
      <c r="M44" s="753">
        <v>0</v>
      </c>
      <c r="N44" s="1608">
        <v>0</v>
      </c>
      <c r="O44" s="753">
        <v>0</v>
      </c>
      <c r="P44" s="753">
        <v>0</v>
      </c>
    </row>
    <row r="45" spans="1:16" s="341" customFormat="1" hidden="1" outlineLevel="1">
      <c r="A45" s="764" t="s">
        <v>1889</v>
      </c>
      <c r="B45" s="765" t="s">
        <v>1259</v>
      </c>
      <c r="C45" s="746">
        <f>SUM(C46:C54)</f>
        <v>0</v>
      </c>
      <c r="D45" s="746">
        <f t="shared" ref="D45" si="5">SUM(D46:D54)</f>
        <v>1968</v>
      </c>
      <c r="E45" s="746">
        <f>SUM(E46:E55)</f>
        <v>0</v>
      </c>
      <c r="F45" s="746">
        <v>1192.0119199999999</v>
      </c>
      <c r="G45" s="746">
        <v>0</v>
      </c>
      <c r="H45" s="746">
        <v>6538</v>
      </c>
      <c r="I45" s="746">
        <v>0</v>
      </c>
      <c r="J45" s="746">
        <v>0</v>
      </c>
      <c r="K45" s="746">
        <v>0</v>
      </c>
      <c r="L45" s="746">
        <v>0</v>
      </c>
      <c r="M45" s="746">
        <v>0</v>
      </c>
      <c r="N45" s="746">
        <v>0</v>
      </c>
      <c r="O45" s="746">
        <v>0</v>
      </c>
      <c r="P45" s="746">
        <v>0</v>
      </c>
    </row>
    <row r="46" spans="1:16" s="4" customFormat="1" hidden="1" outlineLevel="1">
      <c r="A46" s="744"/>
      <c r="B46" s="745" t="s">
        <v>1260</v>
      </c>
      <c r="C46" s="753">
        <f>'4.6_генерация_котельн.'!C46+'4.6_транзит+сбыт_котельн.'!C46</f>
        <v>0</v>
      </c>
      <c r="D46" s="753">
        <f>'4.6_генерация_котельн.'!D46+'4.6_транзит+сбыт_котельн.'!D46</f>
        <v>237</v>
      </c>
      <c r="E46" s="753">
        <f>'4.6_генерация_котельн.'!E46+'4.6_транзит+сбыт_котельн.'!E46</f>
        <v>0</v>
      </c>
      <c r="F46" s="753">
        <v>248.00247999999999</v>
      </c>
      <c r="G46" s="753">
        <v>0</v>
      </c>
      <c r="H46" s="753">
        <v>170</v>
      </c>
      <c r="I46" s="753"/>
      <c r="J46" s="753">
        <v>0</v>
      </c>
      <c r="K46" s="753">
        <v>0</v>
      </c>
      <c r="L46" s="753">
        <v>0</v>
      </c>
      <c r="M46" s="753">
        <v>0</v>
      </c>
      <c r="N46" s="1608">
        <v>0</v>
      </c>
      <c r="O46" s="753">
        <v>0</v>
      </c>
      <c r="P46" s="753">
        <v>0</v>
      </c>
    </row>
    <row r="47" spans="1:16" s="4" customFormat="1" hidden="1" outlineLevel="1">
      <c r="A47" s="744"/>
      <c r="B47" s="743" t="s">
        <v>1261</v>
      </c>
      <c r="C47" s="753">
        <f>'4.6_генерация_котельн.'!C47+'4.6_транзит+сбыт_котельн.'!C47</f>
        <v>0</v>
      </c>
      <c r="D47" s="753">
        <f>'4.6_генерация_котельн.'!D47+'4.6_транзит+сбыт_котельн.'!D47</f>
        <v>0</v>
      </c>
      <c r="E47" s="753">
        <f>'4.6_генерация_котельн.'!E47+'4.6_транзит+сбыт_котельн.'!E47</f>
        <v>0</v>
      </c>
      <c r="F47" s="753">
        <v>0</v>
      </c>
      <c r="G47" s="753">
        <v>0</v>
      </c>
      <c r="H47" s="753">
        <v>0</v>
      </c>
      <c r="I47" s="753"/>
      <c r="J47" s="753">
        <v>0</v>
      </c>
      <c r="K47" s="753">
        <v>0</v>
      </c>
      <c r="L47" s="753">
        <v>0</v>
      </c>
      <c r="M47" s="753">
        <v>0</v>
      </c>
      <c r="N47" s="1608">
        <v>0</v>
      </c>
      <c r="O47" s="753">
        <v>0</v>
      </c>
      <c r="P47" s="753">
        <v>0</v>
      </c>
    </row>
    <row r="48" spans="1:16" s="4" customFormat="1" hidden="1" outlineLevel="1">
      <c r="A48" s="744"/>
      <c r="B48" s="743" t="s">
        <v>1262</v>
      </c>
      <c r="C48" s="753">
        <f>'4.6_генерация_котельн.'!C48+'4.6_транзит+сбыт_котельн.'!C48</f>
        <v>0</v>
      </c>
      <c r="D48" s="753">
        <f>'4.6_генерация_котельн.'!D48+'4.6_транзит+сбыт_котельн.'!D48</f>
        <v>427</v>
      </c>
      <c r="E48" s="753">
        <f>'4.6_генерация_котельн.'!E48+'4.6_транзит+сбыт_котельн.'!E48</f>
        <v>0</v>
      </c>
      <c r="F48" s="753">
        <v>654.00653999999997</v>
      </c>
      <c r="G48" s="753">
        <v>0</v>
      </c>
      <c r="H48" s="753">
        <v>679</v>
      </c>
      <c r="I48" s="753"/>
      <c r="J48" s="753">
        <v>0</v>
      </c>
      <c r="K48" s="753">
        <v>0</v>
      </c>
      <c r="L48" s="753">
        <v>0</v>
      </c>
      <c r="M48" s="753">
        <v>0</v>
      </c>
      <c r="N48" s="1608">
        <v>0</v>
      </c>
      <c r="O48" s="753">
        <v>0</v>
      </c>
      <c r="P48" s="753">
        <v>0</v>
      </c>
    </row>
    <row r="49" spans="1:16" s="4" customFormat="1" hidden="1" outlineLevel="1">
      <c r="A49" s="744"/>
      <c r="B49" s="743" t="s">
        <v>1263</v>
      </c>
      <c r="C49" s="753">
        <f>'4.6_генерация_котельн.'!C49+'4.6_транзит+сбыт_котельн.'!C49</f>
        <v>0</v>
      </c>
      <c r="D49" s="753">
        <f>'4.6_генерация_котельн.'!D49+'4.6_транзит+сбыт_котельн.'!D49</f>
        <v>1203</v>
      </c>
      <c r="E49" s="753">
        <f>'4.6_генерация_котельн.'!E49+'4.6_транзит+сбыт_котельн.'!E49</f>
        <v>0</v>
      </c>
      <c r="F49" s="753">
        <v>219.00218999999998</v>
      </c>
      <c r="G49" s="753">
        <v>0</v>
      </c>
      <c r="H49" s="753">
        <v>69</v>
      </c>
      <c r="I49" s="753"/>
      <c r="J49" s="753">
        <v>0</v>
      </c>
      <c r="K49" s="753">
        <v>0</v>
      </c>
      <c r="L49" s="753">
        <v>0</v>
      </c>
      <c r="M49" s="753">
        <v>0</v>
      </c>
      <c r="N49" s="1608">
        <v>0</v>
      </c>
      <c r="O49" s="753">
        <v>0</v>
      </c>
      <c r="P49" s="753">
        <v>0</v>
      </c>
    </row>
    <row r="50" spans="1:16" s="4" customFormat="1" ht="25.5" hidden="1" outlineLevel="1">
      <c r="A50" s="744"/>
      <c r="B50" s="743" t="s">
        <v>1891</v>
      </c>
      <c r="C50" s="753">
        <f>'4.6_генерация_котельн.'!C50+'4.6_транзит+сбыт_котельн.'!C50</f>
        <v>0</v>
      </c>
      <c r="D50" s="753">
        <f>'4.6_генерация_котельн.'!D50+'4.6_транзит+сбыт_котельн.'!D50</f>
        <v>101</v>
      </c>
      <c r="E50" s="753">
        <f>'4.6_генерация_котельн.'!E50+'4.6_транзит+сбыт_котельн.'!E50</f>
        <v>0</v>
      </c>
      <c r="F50" s="753">
        <v>71.000709999999998</v>
      </c>
      <c r="G50" s="753">
        <v>0</v>
      </c>
      <c r="H50" s="753">
        <v>2590</v>
      </c>
      <c r="I50" s="753"/>
      <c r="J50" s="753">
        <v>0</v>
      </c>
      <c r="K50" s="753">
        <v>0</v>
      </c>
      <c r="L50" s="753">
        <v>0</v>
      </c>
      <c r="M50" s="753">
        <v>0</v>
      </c>
      <c r="N50" s="1608">
        <v>0</v>
      </c>
      <c r="O50" s="753">
        <v>0</v>
      </c>
      <c r="P50" s="753">
        <v>0</v>
      </c>
    </row>
    <row r="51" spans="1:16" s="4" customFormat="1" ht="25.5" hidden="1" outlineLevel="1">
      <c r="A51" s="744"/>
      <c r="B51" s="743" t="s">
        <v>1264</v>
      </c>
      <c r="C51" s="753">
        <f>'4.6_генерация_котельн.'!C51+'4.6_транзит+сбыт_котельн.'!C51</f>
        <v>0</v>
      </c>
      <c r="D51" s="753">
        <f>'4.6_генерация_котельн.'!D51+'4.6_транзит+сбыт_котельн.'!D51</f>
        <v>0</v>
      </c>
      <c r="E51" s="753">
        <f>'4.6_генерация_котельн.'!E51+'4.6_транзит+сбыт_котельн.'!E51</f>
        <v>0</v>
      </c>
      <c r="F51" s="753">
        <v>0</v>
      </c>
      <c r="G51" s="753">
        <v>0</v>
      </c>
      <c r="H51" s="753">
        <v>0</v>
      </c>
      <c r="I51" s="753"/>
      <c r="J51" s="753">
        <v>0</v>
      </c>
      <c r="K51" s="753">
        <v>0</v>
      </c>
      <c r="L51" s="753">
        <v>0</v>
      </c>
      <c r="M51" s="753">
        <v>0</v>
      </c>
      <c r="N51" s="1608">
        <v>0</v>
      </c>
      <c r="O51" s="753">
        <v>0</v>
      </c>
      <c r="P51" s="753">
        <v>0</v>
      </c>
    </row>
    <row r="52" spans="1:16" s="4" customFormat="1" hidden="1" outlineLevel="1">
      <c r="A52" s="744"/>
      <c r="B52" s="1391" t="s">
        <v>1883</v>
      </c>
      <c r="C52" s="753">
        <f>'4.6_генерация_котельн.'!C52+'4.6_транзит+сбыт_котельн.'!C52</f>
        <v>0</v>
      </c>
      <c r="D52" s="753">
        <f>'4.6_генерация_котельн.'!D52+'4.6_транзит+сбыт_котельн.'!D52</f>
        <v>0</v>
      </c>
      <c r="E52" s="753">
        <f>'4.6_генерация_котельн.'!E52+'4.6_транзит+сбыт_котельн.'!E52</f>
        <v>0</v>
      </c>
      <c r="F52" s="753">
        <v>0</v>
      </c>
      <c r="G52" s="753">
        <v>0</v>
      </c>
      <c r="H52" s="753">
        <v>352</v>
      </c>
      <c r="I52" s="753"/>
      <c r="J52" s="753">
        <v>0</v>
      </c>
      <c r="K52" s="753">
        <v>0</v>
      </c>
      <c r="L52" s="753">
        <v>0</v>
      </c>
      <c r="M52" s="753">
        <v>0</v>
      </c>
      <c r="N52" s="1608">
        <v>0</v>
      </c>
      <c r="O52" s="753">
        <v>0</v>
      </c>
      <c r="P52" s="753">
        <v>0</v>
      </c>
    </row>
    <row r="53" spans="1:16" s="4" customFormat="1" hidden="1" outlineLevel="1">
      <c r="A53" s="744"/>
      <c r="B53" s="743" t="s">
        <v>1884</v>
      </c>
      <c r="C53" s="753">
        <f>'4.6_генерация_котельн.'!C53+'4.6_транзит+сбыт_котельн.'!C53</f>
        <v>0</v>
      </c>
      <c r="D53" s="753">
        <f>'4.6_генерация_котельн.'!D53+'4.6_транзит+сбыт_котельн.'!D53</f>
        <v>0</v>
      </c>
      <c r="E53" s="753">
        <f>'4.6_генерация_котельн.'!E53+'4.6_транзит+сбыт_котельн.'!E53</f>
        <v>0</v>
      </c>
      <c r="F53" s="753">
        <v>0</v>
      </c>
      <c r="G53" s="753">
        <v>0</v>
      </c>
      <c r="H53" s="753">
        <v>2678</v>
      </c>
      <c r="I53" s="753"/>
      <c r="J53" s="753">
        <v>0</v>
      </c>
      <c r="K53" s="753">
        <v>0</v>
      </c>
      <c r="L53" s="753">
        <v>0</v>
      </c>
      <c r="M53" s="753">
        <v>0</v>
      </c>
      <c r="N53" s="1608">
        <v>0</v>
      </c>
      <c r="O53" s="753">
        <v>0</v>
      </c>
      <c r="P53" s="753">
        <v>0</v>
      </c>
    </row>
    <row r="54" spans="1:16" s="4" customFormat="1" ht="25.5" hidden="1" outlineLevel="1">
      <c r="A54" s="17"/>
      <c r="B54" s="743" t="s">
        <v>1885</v>
      </c>
      <c r="C54" s="753">
        <f>'4.6_генерация_котельн.'!C54+'4.6_транзит+сбыт_котельн.'!C54</f>
        <v>0</v>
      </c>
      <c r="D54" s="753">
        <f>'4.6_генерация_котельн.'!D54+'4.6_транзит+сбыт_котельн.'!D54</f>
        <v>0</v>
      </c>
      <c r="E54" s="753">
        <f>'4.6_генерация_котельн.'!E54+'4.6_транзит+сбыт_котельн.'!E54</f>
        <v>0</v>
      </c>
      <c r="F54" s="753">
        <v>0</v>
      </c>
      <c r="G54" s="753">
        <v>0</v>
      </c>
      <c r="H54" s="753">
        <v>0</v>
      </c>
      <c r="I54" s="753"/>
      <c r="J54" s="753">
        <v>0</v>
      </c>
      <c r="K54" s="753">
        <v>0</v>
      </c>
      <c r="L54" s="753">
        <v>0</v>
      </c>
      <c r="M54" s="753">
        <v>0</v>
      </c>
      <c r="N54" s="1608">
        <v>0</v>
      </c>
      <c r="O54" s="753">
        <v>0</v>
      </c>
      <c r="P54" s="753">
        <v>0</v>
      </c>
    </row>
    <row r="55" spans="1:16" s="341" customFormat="1" ht="25.5" hidden="1" outlineLevel="1">
      <c r="A55" s="339"/>
      <c r="B55" s="743" t="s">
        <v>1886</v>
      </c>
      <c r="C55" s="750">
        <f>'4.6_генерация_котельн.'!C55+'4.6_транзит+сбыт_котельн.'!C55</f>
        <v>0</v>
      </c>
      <c r="D55" s="750">
        <f>'4.6_генерация_котельн.'!D55+'4.6_транзит+сбыт_котельн.'!D55</f>
        <v>0</v>
      </c>
      <c r="E55" s="750">
        <f>'4.6_генерация_котельн.'!E55+'4.6_транзит+сбыт_котельн.'!E55</f>
        <v>0</v>
      </c>
      <c r="F55" s="750">
        <v>0</v>
      </c>
      <c r="G55" s="750">
        <v>0</v>
      </c>
      <c r="H55" s="750">
        <v>0</v>
      </c>
      <c r="I55" s="750"/>
      <c r="J55" s="753">
        <v>0</v>
      </c>
      <c r="K55" s="753">
        <v>0</v>
      </c>
      <c r="L55" s="750">
        <v>0</v>
      </c>
      <c r="M55" s="750">
        <v>0</v>
      </c>
      <c r="N55" s="1608">
        <v>0</v>
      </c>
      <c r="O55" s="750">
        <v>0</v>
      </c>
      <c r="P55" s="750">
        <v>0</v>
      </c>
    </row>
    <row r="56" spans="1:16" s="1046" customFormat="1" ht="75" collapsed="1">
      <c r="A56" s="1044"/>
      <c r="B56" s="1045" t="s">
        <v>374</v>
      </c>
      <c r="C56" s="258">
        <f>'4.6_генерация_котельн.'!C56+'4.6_транзит+сбыт_котельн.'!C56</f>
        <v>467</v>
      </c>
      <c r="D56" s="258">
        <f>'4.6_генерация_котельн.'!D56+'4.6_транзит+сбыт_котельн.'!D56</f>
        <v>4093</v>
      </c>
      <c r="E56" s="1047">
        <f>'4.6_генерация_котельн.'!E56+'4.6_транзит+сбыт_котельн.'!E56</f>
        <v>549</v>
      </c>
      <c r="F56" s="258">
        <v>3366</v>
      </c>
      <c r="G56" s="258">
        <v>224.18788819875778</v>
      </c>
      <c r="H56" s="258">
        <v>1541</v>
      </c>
      <c r="I56" s="258"/>
      <c r="J56" s="258">
        <v>540</v>
      </c>
      <c r="K56" s="258">
        <v>593.9</v>
      </c>
      <c r="L56" s="258">
        <v>296.95</v>
      </c>
      <c r="M56" s="258">
        <v>296.95</v>
      </c>
      <c r="N56" s="982">
        <v>593.9</v>
      </c>
      <c r="O56" s="258">
        <v>296.95</v>
      </c>
      <c r="P56" s="258">
        <v>296.95</v>
      </c>
    </row>
    <row r="57" spans="1:16" s="1046" customFormat="1" ht="30">
      <c r="A57" s="1044"/>
      <c r="B57" s="1045" t="s">
        <v>375</v>
      </c>
      <c r="C57" s="258">
        <f>'4.6_генерация_котельн.'!C57+'4.6_транзит+сбыт_котельн.'!C57</f>
        <v>95870</v>
      </c>
      <c r="D57" s="258">
        <f>'4.6_генерация_котельн.'!D57+'4.6_транзит+сбыт_котельн.'!D57</f>
        <v>86089</v>
      </c>
      <c r="E57" s="1047">
        <f>'4.6_генерация_котельн.'!E57+'4.6_транзит+сбыт_котельн.'!E57</f>
        <v>28479</v>
      </c>
      <c r="F57" s="258">
        <v>93152</v>
      </c>
      <c r="G57" s="258">
        <v>96275.704684544209</v>
      </c>
      <c r="H57" s="258">
        <v>84022</v>
      </c>
      <c r="I57" s="258"/>
      <c r="J57" s="258">
        <v>94960</v>
      </c>
      <c r="K57" s="258">
        <v>88756</v>
      </c>
      <c r="L57" s="258">
        <v>44378</v>
      </c>
      <c r="M57" s="258">
        <v>44378</v>
      </c>
      <c r="N57" s="982">
        <v>93994</v>
      </c>
      <c r="O57" s="258">
        <v>46997</v>
      </c>
      <c r="P57" s="258">
        <v>46997</v>
      </c>
    </row>
    <row r="58" spans="1:16" s="1046" customFormat="1" ht="15" customHeight="1">
      <c r="A58" s="1044"/>
      <c r="B58" s="1045" t="s">
        <v>376</v>
      </c>
      <c r="C58" s="258">
        <f>'4.6_генерация_котельн.'!C58+'4.6_транзит+сбыт_котельн.'!C58</f>
        <v>1365</v>
      </c>
      <c r="D58" s="258">
        <f>'4.6_генерация_котельн.'!D58+'4.6_транзит+сбыт_котельн.'!D58</f>
        <v>1034</v>
      </c>
      <c r="E58" s="1047">
        <f>'4.6_генерация_котельн.'!E58+'4.6_транзит+сбыт_котельн.'!E58</f>
        <v>1001</v>
      </c>
      <c r="F58" s="258">
        <v>1342</v>
      </c>
      <c r="G58" s="258">
        <v>1242.397284153707</v>
      </c>
      <c r="H58" s="258">
        <v>1023</v>
      </c>
      <c r="I58" s="258"/>
      <c r="J58" s="258">
        <v>1906</v>
      </c>
      <c r="K58" s="258">
        <v>2015.2519199999999</v>
      </c>
      <c r="L58" s="258">
        <v>1007.62596</v>
      </c>
      <c r="M58" s="258">
        <v>1007.62596</v>
      </c>
      <c r="N58" s="982">
        <v>2112.8102654471995</v>
      </c>
      <c r="O58" s="258">
        <v>1056.4051327235998</v>
      </c>
      <c r="P58" s="258">
        <v>1056.4051327235998</v>
      </c>
    </row>
    <row r="59" spans="1:16" s="1046" customFormat="1" ht="15" customHeight="1">
      <c r="A59" s="1044"/>
      <c r="B59" s="1045" t="s">
        <v>377</v>
      </c>
      <c r="C59" s="258">
        <f>'4.6_генерация_котельн.'!C59+'4.6_транзит+сбыт_котельн.'!C59</f>
        <v>722</v>
      </c>
      <c r="D59" s="258">
        <f>'4.6_генерация_котельн.'!D59+'4.6_транзит+сбыт_котельн.'!D59</f>
        <v>357</v>
      </c>
      <c r="E59" s="1047">
        <f>'4.6_генерация_котельн.'!E59+'4.6_транзит+сбыт_котельн.'!E59</f>
        <v>271</v>
      </c>
      <c r="F59" s="258">
        <v>1088</v>
      </c>
      <c r="G59" s="258">
        <v>506.9663799843629</v>
      </c>
      <c r="H59" s="258">
        <v>467</v>
      </c>
      <c r="I59" s="258"/>
      <c r="J59" s="258">
        <v>1111</v>
      </c>
      <c r="K59" s="258">
        <v>1174.6825200000001</v>
      </c>
      <c r="L59" s="258">
        <v>587.34126000000003</v>
      </c>
      <c r="M59" s="258">
        <v>587.34126000000003</v>
      </c>
      <c r="N59" s="982">
        <v>1231.5489007931999</v>
      </c>
      <c r="O59" s="258">
        <v>615.77445039659995</v>
      </c>
      <c r="P59" s="258">
        <v>615.77445039659995</v>
      </c>
    </row>
    <row r="60" spans="1:16" s="1046" customFormat="1" ht="45" customHeight="1">
      <c r="A60" s="1044"/>
      <c r="B60" s="1045" t="s">
        <v>378</v>
      </c>
      <c r="C60" s="258">
        <f>'4.6_генерация_котельн.'!C60+'4.6_транзит+сбыт_котельн.'!C60</f>
        <v>762</v>
      </c>
      <c r="D60" s="258">
        <f>'4.6_генерация_котельн.'!D60+'4.6_транзит+сбыт_котельн.'!D60</f>
        <v>2807</v>
      </c>
      <c r="E60" s="1047">
        <f>'4.6_генерация_котельн.'!E60+'4.6_транзит+сбыт_котельн.'!E60</f>
        <v>760</v>
      </c>
      <c r="F60" s="258">
        <v>2846</v>
      </c>
      <c r="G60" s="258">
        <v>488.31235340109447</v>
      </c>
      <c r="H60" s="258">
        <v>2245</v>
      </c>
      <c r="I60" s="258"/>
      <c r="J60" s="258">
        <v>2150</v>
      </c>
      <c r="K60" s="258">
        <v>2440.5</v>
      </c>
      <c r="L60" s="258">
        <v>1220.25</v>
      </c>
      <c r="M60" s="258">
        <v>1220.25</v>
      </c>
      <c r="N60" s="982">
        <v>2585.6999999999998</v>
      </c>
      <c r="O60" s="258">
        <v>1292.8499999999999</v>
      </c>
      <c r="P60" s="258">
        <v>1292.8499999999999</v>
      </c>
    </row>
    <row r="61" spans="1:16" s="1046" customFormat="1" ht="30" customHeight="1">
      <c r="A61" s="1044"/>
      <c r="B61" s="1045" t="s">
        <v>379</v>
      </c>
      <c r="C61" s="258">
        <f>SUM(C62:C66)</f>
        <v>9971</v>
      </c>
      <c r="D61" s="258">
        <f t="shared" ref="D61:E61" si="6">SUM(D62:D66)</f>
        <v>1322</v>
      </c>
      <c r="E61" s="1047">
        <f t="shared" si="6"/>
        <v>3102</v>
      </c>
      <c r="F61" s="258">
        <v>1325</v>
      </c>
      <c r="G61" s="258">
        <v>1320.5490167654852</v>
      </c>
      <c r="H61" s="258">
        <v>802</v>
      </c>
      <c r="I61" s="258">
        <v>9</v>
      </c>
      <c r="J61" s="258">
        <v>972</v>
      </c>
      <c r="K61" s="258">
        <v>1332</v>
      </c>
      <c r="L61" s="258">
        <v>648</v>
      </c>
      <c r="M61" s="258">
        <v>684</v>
      </c>
      <c r="N61" s="982">
        <v>1457</v>
      </c>
      <c r="O61" s="258">
        <v>722</v>
      </c>
      <c r="P61" s="258">
        <v>735</v>
      </c>
    </row>
    <row r="62" spans="1:16" s="4" customFormat="1" ht="15" customHeight="1">
      <c r="A62" s="17"/>
      <c r="B62" s="51" t="s">
        <v>380</v>
      </c>
      <c r="C62" s="241">
        <f>'4.6_генерация_котельн.'!C62+'4.6_транзит+сбыт_котельн.'!C62</f>
        <v>6845</v>
      </c>
      <c r="D62" s="241">
        <f>'4.6_генерация_котельн.'!D62+'4.6_транзит+сбыт_котельн.'!D62</f>
        <v>642</v>
      </c>
      <c r="E62" s="983">
        <f>'4.6_генерация_котельн.'!E62+'4.6_транзит+сбыт_котельн.'!E62</f>
        <v>146</v>
      </c>
      <c r="F62" s="241">
        <v>818</v>
      </c>
      <c r="G62" s="241">
        <v>649.89187390834195</v>
      </c>
      <c r="H62" s="241">
        <v>433</v>
      </c>
      <c r="I62" s="241"/>
      <c r="J62" s="241">
        <v>502</v>
      </c>
      <c r="K62" s="241">
        <v>847</v>
      </c>
      <c r="L62" s="241">
        <v>406</v>
      </c>
      <c r="M62" s="241">
        <v>441</v>
      </c>
      <c r="N62" s="982">
        <v>958</v>
      </c>
      <c r="O62" s="241">
        <v>471</v>
      </c>
      <c r="P62" s="241">
        <v>487</v>
      </c>
    </row>
    <row r="63" spans="1:16" s="4" customFormat="1" ht="15" customHeight="1">
      <c r="A63" s="17"/>
      <c r="B63" s="51" t="s">
        <v>381</v>
      </c>
      <c r="C63" s="241">
        <f>'4.6_генерация_котельн.'!C63+'4.6_транзит+сбыт_котельн.'!C63</f>
        <v>3101</v>
      </c>
      <c r="D63" s="241">
        <f>'4.6_генерация_котельн.'!D63+'4.6_транзит+сбыт_котельн.'!D63</f>
        <v>658</v>
      </c>
      <c r="E63" s="983">
        <f>'4.6_генерация_котельн.'!E63+'4.6_транзит+сбыт_котельн.'!E63</f>
        <v>182</v>
      </c>
      <c r="F63" s="241">
        <v>474</v>
      </c>
      <c r="G63" s="241">
        <v>615.6571428571433</v>
      </c>
      <c r="H63" s="241">
        <v>324</v>
      </c>
      <c r="I63" s="241"/>
      <c r="J63" s="241">
        <v>395</v>
      </c>
      <c r="K63" s="241">
        <v>405</v>
      </c>
      <c r="L63" s="308">
        <v>203</v>
      </c>
      <c r="M63" s="308">
        <v>202</v>
      </c>
      <c r="N63" s="982">
        <v>413</v>
      </c>
      <c r="O63" s="308">
        <v>207</v>
      </c>
      <c r="P63" s="308">
        <v>206</v>
      </c>
    </row>
    <row r="64" spans="1:16" s="4" customFormat="1" ht="15" customHeight="1">
      <c r="A64" s="17"/>
      <c r="B64" s="51" t="s">
        <v>382</v>
      </c>
      <c r="C64" s="241">
        <f>'4.6_генерация_котельн.'!C64+'4.6_транзит+сбыт_котельн.'!C64</f>
        <v>25</v>
      </c>
      <c r="D64" s="241">
        <f>'4.6_генерация_котельн.'!D64+'4.6_транзит+сбыт_котельн.'!D64</f>
        <v>14</v>
      </c>
      <c r="E64" s="983">
        <f>'4.6_генерация_котельн.'!E64+'4.6_транзит+сбыт_котельн.'!E64</f>
        <v>12</v>
      </c>
      <c r="F64" s="241">
        <v>26</v>
      </c>
      <c r="G64" s="241">
        <v>43</v>
      </c>
      <c r="H64" s="241">
        <v>37</v>
      </c>
      <c r="I64" s="241"/>
      <c r="J64" s="241">
        <v>66</v>
      </c>
      <c r="K64" s="241">
        <v>69</v>
      </c>
      <c r="L64" s="308">
        <v>33</v>
      </c>
      <c r="M64" s="308">
        <v>36</v>
      </c>
      <c r="N64" s="982">
        <v>74</v>
      </c>
      <c r="O64" s="308">
        <v>37</v>
      </c>
      <c r="P64" s="308">
        <v>37</v>
      </c>
    </row>
    <row r="65" spans="1:16" s="4" customFormat="1" ht="15" customHeight="1">
      <c r="A65" s="17"/>
      <c r="B65" s="51" t="s">
        <v>383</v>
      </c>
      <c r="C65" s="241">
        <f>'4.6_генерация_котельн.'!C65+'4.6_транзит+сбыт_котельн.'!C65</f>
        <v>0</v>
      </c>
      <c r="D65" s="241">
        <f>'4.6_генерация_котельн.'!D65+'4.6_транзит+сбыт_котельн.'!D65</f>
        <v>8</v>
      </c>
      <c r="E65" s="983">
        <f>'4.6_генерация_котельн.'!E65+'4.6_транзит+сбыт_котельн.'!E65</f>
        <v>2762</v>
      </c>
      <c r="F65" s="241">
        <v>7</v>
      </c>
      <c r="G65" s="241">
        <v>12</v>
      </c>
      <c r="H65" s="241">
        <v>8</v>
      </c>
      <c r="I65" s="241">
        <v>9</v>
      </c>
      <c r="J65" s="241">
        <v>9</v>
      </c>
      <c r="K65" s="241">
        <v>11</v>
      </c>
      <c r="L65" s="308">
        <v>6</v>
      </c>
      <c r="M65" s="308">
        <v>5</v>
      </c>
      <c r="N65" s="982">
        <v>12</v>
      </c>
      <c r="O65" s="308">
        <v>7</v>
      </c>
      <c r="P65" s="308">
        <v>5</v>
      </c>
    </row>
    <row r="66" spans="1:16" s="4" customFormat="1" ht="15" customHeight="1">
      <c r="A66" s="17"/>
      <c r="B66" s="51" t="s">
        <v>384</v>
      </c>
      <c r="C66" s="241">
        <f>'4.6_генерация_котельн.'!C66+'4.6_транзит+сбыт_котельн.'!C66</f>
        <v>0</v>
      </c>
      <c r="D66" s="241">
        <f>'4.6_генерация_котельн.'!D66+'4.6_транзит+сбыт_котельн.'!D66</f>
        <v>0</v>
      </c>
      <c r="E66" s="983">
        <f>'4.6_генерация_котельн.'!E66+'4.6_транзит+сбыт_котельн.'!E66</f>
        <v>0</v>
      </c>
      <c r="F66" s="241">
        <v>0</v>
      </c>
      <c r="G66" s="241">
        <v>0</v>
      </c>
      <c r="H66" s="241">
        <v>0</v>
      </c>
      <c r="I66" s="241"/>
      <c r="J66" s="241">
        <v>0</v>
      </c>
      <c r="K66" s="241">
        <v>0</v>
      </c>
      <c r="L66" s="241">
        <v>0</v>
      </c>
      <c r="M66" s="241">
        <v>0</v>
      </c>
      <c r="N66" s="982">
        <v>0</v>
      </c>
      <c r="O66" s="241">
        <v>0</v>
      </c>
      <c r="P66" s="241">
        <v>0</v>
      </c>
    </row>
    <row r="67" spans="1:16" s="1034" customFormat="1" ht="15" customHeight="1">
      <c r="A67" s="1030" t="s">
        <v>385</v>
      </c>
      <c r="B67" s="1031" t="s">
        <v>386</v>
      </c>
      <c r="C67" s="1032">
        <f>SUM(C68:C71)</f>
        <v>160284</v>
      </c>
      <c r="D67" s="1032">
        <f t="shared" ref="D67:E67" si="7">SUM(D68:D71)</f>
        <v>590476</v>
      </c>
      <c r="E67" s="1088">
        <f t="shared" si="7"/>
        <v>57225</v>
      </c>
      <c r="F67" s="1032">
        <v>85958.1</v>
      </c>
      <c r="G67" s="1032">
        <v>6209.3187508352148</v>
      </c>
      <c r="H67" s="1032">
        <v>58800.379000000001</v>
      </c>
      <c r="I67" s="1032">
        <v>27144.603055315998</v>
      </c>
      <c r="J67" s="1032">
        <v>104344.60305531599</v>
      </c>
      <c r="K67" s="1032">
        <v>89705.043560000006</v>
      </c>
      <c r="L67" s="1032">
        <v>38504.011851439231</v>
      </c>
      <c r="M67" s="1032">
        <v>51201.031708560775</v>
      </c>
      <c r="N67" s="1383">
        <v>81628.395205859604</v>
      </c>
      <c r="O67" s="1032">
        <v>48621.549117905517</v>
      </c>
      <c r="P67" s="1032">
        <v>33006.846087954087</v>
      </c>
    </row>
    <row r="68" spans="1:16" s="1046" customFormat="1" ht="30" customHeight="1">
      <c r="A68" s="1044"/>
      <c r="B68" s="1045" t="s">
        <v>387</v>
      </c>
      <c r="C68" s="258">
        <f>'4.6_генерация_котельн.'!C68+'4.6_транзит+сбыт_котельн.'!C68</f>
        <v>0</v>
      </c>
      <c r="D68" s="258">
        <f>'4.6_генерация_котельн.'!D68+'4.6_транзит+сбыт_котельн.'!D68</f>
        <v>0</v>
      </c>
      <c r="E68" s="1047">
        <f>'4.6_генерация_котельн.'!E68+'4.6_транзит+сбыт_котельн.'!E68</f>
        <v>0</v>
      </c>
      <c r="F68" s="258">
        <v>0</v>
      </c>
      <c r="G68" s="258">
        <v>0</v>
      </c>
      <c r="H68" s="258">
        <v>0</v>
      </c>
      <c r="I68" s="258">
        <v>0</v>
      </c>
      <c r="J68" s="258">
        <v>0</v>
      </c>
      <c r="K68" s="258">
        <v>0</v>
      </c>
      <c r="L68" s="258">
        <v>0</v>
      </c>
      <c r="M68" s="258">
        <v>0</v>
      </c>
      <c r="N68" s="982">
        <v>0</v>
      </c>
      <c r="O68" s="258">
        <v>0</v>
      </c>
      <c r="P68" s="258">
        <v>0</v>
      </c>
    </row>
    <row r="69" spans="1:16" s="1046" customFormat="1" ht="15" customHeight="1">
      <c r="A69" s="1044"/>
      <c r="B69" s="1045" t="s">
        <v>388</v>
      </c>
      <c r="C69" s="258">
        <f>'4.6_генерация_котельн.'!C69+'4.6_транзит+сбыт_котельн.'!C69</f>
        <v>71139</v>
      </c>
      <c r="D69" s="258">
        <f>'4.6_генерация_котельн.'!D69+'4.6_транзит+сбыт_котельн.'!D69</f>
        <v>482135</v>
      </c>
      <c r="E69" s="1047">
        <f>'4.6_генерация_котельн.'!E69+'4.6_транзит+сбыт_котельн.'!E69</f>
        <v>0</v>
      </c>
      <c r="F69" s="258">
        <v>0</v>
      </c>
      <c r="G69" s="258">
        <v>0</v>
      </c>
      <c r="H69" s="258">
        <v>0</v>
      </c>
      <c r="I69" s="258">
        <v>25685.603055315998</v>
      </c>
      <c r="J69" s="258">
        <v>25685.603055315998</v>
      </c>
      <c r="K69" s="258">
        <v>25020</v>
      </c>
      <c r="L69" s="258">
        <v>0</v>
      </c>
      <c r="M69" s="258">
        <v>25020</v>
      </c>
      <c r="N69" s="982">
        <v>0</v>
      </c>
      <c r="O69" s="258">
        <v>0</v>
      </c>
      <c r="P69" s="258">
        <v>0</v>
      </c>
    </row>
    <row r="70" spans="1:16" s="1046" customFormat="1" ht="45" customHeight="1">
      <c r="A70" s="1044"/>
      <c r="B70" s="1045" t="s">
        <v>389</v>
      </c>
      <c r="C70" s="258">
        <f>'4.6_генерация_котельн.'!C70+'4.6_транзит+сбыт_котельн.'!C70</f>
        <v>0</v>
      </c>
      <c r="D70" s="258">
        <f>'4.6_генерация_котельн.'!D70+'4.6_транзит+сбыт_котельн.'!D70</f>
        <v>0</v>
      </c>
      <c r="E70" s="1047">
        <f>'4.6_генерация_котельн.'!E70+'4.6_транзит+сбыт_котельн.'!E70</f>
        <v>0</v>
      </c>
      <c r="F70" s="258">
        <v>25412</v>
      </c>
      <c r="G70" s="258">
        <v>4598</v>
      </c>
      <c r="H70" s="258">
        <v>23939.679</v>
      </c>
      <c r="I70" s="258">
        <v>0</v>
      </c>
      <c r="J70" s="258">
        <v>0</v>
      </c>
      <c r="K70" s="258">
        <v>0</v>
      </c>
      <c r="L70" s="258">
        <v>0</v>
      </c>
      <c r="M70" s="258">
        <v>0</v>
      </c>
      <c r="N70" s="982">
        <v>0</v>
      </c>
      <c r="O70" s="258">
        <v>0</v>
      </c>
      <c r="P70" s="258">
        <v>0</v>
      </c>
    </row>
    <row r="71" spans="1:16" s="1046" customFormat="1" ht="15" customHeight="1">
      <c r="A71" s="1044"/>
      <c r="B71" s="1045" t="s">
        <v>390</v>
      </c>
      <c r="C71" s="258">
        <f>SUM(C72:C77)</f>
        <v>89145</v>
      </c>
      <c r="D71" s="258">
        <f t="shared" ref="D71:E71" si="8">SUM(D72:D77)</f>
        <v>108341</v>
      </c>
      <c r="E71" s="1047">
        <f t="shared" si="8"/>
        <v>57225</v>
      </c>
      <c r="F71" s="258">
        <v>60546.1</v>
      </c>
      <c r="G71" s="258">
        <v>1611.3187508352146</v>
      </c>
      <c r="H71" s="258">
        <v>34860.699999999997</v>
      </c>
      <c r="I71" s="258">
        <v>1459</v>
      </c>
      <c r="J71" s="258">
        <v>78659</v>
      </c>
      <c r="K71" s="258">
        <v>64685.043560000006</v>
      </c>
      <c r="L71" s="258">
        <v>38504.011851439231</v>
      </c>
      <c r="M71" s="258">
        <v>26181.031708560775</v>
      </c>
      <c r="N71" s="982">
        <v>81628.395205859604</v>
      </c>
      <c r="O71" s="258">
        <v>48621.549117905517</v>
      </c>
      <c r="P71" s="258">
        <v>33006.846087954087</v>
      </c>
    </row>
    <row r="72" spans="1:16" s="4" customFormat="1" ht="15" customHeight="1">
      <c r="A72" s="17"/>
      <c r="B72" s="51" t="s">
        <v>961</v>
      </c>
      <c r="C72" s="241">
        <f>'4.6_генерация_котельн.'!C72+'4.6_транзит+сбыт_котельн.'!C72</f>
        <v>989</v>
      </c>
      <c r="D72" s="241">
        <f>'4.6_генерация_котельн.'!D72+'4.6_транзит+сбыт_котельн.'!D72</f>
        <v>1502</v>
      </c>
      <c r="E72" s="983">
        <f>'4.6_генерация_котельн.'!E72+'4.6_транзит+сбыт_котельн.'!E72</f>
        <v>0</v>
      </c>
      <c r="F72" s="241">
        <v>1030</v>
      </c>
      <c r="G72" s="241">
        <v>1372.4774950829456</v>
      </c>
      <c r="H72" s="241">
        <v>585</v>
      </c>
      <c r="I72" s="241">
        <v>1233</v>
      </c>
      <c r="J72" s="241">
        <v>1233</v>
      </c>
      <c r="K72" s="241">
        <v>1303.6755600000001</v>
      </c>
      <c r="L72" s="241">
        <v>651.83778000000007</v>
      </c>
      <c r="M72" s="241">
        <v>651.83778000000007</v>
      </c>
      <c r="N72" s="982">
        <v>1366.7864938595999</v>
      </c>
      <c r="O72" s="241">
        <v>683.39324692979994</v>
      </c>
      <c r="P72" s="241">
        <v>683.39324692979994</v>
      </c>
    </row>
    <row r="73" spans="1:16" s="4" customFormat="1" ht="15" customHeight="1">
      <c r="A73" s="17"/>
      <c r="B73" s="51" t="s">
        <v>962</v>
      </c>
      <c r="C73" s="241">
        <f>'4.6_генерация_котельн.'!C73+'4.6_транзит+сбыт_котельн.'!C73</f>
        <v>88074</v>
      </c>
      <c r="D73" s="241">
        <f>'4.6_генерация_котельн.'!D73+'4.6_транзит+сбыт_котельн.'!D73</f>
        <v>104335</v>
      </c>
      <c r="E73" s="983">
        <f>'4.6_генерация_котельн.'!E73+'4.6_транзит+сбыт_котельн.'!E73</f>
        <v>57171</v>
      </c>
      <c r="F73" s="241">
        <v>57171</v>
      </c>
      <c r="G73" s="241">
        <v>0</v>
      </c>
      <c r="H73" s="241">
        <v>32769</v>
      </c>
      <c r="I73" s="241"/>
      <c r="J73" s="241">
        <v>77200</v>
      </c>
      <c r="K73" s="241">
        <v>63140</v>
      </c>
      <c r="L73" s="241">
        <v>37731.490071439228</v>
      </c>
      <c r="M73" s="241">
        <v>25408.509928560772</v>
      </c>
      <c r="N73" s="982">
        <v>80006</v>
      </c>
      <c r="O73" s="241">
        <v>47810.351514975715</v>
      </c>
      <c r="P73" s="241">
        <v>32195.648485024285</v>
      </c>
    </row>
    <row r="74" spans="1:16" s="4" customFormat="1" ht="15" customHeight="1">
      <c r="A74" s="17"/>
      <c r="B74" s="51" t="s">
        <v>963</v>
      </c>
      <c r="C74" s="241">
        <f>'4.6_генерация_котельн.'!C74+'4.6_транзит+сбыт_котельн.'!C74</f>
        <v>82</v>
      </c>
      <c r="D74" s="241">
        <f>'4.6_генерация_котельн.'!D74+'4.6_транзит+сбыт_котельн.'!D74</f>
        <v>2504</v>
      </c>
      <c r="E74" s="983">
        <f>'4.6_генерация_котельн.'!E74+'4.6_транзит+сбыт_котельн.'!E74</f>
        <v>54</v>
      </c>
      <c r="F74" s="241">
        <v>2345.1000000000004</v>
      </c>
      <c r="G74" s="241">
        <v>238.84125575226903</v>
      </c>
      <c r="H74" s="241">
        <v>1506.6999999999998</v>
      </c>
      <c r="I74" s="241">
        <v>226</v>
      </c>
      <c r="J74" s="241">
        <v>226</v>
      </c>
      <c r="K74" s="241">
        <v>241.36799999999999</v>
      </c>
      <c r="L74" s="241">
        <v>120.684</v>
      </c>
      <c r="M74" s="241">
        <v>120.684</v>
      </c>
      <c r="N74" s="982">
        <v>255.60871199999997</v>
      </c>
      <c r="O74" s="241">
        <v>127.80435599999998</v>
      </c>
      <c r="P74" s="241">
        <v>127.80435599999998</v>
      </c>
    </row>
    <row r="75" spans="1:16" s="4" customFormat="1" ht="15" hidden="1" customHeight="1">
      <c r="A75" s="17"/>
      <c r="B75" s="51"/>
      <c r="C75" s="241">
        <f>'4.6_генерация_котельн.'!C75+'4.6_транзит+сбыт_котельн.'!C75</f>
        <v>0</v>
      </c>
      <c r="D75" s="241">
        <f>'4.6_генерация_котельн.'!D75+'4.6_транзит+сбыт_котельн.'!D75</f>
        <v>0</v>
      </c>
      <c r="E75" s="983">
        <f>'4.6_генерация_котельн.'!E75+'4.6_транзит+сбыт_котельн.'!E75</f>
        <v>0</v>
      </c>
      <c r="F75" s="241">
        <v>0</v>
      </c>
      <c r="G75" s="983">
        <v>0</v>
      </c>
      <c r="H75" s="241">
        <v>0</v>
      </c>
      <c r="I75" s="241">
        <v>0</v>
      </c>
      <c r="J75" s="241">
        <v>0</v>
      </c>
      <c r="K75" s="241">
        <v>0</v>
      </c>
      <c r="L75" s="241">
        <v>0</v>
      </c>
      <c r="M75" s="241">
        <v>0</v>
      </c>
      <c r="N75" s="982">
        <v>0</v>
      </c>
      <c r="O75" s="241">
        <v>0</v>
      </c>
      <c r="P75" s="241">
        <v>0</v>
      </c>
    </row>
    <row r="76" spans="1:16" s="4" customFormat="1" ht="15" hidden="1" customHeight="1">
      <c r="A76" s="17"/>
      <c r="B76" s="51"/>
      <c r="C76" s="241">
        <f>'4.6_генерация_котельн.'!C76+'4.6_транзит+сбыт_котельн.'!C76</f>
        <v>0</v>
      </c>
      <c r="D76" s="241">
        <f>'4.6_генерация_котельн.'!D76+'4.6_транзит+сбыт_котельн.'!D76</f>
        <v>0</v>
      </c>
      <c r="E76" s="983">
        <f>'4.6_генерация_котельн.'!E76+'4.6_транзит+сбыт_котельн.'!E76</f>
        <v>0</v>
      </c>
      <c r="F76" s="241">
        <v>0</v>
      </c>
      <c r="G76" s="983">
        <v>0</v>
      </c>
      <c r="H76" s="241">
        <v>0</v>
      </c>
      <c r="I76" s="241">
        <v>0</v>
      </c>
      <c r="J76" s="241">
        <v>0</v>
      </c>
      <c r="K76" s="241">
        <v>0</v>
      </c>
      <c r="L76" s="241">
        <v>0</v>
      </c>
      <c r="M76" s="241">
        <v>0</v>
      </c>
      <c r="N76" s="982">
        <v>0</v>
      </c>
      <c r="O76" s="241">
        <v>0</v>
      </c>
      <c r="P76" s="241">
        <v>0</v>
      </c>
    </row>
    <row r="77" spans="1:16" s="4" customFormat="1" ht="15" hidden="1" customHeight="1">
      <c r="A77" s="17"/>
      <c r="B77" s="51"/>
      <c r="C77" s="241">
        <f>'4.6_генерация_котельн.'!C77+'4.6_транзит+сбыт_котельн.'!C77</f>
        <v>0</v>
      </c>
      <c r="D77" s="241">
        <f>'4.6_генерация_котельн.'!D77+'4.6_транзит+сбыт_котельн.'!D77</f>
        <v>0</v>
      </c>
      <c r="E77" s="983">
        <f>'4.6_генерация_котельн.'!E77+'4.6_транзит+сбыт_котельн.'!E77</f>
        <v>0</v>
      </c>
      <c r="F77" s="241">
        <v>0</v>
      </c>
      <c r="G77" s="983">
        <v>0</v>
      </c>
      <c r="H77" s="241">
        <v>0</v>
      </c>
      <c r="I77" s="241">
        <v>0</v>
      </c>
      <c r="J77" s="241">
        <v>0</v>
      </c>
      <c r="K77" s="241">
        <v>0</v>
      </c>
      <c r="L77" s="241">
        <v>0</v>
      </c>
      <c r="M77" s="241">
        <v>0</v>
      </c>
      <c r="N77" s="982">
        <v>0</v>
      </c>
      <c r="O77" s="241">
        <v>0</v>
      </c>
      <c r="P77" s="241">
        <v>0</v>
      </c>
    </row>
    <row r="78" spans="1:16" s="1034" customFormat="1" ht="28.5" customHeight="1">
      <c r="A78" s="1030" t="s">
        <v>391</v>
      </c>
      <c r="B78" s="1031" t="s">
        <v>392</v>
      </c>
      <c r="C78" s="1032">
        <f>SUM(C79:C82)</f>
        <v>8339</v>
      </c>
      <c r="D78" s="1032">
        <f t="shared" ref="D78:E78" si="9">SUM(D79:D82)</f>
        <v>8249</v>
      </c>
      <c r="E78" s="1088">
        <f t="shared" si="9"/>
        <v>6600</v>
      </c>
      <c r="F78" s="1032">
        <v>9737</v>
      </c>
      <c r="G78" s="1032">
        <v>8747.7331159253608</v>
      </c>
      <c r="H78" s="1032">
        <v>11029.7</v>
      </c>
      <c r="I78" s="1032">
        <v>0</v>
      </c>
      <c r="J78" s="1032">
        <v>87946</v>
      </c>
      <c r="K78" s="1032">
        <v>96032.94</v>
      </c>
      <c r="L78" s="1032">
        <v>4514.97</v>
      </c>
      <c r="M78" s="1032">
        <v>91517.97</v>
      </c>
      <c r="N78" s="1383">
        <v>101398.70646</v>
      </c>
      <c r="O78" s="1032">
        <v>4781.3532300000006</v>
      </c>
      <c r="P78" s="1032">
        <v>96617.353230000008</v>
      </c>
    </row>
    <row r="79" spans="1:16" s="1046" customFormat="1" ht="15" customHeight="1">
      <c r="A79" s="1044"/>
      <c r="B79" s="1045" t="s">
        <v>393</v>
      </c>
      <c r="C79" s="258">
        <f>'4.6_генерация_котельн.'!C79+'4.6_транзит+сбыт_котельн.'!C79</f>
        <v>0</v>
      </c>
      <c r="D79" s="258">
        <f>'4.6_генерация_котельн.'!D79+'4.6_транзит+сбыт_котельн.'!D79</f>
        <v>0</v>
      </c>
      <c r="E79" s="1047">
        <f>'4.6_генерация_котельн.'!E79+'4.6_транзит+сбыт_котельн.'!E79</f>
        <v>0</v>
      </c>
      <c r="F79" s="258">
        <v>0</v>
      </c>
      <c r="G79" s="258">
        <v>0</v>
      </c>
      <c r="H79" s="258">
        <v>0</v>
      </c>
      <c r="I79" s="258">
        <v>0</v>
      </c>
      <c r="J79" s="258">
        <v>0</v>
      </c>
      <c r="K79" s="258">
        <v>0</v>
      </c>
      <c r="L79" s="258">
        <v>0</v>
      </c>
      <c r="M79" s="258">
        <v>0</v>
      </c>
      <c r="N79" s="982">
        <v>0</v>
      </c>
      <c r="O79" s="258">
        <v>0</v>
      </c>
      <c r="P79" s="258">
        <v>0</v>
      </c>
    </row>
    <row r="80" spans="1:16" s="1046" customFormat="1" ht="30" customHeight="1">
      <c r="A80" s="1044"/>
      <c r="B80" s="1045" t="s">
        <v>394</v>
      </c>
      <c r="C80" s="258">
        <f>'4.6_генерация_котельн.'!C80+'4.6_транзит+сбыт_котельн.'!C80</f>
        <v>8339</v>
      </c>
      <c r="D80" s="258">
        <f>'4.6_генерация_котельн.'!D80+'4.6_транзит+сбыт_котельн.'!D80</f>
        <v>8249</v>
      </c>
      <c r="E80" s="1047">
        <f>'4.6_генерация_котельн.'!E80+'4.6_транзит+сбыт_котельн.'!E80</f>
        <v>6600</v>
      </c>
      <c r="F80" s="258">
        <v>9737</v>
      </c>
      <c r="G80" s="258">
        <v>8747.7331159253608</v>
      </c>
      <c r="H80" s="258">
        <v>11029.7</v>
      </c>
      <c r="I80" s="258"/>
      <c r="J80" s="258">
        <v>8455</v>
      </c>
      <c r="K80" s="258">
        <v>9029.94</v>
      </c>
      <c r="L80" s="258">
        <v>4514.97</v>
      </c>
      <c r="M80" s="258">
        <v>4514.97</v>
      </c>
      <c r="N80" s="982">
        <v>9562.7064600000012</v>
      </c>
      <c r="O80" s="258">
        <v>4781.3532300000006</v>
      </c>
      <c r="P80" s="258">
        <v>4781.3532300000006</v>
      </c>
    </row>
    <row r="81" spans="1:16" s="1046" customFormat="1" ht="15" customHeight="1">
      <c r="A81" s="1044"/>
      <c r="B81" s="1045" t="s">
        <v>1568</v>
      </c>
      <c r="C81" s="258">
        <f>'4.6_генерация_котельн.'!C81+'4.6_транзит+сбыт_котельн.'!C81</f>
        <v>0</v>
      </c>
      <c r="D81" s="258">
        <f>'4.6_генерация_котельн.'!D81+'4.6_транзит+сбыт_котельн.'!D81</f>
        <v>0</v>
      </c>
      <c r="E81" s="1047">
        <f>'4.6_генерация_котельн.'!E81+'4.6_транзит+сбыт_котельн.'!E81</f>
        <v>0</v>
      </c>
      <c r="F81" s="258">
        <v>0</v>
      </c>
      <c r="G81" s="258">
        <v>0</v>
      </c>
      <c r="H81" s="258">
        <v>0</v>
      </c>
      <c r="I81" s="258">
        <v>0</v>
      </c>
      <c r="J81" s="258">
        <v>0</v>
      </c>
      <c r="K81" s="258">
        <v>0</v>
      </c>
      <c r="L81" s="258">
        <v>0</v>
      </c>
      <c r="M81" s="258">
        <v>0</v>
      </c>
      <c r="N81" s="982">
        <v>0</v>
      </c>
      <c r="O81" s="258">
        <v>0</v>
      </c>
      <c r="P81" s="258">
        <v>0</v>
      </c>
    </row>
    <row r="82" spans="1:16" s="1046" customFormat="1" ht="28.5" customHeight="1">
      <c r="A82" s="1044"/>
      <c r="B82" s="1045" t="s">
        <v>1957</v>
      </c>
      <c r="C82" s="258">
        <f>'4.6_генерация_котельн.'!C82+'4.6_транзит+сбыт_котельн.'!C82</f>
        <v>0</v>
      </c>
      <c r="D82" s="258">
        <f>'4.6_генерация_котельн.'!D82+'4.6_транзит+сбыт_котельн.'!D82</f>
        <v>0</v>
      </c>
      <c r="E82" s="1047">
        <f>'4.6_генерация_котельн.'!E82+'4.6_транзит+сбыт_котельн.'!E82</f>
        <v>0</v>
      </c>
      <c r="F82" s="258">
        <v>0</v>
      </c>
      <c r="G82" s="258">
        <v>0</v>
      </c>
      <c r="H82" s="258">
        <v>0</v>
      </c>
      <c r="I82" s="258">
        <v>0</v>
      </c>
      <c r="J82" s="258">
        <v>79491</v>
      </c>
      <c r="K82" s="258">
        <v>87003</v>
      </c>
      <c r="L82" s="258">
        <v>0</v>
      </c>
      <c r="M82" s="258">
        <v>87003</v>
      </c>
      <c r="N82" s="982">
        <v>91836</v>
      </c>
      <c r="O82" s="258">
        <v>0</v>
      </c>
      <c r="P82" s="258">
        <v>91836</v>
      </c>
    </row>
    <row r="83" spans="1:16" s="1034" customFormat="1" ht="15" customHeight="1">
      <c r="A83" s="1030" t="s">
        <v>395</v>
      </c>
      <c r="B83" s="1031" t="s">
        <v>396</v>
      </c>
      <c r="C83" s="1032">
        <f>'4.6_генерация_котельн.'!C83+'4.6_транзит+сбыт_котельн.'!C83</f>
        <v>19869.5</v>
      </c>
      <c r="D83" s="1032">
        <f>'4.6_генерация_котельн.'!D83+'4.6_транзит+сбыт_котельн.'!D83</f>
        <v>122596</v>
      </c>
      <c r="E83" s="1088">
        <f>'4.6_генерация_котельн.'!E83+'4.6_транзит+сбыт_котельн.'!E83</f>
        <v>1657</v>
      </c>
      <c r="F83" s="1032">
        <v>2434.25</v>
      </c>
      <c r="G83" s="1032">
        <v>2186.9332789813402</v>
      </c>
      <c r="H83" s="1032">
        <v>2757.4250000000002</v>
      </c>
      <c r="I83" s="1032"/>
      <c r="J83" s="1032">
        <v>28407.900763828995</v>
      </c>
      <c r="K83" s="1032">
        <v>30263.235000000001</v>
      </c>
      <c r="L83" s="1032">
        <v>1128.7425000000001</v>
      </c>
      <c r="M83" s="1032">
        <v>29134.4925</v>
      </c>
      <c r="N83" s="1383">
        <v>25349.676615</v>
      </c>
      <c r="O83" s="1032">
        <v>1195.3383075000002</v>
      </c>
      <c r="P83" s="1032">
        <v>24154.338307499998</v>
      </c>
    </row>
    <row r="84" spans="1:16" s="1034" customFormat="1" ht="15" customHeight="1">
      <c r="A84" s="1030" t="s">
        <v>397</v>
      </c>
      <c r="B84" s="1031" t="s">
        <v>398</v>
      </c>
      <c r="C84" s="1032">
        <f>C85-C88</f>
        <v>0</v>
      </c>
      <c r="D84" s="1032">
        <f t="shared" ref="D84:E84" si="10">D85-D88</f>
        <v>0</v>
      </c>
      <c r="E84" s="1088">
        <f t="shared" si="10"/>
        <v>-11741</v>
      </c>
      <c r="F84" s="1032">
        <v>0</v>
      </c>
      <c r="G84" s="1032">
        <v>-310282.82884656655</v>
      </c>
      <c r="H84" s="1032">
        <v>0</v>
      </c>
      <c r="I84" s="1032">
        <v>-197419.59050814249</v>
      </c>
      <c r="J84" s="1032">
        <v>-197419.59050814249</v>
      </c>
      <c r="K84" s="1032">
        <v>333023.90000000002</v>
      </c>
      <c r="L84" s="1032">
        <v>0</v>
      </c>
      <c r="M84" s="1032">
        <v>333023.90000000002</v>
      </c>
      <c r="N84" s="1383">
        <v>0</v>
      </c>
      <c r="O84" s="1032">
        <v>0</v>
      </c>
      <c r="P84" s="1032">
        <v>0</v>
      </c>
    </row>
    <row r="85" spans="1:16" s="585" customFormat="1" ht="15" customHeight="1">
      <c r="A85" s="583"/>
      <c r="B85" s="582" t="s">
        <v>1140</v>
      </c>
      <c r="C85" s="587">
        <f>C86+C87</f>
        <v>0</v>
      </c>
      <c r="D85" s="587">
        <f t="shared" ref="D85:E85" si="11">D86+D87</f>
        <v>0</v>
      </c>
      <c r="E85" s="985">
        <f t="shared" si="11"/>
        <v>0</v>
      </c>
      <c r="F85" s="587">
        <v>0</v>
      </c>
      <c r="G85" s="587">
        <v>31150.704011068912</v>
      </c>
      <c r="H85" s="587">
        <v>0</v>
      </c>
      <c r="I85" s="587">
        <v>29332.270957355038</v>
      </c>
      <c r="J85" s="587">
        <v>29332.270957355038</v>
      </c>
      <c r="K85" s="587">
        <v>466190.9</v>
      </c>
      <c r="L85" s="587">
        <v>0</v>
      </c>
      <c r="M85" s="587">
        <v>466190.9</v>
      </c>
      <c r="N85" s="982">
        <v>0</v>
      </c>
      <c r="O85" s="587">
        <v>0</v>
      </c>
      <c r="P85" s="587">
        <v>0</v>
      </c>
    </row>
    <row r="86" spans="1:16" s="341" customFormat="1" ht="15" customHeight="1">
      <c r="A86" s="339"/>
      <c r="B86" s="340" t="s">
        <v>959</v>
      </c>
      <c r="C86" s="241">
        <f>'4.6_генерация_котельн.'!C86+'4.6_транзит+сбыт_котельн.'!C86</f>
        <v>0</v>
      </c>
      <c r="D86" s="241">
        <f>'4.6_генерация_котельн.'!D86+'4.6_транзит+сбыт_котельн.'!D86</f>
        <v>0</v>
      </c>
      <c r="E86" s="983">
        <f>'4.6_генерация_котельн.'!E86+'4.6_транзит+сбыт_котельн.'!E86</f>
        <v>0</v>
      </c>
      <c r="F86" s="241">
        <v>0</v>
      </c>
      <c r="G86" s="241">
        <v>0</v>
      </c>
      <c r="H86" s="241">
        <v>0</v>
      </c>
      <c r="I86" s="241"/>
      <c r="J86" s="241"/>
      <c r="K86" s="241">
        <v>388667.9</v>
      </c>
      <c r="L86" s="241">
        <v>0</v>
      </c>
      <c r="M86" s="241">
        <v>388667.9</v>
      </c>
      <c r="N86" s="982">
        <v>0</v>
      </c>
      <c r="O86" s="241">
        <v>0</v>
      </c>
      <c r="P86" s="241">
        <v>0</v>
      </c>
    </row>
    <row r="87" spans="1:16" s="341" customFormat="1" ht="15" customHeight="1">
      <c r="A87" s="339"/>
      <c r="B87" s="51" t="s">
        <v>960</v>
      </c>
      <c r="C87" s="241">
        <f>'4.6_генерация_котельн.'!C87+'4.6_транзит+сбыт_котельн.'!C87</f>
        <v>0</v>
      </c>
      <c r="D87" s="241">
        <f>'4.6_генерация_котельн.'!D87+'4.6_транзит+сбыт_котельн.'!D87</f>
        <v>0</v>
      </c>
      <c r="E87" s="983">
        <f>'4.6_генерация_котельн.'!E87+'4.6_транзит+сбыт_котельн.'!E87</f>
        <v>0</v>
      </c>
      <c r="F87" s="241">
        <v>0</v>
      </c>
      <c r="G87" s="241">
        <v>0</v>
      </c>
      <c r="H87" s="241">
        <v>0</v>
      </c>
      <c r="I87" s="241"/>
      <c r="J87" s="241"/>
      <c r="K87" s="241">
        <v>77523</v>
      </c>
      <c r="L87" s="241">
        <v>0</v>
      </c>
      <c r="M87" s="241">
        <v>77523</v>
      </c>
      <c r="N87" s="982">
        <v>0</v>
      </c>
      <c r="O87" s="241">
        <v>0</v>
      </c>
      <c r="P87" s="241">
        <v>0</v>
      </c>
    </row>
    <row r="88" spans="1:16" s="588" customFormat="1" ht="15" customHeight="1">
      <c r="A88" s="586"/>
      <c r="B88" s="582" t="s">
        <v>1141</v>
      </c>
      <c r="C88" s="587">
        <f>C89+C90</f>
        <v>0</v>
      </c>
      <c r="D88" s="587">
        <f t="shared" ref="D88:E88" si="12">D89+D90</f>
        <v>0</v>
      </c>
      <c r="E88" s="985">
        <f t="shared" si="12"/>
        <v>11741</v>
      </c>
      <c r="F88" s="587">
        <v>0</v>
      </c>
      <c r="G88" s="587">
        <v>341433.53285763547</v>
      </c>
      <c r="H88" s="587">
        <v>0</v>
      </c>
      <c r="I88" s="587">
        <v>226751.86146549752</v>
      </c>
      <c r="J88" s="587">
        <v>226751.86146549752</v>
      </c>
      <c r="K88" s="587">
        <v>133167</v>
      </c>
      <c r="L88" s="587">
        <v>0</v>
      </c>
      <c r="M88" s="587">
        <v>133167</v>
      </c>
      <c r="N88" s="982">
        <v>0</v>
      </c>
      <c r="O88" s="587">
        <v>0</v>
      </c>
      <c r="P88" s="587">
        <v>0</v>
      </c>
    </row>
    <row r="89" spans="1:16" s="341" customFormat="1" ht="15" customHeight="1">
      <c r="A89" s="339"/>
      <c r="B89" s="340" t="s">
        <v>959</v>
      </c>
      <c r="C89" s="241">
        <f>'4.6_генерация_котельн.'!C89+'4.6_транзит+сбыт_котельн.'!C89</f>
        <v>0</v>
      </c>
      <c r="D89" s="241">
        <f>'4.6_генерация_котельн.'!D89+'4.6_транзит+сбыт_котельн.'!D89</f>
        <v>0</v>
      </c>
      <c r="E89" s="983">
        <f>'4.6_генерация_котельн.'!E89+'4.6_транзит+сбыт_котельн.'!E89</f>
        <v>11741</v>
      </c>
      <c r="F89" s="241">
        <v>0</v>
      </c>
      <c r="G89" s="983">
        <v>0</v>
      </c>
      <c r="H89" s="241">
        <v>0</v>
      </c>
      <c r="I89" s="241">
        <v>0</v>
      </c>
      <c r="J89" s="241">
        <v>0</v>
      </c>
      <c r="K89" s="241">
        <v>133167</v>
      </c>
      <c r="L89" s="241">
        <v>0</v>
      </c>
      <c r="M89" s="241">
        <v>133167</v>
      </c>
      <c r="N89" s="982">
        <v>0</v>
      </c>
      <c r="O89" s="241">
        <v>0</v>
      </c>
      <c r="P89" s="241">
        <v>0</v>
      </c>
    </row>
    <row r="90" spans="1:16" s="341" customFormat="1" ht="15" customHeight="1">
      <c r="A90" s="339"/>
      <c r="B90" s="51" t="s">
        <v>960</v>
      </c>
      <c r="C90" s="241">
        <f>'4.6_генерация_котельн.'!C90+'4.6_транзит+сбыт_котельн.'!C90</f>
        <v>0</v>
      </c>
      <c r="D90" s="241">
        <f>'4.6_генерация_котельн.'!D90+'4.6_транзит+сбыт_котельн.'!D90</f>
        <v>0</v>
      </c>
      <c r="E90" s="983">
        <f>'4.6_генерация_котельн.'!E90+'4.6_транзит+сбыт_котельн.'!E90</f>
        <v>0</v>
      </c>
      <c r="F90" s="241">
        <v>0</v>
      </c>
      <c r="G90" s="983">
        <v>0</v>
      </c>
      <c r="H90" s="241">
        <v>0</v>
      </c>
      <c r="I90" s="241">
        <v>0</v>
      </c>
      <c r="J90" s="241">
        <v>0</v>
      </c>
      <c r="K90" s="241">
        <v>0</v>
      </c>
      <c r="L90" s="241">
        <v>0</v>
      </c>
      <c r="M90" s="241">
        <v>0</v>
      </c>
      <c r="N90" s="982">
        <v>0</v>
      </c>
      <c r="O90" s="241">
        <v>0</v>
      </c>
      <c r="P90" s="241">
        <v>0</v>
      </c>
    </row>
    <row r="91" spans="1:16" s="1055" customFormat="1" ht="15" customHeight="1">
      <c r="A91" s="1052" t="s">
        <v>399</v>
      </c>
      <c r="B91" s="1053" t="s">
        <v>400</v>
      </c>
      <c r="C91" s="1054">
        <f>C7+C67+C78+C83+C84+2</f>
        <v>2350027.3069495549</v>
      </c>
      <c r="D91" s="1054">
        <f t="shared" ref="D91:E91" si="13">D7+D67+D78+D83+D84</f>
        <v>3094880.9566411106</v>
      </c>
      <c r="E91" s="1087">
        <f t="shared" si="13"/>
        <v>2043671</v>
      </c>
      <c r="F91" s="1054">
        <v>2506153.4328664863</v>
      </c>
      <c r="G91" s="1054">
        <v>2299731.9411641588</v>
      </c>
      <c r="H91" s="1054">
        <v>2575327.31554966</v>
      </c>
      <c r="I91" s="1054">
        <v>-139149.98745282649</v>
      </c>
      <c r="J91" s="1054">
        <v>2775491.1520842812</v>
      </c>
      <c r="K91" s="1054">
        <v>3575395.1758949151</v>
      </c>
      <c r="L91" s="1054">
        <v>1651586.2433784392</v>
      </c>
      <c r="M91" s="1054">
        <v>1923809.9325164766</v>
      </c>
      <c r="N91" s="1610">
        <v>3379676.960219908</v>
      </c>
      <c r="O91" s="1054">
        <v>1745542.4501913823</v>
      </c>
      <c r="P91" s="1054">
        <v>1634133.5100285255</v>
      </c>
    </row>
    <row r="92" spans="1:16" s="4" customFormat="1" ht="15" customHeight="1">
      <c r="A92" s="17" t="s">
        <v>401</v>
      </c>
      <c r="B92" s="51" t="s">
        <v>402</v>
      </c>
      <c r="C92" s="241">
        <f>'4.6_генерация_котельн.'!C92+'4.6_транзит_котельн.'!C92+'4.6_сбыт_котельн.'!C92</f>
        <v>0</v>
      </c>
      <c r="D92" s="241"/>
      <c r="E92" s="983"/>
      <c r="F92" s="241"/>
      <c r="G92" s="983"/>
      <c r="H92" s="241"/>
      <c r="I92" s="241"/>
      <c r="J92" s="241"/>
      <c r="K92" s="241">
        <v>0</v>
      </c>
      <c r="L92" s="241">
        <v>0</v>
      </c>
      <c r="M92" s="241">
        <v>0</v>
      </c>
      <c r="N92" s="982">
        <v>0</v>
      </c>
      <c r="O92" s="241">
        <v>0</v>
      </c>
      <c r="P92" s="241">
        <v>0</v>
      </c>
    </row>
    <row r="93" spans="1:16" s="4" customFormat="1" ht="15" customHeight="1">
      <c r="A93" s="17" t="s">
        <v>403</v>
      </c>
      <c r="B93" s="51" t="s">
        <v>404</v>
      </c>
      <c r="C93" s="241">
        <f>C91-C94-C95</f>
        <v>2350027.3069495549</v>
      </c>
      <c r="D93" s="241">
        <f t="shared" ref="D93:E93" si="14">D91-D94-D95</f>
        <v>3042185.6922880006</v>
      </c>
      <c r="E93" s="983">
        <f t="shared" si="14"/>
        <v>2043671</v>
      </c>
      <c r="F93" s="241">
        <v>2506153.4328664863</v>
      </c>
      <c r="G93" s="241">
        <v>2299731.9411641588</v>
      </c>
      <c r="H93" s="241">
        <v>2517695.1228708331</v>
      </c>
      <c r="I93" s="241">
        <v>-139149.98745282649</v>
      </c>
      <c r="J93" s="241">
        <v>2711306.7514856686</v>
      </c>
      <c r="K93" s="241">
        <v>3507616.475691861</v>
      </c>
      <c r="L93" s="241">
        <v>1615943.9776364393</v>
      </c>
      <c r="M93" s="241">
        <v>1891673.4980554224</v>
      </c>
      <c r="N93" s="982">
        <v>3307208.6742835846</v>
      </c>
      <c r="O93" s="241">
        <v>1706656.7382668604</v>
      </c>
      <c r="P93" s="241">
        <v>1600550.936016724</v>
      </c>
    </row>
    <row r="94" spans="1:16" s="4" customFormat="1" ht="15" customHeight="1">
      <c r="A94" s="17" t="s">
        <v>405</v>
      </c>
      <c r="B94" s="51" t="s">
        <v>406</v>
      </c>
      <c r="C94" s="241">
        <f>'4.6_генерация_котельн.'!C94+'4.6_транзит_котельн.'!C94+'4.6_сбыт_котельн.'!C94</f>
        <v>0</v>
      </c>
      <c r="D94" s="308">
        <f>'4.6_генерация_котельн.'!D94</f>
        <v>29509.062766119107</v>
      </c>
      <c r="E94" s="983">
        <f>'4.6_генерация_котельн.'!E94+'4.6_транзит_котельн.'!E94+'4.6_сбыт_котельн.'!E94</f>
        <v>0</v>
      </c>
      <c r="F94" s="308">
        <v>0</v>
      </c>
      <c r="G94" s="983">
        <v>0</v>
      </c>
      <c r="H94" s="308">
        <v>32256.702178964799</v>
      </c>
      <c r="I94" s="308">
        <v>0</v>
      </c>
      <c r="J94" s="308">
        <v>36509.635421782143</v>
      </c>
      <c r="K94" s="308">
        <v>38472.318377784002</v>
      </c>
      <c r="L94" s="308">
        <v>21173.536251999998</v>
      </c>
      <c r="M94" s="308">
        <v>17298.782125784001</v>
      </c>
      <c r="N94" s="982">
        <v>41177.555372376279</v>
      </c>
      <c r="O94" s="308">
        <v>23100.328050931999</v>
      </c>
      <c r="P94" s="308">
        <v>18077.227321444279</v>
      </c>
    </row>
    <row r="95" spans="1:16" s="4" customFormat="1" ht="15" customHeight="1">
      <c r="A95" s="17" t="s">
        <v>407</v>
      </c>
      <c r="B95" s="51" t="s">
        <v>408</v>
      </c>
      <c r="C95" s="241">
        <f>'4.6_генерация_котельн.'!C95+'4.6_транзит_котельн.'!C95+'4.6_сбыт_котельн.'!C95</f>
        <v>0</v>
      </c>
      <c r="D95" s="308">
        <f>'4.6_генерация_котельн.'!D95</f>
        <v>23186.201586991137</v>
      </c>
      <c r="E95" s="983">
        <f>'4.6_генерация_котельн.'!E95+'4.6_транзит_котельн.'!E95+'4.6_сбыт_котельн.'!E95</f>
        <v>0</v>
      </c>
      <c r="F95" s="308">
        <v>0</v>
      </c>
      <c r="G95" s="983">
        <v>0</v>
      </c>
      <c r="H95" s="308">
        <v>25375.490499862135</v>
      </c>
      <c r="I95" s="308">
        <v>0</v>
      </c>
      <c r="J95" s="308">
        <v>27674.76517683034</v>
      </c>
      <c r="K95" s="308">
        <v>29306.38182527</v>
      </c>
      <c r="L95" s="308">
        <v>14468.72949</v>
      </c>
      <c r="M95" s="308">
        <v>14837.652335270001</v>
      </c>
      <c r="N95" s="982">
        <v>31290.730563947152</v>
      </c>
      <c r="O95" s="308">
        <v>15785.383873590001</v>
      </c>
      <c r="P95" s="308">
        <v>15505.34669035715</v>
      </c>
    </row>
    <row r="96" spans="1:16" s="4" customFormat="1" ht="31.5" hidden="1">
      <c r="A96" s="1052" t="s">
        <v>1562</v>
      </c>
      <c r="B96" s="1053" t="s">
        <v>1563</v>
      </c>
      <c r="C96" s="1054"/>
      <c r="D96" s="1054">
        <v>1425797</v>
      </c>
      <c r="E96" s="1054"/>
      <c r="F96" s="1054"/>
      <c r="G96" s="1054"/>
      <c r="H96" s="1054"/>
      <c r="I96" s="1054"/>
      <c r="J96" s="1054"/>
      <c r="K96" s="1054"/>
      <c r="L96" s="1054"/>
      <c r="M96" s="1054"/>
      <c r="N96" s="1610"/>
      <c r="O96" s="1054"/>
      <c r="P96" s="1054"/>
    </row>
    <row r="97" spans="1:16" s="4" customFormat="1" ht="28.5">
      <c r="A97" s="17"/>
      <c r="B97" s="755" t="s">
        <v>1268</v>
      </c>
      <c r="C97" s="286">
        <f>'4.3_котельные'!E8</f>
        <v>457.00900000000001</v>
      </c>
      <c r="D97" s="286">
        <f>'4.3_котельные'!I8</f>
        <v>410.57600000000002</v>
      </c>
      <c r="E97" s="986">
        <f>'4.3_котельные'!M8</f>
        <v>461.95</v>
      </c>
      <c r="F97" s="286">
        <v>399.63940000000008</v>
      </c>
      <c r="G97" s="286">
        <v>466.08760000000007</v>
      </c>
      <c r="H97" s="286">
        <v>377.28214835200004</v>
      </c>
      <c r="I97" s="286">
        <v>0</v>
      </c>
      <c r="J97" s="286">
        <v>400.41050000000007</v>
      </c>
      <c r="K97" s="286">
        <v>389</v>
      </c>
      <c r="L97" s="286">
        <v>237.10000000000002</v>
      </c>
      <c r="M97" s="286">
        <v>151.9</v>
      </c>
      <c r="N97" s="1568">
        <v>389</v>
      </c>
      <c r="O97" s="286">
        <v>237.10000000000002</v>
      </c>
      <c r="P97" s="286">
        <v>151.9</v>
      </c>
    </row>
    <row r="98" spans="1:16" s="4" customFormat="1" ht="15" customHeight="1">
      <c r="A98" s="17"/>
      <c r="B98" s="51"/>
      <c r="C98" s="241"/>
      <c r="D98" s="241"/>
      <c r="E98" s="983"/>
      <c r="F98" s="241"/>
      <c r="G98" s="983"/>
      <c r="H98" s="241"/>
      <c r="I98" s="241"/>
      <c r="J98" s="241"/>
      <c r="K98" s="241"/>
      <c r="L98" s="241"/>
      <c r="M98" s="241"/>
      <c r="N98" s="982"/>
      <c r="O98" s="241"/>
      <c r="P98" s="241"/>
    </row>
    <row r="99" spans="1:16" s="4" customFormat="1" ht="15" customHeight="1">
      <c r="A99" s="17"/>
      <c r="B99" s="253" t="s">
        <v>1266</v>
      </c>
      <c r="C99" s="428">
        <f>C93/C97</f>
        <v>5142.190431587901</v>
      </c>
      <c r="D99" s="428">
        <f t="shared" ref="D99:E99" si="15">D93/D97</f>
        <v>7409.5555811542818</v>
      </c>
      <c r="E99" s="987">
        <f t="shared" si="15"/>
        <v>4424.0090918930618</v>
      </c>
      <c r="F99" s="428">
        <v>6271.0369219513532</v>
      </c>
      <c r="G99" s="428">
        <v>4934.1195542729702</v>
      </c>
      <c r="H99" s="428">
        <v>6673.2421183147308</v>
      </c>
      <c r="I99" s="428" t="e">
        <v>#DIV/0!</v>
      </c>
      <c r="J99" s="428">
        <v>6771.3178138077501</v>
      </c>
      <c r="K99" s="428">
        <v>9017.0089349405171</v>
      </c>
      <c r="L99" s="428">
        <v>6815.453300870684</v>
      </c>
      <c r="M99" s="428">
        <v>12453.413417086389</v>
      </c>
      <c r="N99" s="1128">
        <v>8501.8217847907054</v>
      </c>
      <c r="O99" s="428">
        <v>7198.0461335590899</v>
      </c>
      <c r="P99" s="428">
        <v>10536.872521505753</v>
      </c>
    </row>
    <row r="100" spans="1:16" s="4" customFormat="1" ht="15" customHeight="1">
      <c r="A100" s="17"/>
      <c r="B100" s="253" t="s">
        <v>1267</v>
      </c>
      <c r="C100" s="428">
        <v>30.59</v>
      </c>
      <c r="D100" s="307">
        <f>'4.6_генерация_котельн.'!D100</f>
        <v>30.603917930067265</v>
      </c>
      <c r="E100" s="307">
        <f>'4.6_генерация_котельн.'!E100</f>
        <v>34.96</v>
      </c>
      <c r="F100" s="307">
        <f>'4.6_генерация_котельн.'!F100</f>
        <v>35.864807546509226</v>
      </c>
      <c r="G100" s="307" t="e">
        <f>'4.6_генерация_котельн.'!G100</f>
        <v>#DIV/0!</v>
      </c>
      <c r="H100" s="307">
        <f>'4.6_генерация_котельн.'!H100</f>
        <v>39.938795745680736</v>
      </c>
      <c r="I100" s="307">
        <f>'4.6_генерация_котельн.'!I100</f>
        <v>0</v>
      </c>
      <c r="J100" s="307">
        <f>'4.6_генерация_котельн.'!J100</f>
        <v>0</v>
      </c>
      <c r="K100" s="1128">
        <f>'4.6_генерация_котельн.'!K100</f>
        <v>44.744366303789924</v>
      </c>
      <c r="L100" s="307">
        <f>'4.6_генерация_котельн.'!L100</f>
        <v>42.97</v>
      </c>
      <c r="M100" s="307">
        <f>'4.6_генерация_котельн.'!M100</f>
        <v>46.880269999999996</v>
      </c>
      <c r="N100" s="1128">
        <f>'4.6_генерация_котельн.'!N100</f>
        <v>0</v>
      </c>
      <c r="O100" s="307">
        <f>'4.6_генерация_котельн.'!O100</f>
        <v>0</v>
      </c>
      <c r="P100" s="307">
        <f>'4.6_генерация_котельн.'!P100</f>
        <v>0</v>
      </c>
    </row>
    <row r="101" spans="1:16" s="4" customFormat="1" ht="15" customHeight="1">
      <c r="A101" s="17"/>
      <c r="B101" s="1131" t="s">
        <v>1512</v>
      </c>
      <c r="C101" s="428"/>
      <c r="D101" s="1128"/>
      <c r="E101" s="987"/>
      <c r="F101" s="1128"/>
      <c r="G101" s="1128"/>
      <c r="H101" s="1128"/>
      <c r="I101" s="1128"/>
      <c r="J101" s="1128"/>
      <c r="K101" s="1128"/>
      <c r="L101" s="1128"/>
      <c r="M101" s="1128"/>
      <c r="N101" s="1651"/>
      <c r="O101" s="1651"/>
      <c r="P101" s="1651"/>
    </row>
    <row r="102" spans="1:16" s="4" customFormat="1" ht="15" customHeight="1">
      <c r="A102" s="17"/>
      <c r="B102" s="1131" t="s">
        <v>1513</v>
      </c>
      <c r="C102" s="428"/>
      <c r="D102" s="1128"/>
      <c r="E102" s="307">
        <v>34.96</v>
      </c>
      <c r="F102" s="307">
        <v>34.96</v>
      </c>
      <c r="G102" s="428" t="e">
        <f>'6.6_теплонос.котельн_2 контур'!H26</f>
        <v>#DIV/0!</v>
      </c>
      <c r="H102" s="428">
        <f>'6.6_теплонос.котельн_2 контур'!I26</f>
        <v>39.938795745680736</v>
      </c>
      <c r="I102" s="428"/>
      <c r="J102" s="428"/>
      <c r="K102" s="1128">
        <f>'6.6_теплонос.котельн_2 контур'!L26</f>
        <v>44.744366303789924</v>
      </c>
      <c r="L102" s="428">
        <f>'6.6_теплонос.котельн_2 контур'!M26</f>
        <v>42.97</v>
      </c>
      <c r="M102" s="428">
        <f>'6.6_теплонос.котельн_2 контур'!N26</f>
        <v>46.880269999999996</v>
      </c>
      <c r="N102" s="978"/>
      <c r="O102" s="978"/>
      <c r="P102" s="978"/>
    </row>
    <row r="103" spans="1:16" hidden="1">
      <c r="A103" s="253" t="s">
        <v>965</v>
      </c>
      <c r="B103" s="253"/>
      <c r="C103" s="308">
        <f>C67+C78+C83+C87-C90</f>
        <v>188492.5</v>
      </c>
      <c r="D103" s="308">
        <f t="shared" ref="D103:M103" si="16">D67+D78+D83+D87-D90</f>
        <v>721321</v>
      </c>
      <c r="E103" s="308">
        <f t="shared" si="16"/>
        <v>65482</v>
      </c>
      <c r="F103" s="308">
        <f t="shared" si="16"/>
        <v>98129.35</v>
      </c>
      <c r="G103" s="308"/>
      <c r="H103" s="308"/>
      <c r="I103" s="308"/>
      <c r="J103" s="308"/>
      <c r="K103" s="982">
        <f t="shared" si="16"/>
        <v>293524.21856000001</v>
      </c>
      <c r="L103" s="308">
        <f t="shared" si="16"/>
        <v>44147.724351439232</v>
      </c>
      <c r="M103" s="308">
        <f t="shared" si="16"/>
        <v>249376.49420856076</v>
      </c>
      <c r="N103" s="762"/>
      <c r="O103" s="762"/>
      <c r="P103" s="762"/>
    </row>
    <row r="104" spans="1:16" s="26" customFormat="1">
      <c r="A104" s="26" t="s">
        <v>88</v>
      </c>
      <c r="H104" s="1775">
        <f>'4.6_генерация_котельн.'!H93+'4.6_транзит_котельн.'!H93+'4.6_сбыт_котельн.'!H93</f>
        <v>2517695.1228708331</v>
      </c>
      <c r="J104" s="1775">
        <f>'4.6_генерация_котельн.'!J93+'4.6_транзит_котельн.'!J93+'4.6_сбыт_котельн.'!J93</f>
        <v>2711306.612951166</v>
      </c>
      <c r="K104" s="1775">
        <f>'4.6_генерация_котельн.'!K93+'4.6_транзит_котельн.'!K93+'4.6_сбыт_котельн.'!K93</f>
        <v>3507616.4756918615</v>
      </c>
      <c r="N104" s="1775">
        <f>'4.6_генерация_котельн.'!N93+'4.6_транзит_котельн.'!N93+'4.6_сбыт_котельн.'!N93</f>
        <v>3307208.674283585</v>
      </c>
    </row>
    <row r="105" spans="1:16" s="541" customFormat="1" ht="58.5" customHeight="1">
      <c r="A105" s="541" t="s">
        <v>89</v>
      </c>
      <c r="B105" s="1842" t="s">
        <v>409</v>
      </c>
      <c r="C105" s="1842"/>
      <c r="D105" s="1842"/>
      <c r="E105" s="1842"/>
      <c r="F105" s="1842"/>
      <c r="G105" s="1842"/>
      <c r="H105" s="1842"/>
      <c r="I105" s="1842"/>
      <c r="J105" s="1842"/>
      <c r="K105" s="1842"/>
      <c r="L105" s="1842"/>
      <c r="M105" s="1842"/>
      <c r="N105" s="1629"/>
      <c r="O105" s="1629"/>
      <c r="P105" s="1629"/>
    </row>
    <row r="106" spans="1:16" s="541" customFormat="1" ht="58.5" customHeight="1">
      <c r="A106" s="541" t="s">
        <v>91</v>
      </c>
      <c r="B106" s="1842" t="s">
        <v>410</v>
      </c>
      <c r="C106" s="1842"/>
      <c r="D106" s="1842"/>
      <c r="E106" s="1842"/>
      <c r="F106" s="1842"/>
      <c r="G106" s="1842"/>
      <c r="H106" s="1842"/>
      <c r="I106" s="1842"/>
      <c r="J106" s="1842"/>
      <c r="K106" s="1842"/>
      <c r="L106" s="1842"/>
      <c r="M106" s="1842"/>
      <c r="N106" s="1629"/>
      <c r="O106" s="1629"/>
      <c r="P106" s="1629"/>
    </row>
    <row r="107" spans="1:16" s="541" customFormat="1" ht="58.5" customHeight="1">
      <c r="A107" s="541" t="s">
        <v>93</v>
      </c>
      <c r="B107" s="1842" t="s">
        <v>411</v>
      </c>
      <c r="C107" s="1842"/>
      <c r="D107" s="1842"/>
      <c r="E107" s="1842"/>
      <c r="F107" s="1842"/>
      <c r="G107" s="1842"/>
      <c r="H107" s="1842"/>
      <c r="I107" s="1842"/>
      <c r="J107" s="1842"/>
      <c r="K107" s="1842"/>
      <c r="L107" s="1842"/>
      <c r="M107" s="1842"/>
      <c r="N107" s="1629"/>
      <c r="O107" s="1629"/>
      <c r="P107" s="1629"/>
    </row>
    <row r="108" spans="1:16" ht="18.75" customHeight="1"/>
  </sheetData>
  <mergeCells count="4">
    <mergeCell ref="B105:M105"/>
    <mergeCell ref="B106:M106"/>
    <mergeCell ref="B107:M107"/>
    <mergeCell ref="A3:J3"/>
  </mergeCells>
  <pageMargins left="0.78740157480314965" right="0.31496062992125984" top="0.19685039370078741" bottom="0.15748031496062992" header="0.19685039370078741" footer="0.19685039370078741"/>
  <pageSetup paperSize="9" scale="50" orientation="portrait" r:id="rId1"/>
  <headerFooter alignWithMargins="0"/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</sheetPr>
  <dimension ref="A1:R108"/>
  <sheetViews>
    <sheetView view="pageBreakPreview" zoomScaleNormal="100" zoomScaleSheetLayoutView="100" workbookViewId="0">
      <pane xSplit="2" ySplit="5" topLeftCell="J6" activePane="bottomRight" state="frozen"/>
      <selection activeCell="B82" sqref="B82"/>
      <selection pane="topRight" activeCell="B82" sqref="B82"/>
      <selection pane="bottomLeft" activeCell="B82" sqref="B82"/>
      <selection pane="bottomRight" activeCell="O13" sqref="O13"/>
    </sheetView>
  </sheetViews>
  <sheetFormatPr defaultColWidth="3.7109375" defaultRowHeight="15" outlineLevelRow="1"/>
  <cols>
    <col min="1" max="1" width="6.28515625" style="1" customWidth="1"/>
    <col min="2" max="2" width="43.7109375" style="1" customWidth="1"/>
    <col min="3" max="4" width="13.42578125" style="1" hidden="1" customWidth="1"/>
    <col min="5" max="9" width="13.42578125" style="1" customWidth="1"/>
    <col min="10" max="10" width="16.140625" style="1" customWidth="1"/>
    <col min="11" max="11" width="12.7109375" style="1603" customWidth="1"/>
    <col min="12" max="12" width="12.140625" style="1" customWidth="1"/>
    <col min="13" max="13" width="11.5703125" style="1" customWidth="1"/>
    <col min="14" max="14" width="12.42578125" style="1" customWidth="1"/>
    <col min="15" max="17" width="11.5703125" style="1" customWidth="1"/>
    <col min="18" max="56" width="9.140625" style="1" customWidth="1"/>
    <col min="57" max="16384" width="3.7109375" style="1"/>
  </cols>
  <sheetData>
    <row r="1" spans="1:18" ht="12.75" customHeight="1">
      <c r="A1" s="74" t="s">
        <v>1860</v>
      </c>
      <c r="J1" s="23"/>
      <c r="K1" s="23"/>
      <c r="M1" s="23" t="s">
        <v>359</v>
      </c>
      <c r="N1" s="23"/>
      <c r="O1" s="23"/>
      <c r="P1" s="23"/>
      <c r="Q1" s="23"/>
    </row>
    <row r="2" spans="1:18" ht="12.75" customHeight="1">
      <c r="A2" s="105" t="str">
        <f>'4.6_котельные'!A2</f>
        <v>ПКГО - выработка котельными</v>
      </c>
      <c r="K2" s="763"/>
      <c r="M2" s="763"/>
    </row>
    <row r="3" spans="1:18" ht="18.75">
      <c r="A3" s="1877" t="s">
        <v>1151</v>
      </c>
      <c r="B3" s="1914"/>
      <c r="C3" s="1914"/>
      <c r="D3" s="1914"/>
      <c r="E3" s="1914"/>
      <c r="F3" s="1914"/>
      <c r="G3" s="1914"/>
      <c r="H3" s="1914"/>
      <c r="I3" s="1914"/>
      <c r="J3" s="1914"/>
      <c r="K3" s="1750"/>
      <c r="L3" s="1632"/>
      <c r="M3" s="1750"/>
      <c r="N3" s="1632"/>
      <c r="O3" s="1632"/>
      <c r="P3" s="1632"/>
      <c r="Q3" s="1012"/>
    </row>
    <row r="4" spans="1:18" ht="14.25" customHeight="1">
      <c r="J4" s="23"/>
      <c r="K4" s="23"/>
      <c r="M4" s="23" t="s">
        <v>360</v>
      </c>
      <c r="N4" s="23"/>
      <c r="O4" s="23"/>
      <c r="P4" s="23"/>
      <c r="Q4" s="23"/>
    </row>
    <row r="5" spans="1:18" s="3" customFormat="1" ht="60">
      <c r="A5" s="540" t="s">
        <v>0</v>
      </c>
      <c r="B5" s="540" t="s">
        <v>1</v>
      </c>
      <c r="C5" s="540" t="s">
        <v>1129</v>
      </c>
      <c r="D5" s="540" t="s">
        <v>1130</v>
      </c>
      <c r="E5" s="540" t="s">
        <v>1131</v>
      </c>
      <c r="F5" s="540" t="s">
        <v>1695</v>
      </c>
      <c r="G5" s="1284" t="s">
        <v>1696</v>
      </c>
      <c r="H5" s="1576" t="s">
        <v>1828</v>
      </c>
      <c r="I5" s="1576" t="s">
        <v>1833</v>
      </c>
      <c r="J5" s="1631" t="s">
        <v>1861</v>
      </c>
      <c r="K5" s="1631" t="s">
        <v>1862</v>
      </c>
      <c r="L5" s="1631" t="s">
        <v>763</v>
      </c>
      <c r="M5" s="1631" t="s">
        <v>764</v>
      </c>
      <c r="N5" s="1631" t="s">
        <v>1863</v>
      </c>
      <c r="O5" s="1631" t="s">
        <v>763</v>
      </c>
      <c r="P5" s="1631" t="s">
        <v>764</v>
      </c>
      <c r="Q5" s="747"/>
    </row>
    <row r="6" spans="1:18" s="2" customFormat="1">
      <c r="A6" s="13">
        <v>1</v>
      </c>
      <c r="B6" s="13">
        <v>2</v>
      </c>
      <c r="C6" s="13">
        <v>3</v>
      </c>
      <c r="D6" s="13">
        <v>4</v>
      </c>
      <c r="E6" s="13">
        <v>3</v>
      </c>
      <c r="F6" s="13">
        <v>4</v>
      </c>
      <c r="G6" s="13">
        <v>5</v>
      </c>
      <c r="H6" s="13">
        <v>6</v>
      </c>
      <c r="I6" s="13">
        <v>7</v>
      </c>
      <c r="J6" s="13">
        <v>8</v>
      </c>
      <c r="K6" s="13">
        <v>9</v>
      </c>
      <c r="L6" s="13">
        <v>10</v>
      </c>
      <c r="M6" s="13">
        <v>11</v>
      </c>
      <c r="N6" s="1604">
        <v>12</v>
      </c>
      <c r="O6" s="13">
        <v>13</v>
      </c>
      <c r="P6" s="13">
        <v>14</v>
      </c>
      <c r="Q6" s="1792">
        <v>1.0680000000000001</v>
      </c>
      <c r="R6" s="1792">
        <v>1.0589999999999999</v>
      </c>
    </row>
    <row r="7" spans="1:18" s="1041" customFormat="1" ht="32.25" customHeight="1">
      <c r="A7" s="1037" t="s">
        <v>361</v>
      </c>
      <c r="B7" s="1038" t="s">
        <v>362</v>
      </c>
      <c r="C7" s="1039">
        <f>C8+SUM(C10:C15)+C20+SUM(C22:C25)+SUM(C56:C61)-1</f>
        <v>1773088.8069495547</v>
      </c>
      <c r="D7" s="1039">
        <f>D8+SUM(D10:D15)+D20+SUM(D22:D25)+SUM(D56:D61)</f>
        <v>2097277.93724111</v>
      </c>
      <c r="E7" s="1039">
        <v>1989930</v>
      </c>
      <c r="F7" s="1039">
        <v>2065276.8190990523</v>
      </c>
      <c r="G7" s="1039">
        <v>2471810.4765705299</v>
      </c>
      <c r="H7" s="1039">
        <v>2108827.2060222239</v>
      </c>
      <c r="I7" s="1039">
        <v>2323780</v>
      </c>
      <c r="J7" s="1039">
        <v>2317205.484939008</v>
      </c>
      <c r="K7" s="1039">
        <v>2570907.0130978976</v>
      </c>
      <c r="L7" s="1039">
        <v>1386673.2747280002</v>
      </c>
      <c r="M7" s="1039">
        <v>1184234.7383698977</v>
      </c>
      <c r="N7" s="1605">
        <v>2686714.4788620123</v>
      </c>
      <c r="O7" s="1039">
        <v>1456119.2148721991</v>
      </c>
      <c r="P7" s="1039">
        <v>1230594.2639898129</v>
      </c>
      <c r="Q7" s="1792">
        <f>'5.2_пр-во КТЭЦ+котельн'!H21</f>
        <v>1.05732</v>
      </c>
      <c r="R7" s="1792">
        <f>'5.2_пр-во КТЭЦ+котельн'!I21</f>
        <v>1.0484099999999998</v>
      </c>
    </row>
    <row r="8" spans="1:18" s="1046" customFormat="1" ht="15" customHeight="1">
      <c r="A8" s="1044"/>
      <c r="B8" s="1045" t="s">
        <v>363</v>
      </c>
      <c r="C8" s="258">
        <f>23386-C12</f>
        <v>16460</v>
      </c>
      <c r="D8" s="258">
        <f>43076-11737</f>
        <v>31339</v>
      </c>
      <c r="E8" s="258">
        <v>31864</v>
      </c>
      <c r="F8" s="258">
        <v>26356</v>
      </c>
      <c r="G8" s="258">
        <v>33786</v>
      </c>
      <c r="H8" s="258">
        <v>34383</v>
      </c>
      <c r="I8" s="1719">
        <v>11899</v>
      </c>
      <c r="J8" s="1719">
        <v>10152</v>
      </c>
      <c r="K8" s="1719">
        <v>21285.09692</v>
      </c>
      <c r="L8" s="1719">
        <v>7449.7839219999996</v>
      </c>
      <c r="M8" s="1719">
        <v>13835.312998000001</v>
      </c>
      <c r="N8" s="982">
        <v>11253.541350902398</v>
      </c>
      <c r="O8" s="258">
        <v>3938.7394728158392</v>
      </c>
      <c r="P8" s="258">
        <v>7314.8018780865586</v>
      </c>
      <c r="Q8" s="754"/>
    </row>
    <row r="9" spans="1:18" s="4" customFormat="1" ht="15" customHeight="1">
      <c r="A9" s="17"/>
      <c r="B9" s="580" t="s">
        <v>1134</v>
      </c>
      <c r="C9" s="751">
        <v>2770</v>
      </c>
      <c r="D9" s="751">
        <v>13802</v>
      </c>
      <c r="E9" s="751"/>
      <c r="F9" s="751">
        <v>10942</v>
      </c>
      <c r="G9" s="751">
        <v>14452</v>
      </c>
      <c r="H9" s="751">
        <v>15407</v>
      </c>
      <c r="I9" s="751">
        <v>13268</v>
      </c>
      <c r="J9" s="751">
        <v>11521</v>
      </c>
      <c r="K9" s="751">
        <v>18921</v>
      </c>
      <c r="L9" s="751">
        <v>6622.3499999999995</v>
      </c>
      <c r="M9" s="751">
        <v>12298.650000000001</v>
      </c>
      <c r="N9" s="1444">
        <v>12771.084505885197</v>
      </c>
      <c r="O9" s="752">
        <v>4469.879577059819</v>
      </c>
      <c r="P9" s="752">
        <v>8301.2049288253784</v>
      </c>
      <c r="Q9" s="1014"/>
    </row>
    <row r="10" spans="1:18" s="1046" customFormat="1" ht="15" customHeight="1">
      <c r="A10" s="1044"/>
      <c r="B10" s="1045" t="s">
        <v>364</v>
      </c>
      <c r="C10" s="258">
        <f>' 4.4-котельные'!D256</f>
        <v>1089837.8069495547</v>
      </c>
      <c r="D10" s="258">
        <f>' 4.4-котельные'!E256</f>
        <v>1154298.1266000001</v>
      </c>
      <c r="E10" s="258">
        <v>1035518</v>
      </c>
      <c r="F10" s="258">
        <v>1053276.9508700001</v>
      </c>
      <c r="G10" s="258">
        <v>1408348.4765705301</v>
      </c>
      <c r="H10" s="258">
        <v>995305.16267999995</v>
      </c>
      <c r="I10" s="258">
        <v>1192625</v>
      </c>
      <c r="J10" s="258">
        <v>1095460.1892599999</v>
      </c>
      <c r="K10" s="258">
        <v>1215556.9890000001</v>
      </c>
      <c r="L10" s="258">
        <v>720362.24774999998</v>
      </c>
      <c r="M10" s="258">
        <v>495194.74125000002</v>
      </c>
      <c r="N10" s="982">
        <v>1258949.7462500001</v>
      </c>
      <c r="O10" s="982">
        <v>748598.48124999995</v>
      </c>
      <c r="P10" s="982">
        <v>510351.26500000001</v>
      </c>
      <c r="Q10" s="754"/>
    </row>
    <row r="11" spans="1:18" s="1046" customFormat="1" ht="30">
      <c r="A11" s="1044"/>
      <c r="B11" s="1045" t="s">
        <v>365</v>
      </c>
      <c r="C11" s="258">
        <v>40931</v>
      </c>
      <c r="D11" s="258">
        <f>'4. 7_котельн.'!O94+9800</f>
        <v>127749.495688</v>
      </c>
      <c r="E11" s="258">
        <v>94840</v>
      </c>
      <c r="F11" s="258">
        <v>115435.26866600002</v>
      </c>
      <c r="G11" s="258">
        <v>148286</v>
      </c>
      <c r="H11" s="258">
        <v>120865.21670243988</v>
      </c>
      <c r="I11" s="258">
        <v>140379</v>
      </c>
      <c r="J11" s="258">
        <v>137418.45000000001</v>
      </c>
      <c r="K11" s="258">
        <v>152658.53257199997</v>
      </c>
      <c r="L11" s="258">
        <v>87485.19</v>
      </c>
      <c r="M11" s="258">
        <v>65173.342571999987</v>
      </c>
      <c r="N11" s="982">
        <v>166641.46862547597</v>
      </c>
      <c r="O11" s="258">
        <v>96058.738619999989</v>
      </c>
      <c r="P11" s="258">
        <v>70582.730005475983</v>
      </c>
      <c r="Q11" s="754"/>
      <c r="R11" s="1050"/>
    </row>
    <row r="12" spans="1:18" s="1046" customFormat="1" ht="15" customHeight="1">
      <c r="A12" s="1044"/>
      <c r="B12" s="1045" t="s">
        <v>366</v>
      </c>
      <c r="C12" s="258">
        <v>6926</v>
      </c>
      <c r="D12" s="258">
        <f>11737+'4.8 - котельн.'!H18+'4.8 - котельн.'!H19</f>
        <v>64432.264353110251</v>
      </c>
      <c r="E12" s="258">
        <v>2050</v>
      </c>
      <c r="F12" s="258">
        <v>75030.44274856626</v>
      </c>
      <c r="G12" s="258">
        <v>20803</v>
      </c>
      <c r="H12" s="258">
        <v>17548.779207097166</v>
      </c>
      <c r="I12" s="258">
        <v>22968</v>
      </c>
      <c r="J12" s="258">
        <v>21128.451640396102</v>
      </c>
      <c r="K12" s="258">
        <v>22482.311282843799</v>
      </c>
      <c r="L12" s="258">
        <v>10667.49078</v>
      </c>
      <c r="M12" s="258">
        <v>11814.820502843797</v>
      </c>
      <c r="N12" s="982">
        <v>23984.719866451767</v>
      </c>
      <c r="O12" s="258">
        <v>11638.23244098</v>
      </c>
      <c r="P12" s="258">
        <v>12346.487425471769</v>
      </c>
      <c r="Q12" s="754"/>
    </row>
    <row r="13" spans="1:18" s="1046" customFormat="1" ht="15" customHeight="1">
      <c r="A13" s="1044"/>
      <c r="B13" s="1045" t="s">
        <v>367</v>
      </c>
      <c r="C13" s="258"/>
      <c r="D13" s="258"/>
      <c r="E13" s="258"/>
      <c r="F13" s="258"/>
      <c r="G13" s="258"/>
      <c r="H13" s="258">
        <v>57632.192678826934</v>
      </c>
      <c r="I13" s="258"/>
      <c r="J13" s="258">
        <v>64184.400598612483</v>
      </c>
      <c r="K13" s="258">
        <v>67778.700203054002</v>
      </c>
      <c r="L13" s="258">
        <v>35642.265741999996</v>
      </c>
      <c r="M13" s="258">
        <v>32136.434461054007</v>
      </c>
      <c r="N13" s="982">
        <v>72468.285936323431</v>
      </c>
      <c r="O13" s="258">
        <v>38885.711924522002</v>
      </c>
      <c r="P13" s="258">
        <v>33582.574011801429</v>
      </c>
      <c r="Q13" s="754"/>
    </row>
    <row r="14" spans="1:18" s="1046" customFormat="1" ht="30">
      <c r="A14" s="1044"/>
      <c r="B14" s="1045" t="s">
        <v>368</v>
      </c>
      <c r="C14" s="258">
        <v>862</v>
      </c>
      <c r="D14" s="258">
        <f>'4.10_пр-во_котельн.'!E111</f>
        <v>3875.07</v>
      </c>
      <c r="E14" s="258">
        <v>3586</v>
      </c>
      <c r="F14" s="258">
        <v>3799.1603144860628</v>
      </c>
      <c r="G14" s="258">
        <v>2171</v>
      </c>
      <c r="H14" s="258">
        <v>3276</v>
      </c>
      <c r="I14" s="258">
        <v>15377</v>
      </c>
      <c r="J14" s="258">
        <v>5154</v>
      </c>
      <c r="K14" s="258">
        <v>5588</v>
      </c>
      <c r="L14" s="258">
        <v>2904</v>
      </c>
      <c r="M14" s="258">
        <v>2684</v>
      </c>
      <c r="N14" s="982">
        <v>5005</v>
      </c>
      <c r="O14" s="258">
        <v>2513</v>
      </c>
      <c r="P14" s="258">
        <v>2492</v>
      </c>
      <c r="Q14" s="754"/>
    </row>
    <row r="15" spans="1:18" s="1046" customFormat="1" ht="15" customHeight="1">
      <c r="A15" s="1044"/>
      <c r="B15" s="1045" t="s">
        <v>1135</v>
      </c>
      <c r="C15" s="258">
        <f>C16+C18+C19</f>
        <v>383556</v>
      </c>
      <c r="D15" s="258">
        <f t="shared" ref="D15:M15" si="0">D16+D18+D19</f>
        <v>467281</v>
      </c>
      <c r="E15" s="258">
        <v>581712</v>
      </c>
      <c r="F15" s="258">
        <v>533278</v>
      </c>
      <c r="G15" s="258">
        <v>566098</v>
      </c>
      <c r="H15" s="258">
        <v>600516.97975386016</v>
      </c>
      <c r="I15" s="258">
        <v>647135</v>
      </c>
      <c r="J15" s="258">
        <v>651988.99343999987</v>
      </c>
      <c r="K15" s="258">
        <v>728153.61888000008</v>
      </c>
      <c r="L15" s="258">
        <v>349948.84256000002</v>
      </c>
      <c r="M15" s="258">
        <v>378205.77632000006</v>
      </c>
      <c r="N15" s="982">
        <v>770755.29903999995</v>
      </c>
      <c r="O15" s="258">
        <v>373373.53639999998</v>
      </c>
      <c r="P15" s="258">
        <v>397380.76264000003</v>
      </c>
      <c r="Q15" s="754"/>
    </row>
    <row r="16" spans="1:18" s="4" customFormat="1" ht="15" customHeight="1">
      <c r="A16" s="17"/>
      <c r="B16" s="581" t="s">
        <v>1136</v>
      </c>
      <c r="C16" s="308">
        <v>376559</v>
      </c>
      <c r="D16" s="981">
        <v>458692</v>
      </c>
      <c r="E16" s="308">
        <v>572148</v>
      </c>
      <c r="F16" s="981">
        <v>522777</v>
      </c>
      <c r="G16" s="981">
        <v>555334</v>
      </c>
      <c r="H16" s="981">
        <v>589264.97975386016</v>
      </c>
      <c r="I16" s="981">
        <v>634065</v>
      </c>
      <c r="J16" s="981">
        <v>637843.99343999987</v>
      </c>
      <c r="K16" s="981">
        <v>709488.61888000008</v>
      </c>
      <c r="L16" s="981">
        <v>340615.84256000002</v>
      </c>
      <c r="M16" s="981">
        <v>368872.77632000006</v>
      </c>
      <c r="N16" s="981">
        <v>751249.29903999995</v>
      </c>
      <c r="O16" s="981">
        <v>363620.53639999998</v>
      </c>
      <c r="P16" s="981">
        <v>387627.76264000003</v>
      </c>
      <c r="Q16" s="1022"/>
    </row>
    <row r="17" spans="1:18" s="4" customFormat="1" ht="15" customHeight="1">
      <c r="A17" s="17"/>
      <c r="B17" s="580" t="s">
        <v>1134</v>
      </c>
      <c r="C17" s="751">
        <v>37562</v>
      </c>
      <c r="D17" s="751">
        <f>51371+611</f>
        <v>51982</v>
      </c>
      <c r="E17" s="751"/>
      <c r="F17" s="751">
        <v>57327</v>
      </c>
      <c r="G17" s="751">
        <v>54758</v>
      </c>
      <c r="H17" s="751">
        <v>62303</v>
      </c>
      <c r="I17" s="751">
        <v>52014</v>
      </c>
      <c r="J17" s="752">
        <v>65434</v>
      </c>
      <c r="K17" s="752">
        <v>77416</v>
      </c>
      <c r="L17" s="752">
        <v>37196</v>
      </c>
      <c r="M17" s="752">
        <v>40220</v>
      </c>
      <c r="N17" s="1606">
        <v>81936</v>
      </c>
      <c r="O17" s="751">
        <v>39684</v>
      </c>
      <c r="P17" s="751">
        <v>42252</v>
      </c>
      <c r="Q17" s="1022"/>
    </row>
    <row r="18" spans="1:18" s="4" customFormat="1" ht="15" customHeight="1">
      <c r="A18" s="17"/>
      <c r="B18" s="581" t="s">
        <v>1137</v>
      </c>
      <c r="C18" s="308">
        <v>6997</v>
      </c>
      <c r="D18" s="981">
        <v>8589</v>
      </c>
      <c r="E18" s="308">
        <v>9565</v>
      </c>
      <c r="F18" s="981">
        <v>10314</v>
      </c>
      <c r="G18" s="981">
        <v>10764</v>
      </c>
      <c r="H18" s="981">
        <v>11116</v>
      </c>
      <c r="I18" s="981">
        <v>13070</v>
      </c>
      <c r="J18" s="981">
        <v>14145</v>
      </c>
      <c r="K18" s="981">
        <v>18665</v>
      </c>
      <c r="L18" s="981">
        <v>9333</v>
      </c>
      <c r="M18" s="981">
        <v>9333</v>
      </c>
      <c r="N18" s="981">
        <v>19506</v>
      </c>
      <c r="O18" s="981">
        <v>9753</v>
      </c>
      <c r="P18" s="981">
        <v>9753</v>
      </c>
      <c r="Q18" s="1022"/>
    </row>
    <row r="19" spans="1:18" s="4" customFormat="1" ht="15" customHeight="1">
      <c r="A19" s="17"/>
      <c r="B19" s="581" t="s">
        <v>1138</v>
      </c>
      <c r="C19" s="308"/>
      <c r="D19" s="308"/>
      <c r="E19" s="308"/>
      <c r="F19" s="308">
        <v>187</v>
      </c>
      <c r="G19" s="308">
        <v>0</v>
      </c>
      <c r="H19" s="308">
        <v>136</v>
      </c>
      <c r="I19" s="308">
        <v>0</v>
      </c>
      <c r="J19" s="308">
        <v>0</v>
      </c>
      <c r="K19" s="308"/>
      <c r="L19" s="308"/>
      <c r="M19" s="308">
        <v>0</v>
      </c>
      <c r="N19" s="982"/>
      <c r="O19" s="308"/>
      <c r="P19" s="241">
        <v>0</v>
      </c>
      <c r="Q19" s="749"/>
    </row>
    <row r="20" spans="1:18" s="1046" customFormat="1">
      <c r="A20" s="1044"/>
      <c r="B20" s="1045" t="s">
        <v>369</v>
      </c>
      <c r="C20" s="258">
        <v>64355</v>
      </c>
      <c r="D20" s="258">
        <v>131578</v>
      </c>
      <c r="E20" s="258">
        <v>157085</v>
      </c>
      <c r="F20" s="258">
        <v>151398</v>
      </c>
      <c r="G20" s="258">
        <v>177886</v>
      </c>
      <c r="H20" s="258">
        <v>173120</v>
      </c>
      <c r="I20" s="258">
        <v>143123</v>
      </c>
      <c r="J20" s="258">
        <v>193958</v>
      </c>
      <c r="K20" s="258">
        <v>218452</v>
      </c>
      <c r="L20" s="258">
        <v>107033</v>
      </c>
      <c r="M20" s="258">
        <v>111419</v>
      </c>
      <c r="N20" s="982">
        <v>231526</v>
      </c>
      <c r="O20" s="258">
        <v>112547</v>
      </c>
      <c r="P20" s="258">
        <v>118979</v>
      </c>
      <c r="Q20" s="1051"/>
    </row>
    <row r="21" spans="1:18" s="4" customFormat="1">
      <c r="A21" s="17"/>
      <c r="B21" s="580" t="s">
        <v>1134</v>
      </c>
      <c r="C21" s="751">
        <v>10949</v>
      </c>
      <c r="D21" s="751">
        <v>16140</v>
      </c>
      <c r="E21" s="751"/>
      <c r="F21" s="752">
        <v>18322</v>
      </c>
      <c r="G21" s="752">
        <v>16384</v>
      </c>
      <c r="H21" s="752">
        <v>20496</v>
      </c>
      <c r="I21" s="752">
        <v>16732</v>
      </c>
      <c r="J21" s="752">
        <v>21715</v>
      </c>
      <c r="K21" s="752">
        <v>23380</v>
      </c>
      <c r="L21" s="752">
        <v>10723.046536734679</v>
      </c>
      <c r="M21" s="752">
        <v>12656.953463265321</v>
      </c>
      <c r="N21" s="1606">
        <v>27410.795378927909</v>
      </c>
      <c r="O21" s="752">
        <v>11440.299461333987</v>
      </c>
      <c r="P21" s="752">
        <v>15970.495917593922</v>
      </c>
      <c r="Q21" s="1022"/>
    </row>
    <row r="22" spans="1:18" s="1046" customFormat="1" ht="30" customHeight="1">
      <c r="A22" s="1044"/>
      <c r="B22" s="1045" t="s">
        <v>370</v>
      </c>
      <c r="C22" s="258">
        <v>22375</v>
      </c>
      <c r="D22" s="258">
        <v>12610</v>
      </c>
      <c r="E22" s="258">
        <v>2000</v>
      </c>
      <c r="F22" s="258">
        <v>1733</v>
      </c>
      <c r="G22" s="258">
        <v>0</v>
      </c>
      <c r="H22" s="258">
        <v>11536</v>
      </c>
      <c r="I22" s="258">
        <v>51880</v>
      </c>
      <c r="J22" s="258">
        <v>5098</v>
      </c>
      <c r="K22" s="258">
        <v>6864</v>
      </c>
      <c r="L22" s="258">
        <v>3432</v>
      </c>
      <c r="M22" s="258">
        <v>3432</v>
      </c>
      <c r="N22" s="982">
        <v>6949.9277499999998</v>
      </c>
      <c r="O22" s="258">
        <v>3474.9638749999999</v>
      </c>
      <c r="P22" s="258">
        <v>3474.9638749999999</v>
      </c>
      <c r="Q22" s="754"/>
    </row>
    <row r="23" spans="1:18" s="1046" customFormat="1" ht="45">
      <c r="A23" s="1044"/>
      <c r="B23" s="1045" t="s">
        <v>371</v>
      </c>
      <c r="C23" s="258">
        <v>30613</v>
      </c>
      <c r="D23" s="258">
        <v>0</v>
      </c>
      <c r="E23" s="258"/>
      <c r="F23" s="258">
        <v>0</v>
      </c>
      <c r="G23" s="258">
        <v>0</v>
      </c>
      <c r="H23" s="258">
        <v>0</v>
      </c>
      <c r="I23" s="258">
        <v>0</v>
      </c>
      <c r="J23" s="258">
        <v>0</v>
      </c>
      <c r="K23" s="258">
        <v>0</v>
      </c>
      <c r="L23" s="258">
        <v>0</v>
      </c>
      <c r="M23" s="258">
        <v>0</v>
      </c>
      <c r="N23" s="982">
        <v>0</v>
      </c>
      <c r="O23" s="258">
        <v>0</v>
      </c>
      <c r="P23" s="258">
        <v>0</v>
      </c>
      <c r="Q23" s="754"/>
    </row>
    <row r="24" spans="1:18" s="1046" customFormat="1" ht="60">
      <c r="A24" s="1044"/>
      <c r="B24" s="1045" t="s">
        <v>372</v>
      </c>
      <c r="C24" s="258">
        <f>26645-22375</f>
        <v>4270</v>
      </c>
      <c r="D24" s="258">
        <f>29391-12610</f>
        <v>16781</v>
      </c>
      <c r="E24" s="258">
        <v>28184</v>
      </c>
      <c r="F24" s="258">
        <v>15134</v>
      </c>
      <c r="G24" s="258">
        <v>17641</v>
      </c>
      <c r="H24" s="258">
        <v>12671</v>
      </c>
      <c r="I24" s="1719">
        <v>27027</v>
      </c>
      <c r="J24" s="1719">
        <v>27027</v>
      </c>
      <c r="K24" s="1719">
        <v>28576.18764</v>
      </c>
      <c r="L24" s="1719">
        <v>10001.665674</v>
      </c>
      <c r="M24" s="1719">
        <v>18574.521966</v>
      </c>
      <c r="N24" s="982">
        <v>29959.560883652397</v>
      </c>
      <c r="O24" s="258">
        <v>10485.846309278339</v>
      </c>
      <c r="P24" s="258">
        <v>19473.714574374058</v>
      </c>
      <c r="Q24" s="754"/>
    </row>
    <row r="25" spans="1:18" s="1046" customFormat="1" ht="90">
      <c r="A25" s="1044"/>
      <c r="B25" s="1045" t="s">
        <v>373</v>
      </c>
      <c r="C25" s="258">
        <f>C27+C28+C29+C55</f>
        <v>21807</v>
      </c>
      <c r="D25" s="258">
        <f t="shared" ref="D25" si="1">D27+D28+D29+D55</f>
        <v>15295.980599999999</v>
      </c>
      <c r="E25" s="258">
        <v>18928</v>
      </c>
      <c r="F25" s="258">
        <v>15563.996499999997</v>
      </c>
      <c r="G25" s="258">
        <v>15103</v>
      </c>
      <c r="H25" s="258">
        <v>15834.875</v>
      </c>
      <c r="I25" s="1719">
        <v>31100</v>
      </c>
      <c r="J25" s="1719">
        <v>31100</v>
      </c>
      <c r="K25" s="1719">
        <v>32882.652000000002</v>
      </c>
      <c r="L25" s="1719">
        <v>16441.326000000001</v>
      </c>
      <c r="M25" s="1719">
        <v>16441.326000000001</v>
      </c>
      <c r="N25" s="982">
        <v>34474.501183319997</v>
      </c>
      <c r="O25" s="982">
        <v>17237.250591659998</v>
      </c>
      <c r="P25" s="982">
        <v>17237.250591659998</v>
      </c>
      <c r="Q25" s="754"/>
    </row>
    <row r="26" spans="1:18" s="4" customFormat="1">
      <c r="A26" s="17"/>
      <c r="B26" s="51" t="s">
        <v>70</v>
      </c>
      <c r="C26" s="241"/>
      <c r="D26" s="241"/>
      <c r="E26" s="241"/>
      <c r="F26" s="241"/>
      <c r="G26" s="241"/>
      <c r="H26" s="241"/>
      <c r="I26" s="241"/>
      <c r="J26" s="241"/>
      <c r="K26" s="241"/>
      <c r="L26" s="241"/>
      <c r="M26" s="241"/>
      <c r="N26" s="982"/>
      <c r="O26" s="241"/>
      <c r="P26" s="241"/>
      <c r="Q26" s="749"/>
    </row>
    <row r="27" spans="1:18" s="4" customFormat="1">
      <c r="A27" s="17"/>
      <c r="B27" s="581" t="s">
        <v>1275</v>
      </c>
      <c r="C27" s="766">
        <v>141</v>
      </c>
      <c r="D27" s="766">
        <v>0</v>
      </c>
      <c r="E27" s="766">
        <v>151</v>
      </c>
      <c r="F27" s="766">
        <v>0</v>
      </c>
      <c r="G27" s="766">
        <v>0</v>
      </c>
      <c r="H27" s="766">
        <v>0</v>
      </c>
      <c r="I27" s="766">
        <v>0</v>
      </c>
      <c r="J27" s="766">
        <v>0</v>
      </c>
      <c r="K27" s="766">
        <v>0</v>
      </c>
      <c r="L27" s="766">
        <v>0</v>
      </c>
      <c r="M27" s="766">
        <v>0</v>
      </c>
      <c r="N27" s="993">
        <v>0</v>
      </c>
      <c r="O27" s="766">
        <v>0</v>
      </c>
      <c r="P27" s="766">
        <v>0</v>
      </c>
      <c r="Q27" s="1016"/>
    </row>
    <row r="28" spans="1:18" s="4" customFormat="1">
      <c r="A28" s="17"/>
      <c r="B28" s="581" t="s">
        <v>1276</v>
      </c>
      <c r="C28" s="766">
        <v>239</v>
      </c>
      <c r="D28" s="766">
        <v>33</v>
      </c>
      <c r="E28" s="766">
        <v>254</v>
      </c>
      <c r="F28" s="766">
        <v>0</v>
      </c>
      <c r="G28" s="766">
        <v>0</v>
      </c>
      <c r="H28" s="766">
        <v>0</v>
      </c>
      <c r="I28" s="1720">
        <v>211</v>
      </c>
      <c r="J28" s="1720">
        <v>211</v>
      </c>
      <c r="K28" s="1720">
        <v>223.09452000000002</v>
      </c>
      <c r="L28" s="1720">
        <v>111.54726000000001</v>
      </c>
      <c r="M28" s="1720">
        <v>111.54726000000001</v>
      </c>
      <c r="N28" s="1720">
        <v>233.89452571319998</v>
      </c>
      <c r="O28" s="1720">
        <v>116.94726285659999</v>
      </c>
      <c r="P28" s="1720">
        <v>116.94726285659999</v>
      </c>
      <c r="Q28" s="1016"/>
    </row>
    <row r="29" spans="1:18" s="4" customFormat="1">
      <c r="A29" s="17"/>
      <c r="B29" s="581" t="s">
        <v>1559</v>
      </c>
      <c r="C29" s="766">
        <v>21427</v>
      </c>
      <c r="D29" s="766">
        <f>D30+D31</f>
        <v>15262.980599999999</v>
      </c>
      <c r="E29" s="766">
        <v>18523</v>
      </c>
      <c r="F29" s="766">
        <v>15563.996499999997</v>
      </c>
      <c r="G29" s="766">
        <v>15103</v>
      </c>
      <c r="H29" s="766">
        <v>15834.875</v>
      </c>
      <c r="I29" s="1720">
        <v>30889</v>
      </c>
      <c r="J29" s="1720">
        <v>30889</v>
      </c>
      <c r="K29" s="1720">
        <v>32659.557479999999</v>
      </c>
      <c r="L29" s="1720">
        <v>16329.77874</v>
      </c>
      <c r="M29" s="1720">
        <v>16329.77874</v>
      </c>
      <c r="N29" s="1720">
        <v>34240.606657606797</v>
      </c>
      <c r="O29" s="1720">
        <v>17120.303328803398</v>
      </c>
      <c r="P29" s="1720">
        <v>17120.303328803398</v>
      </c>
      <c r="Q29" s="1016"/>
    </row>
    <row r="30" spans="1:18" s="4" customFormat="1" hidden="1" outlineLevel="1">
      <c r="A30" s="737" t="s">
        <v>89</v>
      </c>
      <c r="B30" s="738" t="s">
        <v>1244</v>
      </c>
      <c r="C30" s="746"/>
      <c r="D30" s="746">
        <v>3919</v>
      </c>
      <c r="E30" s="746"/>
      <c r="F30" s="746">
        <v>3037</v>
      </c>
      <c r="G30" s="746"/>
      <c r="H30" s="746">
        <v>3179</v>
      </c>
      <c r="I30" s="746">
        <v>5285</v>
      </c>
      <c r="J30" s="746">
        <v>5285</v>
      </c>
      <c r="K30" s="746"/>
      <c r="L30" s="746">
        <v>0</v>
      </c>
      <c r="M30" s="746">
        <v>0</v>
      </c>
      <c r="N30" s="1607"/>
      <c r="O30" s="746">
        <v>0</v>
      </c>
      <c r="P30" s="746">
        <v>0</v>
      </c>
      <c r="Q30" s="762"/>
      <c r="R30" s="1"/>
    </row>
    <row r="31" spans="1:18" s="341" customFormat="1" hidden="1" outlineLevel="1">
      <c r="A31" s="760" t="s">
        <v>91</v>
      </c>
      <c r="B31" s="761" t="s">
        <v>1245</v>
      </c>
      <c r="C31" s="746">
        <f t="shared" ref="C31:D31" si="2">SUM(C32:C43)+C45</f>
        <v>0</v>
      </c>
      <c r="D31" s="746">
        <f t="shared" si="2"/>
        <v>11343.980599999999</v>
      </c>
      <c r="E31" s="746">
        <v>0</v>
      </c>
      <c r="F31" s="746">
        <v>12526.996499999997</v>
      </c>
      <c r="G31" s="746">
        <v>0</v>
      </c>
      <c r="H31" s="746">
        <v>12655.875</v>
      </c>
      <c r="I31" s="746">
        <v>25604</v>
      </c>
      <c r="J31" s="746">
        <v>25604</v>
      </c>
      <c r="K31" s="746">
        <v>0</v>
      </c>
      <c r="L31" s="746">
        <v>0</v>
      </c>
      <c r="M31" s="746">
        <v>0</v>
      </c>
      <c r="N31" s="746">
        <v>0</v>
      </c>
      <c r="O31" s="746">
        <v>0</v>
      </c>
      <c r="P31" s="746">
        <v>0</v>
      </c>
      <c r="Q31" s="1017"/>
      <c r="R31" s="763"/>
    </row>
    <row r="32" spans="1:18" s="4" customFormat="1" ht="26.25" hidden="1" outlineLevel="1">
      <c r="A32" s="739" t="s">
        <v>1044</v>
      </c>
      <c r="B32" s="740" t="s">
        <v>1247</v>
      </c>
      <c r="C32" s="740"/>
      <c r="D32" s="750">
        <f>2361*0.4857</f>
        <v>1146.7377000000001</v>
      </c>
      <c r="E32" s="750"/>
      <c r="F32" s="750">
        <v>966.56474999999989</v>
      </c>
      <c r="G32" s="750"/>
      <c r="H32" s="750">
        <v>892.875</v>
      </c>
      <c r="I32" s="750">
        <v>1582</v>
      </c>
      <c r="J32" s="750">
        <v>1582</v>
      </c>
      <c r="K32" s="750"/>
      <c r="L32" s="750">
        <v>0</v>
      </c>
      <c r="M32" s="750">
        <v>0</v>
      </c>
      <c r="N32" s="1608"/>
      <c r="O32" s="750">
        <v>0</v>
      </c>
      <c r="P32" s="750">
        <v>0</v>
      </c>
      <c r="Q32" s="1018"/>
      <c r="R32" s="1"/>
    </row>
    <row r="33" spans="1:18" s="4" customFormat="1" ht="26.25" hidden="1" outlineLevel="1">
      <c r="A33" s="739" t="s">
        <v>1043</v>
      </c>
      <c r="B33" s="740" t="s">
        <v>1249</v>
      </c>
      <c r="C33" s="740"/>
      <c r="D33" s="750"/>
      <c r="E33" s="750"/>
      <c r="F33" s="1415">
        <v>0.44074999999999998</v>
      </c>
      <c r="G33" s="750"/>
      <c r="H33" s="750"/>
      <c r="I33" s="750"/>
      <c r="J33" s="750"/>
      <c r="K33" s="750"/>
      <c r="L33" s="750">
        <v>0</v>
      </c>
      <c r="M33" s="750">
        <v>0</v>
      </c>
      <c r="N33" s="1608"/>
      <c r="O33" s="750">
        <v>0</v>
      </c>
      <c r="P33" s="750">
        <v>0</v>
      </c>
      <c r="Q33" s="1018"/>
      <c r="R33" s="1"/>
    </row>
    <row r="34" spans="1:18" s="4" customFormat="1" hidden="1" outlineLevel="1">
      <c r="A34" s="741" t="s">
        <v>1540</v>
      </c>
      <c r="B34" s="740" t="s">
        <v>1250</v>
      </c>
      <c r="C34" s="740"/>
      <c r="D34" s="750">
        <f>250*0.4857</f>
        <v>121.42500000000001</v>
      </c>
      <c r="E34" s="750"/>
      <c r="F34" s="750">
        <v>118.121</v>
      </c>
      <c r="G34" s="750"/>
      <c r="H34" s="750">
        <v>117.75</v>
      </c>
      <c r="I34" s="750"/>
      <c r="J34" s="750">
        <v>0</v>
      </c>
      <c r="K34" s="750"/>
      <c r="L34" s="750">
        <v>0</v>
      </c>
      <c r="M34" s="750">
        <v>0</v>
      </c>
      <c r="N34" s="1608"/>
      <c r="O34" s="750">
        <v>0</v>
      </c>
      <c r="P34" s="750">
        <v>0</v>
      </c>
      <c r="Q34" s="1018"/>
      <c r="R34" s="1"/>
    </row>
    <row r="35" spans="1:18" s="4" customFormat="1" ht="26.25" hidden="1" outlineLevel="1">
      <c r="A35" s="739" t="s">
        <v>1541</v>
      </c>
      <c r="B35" s="740" t="s">
        <v>1251</v>
      </c>
      <c r="C35" s="740"/>
      <c r="D35" s="750">
        <f>2156*0.4857</f>
        <v>1047.1692</v>
      </c>
      <c r="E35" s="750"/>
      <c r="F35" s="750">
        <v>846.68074999999999</v>
      </c>
      <c r="G35" s="750"/>
      <c r="H35" s="750">
        <v>571.875</v>
      </c>
      <c r="I35" s="750">
        <v>1584</v>
      </c>
      <c r="J35" s="750">
        <v>1584</v>
      </c>
      <c r="K35" s="750"/>
      <c r="L35" s="750">
        <v>0</v>
      </c>
      <c r="M35" s="750">
        <v>0</v>
      </c>
      <c r="N35" s="1608"/>
      <c r="O35" s="750">
        <v>0</v>
      </c>
      <c r="P35" s="750">
        <v>0</v>
      </c>
      <c r="Q35" s="1018"/>
      <c r="R35" s="1"/>
    </row>
    <row r="36" spans="1:18" s="4" customFormat="1" hidden="1" outlineLevel="1">
      <c r="A36" s="739" t="s">
        <v>1542</v>
      </c>
      <c r="B36" s="740" t="s">
        <v>1252</v>
      </c>
      <c r="C36" s="740"/>
      <c r="D36" s="750">
        <f>8037*0.4857</f>
        <v>3903.5709000000002</v>
      </c>
      <c r="E36" s="750"/>
      <c r="F36" s="750">
        <v>4489.4794999999995</v>
      </c>
      <c r="G36" s="750"/>
      <c r="H36" s="750">
        <v>4309.125</v>
      </c>
      <c r="I36" s="750">
        <v>6429</v>
      </c>
      <c r="J36" s="750">
        <v>6429</v>
      </c>
      <c r="K36" s="750"/>
      <c r="L36" s="750">
        <v>0</v>
      </c>
      <c r="M36" s="750">
        <v>0</v>
      </c>
      <c r="N36" s="1608"/>
      <c r="O36" s="750">
        <v>0</v>
      </c>
      <c r="P36" s="750">
        <v>0</v>
      </c>
      <c r="Q36" s="1018"/>
      <c r="R36" s="1"/>
    </row>
    <row r="37" spans="1:18" s="4" customFormat="1" hidden="1" outlineLevel="1">
      <c r="A37" s="739" t="s">
        <v>1543</v>
      </c>
      <c r="B37" s="740" t="s">
        <v>1253</v>
      </c>
      <c r="C37" s="740"/>
      <c r="D37" s="750">
        <f>2640*0.4857</f>
        <v>1282.248</v>
      </c>
      <c r="E37" s="750"/>
      <c r="F37" s="750">
        <v>54.652999999999999</v>
      </c>
      <c r="G37" s="750"/>
      <c r="H37" s="750">
        <v>50.625</v>
      </c>
      <c r="I37" s="750"/>
      <c r="J37" s="750"/>
      <c r="K37" s="750"/>
      <c r="L37" s="750">
        <v>0</v>
      </c>
      <c r="M37" s="750">
        <v>0</v>
      </c>
      <c r="N37" s="1608"/>
      <c r="O37" s="750">
        <v>0</v>
      </c>
      <c r="P37" s="750">
        <v>0</v>
      </c>
      <c r="Q37" s="1018"/>
      <c r="R37" s="1"/>
    </row>
    <row r="38" spans="1:18" s="4" customFormat="1" hidden="1" outlineLevel="1">
      <c r="A38" s="739" t="s">
        <v>1544</v>
      </c>
      <c r="B38" s="742" t="s">
        <v>1254</v>
      </c>
      <c r="C38" s="742"/>
      <c r="D38" s="750">
        <f>495*0.4857</f>
        <v>240.42150000000001</v>
      </c>
      <c r="E38" s="750"/>
      <c r="F38" s="750">
        <v>180.70749999999998</v>
      </c>
      <c r="G38" s="750"/>
      <c r="H38" s="750">
        <v>12</v>
      </c>
      <c r="I38" s="750"/>
      <c r="J38" s="750"/>
      <c r="K38" s="750"/>
      <c r="L38" s="750">
        <v>0</v>
      </c>
      <c r="M38" s="750">
        <v>0</v>
      </c>
      <c r="N38" s="1608"/>
      <c r="O38" s="750">
        <v>0</v>
      </c>
      <c r="P38" s="750">
        <v>0</v>
      </c>
      <c r="Q38" s="1018"/>
      <c r="R38" s="1"/>
    </row>
    <row r="39" spans="1:18" s="4" customFormat="1" hidden="1" outlineLevel="1">
      <c r="A39" s="739" t="s">
        <v>1545</v>
      </c>
      <c r="B39" s="740" t="s">
        <v>1255</v>
      </c>
      <c r="C39" s="740"/>
      <c r="D39" s="750">
        <f>302*0.4857</f>
        <v>146.6814</v>
      </c>
      <c r="E39" s="750"/>
      <c r="F39" s="750">
        <v>128.69899999999998</v>
      </c>
      <c r="G39" s="750"/>
      <c r="H39" s="750">
        <v>87.375</v>
      </c>
      <c r="I39" s="750"/>
      <c r="J39" s="750"/>
      <c r="K39" s="750"/>
      <c r="L39" s="750">
        <v>0</v>
      </c>
      <c r="M39" s="750">
        <v>0</v>
      </c>
      <c r="N39" s="1608"/>
      <c r="O39" s="750">
        <v>0</v>
      </c>
      <c r="P39" s="750">
        <v>0</v>
      </c>
      <c r="Q39" s="1018"/>
      <c r="R39" s="1"/>
    </row>
    <row r="40" spans="1:18" s="4" customFormat="1" ht="25.5" hidden="1" outlineLevel="1">
      <c r="A40" s="739" t="s">
        <v>1546</v>
      </c>
      <c r="B40" s="742" t="s">
        <v>1256</v>
      </c>
      <c r="C40" s="742"/>
      <c r="D40" s="750">
        <f>529*0.4857</f>
        <v>256.93529999999998</v>
      </c>
      <c r="E40" s="750"/>
      <c r="F40" s="750">
        <v>133.10649999999998</v>
      </c>
      <c r="G40" s="750"/>
      <c r="H40" s="750">
        <v>132.75</v>
      </c>
      <c r="I40" s="750"/>
      <c r="J40" s="750"/>
      <c r="K40" s="750"/>
      <c r="L40" s="750">
        <v>0</v>
      </c>
      <c r="M40" s="750">
        <v>0</v>
      </c>
      <c r="N40" s="1608"/>
      <c r="O40" s="750">
        <v>0</v>
      </c>
      <c r="P40" s="750">
        <v>0</v>
      </c>
      <c r="Q40" s="1018"/>
      <c r="R40" s="1"/>
    </row>
    <row r="41" spans="1:18" s="4" customFormat="1" hidden="1" outlineLevel="1">
      <c r="A41" s="739" t="s">
        <v>1547</v>
      </c>
      <c r="B41" s="742" t="s">
        <v>1257</v>
      </c>
      <c r="C41" s="742"/>
      <c r="D41" s="750">
        <f>3908*0.4857</f>
        <v>1898.1156000000001</v>
      </c>
      <c r="E41" s="750"/>
      <c r="F41" s="750">
        <v>4500.4982499999996</v>
      </c>
      <c r="G41" s="750"/>
      <c r="H41" s="750">
        <v>3629.25</v>
      </c>
      <c r="I41" s="750"/>
      <c r="J41" s="750"/>
      <c r="K41" s="750"/>
      <c r="L41" s="750">
        <v>0</v>
      </c>
      <c r="M41" s="750">
        <v>0</v>
      </c>
      <c r="N41" s="1608"/>
      <c r="O41" s="750">
        <v>0</v>
      </c>
      <c r="P41" s="750">
        <v>0</v>
      </c>
      <c r="Q41" s="1018"/>
      <c r="R41" s="1"/>
    </row>
    <row r="42" spans="1:18" s="4" customFormat="1" hidden="1" outlineLevel="1">
      <c r="A42" s="741" t="s">
        <v>1548</v>
      </c>
      <c r="B42" s="742" t="s">
        <v>1556</v>
      </c>
      <c r="C42" s="742"/>
      <c r="D42" s="750">
        <f>363*0.4857</f>
        <v>176.3091</v>
      </c>
      <c r="E42" s="750"/>
      <c r="F42" s="750">
        <v>578.26400000000001</v>
      </c>
      <c r="G42" s="750"/>
      <c r="H42" s="750">
        <v>289.5</v>
      </c>
      <c r="I42" s="750">
        <v>982</v>
      </c>
      <c r="J42" s="750">
        <v>982</v>
      </c>
      <c r="K42" s="750"/>
      <c r="L42" s="750">
        <v>0</v>
      </c>
      <c r="M42" s="750">
        <v>0</v>
      </c>
      <c r="N42" s="1608"/>
      <c r="O42" s="750">
        <v>0</v>
      </c>
      <c r="P42" s="750">
        <v>0</v>
      </c>
      <c r="Q42" s="1018"/>
      <c r="R42" s="1"/>
    </row>
    <row r="43" spans="1:18" s="4" customFormat="1" hidden="1" outlineLevel="1">
      <c r="A43" s="741" t="s">
        <v>1549</v>
      </c>
      <c r="B43" s="742" t="s">
        <v>1258</v>
      </c>
      <c r="C43" s="742"/>
      <c r="D43" s="750">
        <f>349*0.4857</f>
        <v>169.5093</v>
      </c>
      <c r="E43" s="750"/>
      <c r="F43" s="750">
        <v>4.4074999999999998</v>
      </c>
      <c r="G43" s="750"/>
      <c r="H43" s="750">
        <v>0</v>
      </c>
      <c r="I43" s="750">
        <v>849</v>
      </c>
      <c r="J43" s="750">
        <v>849</v>
      </c>
      <c r="K43" s="750"/>
      <c r="L43" s="750">
        <v>0</v>
      </c>
      <c r="M43" s="750">
        <v>0</v>
      </c>
      <c r="N43" s="1608"/>
      <c r="O43" s="750">
        <v>0</v>
      </c>
      <c r="P43" s="750">
        <v>0</v>
      </c>
      <c r="Q43" s="1018"/>
      <c r="R43" s="1"/>
    </row>
    <row r="44" spans="1:18" s="4" customFormat="1" hidden="1" outlineLevel="1">
      <c r="A44" s="764" t="s">
        <v>1555</v>
      </c>
      <c r="B44" s="742" t="s">
        <v>1890</v>
      </c>
      <c r="C44" s="742"/>
      <c r="D44" s="750">
        <v>170</v>
      </c>
      <c r="E44" s="750"/>
      <c r="F44" s="750"/>
      <c r="G44" s="750"/>
      <c r="H44" s="750"/>
      <c r="I44" s="750"/>
      <c r="J44" s="750"/>
      <c r="K44" s="750"/>
      <c r="L44" s="750">
        <v>0</v>
      </c>
      <c r="M44" s="750">
        <v>0</v>
      </c>
      <c r="N44" s="1608"/>
      <c r="O44" s="998">
        <v>0</v>
      </c>
      <c r="P44" s="998">
        <v>0</v>
      </c>
      <c r="Q44" s="1019"/>
      <c r="R44" s="1"/>
    </row>
    <row r="45" spans="1:18" s="341" customFormat="1" hidden="1" outlineLevel="1">
      <c r="A45" s="764" t="s">
        <v>1889</v>
      </c>
      <c r="B45" s="765" t="s">
        <v>1259</v>
      </c>
      <c r="C45" s="746">
        <f>SUM(C46:C55)</f>
        <v>0</v>
      </c>
      <c r="D45" s="746">
        <f t="shared" ref="D45:M45" si="3">SUM(D46:D55)</f>
        <v>954.85759999999993</v>
      </c>
      <c r="E45" s="746">
        <v>0</v>
      </c>
      <c r="F45" s="746">
        <v>525.37399999999991</v>
      </c>
      <c r="G45" s="746">
        <v>0</v>
      </c>
      <c r="H45" s="746">
        <v>2562.75</v>
      </c>
      <c r="I45" s="746">
        <v>0</v>
      </c>
      <c r="J45" s="746">
        <v>0</v>
      </c>
      <c r="K45" s="746">
        <v>0</v>
      </c>
      <c r="L45" s="746">
        <v>0</v>
      </c>
      <c r="M45" s="746">
        <v>0</v>
      </c>
      <c r="N45" s="1607">
        <v>0</v>
      </c>
      <c r="O45" s="746">
        <v>0</v>
      </c>
      <c r="P45" s="746">
        <v>0</v>
      </c>
      <c r="Q45" s="1017"/>
      <c r="R45" s="763"/>
    </row>
    <row r="46" spans="1:18" s="4" customFormat="1" hidden="1" outlineLevel="1">
      <c r="A46" s="744"/>
      <c r="B46" s="745" t="s">
        <v>1260</v>
      </c>
      <c r="C46" s="745"/>
      <c r="D46" s="998">
        <f>237*0.4857</f>
        <v>115.1109</v>
      </c>
      <c r="E46" s="998"/>
      <c r="F46" s="750">
        <v>109.306</v>
      </c>
      <c r="G46" s="998"/>
      <c r="H46" s="750">
        <v>63.75</v>
      </c>
      <c r="I46" s="750"/>
      <c r="J46" s="750"/>
      <c r="K46" s="750"/>
      <c r="L46" s="750">
        <v>0</v>
      </c>
      <c r="M46" s="750">
        <v>0</v>
      </c>
      <c r="N46" s="1608"/>
      <c r="O46" s="998">
        <v>0</v>
      </c>
      <c r="P46" s="998">
        <v>0</v>
      </c>
      <c r="Q46" s="1019"/>
      <c r="R46" s="1"/>
    </row>
    <row r="47" spans="1:18" s="4" customFormat="1" hidden="1" outlineLevel="1">
      <c r="A47" s="744"/>
      <c r="B47" s="743" t="s">
        <v>1261</v>
      </c>
      <c r="C47" s="743"/>
      <c r="D47" s="998"/>
      <c r="E47" s="998"/>
      <c r="F47" s="750"/>
      <c r="G47" s="998"/>
      <c r="H47" s="750"/>
      <c r="I47" s="750"/>
      <c r="J47" s="750"/>
      <c r="K47" s="750"/>
      <c r="L47" s="750">
        <v>0</v>
      </c>
      <c r="M47" s="750">
        <v>0</v>
      </c>
      <c r="N47" s="1608"/>
      <c r="O47" s="998">
        <v>0</v>
      </c>
      <c r="P47" s="998">
        <v>0</v>
      </c>
      <c r="Q47" s="1019"/>
      <c r="R47" s="1"/>
    </row>
    <row r="48" spans="1:18" s="4" customFormat="1" hidden="1" outlineLevel="1">
      <c r="A48" s="744"/>
      <c r="B48" s="743" t="s">
        <v>1262</v>
      </c>
      <c r="C48" s="743"/>
      <c r="D48" s="998">
        <f>427*0.4857</f>
        <v>207.3939</v>
      </c>
      <c r="E48" s="998"/>
      <c r="F48" s="750">
        <v>288.25049999999999</v>
      </c>
      <c r="G48" s="998"/>
      <c r="H48" s="750">
        <v>254.625</v>
      </c>
      <c r="I48" s="750"/>
      <c r="J48" s="750"/>
      <c r="K48" s="750"/>
      <c r="L48" s="750">
        <v>0</v>
      </c>
      <c r="M48" s="750">
        <v>0</v>
      </c>
      <c r="N48" s="1608"/>
      <c r="O48" s="998">
        <v>0</v>
      </c>
      <c r="P48" s="998">
        <v>0</v>
      </c>
      <c r="Q48" s="1019"/>
      <c r="R48" s="1"/>
    </row>
    <row r="49" spans="1:18" s="4" customFormat="1" hidden="1" outlineLevel="1">
      <c r="A49" s="744"/>
      <c r="B49" s="743" t="s">
        <v>1263</v>
      </c>
      <c r="C49" s="743"/>
      <c r="D49" s="998">
        <f>1203*0.4857</f>
        <v>584.2971</v>
      </c>
      <c r="E49" s="998"/>
      <c r="F49" s="750">
        <v>96.524249999999995</v>
      </c>
      <c r="G49" s="998"/>
      <c r="H49" s="750">
        <v>25.875</v>
      </c>
      <c r="I49" s="750"/>
      <c r="J49" s="750"/>
      <c r="K49" s="750"/>
      <c r="L49" s="750">
        <v>0</v>
      </c>
      <c r="M49" s="750">
        <v>0</v>
      </c>
      <c r="N49" s="1608"/>
      <c r="O49" s="998">
        <v>0</v>
      </c>
      <c r="P49" s="998">
        <v>0</v>
      </c>
      <c r="Q49" s="1019"/>
      <c r="R49" s="1"/>
    </row>
    <row r="50" spans="1:18" s="4" customFormat="1" ht="25.5" hidden="1" outlineLevel="1">
      <c r="A50" s="744"/>
      <c r="B50" s="743" t="s">
        <v>1891</v>
      </c>
      <c r="C50" s="743"/>
      <c r="D50" s="998">
        <f>101*0.4857-1</f>
        <v>48.055700000000002</v>
      </c>
      <c r="E50" s="998"/>
      <c r="F50" s="750">
        <v>31.293249999999997</v>
      </c>
      <c r="G50" s="998"/>
      <c r="H50" s="750">
        <v>971.25</v>
      </c>
      <c r="I50" s="750"/>
      <c r="J50" s="750"/>
      <c r="K50" s="750"/>
      <c r="L50" s="750">
        <v>0</v>
      </c>
      <c r="M50" s="750">
        <v>0</v>
      </c>
      <c r="N50" s="1608"/>
      <c r="O50" s="998">
        <v>0</v>
      </c>
      <c r="P50" s="998">
        <v>0</v>
      </c>
      <c r="Q50" s="1019"/>
      <c r="R50" s="1"/>
    </row>
    <row r="51" spans="1:18" s="4" customFormat="1" ht="25.5" hidden="1" outlineLevel="1">
      <c r="A51" s="744"/>
      <c r="B51" s="743" t="s">
        <v>1264</v>
      </c>
      <c r="C51" s="743"/>
      <c r="D51" s="308"/>
      <c r="E51" s="308"/>
      <c r="F51" s="308"/>
      <c r="G51" s="308"/>
      <c r="H51" s="308"/>
      <c r="I51" s="308"/>
      <c r="J51" s="308"/>
      <c r="K51" s="308"/>
      <c r="L51" s="308">
        <v>0</v>
      </c>
      <c r="M51" s="308">
        <v>0</v>
      </c>
      <c r="N51" s="982"/>
      <c r="O51" s="998">
        <v>0</v>
      </c>
      <c r="P51" s="998">
        <v>0</v>
      </c>
      <c r="Q51" s="762"/>
      <c r="R51" s="1"/>
    </row>
    <row r="52" spans="1:18" s="4" customFormat="1" hidden="1" outlineLevel="1">
      <c r="A52" s="744"/>
      <c r="B52" s="1391" t="s">
        <v>1883</v>
      </c>
      <c r="C52" s="743"/>
      <c r="D52" s="308"/>
      <c r="E52" s="308"/>
      <c r="F52" s="308"/>
      <c r="G52" s="308"/>
      <c r="H52" s="750">
        <v>243</v>
      </c>
      <c r="I52" s="308"/>
      <c r="J52" s="308"/>
      <c r="K52" s="308"/>
      <c r="L52" s="308">
        <v>0</v>
      </c>
      <c r="M52" s="308">
        <v>0</v>
      </c>
      <c r="N52" s="750"/>
      <c r="O52" s="998">
        <v>0</v>
      </c>
      <c r="P52" s="998">
        <v>0</v>
      </c>
      <c r="Q52" s="762"/>
      <c r="R52" s="1"/>
    </row>
    <row r="53" spans="1:18" s="4" customFormat="1" hidden="1" outlineLevel="1">
      <c r="A53" s="744"/>
      <c r="B53" s="743" t="s">
        <v>1884</v>
      </c>
      <c r="C53" s="743"/>
      <c r="D53" s="308"/>
      <c r="E53" s="308"/>
      <c r="F53" s="308"/>
      <c r="G53" s="308"/>
      <c r="H53" s="750">
        <v>1004.25</v>
      </c>
      <c r="I53" s="308"/>
      <c r="J53" s="308"/>
      <c r="K53" s="308"/>
      <c r="L53" s="308">
        <v>0</v>
      </c>
      <c r="M53" s="308">
        <v>0</v>
      </c>
      <c r="N53" s="982"/>
      <c r="O53" s="998">
        <v>0</v>
      </c>
      <c r="P53" s="998">
        <v>0</v>
      </c>
      <c r="Q53" s="762"/>
      <c r="R53" s="1"/>
    </row>
    <row r="54" spans="1:18" s="4" customFormat="1" ht="25.5" hidden="1" outlineLevel="1">
      <c r="A54" s="17"/>
      <c r="B54" s="743" t="s">
        <v>1885</v>
      </c>
      <c r="C54" s="241"/>
      <c r="D54" s="241"/>
      <c r="E54" s="241"/>
      <c r="F54" s="308"/>
      <c r="G54" s="241"/>
      <c r="H54" s="750"/>
      <c r="I54" s="308"/>
      <c r="J54" s="308"/>
      <c r="K54" s="308"/>
      <c r="L54" s="308">
        <v>0</v>
      </c>
      <c r="M54" s="308">
        <v>0</v>
      </c>
      <c r="N54" s="982"/>
      <c r="O54" s="998">
        <v>0</v>
      </c>
      <c r="P54" s="998">
        <v>0</v>
      </c>
      <c r="Q54" s="749"/>
    </row>
    <row r="55" spans="1:18" s="341" customFormat="1" ht="25.5" hidden="1" outlineLevel="1">
      <c r="A55" s="339"/>
      <c r="B55" s="743" t="s">
        <v>1886</v>
      </c>
      <c r="C55" s="308"/>
      <c r="D55" s="308"/>
      <c r="E55" s="308"/>
      <c r="F55" s="308"/>
      <c r="G55" s="308"/>
      <c r="H55" s="750"/>
      <c r="I55" s="308"/>
      <c r="J55" s="308"/>
      <c r="K55" s="308"/>
      <c r="L55" s="308">
        <v>0</v>
      </c>
      <c r="M55" s="308">
        <v>0</v>
      </c>
      <c r="N55" s="982"/>
      <c r="O55" s="998">
        <v>0</v>
      </c>
      <c r="P55" s="998">
        <v>0</v>
      </c>
      <c r="Q55" s="762"/>
    </row>
    <row r="56" spans="1:18" s="1046" customFormat="1" ht="90" collapsed="1">
      <c r="A56" s="1044"/>
      <c r="B56" s="1045" t="s">
        <v>374</v>
      </c>
      <c r="C56" s="258">
        <v>467</v>
      </c>
      <c r="D56" s="258">
        <v>4093</v>
      </c>
      <c r="E56" s="258">
        <v>549</v>
      </c>
      <c r="F56" s="258">
        <v>3366</v>
      </c>
      <c r="G56" s="258">
        <v>151</v>
      </c>
      <c r="H56" s="258">
        <v>1540</v>
      </c>
      <c r="I56" s="258">
        <v>201</v>
      </c>
      <c r="J56" s="258">
        <v>540</v>
      </c>
      <c r="K56" s="258">
        <v>593.9</v>
      </c>
      <c r="L56" s="258">
        <v>296.95</v>
      </c>
      <c r="M56" s="258">
        <v>296.95</v>
      </c>
      <c r="N56" s="982">
        <v>593.9</v>
      </c>
      <c r="O56" s="258">
        <v>296.95</v>
      </c>
      <c r="P56" s="258">
        <v>296.95</v>
      </c>
      <c r="Q56" s="754"/>
    </row>
    <row r="57" spans="1:18" s="1046" customFormat="1" ht="30">
      <c r="A57" s="1044"/>
      <c r="B57" s="1045" t="s">
        <v>375</v>
      </c>
      <c r="C57" s="258">
        <v>81873</v>
      </c>
      <c r="D57" s="258">
        <v>63859</v>
      </c>
      <c r="E57" s="258">
        <v>28479</v>
      </c>
      <c r="F57" s="258">
        <v>66259</v>
      </c>
      <c r="G57" s="258">
        <v>78922</v>
      </c>
      <c r="H57" s="258">
        <v>61558</v>
      </c>
      <c r="I57" s="258">
        <v>30973</v>
      </c>
      <c r="J57" s="258">
        <v>69572</v>
      </c>
      <c r="K57" s="258">
        <v>65027</v>
      </c>
      <c r="L57" s="258">
        <v>32513.5</v>
      </c>
      <c r="M57" s="258">
        <v>32513.5</v>
      </c>
      <c r="N57" s="982">
        <v>68864</v>
      </c>
      <c r="O57" s="258">
        <v>34432</v>
      </c>
      <c r="P57" s="258">
        <v>34432</v>
      </c>
      <c r="Q57" s="754"/>
    </row>
    <row r="58" spans="1:18" s="1046" customFormat="1" ht="15" customHeight="1">
      <c r="A58" s="1044"/>
      <c r="B58" s="1045" t="s">
        <v>376</v>
      </c>
      <c r="C58" s="258">
        <v>927</v>
      </c>
      <c r="D58" s="258">
        <v>684</v>
      </c>
      <c r="E58" s="258">
        <v>1001</v>
      </c>
      <c r="F58" s="258">
        <v>858</v>
      </c>
      <c r="G58" s="258">
        <v>661</v>
      </c>
      <c r="H58" s="258">
        <v>651</v>
      </c>
      <c r="I58" s="1719">
        <v>1384</v>
      </c>
      <c r="J58" s="1719">
        <v>1384</v>
      </c>
      <c r="K58" s="1719">
        <v>1463.33088</v>
      </c>
      <c r="L58" s="1719">
        <v>731.66543999999999</v>
      </c>
      <c r="M58" s="1719">
        <v>731.66543999999999</v>
      </c>
      <c r="N58" s="982">
        <v>1534.1707279007996</v>
      </c>
      <c r="O58" s="258">
        <v>767.08536395039982</v>
      </c>
      <c r="P58" s="258">
        <v>767.08536395039982</v>
      </c>
      <c r="Q58" s="754"/>
    </row>
    <row r="59" spans="1:18" s="1046" customFormat="1" ht="15" customHeight="1">
      <c r="A59" s="1044"/>
      <c r="B59" s="1045" t="s">
        <v>377</v>
      </c>
      <c r="C59" s="258">
        <v>520</v>
      </c>
      <c r="D59" s="258">
        <v>261</v>
      </c>
      <c r="E59" s="258">
        <v>271</v>
      </c>
      <c r="F59" s="258">
        <v>758</v>
      </c>
      <c r="G59" s="258">
        <v>430</v>
      </c>
      <c r="H59" s="258">
        <v>297</v>
      </c>
      <c r="I59" s="1719">
        <v>771</v>
      </c>
      <c r="J59" s="1719">
        <v>771</v>
      </c>
      <c r="K59" s="1719">
        <v>815.19371999999998</v>
      </c>
      <c r="L59" s="1719">
        <v>407.59685999999999</v>
      </c>
      <c r="M59" s="1719">
        <v>407.59685999999999</v>
      </c>
      <c r="N59" s="982">
        <v>854.65724798519989</v>
      </c>
      <c r="O59" s="258">
        <v>427.32862399259994</v>
      </c>
      <c r="P59" s="258">
        <v>427.32862399259994</v>
      </c>
      <c r="Q59" s="754"/>
    </row>
    <row r="60" spans="1:18" s="1046" customFormat="1" ht="45" customHeight="1">
      <c r="A60" s="1044"/>
      <c r="B60" s="1045" t="s">
        <v>378</v>
      </c>
      <c r="C60" s="258">
        <v>603</v>
      </c>
      <c r="D60" s="258">
        <v>2150</v>
      </c>
      <c r="E60" s="258">
        <v>760</v>
      </c>
      <c r="F60" s="258">
        <v>2108</v>
      </c>
      <c r="G60" s="258">
        <v>730</v>
      </c>
      <c r="H60" s="258">
        <v>1576</v>
      </c>
      <c r="I60" s="258">
        <v>661</v>
      </c>
      <c r="J60" s="258">
        <v>1641</v>
      </c>
      <c r="K60" s="258">
        <v>1863.5</v>
      </c>
      <c r="L60" s="258">
        <v>931.75</v>
      </c>
      <c r="M60" s="258">
        <v>931.75</v>
      </c>
      <c r="N60" s="982">
        <v>1974.7</v>
      </c>
      <c r="O60" s="258">
        <v>987.35</v>
      </c>
      <c r="P60" s="258">
        <v>987.35</v>
      </c>
      <c r="Q60" s="754"/>
    </row>
    <row r="61" spans="1:18" s="1046" customFormat="1" ht="30" customHeight="1">
      <c r="A61" s="1044"/>
      <c r="B61" s="1045" t="s">
        <v>379</v>
      </c>
      <c r="C61" s="258">
        <f>SUM(C62:C66)</f>
        <v>6707</v>
      </c>
      <c r="D61" s="258">
        <f t="shared" ref="D61:M61" si="4">SUM(D62:D66)</f>
        <v>991</v>
      </c>
      <c r="E61" s="258">
        <v>3102</v>
      </c>
      <c r="F61" s="258">
        <v>923</v>
      </c>
      <c r="G61" s="258">
        <v>794</v>
      </c>
      <c r="H61" s="258">
        <v>516</v>
      </c>
      <c r="I61" s="258">
        <v>6277</v>
      </c>
      <c r="J61" s="258">
        <v>628</v>
      </c>
      <c r="K61" s="258">
        <v>866</v>
      </c>
      <c r="L61" s="258">
        <v>424</v>
      </c>
      <c r="M61" s="258">
        <v>442</v>
      </c>
      <c r="N61" s="982">
        <v>925</v>
      </c>
      <c r="O61" s="258">
        <v>457</v>
      </c>
      <c r="P61" s="258">
        <v>468</v>
      </c>
      <c r="Q61" s="754"/>
    </row>
    <row r="62" spans="1:18" s="4" customFormat="1" ht="15" customHeight="1">
      <c r="A62" s="17"/>
      <c r="B62" s="51" t="s">
        <v>380</v>
      </c>
      <c r="C62" s="241">
        <v>3581</v>
      </c>
      <c r="D62" s="241">
        <v>423</v>
      </c>
      <c r="E62" s="241">
        <v>146</v>
      </c>
      <c r="F62" s="241">
        <v>527</v>
      </c>
      <c r="G62" s="241">
        <v>274</v>
      </c>
      <c r="H62" s="241">
        <v>213</v>
      </c>
      <c r="I62" s="241">
        <v>2947</v>
      </c>
      <c r="J62" s="241">
        <v>270</v>
      </c>
      <c r="K62" s="241">
        <v>493</v>
      </c>
      <c r="L62" s="241">
        <v>238</v>
      </c>
      <c r="M62" s="241">
        <v>255</v>
      </c>
      <c r="N62" s="982">
        <v>541</v>
      </c>
      <c r="O62" s="308">
        <v>264</v>
      </c>
      <c r="P62" s="308">
        <v>277</v>
      </c>
      <c r="Q62" s="749"/>
    </row>
    <row r="63" spans="1:18" s="4" customFormat="1" ht="15" customHeight="1">
      <c r="A63" s="17"/>
      <c r="B63" s="51" t="s">
        <v>381</v>
      </c>
      <c r="C63" s="241">
        <v>3101</v>
      </c>
      <c r="D63" s="241">
        <v>549</v>
      </c>
      <c r="E63" s="241">
        <v>182</v>
      </c>
      <c r="F63" s="241">
        <v>370</v>
      </c>
      <c r="G63" s="241">
        <v>478</v>
      </c>
      <c r="H63" s="241">
        <v>265</v>
      </c>
      <c r="I63" s="241">
        <v>834</v>
      </c>
      <c r="J63" s="308">
        <v>299</v>
      </c>
      <c r="K63" s="308">
        <v>306</v>
      </c>
      <c r="L63" s="308">
        <v>153</v>
      </c>
      <c r="M63" s="308">
        <v>153</v>
      </c>
      <c r="N63" s="982">
        <v>312</v>
      </c>
      <c r="O63" s="308">
        <v>156</v>
      </c>
      <c r="P63" s="308">
        <v>156</v>
      </c>
      <c r="Q63" s="749"/>
    </row>
    <row r="64" spans="1:18" s="4" customFormat="1" ht="15" customHeight="1">
      <c r="A64" s="17"/>
      <c r="B64" s="51" t="s">
        <v>382</v>
      </c>
      <c r="C64" s="241">
        <v>25</v>
      </c>
      <c r="D64" s="241">
        <v>11</v>
      </c>
      <c r="E64" s="241">
        <v>12</v>
      </c>
      <c r="F64" s="241">
        <v>19</v>
      </c>
      <c r="G64" s="241">
        <v>30</v>
      </c>
      <c r="H64" s="241">
        <v>30</v>
      </c>
      <c r="I64" s="241">
        <v>49</v>
      </c>
      <c r="J64" s="241">
        <v>50</v>
      </c>
      <c r="K64" s="241">
        <v>56</v>
      </c>
      <c r="L64" s="241">
        <v>27</v>
      </c>
      <c r="M64" s="241">
        <v>29</v>
      </c>
      <c r="N64" s="982">
        <v>60</v>
      </c>
      <c r="O64" s="308">
        <v>30</v>
      </c>
      <c r="P64" s="308">
        <v>30</v>
      </c>
      <c r="Q64" s="749"/>
    </row>
    <row r="65" spans="1:17" s="4" customFormat="1" ht="15" customHeight="1">
      <c r="A65" s="17"/>
      <c r="B65" s="51" t="s">
        <v>383</v>
      </c>
      <c r="C65" s="241"/>
      <c r="D65" s="308">
        <v>8</v>
      </c>
      <c r="E65" s="241">
        <v>2762</v>
      </c>
      <c r="F65" s="241">
        <v>7</v>
      </c>
      <c r="G65" s="241">
        <v>12</v>
      </c>
      <c r="H65" s="308">
        <v>8</v>
      </c>
      <c r="I65" s="241">
        <v>2447</v>
      </c>
      <c r="J65" s="241">
        <v>9</v>
      </c>
      <c r="K65" s="241">
        <v>11</v>
      </c>
      <c r="L65" s="241">
        <v>6</v>
      </c>
      <c r="M65" s="241">
        <v>5</v>
      </c>
      <c r="N65" s="982">
        <v>12</v>
      </c>
      <c r="O65" s="308">
        <v>7</v>
      </c>
      <c r="P65" s="308">
        <v>5</v>
      </c>
      <c r="Q65" s="749"/>
    </row>
    <row r="66" spans="1:17" s="4" customFormat="1" ht="15" customHeight="1">
      <c r="A66" s="17"/>
      <c r="B66" s="51" t="s">
        <v>384</v>
      </c>
      <c r="C66" s="241">
        <v>0</v>
      </c>
      <c r="D66" s="241">
        <v>0</v>
      </c>
      <c r="E66" s="241">
        <v>0</v>
      </c>
      <c r="F66" s="241">
        <v>0</v>
      </c>
      <c r="G66" s="241">
        <v>0</v>
      </c>
      <c r="H66" s="241">
        <v>0</v>
      </c>
      <c r="I66" s="241">
        <v>0</v>
      </c>
      <c r="J66" s="241">
        <v>0</v>
      </c>
      <c r="K66" s="241">
        <v>0</v>
      </c>
      <c r="L66" s="241">
        <v>0</v>
      </c>
      <c r="M66" s="241">
        <v>0</v>
      </c>
      <c r="N66" s="982">
        <v>0</v>
      </c>
      <c r="O66" s="241">
        <v>0</v>
      </c>
      <c r="P66" s="241">
        <v>0</v>
      </c>
      <c r="Q66" s="749"/>
    </row>
    <row r="67" spans="1:17" s="1034" customFormat="1" ht="15" customHeight="1">
      <c r="A67" s="1030" t="s">
        <v>385</v>
      </c>
      <c r="B67" s="1031" t="s">
        <v>386</v>
      </c>
      <c r="C67" s="1032">
        <f>SUM(C68:C71)</f>
        <v>89104</v>
      </c>
      <c r="D67" s="1032">
        <f t="shared" ref="D67:M67" si="5">SUM(D68:D71)</f>
        <v>106094</v>
      </c>
      <c r="E67" s="1032">
        <v>57225</v>
      </c>
      <c r="F67" s="1032">
        <v>84297.4</v>
      </c>
      <c r="G67" s="1032">
        <v>5183</v>
      </c>
      <c r="H67" s="1032">
        <v>57810.479000000007</v>
      </c>
      <c r="I67" s="1032">
        <v>218933</v>
      </c>
      <c r="J67" s="1032">
        <v>77365</v>
      </c>
      <c r="K67" s="1032">
        <v>63316.22</v>
      </c>
      <c r="L67" s="1032">
        <v>37819.600071439228</v>
      </c>
      <c r="M67" s="1032">
        <v>25496.619928560773</v>
      </c>
      <c r="N67" s="1383">
        <v>80192.616980000006</v>
      </c>
      <c r="O67" s="1032">
        <v>47903.660004975718</v>
      </c>
      <c r="P67" s="1032">
        <v>32288.956975024284</v>
      </c>
      <c r="Q67" s="1033"/>
    </row>
    <row r="68" spans="1:17" s="1046" customFormat="1" ht="30" customHeight="1">
      <c r="A68" s="1044"/>
      <c r="B68" s="1045" t="s">
        <v>387</v>
      </c>
      <c r="C68" s="258"/>
      <c r="D68" s="258"/>
      <c r="E68" s="258"/>
      <c r="F68" s="258"/>
      <c r="G68" s="258">
        <v>0</v>
      </c>
      <c r="H68" s="258"/>
      <c r="I68" s="258"/>
      <c r="J68" s="258"/>
      <c r="K68" s="258"/>
      <c r="L68" s="258"/>
      <c r="M68" s="258"/>
      <c r="N68" s="982"/>
      <c r="O68" s="258"/>
      <c r="P68" s="258"/>
      <c r="Q68" s="754"/>
    </row>
    <row r="69" spans="1:17" s="1046" customFormat="1" ht="15" customHeight="1">
      <c r="A69" s="1044"/>
      <c r="B69" s="1045" t="s">
        <v>388</v>
      </c>
      <c r="C69" s="258"/>
      <c r="D69" s="258"/>
      <c r="E69" s="258"/>
      <c r="F69" s="258"/>
      <c r="G69" s="258">
        <v>0</v>
      </c>
      <c r="H69" s="258"/>
      <c r="I69" s="258"/>
      <c r="J69" s="258"/>
      <c r="K69" s="258"/>
      <c r="L69" s="258"/>
      <c r="M69" s="258"/>
      <c r="N69" s="982"/>
      <c r="O69" s="258"/>
      <c r="P69" s="258"/>
      <c r="Q69" s="754"/>
    </row>
    <row r="70" spans="1:17" s="1046" customFormat="1" ht="45" customHeight="1">
      <c r="A70" s="1044"/>
      <c r="B70" s="1045" t="s">
        <v>389</v>
      </c>
      <c r="C70" s="1045"/>
      <c r="D70" s="1045"/>
      <c r="E70" s="1045"/>
      <c r="F70" s="258">
        <v>25412</v>
      </c>
      <c r="G70" s="258">
        <v>4598</v>
      </c>
      <c r="H70" s="258">
        <v>23939.679</v>
      </c>
      <c r="I70" s="1045"/>
      <c r="J70" s="1045"/>
      <c r="K70" s="1045"/>
      <c r="L70" s="1045"/>
      <c r="M70" s="1045"/>
      <c r="N70" s="982"/>
      <c r="O70" s="258"/>
      <c r="P70" s="258"/>
      <c r="Q70" s="754"/>
    </row>
    <row r="71" spans="1:17" s="1046" customFormat="1" ht="15" customHeight="1">
      <c r="A71" s="1044"/>
      <c r="B71" s="1045" t="s">
        <v>390</v>
      </c>
      <c r="C71" s="258">
        <f>SUM(C72:C77)</f>
        <v>89104</v>
      </c>
      <c r="D71" s="258">
        <f t="shared" ref="D71:M71" si="6">SUM(D72:D77)</f>
        <v>106094</v>
      </c>
      <c r="E71" s="258">
        <v>57225</v>
      </c>
      <c r="F71" s="258">
        <v>58885.4</v>
      </c>
      <c r="G71" s="258">
        <v>585</v>
      </c>
      <c r="H71" s="258">
        <v>33870.800000000003</v>
      </c>
      <c r="I71" s="258">
        <v>218933</v>
      </c>
      <c r="J71" s="258">
        <v>77365</v>
      </c>
      <c r="K71" s="258">
        <v>63316.22</v>
      </c>
      <c r="L71" s="258">
        <v>37819.600071439228</v>
      </c>
      <c r="M71" s="258">
        <v>25496.619928560773</v>
      </c>
      <c r="N71" s="982">
        <v>80192.616980000006</v>
      </c>
      <c r="O71" s="258">
        <v>47903.660004975718</v>
      </c>
      <c r="P71" s="258">
        <v>32288.956975024284</v>
      </c>
      <c r="Q71" s="754"/>
    </row>
    <row r="72" spans="1:17" s="4" customFormat="1" ht="15" customHeight="1">
      <c r="A72" s="17"/>
      <c r="B72" s="51" t="s">
        <v>961</v>
      </c>
      <c r="C72" s="308">
        <v>989</v>
      </c>
      <c r="D72" s="308">
        <v>0</v>
      </c>
      <c r="E72" s="308"/>
      <c r="F72" s="308">
        <v>0</v>
      </c>
      <c r="G72" s="308">
        <v>0</v>
      </c>
      <c r="H72" s="308"/>
      <c r="I72" s="308"/>
      <c r="J72" s="308"/>
      <c r="K72" s="308">
        <v>0</v>
      </c>
      <c r="L72" s="308">
        <v>0</v>
      </c>
      <c r="M72" s="308">
        <v>0</v>
      </c>
      <c r="N72" s="982">
        <v>0</v>
      </c>
      <c r="O72" s="241">
        <v>0</v>
      </c>
      <c r="P72" s="241">
        <v>0</v>
      </c>
      <c r="Q72" s="749"/>
    </row>
    <row r="73" spans="1:17" s="4" customFormat="1" ht="15" customHeight="1">
      <c r="A73" s="17"/>
      <c r="B73" s="51" t="s">
        <v>962</v>
      </c>
      <c r="C73" s="308">
        <v>88074</v>
      </c>
      <c r="D73" s="308">
        <v>104335</v>
      </c>
      <c r="E73" s="308">
        <v>57171</v>
      </c>
      <c r="F73" s="308">
        <v>57171</v>
      </c>
      <c r="G73" s="308">
        <v>0</v>
      </c>
      <c r="H73" s="308">
        <v>32769</v>
      </c>
      <c r="I73" s="308">
        <v>218768</v>
      </c>
      <c r="J73" s="308">
        <v>77200</v>
      </c>
      <c r="K73" s="308">
        <v>63140</v>
      </c>
      <c r="L73" s="308">
        <v>37731.490071439228</v>
      </c>
      <c r="M73" s="308">
        <v>25408.509928560772</v>
      </c>
      <c r="N73" s="982">
        <v>80006</v>
      </c>
      <c r="O73" s="308">
        <v>47810.351514975715</v>
      </c>
      <c r="P73" s="241">
        <v>32195.648485024285</v>
      </c>
      <c r="Q73" s="749"/>
    </row>
    <row r="74" spans="1:17" s="4" customFormat="1" ht="15" customHeight="1">
      <c r="A74" s="17"/>
      <c r="B74" s="51" t="s">
        <v>963</v>
      </c>
      <c r="C74" s="308">
        <v>41</v>
      </c>
      <c r="D74" s="308">
        <f>1645+2+112</f>
        <v>1759</v>
      </c>
      <c r="E74" s="308">
        <v>54</v>
      </c>
      <c r="F74" s="308">
        <v>1714.4</v>
      </c>
      <c r="G74" s="308">
        <v>585</v>
      </c>
      <c r="H74" s="308">
        <v>1101.8</v>
      </c>
      <c r="I74" s="1719">
        <v>165</v>
      </c>
      <c r="J74" s="1719">
        <v>165</v>
      </c>
      <c r="K74" s="1719">
        <v>176.22</v>
      </c>
      <c r="L74" s="1719">
        <v>88.11</v>
      </c>
      <c r="M74" s="1719">
        <v>88.11</v>
      </c>
      <c r="N74" s="982">
        <v>186.61697999999998</v>
      </c>
      <c r="O74" s="308">
        <v>93.308489999999992</v>
      </c>
      <c r="P74" s="241">
        <v>93.308489999999992</v>
      </c>
      <c r="Q74" s="749"/>
    </row>
    <row r="75" spans="1:17" s="4" customFormat="1" ht="15" hidden="1" customHeight="1">
      <c r="A75" s="17"/>
      <c r="B75" s="51"/>
      <c r="C75" s="241"/>
      <c r="D75" s="241"/>
      <c r="E75" s="241"/>
      <c r="F75" s="241"/>
      <c r="G75" s="241"/>
      <c r="H75" s="241"/>
      <c r="I75" s="241"/>
      <c r="J75" s="241"/>
      <c r="K75" s="241"/>
      <c r="L75" s="241"/>
      <c r="M75" s="241">
        <v>0</v>
      </c>
      <c r="N75" s="982"/>
      <c r="O75" s="241"/>
      <c r="P75" s="241">
        <v>0</v>
      </c>
      <c r="Q75" s="749"/>
    </row>
    <row r="76" spans="1:17" s="4" customFormat="1" ht="15" hidden="1" customHeight="1">
      <c r="A76" s="17"/>
      <c r="B76" s="51"/>
      <c r="C76" s="241"/>
      <c r="D76" s="241"/>
      <c r="E76" s="241"/>
      <c r="F76" s="241"/>
      <c r="G76" s="241"/>
      <c r="H76" s="241"/>
      <c r="I76" s="241"/>
      <c r="J76" s="241"/>
      <c r="K76" s="241"/>
      <c r="L76" s="241"/>
      <c r="M76" s="241"/>
      <c r="N76" s="982"/>
      <c r="O76" s="241"/>
      <c r="P76" s="241"/>
      <c r="Q76" s="749"/>
    </row>
    <row r="77" spans="1:17" s="4" customFormat="1" ht="15" hidden="1" customHeight="1">
      <c r="A77" s="17"/>
      <c r="B77" s="51"/>
      <c r="C77" s="241"/>
      <c r="D77" s="241"/>
      <c r="E77" s="241"/>
      <c r="F77" s="241"/>
      <c r="G77" s="241"/>
      <c r="H77" s="241"/>
      <c r="I77" s="241"/>
      <c r="J77" s="241"/>
      <c r="K77" s="241"/>
      <c r="L77" s="241"/>
      <c r="M77" s="241"/>
      <c r="N77" s="982"/>
      <c r="O77" s="241"/>
      <c r="P77" s="241"/>
      <c r="Q77" s="749"/>
    </row>
    <row r="78" spans="1:17" s="1034" customFormat="1" ht="33.75" customHeight="1">
      <c r="A78" s="1030" t="s">
        <v>391</v>
      </c>
      <c r="B78" s="1031" t="s">
        <v>392</v>
      </c>
      <c r="C78" s="1032">
        <f>SUM(C79:C82)</f>
        <v>5815</v>
      </c>
      <c r="D78" s="1032">
        <f t="shared" ref="D78:M78" si="7">SUM(D79:D82)</f>
        <v>6212</v>
      </c>
      <c r="E78" s="1032">
        <v>6600</v>
      </c>
      <c r="F78" s="1032">
        <v>7070</v>
      </c>
      <c r="G78" s="1032">
        <v>7661</v>
      </c>
      <c r="H78" s="1032">
        <v>8036.3</v>
      </c>
      <c r="I78" s="1032">
        <v>5561</v>
      </c>
      <c r="J78" s="1032">
        <v>5561</v>
      </c>
      <c r="K78" s="1032">
        <v>5939.1480000000001</v>
      </c>
      <c r="L78" s="1032">
        <v>2969.5740000000001</v>
      </c>
      <c r="M78" s="1032">
        <v>2969.5740000000001</v>
      </c>
      <c r="N78" s="1383">
        <v>6289.5577320000002</v>
      </c>
      <c r="O78" s="1032">
        <v>3144.7788660000001</v>
      </c>
      <c r="P78" s="1032">
        <v>3144.7788660000001</v>
      </c>
      <c r="Q78" s="1033"/>
    </row>
    <row r="79" spans="1:17" s="1046" customFormat="1" ht="30">
      <c r="A79" s="1044"/>
      <c r="B79" s="1045" t="s">
        <v>393</v>
      </c>
      <c r="C79" s="258"/>
      <c r="D79" s="258"/>
      <c r="E79" s="258"/>
      <c r="F79" s="258"/>
      <c r="G79" s="258"/>
      <c r="H79" s="258"/>
      <c r="I79" s="258"/>
      <c r="J79" s="258"/>
      <c r="K79" s="258"/>
      <c r="L79" s="258"/>
      <c r="M79" s="258">
        <v>0</v>
      </c>
      <c r="N79" s="982"/>
      <c r="O79" s="258"/>
      <c r="P79" s="258">
        <v>0</v>
      </c>
      <c r="Q79" s="754"/>
    </row>
    <row r="80" spans="1:17" s="1046" customFormat="1" ht="30" customHeight="1">
      <c r="A80" s="1044"/>
      <c r="B80" s="1045" t="s">
        <v>394</v>
      </c>
      <c r="C80" s="258">
        <v>5815</v>
      </c>
      <c r="D80" s="258">
        <v>6212</v>
      </c>
      <c r="E80" s="258">
        <v>6600</v>
      </c>
      <c r="F80" s="258">
        <v>7070</v>
      </c>
      <c r="G80" s="258">
        <v>7359</v>
      </c>
      <c r="H80" s="258">
        <v>8036.3</v>
      </c>
      <c r="I80" s="1719">
        <v>5561</v>
      </c>
      <c r="J80" s="1719">
        <v>5561</v>
      </c>
      <c r="K80" s="1719">
        <v>5939.1480000000001</v>
      </c>
      <c r="L80" s="1719">
        <v>2969.5740000000001</v>
      </c>
      <c r="M80" s="1719">
        <v>2969.5740000000001</v>
      </c>
      <c r="N80" s="982">
        <v>6289.5577320000002</v>
      </c>
      <c r="O80" s="258">
        <v>3144.7788660000001</v>
      </c>
      <c r="P80" s="258">
        <v>3144.7788660000001</v>
      </c>
      <c r="Q80" s="754"/>
    </row>
    <row r="81" spans="1:17" s="1046" customFormat="1" ht="15" customHeight="1">
      <c r="A81" s="1044"/>
      <c r="B81" s="1045" t="s">
        <v>1568</v>
      </c>
      <c r="C81" s="258"/>
      <c r="D81" s="258"/>
      <c r="E81" s="258"/>
      <c r="F81" s="258"/>
      <c r="G81" s="258"/>
      <c r="H81" s="258"/>
      <c r="I81" s="258"/>
      <c r="J81" s="258"/>
      <c r="K81" s="258"/>
      <c r="L81" s="258"/>
      <c r="M81" s="258">
        <v>0</v>
      </c>
      <c r="N81" s="982"/>
      <c r="O81" s="258"/>
      <c r="P81" s="258">
        <v>0</v>
      </c>
      <c r="Q81" s="754"/>
    </row>
    <row r="82" spans="1:17" s="1046" customFormat="1" ht="28.5" customHeight="1">
      <c r="A82" s="1044"/>
      <c r="B82" s="1045" t="s">
        <v>1957</v>
      </c>
      <c r="C82" s="258"/>
      <c r="D82" s="258"/>
      <c r="E82" s="258"/>
      <c r="F82" s="258"/>
      <c r="G82" s="258">
        <v>302</v>
      </c>
      <c r="H82" s="258"/>
      <c r="I82" s="1719">
        <v>0</v>
      </c>
      <c r="J82" s="1719">
        <v>0</v>
      </c>
      <c r="K82" s="1719">
        <v>0</v>
      </c>
      <c r="L82" s="1719">
        <v>0</v>
      </c>
      <c r="M82" s="1719">
        <v>0</v>
      </c>
      <c r="N82" s="982">
        <v>0</v>
      </c>
      <c r="O82" s="258">
        <v>0</v>
      </c>
      <c r="P82" s="258">
        <v>0</v>
      </c>
      <c r="Q82" s="754"/>
    </row>
    <row r="83" spans="1:17" s="1034" customFormat="1" ht="18.75" customHeight="1">
      <c r="A83" s="1030" t="s">
        <v>395</v>
      </c>
      <c r="B83" s="1031" t="s">
        <v>396</v>
      </c>
      <c r="C83" s="1032">
        <f>(C68+C69+C70+C78)/0.8*0.2</f>
        <v>1453.75</v>
      </c>
      <c r="D83" s="1032">
        <f t="shared" ref="D83" si="8">(D68+D69+D70+D78)/0.8*0.2</f>
        <v>1553</v>
      </c>
      <c r="E83" s="1032">
        <v>1657</v>
      </c>
      <c r="F83" s="1032">
        <v>1767.5</v>
      </c>
      <c r="G83" s="1032">
        <v>1915</v>
      </c>
      <c r="H83" s="1032">
        <v>2009.075</v>
      </c>
      <c r="I83" s="1032">
        <v>1390.25</v>
      </c>
      <c r="J83" s="1032">
        <v>1390.25</v>
      </c>
      <c r="K83" s="1032">
        <v>1484.787</v>
      </c>
      <c r="L83" s="1032">
        <v>742.39350000000002</v>
      </c>
      <c r="M83" s="1032">
        <v>742.39350000000002</v>
      </c>
      <c r="N83" s="1032">
        <v>1572.3894330000001</v>
      </c>
      <c r="O83" s="1032">
        <v>786.19471650000003</v>
      </c>
      <c r="P83" s="1032">
        <v>786.19471650000003</v>
      </c>
      <c r="Q83" s="1033"/>
    </row>
    <row r="84" spans="1:17" s="1034" customFormat="1" ht="17.25" customHeight="1">
      <c r="A84" s="1030" t="s">
        <v>397</v>
      </c>
      <c r="B84" s="1031" t="s">
        <v>398</v>
      </c>
      <c r="C84" s="1032">
        <f>C85-C88</f>
        <v>0</v>
      </c>
      <c r="D84" s="1032">
        <f t="shared" ref="D84:M84" si="9">D85-D88</f>
        <v>0</v>
      </c>
      <c r="E84" s="1032">
        <v>-11741</v>
      </c>
      <c r="F84" s="1032">
        <v>0</v>
      </c>
      <c r="G84" s="1032">
        <v>-157789</v>
      </c>
      <c r="H84" s="1032">
        <v>0</v>
      </c>
      <c r="I84" s="1032">
        <v>-142329</v>
      </c>
      <c r="J84" s="1032">
        <v>-142329</v>
      </c>
      <c r="K84" s="1032">
        <v>31061</v>
      </c>
      <c r="L84" s="1032">
        <v>0</v>
      </c>
      <c r="M84" s="1032">
        <v>31061</v>
      </c>
      <c r="N84" s="1383">
        <v>0</v>
      </c>
      <c r="O84" s="1032">
        <v>0</v>
      </c>
      <c r="P84" s="1032">
        <v>0</v>
      </c>
      <c r="Q84" s="1033"/>
    </row>
    <row r="85" spans="1:17" s="585" customFormat="1" ht="17.25" customHeight="1">
      <c r="A85" s="583"/>
      <c r="B85" s="582" t="s">
        <v>1140</v>
      </c>
      <c r="C85" s="587">
        <f>C86+C87</f>
        <v>0</v>
      </c>
      <c r="D85" s="587">
        <f t="shared" ref="D85:M85" si="10">D86+D87</f>
        <v>0</v>
      </c>
      <c r="E85" s="587">
        <v>0</v>
      </c>
      <c r="F85" s="587">
        <v>0</v>
      </c>
      <c r="G85" s="587">
        <v>0</v>
      </c>
      <c r="H85" s="587">
        <v>0</v>
      </c>
      <c r="I85" s="587">
        <v>0</v>
      </c>
      <c r="J85" s="587">
        <v>0</v>
      </c>
      <c r="K85" s="587">
        <v>146394</v>
      </c>
      <c r="L85" s="587">
        <v>0</v>
      </c>
      <c r="M85" s="587">
        <v>146394</v>
      </c>
      <c r="N85" s="982">
        <v>0</v>
      </c>
      <c r="O85" s="587">
        <v>0</v>
      </c>
      <c r="P85" s="587">
        <v>0</v>
      </c>
      <c r="Q85" s="1020"/>
    </row>
    <row r="86" spans="1:17" s="341" customFormat="1" ht="17.25" customHeight="1">
      <c r="A86" s="339"/>
      <c r="B86" s="340" t="s">
        <v>959</v>
      </c>
      <c r="C86" s="308"/>
      <c r="D86" s="308"/>
      <c r="E86" s="308"/>
      <c r="F86" s="308"/>
      <c r="G86" s="308"/>
      <c r="H86" s="308"/>
      <c r="I86" s="308"/>
      <c r="J86" s="308"/>
      <c r="K86" s="308">
        <v>68871</v>
      </c>
      <c r="L86" s="308">
        <v>0</v>
      </c>
      <c r="M86" s="308">
        <v>68871</v>
      </c>
      <c r="N86" s="982"/>
      <c r="O86" s="308">
        <v>0</v>
      </c>
      <c r="P86" s="308">
        <v>0</v>
      </c>
      <c r="Q86" s="762"/>
    </row>
    <row r="87" spans="1:17" s="341" customFormat="1" ht="30">
      <c r="A87" s="339"/>
      <c r="B87" s="51" t="s">
        <v>960</v>
      </c>
      <c r="C87" s="241"/>
      <c r="D87" s="241"/>
      <c r="E87" s="241"/>
      <c r="F87" s="241"/>
      <c r="G87" s="241"/>
      <c r="H87" s="241"/>
      <c r="I87" s="241"/>
      <c r="J87" s="241"/>
      <c r="K87" s="241">
        <v>77523</v>
      </c>
      <c r="L87" s="241">
        <v>0</v>
      </c>
      <c r="M87" s="241">
        <v>77523</v>
      </c>
      <c r="N87" s="982"/>
      <c r="O87" s="241">
        <v>0</v>
      </c>
      <c r="P87" s="308">
        <v>0</v>
      </c>
      <c r="Q87" s="749"/>
    </row>
    <row r="88" spans="1:17" s="588" customFormat="1" ht="18" customHeight="1">
      <c r="A88" s="586"/>
      <c r="B88" s="582" t="s">
        <v>1141</v>
      </c>
      <c r="C88" s="587">
        <f>C89+C90</f>
        <v>0</v>
      </c>
      <c r="D88" s="587">
        <f t="shared" ref="D88:M88" si="11">D89+D90</f>
        <v>0</v>
      </c>
      <c r="E88" s="587">
        <v>11741</v>
      </c>
      <c r="F88" s="587">
        <v>0</v>
      </c>
      <c r="G88" s="587">
        <v>157789</v>
      </c>
      <c r="H88" s="587">
        <v>0</v>
      </c>
      <c r="I88" s="587">
        <v>142329</v>
      </c>
      <c r="J88" s="587">
        <v>142329</v>
      </c>
      <c r="K88" s="587">
        <v>115333</v>
      </c>
      <c r="L88" s="587">
        <v>0</v>
      </c>
      <c r="M88" s="587">
        <v>115333</v>
      </c>
      <c r="N88" s="982">
        <v>0</v>
      </c>
      <c r="O88" s="587">
        <v>0</v>
      </c>
      <c r="P88" s="587">
        <v>0</v>
      </c>
      <c r="Q88" s="1021"/>
    </row>
    <row r="89" spans="1:17" s="341" customFormat="1" ht="18" customHeight="1">
      <c r="A89" s="339"/>
      <c r="B89" s="340" t="s">
        <v>959</v>
      </c>
      <c r="C89" s="241"/>
      <c r="D89" s="241"/>
      <c r="E89" s="241">
        <v>11741</v>
      </c>
      <c r="F89" s="241"/>
      <c r="G89" s="241"/>
      <c r="H89" s="241"/>
      <c r="I89" s="241"/>
      <c r="J89" s="241"/>
      <c r="K89" s="241">
        <v>115333</v>
      </c>
      <c r="L89" s="241">
        <v>0</v>
      </c>
      <c r="M89" s="241">
        <v>115333</v>
      </c>
      <c r="N89" s="982"/>
      <c r="O89" s="241">
        <v>0</v>
      </c>
      <c r="P89" s="308">
        <v>0</v>
      </c>
      <c r="Q89" s="749"/>
    </row>
    <row r="90" spans="1:17" s="341" customFormat="1" ht="30">
      <c r="A90" s="339"/>
      <c r="B90" s="51" t="s">
        <v>960</v>
      </c>
      <c r="C90" s="241"/>
      <c r="D90" s="241"/>
      <c r="E90" s="241"/>
      <c r="F90" s="241"/>
      <c r="G90" s="241"/>
      <c r="H90" s="241"/>
      <c r="I90" s="241"/>
      <c r="J90" s="241"/>
      <c r="K90" s="241"/>
      <c r="L90" s="241">
        <v>0</v>
      </c>
      <c r="M90" s="241">
        <v>0</v>
      </c>
      <c r="N90" s="982"/>
      <c r="O90" s="241">
        <v>0</v>
      </c>
      <c r="P90" s="308">
        <v>0</v>
      </c>
      <c r="Q90" s="749"/>
    </row>
    <row r="91" spans="1:17" s="1055" customFormat="1" ht="27.75" customHeight="1">
      <c r="A91" s="1052" t="s">
        <v>399</v>
      </c>
      <c r="B91" s="1053" t="s">
        <v>400</v>
      </c>
      <c r="C91" s="1054">
        <f>C7+C67+C78+C83+C84</f>
        <v>1869461.5569495547</v>
      </c>
      <c r="D91" s="1054">
        <f>D7+D67+D78+D83+D84</f>
        <v>2211136.93724111</v>
      </c>
      <c r="E91" s="1054">
        <v>2043670</v>
      </c>
      <c r="F91" s="1054">
        <v>2158411.7190990523</v>
      </c>
      <c r="G91" s="1054">
        <v>2328780.4765705299</v>
      </c>
      <c r="H91" s="1054">
        <v>2176683.0600222237</v>
      </c>
      <c r="I91" s="1054">
        <v>2407335.25</v>
      </c>
      <c r="J91" s="1054">
        <v>2259192.734939008</v>
      </c>
      <c r="K91" s="1054">
        <v>2672708.1680978979</v>
      </c>
      <c r="L91" s="1054">
        <v>1428204.8422994395</v>
      </c>
      <c r="M91" s="1054">
        <v>1244504.3257984584</v>
      </c>
      <c r="N91" s="1610">
        <v>2774769.043007012</v>
      </c>
      <c r="O91" s="1054">
        <v>1507953.8484596747</v>
      </c>
      <c r="P91" s="1054">
        <v>1266814.194547337</v>
      </c>
      <c r="Q91" s="1056"/>
    </row>
    <row r="92" spans="1:17" s="4" customFormat="1" ht="15" customHeight="1">
      <c r="A92" s="17" t="s">
        <v>401</v>
      </c>
      <c r="B92" s="51" t="s">
        <v>402</v>
      </c>
      <c r="C92" s="241"/>
      <c r="D92" s="241"/>
      <c r="E92" s="241"/>
      <c r="F92" s="241"/>
      <c r="G92" s="241"/>
      <c r="H92" s="241"/>
      <c r="I92" s="241"/>
      <c r="J92" s="241"/>
      <c r="K92" s="241"/>
      <c r="L92" s="241"/>
      <c r="M92" s="241"/>
      <c r="N92" s="982"/>
      <c r="O92" s="241"/>
      <c r="P92" s="241"/>
      <c r="Q92" s="749"/>
    </row>
    <row r="93" spans="1:17" s="4" customFormat="1" ht="15" customHeight="1">
      <c r="A93" s="17" t="s">
        <v>403</v>
      </c>
      <c r="B93" s="51" t="s">
        <v>404</v>
      </c>
      <c r="C93" s="241">
        <f>C91-C94-C95</f>
        <v>1869461.5569495547</v>
      </c>
      <c r="D93" s="308">
        <f t="shared" ref="D93:M93" si="12">D91-D94-D95</f>
        <v>2158441.672888</v>
      </c>
      <c r="E93" s="241">
        <v>2043670</v>
      </c>
      <c r="F93" s="241">
        <v>2095769.7190990523</v>
      </c>
      <c r="G93" s="241">
        <v>2328780.4765705299</v>
      </c>
      <c r="H93" s="241">
        <v>2119050.8673433969</v>
      </c>
      <c r="I93" s="241">
        <v>2407335.25</v>
      </c>
      <c r="J93" s="241">
        <v>2195008.3343403954</v>
      </c>
      <c r="K93" s="241">
        <v>2604929.4678948438</v>
      </c>
      <c r="L93" s="241">
        <v>1392562.5765574395</v>
      </c>
      <c r="M93" s="241">
        <v>1212367.8913374043</v>
      </c>
      <c r="N93" s="982">
        <v>2702300.7570706885</v>
      </c>
      <c r="O93" s="241">
        <v>1469068.1365351528</v>
      </c>
      <c r="P93" s="241">
        <v>1233231.6205355355</v>
      </c>
      <c r="Q93" s="749"/>
    </row>
    <row r="94" spans="1:17" s="4" customFormat="1" ht="15" customHeight="1">
      <c r="A94" s="17" t="s">
        <v>405</v>
      </c>
      <c r="B94" s="51" t="s">
        <v>406</v>
      </c>
      <c r="C94" s="241"/>
      <c r="D94" s="241">
        <f>'4.8 - котельн.'!H18</f>
        <v>29509.062766119107</v>
      </c>
      <c r="E94" s="241"/>
      <c r="F94" s="241"/>
      <c r="G94" s="241"/>
      <c r="H94" s="241">
        <v>32256.702178964799</v>
      </c>
      <c r="I94" s="241"/>
      <c r="J94" s="241">
        <v>36509.635421782143</v>
      </c>
      <c r="K94" s="241">
        <v>38472.318377784002</v>
      </c>
      <c r="L94" s="241">
        <v>21173.536251999998</v>
      </c>
      <c r="M94" s="241">
        <v>17298.782125784001</v>
      </c>
      <c r="N94" s="982">
        <v>41177.555372376279</v>
      </c>
      <c r="O94" s="982">
        <v>23100.328050931999</v>
      </c>
      <c r="P94" s="982">
        <v>18077.227321444279</v>
      </c>
      <c r="Q94" s="749"/>
    </row>
    <row r="95" spans="1:17" s="4" customFormat="1" ht="15" customHeight="1">
      <c r="A95" s="17" t="s">
        <v>407</v>
      </c>
      <c r="B95" s="51" t="s">
        <v>408</v>
      </c>
      <c r="C95" s="241"/>
      <c r="D95" s="241">
        <f>'4.8 - котельн.'!H20</f>
        <v>23186.201586991137</v>
      </c>
      <c r="E95" s="241"/>
      <c r="F95" s="241"/>
      <c r="G95" s="241"/>
      <c r="H95" s="241">
        <v>25375.490499862135</v>
      </c>
      <c r="I95" s="241"/>
      <c r="J95" s="241">
        <v>27674.76517683034</v>
      </c>
      <c r="K95" s="241">
        <v>29306.38182527</v>
      </c>
      <c r="L95" s="241">
        <v>14468.72949</v>
      </c>
      <c r="M95" s="241">
        <v>14837.652335270001</v>
      </c>
      <c r="N95" s="982">
        <v>31290.730563947152</v>
      </c>
      <c r="O95" s="982">
        <v>15785.383873590001</v>
      </c>
      <c r="P95" s="982">
        <v>15505.34669035715</v>
      </c>
      <c r="Q95" s="749"/>
    </row>
    <row r="96" spans="1:17" s="4" customFormat="1" ht="15" customHeight="1">
      <c r="A96" s="17"/>
      <c r="B96" s="51"/>
      <c r="C96" s="241"/>
      <c r="D96" s="241"/>
      <c r="E96" s="241"/>
      <c r="F96" s="241"/>
      <c r="G96" s="241"/>
      <c r="H96" s="241"/>
      <c r="I96" s="241"/>
      <c r="J96" s="241"/>
      <c r="K96" s="241"/>
      <c r="L96" s="241"/>
      <c r="M96" s="241"/>
      <c r="N96" s="982"/>
      <c r="O96" s="241"/>
      <c r="P96" s="241"/>
      <c r="Q96" s="749"/>
    </row>
    <row r="97" spans="1:17" s="4" customFormat="1" ht="15" customHeight="1">
      <c r="A97" s="17"/>
      <c r="B97" s="755" t="s">
        <v>1265</v>
      </c>
      <c r="C97" s="286">
        <f>'4.1_котельные'!C20</f>
        <v>556.32600000000002</v>
      </c>
      <c r="D97" s="286">
        <f>'4.1_котельные'!N20</f>
        <v>564.25689999999997</v>
      </c>
      <c r="E97" s="286">
        <v>561.26700000000005</v>
      </c>
      <c r="F97" s="286">
        <v>509.76849999999996</v>
      </c>
      <c r="G97" s="286">
        <v>559.73599999999999</v>
      </c>
      <c r="H97" s="286">
        <v>457.62200000000001</v>
      </c>
      <c r="I97" s="286">
        <v>496.64600000000002</v>
      </c>
      <c r="J97" s="286">
        <v>457.12200000000001</v>
      </c>
      <c r="K97" s="286">
        <v>482.64800000000002</v>
      </c>
      <c r="L97" s="286">
        <v>288.423</v>
      </c>
      <c r="M97" s="286">
        <v>194.22499999999999</v>
      </c>
      <c r="N97" s="1568">
        <v>482.64800000000002</v>
      </c>
      <c r="O97" s="286">
        <v>288.423</v>
      </c>
      <c r="P97" s="286">
        <v>194.22499999999999</v>
      </c>
      <c r="Q97" s="977"/>
    </row>
    <row r="98" spans="1:17" s="4" customFormat="1" ht="15" customHeight="1">
      <c r="A98" s="17"/>
      <c r="B98" s="51"/>
      <c r="C98" s="241"/>
      <c r="D98" s="241"/>
      <c r="E98" s="241"/>
      <c r="F98" s="241"/>
      <c r="G98" s="241"/>
      <c r="H98" s="241"/>
      <c r="I98" s="241"/>
      <c r="J98" s="241"/>
      <c r="K98" s="241"/>
      <c r="L98" s="241"/>
      <c r="M98" s="241"/>
      <c r="N98" s="982"/>
      <c r="O98" s="241"/>
      <c r="P98" s="241"/>
      <c r="Q98" s="749"/>
    </row>
    <row r="99" spans="1:17" s="4" customFormat="1" ht="15" customHeight="1">
      <c r="A99" s="17"/>
      <c r="B99" s="253" t="s">
        <v>1266</v>
      </c>
      <c r="C99" s="428">
        <f>C93/C97</f>
        <v>3360.3706405049461</v>
      </c>
      <c r="D99" s="428">
        <f t="shared" ref="D99:M99" si="13">D93/D97</f>
        <v>3825.281840395749</v>
      </c>
      <c r="E99" s="428">
        <v>3641.172561365624</v>
      </c>
      <c r="F99" s="428">
        <v>4111.2185611685545</v>
      </c>
      <c r="G99" s="428">
        <v>4160.4979429061732</v>
      </c>
      <c r="H99" s="428">
        <v>4630.5703557595498</v>
      </c>
      <c r="I99" s="428">
        <v>4847.185419795991</v>
      </c>
      <c r="J99" s="428">
        <v>4801.7998134861054</v>
      </c>
      <c r="K99" s="428">
        <v>5397.1620474856281</v>
      </c>
      <c r="L99" s="428">
        <v>4828.1953122928462</v>
      </c>
      <c r="M99" s="428">
        <v>6242.0795023164073</v>
      </c>
      <c r="N99" s="1128">
        <v>5598.9059460946455</v>
      </c>
      <c r="O99" s="428">
        <v>5093.4500249118582</v>
      </c>
      <c r="P99" s="428">
        <v>6349.4999126556086</v>
      </c>
      <c r="Q99" s="978"/>
    </row>
    <row r="100" spans="1:17" s="4" customFormat="1" ht="15" customHeight="1">
      <c r="A100" s="17"/>
      <c r="B100" s="253" t="s">
        <v>1267</v>
      </c>
      <c r="C100" s="428" t="e">
        <f>C94/'4.2_котельные'!C20</f>
        <v>#DIV/0!</v>
      </c>
      <c r="D100" s="428">
        <f>'4.8 - котельн.'!G18*1000</f>
        <v>30.603917930067265</v>
      </c>
      <c r="E100" s="428">
        <v>34.96</v>
      </c>
      <c r="F100" s="428">
        <f>'6.6_теплонос.котельн_2 контур'!G26</f>
        <v>35.864807546509226</v>
      </c>
      <c r="G100" s="428" t="e">
        <f>'6.6_теплонос.котельн_2 контур'!H26</f>
        <v>#DIV/0!</v>
      </c>
      <c r="H100" s="428">
        <f>'6.6_теплонос.котельн_2 контур'!I26</f>
        <v>39.938795745680736</v>
      </c>
      <c r="I100" s="428"/>
      <c r="J100" s="428"/>
      <c r="K100" s="1128">
        <f>'6.6_теплонос.котельн_2 контур'!L26</f>
        <v>44.744366303789924</v>
      </c>
      <c r="L100" s="428">
        <f>'6.6_теплонос.котельн_2 контур'!M26</f>
        <v>42.97</v>
      </c>
      <c r="M100" s="428">
        <f>'6.6_теплонос.котельн_2 контур'!N26</f>
        <v>46.880269999999996</v>
      </c>
      <c r="N100" s="978"/>
      <c r="O100" s="978"/>
      <c r="P100" s="978"/>
      <c r="Q100" s="978"/>
    </row>
    <row r="101" spans="1:17" s="4" customFormat="1" ht="15" customHeight="1">
      <c r="A101" s="17"/>
      <c r="B101" s="1131" t="s">
        <v>1512</v>
      </c>
      <c r="C101" s="428"/>
      <c r="D101" s="428"/>
      <c r="E101" s="428"/>
      <c r="F101" s="428"/>
      <c r="G101" s="428"/>
      <c r="H101" s="428"/>
      <c r="I101" s="428"/>
      <c r="J101" s="428"/>
      <c r="K101" s="1128"/>
      <c r="L101" s="428"/>
      <c r="M101" s="428"/>
      <c r="N101" s="978"/>
      <c r="O101" s="978"/>
      <c r="P101" s="978"/>
      <c r="Q101" s="978"/>
    </row>
    <row r="102" spans="1:17" s="4" customFormat="1" ht="15" customHeight="1">
      <c r="A102" s="17"/>
      <c r="B102" s="1131" t="s">
        <v>1513</v>
      </c>
      <c r="C102" s="428"/>
      <c r="D102" s="428"/>
      <c r="E102" s="428"/>
      <c r="F102" s="428"/>
      <c r="G102" s="428"/>
      <c r="H102" s="428"/>
      <c r="I102" s="428"/>
      <c r="J102" s="428"/>
      <c r="K102" s="1128"/>
      <c r="L102" s="428"/>
      <c r="M102" s="428"/>
      <c r="N102" s="978"/>
      <c r="O102" s="978"/>
      <c r="P102" s="978"/>
      <c r="Q102" s="978"/>
    </row>
    <row r="103" spans="1:17" hidden="1">
      <c r="A103" s="253" t="s">
        <v>965</v>
      </c>
      <c r="B103" s="253"/>
      <c r="C103" s="308">
        <f>C67+C78+C83+C87-C90</f>
        <v>96372.75</v>
      </c>
      <c r="D103" s="308">
        <f t="shared" ref="D103:M103" si="14">D67+D78+D83+D87-D90</f>
        <v>113859</v>
      </c>
      <c r="E103" s="308">
        <f t="shared" si="14"/>
        <v>65482</v>
      </c>
      <c r="F103" s="308">
        <f t="shared" si="14"/>
        <v>93134.9</v>
      </c>
      <c r="G103" s="308"/>
      <c r="H103" s="308"/>
      <c r="I103" s="308"/>
      <c r="J103" s="308"/>
      <c r="K103" s="982">
        <f t="shared" si="14"/>
        <v>148263.155</v>
      </c>
      <c r="L103" s="308">
        <f t="shared" si="14"/>
        <v>41531.567571439227</v>
      </c>
      <c r="M103" s="308">
        <f t="shared" si="14"/>
        <v>106731.58742856077</v>
      </c>
      <c r="N103" s="762"/>
      <c r="O103" s="762"/>
      <c r="P103" s="762"/>
      <c r="Q103" s="762"/>
    </row>
    <row r="104" spans="1:17" s="26" customFormat="1">
      <c r="A104" s="26" t="s">
        <v>88</v>
      </c>
      <c r="K104" s="883"/>
    </row>
    <row r="105" spans="1:17" s="541" customFormat="1" ht="58.5" customHeight="1">
      <c r="A105" s="541" t="s">
        <v>89</v>
      </c>
      <c r="B105" s="1842" t="s">
        <v>409</v>
      </c>
      <c r="C105" s="1842"/>
      <c r="D105" s="1842"/>
      <c r="E105" s="1842"/>
      <c r="F105" s="1842"/>
      <c r="G105" s="1842"/>
      <c r="H105" s="1842"/>
      <c r="I105" s="1842"/>
      <c r="J105" s="1842"/>
      <c r="K105" s="1842"/>
      <c r="L105" s="1842"/>
      <c r="M105" s="1842"/>
      <c r="N105" s="1629"/>
      <c r="O105" s="1629"/>
      <c r="P105" s="1629"/>
      <c r="Q105" s="1011"/>
    </row>
    <row r="106" spans="1:17" s="541" customFormat="1" ht="58.5" customHeight="1">
      <c r="A106" s="541" t="s">
        <v>91</v>
      </c>
      <c r="B106" s="1842" t="s">
        <v>410</v>
      </c>
      <c r="C106" s="1842"/>
      <c r="D106" s="1842"/>
      <c r="E106" s="1842"/>
      <c r="F106" s="1842"/>
      <c r="G106" s="1842"/>
      <c r="H106" s="1842"/>
      <c r="I106" s="1842"/>
      <c r="J106" s="1842"/>
      <c r="K106" s="1842"/>
      <c r="L106" s="1842"/>
      <c r="M106" s="1842"/>
      <c r="N106" s="1629"/>
      <c r="O106" s="1629"/>
      <c r="P106" s="1629"/>
      <c r="Q106" s="1011"/>
    </row>
    <row r="107" spans="1:17" s="541" customFormat="1" ht="58.5" customHeight="1">
      <c r="A107" s="541" t="s">
        <v>93</v>
      </c>
      <c r="B107" s="1842" t="s">
        <v>411</v>
      </c>
      <c r="C107" s="1842"/>
      <c r="D107" s="1842"/>
      <c r="E107" s="1842"/>
      <c r="F107" s="1842"/>
      <c r="G107" s="1842"/>
      <c r="H107" s="1842"/>
      <c r="I107" s="1842"/>
      <c r="J107" s="1842"/>
      <c r="K107" s="1842"/>
      <c r="L107" s="1842"/>
      <c r="M107" s="1842"/>
      <c r="N107" s="1629"/>
      <c r="O107" s="1629"/>
      <c r="P107" s="1629"/>
      <c r="Q107" s="1011"/>
    </row>
    <row r="108" spans="1:17" ht="18.75" customHeight="1"/>
  </sheetData>
  <mergeCells count="4">
    <mergeCell ref="B105:M105"/>
    <mergeCell ref="B106:M106"/>
    <mergeCell ref="B107:M107"/>
    <mergeCell ref="A3:J3"/>
  </mergeCells>
  <pageMargins left="0.78740157480314965" right="0.31496062992125984" top="0.27559055118110237" bottom="0.15748031496062992" header="0.15748031496062992" footer="0.15748031496062992"/>
  <pageSetup paperSize="9" scale="50" orientation="portrait" r:id="rId1"/>
  <headerFooter alignWithMargins="0"/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</sheetPr>
  <dimension ref="A1:P108"/>
  <sheetViews>
    <sheetView view="pageBreakPreview" zoomScaleNormal="100" workbookViewId="0">
      <pane xSplit="2" ySplit="5" topLeftCell="C6" activePane="bottomRight" state="frozen"/>
      <selection activeCell="B82" sqref="B82"/>
      <selection pane="topRight" activeCell="B82" sqref="B82"/>
      <selection pane="bottomLeft" activeCell="B82" sqref="B82"/>
      <selection pane="bottomRight" activeCell="M16" sqref="M16"/>
    </sheetView>
  </sheetViews>
  <sheetFormatPr defaultColWidth="3.7109375" defaultRowHeight="15" outlineLevelRow="1"/>
  <cols>
    <col min="1" max="1" width="6.7109375" style="1" customWidth="1"/>
    <col min="2" max="2" width="45.28515625" style="1" customWidth="1"/>
    <col min="3" max="4" width="13.42578125" style="1" hidden="1" customWidth="1"/>
    <col min="5" max="9" width="13.42578125" style="1" customWidth="1"/>
    <col min="10" max="10" width="17.140625" style="1" customWidth="1"/>
    <col min="11" max="11" width="12.7109375" style="1603" customWidth="1"/>
    <col min="12" max="12" width="12.140625" style="1" customWidth="1"/>
    <col min="13" max="13" width="12.28515625" style="1" customWidth="1"/>
    <col min="14" max="14" width="13" style="1" customWidth="1"/>
    <col min="15" max="16" width="12.28515625" style="1" customWidth="1"/>
    <col min="17" max="52" width="9.140625" style="1" customWidth="1"/>
    <col min="53" max="16384" width="3.7109375" style="1"/>
  </cols>
  <sheetData>
    <row r="1" spans="1:16" ht="12.75" customHeight="1">
      <c r="A1" s="74" t="s">
        <v>1860</v>
      </c>
      <c r="J1" s="23"/>
      <c r="K1" s="23"/>
      <c r="M1" s="23" t="s">
        <v>359</v>
      </c>
      <c r="N1" s="23"/>
      <c r="O1" s="23"/>
      <c r="P1" s="23"/>
    </row>
    <row r="2" spans="1:16" ht="12.75" customHeight="1">
      <c r="A2" s="759" t="str">
        <f>'4.6_котельные'!A2</f>
        <v>ПКГО - выработка котельными</v>
      </c>
      <c r="K2" s="763"/>
      <c r="M2" s="763"/>
    </row>
    <row r="3" spans="1:16" ht="18.75">
      <c r="A3" s="1877" t="s">
        <v>1557</v>
      </c>
      <c r="B3" s="1914"/>
      <c r="C3" s="1914"/>
      <c r="D3" s="1914"/>
      <c r="E3" s="1914"/>
      <c r="F3" s="1914"/>
      <c r="G3" s="1914"/>
      <c r="H3" s="1914"/>
      <c r="I3" s="1914"/>
      <c r="J3" s="1914"/>
      <c r="K3" s="1750"/>
      <c r="L3" s="1632"/>
      <c r="M3" s="1750"/>
      <c r="N3" s="1632"/>
      <c r="O3" s="1632"/>
      <c r="P3" s="1632"/>
    </row>
    <row r="4" spans="1:16" ht="14.25" customHeight="1">
      <c r="J4" s="23"/>
      <c r="K4" s="23"/>
      <c r="M4" s="23" t="s">
        <v>360</v>
      </c>
      <c r="N4" s="23"/>
      <c r="O4" s="23"/>
      <c r="P4" s="23"/>
    </row>
    <row r="5" spans="1:16" s="3" customFormat="1" ht="66">
      <c r="A5" s="944" t="s">
        <v>0</v>
      </c>
      <c r="B5" s="944" t="s">
        <v>1</v>
      </c>
      <c r="C5" s="944" t="s">
        <v>1129</v>
      </c>
      <c r="D5" s="944" t="s">
        <v>1130</v>
      </c>
      <c r="E5" s="944" t="s">
        <v>1520</v>
      </c>
      <c r="F5" s="944" t="s">
        <v>1695</v>
      </c>
      <c r="G5" s="1290" t="s">
        <v>1702</v>
      </c>
      <c r="H5" s="1576" t="s">
        <v>1828</v>
      </c>
      <c r="I5" s="1576" t="s">
        <v>1842</v>
      </c>
      <c r="J5" s="1631" t="s">
        <v>1861</v>
      </c>
      <c r="K5" s="1631" t="s">
        <v>1862</v>
      </c>
      <c r="L5" s="1631" t="s">
        <v>763</v>
      </c>
      <c r="M5" s="1631" t="s">
        <v>764</v>
      </c>
      <c r="N5" s="1631" t="s">
        <v>1863</v>
      </c>
      <c r="O5" s="1631" t="s">
        <v>763</v>
      </c>
      <c r="P5" s="1631" t="s">
        <v>764</v>
      </c>
    </row>
    <row r="6" spans="1:16" s="2" customFormat="1">
      <c r="A6" s="13">
        <v>1</v>
      </c>
      <c r="B6" s="13">
        <v>2</v>
      </c>
      <c r="C6" s="13">
        <v>3</v>
      </c>
      <c r="D6" s="13">
        <v>4</v>
      </c>
      <c r="E6" s="13">
        <v>3</v>
      </c>
      <c r="F6" s="13">
        <v>4</v>
      </c>
      <c r="G6" s="13">
        <v>5</v>
      </c>
      <c r="H6" s="13">
        <v>6</v>
      </c>
      <c r="I6" s="13">
        <v>7</v>
      </c>
      <c r="J6" s="13">
        <v>8</v>
      </c>
      <c r="K6" s="13">
        <v>9</v>
      </c>
      <c r="L6" s="13">
        <v>10</v>
      </c>
      <c r="M6" s="13">
        <v>11</v>
      </c>
      <c r="N6" s="1604">
        <v>12</v>
      </c>
      <c r="O6" s="13">
        <v>13</v>
      </c>
      <c r="P6" s="13">
        <v>14</v>
      </c>
    </row>
    <row r="7" spans="1:16" s="1041" customFormat="1" ht="30" customHeight="1">
      <c r="A7" s="1037" t="s">
        <v>361</v>
      </c>
      <c r="B7" s="1038" t="s">
        <v>362</v>
      </c>
      <c r="C7" s="1039">
        <f>C8+SUM(C10:C15)+C20+SUM(C22:C25)+SUM(C56:C61)+1</f>
        <v>388445</v>
      </c>
      <c r="D7" s="1039">
        <f t="shared" ref="D7:E7" si="0">D8+SUM(D10:D15)+D20+SUM(D22:D25)+SUM(D56:D61)</f>
        <v>276282.01939999999</v>
      </c>
      <c r="E7" s="1039">
        <f t="shared" si="0"/>
        <v>0</v>
      </c>
      <c r="F7" s="1039">
        <v>342747.26376743376</v>
      </c>
      <c r="G7" s="1039">
        <v>5008.9605671999998</v>
      </c>
      <c r="H7" s="1039">
        <v>393912.60552743601</v>
      </c>
      <c r="I7" s="1039">
        <v>26617.5</v>
      </c>
      <c r="J7" s="1039">
        <v>435006.75383427046</v>
      </c>
      <c r="K7" s="1039">
        <v>455463.04423701798</v>
      </c>
      <c r="L7" s="1039">
        <v>220765.24429899998</v>
      </c>
      <c r="M7" s="1039">
        <v>234697.79993801797</v>
      </c>
      <c r="N7" s="1605">
        <v>484585.70307703683</v>
      </c>
      <c r="O7" s="1039">
        <v>234824.99466377788</v>
      </c>
      <c r="P7" s="1039">
        <v>249760.70841325892</v>
      </c>
    </row>
    <row r="8" spans="1:16" s="1046" customFormat="1" ht="15" customHeight="1">
      <c r="A8" s="1044"/>
      <c r="B8" s="1045" t="s">
        <v>363</v>
      </c>
      <c r="C8" s="258">
        <f>10650-C12</f>
        <v>5677</v>
      </c>
      <c r="D8" s="258">
        <f>'4.6_транзит_котельн.'!D8+'4.6_сбыт_котельн.'!D8</f>
        <v>12913</v>
      </c>
      <c r="E8" s="258">
        <f>'4.6_транзит_котельн.'!E8+'4.6_сбыт_котельн.'!E8</f>
        <v>0</v>
      </c>
      <c r="F8" s="258">
        <v>13374</v>
      </c>
      <c r="G8" s="258">
        <v>0</v>
      </c>
      <c r="H8" s="258">
        <v>18053</v>
      </c>
      <c r="I8" s="258">
        <v>15831.5</v>
      </c>
      <c r="J8" s="258">
        <v>20047.5</v>
      </c>
      <c r="K8" s="258">
        <v>18712.382379999999</v>
      </c>
      <c r="L8" s="258">
        <v>6549.3338329999997</v>
      </c>
      <c r="M8" s="258">
        <v>12163.048546999999</v>
      </c>
      <c r="N8" s="982">
        <v>22222.751204906996</v>
      </c>
      <c r="O8" s="258">
        <v>7777.9629217174479</v>
      </c>
      <c r="P8" s="258">
        <v>14444.788283189549</v>
      </c>
    </row>
    <row r="9" spans="1:16" s="4" customFormat="1" ht="15" customHeight="1">
      <c r="A9" s="17"/>
      <c r="B9" s="580" t="s">
        <v>1134</v>
      </c>
      <c r="C9" s="751">
        <v>4916</v>
      </c>
      <c r="D9" s="751">
        <f>'4.6_транзит_котельн.'!D9+'4.6_сбыт_котельн.'!D9</f>
        <v>8069</v>
      </c>
      <c r="E9" s="751">
        <f>'4.6_транзит_котельн.'!E9+'4.6_сбыт_котельн.'!E9</f>
        <v>0</v>
      </c>
      <c r="F9" s="751">
        <v>7804</v>
      </c>
      <c r="G9" s="751">
        <v>0</v>
      </c>
      <c r="H9" s="751">
        <v>11721</v>
      </c>
      <c r="I9" s="751">
        <v>10635</v>
      </c>
      <c r="J9" s="751">
        <v>14851</v>
      </c>
      <c r="K9" s="751">
        <v>11696</v>
      </c>
      <c r="L9" s="751">
        <v>4093.6</v>
      </c>
      <c r="M9" s="751">
        <v>7602.4</v>
      </c>
      <c r="N9" s="1606">
        <v>16462.405693681198</v>
      </c>
      <c r="O9" s="751">
        <v>5761.8419927884188</v>
      </c>
      <c r="P9" s="751">
        <v>10700.563700892779</v>
      </c>
    </row>
    <row r="10" spans="1:16" s="1046" customFormat="1" ht="15" customHeight="1">
      <c r="A10" s="1044"/>
      <c r="B10" s="1045" t="s">
        <v>364</v>
      </c>
      <c r="C10" s="258">
        <f>'4.6_транзит_котельн.'!C10+'4.6_сбыт_котельн.'!C10</f>
        <v>0</v>
      </c>
      <c r="D10" s="258">
        <f>'4.6_транзит_котельн.'!D10+'4.6_сбыт_котельн.'!D10</f>
        <v>0</v>
      </c>
      <c r="E10" s="258">
        <f>'4.6_транзит_котельн.'!E10+'4.6_сбыт_котельн.'!E10</f>
        <v>0</v>
      </c>
      <c r="F10" s="258">
        <v>0</v>
      </c>
      <c r="G10" s="258">
        <v>0</v>
      </c>
      <c r="H10" s="258">
        <v>0</v>
      </c>
      <c r="I10" s="258">
        <v>0</v>
      </c>
      <c r="J10" s="258">
        <v>0</v>
      </c>
      <c r="K10" s="258">
        <v>0</v>
      </c>
      <c r="L10" s="258">
        <v>0</v>
      </c>
      <c r="M10" s="258">
        <v>0</v>
      </c>
      <c r="N10" s="982">
        <v>0</v>
      </c>
      <c r="O10" s="258">
        <v>0</v>
      </c>
      <c r="P10" s="258">
        <v>0</v>
      </c>
    </row>
    <row r="11" spans="1:16" s="1046" customFormat="1" ht="30">
      <c r="A11" s="1044"/>
      <c r="B11" s="1045" t="s">
        <v>365</v>
      </c>
      <c r="C11" s="258">
        <v>68501</v>
      </c>
      <c r="D11" s="258">
        <f>'4.6_транзит_котельн.'!D11+'4.6_сбыт_котельн.'!D11</f>
        <v>2748</v>
      </c>
      <c r="E11" s="258">
        <f>'4.6_транзит_котельн.'!E11+'4.6_сбыт_котельн.'!E11</f>
        <v>0</v>
      </c>
      <c r="F11" s="258">
        <v>2872.1854060000001</v>
      </c>
      <c r="G11" s="258">
        <v>0</v>
      </c>
      <c r="H11" s="258">
        <v>4726.2021965601243</v>
      </c>
      <c r="I11" s="258">
        <v>0</v>
      </c>
      <c r="J11" s="258">
        <v>2890.1790000000001</v>
      </c>
      <c r="K11" s="258">
        <v>2992.4639999999999</v>
      </c>
      <c r="L11" s="258">
        <v>1471.2947999999999</v>
      </c>
      <c r="M11" s="258">
        <v>1521.1691999999998</v>
      </c>
      <c r="N11" s="982">
        <v>3262.9079339999994</v>
      </c>
      <c r="O11" s="258">
        <v>1615.4816903999997</v>
      </c>
      <c r="P11" s="258">
        <v>1647.4262435999997</v>
      </c>
    </row>
    <row r="12" spans="1:16" s="1046" customFormat="1" ht="15" customHeight="1">
      <c r="A12" s="1044"/>
      <c r="B12" s="1045" t="s">
        <v>366</v>
      </c>
      <c r="C12" s="258">
        <v>4973</v>
      </c>
      <c r="D12" s="258">
        <f>'4.6_транзит_котельн.'!D12+'4.6_сбыт_котельн.'!D12</f>
        <v>2323</v>
      </c>
      <c r="E12" s="258">
        <f>'4.6_транзит_котельн.'!E12+'4.6_сбыт_котельн.'!E12</f>
        <v>0</v>
      </c>
      <c r="F12" s="258">
        <v>4519.7906414337322</v>
      </c>
      <c r="G12" s="258">
        <v>5008.9605671999998</v>
      </c>
      <c r="H12" s="258">
        <v>3371.3935040758938</v>
      </c>
      <c r="I12" s="258">
        <v>0</v>
      </c>
      <c r="J12" s="258">
        <v>3576.3521942704524</v>
      </c>
      <c r="K12" s="258">
        <v>3749.4006070179998</v>
      </c>
      <c r="L12" s="258">
        <v>2285.1703819999998</v>
      </c>
      <c r="M12" s="258">
        <v>1464.2302250180001</v>
      </c>
      <c r="N12" s="982">
        <v>4023.2414719058097</v>
      </c>
      <c r="O12" s="258">
        <v>2493.1208867619998</v>
      </c>
      <c r="P12" s="258">
        <v>1530.1205851438099</v>
      </c>
    </row>
    <row r="13" spans="1:16" s="1046" customFormat="1" ht="15" customHeight="1">
      <c r="A13" s="1044"/>
      <c r="B13" s="1045" t="s">
        <v>367</v>
      </c>
      <c r="C13" s="258">
        <f>'4.6_транзит_котельн.'!C13+'4.6_сбыт_котельн.'!C13</f>
        <v>0</v>
      </c>
      <c r="D13" s="258">
        <f>'4.6_транзит_котельн.'!D13+'4.6_сбыт_котельн.'!D13</f>
        <v>0</v>
      </c>
      <c r="E13" s="258">
        <f>'4.6_транзит_котельн.'!E13+'4.6_сбыт_котельн.'!E13</f>
        <v>0</v>
      </c>
      <c r="F13" s="258">
        <v>0</v>
      </c>
      <c r="G13" s="258">
        <v>0</v>
      </c>
      <c r="H13" s="258">
        <v>0</v>
      </c>
      <c r="I13" s="258">
        <v>0</v>
      </c>
      <c r="J13" s="258">
        <v>0</v>
      </c>
      <c r="K13" s="258">
        <v>0</v>
      </c>
      <c r="L13" s="258">
        <v>0</v>
      </c>
      <c r="M13" s="258">
        <v>0</v>
      </c>
      <c r="N13" s="982">
        <v>0</v>
      </c>
      <c r="O13" s="258">
        <v>0</v>
      </c>
      <c r="P13" s="258">
        <v>0</v>
      </c>
    </row>
    <row r="14" spans="1:16" s="1046" customFormat="1" ht="30">
      <c r="A14" s="1044"/>
      <c r="B14" s="1045" t="s">
        <v>368</v>
      </c>
      <c r="C14" s="258">
        <v>389</v>
      </c>
      <c r="D14" s="258">
        <f>'4.6_транзит_котельн.'!D14+'4.6_сбыт_котельн.'!D14</f>
        <v>1573</v>
      </c>
      <c r="E14" s="258">
        <f>'4.6_транзит_котельн.'!E14+'4.6_сбыт_котельн.'!E14</f>
        <v>0</v>
      </c>
      <c r="F14" s="258">
        <v>1655</v>
      </c>
      <c r="G14" s="258">
        <v>0</v>
      </c>
      <c r="H14" s="258">
        <v>8075</v>
      </c>
      <c r="I14" s="258">
        <v>0</v>
      </c>
      <c r="J14" s="258">
        <v>31093</v>
      </c>
      <c r="K14" s="258">
        <v>9884</v>
      </c>
      <c r="L14" s="258">
        <v>4930</v>
      </c>
      <c r="M14" s="258">
        <v>4954</v>
      </c>
      <c r="N14" s="982">
        <v>8967</v>
      </c>
      <c r="O14" s="258">
        <v>4472</v>
      </c>
      <c r="P14" s="258">
        <v>4495</v>
      </c>
    </row>
    <row r="15" spans="1:16" s="1046" customFormat="1" ht="15" customHeight="1">
      <c r="A15" s="1044"/>
      <c r="B15" s="1045" t="s">
        <v>1135</v>
      </c>
      <c r="C15" s="258">
        <f>C16+C18+C19</f>
        <v>163423</v>
      </c>
      <c r="D15" s="258">
        <f t="shared" ref="D15:E15" si="1">D16+D18+D19</f>
        <v>160306</v>
      </c>
      <c r="E15" s="258">
        <f t="shared" si="1"/>
        <v>0</v>
      </c>
      <c r="F15" s="258">
        <v>204820</v>
      </c>
      <c r="G15" s="258">
        <v>0</v>
      </c>
      <c r="H15" s="258">
        <v>224537.88482679997</v>
      </c>
      <c r="I15" s="258">
        <v>0</v>
      </c>
      <c r="J15" s="258">
        <v>260325.72264000002</v>
      </c>
      <c r="K15" s="258">
        <v>287169.75084999995</v>
      </c>
      <c r="L15" s="258">
        <v>138002.32999999999</v>
      </c>
      <c r="M15" s="258">
        <v>149167.42084999999</v>
      </c>
      <c r="N15" s="982">
        <v>304019.67525000003</v>
      </c>
      <c r="O15" s="258">
        <v>147268.26895</v>
      </c>
      <c r="P15" s="258">
        <v>156751.40630000003</v>
      </c>
    </row>
    <row r="16" spans="1:16" s="4" customFormat="1" ht="15" customHeight="1">
      <c r="A16" s="17"/>
      <c r="B16" s="581" t="s">
        <v>1136</v>
      </c>
      <c r="C16" s="308">
        <v>162203</v>
      </c>
      <c r="D16" s="308">
        <f>'4.6_транзит_котельн.'!D16+'4.6_сбыт_котельн.'!D16</f>
        <v>157556</v>
      </c>
      <c r="E16" s="308">
        <f>'4.6_транзит_котельн.'!E16+'4.6_сбыт_котельн.'!E16</f>
        <v>0</v>
      </c>
      <c r="F16" s="308">
        <v>200307</v>
      </c>
      <c r="G16" s="308">
        <v>0</v>
      </c>
      <c r="H16" s="308">
        <v>218938.88482679997</v>
      </c>
      <c r="I16" s="308">
        <v>0</v>
      </c>
      <c r="J16" s="308">
        <v>254298.72264000002</v>
      </c>
      <c r="K16" s="308">
        <v>280785.75084999995</v>
      </c>
      <c r="L16" s="308">
        <v>134810.32999999999</v>
      </c>
      <c r="M16" s="308">
        <v>145975.42084999999</v>
      </c>
      <c r="N16" s="982">
        <v>297348.67525000003</v>
      </c>
      <c r="O16" s="308">
        <v>143932.76895</v>
      </c>
      <c r="P16" s="308">
        <v>153415.90630000003</v>
      </c>
    </row>
    <row r="17" spans="1:16" s="4" customFormat="1" ht="15" customHeight="1">
      <c r="A17" s="17"/>
      <c r="B17" s="580" t="s">
        <v>1134</v>
      </c>
      <c r="C17" s="751">
        <v>8363</v>
      </c>
      <c r="D17" s="751">
        <f>'4.6_транзит_котельн.'!D17+'4.6_сбыт_котельн.'!D17</f>
        <v>11518</v>
      </c>
      <c r="E17" s="751">
        <f>'4.6_транзит_котельн.'!E17+'4.6_сбыт_котельн.'!E17</f>
        <v>0</v>
      </c>
      <c r="F17" s="751">
        <v>14545</v>
      </c>
      <c r="G17" s="751">
        <v>0</v>
      </c>
      <c r="H17" s="751">
        <v>14566</v>
      </c>
      <c r="I17" s="751">
        <v>0</v>
      </c>
      <c r="J17" s="751">
        <v>16751</v>
      </c>
      <c r="K17" s="751">
        <v>19581</v>
      </c>
      <c r="L17" s="751">
        <v>9409</v>
      </c>
      <c r="M17" s="751">
        <v>10172</v>
      </c>
      <c r="N17" s="1606">
        <v>20723</v>
      </c>
      <c r="O17" s="751">
        <v>10037</v>
      </c>
      <c r="P17" s="751">
        <v>10686</v>
      </c>
    </row>
    <row r="18" spans="1:16" s="4" customFormat="1" ht="15" customHeight="1">
      <c r="A18" s="17"/>
      <c r="B18" s="581" t="s">
        <v>1137</v>
      </c>
      <c r="C18" s="308">
        <v>1220</v>
      </c>
      <c r="D18" s="308">
        <f>'4.6_транзит_котельн.'!D18+'4.6_сбыт_котельн.'!D18</f>
        <v>2750</v>
      </c>
      <c r="E18" s="308">
        <f>'4.6_транзит_котельн.'!E18+'4.6_сбыт_котельн.'!E18</f>
        <v>0</v>
      </c>
      <c r="F18" s="308">
        <v>4411</v>
      </c>
      <c r="G18" s="308">
        <v>0</v>
      </c>
      <c r="H18" s="308">
        <v>5440</v>
      </c>
      <c r="I18" s="308">
        <v>0</v>
      </c>
      <c r="J18" s="308">
        <v>6027</v>
      </c>
      <c r="K18" s="308">
        <v>6384</v>
      </c>
      <c r="L18" s="308">
        <v>3192</v>
      </c>
      <c r="M18" s="308">
        <v>3192</v>
      </c>
      <c r="N18" s="982">
        <v>6671</v>
      </c>
      <c r="O18" s="308">
        <v>3335.5</v>
      </c>
      <c r="P18" s="308">
        <v>3335.5</v>
      </c>
    </row>
    <row r="19" spans="1:16" s="4" customFormat="1" ht="15" customHeight="1">
      <c r="A19" s="17"/>
      <c r="B19" s="581" t="s">
        <v>1138</v>
      </c>
      <c r="C19" s="308">
        <f>'4.6_транзит_котельн.'!C19+'4.6_сбыт_котельн.'!C19</f>
        <v>0</v>
      </c>
      <c r="D19" s="308">
        <f>'4.6_транзит_котельн.'!D19+'4.6_сбыт_котельн.'!D19</f>
        <v>0</v>
      </c>
      <c r="E19" s="308">
        <f>'4.6_транзит_котельн.'!E19+'4.6_сбыт_котельн.'!E19</f>
        <v>0</v>
      </c>
      <c r="F19" s="308">
        <v>102</v>
      </c>
      <c r="G19" s="308">
        <v>0</v>
      </c>
      <c r="H19" s="308">
        <v>159</v>
      </c>
      <c r="I19" s="308">
        <v>0</v>
      </c>
      <c r="J19" s="308">
        <v>0</v>
      </c>
      <c r="K19" s="308">
        <v>0</v>
      </c>
      <c r="L19" s="308">
        <v>0</v>
      </c>
      <c r="M19" s="308">
        <v>0</v>
      </c>
      <c r="N19" s="982">
        <v>0</v>
      </c>
      <c r="O19" s="308">
        <v>0</v>
      </c>
      <c r="P19" s="308">
        <v>0</v>
      </c>
    </row>
    <row r="20" spans="1:16" s="1046" customFormat="1">
      <c r="A20" s="1044"/>
      <c r="B20" s="1045" t="s">
        <v>369</v>
      </c>
      <c r="C20" s="258">
        <v>92687</v>
      </c>
      <c r="D20" s="258">
        <f>'4.6_транзит_котельн.'!D20+'4.6_сбыт_котельн.'!D20</f>
        <v>46621</v>
      </c>
      <c r="E20" s="258">
        <f>'4.6_транзит_котельн.'!E20+'4.6_сбыт_котельн.'!E20</f>
        <v>0</v>
      </c>
      <c r="F20" s="258">
        <v>57300</v>
      </c>
      <c r="G20" s="258">
        <v>0</v>
      </c>
      <c r="H20" s="258">
        <v>64711</v>
      </c>
      <c r="I20" s="258">
        <v>0</v>
      </c>
      <c r="J20" s="258">
        <v>73058</v>
      </c>
      <c r="K20" s="258">
        <v>87173</v>
      </c>
      <c r="L20" s="258">
        <v>45263</v>
      </c>
      <c r="M20" s="258">
        <v>41910</v>
      </c>
      <c r="N20" s="982">
        <v>94074</v>
      </c>
      <c r="O20" s="258">
        <v>47826</v>
      </c>
      <c r="P20" s="258">
        <v>46248</v>
      </c>
    </row>
    <row r="21" spans="1:16" s="4" customFormat="1">
      <c r="A21" s="17"/>
      <c r="B21" s="580" t="s">
        <v>1134</v>
      </c>
      <c r="C21" s="751">
        <v>2438</v>
      </c>
      <c r="D21" s="751">
        <f>'4.6_транзит_котельн.'!D21+'4.6_сбыт_котельн.'!D21</f>
        <v>3538</v>
      </c>
      <c r="E21" s="751">
        <f>'4.6_транзит_котельн.'!E21+'4.6_сбыт_котельн.'!E21</f>
        <v>0</v>
      </c>
      <c r="F21" s="751">
        <v>4518</v>
      </c>
      <c r="G21" s="751">
        <v>0</v>
      </c>
      <c r="H21" s="751">
        <v>4642</v>
      </c>
      <c r="I21" s="751">
        <v>0</v>
      </c>
      <c r="J21" s="751">
        <v>5414</v>
      </c>
      <c r="K21" s="751">
        <v>5913</v>
      </c>
      <c r="L21" s="751">
        <v>2732.1082509237372</v>
      </c>
      <c r="M21" s="751">
        <v>3180.8917490762628</v>
      </c>
      <c r="N21" s="1606">
        <v>6304.187455274081</v>
      </c>
      <c r="O21" s="751">
        <v>2914.4617403041293</v>
      </c>
      <c r="P21" s="751">
        <v>3389.7257149699517</v>
      </c>
    </row>
    <row r="22" spans="1:16" s="1046" customFormat="1" ht="30" customHeight="1">
      <c r="A22" s="1044"/>
      <c r="B22" s="1045" t="s">
        <v>370</v>
      </c>
      <c r="C22" s="258">
        <v>22179</v>
      </c>
      <c r="D22" s="258">
        <f>'4.6_транзит_котельн.'!D22+'4.6_сбыт_котельн.'!D22</f>
        <v>9230</v>
      </c>
      <c r="E22" s="258">
        <f>'4.6_транзит_котельн.'!E22+'4.6_сбыт_котельн.'!E22</f>
        <v>0</v>
      </c>
      <c r="F22" s="258">
        <v>1263</v>
      </c>
      <c r="G22" s="258">
        <v>0</v>
      </c>
      <c r="H22" s="258">
        <v>16404</v>
      </c>
      <c r="I22" s="258">
        <v>3266</v>
      </c>
      <c r="J22" s="258">
        <v>7512</v>
      </c>
      <c r="K22" s="258">
        <v>10084</v>
      </c>
      <c r="L22" s="258">
        <v>5042</v>
      </c>
      <c r="M22" s="258">
        <v>5042</v>
      </c>
      <c r="N22" s="982">
        <v>10240.170659999998</v>
      </c>
      <c r="O22" s="258">
        <v>5120.085329999999</v>
      </c>
      <c r="P22" s="258">
        <v>5120.085329999999</v>
      </c>
    </row>
    <row r="23" spans="1:16" s="1046" customFormat="1" ht="45">
      <c r="A23" s="1044"/>
      <c r="B23" s="1045" t="s">
        <v>1139</v>
      </c>
      <c r="C23" s="258">
        <f>'4.6_транзит_котельн.'!C23+'4.6_сбыт_котельн.'!C23</f>
        <v>0</v>
      </c>
      <c r="D23" s="258">
        <f>'4.6_транзит_котельн.'!D23+'4.6_сбыт_котельн.'!D23</f>
        <v>0</v>
      </c>
      <c r="E23" s="258">
        <f>'4.6_транзит_котельн.'!E23+'4.6_сбыт_котельн.'!E23</f>
        <v>0</v>
      </c>
      <c r="F23" s="258">
        <v>2560</v>
      </c>
      <c r="G23" s="258">
        <v>0</v>
      </c>
      <c r="H23" s="258">
        <v>2575</v>
      </c>
      <c r="I23" s="258">
        <v>0</v>
      </c>
      <c r="J23" s="258">
        <v>2743</v>
      </c>
      <c r="K23" s="258">
        <v>2975</v>
      </c>
      <c r="L23" s="258">
        <v>1923</v>
      </c>
      <c r="M23" s="258">
        <v>1052</v>
      </c>
      <c r="N23" s="982">
        <v>3167</v>
      </c>
      <c r="O23" s="258">
        <v>2053</v>
      </c>
      <c r="P23" s="258">
        <v>1114</v>
      </c>
    </row>
    <row r="24" spans="1:16" s="1046" customFormat="1" ht="60">
      <c r="A24" s="1044"/>
      <c r="B24" s="1045" t="s">
        <v>372</v>
      </c>
      <c r="C24" s="258">
        <f>29135-22179</f>
        <v>6956</v>
      </c>
      <c r="D24" s="258">
        <f>'4.6_транзит_котельн.'!D24+'4.6_сбыт_котельн.'!D24</f>
        <v>3112</v>
      </c>
      <c r="E24" s="258">
        <f>'4.6_транзит_котельн.'!E24+'4.6_сбыт_котельн.'!E24</f>
        <v>0</v>
      </c>
      <c r="F24" s="258">
        <v>8413</v>
      </c>
      <c r="G24" s="258">
        <v>0</v>
      </c>
      <c r="H24" s="258">
        <v>5487</v>
      </c>
      <c r="I24" s="258">
        <v>6642</v>
      </c>
      <c r="J24" s="258">
        <v>6642</v>
      </c>
      <c r="K24" s="258">
        <v>7022.7194400000008</v>
      </c>
      <c r="L24" s="258">
        <v>2457.9518040000003</v>
      </c>
      <c r="M24" s="258">
        <v>4564.7676360000005</v>
      </c>
      <c r="N24" s="982">
        <v>7362.6892880903988</v>
      </c>
      <c r="O24" s="258">
        <v>2576.9412508316395</v>
      </c>
      <c r="P24" s="258">
        <v>4785.7480372587588</v>
      </c>
    </row>
    <row r="25" spans="1:16" s="1046" customFormat="1" ht="90">
      <c r="A25" s="1044"/>
      <c r="B25" s="1045" t="s">
        <v>373</v>
      </c>
      <c r="C25" s="258">
        <f>C27+C28+C29+C55</f>
        <v>5599</v>
      </c>
      <c r="D25" s="258">
        <f t="shared" ref="D25" si="2">D27+D28+D29+D55</f>
        <v>13792.019400000001</v>
      </c>
      <c r="E25" s="258">
        <f>E27+E28+E29</f>
        <v>0</v>
      </c>
      <c r="F25" s="258">
        <v>17123.28772</v>
      </c>
      <c r="G25" s="258">
        <v>0</v>
      </c>
      <c r="H25" s="258">
        <v>22010.125</v>
      </c>
      <c r="I25" s="258">
        <v>16</v>
      </c>
      <c r="J25" s="258">
        <v>16</v>
      </c>
      <c r="K25" s="258">
        <v>16.917120000000001</v>
      </c>
      <c r="L25" s="258">
        <v>8.4585600000000003</v>
      </c>
      <c r="M25" s="258">
        <v>8.4585600000000003</v>
      </c>
      <c r="N25" s="258">
        <v>17.736077779199999</v>
      </c>
      <c r="O25" s="258">
        <v>8.8680388895999993</v>
      </c>
      <c r="P25" s="258">
        <v>8.8680388895999993</v>
      </c>
    </row>
    <row r="26" spans="1:16" s="4" customFormat="1">
      <c r="A26" s="17"/>
      <c r="B26" s="51" t="s">
        <v>70</v>
      </c>
      <c r="C26" s="241"/>
      <c r="D26" s="241"/>
      <c r="E26" s="241"/>
      <c r="F26" s="241"/>
      <c r="G26" s="241"/>
      <c r="H26" s="241"/>
      <c r="I26" s="241"/>
      <c r="J26" s="241"/>
      <c r="K26" s="241"/>
      <c r="L26" s="241"/>
      <c r="M26" s="241"/>
      <c r="N26" s="982"/>
      <c r="O26" s="241"/>
      <c r="P26" s="241"/>
    </row>
    <row r="27" spans="1:16" s="4" customFormat="1">
      <c r="A27" s="17"/>
      <c r="B27" s="581" t="s">
        <v>1275</v>
      </c>
      <c r="C27" s="766">
        <v>53</v>
      </c>
      <c r="D27" s="766">
        <f>'4.6_транзит_котельн.'!D27+'4.6_сбыт_котельн.'!D27</f>
        <v>6</v>
      </c>
      <c r="E27" s="766">
        <f>'4.6_транзит_котельн.'!E27+'4.6_сбыт_котельн.'!E27</f>
        <v>0</v>
      </c>
      <c r="F27" s="766">
        <v>3</v>
      </c>
      <c r="G27" s="766">
        <v>0</v>
      </c>
      <c r="H27" s="766">
        <v>0</v>
      </c>
      <c r="I27" s="766">
        <v>0</v>
      </c>
      <c r="J27" s="766">
        <v>0</v>
      </c>
      <c r="K27" s="766">
        <v>0</v>
      </c>
      <c r="L27" s="766">
        <v>0</v>
      </c>
      <c r="M27" s="766">
        <v>0</v>
      </c>
      <c r="N27" s="993">
        <v>0</v>
      </c>
      <c r="O27" s="766">
        <v>0</v>
      </c>
      <c r="P27" s="766">
        <v>0</v>
      </c>
    </row>
    <row r="28" spans="1:16" s="4" customFormat="1">
      <c r="A28" s="17"/>
      <c r="B28" s="581" t="s">
        <v>1276</v>
      </c>
      <c r="C28" s="766">
        <f>'4.6_транзит_котельн.'!C28+'4.6_сбыт_котельн.'!C28</f>
        <v>0</v>
      </c>
      <c r="D28" s="766">
        <f>'4.6_транзит_котельн.'!D28+'4.6_сбыт_котельн.'!D28</f>
        <v>0</v>
      </c>
      <c r="E28" s="766">
        <f>'4.6_транзит_котельн.'!E28+'4.6_сбыт_котельн.'!E28</f>
        <v>0</v>
      </c>
      <c r="F28" s="766">
        <v>34</v>
      </c>
      <c r="G28" s="766">
        <v>0</v>
      </c>
      <c r="H28" s="766">
        <v>32</v>
      </c>
      <c r="I28" s="766">
        <v>16</v>
      </c>
      <c r="J28" s="766">
        <v>16</v>
      </c>
      <c r="K28" s="766">
        <v>16.917120000000001</v>
      </c>
      <c r="L28" s="766">
        <v>8.4585600000000003</v>
      </c>
      <c r="M28" s="766">
        <v>8.4585600000000003</v>
      </c>
      <c r="N28" s="993">
        <v>17.736077779199999</v>
      </c>
      <c r="O28" s="766">
        <v>8.8680388895999993</v>
      </c>
      <c r="P28" s="766">
        <v>8.8680388895999993</v>
      </c>
    </row>
    <row r="29" spans="1:16" s="4" customFormat="1">
      <c r="A29" s="17"/>
      <c r="B29" s="581" t="s">
        <v>1559</v>
      </c>
      <c r="C29" s="766">
        <v>5546</v>
      </c>
      <c r="D29" s="981">
        <f>'4.6_транзит_котельн.'!D29+'4.6_сбыт_котельн.'!D29</f>
        <v>13786.019400000001</v>
      </c>
      <c r="E29" s="766">
        <f t="shared" ref="E29" si="3">E30+E31</f>
        <v>0</v>
      </c>
      <c r="F29" s="766">
        <v>17086.28772</v>
      </c>
      <c r="G29" s="766">
        <v>0</v>
      </c>
      <c r="H29" s="766">
        <v>21978.125</v>
      </c>
      <c r="I29" s="766">
        <v>0</v>
      </c>
      <c r="J29" s="766">
        <v>0</v>
      </c>
      <c r="K29" s="766">
        <v>0</v>
      </c>
      <c r="L29" s="766">
        <v>0</v>
      </c>
      <c r="M29" s="766">
        <v>0</v>
      </c>
      <c r="N29" s="766">
        <v>0</v>
      </c>
      <c r="O29" s="766">
        <v>0</v>
      </c>
      <c r="P29" s="766">
        <v>0</v>
      </c>
    </row>
    <row r="30" spans="1:16" s="4" customFormat="1" hidden="1" outlineLevel="1">
      <c r="A30" s="737" t="s">
        <v>89</v>
      </c>
      <c r="B30" s="738" t="s">
        <v>1244</v>
      </c>
      <c r="C30" s="746">
        <f>'4.6_транзит_котельн.'!C30+'4.6_сбыт_котельн.'!C30</f>
        <v>0</v>
      </c>
      <c r="D30" s="746">
        <f>'4.6_транзит_котельн.'!D30+'4.6_сбыт_котельн.'!D30</f>
        <v>1772</v>
      </c>
      <c r="E30" s="746">
        <f>'4.6_транзит_котельн.'!E30+'4.6_сбыт_котельн.'!E30</f>
        <v>0</v>
      </c>
      <c r="F30" s="746">
        <v>1191</v>
      </c>
      <c r="G30" s="746">
        <v>0</v>
      </c>
      <c r="H30" s="746">
        <v>1181</v>
      </c>
      <c r="I30" s="746">
        <v>0</v>
      </c>
      <c r="J30" s="746">
        <v>0</v>
      </c>
      <c r="K30" s="746">
        <v>0</v>
      </c>
      <c r="L30" s="746">
        <v>0</v>
      </c>
      <c r="M30" s="746">
        <v>0</v>
      </c>
      <c r="N30" s="1607">
        <v>0</v>
      </c>
      <c r="O30" s="746">
        <v>0</v>
      </c>
      <c r="P30" s="746">
        <v>0</v>
      </c>
    </row>
    <row r="31" spans="1:16" s="341" customFormat="1" hidden="1" outlineLevel="1">
      <c r="A31" s="760" t="s">
        <v>91</v>
      </c>
      <c r="B31" s="761" t="s">
        <v>1245</v>
      </c>
      <c r="C31" s="746">
        <f t="shared" ref="C31:D31" si="4">SUM(C32:C43)+C45</f>
        <v>0</v>
      </c>
      <c r="D31" s="746">
        <f t="shared" si="4"/>
        <v>12014.019400000001</v>
      </c>
      <c r="E31" s="746">
        <f>SUM(E32:E45)</f>
        <v>0</v>
      </c>
      <c r="F31" s="746">
        <v>15895.287719999998</v>
      </c>
      <c r="G31" s="746">
        <v>0</v>
      </c>
      <c r="H31" s="746">
        <v>20797.125</v>
      </c>
      <c r="I31" s="746">
        <v>0</v>
      </c>
      <c r="J31" s="746">
        <v>0</v>
      </c>
      <c r="K31" s="746">
        <v>0</v>
      </c>
      <c r="L31" s="746">
        <v>0</v>
      </c>
      <c r="M31" s="746">
        <v>0</v>
      </c>
      <c r="N31" s="746">
        <v>0</v>
      </c>
      <c r="O31" s="746">
        <v>0</v>
      </c>
      <c r="P31" s="746">
        <v>0</v>
      </c>
    </row>
    <row r="32" spans="1:16" s="4" customFormat="1" ht="25.5" hidden="1" outlineLevel="1">
      <c r="A32" s="739" t="s">
        <v>1044</v>
      </c>
      <c r="B32" s="740" t="s">
        <v>1247</v>
      </c>
      <c r="C32" s="750">
        <f>'4.6_транзит_котельн.'!C32+'4.6_сбыт_котельн.'!C32</f>
        <v>0</v>
      </c>
      <c r="D32" s="750">
        <f>'4.6_транзит_котельн.'!D32+'4.6_сбыт_котельн.'!D32</f>
        <v>1214.2623000000001</v>
      </c>
      <c r="E32" s="750">
        <f>'4.6_транзит_котельн.'!E32+'4.6_сбыт_котельн.'!E32</f>
        <v>0</v>
      </c>
      <c r="F32" s="750">
        <v>1226.4571799999999</v>
      </c>
      <c r="G32" s="750">
        <v>0</v>
      </c>
      <c r="H32" s="750">
        <v>1488.125</v>
      </c>
      <c r="I32" s="750">
        <v>0</v>
      </c>
      <c r="J32" s="750">
        <v>0</v>
      </c>
      <c r="K32" s="750">
        <v>0</v>
      </c>
      <c r="L32" s="750">
        <v>0</v>
      </c>
      <c r="M32" s="750">
        <v>0</v>
      </c>
      <c r="N32" s="1608">
        <v>0</v>
      </c>
      <c r="O32" s="750">
        <v>0</v>
      </c>
      <c r="P32" s="750">
        <v>0</v>
      </c>
    </row>
    <row r="33" spans="1:16" s="4" customFormat="1" ht="25.5" hidden="1" outlineLevel="1">
      <c r="A33" s="739" t="s">
        <v>1043</v>
      </c>
      <c r="B33" s="740" t="s">
        <v>1249</v>
      </c>
      <c r="C33" s="750">
        <f>'4.6_транзит_котельн.'!C33+'4.6_сбыт_котельн.'!C33</f>
        <v>0</v>
      </c>
      <c r="D33" s="750">
        <f>'4.6_транзит_котельн.'!D33+'4.6_сбыт_котельн.'!D33</f>
        <v>0</v>
      </c>
      <c r="E33" s="750">
        <f>'4.6_транзит_котельн.'!E33+'4.6_сбыт_котельн.'!E33</f>
        <v>0</v>
      </c>
      <c r="F33" s="750">
        <v>0.55925999999999998</v>
      </c>
      <c r="G33" s="750">
        <v>0</v>
      </c>
      <c r="H33" s="750">
        <v>0</v>
      </c>
      <c r="I33" s="750">
        <v>0</v>
      </c>
      <c r="J33" s="750">
        <v>0</v>
      </c>
      <c r="K33" s="750">
        <v>0</v>
      </c>
      <c r="L33" s="750">
        <v>0</v>
      </c>
      <c r="M33" s="750">
        <v>0</v>
      </c>
      <c r="N33" s="1608">
        <v>0</v>
      </c>
      <c r="O33" s="750">
        <v>0</v>
      </c>
      <c r="P33" s="750">
        <v>0</v>
      </c>
    </row>
    <row r="34" spans="1:16" s="4" customFormat="1" hidden="1" outlineLevel="1">
      <c r="A34" s="741" t="s">
        <v>1540</v>
      </c>
      <c r="B34" s="740" t="s">
        <v>1250</v>
      </c>
      <c r="C34" s="750">
        <f>'4.6_транзит_котельн.'!C34+'4.6_сбыт_котельн.'!C34</f>
        <v>0</v>
      </c>
      <c r="D34" s="750">
        <f>'4.6_транзит_котельн.'!D34+'4.6_сбыт_котельн.'!D34</f>
        <v>128.57499999999999</v>
      </c>
      <c r="E34" s="750">
        <f>'4.6_транзит_котельн.'!E34+'4.6_сбыт_котельн.'!E34</f>
        <v>0</v>
      </c>
      <c r="F34" s="750">
        <v>149.88167999999999</v>
      </c>
      <c r="G34" s="750">
        <v>0</v>
      </c>
      <c r="H34" s="750">
        <v>196.25</v>
      </c>
      <c r="I34" s="750">
        <v>0</v>
      </c>
      <c r="J34" s="750">
        <v>0</v>
      </c>
      <c r="K34" s="750">
        <v>0</v>
      </c>
      <c r="L34" s="750">
        <v>0</v>
      </c>
      <c r="M34" s="750">
        <v>0</v>
      </c>
      <c r="N34" s="1608">
        <v>0</v>
      </c>
      <c r="O34" s="750">
        <v>0</v>
      </c>
      <c r="P34" s="750">
        <v>0</v>
      </c>
    </row>
    <row r="35" spans="1:16" s="4" customFormat="1" ht="25.5" hidden="1" outlineLevel="1">
      <c r="A35" s="739" t="s">
        <v>1541</v>
      </c>
      <c r="B35" s="740" t="s">
        <v>1251</v>
      </c>
      <c r="C35" s="750">
        <f>'4.6_транзит_котельн.'!C35+'4.6_сбыт_котельн.'!C35</f>
        <v>0</v>
      </c>
      <c r="D35" s="750">
        <f>'4.6_транзит_котельн.'!D35+'4.6_сбыт_котельн.'!D35</f>
        <v>1108.8308000000002</v>
      </c>
      <c r="E35" s="750">
        <f>'4.6_транзит_котельн.'!E35+'4.6_сбыт_котельн.'!E35</f>
        <v>0</v>
      </c>
      <c r="F35" s="750">
        <v>1074.3384599999999</v>
      </c>
      <c r="G35" s="750">
        <v>0</v>
      </c>
      <c r="H35" s="750">
        <v>953.125</v>
      </c>
      <c r="I35" s="750">
        <v>0</v>
      </c>
      <c r="J35" s="750">
        <v>0</v>
      </c>
      <c r="K35" s="750">
        <v>0</v>
      </c>
      <c r="L35" s="750">
        <v>0</v>
      </c>
      <c r="M35" s="750">
        <v>0</v>
      </c>
      <c r="N35" s="1608">
        <v>0</v>
      </c>
      <c r="O35" s="750">
        <v>0</v>
      </c>
      <c r="P35" s="750">
        <v>0</v>
      </c>
    </row>
    <row r="36" spans="1:16" s="4" customFormat="1" hidden="1" outlineLevel="1">
      <c r="A36" s="739" t="s">
        <v>1542</v>
      </c>
      <c r="B36" s="740" t="s">
        <v>1252</v>
      </c>
      <c r="C36" s="750">
        <f>'4.6_транзит_котельн.'!C36+'4.6_сбыт_котельн.'!C36</f>
        <v>0</v>
      </c>
      <c r="D36" s="750">
        <f>'4.6_транзит_котельн.'!D36+'4.6_сбыт_котельн.'!D36</f>
        <v>4133.4291000000003</v>
      </c>
      <c r="E36" s="750">
        <f>'4.6_транзит_котельн.'!E36+'4.6_сбыт_котельн.'!E36</f>
        <v>0</v>
      </c>
      <c r="F36" s="750">
        <v>5696.6223599999994</v>
      </c>
      <c r="G36" s="750">
        <v>0</v>
      </c>
      <c r="H36" s="750">
        <v>7181.875</v>
      </c>
      <c r="I36" s="750">
        <v>0</v>
      </c>
      <c r="J36" s="750">
        <v>0</v>
      </c>
      <c r="K36" s="750">
        <v>0</v>
      </c>
      <c r="L36" s="750">
        <v>0</v>
      </c>
      <c r="M36" s="750">
        <v>0</v>
      </c>
      <c r="N36" s="1608">
        <v>0</v>
      </c>
      <c r="O36" s="750">
        <v>0</v>
      </c>
      <c r="P36" s="750">
        <v>0</v>
      </c>
    </row>
    <row r="37" spans="1:16" s="4" customFormat="1" hidden="1" outlineLevel="1">
      <c r="A37" s="739" t="s">
        <v>1543</v>
      </c>
      <c r="B37" s="740" t="s">
        <v>1253</v>
      </c>
      <c r="C37" s="750">
        <f>'4.6_транзит_котельн.'!C37+'4.6_сбыт_котельн.'!C37</f>
        <v>0</v>
      </c>
      <c r="D37" s="750">
        <f>'4.6_транзит_котельн.'!D37+'4.6_сбыт_котельн.'!D37</f>
        <v>1357.752</v>
      </c>
      <c r="E37" s="750">
        <f>'4.6_транзит_котельн.'!E37+'4.6_сбыт_котельн.'!E37</f>
        <v>0</v>
      </c>
      <c r="F37" s="750">
        <v>69.34823999999999</v>
      </c>
      <c r="G37" s="750">
        <v>0</v>
      </c>
      <c r="H37" s="750">
        <v>84.375000000000014</v>
      </c>
      <c r="I37" s="750">
        <v>0</v>
      </c>
      <c r="J37" s="750">
        <v>0</v>
      </c>
      <c r="K37" s="750">
        <v>0</v>
      </c>
      <c r="L37" s="750">
        <v>0</v>
      </c>
      <c r="M37" s="750">
        <v>0</v>
      </c>
      <c r="N37" s="1608">
        <v>0</v>
      </c>
      <c r="O37" s="750">
        <v>0</v>
      </c>
      <c r="P37" s="750">
        <v>0</v>
      </c>
    </row>
    <row r="38" spans="1:16" s="4" customFormat="1" hidden="1" outlineLevel="1">
      <c r="A38" s="739" t="s">
        <v>1544</v>
      </c>
      <c r="B38" s="742" t="s">
        <v>1254</v>
      </c>
      <c r="C38" s="750">
        <f>'4.6_транзит_котельн.'!C38+'4.6_сбыт_котельн.'!C38</f>
        <v>0</v>
      </c>
      <c r="D38" s="750">
        <f>'4.6_транзит_котельн.'!D38+'4.6_сбыт_котельн.'!D38</f>
        <v>254.57849999999999</v>
      </c>
      <c r="E38" s="750">
        <f>'4.6_транзит_котельн.'!E38+'4.6_сбыт_котельн.'!E38</f>
        <v>0</v>
      </c>
      <c r="F38" s="750">
        <v>229.29660000000001</v>
      </c>
      <c r="G38" s="750">
        <v>0</v>
      </c>
      <c r="H38" s="750">
        <v>20</v>
      </c>
      <c r="I38" s="750">
        <v>0</v>
      </c>
      <c r="J38" s="750">
        <v>0</v>
      </c>
      <c r="K38" s="750">
        <v>0</v>
      </c>
      <c r="L38" s="750">
        <v>0</v>
      </c>
      <c r="M38" s="750">
        <v>0</v>
      </c>
      <c r="N38" s="1608">
        <v>0</v>
      </c>
      <c r="O38" s="750">
        <v>0</v>
      </c>
      <c r="P38" s="750">
        <v>0</v>
      </c>
    </row>
    <row r="39" spans="1:16" s="4" customFormat="1" hidden="1" outlineLevel="1">
      <c r="A39" s="739" t="s">
        <v>1545</v>
      </c>
      <c r="B39" s="740" t="s">
        <v>1255</v>
      </c>
      <c r="C39" s="750">
        <f>'4.6_транзит_котельн.'!C39+'4.6_сбыт_котельн.'!C39</f>
        <v>0</v>
      </c>
      <c r="D39" s="750">
        <f>'4.6_транзит_котельн.'!D39+'4.6_сбыт_котельн.'!D39</f>
        <v>155.3186</v>
      </c>
      <c r="E39" s="750">
        <f>'4.6_транзит_котельн.'!E39+'4.6_сбыт_котельн.'!E39</f>
        <v>0</v>
      </c>
      <c r="F39" s="750">
        <v>163.30392000000001</v>
      </c>
      <c r="G39" s="750">
        <v>0</v>
      </c>
      <c r="H39" s="750">
        <v>145.625</v>
      </c>
      <c r="I39" s="750">
        <v>0</v>
      </c>
      <c r="J39" s="750">
        <v>0</v>
      </c>
      <c r="K39" s="750">
        <v>0</v>
      </c>
      <c r="L39" s="750">
        <v>0</v>
      </c>
      <c r="M39" s="750">
        <v>0</v>
      </c>
      <c r="N39" s="1608">
        <v>0</v>
      </c>
      <c r="O39" s="750">
        <v>0</v>
      </c>
      <c r="P39" s="750">
        <v>0</v>
      </c>
    </row>
    <row r="40" spans="1:16" s="4" customFormat="1" ht="25.5" hidden="1" outlineLevel="1">
      <c r="A40" s="739" t="s">
        <v>1546</v>
      </c>
      <c r="B40" s="742" t="s">
        <v>1256</v>
      </c>
      <c r="C40" s="750">
        <f>'4.6_транзит_котельн.'!C40+'4.6_сбыт_котельн.'!C40</f>
        <v>0</v>
      </c>
      <c r="D40" s="750">
        <f>'4.6_транзит_котельн.'!D40+'4.6_сбыт_котельн.'!D40</f>
        <v>272.06470000000002</v>
      </c>
      <c r="E40" s="750">
        <f>'4.6_транзит_котельн.'!E40+'4.6_сбыт_котельн.'!E40</f>
        <v>0</v>
      </c>
      <c r="F40" s="750">
        <v>168.89652000000001</v>
      </c>
      <c r="G40" s="750">
        <v>0</v>
      </c>
      <c r="H40" s="750">
        <v>221.25</v>
      </c>
      <c r="I40" s="750">
        <v>0</v>
      </c>
      <c r="J40" s="750">
        <v>0</v>
      </c>
      <c r="K40" s="750">
        <v>0</v>
      </c>
      <c r="L40" s="750">
        <v>0</v>
      </c>
      <c r="M40" s="750">
        <v>0</v>
      </c>
      <c r="N40" s="1608">
        <v>0</v>
      </c>
      <c r="O40" s="750">
        <v>0</v>
      </c>
      <c r="P40" s="750">
        <v>0</v>
      </c>
    </row>
    <row r="41" spans="1:16" s="4" customFormat="1" hidden="1" outlineLevel="1">
      <c r="A41" s="739" t="s">
        <v>1547</v>
      </c>
      <c r="B41" s="742" t="s">
        <v>1257</v>
      </c>
      <c r="C41" s="750">
        <f>'4.6_транзит_котельн.'!C41+'4.6_сбыт_котельн.'!C41</f>
        <v>0</v>
      </c>
      <c r="D41" s="750">
        <f>'4.6_транзит_котельн.'!D41+'4.6_сбыт_котельн.'!D41</f>
        <v>2009.8843999999999</v>
      </c>
      <c r="E41" s="750">
        <f>'4.6_транзит_котельн.'!E41+'4.6_сбыт_котельн.'!E41</f>
        <v>0</v>
      </c>
      <c r="F41" s="750">
        <v>5710.6038600000002</v>
      </c>
      <c r="G41" s="750">
        <v>0</v>
      </c>
      <c r="H41" s="750">
        <v>6048.7500000000009</v>
      </c>
      <c r="I41" s="750">
        <v>0</v>
      </c>
      <c r="J41" s="750">
        <v>0</v>
      </c>
      <c r="K41" s="750">
        <v>0</v>
      </c>
      <c r="L41" s="750">
        <v>0</v>
      </c>
      <c r="M41" s="750">
        <v>0</v>
      </c>
      <c r="N41" s="1608">
        <v>0</v>
      </c>
      <c r="O41" s="750">
        <v>0</v>
      </c>
      <c r="P41" s="750">
        <v>0</v>
      </c>
    </row>
    <row r="42" spans="1:16" s="4" customFormat="1" hidden="1" outlineLevel="1">
      <c r="A42" s="741" t="s">
        <v>1548</v>
      </c>
      <c r="B42" s="742" t="s">
        <v>1556</v>
      </c>
      <c r="C42" s="750">
        <f>'4.6_транзит_котельн.'!C42+'4.6_сбыт_котельн.'!C42</f>
        <v>0</v>
      </c>
      <c r="D42" s="750">
        <f>'4.6_транзит_котельн.'!D42+'4.6_сбыт_котельн.'!D42</f>
        <v>186.6909</v>
      </c>
      <c r="E42" s="750">
        <f>'4.6_транзит_котельн.'!E42+'4.6_сбыт_котельн.'!E42</f>
        <v>0</v>
      </c>
      <c r="F42" s="750">
        <v>733.74911999999995</v>
      </c>
      <c r="G42" s="750">
        <v>0</v>
      </c>
      <c r="H42" s="750">
        <v>482.50000000000006</v>
      </c>
      <c r="I42" s="750">
        <v>0</v>
      </c>
      <c r="J42" s="750">
        <v>0</v>
      </c>
      <c r="K42" s="750">
        <v>0</v>
      </c>
      <c r="L42" s="750">
        <v>0</v>
      </c>
      <c r="M42" s="750">
        <v>0</v>
      </c>
      <c r="N42" s="1608">
        <v>0</v>
      </c>
      <c r="O42" s="750">
        <v>0</v>
      </c>
      <c r="P42" s="750">
        <v>0</v>
      </c>
    </row>
    <row r="43" spans="1:16" s="4" customFormat="1" hidden="1" outlineLevel="1">
      <c r="A43" s="741" t="s">
        <v>1549</v>
      </c>
      <c r="B43" s="742" t="s">
        <v>1258</v>
      </c>
      <c r="C43" s="750">
        <f>'4.6_транзит_котельн.'!C43+'4.6_сбыт_котельн.'!C43</f>
        <v>0</v>
      </c>
      <c r="D43" s="750">
        <f>'4.6_транзит_котельн.'!D43+'4.6_сбыт_котельн.'!D43</f>
        <v>179.4907</v>
      </c>
      <c r="E43" s="750">
        <f>'4.6_транзит_котельн.'!E43+'4.6_сбыт_котельн.'!E43</f>
        <v>0</v>
      </c>
      <c r="F43" s="750">
        <v>5.5925999999999991</v>
      </c>
      <c r="G43" s="750">
        <v>0</v>
      </c>
      <c r="H43" s="750">
        <v>0</v>
      </c>
      <c r="I43" s="750">
        <v>0</v>
      </c>
      <c r="J43" s="750">
        <v>0</v>
      </c>
      <c r="K43" s="750">
        <v>0</v>
      </c>
      <c r="L43" s="750">
        <v>0</v>
      </c>
      <c r="M43" s="750">
        <v>0</v>
      </c>
      <c r="N43" s="1608">
        <v>0</v>
      </c>
      <c r="O43" s="750">
        <v>0</v>
      </c>
      <c r="P43" s="750">
        <v>0</v>
      </c>
    </row>
    <row r="44" spans="1:16" s="4" customFormat="1" hidden="1" outlineLevel="1">
      <c r="A44" s="764" t="s">
        <v>1555</v>
      </c>
      <c r="B44" s="742" t="s">
        <v>1890</v>
      </c>
      <c r="C44" s="750">
        <f>'4.6_транзит_котельн.'!C44+'4.6_сбыт_котельн.'!C44</f>
        <v>0</v>
      </c>
      <c r="D44" s="750">
        <f>'4.6_транзит_котельн.'!D44+'4.6_сбыт_котельн.'!D44</f>
        <v>179</v>
      </c>
      <c r="E44" s="750">
        <f>'4.6_транзит_котельн.'!E44+'4.6_сбыт_котельн.'!E44</f>
        <v>0</v>
      </c>
      <c r="F44" s="750">
        <v>0</v>
      </c>
      <c r="G44" s="750">
        <v>0</v>
      </c>
      <c r="H44" s="750">
        <v>0</v>
      </c>
      <c r="I44" s="750">
        <v>0</v>
      </c>
      <c r="J44" s="750">
        <v>0</v>
      </c>
      <c r="K44" s="750">
        <v>0</v>
      </c>
      <c r="L44" s="750">
        <v>0</v>
      </c>
      <c r="M44" s="750">
        <v>0</v>
      </c>
      <c r="N44" s="1608">
        <v>0</v>
      </c>
      <c r="O44" s="750">
        <v>0</v>
      </c>
      <c r="P44" s="750">
        <v>0</v>
      </c>
    </row>
    <row r="45" spans="1:16" s="341" customFormat="1" hidden="1" outlineLevel="1">
      <c r="A45" s="764" t="s">
        <v>1889</v>
      </c>
      <c r="B45" s="765" t="s">
        <v>1259</v>
      </c>
      <c r="C45" s="746">
        <f>SUM(C46:C54)</f>
        <v>0</v>
      </c>
      <c r="D45" s="746">
        <f t="shared" ref="D45" si="5">SUM(D46:D54)</f>
        <v>1013.1424000000001</v>
      </c>
      <c r="E45" s="746">
        <f>SUM(E46:E55)</f>
        <v>0</v>
      </c>
      <c r="F45" s="746">
        <v>666.63791999999989</v>
      </c>
      <c r="G45" s="746">
        <v>0</v>
      </c>
      <c r="H45" s="746">
        <v>3975.25</v>
      </c>
      <c r="I45" s="746">
        <v>0</v>
      </c>
      <c r="J45" s="746">
        <v>0</v>
      </c>
      <c r="K45" s="746">
        <v>0</v>
      </c>
      <c r="L45" s="746">
        <v>0</v>
      </c>
      <c r="M45" s="746">
        <v>0</v>
      </c>
      <c r="N45" s="746">
        <v>0</v>
      </c>
      <c r="O45" s="746">
        <v>0</v>
      </c>
      <c r="P45" s="746">
        <v>0</v>
      </c>
    </row>
    <row r="46" spans="1:16" s="4" customFormat="1" hidden="1" outlineLevel="1">
      <c r="A46" s="744"/>
      <c r="B46" s="745" t="s">
        <v>1260</v>
      </c>
      <c r="C46" s="750">
        <f>'4.6_транзит_котельн.'!C46+'4.6_сбыт_котельн.'!C46</f>
        <v>0</v>
      </c>
      <c r="D46" s="750">
        <f>'4.6_транзит_котельн.'!D46+'4.6_сбыт_котельн.'!D46</f>
        <v>121.88910000000001</v>
      </c>
      <c r="E46" s="750">
        <f>'4.6_транзит_котельн.'!E46+'4.6_сбыт_котельн.'!E46</f>
        <v>0</v>
      </c>
      <c r="F46" s="750">
        <v>138.69647999999998</v>
      </c>
      <c r="G46" s="750">
        <v>0</v>
      </c>
      <c r="H46" s="750">
        <v>106.25</v>
      </c>
      <c r="I46" s="750">
        <v>0</v>
      </c>
      <c r="J46" s="750">
        <v>0</v>
      </c>
      <c r="K46" s="750">
        <v>0</v>
      </c>
      <c r="L46" s="750">
        <v>0</v>
      </c>
      <c r="M46" s="750">
        <v>0</v>
      </c>
      <c r="N46" s="1608">
        <v>0</v>
      </c>
      <c r="O46" s="750">
        <v>0</v>
      </c>
      <c r="P46" s="750">
        <v>0</v>
      </c>
    </row>
    <row r="47" spans="1:16" s="4" customFormat="1" hidden="1" outlineLevel="1">
      <c r="A47" s="744"/>
      <c r="B47" s="743" t="s">
        <v>1261</v>
      </c>
      <c r="C47" s="750">
        <f>'4.6_транзит_котельн.'!C47+'4.6_сбыт_котельн.'!C47</f>
        <v>0</v>
      </c>
      <c r="D47" s="750">
        <f>'4.6_транзит_котельн.'!D47+'4.6_сбыт_котельн.'!D47</f>
        <v>0</v>
      </c>
      <c r="E47" s="750">
        <f>'4.6_транзит_котельн.'!E47+'4.6_сбыт_котельн.'!E47</f>
        <v>0</v>
      </c>
      <c r="F47" s="750">
        <v>0</v>
      </c>
      <c r="G47" s="750">
        <v>0</v>
      </c>
      <c r="H47" s="750">
        <v>0</v>
      </c>
      <c r="I47" s="750">
        <v>0</v>
      </c>
      <c r="J47" s="750">
        <v>0</v>
      </c>
      <c r="K47" s="750">
        <v>0</v>
      </c>
      <c r="L47" s="750">
        <v>0</v>
      </c>
      <c r="M47" s="750">
        <v>0</v>
      </c>
      <c r="N47" s="1608">
        <v>0</v>
      </c>
      <c r="O47" s="750">
        <v>0</v>
      </c>
      <c r="P47" s="750">
        <v>0</v>
      </c>
    </row>
    <row r="48" spans="1:16" s="4" customFormat="1" hidden="1" outlineLevel="1">
      <c r="A48" s="744"/>
      <c r="B48" s="743" t="s">
        <v>1262</v>
      </c>
      <c r="C48" s="750">
        <f>'4.6_транзит_котельн.'!C48+'4.6_сбыт_котельн.'!C48</f>
        <v>0</v>
      </c>
      <c r="D48" s="750">
        <f>'4.6_транзит_котельн.'!D48+'4.6_сбыт_котельн.'!D48</f>
        <v>219.6061</v>
      </c>
      <c r="E48" s="750">
        <f>'4.6_транзит_котельн.'!E48+'4.6_сбыт_котельн.'!E48</f>
        <v>0</v>
      </c>
      <c r="F48" s="750">
        <v>365.75603999999998</v>
      </c>
      <c r="G48" s="750">
        <v>0</v>
      </c>
      <c r="H48" s="750">
        <v>424.375</v>
      </c>
      <c r="I48" s="750">
        <v>0</v>
      </c>
      <c r="J48" s="750">
        <v>0</v>
      </c>
      <c r="K48" s="750">
        <v>0</v>
      </c>
      <c r="L48" s="750">
        <v>0</v>
      </c>
      <c r="M48" s="750">
        <v>0</v>
      </c>
      <c r="N48" s="1608">
        <v>0</v>
      </c>
      <c r="O48" s="750">
        <v>0</v>
      </c>
      <c r="P48" s="750">
        <v>0</v>
      </c>
    </row>
    <row r="49" spans="1:16" s="4" customFormat="1" hidden="1" outlineLevel="1">
      <c r="A49" s="744"/>
      <c r="B49" s="743" t="s">
        <v>1263</v>
      </c>
      <c r="C49" s="750">
        <f>'4.6_транзит_котельн.'!C49+'4.6_сбыт_котельн.'!C49</f>
        <v>0</v>
      </c>
      <c r="D49" s="750">
        <f>'4.6_транзит_котельн.'!D49+'4.6_сбыт_котельн.'!D49</f>
        <v>618.7029</v>
      </c>
      <c r="E49" s="750">
        <f>'4.6_транзит_котельн.'!E49+'4.6_сбыт_котельн.'!E49</f>
        <v>0</v>
      </c>
      <c r="F49" s="750">
        <v>122.47793999999999</v>
      </c>
      <c r="G49" s="750">
        <v>0</v>
      </c>
      <c r="H49" s="750">
        <v>43.125</v>
      </c>
      <c r="I49" s="750">
        <v>0</v>
      </c>
      <c r="J49" s="750">
        <v>0</v>
      </c>
      <c r="K49" s="750">
        <v>0</v>
      </c>
      <c r="L49" s="750">
        <v>0</v>
      </c>
      <c r="M49" s="750">
        <v>0</v>
      </c>
      <c r="N49" s="1608">
        <v>0</v>
      </c>
      <c r="O49" s="750">
        <v>0</v>
      </c>
      <c r="P49" s="750">
        <v>0</v>
      </c>
    </row>
    <row r="50" spans="1:16" s="4" customFormat="1" ht="25.5" hidden="1" outlineLevel="1">
      <c r="A50" s="744"/>
      <c r="B50" s="743" t="s">
        <v>1891</v>
      </c>
      <c r="C50" s="750">
        <f>'4.6_транзит_котельн.'!C50+'4.6_сбыт_котельн.'!C50</f>
        <v>0</v>
      </c>
      <c r="D50" s="750">
        <f>'4.6_транзит_котельн.'!D50+'4.6_сбыт_котельн.'!D50</f>
        <v>52.944299999999998</v>
      </c>
      <c r="E50" s="750">
        <f>'4.6_транзит_котельн.'!E50+'4.6_сбыт_котельн.'!E50</f>
        <v>0</v>
      </c>
      <c r="F50" s="750">
        <v>39.707459999999998</v>
      </c>
      <c r="G50" s="750">
        <v>0</v>
      </c>
      <c r="H50" s="750">
        <v>1618.75</v>
      </c>
      <c r="I50" s="750">
        <v>0</v>
      </c>
      <c r="J50" s="750">
        <v>0</v>
      </c>
      <c r="K50" s="750">
        <v>0</v>
      </c>
      <c r="L50" s="750">
        <v>0</v>
      </c>
      <c r="M50" s="750">
        <v>0</v>
      </c>
      <c r="N50" s="1608">
        <v>0</v>
      </c>
      <c r="O50" s="750">
        <v>0</v>
      </c>
      <c r="P50" s="750">
        <v>0</v>
      </c>
    </row>
    <row r="51" spans="1:16" s="4" customFormat="1" ht="25.5" hidden="1" outlineLevel="1">
      <c r="A51" s="744"/>
      <c r="B51" s="743" t="s">
        <v>1264</v>
      </c>
      <c r="C51" s="750">
        <f>'4.6_транзит_котельн.'!C51+'4.6_сбыт_котельн.'!C51</f>
        <v>0</v>
      </c>
      <c r="D51" s="750">
        <f>'4.6_транзит_котельн.'!D51+'4.6_сбыт_котельн.'!D51</f>
        <v>0</v>
      </c>
      <c r="E51" s="750">
        <f>'4.6_транзит_котельн.'!E51+'4.6_сбыт_котельн.'!E51</f>
        <v>0</v>
      </c>
      <c r="F51" s="750">
        <v>0</v>
      </c>
      <c r="G51" s="750">
        <v>0</v>
      </c>
      <c r="H51" s="750">
        <v>0</v>
      </c>
      <c r="I51" s="750">
        <v>0</v>
      </c>
      <c r="J51" s="750">
        <v>0</v>
      </c>
      <c r="K51" s="750">
        <v>0</v>
      </c>
      <c r="L51" s="750">
        <v>0</v>
      </c>
      <c r="M51" s="750">
        <v>0</v>
      </c>
      <c r="N51" s="1608">
        <v>0</v>
      </c>
      <c r="O51" s="750">
        <v>0</v>
      </c>
      <c r="P51" s="750">
        <v>0</v>
      </c>
    </row>
    <row r="52" spans="1:16" s="4" customFormat="1" hidden="1" outlineLevel="1">
      <c r="A52" s="744"/>
      <c r="B52" s="1391" t="s">
        <v>1883</v>
      </c>
      <c r="C52" s="750">
        <f>'4.6_транзит_котельн.'!C52+'4.6_сбыт_котельн.'!C52</f>
        <v>0</v>
      </c>
      <c r="D52" s="750">
        <f>'4.6_транзит_котельн.'!D52+'4.6_сбыт_котельн.'!D52</f>
        <v>0</v>
      </c>
      <c r="E52" s="750">
        <f>'4.6_транзит_котельн.'!E52+'4.6_сбыт_котельн.'!E52</f>
        <v>0</v>
      </c>
      <c r="F52" s="750">
        <v>0</v>
      </c>
      <c r="G52" s="750">
        <v>0</v>
      </c>
      <c r="H52" s="750">
        <v>109</v>
      </c>
      <c r="I52" s="750">
        <v>0</v>
      </c>
      <c r="J52" s="750">
        <v>0</v>
      </c>
      <c r="K52" s="750">
        <v>0</v>
      </c>
      <c r="L52" s="750">
        <v>0</v>
      </c>
      <c r="M52" s="750">
        <v>0</v>
      </c>
      <c r="N52" s="1608">
        <v>0</v>
      </c>
      <c r="O52" s="750">
        <v>0</v>
      </c>
      <c r="P52" s="750">
        <v>0</v>
      </c>
    </row>
    <row r="53" spans="1:16" s="4" customFormat="1" hidden="1" outlineLevel="1">
      <c r="A53" s="744"/>
      <c r="B53" s="743" t="s">
        <v>1884</v>
      </c>
      <c r="C53" s="308"/>
      <c r="D53" s="308"/>
      <c r="E53" s="308"/>
      <c r="F53" s="308"/>
      <c r="G53" s="308"/>
      <c r="H53" s="750">
        <v>1673.75</v>
      </c>
      <c r="I53" s="750">
        <v>0</v>
      </c>
      <c r="J53" s="750">
        <v>0</v>
      </c>
      <c r="K53" s="750">
        <v>0</v>
      </c>
      <c r="L53" s="750">
        <v>0</v>
      </c>
      <c r="M53" s="750">
        <v>0</v>
      </c>
      <c r="N53" s="1608">
        <v>0</v>
      </c>
      <c r="O53" s="750">
        <v>0</v>
      </c>
      <c r="P53" s="750">
        <v>0</v>
      </c>
    </row>
    <row r="54" spans="1:16" s="4" customFormat="1" ht="25.5" hidden="1" outlineLevel="1">
      <c r="A54" s="17"/>
      <c r="B54" s="743" t="s">
        <v>1885</v>
      </c>
      <c r="C54" s="241"/>
      <c r="D54" s="241"/>
      <c r="E54" s="241"/>
      <c r="F54" s="241"/>
      <c r="G54" s="241"/>
      <c r="H54" s="750">
        <v>0</v>
      </c>
      <c r="I54" s="750">
        <v>0</v>
      </c>
      <c r="J54" s="750">
        <v>0</v>
      </c>
      <c r="K54" s="750">
        <v>0</v>
      </c>
      <c r="L54" s="750">
        <v>0</v>
      </c>
      <c r="M54" s="750">
        <v>0</v>
      </c>
      <c r="N54" s="1608">
        <v>0</v>
      </c>
      <c r="O54" s="750">
        <v>0</v>
      </c>
      <c r="P54" s="750">
        <v>0</v>
      </c>
    </row>
    <row r="55" spans="1:16" s="341" customFormat="1" ht="25.5" hidden="1" outlineLevel="1">
      <c r="A55" s="339"/>
      <c r="B55" s="743" t="s">
        <v>1886</v>
      </c>
      <c r="C55" s="308"/>
      <c r="D55" s="308"/>
      <c r="E55" s="308"/>
      <c r="F55" s="750">
        <v>0</v>
      </c>
      <c r="G55" s="750">
        <v>0</v>
      </c>
      <c r="H55" s="750">
        <v>0</v>
      </c>
      <c r="I55" s="750">
        <v>0</v>
      </c>
      <c r="J55" s="750">
        <v>0</v>
      </c>
      <c r="K55" s="750">
        <v>0</v>
      </c>
      <c r="L55" s="750">
        <v>0</v>
      </c>
      <c r="M55" s="750">
        <v>0</v>
      </c>
      <c r="N55" s="1608">
        <v>0</v>
      </c>
      <c r="O55" s="750">
        <v>0</v>
      </c>
      <c r="P55" s="750">
        <v>0</v>
      </c>
    </row>
    <row r="56" spans="1:16" s="1046" customFormat="1" ht="75" collapsed="1">
      <c r="A56" s="1044"/>
      <c r="B56" s="1045" t="s">
        <v>374</v>
      </c>
      <c r="C56" s="258">
        <f>'4.6_транзит_котельн.'!C56+'4.6_сбыт_котельн.'!C56</f>
        <v>0</v>
      </c>
      <c r="D56" s="258">
        <f>'4.6_транзит_котельн.'!D56+'4.6_сбыт_котельн.'!D56</f>
        <v>0</v>
      </c>
      <c r="E56" s="258">
        <f>'4.6_транзит_котельн.'!E56+'4.6_сбыт_котельн.'!E56</f>
        <v>0</v>
      </c>
      <c r="F56" s="258">
        <v>0</v>
      </c>
      <c r="G56" s="258">
        <v>0</v>
      </c>
      <c r="H56" s="258">
        <v>1</v>
      </c>
      <c r="I56" s="258">
        <v>0</v>
      </c>
      <c r="J56" s="258">
        <v>0</v>
      </c>
      <c r="K56" s="258">
        <v>0</v>
      </c>
      <c r="L56" s="258">
        <v>0</v>
      </c>
      <c r="M56" s="258">
        <v>0</v>
      </c>
      <c r="N56" s="982">
        <v>0</v>
      </c>
      <c r="O56" s="258">
        <v>0</v>
      </c>
      <c r="P56" s="258">
        <v>0</v>
      </c>
    </row>
    <row r="57" spans="1:16" s="1046" customFormat="1" ht="30">
      <c r="A57" s="1044"/>
      <c r="B57" s="1045" t="s">
        <v>375</v>
      </c>
      <c r="C57" s="258">
        <v>13997</v>
      </c>
      <c r="D57" s="258">
        <f>'4.6_транзит_котельн.'!D57+'4.6_сбыт_котельн.'!D57</f>
        <v>22230</v>
      </c>
      <c r="E57" s="258">
        <f>'4.6_транзит_котельн.'!E57+'4.6_сбыт_котельн.'!E57</f>
        <v>0</v>
      </c>
      <c r="F57" s="258">
        <v>26893</v>
      </c>
      <c r="G57" s="258">
        <v>0</v>
      </c>
      <c r="H57" s="258">
        <v>22464</v>
      </c>
      <c r="I57" s="258">
        <v>0</v>
      </c>
      <c r="J57" s="258">
        <v>25388</v>
      </c>
      <c r="K57" s="258">
        <v>23729</v>
      </c>
      <c r="L57" s="258">
        <v>11864.5</v>
      </c>
      <c r="M57" s="258">
        <v>11864.5</v>
      </c>
      <c r="N57" s="982">
        <v>25130</v>
      </c>
      <c r="O57" s="258">
        <v>12565</v>
      </c>
      <c r="P57" s="258">
        <v>12565</v>
      </c>
    </row>
    <row r="58" spans="1:16" s="1046" customFormat="1" ht="15" customHeight="1">
      <c r="A58" s="1044"/>
      <c r="B58" s="1045" t="s">
        <v>376</v>
      </c>
      <c r="C58" s="258">
        <v>438</v>
      </c>
      <c r="D58" s="258">
        <f>'4.6_транзит_котельн.'!D58+'4.6_сбыт_котельн.'!D58</f>
        <v>350</v>
      </c>
      <c r="E58" s="258">
        <f>'4.6_транзит_котельн.'!E58+'4.6_сбыт_котельн.'!E58</f>
        <v>0</v>
      </c>
      <c r="F58" s="258">
        <v>484</v>
      </c>
      <c r="G58" s="258">
        <v>0</v>
      </c>
      <c r="H58" s="258">
        <v>372</v>
      </c>
      <c r="I58" s="258">
        <v>522</v>
      </c>
      <c r="J58" s="258">
        <v>522</v>
      </c>
      <c r="K58" s="258">
        <v>551.92103999999995</v>
      </c>
      <c r="L58" s="258">
        <v>275.96051999999997</v>
      </c>
      <c r="M58" s="258">
        <v>275.96051999999997</v>
      </c>
      <c r="N58" s="982">
        <v>578.63953754639988</v>
      </c>
      <c r="O58" s="258">
        <v>289.31976877319994</v>
      </c>
      <c r="P58" s="258">
        <v>289.31976877319994</v>
      </c>
    </row>
    <row r="59" spans="1:16" s="1046" customFormat="1" ht="15" customHeight="1">
      <c r="A59" s="1044"/>
      <c r="B59" s="1045" t="s">
        <v>377</v>
      </c>
      <c r="C59" s="258">
        <v>202</v>
      </c>
      <c r="D59" s="258">
        <f>'4.6_транзит_котельн.'!D59+'4.6_сбыт_котельн.'!D59</f>
        <v>96</v>
      </c>
      <c r="E59" s="258">
        <f>'4.6_транзит_котельн.'!E59+'4.6_сбыт_котельн.'!E59</f>
        <v>0</v>
      </c>
      <c r="F59" s="258">
        <v>330</v>
      </c>
      <c r="G59" s="258">
        <v>0</v>
      </c>
      <c r="H59" s="258">
        <v>170</v>
      </c>
      <c r="I59" s="258">
        <v>340</v>
      </c>
      <c r="J59" s="258">
        <v>340</v>
      </c>
      <c r="K59" s="258">
        <v>359.48880000000003</v>
      </c>
      <c r="L59" s="258">
        <v>179.74440000000001</v>
      </c>
      <c r="M59" s="258">
        <v>179.74440000000001</v>
      </c>
      <c r="N59" s="982">
        <v>376.89165280799995</v>
      </c>
      <c r="O59" s="258">
        <v>188.44582640399997</v>
      </c>
      <c r="P59" s="258">
        <v>188.44582640399997</v>
      </c>
    </row>
    <row r="60" spans="1:16" s="1046" customFormat="1" ht="45" customHeight="1">
      <c r="A60" s="1044"/>
      <c r="B60" s="1045" t="s">
        <v>378</v>
      </c>
      <c r="C60" s="258">
        <v>159</v>
      </c>
      <c r="D60" s="258">
        <f>'4.6_транзит_котельн.'!D60+'4.6_сбыт_котельн.'!D60</f>
        <v>657</v>
      </c>
      <c r="E60" s="258">
        <f>'4.6_транзит_котельн.'!E60+'4.6_сбыт_котельн.'!E60</f>
        <v>0</v>
      </c>
      <c r="F60" s="258">
        <v>738</v>
      </c>
      <c r="G60" s="258">
        <v>0</v>
      </c>
      <c r="H60" s="258">
        <v>669</v>
      </c>
      <c r="I60" s="258">
        <v>0</v>
      </c>
      <c r="J60" s="258">
        <v>509</v>
      </c>
      <c r="K60" s="258">
        <v>577</v>
      </c>
      <c r="L60" s="258">
        <v>288.5</v>
      </c>
      <c r="M60" s="258">
        <v>288.5</v>
      </c>
      <c r="N60" s="982">
        <v>611</v>
      </c>
      <c r="O60" s="258">
        <v>305.5</v>
      </c>
      <c r="P60" s="258">
        <v>305.5</v>
      </c>
    </row>
    <row r="61" spans="1:16" s="1046" customFormat="1" ht="30" customHeight="1">
      <c r="A61" s="1044"/>
      <c r="B61" s="1045" t="s">
        <v>379</v>
      </c>
      <c r="C61" s="258">
        <f>SUM(C62:C66)</f>
        <v>3264</v>
      </c>
      <c r="D61" s="258">
        <f t="shared" ref="D61:E61" si="6">SUM(D62:D66)</f>
        <v>331</v>
      </c>
      <c r="E61" s="258">
        <f t="shared" si="6"/>
        <v>0</v>
      </c>
      <c r="F61" s="258">
        <v>402</v>
      </c>
      <c r="G61" s="258">
        <v>0</v>
      </c>
      <c r="H61" s="258">
        <v>286</v>
      </c>
      <c r="I61" s="258">
        <v>0</v>
      </c>
      <c r="J61" s="258">
        <v>344</v>
      </c>
      <c r="K61" s="258">
        <v>466</v>
      </c>
      <c r="L61" s="258">
        <v>224</v>
      </c>
      <c r="M61" s="258">
        <v>242</v>
      </c>
      <c r="N61" s="982">
        <v>532</v>
      </c>
      <c r="O61" s="258">
        <v>265</v>
      </c>
      <c r="P61" s="258">
        <v>267</v>
      </c>
    </row>
    <row r="62" spans="1:16" s="4" customFormat="1" ht="15" customHeight="1">
      <c r="A62" s="17"/>
      <c r="B62" s="51" t="s">
        <v>380</v>
      </c>
      <c r="C62" s="241">
        <v>3264</v>
      </c>
      <c r="D62" s="241">
        <f>'4.6_транзит_котельн.'!D62+'4.6_сбыт_котельн.'!D62</f>
        <v>219</v>
      </c>
      <c r="E62" s="241">
        <f>'4.6_транзит_котельн.'!E62+'4.6_сбыт_котельн.'!E62</f>
        <v>0</v>
      </c>
      <c r="F62" s="241">
        <v>291</v>
      </c>
      <c r="G62" s="241">
        <v>0</v>
      </c>
      <c r="H62" s="241">
        <v>220</v>
      </c>
      <c r="I62" s="241">
        <v>0</v>
      </c>
      <c r="J62" s="241">
        <v>232</v>
      </c>
      <c r="K62" s="241">
        <v>354</v>
      </c>
      <c r="L62" s="241">
        <v>168</v>
      </c>
      <c r="M62" s="241">
        <v>186</v>
      </c>
      <c r="N62" s="982">
        <v>417</v>
      </c>
      <c r="O62" s="241">
        <v>207</v>
      </c>
      <c r="P62" s="241">
        <v>210</v>
      </c>
    </row>
    <row r="63" spans="1:16" s="4" customFormat="1" ht="15" customHeight="1">
      <c r="A63" s="17"/>
      <c r="B63" s="51" t="s">
        <v>381</v>
      </c>
      <c r="C63" s="241">
        <f>'4.6_транзит_котельн.'!C63+'4.6_сбыт_котельн.'!C63</f>
        <v>0</v>
      </c>
      <c r="D63" s="241">
        <f>'4.6_транзит_котельн.'!D63+'4.6_сбыт_котельн.'!D63</f>
        <v>109</v>
      </c>
      <c r="E63" s="241">
        <f>'4.6_транзит_котельн.'!E63+'4.6_сбыт_котельн.'!E63</f>
        <v>0</v>
      </c>
      <c r="F63" s="241">
        <v>104</v>
      </c>
      <c r="G63" s="241">
        <v>0</v>
      </c>
      <c r="H63" s="241">
        <v>59</v>
      </c>
      <c r="I63" s="241">
        <v>0</v>
      </c>
      <c r="J63" s="241">
        <v>96</v>
      </c>
      <c r="K63" s="241">
        <v>99</v>
      </c>
      <c r="L63" s="308">
        <v>50</v>
      </c>
      <c r="M63" s="308">
        <v>49</v>
      </c>
      <c r="N63" s="982">
        <v>101</v>
      </c>
      <c r="O63" s="308">
        <v>51</v>
      </c>
      <c r="P63" s="308">
        <v>50</v>
      </c>
    </row>
    <row r="64" spans="1:16" s="4" customFormat="1" ht="15" customHeight="1">
      <c r="A64" s="17"/>
      <c r="B64" s="51" t="s">
        <v>382</v>
      </c>
      <c r="C64" s="241">
        <f>'4.6_транзит_котельн.'!C64+'4.6_сбыт_котельн.'!C64</f>
        <v>0</v>
      </c>
      <c r="D64" s="241">
        <f>'4.6_транзит_котельн.'!D64+'4.6_сбыт_котельн.'!D64</f>
        <v>3</v>
      </c>
      <c r="E64" s="241">
        <f>'4.6_транзит_котельн.'!E64+'4.6_сбыт_котельн.'!E64</f>
        <v>0</v>
      </c>
      <c r="F64" s="241">
        <v>7</v>
      </c>
      <c r="G64" s="241">
        <v>0</v>
      </c>
      <c r="H64" s="241">
        <v>7</v>
      </c>
      <c r="I64" s="241">
        <v>0</v>
      </c>
      <c r="J64" s="241">
        <v>16</v>
      </c>
      <c r="K64" s="241">
        <v>13</v>
      </c>
      <c r="L64" s="241">
        <v>6</v>
      </c>
      <c r="M64" s="241">
        <v>7</v>
      </c>
      <c r="N64" s="982">
        <v>14</v>
      </c>
      <c r="O64" s="241">
        <v>7</v>
      </c>
      <c r="P64" s="241">
        <v>7</v>
      </c>
    </row>
    <row r="65" spans="1:16" s="4" customFormat="1" ht="15" customHeight="1">
      <c r="A65" s="17"/>
      <c r="B65" s="51" t="s">
        <v>383</v>
      </c>
      <c r="C65" s="241">
        <f>'4.6_транзит_котельн.'!C65+'4.6_сбыт_котельн.'!C65</f>
        <v>0</v>
      </c>
      <c r="D65" s="241">
        <f>'4.6_транзит_котельн.'!D65+'4.6_сбыт_котельн.'!D65</f>
        <v>0</v>
      </c>
      <c r="E65" s="241">
        <f>'4.6_транзит_котельн.'!E65+'4.6_сбыт_котельн.'!E65</f>
        <v>0</v>
      </c>
      <c r="F65" s="241">
        <v>0</v>
      </c>
      <c r="G65" s="241">
        <v>0</v>
      </c>
      <c r="H65" s="241">
        <v>0</v>
      </c>
      <c r="I65" s="241">
        <v>0</v>
      </c>
      <c r="J65" s="241">
        <v>0</v>
      </c>
      <c r="K65" s="241">
        <v>0</v>
      </c>
      <c r="L65" s="241">
        <v>0</v>
      </c>
      <c r="M65" s="241">
        <v>0</v>
      </c>
      <c r="N65" s="982">
        <v>0</v>
      </c>
      <c r="O65" s="241">
        <v>0</v>
      </c>
      <c r="P65" s="241">
        <v>0</v>
      </c>
    </row>
    <row r="66" spans="1:16" s="4" customFormat="1" ht="15" customHeight="1">
      <c r="A66" s="17"/>
      <c r="B66" s="51" t="s">
        <v>384</v>
      </c>
      <c r="C66" s="241">
        <f>'4.6_транзит_котельн.'!C66+'4.6_сбыт_котельн.'!C66</f>
        <v>0</v>
      </c>
      <c r="D66" s="241">
        <f>'4.6_транзит_котельн.'!D66+'4.6_сбыт_котельн.'!D66</f>
        <v>0</v>
      </c>
      <c r="E66" s="241">
        <f>'4.6_транзит_котельн.'!E66+'4.6_сбыт_котельн.'!E66</f>
        <v>0</v>
      </c>
      <c r="F66" s="241">
        <v>0</v>
      </c>
      <c r="G66" s="241">
        <v>0</v>
      </c>
      <c r="H66" s="241">
        <v>0</v>
      </c>
      <c r="I66" s="241">
        <v>0</v>
      </c>
      <c r="J66" s="241">
        <v>0</v>
      </c>
      <c r="K66" s="241">
        <v>0</v>
      </c>
      <c r="L66" s="241">
        <v>0</v>
      </c>
      <c r="M66" s="241">
        <v>0</v>
      </c>
      <c r="N66" s="982">
        <v>0</v>
      </c>
      <c r="O66" s="241">
        <v>0</v>
      </c>
      <c r="P66" s="241">
        <v>0</v>
      </c>
    </row>
    <row r="67" spans="1:16" s="1034" customFormat="1" ht="15" customHeight="1">
      <c r="A67" s="1030" t="s">
        <v>385</v>
      </c>
      <c r="B67" s="1031" t="s">
        <v>386</v>
      </c>
      <c r="C67" s="1032">
        <f>SUM(C68:C71)</f>
        <v>71180</v>
      </c>
      <c r="D67" s="1032">
        <f t="shared" ref="D67:E67" si="7">SUM(D68:D71)</f>
        <v>484382</v>
      </c>
      <c r="E67" s="1032">
        <f t="shared" si="7"/>
        <v>0</v>
      </c>
      <c r="F67" s="1032">
        <v>1660.7</v>
      </c>
      <c r="G67" s="1032">
        <v>0</v>
      </c>
      <c r="H67" s="1032">
        <v>989.9</v>
      </c>
      <c r="I67" s="1032">
        <v>26979.603055315998</v>
      </c>
      <c r="J67" s="1032">
        <v>26979.603055315998</v>
      </c>
      <c r="K67" s="1032">
        <v>26388.823560000001</v>
      </c>
      <c r="L67" s="1032">
        <v>684.41178000000002</v>
      </c>
      <c r="M67" s="1032">
        <v>25704.411779999999</v>
      </c>
      <c r="N67" s="1383">
        <v>1435.7782258595998</v>
      </c>
      <c r="O67" s="1032">
        <v>717.88911292979992</v>
      </c>
      <c r="P67" s="1032">
        <v>717.88911292979992</v>
      </c>
    </row>
    <row r="68" spans="1:16" s="1046" customFormat="1" ht="30" customHeight="1">
      <c r="A68" s="1044"/>
      <c r="B68" s="1045" t="s">
        <v>387</v>
      </c>
      <c r="C68" s="258">
        <f>'4.6_транзит_котельн.'!C68+'4.6_сбыт_котельн.'!C68</f>
        <v>0</v>
      </c>
      <c r="D68" s="258">
        <f>'4.6_транзит_котельн.'!D68+'4.6_сбыт_котельн.'!D68</f>
        <v>0</v>
      </c>
      <c r="E68" s="258">
        <f>'4.6_транзит_котельн.'!E68+'4.6_сбыт_котельн.'!E68</f>
        <v>0</v>
      </c>
      <c r="F68" s="258">
        <v>0</v>
      </c>
      <c r="G68" s="258">
        <v>0</v>
      </c>
      <c r="H68" s="258">
        <v>0</v>
      </c>
      <c r="I68" s="258">
        <v>0</v>
      </c>
      <c r="J68" s="258">
        <v>0</v>
      </c>
      <c r="K68" s="258">
        <v>0</v>
      </c>
      <c r="L68" s="258">
        <v>0</v>
      </c>
      <c r="M68" s="258">
        <v>0</v>
      </c>
      <c r="N68" s="982">
        <v>0</v>
      </c>
      <c r="O68" s="258">
        <v>0</v>
      </c>
      <c r="P68" s="258">
        <v>0</v>
      </c>
    </row>
    <row r="69" spans="1:16" s="1046" customFormat="1" ht="15" customHeight="1">
      <c r="A69" s="1044"/>
      <c r="B69" s="1045" t="s">
        <v>388</v>
      </c>
      <c r="C69" s="258">
        <v>71139</v>
      </c>
      <c r="D69" s="258">
        <f>'4.6_транзит_котельн.'!D69+'4.6_сбыт_котельн.'!D69</f>
        <v>482135</v>
      </c>
      <c r="E69" s="258">
        <f>'4.6_транзит_котельн.'!E69+'4.6_сбыт_котельн.'!E69</f>
        <v>0</v>
      </c>
      <c r="F69" s="258">
        <v>0</v>
      </c>
      <c r="G69" s="258">
        <v>0</v>
      </c>
      <c r="H69" s="258">
        <v>0</v>
      </c>
      <c r="I69" s="258">
        <v>25685.603055315998</v>
      </c>
      <c r="J69" s="258">
        <v>25685.603055315998</v>
      </c>
      <c r="K69" s="258">
        <v>25020</v>
      </c>
      <c r="L69" s="258">
        <v>0</v>
      </c>
      <c r="M69" s="258">
        <v>25020</v>
      </c>
      <c r="N69" s="982">
        <v>0</v>
      </c>
      <c r="O69" s="258">
        <v>0</v>
      </c>
      <c r="P69" s="258">
        <v>0</v>
      </c>
    </row>
    <row r="70" spans="1:16" s="1046" customFormat="1" ht="45" customHeight="1">
      <c r="A70" s="1044"/>
      <c r="B70" s="1045" t="s">
        <v>389</v>
      </c>
      <c r="C70" s="258">
        <f>'4.6_транзит_котельн.'!C70+'4.6_сбыт_котельн.'!C70</f>
        <v>0</v>
      </c>
      <c r="D70" s="258">
        <f>'4.6_транзит_котельн.'!D70+'4.6_сбыт_котельн.'!D70</f>
        <v>0</v>
      </c>
      <c r="E70" s="258">
        <f>'4.6_транзит_котельн.'!E70+'4.6_сбыт_котельн.'!E70</f>
        <v>0</v>
      </c>
      <c r="F70" s="258">
        <v>0</v>
      </c>
      <c r="G70" s="258">
        <v>0</v>
      </c>
      <c r="H70" s="258">
        <v>0</v>
      </c>
      <c r="I70" s="258">
        <v>0</v>
      </c>
      <c r="J70" s="258">
        <v>0</v>
      </c>
      <c r="K70" s="258">
        <v>0</v>
      </c>
      <c r="L70" s="258">
        <v>0</v>
      </c>
      <c r="M70" s="258">
        <v>0</v>
      </c>
      <c r="N70" s="982">
        <v>0</v>
      </c>
      <c r="O70" s="258">
        <v>0</v>
      </c>
      <c r="P70" s="258">
        <v>0</v>
      </c>
    </row>
    <row r="71" spans="1:16" s="1046" customFormat="1" ht="15" customHeight="1">
      <c r="A71" s="1044"/>
      <c r="B71" s="1045" t="s">
        <v>390</v>
      </c>
      <c r="C71" s="258">
        <f>SUM(C72:C77)</f>
        <v>41</v>
      </c>
      <c r="D71" s="258">
        <f t="shared" ref="D71:E71" si="8">SUM(D72:D77)</f>
        <v>2247</v>
      </c>
      <c r="E71" s="258">
        <f t="shared" si="8"/>
        <v>0</v>
      </c>
      <c r="F71" s="258">
        <v>1660.7</v>
      </c>
      <c r="G71" s="258">
        <v>0</v>
      </c>
      <c r="H71" s="258">
        <v>989.9</v>
      </c>
      <c r="I71" s="258">
        <v>1294</v>
      </c>
      <c r="J71" s="258">
        <v>1294</v>
      </c>
      <c r="K71" s="258">
        <v>1368.82356</v>
      </c>
      <c r="L71" s="258">
        <v>684.41178000000002</v>
      </c>
      <c r="M71" s="258">
        <v>684.41178000000002</v>
      </c>
      <c r="N71" s="982">
        <v>1435.7782258595998</v>
      </c>
      <c r="O71" s="258">
        <v>717.88911292979992</v>
      </c>
      <c r="P71" s="258">
        <v>717.88911292979992</v>
      </c>
    </row>
    <row r="72" spans="1:16" s="4" customFormat="1" ht="15" customHeight="1">
      <c r="A72" s="17"/>
      <c r="B72" s="51" t="s">
        <v>961</v>
      </c>
      <c r="C72" s="308">
        <f>'4.6_транзит_котельн.'!C72+'4.6_сбыт_котельн.'!C72</f>
        <v>0</v>
      </c>
      <c r="D72" s="308">
        <f>'4.6_транзит_котельн.'!D72+'4.6_сбыт_котельн.'!D72</f>
        <v>1502</v>
      </c>
      <c r="E72" s="308">
        <f>'4.6_транзит_котельн.'!E72+'4.6_сбыт_котельн.'!E72</f>
        <v>0</v>
      </c>
      <c r="F72" s="308">
        <v>1030</v>
      </c>
      <c r="G72" s="308">
        <v>0</v>
      </c>
      <c r="H72" s="308">
        <v>585</v>
      </c>
      <c r="I72" s="308">
        <v>1233</v>
      </c>
      <c r="J72" s="308">
        <v>1233</v>
      </c>
      <c r="K72" s="308">
        <v>1303.6755600000001</v>
      </c>
      <c r="L72" s="308">
        <v>651.83778000000007</v>
      </c>
      <c r="M72" s="308">
        <v>651.83778000000007</v>
      </c>
      <c r="N72" s="982">
        <v>1366.7864938595999</v>
      </c>
      <c r="O72" s="308">
        <v>683.39324692979994</v>
      </c>
      <c r="P72" s="308">
        <v>683.39324692979994</v>
      </c>
    </row>
    <row r="73" spans="1:16" s="4" customFormat="1" ht="15" customHeight="1">
      <c r="A73" s="17"/>
      <c r="B73" s="51" t="s">
        <v>962</v>
      </c>
      <c r="C73" s="308">
        <f>'4.6_транзит_котельн.'!C73+'4.6_сбыт_котельн.'!C73</f>
        <v>0</v>
      </c>
      <c r="D73" s="308">
        <f>'4.6_транзит_котельн.'!D73+'4.6_сбыт_котельн.'!D73</f>
        <v>0</v>
      </c>
      <c r="E73" s="308">
        <f>'4.6_транзит_котельн.'!E73+'4.6_сбыт_котельн.'!E73</f>
        <v>0</v>
      </c>
      <c r="F73" s="308">
        <v>0</v>
      </c>
      <c r="G73" s="308">
        <v>0</v>
      </c>
      <c r="H73" s="308">
        <v>0</v>
      </c>
      <c r="I73" s="308">
        <v>0</v>
      </c>
      <c r="J73" s="308">
        <v>0</v>
      </c>
      <c r="K73" s="308">
        <v>0</v>
      </c>
      <c r="L73" s="308">
        <v>0</v>
      </c>
      <c r="M73" s="308">
        <v>0</v>
      </c>
      <c r="N73" s="982">
        <v>0</v>
      </c>
      <c r="O73" s="308">
        <v>0</v>
      </c>
      <c r="P73" s="308">
        <v>0</v>
      </c>
    </row>
    <row r="74" spans="1:16" s="4" customFormat="1" ht="15" customHeight="1">
      <c r="A74" s="17"/>
      <c r="B74" s="51" t="s">
        <v>963</v>
      </c>
      <c r="C74" s="308">
        <f>24+17</f>
        <v>41</v>
      </c>
      <c r="D74" s="308">
        <f>'4.6_транзит_котельн.'!D74+'4.6_сбыт_котельн.'!D74</f>
        <v>745</v>
      </c>
      <c r="E74" s="308">
        <f>'4.6_транзит_котельн.'!E74+'4.6_сбыт_котельн.'!E74</f>
        <v>0</v>
      </c>
      <c r="F74" s="308">
        <v>630.70000000000005</v>
      </c>
      <c r="G74" s="308">
        <v>0</v>
      </c>
      <c r="H74" s="308">
        <v>404.9</v>
      </c>
      <c r="I74" s="308">
        <v>61</v>
      </c>
      <c r="J74" s="308">
        <v>61</v>
      </c>
      <c r="K74" s="308">
        <v>65.14800000000001</v>
      </c>
      <c r="L74" s="308">
        <v>32.574000000000005</v>
      </c>
      <c r="M74" s="308">
        <v>32.574000000000005</v>
      </c>
      <c r="N74" s="982">
        <v>68.991731999999999</v>
      </c>
      <c r="O74" s="308">
        <v>34.495865999999999</v>
      </c>
      <c r="P74" s="308">
        <v>34.495865999999999</v>
      </c>
    </row>
    <row r="75" spans="1:16" s="4" customFormat="1" ht="15" hidden="1" customHeight="1">
      <c r="A75" s="17"/>
      <c r="B75" s="51"/>
      <c r="C75" s="241">
        <f>'4.6_транзит_котельн.'!C75+'4.6_сбыт_котельн.'!C75</f>
        <v>0</v>
      </c>
      <c r="D75" s="241">
        <f>'4.6_транзит_котельн.'!D75+'4.6_сбыт_котельн.'!D75</f>
        <v>0</v>
      </c>
      <c r="E75" s="241">
        <f>'4.6_транзит_котельн.'!E75+'4.6_сбыт_котельн.'!E75</f>
        <v>0</v>
      </c>
      <c r="F75" s="241">
        <v>0</v>
      </c>
      <c r="G75" s="241">
        <v>0</v>
      </c>
      <c r="H75" s="241">
        <v>0</v>
      </c>
      <c r="I75" s="241"/>
      <c r="J75" s="241"/>
      <c r="K75" s="241">
        <v>0</v>
      </c>
      <c r="L75" s="241">
        <v>0</v>
      </c>
      <c r="M75" s="241">
        <v>0</v>
      </c>
      <c r="N75" s="982">
        <v>0</v>
      </c>
      <c r="O75" s="241">
        <v>0</v>
      </c>
      <c r="P75" s="241">
        <v>0</v>
      </c>
    </row>
    <row r="76" spans="1:16" s="4" customFormat="1" ht="15" hidden="1" customHeight="1">
      <c r="A76" s="17"/>
      <c r="B76" s="51"/>
      <c r="C76" s="241"/>
      <c r="D76" s="241"/>
      <c r="E76" s="241"/>
      <c r="F76" s="241"/>
      <c r="G76" s="241"/>
      <c r="H76" s="241"/>
      <c r="I76" s="241"/>
      <c r="J76" s="241"/>
      <c r="K76" s="241"/>
      <c r="L76" s="241"/>
      <c r="M76" s="241"/>
      <c r="N76" s="982"/>
      <c r="O76" s="241"/>
      <c r="P76" s="241"/>
    </row>
    <row r="77" spans="1:16" s="4" customFormat="1" ht="15" hidden="1" customHeight="1">
      <c r="A77" s="17"/>
      <c r="B77" s="51"/>
      <c r="C77" s="241"/>
      <c r="D77" s="241"/>
      <c r="E77" s="241"/>
      <c r="F77" s="241"/>
      <c r="G77" s="241"/>
      <c r="H77" s="241"/>
      <c r="I77" s="241"/>
      <c r="J77" s="241"/>
      <c r="K77" s="241"/>
      <c r="L77" s="241"/>
      <c r="M77" s="241"/>
      <c r="N77" s="982"/>
      <c r="O77" s="241"/>
      <c r="P77" s="241"/>
    </row>
    <row r="78" spans="1:16" s="1034" customFormat="1" ht="30.75" customHeight="1">
      <c r="A78" s="1030" t="s">
        <v>391</v>
      </c>
      <c r="B78" s="1031" t="s">
        <v>392</v>
      </c>
      <c r="C78" s="1032">
        <f>SUM(C79:C82)</f>
        <v>2524</v>
      </c>
      <c r="D78" s="1032">
        <f t="shared" ref="D78:E78" si="9">SUM(D79:D82)</f>
        <v>2037</v>
      </c>
      <c r="E78" s="1032">
        <f t="shared" si="9"/>
        <v>0</v>
      </c>
      <c r="F78" s="1032">
        <v>2667</v>
      </c>
      <c r="G78" s="1032">
        <v>0</v>
      </c>
      <c r="H78" s="1032">
        <v>2993.4</v>
      </c>
      <c r="I78" s="1032">
        <v>2894</v>
      </c>
      <c r="J78" s="1032">
        <v>82385</v>
      </c>
      <c r="K78" s="1032">
        <v>90093.792000000001</v>
      </c>
      <c r="L78" s="1032">
        <v>1545.3960000000002</v>
      </c>
      <c r="M78" s="1032">
        <v>88548.395999999993</v>
      </c>
      <c r="N78" s="1383">
        <v>95109.148728</v>
      </c>
      <c r="O78" s="1032">
        <v>1636.5743640000001</v>
      </c>
      <c r="P78" s="1032">
        <v>93472.574364</v>
      </c>
    </row>
    <row r="79" spans="1:16" s="1046" customFormat="1" ht="15" customHeight="1">
      <c r="A79" s="1044"/>
      <c r="B79" s="1045" t="s">
        <v>393</v>
      </c>
      <c r="C79" s="258">
        <f>'4.6_транзит_котельн.'!C79+'4.6_сбыт_котельн.'!C79</f>
        <v>0</v>
      </c>
      <c r="D79" s="258">
        <f>'4.6_транзит_котельн.'!D79+'4.6_сбыт_котельн.'!D79</f>
        <v>0</v>
      </c>
      <c r="E79" s="258">
        <f>'4.6_транзит_котельн.'!E79+'4.6_сбыт_котельн.'!E79</f>
        <v>0</v>
      </c>
      <c r="F79" s="258">
        <v>0</v>
      </c>
      <c r="G79" s="258">
        <v>0</v>
      </c>
      <c r="H79" s="258">
        <v>0</v>
      </c>
      <c r="I79" s="258">
        <v>0</v>
      </c>
      <c r="J79" s="258">
        <v>0</v>
      </c>
      <c r="K79" s="258">
        <v>0</v>
      </c>
      <c r="L79" s="258">
        <v>0</v>
      </c>
      <c r="M79" s="258">
        <v>0</v>
      </c>
      <c r="N79" s="982">
        <v>0</v>
      </c>
      <c r="O79" s="258">
        <v>0</v>
      </c>
      <c r="P79" s="258">
        <v>0</v>
      </c>
    </row>
    <row r="80" spans="1:16" s="1046" customFormat="1" ht="30" customHeight="1">
      <c r="A80" s="1044"/>
      <c r="B80" s="1045" t="s">
        <v>394</v>
      </c>
      <c r="C80" s="258">
        <f>2355+169</f>
        <v>2524</v>
      </c>
      <c r="D80" s="258">
        <f>'4.6_транзит_котельн.'!D80+'4.6_сбыт_котельн.'!D80</f>
        <v>2037</v>
      </c>
      <c r="E80" s="258">
        <f>'4.6_транзит_котельн.'!E80+'4.6_сбыт_котельн.'!E80</f>
        <v>0</v>
      </c>
      <c r="F80" s="258">
        <v>2667</v>
      </c>
      <c r="G80" s="258">
        <v>0</v>
      </c>
      <c r="H80" s="258">
        <v>2993.4</v>
      </c>
      <c r="I80" s="258">
        <v>2894</v>
      </c>
      <c r="J80" s="258">
        <v>2894</v>
      </c>
      <c r="K80" s="258">
        <v>3090.7920000000004</v>
      </c>
      <c r="L80" s="258">
        <v>1545.3960000000002</v>
      </c>
      <c r="M80" s="258">
        <v>1545.3960000000002</v>
      </c>
      <c r="N80" s="982">
        <v>3273.1487280000001</v>
      </c>
      <c r="O80" s="258">
        <v>1636.5743640000001</v>
      </c>
      <c r="P80" s="258">
        <v>1636.5743640000001</v>
      </c>
    </row>
    <row r="81" spans="1:16" s="1046" customFormat="1" ht="15" customHeight="1">
      <c r="A81" s="1044"/>
      <c r="B81" s="1045" t="s">
        <v>1568</v>
      </c>
      <c r="C81" s="258">
        <f>'4.6_транзит_котельн.'!C81+'4.6_сбыт_котельн.'!C81</f>
        <v>0</v>
      </c>
      <c r="D81" s="258">
        <f>'4.6_транзит_котельн.'!D81+'4.6_сбыт_котельн.'!D81</f>
        <v>0</v>
      </c>
      <c r="E81" s="258">
        <f>'4.6_транзит_котельн.'!E81+'4.6_сбыт_котельн.'!E81</f>
        <v>0</v>
      </c>
      <c r="F81" s="258">
        <v>0</v>
      </c>
      <c r="G81" s="258">
        <v>0</v>
      </c>
      <c r="H81" s="258">
        <v>0</v>
      </c>
      <c r="I81" s="258">
        <v>0</v>
      </c>
      <c r="J81" s="258">
        <v>0</v>
      </c>
      <c r="K81" s="258">
        <v>0</v>
      </c>
      <c r="L81" s="258">
        <v>0</v>
      </c>
      <c r="M81" s="258">
        <v>0</v>
      </c>
      <c r="N81" s="982">
        <v>0</v>
      </c>
      <c r="O81" s="258">
        <v>0</v>
      </c>
      <c r="P81" s="258">
        <v>0</v>
      </c>
    </row>
    <row r="82" spans="1:16" s="1046" customFormat="1" ht="28.5" customHeight="1">
      <c r="A82" s="1044"/>
      <c r="B82" s="1045" t="s">
        <v>1957</v>
      </c>
      <c r="C82" s="258">
        <f>'4.6_транзит_котельн.'!C82+'4.6_сбыт_котельн.'!C82</f>
        <v>0</v>
      </c>
      <c r="D82" s="258">
        <f>'4.6_транзит_котельн.'!D82+'4.6_сбыт_котельн.'!D82</f>
        <v>0</v>
      </c>
      <c r="E82" s="258">
        <f>'4.6_транзит_котельн.'!E82+'4.6_сбыт_котельн.'!E82</f>
        <v>0</v>
      </c>
      <c r="F82" s="258">
        <v>0</v>
      </c>
      <c r="G82" s="258">
        <v>0</v>
      </c>
      <c r="H82" s="258">
        <v>0</v>
      </c>
      <c r="I82" s="258">
        <v>0</v>
      </c>
      <c r="J82" s="258">
        <v>79491</v>
      </c>
      <c r="K82" s="258">
        <v>87003</v>
      </c>
      <c r="L82" s="258">
        <v>0</v>
      </c>
      <c r="M82" s="258">
        <v>87003</v>
      </c>
      <c r="N82" s="982">
        <v>91836</v>
      </c>
      <c r="O82" s="258">
        <v>0</v>
      </c>
      <c r="P82" s="258">
        <v>91836</v>
      </c>
    </row>
    <row r="83" spans="1:16" s="1034" customFormat="1" ht="15" customHeight="1">
      <c r="A83" s="1030" t="s">
        <v>395</v>
      </c>
      <c r="B83" s="1031" t="s">
        <v>396</v>
      </c>
      <c r="C83" s="1032">
        <f>(C68+C69+C70+C78)/0.8*0.2</f>
        <v>18415.75</v>
      </c>
      <c r="D83" s="1032">
        <f t="shared" ref="D83" si="10">(D68+D69+D70+D78)/0.8*0.2</f>
        <v>121043</v>
      </c>
      <c r="E83" s="1032">
        <f>E78/0.8*0.2</f>
        <v>0</v>
      </c>
      <c r="F83" s="1032">
        <v>666.75</v>
      </c>
      <c r="G83" s="1032">
        <v>0</v>
      </c>
      <c r="H83" s="1032">
        <v>748.35</v>
      </c>
      <c r="I83" s="1032">
        <v>7144.9007638289986</v>
      </c>
      <c r="J83" s="1032">
        <v>27017.650763828995</v>
      </c>
      <c r="K83" s="1032">
        <v>28778.448</v>
      </c>
      <c r="L83" s="1032">
        <v>386.34900000000005</v>
      </c>
      <c r="M83" s="1032">
        <v>28392.099000000002</v>
      </c>
      <c r="N83" s="1032">
        <v>23777.287182</v>
      </c>
      <c r="O83" s="1032">
        <v>409.14359100000001</v>
      </c>
      <c r="P83" s="1032">
        <v>23368.143591</v>
      </c>
    </row>
    <row r="84" spans="1:16" s="1034" customFormat="1" ht="15" customHeight="1">
      <c r="A84" s="1030" t="s">
        <v>397</v>
      </c>
      <c r="B84" s="1031" t="s">
        <v>398</v>
      </c>
      <c r="C84" s="1032">
        <f>C85-C88</f>
        <v>0</v>
      </c>
      <c r="D84" s="1032">
        <f t="shared" ref="D84:E84" si="11">D85-D88</f>
        <v>0</v>
      </c>
      <c r="E84" s="1032">
        <f t="shared" si="11"/>
        <v>0</v>
      </c>
      <c r="F84" s="1032">
        <v>0</v>
      </c>
      <c r="G84" s="1032">
        <v>0</v>
      </c>
      <c r="H84" s="1032">
        <v>0</v>
      </c>
      <c r="I84" s="1032">
        <v>-55090.729042644962</v>
      </c>
      <c r="J84" s="1032">
        <v>-55090.729042644962</v>
      </c>
      <c r="K84" s="1032">
        <v>301962.90000000002</v>
      </c>
      <c r="L84" s="1032">
        <v>0</v>
      </c>
      <c r="M84" s="1032">
        <v>301962.90000000002</v>
      </c>
      <c r="N84" s="1383">
        <v>0</v>
      </c>
      <c r="O84" s="1032">
        <v>0</v>
      </c>
      <c r="P84" s="1032">
        <v>0</v>
      </c>
    </row>
    <row r="85" spans="1:16" s="585" customFormat="1" ht="15" customHeight="1">
      <c r="A85" s="583"/>
      <c r="B85" s="582" t="s">
        <v>1140</v>
      </c>
      <c r="C85" s="587">
        <f>C86+C87</f>
        <v>0</v>
      </c>
      <c r="D85" s="587">
        <f t="shared" ref="D85:E85" si="12">D86+D87</f>
        <v>0</v>
      </c>
      <c r="E85" s="587">
        <f t="shared" si="12"/>
        <v>0</v>
      </c>
      <c r="F85" s="587">
        <v>0</v>
      </c>
      <c r="G85" s="587">
        <v>0</v>
      </c>
      <c r="H85" s="587">
        <v>0</v>
      </c>
      <c r="I85" s="587">
        <v>29332.270957355038</v>
      </c>
      <c r="J85" s="587">
        <v>29332.270957355038</v>
      </c>
      <c r="K85" s="587">
        <v>319796.90000000002</v>
      </c>
      <c r="L85" s="587">
        <v>0</v>
      </c>
      <c r="M85" s="587">
        <v>319796.90000000002</v>
      </c>
      <c r="N85" s="982">
        <v>0</v>
      </c>
      <c r="O85" s="587">
        <v>0</v>
      </c>
      <c r="P85" s="587">
        <v>0</v>
      </c>
    </row>
    <row r="86" spans="1:16" s="341" customFormat="1" ht="15" customHeight="1">
      <c r="A86" s="339"/>
      <c r="B86" s="340" t="s">
        <v>959</v>
      </c>
      <c r="C86" s="308">
        <f>'4.6_транзит_котельн.'!C86+'4.6_сбыт_котельн.'!C86</f>
        <v>0</v>
      </c>
      <c r="D86" s="308">
        <f>'4.6_транзит_котельн.'!D86+'4.6_сбыт_котельн.'!D86</f>
        <v>0</v>
      </c>
      <c r="E86" s="308">
        <f>'4.6_транзит_котельн.'!E86+'4.6_сбыт_котельн.'!E86</f>
        <v>0</v>
      </c>
      <c r="F86" s="308">
        <v>0</v>
      </c>
      <c r="G86" s="308">
        <v>0</v>
      </c>
      <c r="H86" s="308">
        <v>0</v>
      </c>
      <c r="I86" s="308">
        <v>0</v>
      </c>
      <c r="J86" s="308">
        <v>0</v>
      </c>
      <c r="K86" s="308">
        <v>319796.90000000002</v>
      </c>
      <c r="L86" s="308">
        <v>0</v>
      </c>
      <c r="M86" s="308">
        <v>319796.90000000002</v>
      </c>
      <c r="N86" s="982">
        <v>0</v>
      </c>
      <c r="O86" s="308">
        <v>0</v>
      </c>
      <c r="P86" s="308">
        <v>0</v>
      </c>
    </row>
    <row r="87" spans="1:16" s="341" customFormat="1" ht="15" customHeight="1">
      <c r="A87" s="339"/>
      <c r="B87" s="51" t="s">
        <v>960</v>
      </c>
      <c r="C87" s="241">
        <f>'4.6_транзит_котельн.'!C87+'4.6_сбыт_котельн.'!C87</f>
        <v>0</v>
      </c>
      <c r="D87" s="241">
        <f>'4.6_транзит_котельн.'!D87+'4.6_сбыт_котельн.'!D87</f>
        <v>0</v>
      </c>
      <c r="E87" s="241">
        <f>'4.6_транзит_котельн.'!E87+'4.6_сбыт_котельн.'!E87</f>
        <v>0</v>
      </c>
      <c r="F87" s="241">
        <v>0</v>
      </c>
      <c r="G87" s="241">
        <v>0</v>
      </c>
      <c r="H87" s="241">
        <v>0</v>
      </c>
      <c r="I87" s="241">
        <v>0</v>
      </c>
      <c r="J87" s="241">
        <v>0</v>
      </c>
      <c r="K87" s="241">
        <v>0</v>
      </c>
      <c r="L87" s="241">
        <v>0</v>
      </c>
      <c r="M87" s="241">
        <v>0</v>
      </c>
      <c r="N87" s="982">
        <v>0</v>
      </c>
      <c r="O87" s="241">
        <v>0</v>
      </c>
      <c r="P87" s="241">
        <v>0</v>
      </c>
    </row>
    <row r="88" spans="1:16" s="588" customFormat="1" ht="15" customHeight="1">
      <c r="A88" s="586"/>
      <c r="B88" s="582" t="s">
        <v>1141</v>
      </c>
      <c r="C88" s="587">
        <f>C89+C90</f>
        <v>0</v>
      </c>
      <c r="D88" s="587">
        <f t="shared" ref="D88:E88" si="13">D89+D90</f>
        <v>0</v>
      </c>
      <c r="E88" s="587">
        <f t="shared" si="13"/>
        <v>0</v>
      </c>
      <c r="F88" s="587">
        <v>0</v>
      </c>
      <c r="G88" s="587">
        <v>0</v>
      </c>
      <c r="H88" s="587">
        <v>0</v>
      </c>
      <c r="I88" s="587">
        <v>84423</v>
      </c>
      <c r="J88" s="587">
        <v>84423</v>
      </c>
      <c r="K88" s="587">
        <v>17834</v>
      </c>
      <c r="L88" s="587">
        <v>0</v>
      </c>
      <c r="M88" s="587">
        <v>17834</v>
      </c>
      <c r="N88" s="982">
        <v>0</v>
      </c>
      <c r="O88" s="587">
        <v>0</v>
      </c>
      <c r="P88" s="587">
        <v>0</v>
      </c>
    </row>
    <row r="89" spans="1:16" s="341" customFormat="1" ht="15" customHeight="1">
      <c r="A89" s="339"/>
      <c r="B89" s="340" t="s">
        <v>959</v>
      </c>
      <c r="C89" s="241">
        <f>'4.6_транзит_котельн.'!C89+'4.6_сбыт_котельн.'!C89</f>
        <v>0</v>
      </c>
      <c r="D89" s="241">
        <f>'4.6_транзит_котельн.'!D89+'4.6_сбыт_котельн.'!D89</f>
        <v>0</v>
      </c>
      <c r="E89" s="241">
        <f>'4.6_транзит_котельн.'!E89+'4.6_сбыт_котельн.'!E89</f>
        <v>0</v>
      </c>
      <c r="F89" s="241">
        <v>0</v>
      </c>
      <c r="G89" s="241">
        <v>0</v>
      </c>
      <c r="H89" s="241">
        <v>0</v>
      </c>
      <c r="I89" s="241">
        <v>0</v>
      </c>
      <c r="J89" s="241">
        <v>0</v>
      </c>
      <c r="K89" s="241">
        <v>17834</v>
      </c>
      <c r="L89" s="241">
        <v>0</v>
      </c>
      <c r="M89" s="241">
        <v>17834</v>
      </c>
      <c r="N89" s="982">
        <v>0</v>
      </c>
      <c r="O89" s="241">
        <v>0</v>
      </c>
      <c r="P89" s="241">
        <v>0</v>
      </c>
    </row>
    <row r="90" spans="1:16" s="341" customFormat="1" ht="15" customHeight="1">
      <c r="A90" s="339"/>
      <c r="B90" s="51" t="s">
        <v>960</v>
      </c>
      <c r="C90" s="241">
        <f>'4.6_транзит_котельн.'!C90+'4.6_сбыт_котельн.'!C90</f>
        <v>0</v>
      </c>
      <c r="D90" s="241">
        <f>'4.6_транзит_котельн.'!D90+'4.6_сбыт_котельн.'!D90</f>
        <v>0</v>
      </c>
      <c r="E90" s="241">
        <f>'4.6_транзит_котельн.'!E90+'4.6_сбыт_котельн.'!E90</f>
        <v>0</v>
      </c>
      <c r="F90" s="241">
        <v>0</v>
      </c>
      <c r="G90" s="241">
        <v>0</v>
      </c>
      <c r="H90" s="241">
        <v>0</v>
      </c>
      <c r="I90" s="241">
        <v>0</v>
      </c>
      <c r="J90" s="241">
        <v>0</v>
      </c>
      <c r="K90" s="241">
        <v>0</v>
      </c>
      <c r="L90" s="241">
        <v>0</v>
      </c>
      <c r="M90" s="241">
        <v>0</v>
      </c>
      <c r="N90" s="982">
        <v>0</v>
      </c>
      <c r="O90" s="241">
        <v>0</v>
      </c>
      <c r="P90" s="241">
        <v>0</v>
      </c>
    </row>
    <row r="91" spans="1:16" s="1055" customFormat="1" ht="15" customHeight="1">
      <c r="A91" s="1052" t="s">
        <v>399</v>
      </c>
      <c r="B91" s="1053" t="s">
        <v>400</v>
      </c>
      <c r="C91" s="1054">
        <f t="shared" ref="C91:E91" si="14">C7+C67+C78+C83+C84</f>
        <v>480564.75</v>
      </c>
      <c r="D91" s="1054">
        <f t="shared" si="14"/>
        <v>883744.01939999999</v>
      </c>
      <c r="E91" s="1054">
        <f t="shared" si="14"/>
        <v>0</v>
      </c>
      <c r="F91" s="1054">
        <v>347741.71376743377</v>
      </c>
      <c r="G91" s="1054">
        <v>5008.9605671999998</v>
      </c>
      <c r="H91" s="1054">
        <v>398644.25552743603</v>
      </c>
      <c r="I91" s="1054">
        <v>8545.2747765000313</v>
      </c>
      <c r="J91" s="1054">
        <v>516298.27861077047</v>
      </c>
      <c r="K91" s="1054">
        <v>902687.00779701793</v>
      </c>
      <c r="L91" s="1054">
        <v>223381.40107899997</v>
      </c>
      <c r="M91" s="1054">
        <v>679305.60671801795</v>
      </c>
      <c r="N91" s="1610">
        <v>604907.91721289651</v>
      </c>
      <c r="O91" s="1054">
        <v>237588.60173170769</v>
      </c>
      <c r="P91" s="1054">
        <v>367319.31548118871</v>
      </c>
    </row>
    <row r="92" spans="1:16" s="4" customFormat="1" ht="15" customHeight="1">
      <c r="A92" s="17" t="s">
        <v>401</v>
      </c>
      <c r="B92" s="51" t="s">
        <v>1269</v>
      </c>
      <c r="C92" s="241"/>
      <c r="D92" s="241"/>
      <c r="E92" s="241"/>
      <c r="F92" s="241"/>
      <c r="G92" s="241"/>
      <c r="H92" s="241"/>
      <c r="I92" s="241"/>
      <c r="J92" s="241"/>
      <c r="K92" s="241"/>
      <c r="L92" s="241"/>
      <c r="M92" s="241"/>
      <c r="N92" s="982"/>
      <c r="O92" s="241"/>
      <c r="P92" s="241"/>
    </row>
    <row r="93" spans="1:16" s="4" customFormat="1" ht="15" customHeight="1">
      <c r="A93" s="17" t="s">
        <v>403</v>
      </c>
      <c r="B93" s="51" t="s">
        <v>1270</v>
      </c>
      <c r="C93" s="241">
        <f>C91-C94-C95</f>
        <v>480564.75</v>
      </c>
      <c r="D93" s="241">
        <f t="shared" ref="D93:E93" si="15">D91-D94-D95</f>
        <v>883744.01939999999</v>
      </c>
      <c r="E93" s="241">
        <f t="shared" si="15"/>
        <v>0</v>
      </c>
      <c r="F93" s="241">
        <v>347741.71376743377</v>
      </c>
      <c r="G93" s="241">
        <v>5008.9605671999998</v>
      </c>
      <c r="H93" s="241">
        <v>398644.25552743603</v>
      </c>
      <c r="I93" s="241">
        <v>8545.2747765000313</v>
      </c>
      <c r="J93" s="241">
        <v>516298.27861077047</v>
      </c>
      <c r="K93" s="241">
        <v>902687.00779701793</v>
      </c>
      <c r="L93" s="241">
        <v>223381.40107899997</v>
      </c>
      <c r="M93" s="241">
        <v>679305.60671801795</v>
      </c>
      <c r="N93" s="982">
        <v>604907.91721289651</v>
      </c>
      <c r="O93" s="241">
        <v>237588.60173170769</v>
      </c>
      <c r="P93" s="241">
        <v>367319.31548118871</v>
      </c>
    </row>
    <row r="94" spans="1:16" s="4" customFormat="1" ht="15" customHeight="1">
      <c r="A94" s="17" t="s">
        <v>405</v>
      </c>
      <c r="B94" s="51" t="s">
        <v>1271</v>
      </c>
      <c r="C94" s="241"/>
      <c r="D94" s="241"/>
      <c r="E94" s="241"/>
      <c r="F94" s="241"/>
      <c r="G94" s="241"/>
      <c r="H94" s="241"/>
      <c r="I94" s="241"/>
      <c r="J94" s="241"/>
      <c r="K94" s="241"/>
      <c r="L94" s="241"/>
      <c r="M94" s="241"/>
      <c r="N94" s="982"/>
      <c r="O94" s="241"/>
      <c r="P94" s="241"/>
    </row>
    <row r="95" spans="1:16" s="4" customFormat="1" ht="15" customHeight="1">
      <c r="A95" s="17" t="s">
        <v>407</v>
      </c>
      <c r="B95" s="51" t="s">
        <v>408</v>
      </c>
      <c r="C95" s="241"/>
      <c r="D95" s="241"/>
      <c r="E95" s="241"/>
      <c r="F95" s="241"/>
      <c r="G95" s="241"/>
      <c r="H95" s="241"/>
      <c r="I95" s="241"/>
      <c r="J95" s="241"/>
      <c r="K95" s="241"/>
      <c r="L95" s="241"/>
      <c r="M95" s="241"/>
      <c r="N95" s="982"/>
      <c r="O95" s="241"/>
      <c r="P95" s="241"/>
    </row>
    <row r="96" spans="1:16" s="4" customFormat="1" ht="15" customHeight="1">
      <c r="A96" s="17"/>
      <c r="B96" s="51"/>
      <c r="C96" s="241"/>
      <c r="D96" s="241"/>
      <c r="E96" s="241"/>
      <c r="F96" s="241"/>
      <c r="G96" s="241"/>
      <c r="H96" s="241"/>
      <c r="I96" s="241"/>
      <c r="J96" s="241"/>
      <c r="K96" s="241"/>
      <c r="L96" s="241"/>
      <c r="M96" s="241"/>
      <c r="N96" s="982"/>
      <c r="O96" s="241"/>
      <c r="P96" s="241"/>
    </row>
    <row r="97" spans="1:16" s="4" customFormat="1" ht="28.5">
      <c r="A97" s="17"/>
      <c r="B97" s="755" t="s">
        <v>1268</v>
      </c>
      <c r="C97" s="286">
        <v>454.76100000000002</v>
      </c>
      <c r="D97" s="286">
        <f>'4.3_котельные'!I8</f>
        <v>410.57600000000002</v>
      </c>
      <c r="E97" s="286">
        <f>'4.3_котельные'!M8</f>
        <v>461.95</v>
      </c>
      <c r="F97" s="286">
        <v>399.63940000000008</v>
      </c>
      <c r="G97" s="286">
        <v>466.08759999999995</v>
      </c>
      <c r="H97" s="286">
        <v>377.28214835200004</v>
      </c>
      <c r="I97" s="286">
        <v>0</v>
      </c>
      <c r="J97" s="286">
        <v>400.41050000000007</v>
      </c>
      <c r="K97" s="286">
        <v>389</v>
      </c>
      <c r="L97" s="286">
        <v>237.10000000000002</v>
      </c>
      <c r="M97" s="286">
        <v>151.9</v>
      </c>
      <c r="N97" s="1568">
        <v>389</v>
      </c>
      <c r="O97" s="286">
        <v>237.10000000000002</v>
      </c>
      <c r="P97" s="286">
        <v>151.9</v>
      </c>
    </row>
    <row r="98" spans="1:16" s="4" customFormat="1" ht="15" customHeight="1">
      <c r="A98" s="17"/>
      <c r="B98" s="51"/>
      <c r="C98" s="241"/>
      <c r="D98" s="241"/>
      <c r="E98" s="241"/>
      <c r="F98" s="241"/>
      <c r="G98" s="241"/>
      <c r="H98" s="241"/>
      <c r="I98" s="241"/>
      <c r="J98" s="241"/>
      <c r="K98" s="241"/>
      <c r="L98" s="241"/>
      <c r="M98" s="241"/>
      <c r="N98" s="982"/>
      <c r="O98" s="241"/>
      <c r="P98" s="241"/>
    </row>
    <row r="99" spans="1:16" s="4" customFormat="1" ht="15" customHeight="1">
      <c r="A99" s="17"/>
      <c r="B99" s="253" t="s">
        <v>1266</v>
      </c>
      <c r="C99" s="428">
        <f>C93/C97</f>
        <v>1056.7413432550284</v>
      </c>
      <c r="D99" s="428">
        <f t="shared" ref="D99:E99" si="16">D93/D97</f>
        <v>2152.4492892911421</v>
      </c>
      <c r="E99" s="428">
        <f t="shared" si="16"/>
        <v>0</v>
      </c>
      <c r="F99" s="428">
        <v>870.13871446967869</v>
      </c>
      <c r="G99" s="428">
        <v>10.746822200805171</v>
      </c>
      <c r="H99" s="428">
        <v>1056.6210388398906</v>
      </c>
      <c r="I99" s="428" t="e">
        <v>#DIV/0!</v>
      </c>
      <c r="J99" s="428">
        <v>1289.422426761462</v>
      </c>
      <c r="K99" s="428">
        <v>2320.5321537198406</v>
      </c>
      <c r="L99" s="428">
        <v>942.14002985660034</v>
      </c>
      <c r="M99" s="428">
        <v>4472.0579770771428</v>
      </c>
      <c r="N99" s="1128">
        <v>1555.0332062028187</v>
      </c>
      <c r="O99" s="428">
        <v>1002.0607411712681</v>
      </c>
      <c r="P99" s="428">
        <v>2418.1653422066406</v>
      </c>
    </row>
    <row r="100" spans="1:16" s="4" customFormat="1" ht="15" customHeight="1">
      <c r="A100" s="17"/>
      <c r="B100" s="253" t="s">
        <v>1267</v>
      </c>
      <c r="C100" s="428" t="e">
        <f>C94/'4.2_котельные'!C25</f>
        <v>#DIV/0!</v>
      </c>
      <c r="D100" s="428">
        <f>D94/'4.2_котельные'!F25</f>
        <v>0</v>
      </c>
      <c r="E100" s="428" t="e">
        <f>E94/'4.2_котельные'!I25</f>
        <v>#DIV/0!</v>
      </c>
      <c r="F100" s="428">
        <f>F94/'4.2_котельные'!L25</f>
        <v>0</v>
      </c>
      <c r="G100" s="428"/>
      <c r="H100" s="428"/>
      <c r="I100" s="428"/>
      <c r="J100" s="428"/>
      <c r="K100" s="1128">
        <f>K94/'4.2_котельные'!AA25</f>
        <v>0</v>
      </c>
      <c r="L100" s="428">
        <f>L94/'4.2_котельные'!AA25</f>
        <v>0</v>
      </c>
      <c r="M100" s="428">
        <f>M94/'4.2_котельные'!AG25</f>
        <v>0</v>
      </c>
      <c r="N100" s="978"/>
      <c r="O100" s="978"/>
      <c r="P100" s="978"/>
    </row>
    <row r="101" spans="1:16" s="4" customFormat="1" ht="15" customHeight="1">
      <c r="A101" s="17"/>
      <c r="B101" s="1131" t="s">
        <v>1512</v>
      </c>
      <c r="C101" s="428"/>
      <c r="D101" s="428"/>
      <c r="E101" s="428"/>
      <c r="F101" s="428"/>
      <c r="G101" s="428"/>
      <c r="H101" s="428"/>
      <c r="I101" s="428"/>
      <c r="J101" s="428"/>
      <c r="K101" s="1128"/>
      <c r="L101" s="428"/>
      <c r="M101" s="428"/>
      <c r="N101" s="978"/>
      <c r="O101" s="978"/>
      <c r="P101" s="978"/>
    </row>
    <row r="102" spans="1:16" s="4" customFormat="1" ht="15" customHeight="1">
      <c r="A102" s="17"/>
      <c r="B102" s="1131" t="s">
        <v>1513</v>
      </c>
      <c r="C102" s="428"/>
      <c r="D102" s="428"/>
      <c r="E102" s="428"/>
      <c r="F102" s="428"/>
      <c r="G102" s="428"/>
      <c r="H102" s="428"/>
      <c r="I102" s="428"/>
      <c r="J102" s="428"/>
      <c r="K102" s="1128"/>
      <c r="L102" s="428"/>
      <c r="M102" s="428"/>
      <c r="N102" s="978"/>
      <c r="O102" s="978"/>
      <c r="P102" s="978"/>
    </row>
    <row r="103" spans="1:16" hidden="1">
      <c r="A103" s="253" t="s">
        <v>965</v>
      </c>
      <c r="B103" s="253"/>
      <c r="C103" s="308">
        <f>C67+C78+C83+C87-C90</f>
        <v>92119.75</v>
      </c>
      <c r="D103" s="308">
        <f t="shared" ref="D103:M103" si="17">D67+D78+D83+D87-D90</f>
        <v>607462</v>
      </c>
      <c r="E103" s="308">
        <f t="shared" si="17"/>
        <v>0</v>
      </c>
      <c r="F103" s="308">
        <f t="shared" si="17"/>
        <v>4994.45</v>
      </c>
      <c r="G103" s="308"/>
      <c r="H103" s="308"/>
      <c r="I103" s="308"/>
      <c r="J103" s="308"/>
      <c r="K103" s="982">
        <f t="shared" si="17"/>
        <v>145261.06356000001</v>
      </c>
      <c r="L103" s="308">
        <f t="shared" si="17"/>
        <v>2616.1567800000003</v>
      </c>
      <c r="M103" s="308">
        <f t="shared" si="17"/>
        <v>142644.90677999999</v>
      </c>
      <c r="N103" s="762"/>
      <c r="O103" s="762"/>
      <c r="P103" s="762"/>
    </row>
    <row r="104" spans="1:16" s="26" customFormat="1">
      <c r="A104" s="26" t="s">
        <v>88</v>
      </c>
      <c r="K104" s="883"/>
    </row>
    <row r="105" spans="1:16" s="945" customFormat="1" ht="58.5" customHeight="1">
      <c r="A105" s="945" t="s">
        <v>89</v>
      </c>
      <c r="B105" s="1842" t="s">
        <v>409</v>
      </c>
      <c r="C105" s="1842"/>
      <c r="D105" s="1842"/>
      <c r="E105" s="1842"/>
      <c r="F105" s="1842"/>
      <c r="G105" s="1842"/>
      <c r="H105" s="1842"/>
      <c r="I105" s="1842"/>
      <c r="J105" s="1842"/>
      <c r="K105" s="1842"/>
      <c r="L105" s="1842"/>
      <c r="M105" s="1842"/>
      <c r="N105" s="1629"/>
      <c r="O105" s="1629"/>
      <c r="P105" s="1629"/>
    </row>
    <row r="106" spans="1:16" s="945" customFormat="1" ht="58.5" customHeight="1">
      <c r="A106" s="945" t="s">
        <v>91</v>
      </c>
      <c r="B106" s="1842" t="s">
        <v>410</v>
      </c>
      <c r="C106" s="1842"/>
      <c r="D106" s="1842"/>
      <c r="E106" s="1842"/>
      <c r="F106" s="1842"/>
      <c r="G106" s="1842"/>
      <c r="H106" s="1842"/>
      <c r="I106" s="1842"/>
      <c r="J106" s="1842"/>
      <c r="K106" s="1842"/>
      <c r="L106" s="1842"/>
      <c r="M106" s="1842"/>
      <c r="N106" s="1629"/>
      <c r="O106" s="1629"/>
      <c r="P106" s="1629"/>
    </row>
    <row r="107" spans="1:16" s="945" customFormat="1" ht="58.5" customHeight="1">
      <c r="A107" s="945" t="s">
        <v>93</v>
      </c>
      <c r="B107" s="1842" t="s">
        <v>411</v>
      </c>
      <c r="C107" s="1842"/>
      <c r="D107" s="1842"/>
      <c r="E107" s="1842"/>
      <c r="F107" s="1842"/>
      <c r="G107" s="1842"/>
      <c r="H107" s="1842"/>
      <c r="I107" s="1842"/>
      <c r="J107" s="1842"/>
      <c r="K107" s="1842"/>
      <c r="L107" s="1842"/>
      <c r="M107" s="1842"/>
      <c r="N107" s="1629"/>
      <c r="O107" s="1629"/>
      <c r="P107" s="1629"/>
    </row>
    <row r="108" spans="1:16" ht="18.75" customHeight="1"/>
  </sheetData>
  <mergeCells count="4">
    <mergeCell ref="B105:M105"/>
    <mergeCell ref="B106:M106"/>
    <mergeCell ref="B107:M107"/>
    <mergeCell ref="A3:J3"/>
  </mergeCells>
  <pageMargins left="0.78740157480314965" right="0.31496062992125984" top="0.19685039370078741" bottom="0.19685039370078741" header="0.19685039370078741" footer="0.19685039370078741"/>
  <pageSetup paperSize="9" scale="50" orientation="portrait" r:id="rId1"/>
  <headerFooter alignWithMargins="0"/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</sheetPr>
  <dimension ref="A1:R108"/>
  <sheetViews>
    <sheetView view="pageBreakPreview" zoomScaleNormal="100" workbookViewId="0">
      <pane xSplit="2" ySplit="5" topLeftCell="C6" activePane="bottomRight" state="frozen"/>
      <selection activeCell="T22" sqref="T22"/>
      <selection pane="topRight" activeCell="T22" sqref="T22"/>
      <selection pane="bottomLeft" activeCell="T22" sqref="T22"/>
      <selection pane="bottomRight" activeCell="T22" sqref="T22"/>
    </sheetView>
  </sheetViews>
  <sheetFormatPr defaultColWidth="3.7109375" defaultRowHeight="15" outlineLevelRow="1"/>
  <cols>
    <col min="1" max="1" width="6.7109375" style="1" customWidth="1"/>
    <col min="2" max="2" width="44.140625" style="1" customWidth="1"/>
    <col min="3" max="4" width="13.42578125" style="1" hidden="1" customWidth="1"/>
    <col min="5" max="9" width="13.42578125" style="1" customWidth="1"/>
    <col min="10" max="10" width="16.28515625" style="1" customWidth="1"/>
    <col min="11" max="11" width="13" style="1603" customWidth="1"/>
    <col min="12" max="12" width="12.140625" style="1" customWidth="1"/>
    <col min="13" max="13" width="12.28515625" style="1" customWidth="1"/>
    <col min="14" max="14" width="13" style="1" customWidth="1"/>
    <col min="15" max="17" width="12.28515625" style="1" customWidth="1"/>
    <col min="18" max="56" width="9.140625" style="1" customWidth="1"/>
    <col min="57" max="16384" width="3.7109375" style="1"/>
  </cols>
  <sheetData>
    <row r="1" spans="1:18" ht="12.75" customHeight="1">
      <c r="A1" s="74" t="s">
        <v>1860</v>
      </c>
      <c r="J1" s="23"/>
      <c r="K1" s="23"/>
      <c r="M1" s="23" t="s">
        <v>359</v>
      </c>
      <c r="N1" s="23"/>
      <c r="O1" s="23"/>
      <c r="P1" s="23"/>
      <c r="Q1" s="23"/>
    </row>
    <row r="2" spans="1:18" ht="12.75" customHeight="1">
      <c r="A2" s="105" t="str">
        <f>'4.6_котельные'!A2</f>
        <v>ПКГО - выработка котельными</v>
      </c>
      <c r="K2" s="763"/>
      <c r="M2" s="763"/>
    </row>
    <row r="3" spans="1:18" ht="18.75">
      <c r="A3" s="1877" t="s">
        <v>1152</v>
      </c>
      <c r="B3" s="1914"/>
      <c r="C3" s="1914"/>
      <c r="D3" s="1914"/>
      <c r="E3" s="1914"/>
      <c r="F3" s="1914"/>
      <c r="G3" s="1914"/>
      <c r="H3" s="1914"/>
      <c r="I3" s="1914"/>
      <c r="J3" s="1914"/>
      <c r="K3" s="1632"/>
      <c r="L3" s="1632"/>
      <c r="M3" s="1767"/>
      <c r="N3" s="1632"/>
      <c r="O3" s="1632"/>
      <c r="P3" s="1632"/>
      <c r="Q3" s="1012"/>
    </row>
    <row r="4" spans="1:18" ht="14.25" customHeight="1">
      <c r="J4" s="23"/>
      <c r="K4" s="23"/>
      <c r="M4" s="23" t="s">
        <v>360</v>
      </c>
      <c r="N4" s="23"/>
      <c r="O4" s="23"/>
      <c r="P4" s="23"/>
      <c r="Q4" s="23"/>
    </row>
    <row r="5" spans="1:18" s="3" customFormat="1" ht="66">
      <c r="A5" s="540" t="s">
        <v>0</v>
      </c>
      <c r="B5" s="540" t="s">
        <v>1</v>
      </c>
      <c r="C5" s="944" t="s">
        <v>1534</v>
      </c>
      <c r="D5" s="944" t="s">
        <v>1130</v>
      </c>
      <c r="E5" s="944" t="s">
        <v>1520</v>
      </c>
      <c r="F5" s="540" t="s">
        <v>1695</v>
      </c>
      <c r="G5" s="1290" t="s">
        <v>1702</v>
      </c>
      <c r="H5" s="1576" t="s">
        <v>1828</v>
      </c>
      <c r="I5" s="1576" t="s">
        <v>1842</v>
      </c>
      <c r="J5" s="1631" t="s">
        <v>1861</v>
      </c>
      <c r="K5" s="1631" t="s">
        <v>1862</v>
      </c>
      <c r="L5" s="540" t="s">
        <v>763</v>
      </c>
      <c r="M5" s="540" t="s">
        <v>764</v>
      </c>
      <c r="N5" s="1631" t="s">
        <v>1863</v>
      </c>
      <c r="O5" s="1631" t="s">
        <v>763</v>
      </c>
      <c r="P5" s="1631" t="s">
        <v>764</v>
      </c>
      <c r="Q5" s="747"/>
    </row>
    <row r="6" spans="1:18" s="2" customFormat="1">
      <c r="A6" s="13">
        <v>1</v>
      </c>
      <c r="B6" s="13">
        <v>2</v>
      </c>
      <c r="C6" s="13">
        <v>3</v>
      </c>
      <c r="D6" s="13">
        <v>4</v>
      </c>
      <c r="E6" s="13">
        <v>3</v>
      </c>
      <c r="F6" s="13">
        <v>4</v>
      </c>
      <c r="G6" s="13">
        <v>5</v>
      </c>
      <c r="H6" s="13">
        <v>6</v>
      </c>
      <c r="I6" s="13">
        <v>7</v>
      </c>
      <c r="J6" s="13">
        <v>8</v>
      </c>
      <c r="K6" s="13">
        <v>9</v>
      </c>
      <c r="L6" s="13">
        <v>10</v>
      </c>
      <c r="M6" s="13">
        <v>11</v>
      </c>
      <c r="N6" s="1604">
        <v>12</v>
      </c>
      <c r="O6" s="13">
        <v>13</v>
      </c>
      <c r="P6" s="13">
        <v>14</v>
      </c>
      <c r="Q6" s="1792">
        <v>1.0680000000000001</v>
      </c>
      <c r="R6" s="1792">
        <v>1.0589999999999999</v>
      </c>
    </row>
    <row r="7" spans="1:18" s="1041" customFormat="1" ht="30" customHeight="1">
      <c r="A7" s="1037" t="s">
        <v>361</v>
      </c>
      <c r="B7" s="1038" t="s">
        <v>362</v>
      </c>
      <c r="C7" s="1039">
        <f t="shared" ref="C7:M7" si="0">C8+SUM(C10:C15)+C20+SUM(C22:C25)+SUM(C56:C61)</f>
        <v>0</v>
      </c>
      <c r="D7" s="1039">
        <f t="shared" si="0"/>
        <v>231881.68520000001</v>
      </c>
      <c r="E7" s="1039">
        <f t="shared" si="0"/>
        <v>0</v>
      </c>
      <c r="F7" s="1039">
        <v>290118.28144743375</v>
      </c>
      <c r="G7" s="1039">
        <v>5008.9605671999998</v>
      </c>
      <c r="H7" s="1039">
        <v>329764.75320063601</v>
      </c>
      <c r="I7" s="1039">
        <v>25762</v>
      </c>
      <c r="J7" s="1039">
        <v>394922.30223427049</v>
      </c>
      <c r="K7" s="1039">
        <v>401221.21570701798</v>
      </c>
      <c r="L7" s="1039">
        <v>193511.56168399999</v>
      </c>
      <c r="M7" s="1039">
        <v>207709.65402301797</v>
      </c>
      <c r="N7" s="1605">
        <v>426801.98039152066</v>
      </c>
      <c r="O7" s="1039">
        <v>205627.23099096891</v>
      </c>
      <c r="P7" s="1039">
        <v>221174.74940055166</v>
      </c>
      <c r="Q7" s="1792">
        <f>'5.2_пр-во КТЭЦ+котельн'!H21</f>
        <v>1.05732</v>
      </c>
      <c r="R7" s="1792">
        <f>'5.2_пр-во КТЭЦ+котельн'!I21</f>
        <v>1.0484099999999998</v>
      </c>
    </row>
    <row r="8" spans="1:18" s="1046" customFormat="1" ht="15" customHeight="1">
      <c r="A8" s="1044"/>
      <c r="B8" s="1045" t="s">
        <v>363</v>
      </c>
      <c r="C8" s="258"/>
      <c r="D8" s="258">
        <f>14830-2323</f>
        <v>12507</v>
      </c>
      <c r="E8" s="258"/>
      <c r="F8" s="258">
        <v>12930</v>
      </c>
      <c r="G8" s="258"/>
      <c r="H8" s="258">
        <v>17375</v>
      </c>
      <c r="I8" s="1719">
        <v>15760</v>
      </c>
      <c r="J8" s="1719">
        <v>19976</v>
      </c>
      <c r="K8" s="1719">
        <v>18636.784</v>
      </c>
      <c r="L8" s="1719">
        <v>6522.8743999999997</v>
      </c>
      <c r="M8" s="1719">
        <v>12113.909599999999</v>
      </c>
      <c r="N8" s="982">
        <v>22143.493107331196</v>
      </c>
      <c r="O8" s="258">
        <v>7750.2225875659178</v>
      </c>
      <c r="P8" s="258">
        <v>14393.270519765279</v>
      </c>
      <c r="Q8" s="754"/>
    </row>
    <row r="9" spans="1:18" s="4" customFormat="1" ht="15" customHeight="1">
      <c r="A9" s="17"/>
      <c r="B9" s="580" t="s">
        <v>1134</v>
      </c>
      <c r="C9" s="751"/>
      <c r="D9" s="751">
        <v>8069</v>
      </c>
      <c r="E9" s="751"/>
      <c r="F9" s="751">
        <v>7804</v>
      </c>
      <c r="G9" s="751"/>
      <c r="H9" s="751">
        <v>11721</v>
      </c>
      <c r="I9" s="751">
        <v>10635</v>
      </c>
      <c r="J9" s="751">
        <v>14851</v>
      </c>
      <c r="K9" s="751">
        <v>11696</v>
      </c>
      <c r="L9" s="751">
        <v>4093.6</v>
      </c>
      <c r="M9" s="751">
        <v>7602.4</v>
      </c>
      <c r="N9" s="1444">
        <v>16462.405693681198</v>
      </c>
      <c r="O9" s="752">
        <v>5761.8419927884188</v>
      </c>
      <c r="P9" s="752">
        <v>10700.563700892779</v>
      </c>
      <c r="Q9" s="1014"/>
    </row>
    <row r="10" spans="1:18" s="1046" customFormat="1" ht="15" customHeight="1">
      <c r="A10" s="1044"/>
      <c r="B10" s="1045" t="s">
        <v>364</v>
      </c>
      <c r="C10" s="258"/>
      <c r="D10" s="258"/>
      <c r="E10" s="258"/>
      <c r="F10" s="258"/>
      <c r="G10" s="258"/>
      <c r="H10" s="258"/>
      <c r="I10" s="258"/>
      <c r="J10" s="258"/>
      <c r="K10" s="258"/>
      <c r="L10" s="258"/>
      <c r="M10" s="258">
        <v>0</v>
      </c>
      <c r="N10" s="982"/>
      <c r="O10" s="258"/>
      <c r="P10" s="258">
        <v>0</v>
      </c>
      <c r="Q10" s="754"/>
    </row>
    <row r="11" spans="1:18" s="1046" customFormat="1" ht="30">
      <c r="A11" s="1044"/>
      <c r="B11" s="1045" t="s">
        <v>365</v>
      </c>
      <c r="C11" s="258"/>
      <c r="D11" s="258">
        <v>2748</v>
      </c>
      <c r="E11" s="258"/>
      <c r="F11" s="258">
        <v>2872.1854060000001</v>
      </c>
      <c r="G11" s="258">
        <v>0</v>
      </c>
      <c r="H11" s="258">
        <v>4726.2021965601243</v>
      </c>
      <c r="I11" s="258"/>
      <c r="J11" s="258">
        <v>2890.1790000000001</v>
      </c>
      <c r="K11" s="258">
        <v>2992.4639999999999</v>
      </c>
      <c r="L11" s="258">
        <v>1471.2947999999999</v>
      </c>
      <c r="M11" s="258">
        <v>1521.1691999999998</v>
      </c>
      <c r="N11" s="982">
        <v>3262.9079339999994</v>
      </c>
      <c r="O11" s="258">
        <v>1615.4816903999997</v>
      </c>
      <c r="P11" s="258">
        <v>1647.4262435999997</v>
      </c>
      <c r="Q11" s="754"/>
      <c r="R11" s="1050"/>
    </row>
    <row r="12" spans="1:18" s="1046" customFormat="1" ht="15" customHeight="1">
      <c r="A12" s="1044"/>
      <c r="B12" s="1045" t="s">
        <v>366</v>
      </c>
      <c r="C12" s="258"/>
      <c r="D12" s="258">
        <v>2323</v>
      </c>
      <c r="E12" s="258"/>
      <c r="F12" s="258">
        <v>4519.7906414337322</v>
      </c>
      <c r="G12" s="258">
        <v>5008.9605671999998</v>
      </c>
      <c r="H12" s="258">
        <v>3371.3935040758938</v>
      </c>
      <c r="I12" s="258"/>
      <c r="J12" s="258">
        <v>3576.3521942704524</v>
      </c>
      <c r="K12" s="258">
        <v>3749.4006070179998</v>
      </c>
      <c r="L12" s="258">
        <v>2285.1703819999998</v>
      </c>
      <c r="M12" s="258">
        <v>1464.2302250180001</v>
      </c>
      <c r="N12" s="982">
        <v>4023.2414719058097</v>
      </c>
      <c r="O12" s="258">
        <v>2493.1208867619998</v>
      </c>
      <c r="P12" s="258">
        <v>1530.1205851438099</v>
      </c>
      <c r="Q12" s="754"/>
    </row>
    <row r="13" spans="1:18" s="1046" customFormat="1" ht="15" customHeight="1">
      <c r="A13" s="1044"/>
      <c r="B13" s="1045" t="s">
        <v>367</v>
      </c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>
        <v>0</v>
      </c>
      <c r="N13" s="982"/>
      <c r="O13" s="258"/>
      <c r="P13" s="258">
        <v>0</v>
      </c>
      <c r="Q13" s="754"/>
    </row>
    <row r="14" spans="1:18" s="1046" customFormat="1" ht="30">
      <c r="A14" s="1044"/>
      <c r="B14" s="1045" t="s">
        <v>368</v>
      </c>
      <c r="C14" s="258"/>
      <c r="D14" s="258">
        <f>'4.10_транзит_котельн.'!E111</f>
        <v>971</v>
      </c>
      <c r="E14" s="258"/>
      <c r="F14" s="258">
        <v>1336</v>
      </c>
      <c r="G14" s="258">
        <v>0</v>
      </c>
      <c r="H14" s="258">
        <v>7758</v>
      </c>
      <c r="I14" s="258">
        <v>0</v>
      </c>
      <c r="J14" s="258">
        <v>30689</v>
      </c>
      <c r="K14" s="258">
        <v>9352</v>
      </c>
      <c r="L14" s="258">
        <v>4678</v>
      </c>
      <c r="M14" s="258">
        <v>4674</v>
      </c>
      <c r="N14" s="982">
        <v>8384</v>
      </c>
      <c r="O14" s="258">
        <v>4194</v>
      </c>
      <c r="P14" s="258">
        <v>4190</v>
      </c>
      <c r="Q14" s="754"/>
    </row>
    <row r="15" spans="1:18" s="1046" customFormat="1" ht="15" customHeight="1">
      <c r="A15" s="1044"/>
      <c r="B15" s="1045" t="s">
        <v>1135</v>
      </c>
      <c r="C15" s="258">
        <f>C16+C18+C19</f>
        <v>0</v>
      </c>
      <c r="D15" s="258">
        <f t="shared" ref="D15:M15" si="1">D16+D18+D19</f>
        <v>135399</v>
      </c>
      <c r="E15" s="258">
        <f t="shared" si="1"/>
        <v>0</v>
      </c>
      <c r="F15" s="258">
        <v>175928</v>
      </c>
      <c r="G15" s="258">
        <v>0</v>
      </c>
      <c r="H15" s="258">
        <v>192498.03290999998</v>
      </c>
      <c r="I15" s="258">
        <v>0</v>
      </c>
      <c r="J15" s="258">
        <v>229188.77104000002</v>
      </c>
      <c r="K15" s="258">
        <v>252278.82513999997</v>
      </c>
      <c r="L15" s="258">
        <v>121233.92847999999</v>
      </c>
      <c r="M15" s="258">
        <v>131044.89666</v>
      </c>
      <c r="N15" s="982">
        <v>267082.87482000003</v>
      </c>
      <c r="O15" s="258">
        <v>129374.58589999999</v>
      </c>
      <c r="P15" s="258">
        <v>137708.28892000002</v>
      </c>
      <c r="Q15" s="754"/>
    </row>
    <row r="16" spans="1:18" s="4" customFormat="1" ht="15" customHeight="1">
      <c r="A16" s="17"/>
      <c r="B16" s="581" t="s">
        <v>1136</v>
      </c>
      <c r="C16" s="308"/>
      <c r="D16" s="981">
        <v>133188</v>
      </c>
      <c r="E16" s="981"/>
      <c r="F16" s="981">
        <v>172065</v>
      </c>
      <c r="G16" s="981"/>
      <c r="H16" s="981">
        <v>187905.03290999998</v>
      </c>
      <c r="I16" s="981">
        <v>0</v>
      </c>
      <c r="J16" s="981">
        <v>223756.77104000002</v>
      </c>
      <c r="K16" s="981">
        <v>246470.82513999997</v>
      </c>
      <c r="L16" s="981">
        <v>118329.92847999999</v>
      </c>
      <c r="M16" s="981">
        <v>128140.89666</v>
      </c>
      <c r="N16" s="981">
        <v>261013.87482000003</v>
      </c>
      <c r="O16" s="981">
        <v>126340.08589999999</v>
      </c>
      <c r="P16" s="981">
        <v>134673.78892000002</v>
      </c>
      <c r="Q16" s="1022"/>
    </row>
    <row r="17" spans="1:18" s="4" customFormat="1" ht="15" customHeight="1">
      <c r="A17" s="17"/>
      <c r="B17" s="580" t="s">
        <v>1134</v>
      </c>
      <c r="C17" s="751"/>
      <c r="D17" s="751">
        <f>11366+152</f>
        <v>11518</v>
      </c>
      <c r="E17" s="751"/>
      <c r="F17" s="751">
        <v>14545</v>
      </c>
      <c r="G17" s="751"/>
      <c r="H17" s="751">
        <v>14566</v>
      </c>
      <c r="I17" s="751"/>
      <c r="J17" s="752">
        <v>16751</v>
      </c>
      <c r="K17" s="752">
        <v>19581</v>
      </c>
      <c r="L17" s="752">
        <v>9409</v>
      </c>
      <c r="M17" s="752">
        <v>10172</v>
      </c>
      <c r="N17" s="752">
        <v>20723</v>
      </c>
      <c r="O17" s="751">
        <v>10037</v>
      </c>
      <c r="P17" s="751">
        <v>10686</v>
      </c>
      <c r="Q17" s="1022"/>
    </row>
    <row r="18" spans="1:18" s="4" customFormat="1" ht="15" customHeight="1">
      <c r="A18" s="17"/>
      <c r="B18" s="581" t="s">
        <v>1137</v>
      </c>
      <c r="C18" s="308"/>
      <c r="D18" s="981">
        <v>2211</v>
      </c>
      <c r="E18" s="981"/>
      <c r="F18" s="981">
        <v>3796</v>
      </c>
      <c r="G18" s="981"/>
      <c r="H18" s="981">
        <v>4473</v>
      </c>
      <c r="I18" s="981">
        <v>0</v>
      </c>
      <c r="J18" s="981">
        <v>5432</v>
      </c>
      <c r="K18" s="981">
        <v>5808</v>
      </c>
      <c r="L18" s="981">
        <v>2904</v>
      </c>
      <c r="M18" s="981">
        <v>2904</v>
      </c>
      <c r="N18" s="981">
        <v>6069</v>
      </c>
      <c r="O18" s="981">
        <v>3034.5</v>
      </c>
      <c r="P18" s="981">
        <v>3034.5</v>
      </c>
      <c r="Q18" s="1022"/>
    </row>
    <row r="19" spans="1:18" s="4" customFormat="1" ht="15" customHeight="1">
      <c r="A19" s="17"/>
      <c r="B19" s="581" t="s">
        <v>1138</v>
      </c>
      <c r="C19" s="308"/>
      <c r="D19" s="308"/>
      <c r="E19" s="308"/>
      <c r="F19" s="308">
        <v>67</v>
      </c>
      <c r="G19" s="308"/>
      <c r="H19" s="308">
        <v>120</v>
      </c>
      <c r="I19" s="308">
        <v>0</v>
      </c>
      <c r="J19" s="308">
        <v>0</v>
      </c>
      <c r="K19" s="308"/>
      <c r="L19" s="308"/>
      <c r="M19" s="308">
        <v>0</v>
      </c>
      <c r="N19" s="982"/>
      <c r="O19" s="308"/>
      <c r="P19" s="241">
        <v>0</v>
      </c>
      <c r="Q19" s="749"/>
    </row>
    <row r="20" spans="1:18" s="1046" customFormat="1">
      <c r="A20" s="1044"/>
      <c r="B20" s="1045" t="s">
        <v>369</v>
      </c>
      <c r="C20" s="258"/>
      <c r="D20" s="258">
        <v>39429</v>
      </c>
      <c r="E20" s="258"/>
      <c r="F20" s="258">
        <v>49791</v>
      </c>
      <c r="G20" s="258"/>
      <c r="H20" s="258">
        <v>55896</v>
      </c>
      <c r="I20" s="258"/>
      <c r="J20" s="258">
        <v>65939</v>
      </c>
      <c r="K20" s="258">
        <v>70337</v>
      </c>
      <c r="L20" s="258">
        <v>36003</v>
      </c>
      <c r="M20" s="258">
        <v>34334</v>
      </c>
      <c r="N20" s="982">
        <v>75911</v>
      </c>
      <c r="O20" s="258">
        <v>37836</v>
      </c>
      <c r="P20" s="258">
        <v>38075</v>
      </c>
      <c r="Q20" s="1051"/>
    </row>
    <row r="21" spans="1:18" s="4" customFormat="1">
      <c r="A21" s="17"/>
      <c r="B21" s="580" t="s">
        <v>1134</v>
      </c>
      <c r="C21" s="751"/>
      <c r="D21" s="751">
        <v>3538</v>
      </c>
      <c r="E21" s="751"/>
      <c r="F21" s="752">
        <v>4518</v>
      </c>
      <c r="G21" s="752"/>
      <c r="H21" s="752">
        <v>4642</v>
      </c>
      <c r="I21" s="752"/>
      <c r="J21" s="752">
        <v>5414</v>
      </c>
      <c r="K21" s="752">
        <v>5913</v>
      </c>
      <c r="L21" s="752">
        <v>2732.1082509237372</v>
      </c>
      <c r="M21" s="752">
        <v>3180.8917490762628</v>
      </c>
      <c r="N21" s="1606">
        <v>6304.187455274081</v>
      </c>
      <c r="O21" s="752">
        <v>2914.4617403041293</v>
      </c>
      <c r="P21" s="752">
        <v>3389.7257149699517</v>
      </c>
      <c r="Q21" s="1022"/>
    </row>
    <row r="22" spans="1:18" s="1046" customFormat="1" ht="30" customHeight="1">
      <c r="A22" s="1044"/>
      <c r="B22" s="1045" t="s">
        <v>370</v>
      </c>
      <c r="C22" s="258"/>
      <c r="D22" s="258">
        <v>9230</v>
      </c>
      <c r="E22" s="258"/>
      <c r="F22" s="258">
        <v>557</v>
      </c>
      <c r="G22" s="258"/>
      <c r="H22" s="258">
        <v>15474</v>
      </c>
      <c r="I22" s="258">
        <v>2749</v>
      </c>
      <c r="J22" s="258">
        <v>7011</v>
      </c>
      <c r="K22" s="258">
        <v>9030</v>
      </c>
      <c r="L22" s="258">
        <v>4515</v>
      </c>
      <c r="M22" s="258">
        <v>4515</v>
      </c>
      <c r="N22" s="982">
        <v>9152.4772999999986</v>
      </c>
      <c r="O22" s="258">
        <v>4576.2386499999993</v>
      </c>
      <c r="P22" s="258">
        <v>4576.2386499999993</v>
      </c>
      <c r="Q22" s="754"/>
    </row>
    <row r="23" spans="1:18" s="1046" customFormat="1" ht="60">
      <c r="A23" s="1044"/>
      <c r="B23" s="1045" t="s">
        <v>1139</v>
      </c>
      <c r="C23" s="258"/>
      <c r="D23" s="258">
        <v>0</v>
      </c>
      <c r="E23" s="258"/>
      <c r="F23" s="258">
        <v>2560</v>
      </c>
      <c r="G23" s="258"/>
      <c r="H23" s="258">
        <v>2575</v>
      </c>
      <c r="I23" s="258"/>
      <c r="J23" s="258">
        <v>2743</v>
      </c>
      <c r="K23" s="258">
        <v>2975</v>
      </c>
      <c r="L23" s="258">
        <v>1923</v>
      </c>
      <c r="M23" s="258">
        <v>1052</v>
      </c>
      <c r="N23" s="258">
        <v>3167</v>
      </c>
      <c r="O23" s="258">
        <v>2053</v>
      </c>
      <c r="P23" s="258">
        <v>1114</v>
      </c>
      <c r="Q23" s="754"/>
    </row>
    <row r="24" spans="1:18" s="1046" customFormat="1" ht="60">
      <c r="A24" s="1044"/>
      <c r="B24" s="1045" t="s">
        <v>372</v>
      </c>
      <c r="C24" s="258"/>
      <c r="D24" s="258">
        <f>10773-9230</f>
        <v>1543</v>
      </c>
      <c r="E24" s="258"/>
      <c r="F24" s="258">
        <v>6344</v>
      </c>
      <c r="G24" s="258">
        <v>0</v>
      </c>
      <c r="H24" s="258">
        <v>2934</v>
      </c>
      <c r="I24" s="1719">
        <v>6621</v>
      </c>
      <c r="J24" s="1719">
        <v>6621</v>
      </c>
      <c r="K24" s="1719">
        <v>7000.5157200000003</v>
      </c>
      <c r="L24" s="1719">
        <v>2450.1805020000002</v>
      </c>
      <c r="M24" s="1719">
        <v>4550.3352180000002</v>
      </c>
      <c r="N24" s="982">
        <v>7339.4106860051988</v>
      </c>
      <c r="O24" s="258">
        <v>2568.7937401018194</v>
      </c>
      <c r="P24" s="258">
        <v>4770.616945903379</v>
      </c>
      <c r="Q24" s="754"/>
    </row>
    <row r="25" spans="1:18" s="1046" customFormat="1" ht="90">
      <c r="A25" s="1044"/>
      <c r="B25" s="1045" t="s">
        <v>373</v>
      </c>
      <c r="C25" s="258">
        <f>C27+C28+C29+C55</f>
        <v>0</v>
      </c>
      <c r="D25" s="258">
        <f t="shared" ref="D25" si="2">D27+D28+D29+D55</f>
        <v>4481.6852000000008</v>
      </c>
      <c r="E25" s="258">
        <f>E27+E28+E29</f>
        <v>0</v>
      </c>
      <c r="F25" s="258">
        <v>5067.3053999999993</v>
      </c>
      <c r="G25" s="258">
        <v>0</v>
      </c>
      <c r="H25" s="258">
        <v>3909.1245899999994</v>
      </c>
      <c r="I25" s="1719">
        <v>0</v>
      </c>
      <c r="J25" s="1719">
        <v>0</v>
      </c>
      <c r="K25" s="1719">
        <v>0</v>
      </c>
      <c r="L25" s="1719">
        <v>0</v>
      </c>
      <c r="M25" s="1719">
        <v>0</v>
      </c>
      <c r="N25" s="982">
        <v>0</v>
      </c>
      <c r="O25" s="982">
        <v>0</v>
      </c>
      <c r="P25" s="982">
        <v>0</v>
      </c>
      <c r="Q25" s="754"/>
    </row>
    <row r="26" spans="1:18" s="4" customFormat="1">
      <c r="A26" s="17"/>
      <c r="B26" s="51" t="s">
        <v>70</v>
      </c>
      <c r="C26" s="241"/>
      <c r="D26" s="241"/>
      <c r="E26" s="241"/>
      <c r="F26" s="241"/>
      <c r="G26" s="241"/>
      <c r="H26" s="241"/>
      <c r="I26" s="241"/>
      <c r="J26" s="241"/>
      <c r="K26" s="241"/>
      <c r="L26" s="241"/>
      <c r="M26" s="241"/>
      <c r="N26" s="982"/>
      <c r="O26" s="241"/>
      <c r="P26" s="241"/>
      <c r="Q26" s="749"/>
    </row>
    <row r="27" spans="1:18" s="4" customFormat="1">
      <c r="A27" s="17"/>
      <c r="B27" s="581" t="s">
        <v>1275</v>
      </c>
      <c r="C27" s="766"/>
      <c r="D27" s="766">
        <v>0</v>
      </c>
      <c r="E27" s="766"/>
      <c r="F27" s="766">
        <v>0</v>
      </c>
      <c r="G27" s="766"/>
      <c r="H27" s="766">
        <v>0</v>
      </c>
      <c r="I27" s="766">
        <v>0</v>
      </c>
      <c r="J27" s="766">
        <v>0</v>
      </c>
      <c r="K27" s="766">
        <v>0</v>
      </c>
      <c r="L27" s="766">
        <v>0</v>
      </c>
      <c r="M27" s="766">
        <v>0</v>
      </c>
      <c r="N27" s="993">
        <v>0</v>
      </c>
      <c r="O27" s="766">
        <v>0</v>
      </c>
      <c r="P27" s="766">
        <v>0</v>
      </c>
      <c r="Q27" s="1016"/>
    </row>
    <row r="28" spans="1:18" s="4" customFormat="1">
      <c r="A28" s="17"/>
      <c r="B28" s="581" t="s">
        <v>1276</v>
      </c>
      <c r="C28" s="766"/>
      <c r="D28" s="766">
        <v>0</v>
      </c>
      <c r="E28" s="766"/>
      <c r="F28" s="766">
        <v>0</v>
      </c>
      <c r="G28" s="766"/>
      <c r="H28" s="766">
        <v>0</v>
      </c>
      <c r="I28" s="1720">
        <v>0</v>
      </c>
      <c r="J28" s="1720">
        <v>0</v>
      </c>
      <c r="K28" s="1720">
        <v>0</v>
      </c>
      <c r="L28" s="1720">
        <v>0</v>
      </c>
      <c r="M28" s="1720">
        <v>0</v>
      </c>
      <c r="N28" s="1720">
        <v>0</v>
      </c>
      <c r="O28" s="1720">
        <v>0</v>
      </c>
      <c r="P28" s="1720">
        <v>0</v>
      </c>
      <c r="Q28" s="1016"/>
    </row>
    <row r="29" spans="1:18" s="4" customFormat="1">
      <c r="A29" s="17"/>
      <c r="B29" s="581" t="s">
        <v>1559</v>
      </c>
      <c r="C29" s="766">
        <f>C30+C31</f>
        <v>0</v>
      </c>
      <c r="D29" s="766">
        <f t="shared" ref="D29:H29" si="3">D30+D31</f>
        <v>4481.6852000000008</v>
      </c>
      <c r="E29" s="766">
        <f t="shared" si="3"/>
        <v>0</v>
      </c>
      <c r="F29" s="766">
        <v>5067.3053999999993</v>
      </c>
      <c r="G29" s="766">
        <v>0</v>
      </c>
      <c r="H29" s="766">
        <v>3909.1245899999994</v>
      </c>
      <c r="I29" s="1720">
        <v>0</v>
      </c>
      <c r="J29" s="1720">
        <v>0</v>
      </c>
      <c r="K29" s="1720">
        <v>0</v>
      </c>
      <c r="L29" s="1720">
        <v>0</v>
      </c>
      <c r="M29" s="1720">
        <v>0</v>
      </c>
      <c r="N29" s="1720">
        <v>0</v>
      </c>
      <c r="O29" s="1720">
        <v>0</v>
      </c>
      <c r="P29" s="1720">
        <v>0</v>
      </c>
      <c r="Q29" s="1016"/>
    </row>
    <row r="30" spans="1:18" s="4" customFormat="1" hidden="1" outlineLevel="1">
      <c r="A30" s="737" t="s">
        <v>89</v>
      </c>
      <c r="B30" s="738" t="s">
        <v>1244</v>
      </c>
      <c r="C30" s="746"/>
      <c r="D30" s="746">
        <v>992</v>
      </c>
      <c r="E30" s="746"/>
      <c r="F30" s="746">
        <v>642</v>
      </c>
      <c r="G30" s="746"/>
      <c r="H30" s="746">
        <v>636</v>
      </c>
      <c r="I30" s="746"/>
      <c r="J30" s="746"/>
      <c r="K30" s="746"/>
      <c r="L30" s="746">
        <v>0</v>
      </c>
      <c r="M30" s="746">
        <v>0</v>
      </c>
      <c r="N30" s="1607"/>
      <c r="O30" s="746">
        <v>0</v>
      </c>
      <c r="P30" s="746">
        <v>0</v>
      </c>
      <c r="Q30" s="762"/>
      <c r="R30" s="1"/>
    </row>
    <row r="31" spans="1:18" s="341" customFormat="1" hidden="1" outlineLevel="1">
      <c r="A31" s="760" t="s">
        <v>91</v>
      </c>
      <c r="B31" s="761" t="s">
        <v>1245</v>
      </c>
      <c r="C31" s="746">
        <f t="shared" ref="C31:D31" si="4">SUM(C32:C43)+C45</f>
        <v>0</v>
      </c>
      <c r="D31" s="746">
        <f t="shared" si="4"/>
        <v>3489.6852000000008</v>
      </c>
      <c r="E31" s="746">
        <f>SUM(E32:E45)</f>
        <v>0</v>
      </c>
      <c r="F31" s="746">
        <v>4425.3053999999993</v>
      </c>
      <c r="G31" s="746">
        <v>0</v>
      </c>
      <c r="H31" s="746">
        <v>3273.1245899999994</v>
      </c>
      <c r="I31" s="746">
        <v>0</v>
      </c>
      <c r="J31" s="746">
        <v>0</v>
      </c>
      <c r="K31" s="746">
        <v>0</v>
      </c>
      <c r="L31" s="746">
        <v>0</v>
      </c>
      <c r="M31" s="746">
        <v>0</v>
      </c>
      <c r="N31" s="746">
        <v>0</v>
      </c>
      <c r="O31" s="746">
        <v>0</v>
      </c>
      <c r="P31" s="746">
        <v>0</v>
      </c>
      <c r="Q31" s="1017"/>
      <c r="R31" s="763"/>
    </row>
    <row r="32" spans="1:18" s="4" customFormat="1" ht="26.25" hidden="1" outlineLevel="1">
      <c r="A32" s="739" t="s">
        <v>1044</v>
      </c>
      <c r="B32" s="740" t="s">
        <v>1247</v>
      </c>
      <c r="C32" s="740"/>
      <c r="D32" s="750">
        <f>2361*0.1494</f>
        <v>352.73340000000002</v>
      </c>
      <c r="E32" s="750"/>
      <c r="F32" s="750">
        <v>341.45010000000002</v>
      </c>
      <c r="G32" s="750"/>
      <c r="H32" s="750">
        <v>227.59978999999998</v>
      </c>
      <c r="I32" s="750"/>
      <c r="J32" s="750"/>
      <c r="K32" s="750"/>
      <c r="L32" s="750">
        <v>0</v>
      </c>
      <c r="M32" s="750">
        <v>0</v>
      </c>
      <c r="N32" s="1608"/>
      <c r="O32" s="750">
        <v>0</v>
      </c>
      <c r="P32" s="750">
        <v>0</v>
      </c>
      <c r="Q32" s="1018"/>
      <c r="R32" s="1"/>
    </row>
    <row r="33" spans="1:18" s="4" customFormat="1" ht="26.25" hidden="1" outlineLevel="1">
      <c r="A33" s="739" t="s">
        <v>1043</v>
      </c>
      <c r="B33" s="740" t="s">
        <v>1249</v>
      </c>
      <c r="C33" s="740"/>
      <c r="D33" s="750"/>
      <c r="E33" s="750"/>
      <c r="F33" s="1415">
        <v>0.15570000000000001</v>
      </c>
      <c r="G33" s="750"/>
      <c r="H33" s="750"/>
      <c r="I33" s="750"/>
      <c r="J33" s="750"/>
      <c r="K33" s="750"/>
      <c r="L33" s="750">
        <v>0</v>
      </c>
      <c r="M33" s="750">
        <v>0</v>
      </c>
      <c r="N33" s="1608"/>
      <c r="O33" s="750">
        <v>0</v>
      </c>
      <c r="P33" s="750">
        <v>0</v>
      </c>
      <c r="Q33" s="1018"/>
      <c r="R33" s="1"/>
    </row>
    <row r="34" spans="1:18" s="4" customFormat="1" hidden="1" outlineLevel="1">
      <c r="A34" s="741" t="s">
        <v>1540</v>
      </c>
      <c r="B34" s="740" t="s">
        <v>1250</v>
      </c>
      <c r="C34" s="740"/>
      <c r="D34" s="750">
        <f>250*0.1494</f>
        <v>37.35</v>
      </c>
      <c r="E34" s="750"/>
      <c r="F34" s="750">
        <v>41.727600000000002</v>
      </c>
      <c r="G34" s="750"/>
      <c r="H34" s="750">
        <v>30.015259999999998</v>
      </c>
      <c r="I34" s="750"/>
      <c r="J34" s="750"/>
      <c r="K34" s="750"/>
      <c r="L34" s="750">
        <v>0</v>
      </c>
      <c r="M34" s="750">
        <v>0</v>
      </c>
      <c r="N34" s="1608"/>
      <c r="O34" s="750">
        <v>0</v>
      </c>
      <c r="P34" s="750">
        <v>0</v>
      </c>
      <c r="Q34" s="1018"/>
      <c r="R34" s="1"/>
    </row>
    <row r="35" spans="1:18" s="4" customFormat="1" ht="15" hidden="1" customHeight="1" outlineLevel="1">
      <c r="A35" s="739" t="s">
        <v>1541</v>
      </c>
      <c r="B35" s="740" t="s">
        <v>1251</v>
      </c>
      <c r="C35" s="740"/>
      <c r="D35" s="750">
        <f>2156*0.1494</f>
        <v>322.10640000000001</v>
      </c>
      <c r="E35" s="750"/>
      <c r="F35" s="750">
        <v>299.09969999999998</v>
      </c>
      <c r="G35" s="750"/>
      <c r="H35" s="750">
        <v>145.77474999999998</v>
      </c>
      <c r="I35" s="750"/>
      <c r="J35" s="750"/>
      <c r="K35" s="750"/>
      <c r="L35" s="750">
        <v>0</v>
      </c>
      <c r="M35" s="750">
        <v>0</v>
      </c>
      <c r="N35" s="1608"/>
      <c r="O35" s="750">
        <v>0</v>
      </c>
      <c r="P35" s="750">
        <v>0</v>
      </c>
      <c r="Q35" s="1018"/>
      <c r="R35" s="1"/>
    </row>
    <row r="36" spans="1:18" s="4" customFormat="1" hidden="1" outlineLevel="1">
      <c r="A36" s="739" t="s">
        <v>1542</v>
      </c>
      <c r="B36" s="740" t="s">
        <v>1252</v>
      </c>
      <c r="C36" s="740"/>
      <c r="D36" s="750">
        <f>8037*0.1494</f>
        <v>1200.7278000000001</v>
      </c>
      <c r="E36" s="750"/>
      <c r="F36" s="750">
        <v>1585.9602</v>
      </c>
      <c r="G36" s="750"/>
      <c r="H36" s="750">
        <v>1098.4246899999998</v>
      </c>
      <c r="I36" s="750"/>
      <c r="J36" s="750"/>
      <c r="K36" s="750"/>
      <c r="L36" s="750">
        <v>0</v>
      </c>
      <c r="M36" s="750">
        <v>0</v>
      </c>
      <c r="N36" s="1608"/>
      <c r="O36" s="750">
        <v>0</v>
      </c>
      <c r="P36" s="750">
        <v>0</v>
      </c>
      <c r="Q36" s="1018"/>
      <c r="R36" s="1"/>
    </row>
    <row r="37" spans="1:18" s="4" customFormat="1" hidden="1" outlineLevel="1">
      <c r="A37" s="739" t="s">
        <v>1543</v>
      </c>
      <c r="B37" s="740" t="s">
        <v>1253</v>
      </c>
      <c r="C37" s="740"/>
      <c r="D37" s="750">
        <f>2640*0.1494</f>
        <v>394.416</v>
      </c>
      <c r="E37" s="750"/>
      <c r="F37" s="750">
        <v>19.306799999999999</v>
      </c>
      <c r="G37" s="750"/>
      <c r="H37" s="750">
        <v>12.904649999999998</v>
      </c>
      <c r="I37" s="750"/>
      <c r="J37" s="750"/>
      <c r="K37" s="750"/>
      <c r="L37" s="750">
        <v>0</v>
      </c>
      <c r="M37" s="750">
        <v>0</v>
      </c>
      <c r="N37" s="1608"/>
      <c r="O37" s="750">
        <v>0</v>
      </c>
      <c r="P37" s="750">
        <v>0</v>
      </c>
      <c r="Q37" s="1018"/>
      <c r="R37" s="1"/>
    </row>
    <row r="38" spans="1:18" s="4" customFormat="1" hidden="1" outlineLevel="1">
      <c r="A38" s="739" t="s">
        <v>1544</v>
      </c>
      <c r="B38" s="742" t="s">
        <v>1254</v>
      </c>
      <c r="C38" s="742"/>
      <c r="D38" s="750">
        <f>495*0.1494</f>
        <v>73.953000000000003</v>
      </c>
      <c r="E38" s="750"/>
      <c r="F38" s="750">
        <v>63.837000000000003</v>
      </c>
      <c r="G38" s="750"/>
      <c r="H38" s="750">
        <v>3.0588799999999998</v>
      </c>
      <c r="I38" s="750"/>
      <c r="J38" s="750"/>
      <c r="K38" s="750"/>
      <c r="L38" s="750">
        <v>0</v>
      </c>
      <c r="M38" s="750">
        <v>0</v>
      </c>
      <c r="N38" s="1608"/>
      <c r="O38" s="750">
        <v>0</v>
      </c>
      <c r="P38" s="750">
        <v>0</v>
      </c>
      <c r="Q38" s="1018"/>
      <c r="R38" s="1"/>
    </row>
    <row r="39" spans="1:18" s="4" customFormat="1" hidden="1" outlineLevel="1">
      <c r="A39" s="739" t="s">
        <v>1545</v>
      </c>
      <c r="B39" s="740" t="s">
        <v>1255</v>
      </c>
      <c r="C39" s="740"/>
      <c r="D39" s="750">
        <f>302*0.1494</f>
        <v>45.1188</v>
      </c>
      <c r="E39" s="750"/>
      <c r="F39" s="750">
        <v>45.464400000000005</v>
      </c>
      <c r="G39" s="750"/>
      <c r="H39" s="750">
        <v>22.272469999999998</v>
      </c>
      <c r="I39" s="750"/>
      <c r="J39" s="750"/>
      <c r="K39" s="750"/>
      <c r="L39" s="750">
        <v>0</v>
      </c>
      <c r="M39" s="750">
        <v>0</v>
      </c>
      <c r="N39" s="1608"/>
      <c r="O39" s="750">
        <v>0</v>
      </c>
      <c r="P39" s="750">
        <v>0</v>
      </c>
      <c r="Q39" s="1018"/>
      <c r="R39" s="1"/>
    </row>
    <row r="40" spans="1:18" s="4" customFormat="1" ht="25.5" hidden="1" outlineLevel="1">
      <c r="A40" s="739" t="s">
        <v>1546</v>
      </c>
      <c r="B40" s="742" t="s">
        <v>1256</v>
      </c>
      <c r="C40" s="742"/>
      <c r="D40" s="750">
        <f>529*0.1494</f>
        <v>79.032600000000002</v>
      </c>
      <c r="E40" s="750"/>
      <c r="F40" s="750">
        <v>47.0214</v>
      </c>
      <c r="G40" s="750"/>
      <c r="H40" s="750">
        <v>33.838859999999997</v>
      </c>
      <c r="I40" s="750"/>
      <c r="J40" s="750"/>
      <c r="K40" s="750"/>
      <c r="L40" s="750">
        <v>0</v>
      </c>
      <c r="M40" s="750">
        <v>0</v>
      </c>
      <c r="N40" s="1608"/>
      <c r="O40" s="750">
        <v>0</v>
      </c>
      <c r="P40" s="750">
        <v>0</v>
      </c>
      <c r="Q40" s="1018"/>
      <c r="R40" s="1"/>
    </row>
    <row r="41" spans="1:18" s="4" customFormat="1" hidden="1" outlineLevel="1">
      <c r="A41" s="739" t="s">
        <v>1547</v>
      </c>
      <c r="B41" s="742" t="s">
        <v>1257</v>
      </c>
      <c r="C41" s="742"/>
      <c r="D41" s="750">
        <f>3908*0.1494</f>
        <v>583.85519999999997</v>
      </c>
      <c r="E41" s="750"/>
      <c r="F41" s="750">
        <v>1589.8527000000001</v>
      </c>
      <c r="G41" s="750"/>
      <c r="H41" s="750">
        <v>925.12001999999995</v>
      </c>
      <c r="I41" s="750"/>
      <c r="J41" s="750"/>
      <c r="K41" s="750"/>
      <c r="L41" s="750">
        <v>0</v>
      </c>
      <c r="M41" s="750">
        <v>0</v>
      </c>
      <c r="N41" s="1608"/>
      <c r="O41" s="750">
        <v>0</v>
      </c>
      <c r="P41" s="750">
        <v>0</v>
      </c>
      <c r="Q41" s="1018"/>
      <c r="R41" s="1"/>
    </row>
    <row r="42" spans="1:18" s="4" customFormat="1" hidden="1" outlineLevel="1">
      <c r="A42" s="741" t="s">
        <v>1548</v>
      </c>
      <c r="B42" s="742" t="s">
        <v>1556</v>
      </c>
      <c r="C42" s="742"/>
      <c r="D42" s="750">
        <f>363*0.1494</f>
        <v>54.232199999999999</v>
      </c>
      <c r="E42" s="750"/>
      <c r="F42" s="750">
        <v>204.2784</v>
      </c>
      <c r="G42" s="750"/>
      <c r="H42" s="750">
        <v>73.795479999999998</v>
      </c>
      <c r="I42" s="750"/>
      <c r="J42" s="750"/>
      <c r="K42" s="750"/>
      <c r="L42" s="750">
        <v>0</v>
      </c>
      <c r="M42" s="750">
        <v>0</v>
      </c>
      <c r="N42" s="1608"/>
      <c r="O42" s="750">
        <v>0</v>
      </c>
      <c r="P42" s="750">
        <v>0</v>
      </c>
      <c r="Q42" s="1018"/>
      <c r="R42" s="1"/>
    </row>
    <row r="43" spans="1:18" s="4" customFormat="1" hidden="1" outlineLevel="1">
      <c r="A43" s="741" t="s">
        <v>1549</v>
      </c>
      <c r="B43" s="742" t="s">
        <v>1258</v>
      </c>
      <c r="C43" s="742"/>
      <c r="D43" s="750">
        <f>349*0.1494</f>
        <v>52.140599999999999</v>
      </c>
      <c r="E43" s="750"/>
      <c r="F43" s="750">
        <v>1.5569999999999999</v>
      </c>
      <c r="G43" s="750"/>
      <c r="H43" s="750">
        <v>0</v>
      </c>
      <c r="I43" s="750"/>
      <c r="J43" s="750"/>
      <c r="K43" s="750"/>
      <c r="L43" s="750">
        <v>0</v>
      </c>
      <c r="M43" s="750">
        <v>0</v>
      </c>
      <c r="N43" s="1608"/>
      <c r="O43" s="750">
        <v>0</v>
      </c>
      <c r="P43" s="750">
        <v>0</v>
      </c>
      <c r="Q43" s="1018"/>
      <c r="R43" s="1"/>
    </row>
    <row r="44" spans="1:18" s="4" customFormat="1" hidden="1" outlineLevel="1">
      <c r="A44" s="764" t="s">
        <v>1555</v>
      </c>
      <c r="B44" s="742" t="s">
        <v>1890</v>
      </c>
      <c r="C44" s="742"/>
      <c r="D44" s="750">
        <v>52</v>
      </c>
      <c r="E44" s="750"/>
      <c r="F44" s="750"/>
      <c r="G44" s="750"/>
      <c r="H44" s="750"/>
      <c r="I44" s="750"/>
      <c r="J44" s="750"/>
      <c r="K44" s="750"/>
      <c r="L44" s="750">
        <v>0</v>
      </c>
      <c r="M44" s="750">
        <v>0</v>
      </c>
      <c r="N44" s="1609"/>
      <c r="O44" s="998">
        <v>0</v>
      </c>
      <c r="P44" s="998">
        <v>0</v>
      </c>
      <c r="Q44" s="1019"/>
      <c r="R44" s="1"/>
    </row>
    <row r="45" spans="1:18" s="341" customFormat="1" hidden="1" outlineLevel="1">
      <c r="A45" s="764" t="s">
        <v>1889</v>
      </c>
      <c r="B45" s="765" t="s">
        <v>1259</v>
      </c>
      <c r="C45" s="746">
        <f>SUM(C46:C55)</f>
        <v>0</v>
      </c>
      <c r="D45" s="746">
        <f t="shared" ref="D45:M45" si="5">SUM(D46:D55)</f>
        <v>294.01920000000001</v>
      </c>
      <c r="E45" s="746">
        <f t="shared" si="5"/>
        <v>0</v>
      </c>
      <c r="F45" s="746">
        <v>185.59439999999998</v>
      </c>
      <c r="G45" s="746">
        <v>0</v>
      </c>
      <c r="H45" s="746">
        <v>700.31973999999991</v>
      </c>
      <c r="I45" s="746">
        <v>0</v>
      </c>
      <c r="J45" s="746">
        <v>0</v>
      </c>
      <c r="K45" s="746">
        <v>0</v>
      </c>
      <c r="L45" s="746">
        <v>0</v>
      </c>
      <c r="M45" s="746">
        <v>0</v>
      </c>
      <c r="N45" s="1607">
        <v>0</v>
      </c>
      <c r="O45" s="746">
        <v>0</v>
      </c>
      <c r="P45" s="746">
        <v>0</v>
      </c>
      <c r="Q45" s="1017"/>
      <c r="R45" s="763"/>
    </row>
    <row r="46" spans="1:18" s="4" customFormat="1" hidden="1" outlineLevel="1">
      <c r="A46" s="744"/>
      <c r="B46" s="745" t="s">
        <v>1260</v>
      </c>
      <c r="C46" s="745"/>
      <c r="D46" s="750">
        <f>237*0.1494</f>
        <v>35.407800000000002</v>
      </c>
      <c r="E46" s="998"/>
      <c r="F46" s="750">
        <v>38.613599999999998</v>
      </c>
      <c r="G46" s="998"/>
      <c r="H46" s="750">
        <v>16.250299999999999</v>
      </c>
      <c r="I46" s="750"/>
      <c r="J46" s="750"/>
      <c r="K46" s="750"/>
      <c r="L46" s="750">
        <v>0</v>
      </c>
      <c r="M46" s="750">
        <v>0</v>
      </c>
      <c r="N46" s="1608"/>
      <c r="O46" s="998">
        <v>0</v>
      </c>
      <c r="P46" s="998">
        <v>0</v>
      </c>
      <c r="Q46" s="1019"/>
      <c r="R46" s="1"/>
    </row>
    <row r="47" spans="1:18" s="4" customFormat="1" hidden="1" outlineLevel="1">
      <c r="A47" s="744"/>
      <c r="B47" s="743" t="s">
        <v>1261</v>
      </c>
      <c r="C47" s="743"/>
      <c r="D47" s="750"/>
      <c r="E47" s="998"/>
      <c r="F47" s="750"/>
      <c r="G47" s="998"/>
      <c r="H47" s="750"/>
      <c r="I47" s="750"/>
      <c r="J47" s="750"/>
      <c r="K47" s="750"/>
      <c r="L47" s="750">
        <v>0</v>
      </c>
      <c r="M47" s="750">
        <v>0</v>
      </c>
      <c r="N47" s="1608"/>
      <c r="O47" s="998">
        <v>0</v>
      </c>
      <c r="P47" s="998">
        <v>0</v>
      </c>
      <c r="Q47" s="1019"/>
      <c r="R47" s="1"/>
    </row>
    <row r="48" spans="1:18" s="4" customFormat="1" hidden="1" outlineLevel="1">
      <c r="A48" s="744"/>
      <c r="B48" s="743" t="s">
        <v>1262</v>
      </c>
      <c r="C48" s="743"/>
      <c r="D48" s="750">
        <f>427*0.1494</f>
        <v>63.793800000000005</v>
      </c>
      <c r="E48" s="998"/>
      <c r="F48" s="750">
        <v>101.8278</v>
      </c>
      <c r="G48" s="998"/>
      <c r="H48" s="750">
        <v>64.905609999999996</v>
      </c>
      <c r="I48" s="750"/>
      <c r="J48" s="750"/>
      <c r="K48" s="750"/>
      <c r="L48" s="750">
        <v>0</v>
      </c>
      <c r="M48" s="750">
        <v>0</v>
      </c>
      <c r="N48" s="1608"/>
      <c r="O48" s="998">
        <v>0</v>
      </c>
      <c r="P48" s="998">
        <v>0</v>
      </c>
      <c r="Q48" s="1019"/>
      <c r="R48" s="1"/>
    </row>
    <row r="49" spans="1:18" s="4" customFormat="1" hidden="1" outlineLevel="1">
      <c r="A49" s="744"/>
      <c r="B49" s="743" t="s">
        <v>1263</v>
      </c>
      <c r="C49" s="743"/>
      <c r="D49" s="750">
        <f>1203*0.1494</f>
        <v>179.72820000000002</v>
      </c>
      <c r="E49" s="998"/>
      <c r="F49" s="750">
        <v>34.098300000000002</v>
      </c>
      <c r="G49" s="998"/>
      <c r="H49" s="750">
        <v>6.5957099999999995</v>
      </c>
      <c r="I49" s="750"/>
      <c r="J49" s="750"/>
      <c r="K49" s="750"/>
      <c r="L49" s="750">
        <v>0</v>
      </c>
      <c r="M49" s="750">
        <v>0</v>
      </c>
      <c r="N49" s="1608"/>
      <c r="O49" s="998">
        <v>0</v>
      </c>
      <c r="P49" s="998">
        <v>0</v>
      </c>
      <c r="Q49" s="1019"/>
      <c r="R49" s="1"/>
    </row>
    <row r="50" spans="1:18" s="4" customFormat="1" ht="25.5" hidden="1" outlineLevel="1">
      <c r="A50" s="744"/>
      <c r="B50" s="743" t="s">
        <v>1891</v>
      </c>
      <c r="C50" s="743"/>
      <c r="D50" s="750">
        <f>101*0.1494</f>
        <v>15.089400000000001</v>
      </c>
      <c r="E50" s="998"/>
      <c r="F50" s="750">
        <v>11.0547</v>
      </c>
      <c r="G50" s="998"/>
      <c r="H50" s="750">
        <v>247.57809999999998</v>
      </c>
      <c r="I50" s="750"/>
      <c r="J50" s="750"/>
      <c r="K50" s="750"/>
      <c r="L50" s="750">
        <v>0</v>
      </c>
      <c r="M50" s="750">
        <v>0</v>
      </c>
      <c r="N50" s="1608"/>
      <c r="O50" s="998">
        <v>0</v>
      </c>
      <c r="P50" s="998">
        <v>0</v>
      </c>
      <c r="Q50" s="1019"/>
      <c r="R50" s="1"/>
    </row>
    <row r="51" spans="1:18" s="4" customFormat="1" ht="25.5" hidden="1" outlineLevel="1">
      <c r="A51" s="744"/>
      <c r="B51" s="743" t="s">
        <v>1264</v>
      </c>
      <c r="C51" s="743"/>
      <c r="D51" s="750"/>
      <c r="E51" s="750"/>
      <c r="F51" s="750"/>
      <c r="G51" s="750"/>
      <c r="H51" s="308"/>
      <c r="I51" s="750"/>
      <c r="J51" s="750"/>
      <c r="K51" s="750"/>
      <c r="L51" s="750">
        <v>0</v>
      </c>
      <c r="M51" s="750">
        <v>0</v>
      </c>
      <c r="N51" s="1608"/>
      <c r="O51" s="998">
        <v>0</v>
      </c>
      <c r="P51" s="998">
        <v>0</v>
      </c>
      <c r="Q51" s="1018"/>
      <c r="R51" s="1"/>
    </row>
    <row r="52" spans="1:18" s="4" customFormat="1" hidden="1" outlineLevel="1">
      <c r="A52" s="744"/>
      <c r="B52" s="1391" t="s">
        <v>1883</v>
      </c>
      <c r="C52" s="743"/>
      <c r="D52" s="308"/>
      <c r="E52" s="308"/>
      <c r="F52" s="308"/>
      <c r="G52" s="308"/>
      <c r="H52" s="750">
        <v>109</v>
      </c>
      <c r="I52" s="308"/>
      <c r="J52" s="308"/>
      <c r="K52" s="308"/>
      <c r="L52" s="308">
        <v>0</v>
      </c>
      <c r="M52" s="308">
        <v>0</v>
      </c>
      <c r="N52" s="1609"/>
      <c r="O52" s="998">
        <v>0</v>
      </c>
      <c r="P52" s="998">
        <v>0</v>
      </c>
      <c r="Q52" s="762"/>
      <c r="R52" s="1"/>
    </row>
    <row r="53" spans="1:18" s="4" customFormat="1" hidden="1" outlineLevel="1">
      <c r="A53" s="744"/>
      <c r="B53" s="743" t="s">
        <v>1884</v>
      </c>
      <c r="C53" s="743"/>
      <c r="D53" s="308"/>
      <c r="E53" s="308"/>
      <c r="F53" s="308"/>
      <c r="G53" s="308"/>
      <c r="H53" s="750">
        <v>255.99001999999999</v>
      </c>
      <c r="I53" s="308"/>
      <c r="J53" s="308"/>
      <c r="K53" s="308"/>
      <c r="L53" s="308">
        <v>0</v>
      </c>
      <c r="M53" s="308">
        <v>0</v>
      </c>
      <c r="N53" s="982"/>
      <c r="O53" s="998">
        <v>0</v>
      </c>
      <c r="P53" s="998">
        <v>0</v>
      </c>
      <c r="Q53" s="762"/>
      <c r="R53" s="1"/>
    </row>
    <row r="54" spans="1:18" s="4" customFormat="1" ht="25.5" hidden="1" outlineLevel="1">
      <c r="A54" s="17"/>
      <c r="B54" s="743" t="s">
        <v>1885</v>
      </c>
      <c r="C54" s="241"/>
      <c r="D54" s="241"/>
      <c r="E54" s="241"/>
      <c r="F54" s="308"/>
      <c r="G54" s="241"/>
      <c r="H54" s="750"/>
      <c r="I54" s="308"/>
      <c r="J54" s="308"/>
      <c r="K54" s="308"/>
      <c r="L54" s="308">
        <v>0</v>
      </c>
      <c r="M54" s="308">
        <v>0</v>
      </c>
      <c r="N54" s="982"/>
      <c r="O54" s="998">
        <v>0</v>
      </c>
      <c r="P54" s="998">
        <v>0</v>
      </c>
      <c r="Q54" s="749"/>
    </row>
    <row r="55" spans="1:18" s="341" customFormat="1" ht="25.5" hidden="1" outlineLevel="1">
      <c r="A55" s="339"/>
      <c r="B55" s="743" t="s">
        <v>1886</v>
      </c>
      <c r="C55" s="308"/>
      <c r="D55" s="308"/>
      <c r="E55" s="308"/>
      <c r="F55" s="308"/>
      <c r="G55" s="308"/>
      <c r="H55" s="750"/>
      <c r="I55" s="308"/>
      <c r="J55" s="308"/>
      <c r="K55" s="308"/>
      <c r="L55" s="308">
        <v>0</v>
      </c>
      <c r="M55" s="308">
        <v>0</v>
      </c>
      <c r="N55" s="982"/>
      <c r="O55" s="998">
        <v>0</v>
      </c>
      <c r="P55" s="998">
        <v>0</v>
      </c>
      <c r="Q55" s="762"/>
    </row>
    <row r="56" spans="1:18" s="1046" customFormat="1" ht="90" collapsed="1">
      <c r="A56" s="1044"/>
      <c r="B56" s="1045" t="s">
        <v>374</v>
      </c>
      <c r="C56" s="258"/>
      <c r="D56" s="258">
        <v>0</v>
      </c>
      <c r="E56" s="258"/>
      <c r="F56" s="258">
        <v>0</v>
      </c>
      <c r="G56" s="258"/>
      <c r="H56" s="258">
        <v>1</v>
      </c>
      <c r="I56" s="258">
        <v>0</v>
      </c>
      <c r="J56" s="258">
        <v>0</v>
      </c>
      <c r="K56" s="258">
        <v>0</v>
      </c>
      <c r="L56" s="258">
        <v>0</v>
      </c>
      <c r="M56" s="258">
        <v>0</v>
      </c>
      <c r="N56" s="982">
        <v>0</v>
      </c>
      <c r="O56" s="258">
        <v>0</v>
      </c>
      <c r="P56" s="258">
        <v>0</v>
      </c>
      <c r="Q56" s="754"/>
    </row>
    <row r="57" spans="1:18" s="1046" customFormat="1" ht="30">
      <c r="A57" s="1044"/>
      <c r="B57" s="1045" t="s">
        <v>375</v>
      </c>
      <c r="C57" s="258"/>
      <c r="D57" s="258">
        <v>22230</v>
      </c>
      <c r="E57" s="258"/>
      <c r="F57" s="258">
        <v>26646</v>
      </c>
      <c r="G57" s="258"/>
      <c r="H57" s="258">
        <v>22104</v>
      </c>
      <c r="I57" s="258"/>
      <c r="J57" s="258">
        <v>24981</v>
      </c>
      <c r="K57" s="258">
        <v>23349</v>
      </c>
      <c r="L57" s="258">
        <v>11674.5</v>
      </c>
      <c r="M57" s="258">
        <v>11674.5</v>
      </c>
      <c r="N57" s="982">
        <v>24727</v>
      </c>
      <c r="O57" s="258">
        <v>12363.5</v>
      </c>
      <c r="P57" s="258">
        <v>12363.5</v>
      </c>
      <c r="Q57" s="754"/>
    </row>
    <row r="58" spans="1:18" s="1046" customFormat="1" ht="15" customHeight="1">
      <c r="A58" s="1044"/>
      <c r="B58" s="1045" t="s">
        <v>376</v>
      </c>
      <c r="C58" s="258"/>
      <c r="D58" s="258">
        <v>182</v>
      </c>
      <c r="E58" s="258"/>
      <c r="F58" s="258">
        <v>355</v>
      </c>
      <c r="G58" s="258"/>
      <c r="H58" s="258">
        <v>253</v>
      </c>
      <c r="I58" s="1719">
        <v>362</v>
      </c>
      <c r="J58" s="1719">
        <v>362</v>
      </c>
      <c r="K58" s="1719">
        <v>382.74984000000001</v>
      </c>
      <c r="L58" s="1719">
        <v>191.37492</v>
      </c>
      <c r="M58" s="1719">
        <v>191.37492</v>
      </c>
      <c r="N58" s="982">
        <v>401.27875975439997</v>
      </c>
      <c r="O58" s="258">
        <v>200.63937987719999</v>
      </c>
      <c r="P58" s="258">
        <v>200.63937987719999</v>
      </c>
      <c r="Q58" s="754"/>
    </row>
    <row r="59" spans="1:18" s="1046" customFormat="1" ht="15" customHeight="1">
      <c r="A59" s="1044"/>
      <c r="B59" s="1045" t="s">
        <v>377</v>
      </c>
      <c r="C59" s="258"/>
      <c r="D59" s="258">
        <v>61</v>
      </c>
      <c r="E59" s="258"/>
      <c r="F59" s="258">
        <v>262</v>
      </c>
      <c r="G59" s="258"/>
      <c r="H59" s="258">
        <v>108</v>
      </c>
      <c r="I59" s="1719">
        <v>270</v>
      </c>
      <c r="J59" s="1719">
        <v>270</v>
      </c>
      <c r="K59" s="1719">
        <v>285.47640000000001</v>
      </c>
      <c r="L59" s="1719">
        <v>142.73820000000001</v>
      </c>
      <c r="M59" s="1719">
        <v>142.73820000000001</v>
      </c>
      <c r="N59" s="982">
        <v>299.29631252399997</v>
      </c>
      <c r="O59" s="258">
        <v>149.64815626199999</v>
      </c>
      <c r="P59" s="258">
        <v>149.64815626199999</v>
      </c>
      <c r="Q59" s="754"/>
    </row>
    <row r="60" spans="1:18" s="1046" customFormat="1" ht="45" customHeight="1">
      <c r="A60" s="1044"/>
      <c r="B60" s="1045" t="s">
        <v>378</v>
      </c>
      <c r="C60" s="258"/>
      <c r="D60" s="258">
        <v>558</v>
      </c>
      <c r="E60" s="258"/>
      <c r="F60" s="258">
        <v>660</v>
      </c>
      <c r="G60" s="258"/>
      <c r="H60" s="258">
        <v>603</v>
      </c>
      <c r="I60" s="258"/>
      <c r="J60" s="258">
        <v>424</v>
      </c>
      <c r="K60" s="258">
        <v>480</v>
      </c>
      <c r="L60" s="258">
        <v>240</v>
      </c>
      <c r="M60" s="258">
        <v>240</v>
      </c>
      <c r="N60" s="982">
        <v>509</v>
      </c>
      <c r="O60" s="258">
        <v>254.5</v>
      </c>
      <c r="P60" s="258">
        <v>254.5</v>
      </c>
      <c r="Q60" s="754"/>
    </row>
    <row r="61" spans="1:18" s="1046" customFormat="1" ht="30" customHeight="1">
      <c r="A61" s="1044"/>
      <c r="B61" s="1045" t="s">
        <v>379</v>
      </c>
      <c r="C61" s="258">
        <f>SUM(C62:C66)</f>
        <v>0</v>
      </c>
      <c r="D61" s="258">
        <f t="shared" ref="D61:M61" si="6">SUM(D62:D66)</f>
        <v>219</v>
      </c>
      <c r="E61" s="258">
        <f t="shared" si="6"/>
        <v>0</v>
      </c>
      <c r="F61" s="258">
        <v>290</v>
      </c>
      <c r="G61" s="258">
        <v>0</v>
      </c>
      <c r="H61" s="258">
        <v>179</v>
      </c>
      <c r="I61" s="258">
        <v>0</v>
      </c>
      <c r="J61" s="258">
        <v>251</v>
      </c>
      <c r="K61" s="258">
        <v>372</v>
      </c>
      <c r="L61" s="258">
        <v>180.5</v>
      </c>
      <c r="M61" s="258">
        <v>191.5</v>
      </c>
      <c r="N61" s="982">
        <v>399</v>
      </c>
      <c r="O61" s="258">
        <v>197.5</v>
      </c>
      <c r="P61" s="258">
        <v>201.5</v>
      </c>
      <c r="Q61" s="754"/>
    </row>
    <row r="62" spans="1:18" s="4" customFormat="1" ht="15" customHeight="1">
      <c r="A62" s="17"/>
      <c r="B62" s="51" t="s">
        <v>380</v>
      </c>
      <c r="C62" s="241"/>
      <c r="D62" s="241">
        <v>107</v>
      </c>
      <c r="E62" s="241"/>
      <c r="F62" s="241">
        <v>182</v>
      </c>
      <c r="G62" s="241"/>
      <c r="H62" s="241">
        <v>114</v>
      </c>
      <c r="I62" s="241"/>
      <c r="J62" s="241">
        <v>145</v>
      </c>
      <c r="K62" s="241">
        <v>267</v>
      </c>
      <c r="L62" s="241">
        <v>128</v>
      </c>
      <c r="M62" s="241">
        <v>139</v>
      </c>
      <c r="N62" s="982">
        <v>291</v>
      </c>
      <c r="O62" s="308">
        <v>143</v>
      </c>
      <c r="P62" s="308">
        <v>148</v>
      </c>
      <c r="Q62" s="749"/>
    </row>
    <row r="63" spans="1:18" s="4" customFormat="1" ht="15" customHeight="1">
      <c r="A63" s="17"/>
      <c r="B63" s="51" t="s">
        <v>381</v>
      </c>
      <c r="C63" s="241"/>
      <c r="D63" s="241">
        <v>109</v>
      </c>
      <c r="E63" s="241"/>
      <c r="F63" s="241">
        <v>101</v>
      </c>
      <c r="G63" s="241"/>
      <c r="H63" s="241">
        <v>58</v>
      </c>
      <c r="I63" s="241"/>
      <c r="J63" s="241">
        <v>90</v>
      </c>
      <c r="K63" s="241">
        <v>92</v>
      </c>
      <c r="L63" s="241">
        <v>46.5</v>
      </c>
      <c r="M63" s="241">
        <v>45.5</v>
      </c>
      <c r="N63" s="982">
        <v>94</v>
      </c>
      <c r="O63" s="308">
        <v>47.5</v>
      </c>
      <c r="P63" s="308">
        <v>46.5</v>
      </c>
      <c r="Q63" s="749"/>
    </row>
    <row r="64" spans="1:18" s="4" customFormat="1" ht="15" customHeight="1">
      <c r="A64" s="17"/>
      <c r="B64" s="51" t="s">
        <v>382</v>
      </c>
      <c r="C64" s="241"/>
      <c r="D64" s="241">
        <v>3</v>
      </c>
      <c r="E64" s="241"/>
      <c r="F64" s="241">
        <v>7</v>
      </c>
      <c r="G64" s="241"/>
      <c r="H64" s="241">
        <v>7</v>
      </c>
      <c r="I64" s="241"/>
      <c r="J64" s="241">
        <v>16</v>
      </c>
      <c r="K64" s="241">
        <v>13</v>
      </c>
      <c r="L64" s="241">
        <v>6</v>
      </c>
      <c r="M64" s="241">
        <v>7</v>
      </c>
      <c r="N64" s="982">
        <v>14</v>
      </c>
      <c r="O64" s="308">
        <v>7</v>
      </c>
      <c r="P64" s="308">
        <v>7</v>
      </c>
      <c r="Q64" s="749"/>
    </row>
    <row r="65" spans="1:17" s="4" customFormat="1" ht="15" customHeight="1">
      <c r="A65" s="17"/>
      <c r="B65" s="51" t="s">
        <v>383</v>
      </c>
      <c r="C65" s="241"/>
      <c r="D65" s="241"/>
      <c r="E65" s="241"/>
      <c r="F65" s="241"/>
      <c r="G65" s="241"/>
      <c r="H65" s="241"/>
      <c r="I65" s="241"/>
      <c r="J65" s="241"/>
      <c r="K65" s="241"/>
      <c r="L65" s="241"/>
      <c r="M65" s="241">
        <v>0</v>
      </c>
      <c r="N65" s="982"/>
      <c r="O65" s="241"/>
      <c r="P65" s="241">
        <v>0</v>
      </c>
      <c r="Q65" s="749"/>
    </row>
    <row r="66" spans="1:17" s="4" customFormat="1" ht="15" customHeight="1">
      <c r="A66" s="17"/>
      <c r="B66" s="51" t="s">
        <v>384</v>
      </c>
      <c r="C66" s="241"/>
      <c r="D66" s="241"/>
      <c r="E66" s="241"/>
      <c r="F66" s="241"/>
      <c r="G66" s="241"/>
      <c r="H66" s="241"/>
      <c r="I66" s="241"/>
      <c r="J66" s="241"/>
      <c r="K66" s="241"/>
      <c r="L66" s="241"/>
      <c r="M66" s="241">
        <v>0</v>
      </c>
      <c r="N66" s="982"/>
      <c r="O66" s="241"/>
      <c r="P66" s="241">
        <v>0</v>
      </c>
      <c r="Q66" s="749"/>
    </row>
    <row r="67" spans="1:17" s="1034" customFormat="1" ht="15" customHeight="1">
      <c r="A67" s="1030" t="s">
        <v>385</v>
      </c>
      <c r="B67" s="1031" t="s">
        <v>386</v>
      </c>
      <c r="C67" s="1032">
        <f>SUM(C68:C71)</f>
        <v>0</v>
      </c>
      <c r="D67" s="1032">
        <f t="shared" ref="D67:M67" si="7">SUM(D68:D71)</f>
        <v>516</v>
      </c>
      <c r="E67" s="1032">
        <f t="shared" si="7"/>
        <v>0</v>
      </c>
      <c r="F67" s="1032">
        <v>538.20000000000005</v>
      </c>
      <c r="G67" s="1032">
        <v>0</v>
      </c>
      <c r="H67" s="1032">
        <v>332.9</v>
      </c>
      <c r="I67" s="1032">
        <v>54</v>
      </c>
      <c r="J67" s="1032">
        <v>54</v>
      </c>
      <c r="K67" s="1032">
        <v>57.672000000000004</v>
      </c>
      <c r="L67" s="1032">
        <v>28.836000000000002</v>
      </c>
      <c r="M67" s="1032">
        <v>28.836000000000002</v>
      </c>
      <c r="N67" s="1383">
        <v>61.074648000000003</v>
      </c>
      <c r="O67" s="1032">
        <v>30.537324000000002</v>
      </c>
      <c r="P67" s="1032">
        <v>30.537324000000002</v>
      </c>
      <c r="Q67" s="1033"/>
    </row>
    <row r="68" spans="1:17" s="1046" customFormat="1" ht="30" customHeight="1">
      <c r="A68" s="1044"/>
      <c r="B68" s="1045" t="s">
        <v>387</v>
      </c>
      <c r="C68" s="258"/>
      <c r="D68" s="258"/>
      <c r="E68" s="258"/>
      <c r="F68" s="258"/>
      <c r="G68" s="258"/>
      <c r="H68" s="258"/>
      <c r="I68" s="258"/>
      <c r="J68" s="258"/>
      <c r="K68" s="258"/>
      <c r="L68" s="258"/>
      <c r="M68" s="258"/>
      <c r="N68" s="982"/>
      <c r="O68" s="258"/>
      <c r="P68" s="258"/>
      <c r="Q68" s="754"/>
    </row>
    <row r="69" spans="1:17" s="1046" customFormat="1" ht="15" customHeight="1">
      <c r="A69" s="1044"/>
      <c r="B69" s="1045" t="s">
        <v>388</v>
      </c>
      <c r="C69" s="258"/>
      <c r="D69" s="258"/>
      <c r="E69" s="258"/>
      <c r="F69" s="258"/>
      <c r="G69" s="258"/>
      <c r="H69" s="258"/>
      <c r="I69" s="258"/>
      <c r="J69" s="258"/>
      <c r="K69" s="258"/>
      <c r="L69" s="258"/>
      <c r="M69" s="258"/>
      <c r="N69" s="982"/>
      <c r="O69" s="258"/>
      <c r="P69" s="258"/>
      <c r="Q69" s="754"/>
    </row>
    <row r="70" spans="1:17" s="1046" customFormat="1" ht="45" customHeight="1">
      <c r="A70" s="1044"/>
      <c r="B70" s="1045" t="s">
        <v>389</v>
      </c>
      <c r="C70" s="1045"/>
      <c r="D70" s="1045"/>
      <c r="E70" s="1045"/>
      <c r="F70" s="1045"/>
      <c r="G70" s="1045"/>
      <c r="H70" s="1045"/>
      <c r="I70" s="1045"/>
      <c r="J70" s="1045"/>
      <c r="K70" s="1045"/>
      <c r="L70" s="1045"/>
      <c r="M70" s="1045"/>
      <c r="N70" s="982"/>
      <c r="O70" s="258"/>
      <c r="P70" s="258"/>
      <c r="Q70" s="754"/>
    </row>
    <row r="71" spans="1:17" s="1046" customFormat="1" ht="15" customHeight="1">
      <c r="A71" s="1044"/>
      <c r="B71" s="1045" t="s">
        <v>390</v>
      </c>
      <c r="C71" s="258">
        <f>SUM(C72:C77)</f>
        <v>0</v>
      </c>
      <c r="D71" s="258">
        <f t="shared" ref="D71:M71" si="8">SUM(D72:D77)</f>
        <v>516</v>
      </c>
      <c r="E71" s="258">
        <f t="shared" si="8"/>
        <v>0</v>
      </c>
      <c r="F71" s="258">
        <v>538.20000000000005</v>
      </c>
      <c r="G71" s="258">
        <v>0</v>
      </c>
      <c r="H71" s="258">
        <v>332.9</v>
      </c>
      <c r="I71" s="258">
        <v>54</v>
      </c>
      <c r="J71" s="258">
        <v>54</v>
      </c>
      <c r="K71" s="258">
        <v>57.672000000000004</v>
      </c>
      <c r="L71" s="258">
        <v>28.836000000000002</v>
      </c>
      <c r="M71" s="258">
        <v>28.836000000000002</v>
      </c>
      <c r="N71" s="982">
        <v>61.074648000000003</v>
      </c>
      <c r="O71" s="258">
        <v>30.537324000000002</v>
      </c>
      <c r="P71" s="258">
        <v>30.537324000000002</v>
      </c>
      <c r="Q71" s="754"/>
    </row>
    <row r="72" spans="1:17" s="4" customFormat="1" ht="15" customHeight="1">
      <c r="A72" s="17"/>
      <c r="B72" s="51" t="s">
        <v>961</v>
      </c>
      <c r="C72" s="308"/>
      <c r="D72" s="308">
        <v>0</v>
      </c>
      <c r="E72" s="308"/>
      <c r="F72" s="308">
        <v>0</v>
      </c>
      <c r="G72" s="308"/>
      <c r="H72" s="308"/>
      <c r="I72" s="308"/>
      <c r="J72" s="308"/>
      <c r="K72" s="308">
        <v>0</v>
      </c>
      <c r="L72" s="308">
        <v>0</v>
      </c>
      <c r="M72" s="308">
        <v>0</v>
      </c>
      <c r="N72" s="982">
        <v>0</v>
      </c>
      <c r="O72" s="241">
        <v>0</v>
      </c>
      <c r="P72" s="241">
        <v>0</v>
      </c>
      <c r="Q72" s="749"/>
    </row>
    <row r="73" spans="1:17" s="4" customFormat="1" ht="15" customHeight="1">
      <c r="A73" s="17"/>
      <c r="B73" s="51" t="s">
        <v>962</v>
      </c>
      <c r="C73" s="308"/>
      <c r="D73" s="308"/>
      <c r="E73" s="308"/>
      <c r="F73" s="308"/>
      <c r="G73" s="308"/>
      <c r="H73" s="308"/>
      <c r="I73" s="308"/>
      <c r="J73" s="308"/>
      <c r="K73" s="308"/>
      <c r="L73" s="308"/>
      <c r="M73" s="308">
        <v>0</v>
      </c>
      <c r="N73" s="982"/>
      <c r="O73" s="241"/>
      <c r="P73" s="241">
        <v>0</v>
      </c>
      <c r="Q73" s="749"/>
    </row>
    <row r="74" spans="1:17" s="4" customFormat="1" ht="15" customHeight="1">
      <c r="A74" s="17"/>
      <c r="B74" s="51" t="s">
        <v>963</v>
      </c>
      <c r="C74" s="308"/>
      <c r="D74" s="308">
        <f>482+1+33</f>
        <v>516</v>
      </c>
      <c r="E74" s="308"/>
      <c r="F74" s="308">
        <v>538.20000000000005</v>
      </c>
      <c r="G74" s="308"/>
      <c r="H74" s="308">
        <v>332.9</v>
      </c>
      <c r="I74" s="1719">
        <v>54</v>
      </c>
      <c r="J74" s="1719">
        <v>54</v>
      </c>
      <c r="K74" s="1719">
        <v>57.672000000000004</v>
      </c>
      <c r="L74" s="1719">
        <v>28.836000000000002</v>
      </c>
      <c r="M74" s="1719">
        <v>28.836000000000002</v>
      </c>
      <c r="N74" s="982">
        <v>61.074648000000003</v>
      </c>
      <c r="O74" s="241">
        <v>30.537324000000002</v>
      </c>
      <c r="P74" s="241">
        <v>30.537324000000002</v>
      </c>
      <c r="Q74" s="749"/>
    </row>
    <row r="75" spans="1:17" s="4" customFormat="1" ht="15" hidden="1" customHeight="1">
      <c r="A75" s="17"/>
      <c r="B75" s="51"/>
      <c r="C75" s="241"/>
      <c r="D75" s="241"/>
      <c r="E75" s="241"/>
      <c r="F75" s="241"/>
      <c r="G75" s="241"/>
      <c r="H75" s="241"/>
      <c r="I75" s="241"/>
      <c r="J75" s="241"/>
      <c r="K75" s="241"/>
      <c r="L75" s="241"/>
      <c r="M75" s="241">
        <v>0</v>
      </c>
      <c r="N75" s="982"/>
      <c r="O75" s="241"/>
      <c r="P75" s="241">
        <v>0</v>
      </c>
      <c r="Q75" s="749"/>
    </row>
    <row r="76" spans="1:17" s="4" customFormat="1" ht="15" hidden="1" customHeight="1">
      <c r="A76" s="17"/>
      <c r="B76" s="51"/>
      <c r="C76" s="241"/>
      <c r="D76" s="241"/>
      <c r="E76" s="241"/>
      <c r="F76" s="241"/>
      <c r="G76" s="241"/>
      <c r="H76" s="241"/>
      <c r="I76" s="241"/>
      <c r="J76" s="241"/>
      <c r="K76" s="241"/>
      <c r="L76" s="241"/>
      <c r="M76" s="241"/>
      <c r="N76" s="982"/>
      <c r="O76" s="241"/>
      <c r="P76" s="241"/>
      <c r="Q76" s="749"/>
    </row>
    <row r="77" spans="1:17" s="4" customFormat="1" ht="15" hidden="1" customHeight="1">
      <c r="A77" s="17"/>
      <c r="B77" s="51"/>
      <c r="C77" s="241"/>
      <c r="D77" s="241"/>
      <c r="E77" s="241"/>
      <c r="F77" s="241"/>
      <c r="G77" s="241"/>
      <c r="H77" s="241"/>
      <c r="I77" s="241"/>
      <c r="J77" s="241"/>
      <c r="K77" s="241"/>
      <c r="L77" s="241"/>
      <c r="M77" s="241"/>
      <c r="N77" s="982"/>
      <c r="O77" s="241"/>
      <c r="P77" s="241"/>
      <c r="Q77" s="749"/>
    </row>
    <row r="78" spans="1:17" s="1034" customFormat="1" ht="30.75" customHeight="1">
      <c r="A78" s="1030" t="s">
        <v>391</v>
      </c>
      <c r="B78" s="1031" t="s">
        <v>392</v>
      </c>
      <c r="C78" s="1032">
        <f>SUM(C79:C82)</f>
        <v>0</v>
      </c>
      <c r="D78" s="1032">
        <f t="shared" ref="D78:M78" si="9">SUM(D79:D82)</f>
        <v>1820</v>
      </c>
      <c r="E78" s="1032">
        <f t="shared" si="9"/>
        <v>0</v>
      </c>
      <c r="F78" s="1032">
        <v>2307</v>
      </c>
      <c r="G78" s="1032">
        <v>0</v>
      </c>
      <c r="H78" s="1032">
        <v>2502.6</v>
      </c>
      <c r="I78" s="1032">
        <v>2574</v>
      </c>
      <c r="J78" s="1032">
        <v>2574</v>
      </c>
      <c r="K78" s="1032">
        <v>2749.0320000000002</v>
      </c>
      <c r="L78" s="1032">
        <v>1374.5160000000001</v>
      </c>
      <c r="M78" s="1032">
        <v>1374.5160000000001</v>
      </c>
      <c r="N78" s="1383">
        <v>2911.2248880000002</v>
      </c>
      <c r="O78" s="1032">
        <v>1455.6124440000001</v>
      </c>
      <c r="P78" s="1032">
        <v>1455.6124440000001</v>
      </c>
      <c r="Q78" s="1033"/>
    </row>
    <row r="79" spans="1:17" s="1046" customFormat="1" ht="30">
      <c r="A79" s="1044"/>
      <c r="B79" s="1045" t="s">
        <v>393</v>
      </c>
      <c r="C79" s="258"/>
      <c r="D79" s="258"/>
      <c r="E79" s="258"/>
      <c r="F79" s="258"/>
      <c r="G79" s="258"/>
      <c r="H79" s="258"/>
      <c r="I79" s="258"/>
      <c r="J79" s="258"/>
      <c r="K79" s="258"/>
      <c r="L79" s="258"/>
      <c r="M79" s="258">
        <v>0</v>
      </c>
      <c r="N79" s="982"/>
      <c r="O79" s="258"/>
      <c r="P79" s="258">
        <v>0</v>
      </c>
      <c r="Q79" s="754"/>
    </row>
    <row r="80" spans="1:17" s="1046" customFormat="1" ht="30" customHeight="1">
      <c r="A80" s="1044"/>
      <c r="B80" s="1045" t="s">
        <v>394</v>
      </c>
      <c r="C80" s="258"/>
      <c r="D80" s="258">
        <v>1820</v>
      </c>
      <c r="E80" s="258"/>
      <c r="F80" s="258">
        <v>2307</v>
      </c>
      <c r="G80" s="258"/>
      <c r="H80" s="258">
        <v>2502.6</v>
      </c>
      <c r="I80" s="1719">
        <v>2574</v>
      </c>
      <c r="J80" s="1719">
        <v>2574</v>
      </c>
      <c r="K80" s="1719">
        <v>2749.0320000000002</v>
      </c>
      <c r="L80" s="1719">
        <v>1374.5160000000001</v>
      </c>
      <c r="M80" s="1719">
        <v>1374.5160000000001</v>
      </c>
      <c r="N80" s="982">
        <v>2911.2248880000002</v>
      </c>
      <c r="O80" s="258">
        <v>1455.6124440000001</v>
      </c>
      <c r="P80" s="258">
        <v>1455.6124440000001</v>
      </c>
      <c r="Q80" s="754"/>
    </row>
    <row r="81" spans="1:17" s="1046" customFormat="1" ht="15" customHeight="1">
      <c r="A81" s="1044"/>
      <c r="B81" s="1045" t="s">
        <v>1568</v>
      </c>
      <c r="C81" s="258"/>
      <c r="D81" s="258"/>
      <c r="E81" s="258"/>
      <c r="F81" s="258"/>
      <c r="G81" s="258"/>
      <c r="H81" s="258"/>
      <c r="I81" s="258"/>
      <c r="J81" s="258"/>
      <c r="K81" s="258"/>
      <c r="L81" s="258"/>
      <c r="M81" s="258">
        <v>0</v>
      </c>
      <c r="N81" s="982"/>
      <c r="O81" s="258"/>
      <c r="P81" s="258">
        <v>0</v>
      </c>
      <c r="Q81" s="754"/>
    </row>
    <row r="82" spans="1:17" s="1046" customFormat="1" ht="28.5" customHeight="1">
      <c r="A82" s="1044"/>
      <c r="B82" s="1045" t="s">
        <v>1957</v>
      </c>
      <c r="C82" s="258"/>
      <c r="D82" s="258">
        <v>0</v>
      </c>
      <c r="E82" s="258"/>
      <c r="F82" s="258">
        <v>0</v>
      </c>
      <c r="G82" s="258"/>
      <c r="H82" s="258"/>
      <c r="I82" s="1719">
        <v>0</v>
      </c>
      <c r="J82" s="1719">
        <v>0</v>
      </c>
      <c r="K82" s="1719">
        <v>0</v>
      </c>
      <c r="L82" s="1719">
        <v>0</v>
      </c>
      <c r="M82" s="1719">
        <v>0</v>
      </c>
      <c r="N82" s="982">
        <v>0</v>
      </c>
      <c r="O82" s="258">
        <v>0</v>
      </c>
      <c r="P82" s="258">
        <v>0</v>
      </c>
      <c r="Q82" s="754"/>
    </row>
    <row r="83" spans="1:17" s="1034" customFormat="1" ht="15" customHeight="1">
      <c r="A83" s="1030" t="s">
        <v>395</v>
      </c>
      <c r="B83" s="1031" t="s">
        <v>396</v>
      </c>
      <c r="C83" s="1032">
        <f>(C68+C69+C70+C78)/0.8*0.2</f>
        <v>0</v>
      </c>
      <c r="D83" s="1032">
        <f t="shared" ref="D83" si="10">(D68+D69+D70+D78)/0.8*0.2</f>
        <v>455</v>
      </c>
      <c r="E83" s="1032">
        <f>E78/0.8*0.2</f>
        <v>0</v>
      </c>
      <c r="F83" s="1032">
        <v>576.75</v>
      </c>
      <c r="G83" s="1032">
        <v>0</v>
      </c>
      <c r="H83" s="1032">
        <v>625.65</v>
      </c>
      <c r="I83" s="1032">
        <v>643.5</v>
      </c>
      <c r="J83" s="1032">
        <v>643.5</v>
      </c>
      <c r="K83" s="1032">
        <v>687.25800000000004</v>
      </c>
      <c r="L83" s="1032">
        <v>343.62900000000002</v>
      </c>
      <c r="M83" s="1032">
        <v>343.62900000000002</v>
      </c>
      <c r="N83" s="1032">
        <v>727.80622200000005</v>
      </c>
      <c r="O83" s="1032">
        <v>363.90311100000002</v>
      </c>
      <c r="P83" s="1032">
        <v>363.90311100000002</v>
      </c>
      <c r="Q83" s="1033"/>
    </row>
    <row r="84" spans="1:17" s="1034" customFormat="1" ht="15" customHeight="1">
      <c r="A84" s="1030" t="s">
        <v>397</v>
      </c>
      <c r="B84" s="1031" t="s">
        <v>398</v>
      </c>
      <c r="C84" s="1032">
        <f>C85-C88</f>
        <v>0</v>
      </c>
      <c r="D84" s="1032">
        <f t="shared" ref="D84:M84" si="11">D85-D88</f>
        <v>0</v>
      </c>
      <c r="E84" s="1032">
        <f t="shared" si="11"/>
        <v>0</v>
      </c>
      <c r="F84" s="1032">
        <v>0</v>
      </c>
      <c r="G84" s="1032">
        <v>0</v>
      </c>
      <c r="H84" s="1032">
        <v>0</v>
      </c>
      <c r="I84" s="1032">
        <v>0</v>
      </c>
      <c r="J84" s="1032">
        <v>0</v>
      </c>
      <c r="K84" s="1032">
        <v>136121.9</v>
      </c>
      <c r="L84" s="1032">
        <v>0</v>
      </c>
      <c r="M84" s="1032">
        <v>136121.9</v>
      </c>
      <c r="N84" s="1383">
        <v>0</v>
      </c>
      <c r="O84" s="1032">
        <v>0</v>
      </c>
      <c r="P84" s="1032">
        <v>0</v>
      </c>
      <c r="Q84" s="1033"/>
    </row>
    <row r="85" spans="1:17" s="585" customFormat="1" ht="15" customHeight="1">
      <c r="A85" s="583"/>
      <c r="B85" s="582" t="s">
        <v>1140</v>
      </c>
      <c r="C85" s="587">
        <f>C86+C87</f>
        <v>0</v>
      </c>
      <c r="D85" s="587">
        <f t="shared" ref="D85:M85" si="12">D86+D87</f>
        <v>0</v>
      </c>
      <c r="E85" s="587">
        <f t="shared" si="12"/>
        <v>0</v>
      </c>
      <c r="F85" s="587">
        <v>0</v>
      </c>
      <c r="G85" s="587">
        <v>0</v>
      </c>
      <c r="H85" s="587">
        <v>0</v>
      </c>
      <c r="I85" s="587">
        <v>0</v>
      </c>
      <c r="J85" s="587">
        <v>0</v>
      </c>
      <c r="K85" s="587">
        <v>152582.9</v>
      </c>
      <c r="L85" s="587">
        <v>0</v>
      </c>
      <c r="M85" s="587">
        <v>152582.9</v>
      </c>
      <c r="N85" s="982">
        <v>0</v>
      </c>
      <c r="O85" s="587">
        <v>0</v>
      </c>
      <c r="P85" s="587">
        <v>0</v>
      </c>
      <c r="Q85" s="1020"/>
    </row>
    <row r="86" spans="1:17" s="341" customFormat="1" ht="15" customHeight="1">
      <c r="A86" s="339"/>
      <c r="B86" s="340" t="s">
        <v>959</v>
      </c>
      <c r="C86" s="308"/>
      <c r="D86" s="308"/>
      <c r="E86" s="308"/>
      <c r="F86" s="308"/>
      <c r="G86" s="308"/>
      <c r="H86" s="308"/>
      <c r="I86" s="308"/>
      <c r="J86" s="308"/>
      <c r="K86" s="308">
        <v>152582.9</v>
      </c>
      <c r="L86" s="308">
        <v>0</v>
      </c>
      <c r="M86" s="308">
        <v>152582.9</v>
      </c>
      <c r="N86" s="982"/>
      <c r="O86" s="308">
        <v>0</v>
      </c>
      <c r="P86" s="308">
        <v>0</v>
      </c>
      <c r="Q86" s="762"/>
    </row>
    <row r="87" spans="1:17" s="341" customFormat="1" ht="15" customHeight="1">
      <c r="A87" s="339"/>
      <c r="B87" s="51" t="s">
        <v>960</v>
      </c>
      <c r="C87" s="241"/>
      <c r="D87" s="241"/>
      <c r="E87" s="241"/>
      <c r="F87" s="241"/>
      <c r="G87" s="241"/>
      <c r="H87" s="241"/>
      <c r="I87" s="241"/>
      <c r="J87" s="241"/>
      <c r="K87" s="241"/>
      <c r="L87" s="241">
        <v>0</v>
      </c>
      <c r="M87" s="241">
        <v>0</v>
      </c>
      <c r="N87" s="982"/>
      <c r="O87" s="308">
        <v>0</v>
      </c>
      <c r="P87" s="308">
        <v>0</v>
      </c>
      <c r="Q87" s="749"/>
    </row>
    <row r="88" spans="1:17" s="588" customFormat="1" ht="15" customHeight="1">
      <c r="A88" s="586"/>
      <c r="B88" s="582" t="s">
        <v>1141</v>
      </c>
      <c r="C88" s="587">
        <f>C89+C90</f>
        <v>0</v>
      </c>
      <c r="D88" s="587">
        <f t="shared" ref="D88:M88" si="13">D89+D90</f>
        <v>0</v>
      </c>
      <c r="E88" s="587">
        <f t="shared" si="13"/>
        <v>0</v>
      </c>
      <c r="F88" s="587">
        <v>0</v>
      </c>
      <c r="G88" s="587">
        <v>0</v>
      </c>
      <c r="H88" s="587">
        <v>0</v>
      </c>
      <c r="I88" s="587">
        <v>0</v>
      </c>
      <c r="J88" s="587">
        <v>0</v>
      </c>
      <c r="K88" s="587">
        <v>16461</v>
      </c>
      <c r="L88" s="587">
        <v>0</v>
      </c>
      <c r="M88" s="587">
        <v>16461</v>
      </c>
      <c r="N88" s="982">
        <v>0</v>
      </c>
      <c r="O88" s="587">
        <v>0</v>
      </c>
      <c r="P88" s="587">
        <v>0</v>
      </c>
      <c r="Q88" s="1021"/>
    </row>
    <row r="89" spans="1:17" s="341" customFormat="1" ht="15" customHeight="1">
      <c r="A89" s="339"/>
      <c r="B89" s="340" t="s">
        <v>959</v>
      </c>
      <c r="C89" s="241"/>
      <c r="D89" s="241"/>
      <c r="E89" s="241"/>
      <c r="F89" s="241"/>
      <c r="G89" s="241"/>
      <c r="H89" s="241"/>
      <c r="I89" s="241"/>
      <c r="J89" s="241"/>
      <c r="K89" s="241">
        <v>16461</v>
      </c>
      <c r="L89" s="241">
        <v>0</v>
      </c>
      <c r="M89" s="241">
        <v>16461</v>
      </c>
      <c r="N89" s="982"/>
      <c r="O89" s="308">
        <v>0</v>
      </c>
      <c r="P89" s="308">
        <v>0</v>
      </c>
      <c r="Q89" s="749"/>
    </row>
    <row r="90" spans="1:17" s="341" customFormat="1" ht="15" customHeight="1">
      <c r="A90" s="339"/>
      <c r="B90" s="51" t="s">
        <v>960</v>
      </c>
      <c r="C90" s="241"/>
      <c r="D90" s="241"/>
      <c r="E90" s="241"/>
      <c r="F90" s="241"/>
      <c r="G90" s="241"/>
      <c r="H90" s="241"/>
      <c r="I90" s="241"/>
      <c r="J90" s="241"/>
      <c r="K90" s="241"/>
      <c r="L90" s="241">
        <v>0</v>
      </c>
      <c r="M90" s="241">
        <v>0</v>
      </c>
      <c r="N90" s="982"/>
      <c r="O90" s="308">
        <v>0</v>
      </c>
      <c r="P90" s="308">
        <v>0</v>
      </c>
      <c r="Q90" s="749"/>
    </row>
    <row r="91" spans="1:17" s="1055" customFormat="1" ht="15" customHeight="1">
      <c r="A91" s="1052" t="s">
        <v>399</v>
      </c>
      <c r="B91" s="1053" t="s">
        <v>400</v>
      </c>
      <c r="C91" s="1054">
        <f t="shared" ref="C91:M91" si="14">C7+C67+C78+C83+C84</f>
        <v>0</v>
      </c>
      <c r="D91" s="1054">
        <f t="shared" si="14"/>
        <v>234672.68520000001</v>
      </c>
      <c r="E91" s="1054">
        <f t="shared" si="14"/>
        <v>0</v>
      </c>
      <c r="F91" s="1054">
        <v>293540.23144743376</v>
      </c>
      <c r="G91" s="1054">
        <v>5008.9605671999998</v>
      </c>
      <c r="H91" s="1054">
        <v>333225.90320063604</v>
      </c>
      <c r="I91" s="1054">
        <v>29033.5</v>
      </c>
      <c r="J91" s="1054">
        <v>398193.80223427049</v>
      </c>
      <c r="K91" s="1054">
        <v>540837.077707018</v>
      </c>
      <c r="L91" s="1054">
        <v>195258.54268399999</v>
      </c>
      <c r="M91" s="1054">
        <v>345578.53502301796</v>
      </c>
      <c r="N91" s="1610">
        <v>430502.08614952065</v>
      </c>
      <c r="O91" s="1054">
        <v>207477.2838699689</v>
      </c>
      <c r="P91" s="1054">
        <v>223024.80227955166</v>
      </c>
      <c r="Q91" s="1056"/>
    </row>
    <row r="92" spans="1:17" s="4" customFormat="1" ht="15" customHeight="1">
      <c r="A92" s="17" t="s">
        <v>401</v>
      </c>
      <c r="B92" s="51" t="s">
        <v>1269</v>
      </c>
      <c r="C92" s="241"/>
      <c r="D92" s="241"/>
      <c r="E92" s="241"/>
      <c r="F92" s="241"/>
      <c r="G92" s="241"/>
      <c r="H92" s="241"/>
      <c r="I92" s="241"/>
      <c r="J92" s="241"/>
      <c r="K92" s="241"/>
      <c r="L92" s="241"/>
      <c r="M92" s="241"/>
      <c r="N92" s="982"/>
      <c r="O92" s="241"/>
      <c r="P92" s="241"/>
      <c r="Q92" s="749"/>
    </row>
    <row r="93" spans="1:17" s="4" customFormat="1" ht="15" customHeight="1">
      <c r="A93" s="17" t="s">
        <v>403</v>
      </c>
      <c r="B93" s="51" t="s">
        <v>1270</v>
      </c>
      <c r="C93" s="241">
        <f>C91-C94-C95</f>
        <v>0</v>
      </c>
      <c r="D93" s="308">
        <f t="shared" ref="D93:M93" si="15">D91-D94-D95</f>
        <v>234672.68520000001</v>
      </c>
      <c r="E93" s="241">
        <f t="shared" si="15"/>
        <v>0</v>
      </c>
      <c r="F93" s="241">
        <v>289981.23144743376</v>
      </c>
      <c r="G93" s="241">
        <v>5008.9605671999998</v>
      </c>
      <c r="H93" s="241">
        <v>333225.90320063604</v>
      </c>
      <c r="I93" s="241">
        <v>29033.5</v>
      </c>
      <c r="J93" s="241">
        <v>398193.80223427049</v>
      </c>
      <c r="K93" s="241">
        <v>540837.077707018</v>
      </c>
      <c r="L93" s="241">
        <v>195258.54268399999</v>
      </c>
      <c r="M93" s="241">
        <v>345578.53502301796</v>
      </c>
      <c r="N93" s="982">
        <v>430502.08614952065</v>
      </c>
      <c r="O93" s="241">
        <v>207477.2838699689</v>
      </c>
      <c r="P93" s="241">
        <v>223024.80227955166</v>
      </c>
      <c r="Q93" s="749"/>
    </row>
    <row r="94" spans="1:17" s="4" customFormat="1" ht="15" customHeight="1">
      <c r="A94" s="17" t="s">
        <v>405</v>
      </c>
      <c r="B94" s="51" t="s">
        <v>1271</v>
      </c>
      <c r="C94" s="241"/>
      <c r="D94" s="241"/>
      <c r="E94" s="241"/>
      <c r="F94" s="241"/>
      <c r="G94" s="241"/>
      <c r="H94" s="241"/>
      <c r="I94" s="241"/>
      <c r="J94" s="241"/>
      <c r="K94" s="241"/>
      <c r="L94" s="241"/>
      <c r="M94" s="241"/>
      <c r="N94" s="982"/>
      <c r="O94" s="241"/>
      <c r="P94" s="241"/>
      <c r="Q94" s="749"/>
    </row>
    <row r="95" spans="1:17" s="4" customFormat="1" ht="15" customHeight="1">
      <c r="A95" s="17" t="s">
        <v>407</v>
      </c>
      <c r="B95" s="51" t="s">
        <v>408</v>
      </c>
      <c r="C95" s="241"/>
      <c r="D95" s="241"/>
      <c r="E95" s="241"/>
      <c r="F95" s="241"/>
      <c r="G95" s="241"/>
      <c r="H95" s="241"/>
      <c r="I95" s="241"/>
      <c r="J95" s="241"/>
      <c r="K95" s="241"/>
      <c r="L95" s="241"/>
      <c r="M95" s="241"/>
      <c r="N95" s="982"/>
      <c r="O95" s="241"/>
      <c r="P95" s="241"/>
      <c r="Q95" s="749"/>
    </row>
    <row r="96" spans="1:17" s="4" customFormat="1" ht="15" customHeight="1">
      <c r="A96" s="17"/>
      <c r="B96" s="51"/>
      <c r="C96" s="241"/>
      <c r="D96" s="241"/>
      <c r="E96" s="241"/>
      <c r="F96" s="241"/>
      <c r="G96" s="241"/>
      <c r="H96" s="241"/>
      <c r="I96" s="241"/>
      <c r="J96" s="241"/>
      <c r="K96" s="241"/>
      <c r="L96" s="241"/>
      <c r="M96" s="241"/>
      <c r="N96" s="982"/>
      <c r="O96" s="241"/>
      <c r="P96" s="241"/>
      <c r="Q96" s="749"/>
    </row>
    <row r="97" spans="1:17" s="4" customFormat="1" ht="28.5">
      <c r="A97" s="17"/>
      <c r="B97" s="755" t="s">
        <v>1268</v>
      </c>
      <c r="C97" s="286">
        <f>'4.3_котельные'!E8</f>
        <v>457.00900000000001</v>
      </c>
      <c r="D97" s="286">
        <f>'4.3_котельные'!I8</f>
        <v>410.57600000000002</v>
      </c>
      <c r="E97" s="286">
        <f>'4.3_котельные'!M8</f>
        <v>461.95</v>
      </c>
      <c r="F97" s="286">
        <v>399.63940000000008</v>
      </c>
      <c r="G97" s="286">
        <v>466.08759999999995</v>
      </c>
      <c r="H97" s="286">
        <v>377.28214835200004</v>
      </c>
      <c r="I97" s="286">
        <v>0</v>
      </c>
      <c r="J97" s="286">
        <v>400.41050000000007</v>
      </c>
      <c r="K97" s="286">
        <v>389</v>
      </c>
      <c r="L97" s="286">
        <v>237.10000000000002</v>
      </c>
      <c r="M97" s="286">
        <v>151.9</v>
      </c>
      <c r="N97" s="1568">
        <v>389</v>
      </c>
      <c r="O97" s="286">
        <v>237.10000000000002</v>
      </c>
      <c r="P97" s="286">
        <v>151.9</v>
      </c>
      <c r="Q97" s="977"/>
    </row>
    <row r="98" spans="1:17" s="4" customFormat="1" ht="15" customHeight="1">
      <c r="A98" s="17"/>
      <c r="B98" s="51"/>
      <c r="C98" s="241"/>
      <c r="D98" s="241"/>
      <c r="E98" s="241"/>
      <c r="F98" s="241"/>
      <c r="G98" s="241"/>
      <c r="H98" s="241"/>
      <c r="I98" s="241"/>
      <c r="J98" s="241"/>
      <c r="K98" s="241"/>
      <c r="L98" s="241"/>
      <c r="M98" s="241"/>
      <c r="N98" s="982"/>
      <c r="O98" s="241"/>
      <c r="P98" s="241"/>
      <c r="Q98" s="749"/>
    </row>
    <row r="99" spans="1:17" s="4" customFormat="1" ht="15" customHeight="1">
      <c r="A99" s="17"/>
      <c r="B99" s="253" t="s">
        <v>1266</v>
      </c>
      <c r="C99" s="428">
        <f>C93/C97</f>
        <v>0</v>
      </c>
      <c r="D99" s="428">
        <f t="shared" ref="D99:M99" si="16">D93/D97</f>
        <v>571.56941759869062</v>
      </c>
      <c r="E99" s="428">
        <f t="shared" si="16"/>
        <v>0</v>
      </c>
      <c r="F99" s="428">
        <v>725.60721352157395</v>
      </c>
      <c r="G99" s="428">
        <v>10.746822200805171</v>
      </c>
      <c r="H99" s="428">
        <v>883.22732643512188</v>
      </c>
      <c r="I99" s="428" t="e">
        <v>#DIV/0!</v>
      </c>
      <c r="J99" s="428">
        <v>994.46393697036024</v>
      </c>
      <c r="K99" s="428">
        <v>1390.326677910072</v>
      </c>
      <c r="L99" s="428">
        <v>823.52822726275815</v>
      </c>
      <c r="M99" s="428">
        <v>2275.0397302371161</v>
      </c>
      <c r="N99" s="1128">
        <v>1106.6891674794874</v>
      </c>
      <c r="O99" s="428">
        <v>875.06235288894504</v>
      </c>
      <c r="P99" s="428">
        <v>1468.2343797205508</v>
      </c>
      <c r="Q99" s="978"/>
    </row>
    <row r="100" spans="1:17" s="4" customFormat="1" ht="15" customHeight="1">
      <c r="A100" s="17"/>
      <c r="B100" s="253" t="s">
        <v>1267</v>
      </c>
      <c r="C100" s="428" t="e">
        <f>C94/'4.2_котельные'!C25</f>
        <v>#DIV/0!</v>
      </c>
      <c r="D100" s="428">
        <f>D94/'4.2_котельные'!F25</f>
        <v>0</v>
      </c>
      <c r="E100" s="428" t="e">
        <f>E94/'4.2_котельные'!I25</f>
        <v>#DIV/0!</v>
      </c>
      <c r="F100" s="428">
        <f>F94/'4.2_котельные'!L25</f>
        <v>0</v>
      </c>
      <c r="G100" s="428"/>
      <c r="H100" s="428"/>
      <c r="I100" s="428"/>
      <c r="J100" s="428"/>
      <c r="K100" s="1128">
        <f>K94/'4.2_котельные'!AA25</f>
        <v>0</v>
      </c>
      <c r="L100" s="428">
        <f>L94/'4.2_котельные'!AA25</f>
        <v>0</v>
      </c>
      <c r="M100" s="428">
        <f>M94/'4.2_котельные'!AG25</f>
        <v>0</v>
      </c>
      <c r="N100" s="978"/>
      <c r="O100" s="978"/>
      <c r="P100" s="978"/>
      <c r="Q100" s="978"/>
    </row>
    <row r="101" spans="1:17" s="4" customFormat="1" ht="15" customHeight="1">
      <c r="A101" s="17"/>
      <c r="B101" s="1131" t="s">
        <v>1512</v>
      </c>
      <c r="C101" s="428"/>
      <c r="D101" s="428"/>
      <c r="E101" s="428"/>
      <c r="F101" s="428"/>
      <c r="G101" s="428"/>
      <c r="H101" s="428"/>
      <c r="I101" s="428"/>
      <c r="J101" s="428"/>
      <c r="K101" s="1128"/>
      <c r="L101" s="428"/>
      <c r="M101" s="428"/>
      <c r="N101" s="978"/>
      <c r="O101" s="978"/>
      <c r="P101" s="978"/>
      <c r="Q101" s="978"/>
    </row>
    <row r="102" spans="1:17" s="4" customFormat="1" ht="15" customHeight="1">
      <c r="A102" s="17"/>
      <c r="B102" s="1131" t="s">
        <v>1513</v>
      </c>
      <c r="C102" s="428"/>
      <c r="D102" s="428"/>
      <c r="E102" s="428"/>
      <c r="F102" s="428"/>
      <c r="G102" s="428"/>
      <c r="H102" s="428"/>
      <c r="I102" s="428"/>
      <c r="J102" s="428"/>
      <c r="K102" s="1128"/>
      <c r="L102" s="428"/>
      <c r="M102" s="428"/>
      <c r="N102" s="978"/>
      <c r="O102" s="978"/>
      <c r="P102" s="978"/>
      <c r="Q102" s="978"/>
    </row>
    <row r="103" spans="1:17" hidden="1">
      <c r="A103" s="253" t="s">
        <v>965</v>
      </c>
      <c r="B103" s="253"/>
      <c r="C103" s="308">
        <f>C67+C78+C83+C87-C90</f>
        <v>0</v>
      </c>
      <c r="D103" s="308">
        <f t="shared" ref="D103:M103" si="17">D67+D78+D83+D87-D90</f>
        <v>2791</v>
      </c>
      <c r="E103" s="308">
        <f t="shared" si="17"/>
        <v>0</v>
      </c>
      <c r="F103" s="308">
        <f t="shared" si="17"/>
        <v>3421.95</v>
      </c>
      <c r="G103" s="308"/>
      <c r="H103" s="308"/>
      <c r="I103" s="308"/>
      <c r="J103" s="308"/>
      <c r="K103" s="982">
        <f t="shared" si="17"/>
        <v>3493.9620000000004</v>
      </c>
      <c r="L103" s="308">
        <f t="shared" si="17"/>
        <v>1746.9810000000002</v>
      </c>
      <c r="M103" s="308">
        <f t="shared" si="17"/>
        <v>1746.9810000000002</v>
      </c>
      <c r="N103" s="762"/>
      <c r="O103" s="762"/>
      <c r="P103" s="762"/>
      <c r="Q103" s="762"/>
    </row>
    <row r="104" spans="1:17" s="26" customFormat="1">
      <c r="A104" s="26" t="s">
        <v>88</v>
      </c>
      <c r="K104" s="883"/>
    </row>
    <row r="105" spans="1:17" s="541" customFormat="1" ht="58.5" customHeight="1">
      <c r="A105" s="541" t="s">
        <v>89</v>
      </c>
      <c r="B105" s="1842" t="s">
        <v>409</v>
      </c>
      <c r="C105" s="1842"/>
      <c r="D105" s="1842"/>
      <c r="E105" s="1842"/>
      <c r="F105" s="1842"/>
      <c r="G105" s="1842"/>
      <c r="H105" s="1842"/>
      <c r="I105" s="1842"/>
      <c r="J105" s="1842"/>
      <c r="K105" s="1842"/>
      <c r="L105" s="1842"/>
      <c r="M105" s="1842"/>
      <c r="N105" s="1629"/>
      <c r="O105" s="1629"/>
      <c r="P105" s="1629"/>
      <c r="Q105" s="1011"/>
    </row>
    <row r="106" spans="1:17" s="541" customFormat="1" ht="58.5" customHeight="1">
      <c r="A106" s="541" t="s">
        <v>91</v>
      </c>
      <c r="B106" s="1842" t="s">
        <v>410</v>
      </c>
      <c r="C106" s="1842"/>
      <c r="D106" s="1842"/>
      <c r="E106" s="1842"/>
      <c r="F106" s="1842"/>
      <c r="G106" s="1842"/>
      <c r="H106" s="1842"/>
      <c r="I106" s="1842"/>
      <c r="J106" s="1842"/>
      <c r="K106" s="1842"/>
      <c r="L106" s="1842"/>
      <c r="M106" s="1842"/>
      <c r="N106" s="1629"/>
      <c r="O106" s="1629"/>
      <c r="P106" s="1629"/>
      <c r="Q106" s="1011"/>
    </row>
    <row r="107" spans="1:17" s="541" customFormat="1" ht="58.5" customHeight="1">
      <c r="A107" s="541" t="s">
        <v>93</v>
      </c>
      <c r="B107" s="1842" t="s">
        <v>411</v>
      </c>
      <c r="C107" s="1842"/>
      <c r="D107" s="1842"/>
      <c r="E107" s="1842"/>
      <c r="F107" s="1842"/>
      <c r="G107" s="1842"/>
      <c r="H107" s="1842"/>
      <c r="I107" s="1842"/>
      <c r="J107" s="1842"/>
      <c r="K107" s="1842"/>
      <c r="L107" s="1842"/>
      <c r="M107" s="1842"/>
      <c r="N107" s="1629"/>
      <c r="O107" s="1629"/>
      <c r="P107" s="1629"/>
      <c r="Q107" s="1011"/>
    </row>
    <row r="108" spans="1:17" ht="18.75" customHeight="1"/>
  </sheetData>
  <mergeCells count="4">
    <mergeCell ref="B105:M105"/>
    <mergeCell ref="B106:M106"/>
    <mergeCell ref="B107:M107"/>
    <mergeCell ref="A3:J3"/>
  </mergeCells>
  <pageMargins left="0.78740157480314965" right="0.31496062992125984" top="0.19685039370078741" bottom="0.19685039370078741" header="0.19685039370078741" footer="0.19685039370078741"/>
  <pageSetup paperSize="9" scale="50" orientation="portrait" r:id="rId1"/>
  <headerFooter alignWithMargins="0"/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</sheetPr>
  <dimension ref="A1:S108"/>
  <sheetViews>
    <sheetView view="pageBreakPreview" zoomScaleNormal="100" workbookViewId="0">
      <pane xSplit="2" ySplit="5" topLeftCell="C6" activePane="bottomRight" state="frozen"/>
      <selection activeCell="T22" sqref="T22"/>
      <selection pane="topRight" activeCell="T22" sqref="T22"/>
      <selection pane="bottomLeft" activeCell="T22" sqref="T22"/>
      <selection pane="bottomRight" activeCell="T22" sqref="T22"/>
    </sheetView>
  </sheetViews>
  <sheetFormatPr defaultColWidth="3.7109375" defaultRowHeight="15" outlineLevelRow="1"/>
  <cols>
    <col min="1" max="1" width="6.5703125" style="1" customWidth="1"/>
    <col min="2" max="2" width="44.7109375" style="1" customWidth="1"/>
    <col min="3" max="4" width="13.42578125" style="1" hidden="1" customWidth="1"/>
    <col min="5" max="9" width="13.42578125" style="1" customWidth="1"/>
    <col min="10" max="10" width="16" style="1" customWidth="1"/>
    <col min="11" max="11" width="15.140625" style="1603" customWidth="1"/>
    <col min="12" max="12" width="12.140625" style="1" customWidth="1"/>
    <col min="13" max="13" width="12.28515625" style="1" customWidth="1"/>
    <col min="14" max="14" width="12.5703125" style="1" customWidth="1"/>
    <col min="15" max="17" width="10.85546875" style="1" customWidth="1"/>
    <col min="18" max="56" width="9.140625" style="1" customWidth="1"/>
    <col min="57" max="16384" width="3.7109375" style="1"/>
  </cols>
  <sheetData>
    <row r="1" spans="1:18" ht="12.75" customHeight="1">
      <c r="A1" s="74" t="s">
        <v>1860</v>
      </c>
      <c r="J1" s="23"/>
      <c r="K1" s="23"/>
      <c r="M1" s="23" t="s">
        <v>359</v>
      </c>
      <c r="N1" s="23"/>
      <c r="O1" s="23"/>
      <c r="P1" s="23"/>
      <c r="Q1" s="23"/>
    </row>
    <row r="2" spans="1:18" ht="12.75" customHeight="1">
      <c r="A2" s="105" t="str">
        <f>'4.6_котельные'!A2</f>
        <v>ПКГО - выработка котельными</v>
      </c>
      <c r="K2" s="763"/>
      <c r="M2" s="763"/>
    </row>
    <row r="3" spans="1:18" ht="18.75">
      <c r="A3" s="1877" t="s">
        <v>1153</v>
      </c>
      <c r="B3" s="1914"/>
      <c r="C3" s="1914"/>
      <c r="D3" s="1914"/>
      <c r="E3" s="1914"/>
      <c r="F3" s="1914"/>
      <c r="G3" s="1914"/>
      <c r="H3" s="1914"/>
      <c r="I3" s="1914"/>
      <c r="J3" s="1914"/>
      <c r="K3" s="1632"/>
      <c r="L3" s="1632"/>
      <c r="M3" s="1767"/>
      <c r="N3" s="1632"/>
      <c r="O3" s="1632"/>
      <c r="P3" s="1632"/>
      <c r="Q3" s="1012"/>
    </row>
    <row r="4" spans="1:18" ht="14.25" customHeight="1">
      <c r="J4" s="23"/>
      <c r="K4" s="23"/>
      <c r="M4" s="23" t="s">
        <v>360</v>
      </c>
      <c r="N4" s="23"/>
      <c r="O4" s="23"/>
      <c r="P4" s="23"/>
      <c r="Q4" s="23"/>
    </row>
    <row r="5" spans="1:18" s="3" customFormat="1" ht="75">
      <c r="A5" s="540" t="s">
        <v>0</v>
      </c>
      <c r="B5" s="540" t="s">
        <v>1</v>
      </c>
      <c r="C5" s="944" t="s">
        <v>1534</v>
      </c>
      <c r="D5" s="944" t="s">
        <v>1130</v>
      </c>
      <c r="E5" s="944" t="s">
        <v>1520</v>
      </c>
      <c r="F5" s="540" t="s">
        <v>1695</v>
      </c>
      <c r="G5" s="1290" t="s">
        <v>1702</v>
      </c>
      <c r="H5" s="1576" t="s">
        <v>1828</v>
      </c>
      <c r="I5" s="1576" t="s">
        <v>1842</v>
      </c>
      <c r="J5" s="1631" t="s">
        <v>1861</v>
      </c>
      <c r="K5" s="1631" t="s">
        <v>1862</v>
      </c>
      <c r="L5" s="540" t="s">
        <v>763</v>
      </c>
      <c r="M5" s="540" t="s">
        <v>764</v>
      </c>
      <c r="N5" s="1631" t="s">
        <v>1863</v>
      </c>
      <c r="O5" s="1631" t="s">
        <v>763</v>
      </c>
      <c r="P5" s="1631" t="s">
        <v>764</v>
      </c>
      <c r="Q5" s="747"/>
    </row>
    <row r="6" spans="1:18" s="2" customFormat="1">
      <c r="A6" s="13">
        <v>1</v>
      </c>
      <c r="B6" s="13">
        <v>2</v>
      </c>
      <c r="C6" s="13">
        <v>3</v>
      </c>
      <c r="D6" s="13">
        <v>4</v>
      </c>
      <c r="E6" s="13">
        <v>3</v>
      </c>
      <c r="F6" s="13">
        <v>4</v>
      </c>
      <c r="G6" s="13">
        <v>5</v>
      </c>
      <c r="H6" s="13">
        <v>6</v>
      </c>
      <c r="I6" s="13">
        <v>7</v>
      </c>
      <c r="J6" s="13">
        <v>8</v>
      </c>
      <c r="K6" s="13">
        <v>9</v>
      </c>
      <c r="L6" s="13">
        <v>10</v>
      </c>
      <c r="M6" s="13">
        <v>11</v>
      </c>
      <c r="N6" s="13">
        <v>12</v>
      </c>
      <c r="O6" s="13">
        <v>13</v>
      </c>
      <c r="P6" s="13">
        <v>14</v>
      </c>
      <c r="Q6" s="1792">
        <v>1.0680000000000001</v>
      </c>
      <c r="R6" s="1792">
        <v>1.0589999999999999</v>
      </c>
    </row>
    <row r="7" spans="1:18" s="1041" customFormat="1" ht="30" customHeight="1">
      <c r="A7" s="1037" t="s">
        <v>361</v>
      </c>
      <c r="B7" s="1038" t="s">
        <v>362</v>
      </c>
      <c r="C7" s="1039">
        <f t="shared" ref="C7:M7" si="0">C8+SUM(C10:C15)+C20+SUM(C22:C25)+SUM(C56:C61)</f>
        <v>0</v>
      </c>
      <c r="D7" s="1039">
        <f t="shared" si="0"/>
        <v>44400.334199999998</v>
      </c>
      <c r="E7" s="1039">
        <f t="shared" si="0"/>
        <v>0</v>
      </c>
      <c r="F7" s="1039">
        <v>52628.982319999996</v>
      </c>
      <c r="G7" s="1039">
        <v>0</v>
      </c>
      <c r="H7" s="1039">
        <v>64147.852326799992</v>
      </c>
      <c r="I7" s="1039">
        <v>855.5</v>
      </c>
      <c r="J7" s="1039">
        <v>40084.4516</v>
      </c>
      <c r="K7" s="1039">
        <v>54241.828529999999</v>
      </c>
      <c r="L7" s="1039">
        <v>27253.682614999998</v>
      </c>
      <c r="M7" s="1039">
        <v>26988.145914999994</v>
      </c>
      <c r="N7" s="1605">
        <v>57783.722685516201</v>
      </c>
      <c r="O7" s="1039">
        <v>29197.763672808949</v>
      </c>
      <c r="P7" s="1039">
        <v>28585.959012707244</v>
      </c>
      <c r="Q7" s="1792">
        <f>'5.2_пр-во КТЭЦ+котельн'!H21</f>
        <v>1.05732</v>
      </c>
      <c r="R7" s="1792">
        <f>'5.2_пр-во КТЭЦ+котельн'!I21</f>
        <v>1.0484099999999998</v>
      </c>
    </row>
    <row r="8" spans="1:18" s="1046" customFormat="1" ht="15" customHeight="1">
      <c r="A8" s="1044"/>
      <c r="B8" s="1045" t="s">
        <v>363</v>
      </c>
      <c r="C8" s="258"/>
      <c r="D8" s="258">
        <v>406</v>
      </c>
      <c r="E8" s="258"/>
      <c r="F8" s="258">
        <v>444</v>
      </c>
      <c r="G8" s="258"/>
      <c r="H8" s="258">
        <v>678</v>
      </c>
      <c r="I8" s="1719">
        <v>71.5</v>
      </c>
      <c r="J8" s="1719">
        <v>71.5</v>
      </c>
      <c r="K8" s="1719">
        <v>75.598380000000006</v>
      </c>
      <c r="L8" s="1719">
        <v>26.459433000000001</v>
      </c>
      <c r="M8" s="1719">
        <v>49.138947000000002</v>
      </c>
      <c r="N8" s="982">
        <v>79.258097575799994</v>
      </c>
      <c r="O8" s="258">
        <v>27.740334151529996</v>
      </c>
      <c r="P8" s="258">
        <v>51.517763424270001</v>
      </c>
      <c r="Q8" s="754"/>
    </row>
    <row r="9" spans="1:18" s="4" customFormat="1" ht="15" customHeight="1">
      <c r="A9" s="17"/>
      <c r="B9" s="580" t="s">
        <v>1134</v>
      </c>
      <c r="C9" s="751"/>
      <c r="D9" s="751">
        <v>0</v>
      </c>
      <c r="E9" s="751"/>
      <c r="F9" s="751">
        <v>0</v>
      </c>
      <c r="G9" s="751"/>
      <c r="H9" s="751">
        <v>0</v>
      </c>
      <c r="I9" s="751">
        <v>0</v>
      </c>
      <c r="J9" s="751">
        <v>0</v>
      </c>
      <c r="K9" s="751">
        <v>0</v>
      </c>
      <c r="L9" s="751">
        <v>0</v>
      </c>
      <c r="M9" s="751">
        <v>0</v>
      </c>
      <c r="N9" s="1606">
        <v>0</v>
      </c>
      <c r="O9" s="752">
        <v>0</v>
      </c>
      <c r="P9" s="752">
        <v>0</v>
      </c>
      <c r="Q9" s="1014"/>
    </row>
    <row r="10" spans="1:18" s="1046" customFormat="1" ht="15" customHeight="1">
      <c r="A10" s="1044"/>
      <c r="B10" s="1045" t="s">
        <v>364</v>
      </c>
      <c r="C10" s="258"/>
      <c r="D10" s="258">
        <v>0</v>
      </c>
      <c r="E10" s="258"/>
      <c r="F10" s="258">
        <v>0</v>
      </c>
      <c r="G10" s="258"/>
      <c r="H10" s="258">
        <v>0</v>
      </c>
      <c r="I10" s="258">
        <v>0</v>
      </c>
      <c r="J10" s="258">
        <v>0</v>
      </c>
      <c r="K10" s="258">
        <v>0</v>
      </c>
      <c r="L10" s="258">
        <v>0</v>
      </c>
      <c r="M10" s="258">
        <v>0</v>
      </c>
      <c r="N10" s="982">
        <v>0</v>
      </c>
      <c r="O10" s="258">
        <v>0</v>
      </c>
      <c r="P10" s="258">
        <v>0</v>
      </c>
      <c r="Q10" s="754"/>
    </row>
    <row r="11" spans="1:18" s="1046" customFormat="1" ht="30">
      <c r="A11" s="1044"/>
      <c r="B11" s="1045" t="s">
        <v>365</v>
      </c>
      <c r="C11" s="258"/>
      <c r="D11" s="258">
        <v>0</v>
      </c>
      <c r="E11" s="258"/>
      <c r="F11" s="258">
        <v>0</v>
      </c>
      <c r="G11" s="258"/>
      <c r="H11" s="258">
        <v>0</v>
      </c>
      <c r="I11" s="258">
        <v>0</v>
      </c>
      <c r="J11" s="258">
        <v>0</v>
      </c>
      <c r="K11" s="258">
        <v>0</v>
      </c>
      <c r="L11" s="258">
        <v>0</v>
      </c>
      <c r="M11" s="258">
        <v>0</v>
      </c>
      <c r="N11" s="982">
        <v>0</v>
      </c>
      <c r="O11" s="258">
        <v>0</v>
      </c>
      <c r="P11" s="258">
        <v>0</v>
      </c>
      <c r="Q11" s="754"/>
    </row>
    <row r="12" spans="1:18" s="1046" customFormat="1" ht="15" customHeight="1">
      <c r="A12" s="1044"/>
      <c r="B12" s="1045" t="s">
        <v>366</v>
      </c>
      <c r="C12" s="258"/>
      <c r="D12" s="258">
        <v>0</v>
      </c>
      <c r="E12" s="258"/>
      <c r="F12" s="258">
        <v>0</v>
      </c>
      <c r="G12" s="258"/>
      <c r="H12" s="258">
        <v>0</v>
      </c>
      <c r="I12" s="258">
        <v>0</v>
      </c>
      <c r="J12" s="258">
        <v>0</v>
      </c>
      <c r="K12" s="258">
        <v>0</v>
      </c>
      <c r="L12" s="258">
        <v>0</v>
      </c>
      <c r="M12" s="258">
        <v>0</v>
      </c>
      <c r="N12" s="982">
        <v>0</v>
      </c>
      <c r="O12" s="258">
        <v>0</v>
      </c>
      <c r="P12" s="258">
        <v>0</v>
      </c>
      <c r="Q12" s="754"/>
    </row>
    <row r="13" spans="1:18" s="1046" customFormat="1" ht="15" customHeight="1">
      <c r="A13" s="1044"/>
      <c r="B13" s="1045" t="s">
        <v>367</v>
      </c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>
        <v>0</v>
      </c>
      <c r="N13" s="982"/>
      <c r="O13" s="258"/>
      <c r="P13" s="258">
        <v>0</v>
      </c>
      <c r="Q13" s="754"/>
    </row>
    <row r="14" spans="1:18" s="1046" customFormat="1" ht="30">
      <c r="A14" s="1044"/>
      <c r="B14" s="1045" t="s">
        <v>368</v>
      </c>
      <c r="C14" s="258"/>
      <c r="D14" s="258">
        <f>'4.10_сбыт_котельн.'!E111</f>
        <v>602</v>
      </c>
      <c r="E14" s="258"/>
      <c r="F14" s="258">
        <v>319</v>
      </c>
      <c r="G14" s="258">
        <v>0</v>
      </c>
      <c r="H14" s="258">
        <v>317</v>
      </c>
      <c r="I14" s="258">
        <v>0</v>
      </c>
      <c r="J14" s="258">
        <v>404</v>
      </c>
      <c r="K14" s="258">
        <v>532</v>
      </c>
      <c r="L14" s="258">
        <v>252</v>
      </c>
      <c r="M14" s="258">
        <v>280</v>
      </c>
      <c r="N14" s="982">
        <v>583</v>
      </c>
      <c r="O14" s="258">
        <v>278</v>
      </c>
      <c r="P14" s="258">
        <v>305</v>
      </c>
      <c r="Q14" s="754"/>
    </row>
    <row r="15" spans="1:18" s="1046" customFormat="1" ht="15" customHeight="1">
      <c r="A15" s="1044"/>
      <c r="B15" s="1045" t="s">
        <v>1135</v>
      </c>
      <c r="C15" s="258">
        <f>C16+C18+C19</f>
        <v>0</v>
      </c>
      <c r="D15" s="258">
        <f t="shared" ref="D15:M15" si="1">D16+D18+D19</f>
        <v>24907</v>
      </c>
      <c r="E15" s="258">
        <f t="shared" si="1"/>
        <v>0</v>
      </c>
      <c r="F15" s="258">
        <v>28892</v>
      </c>
      <c r="G15" s="258">
        <v>0</v>
      </c>
      <c r="H15" s="258">
        <v>32039.851916799995</v>
      </c>
      <c r="I15" s="258">
        <v>0</v>
      </c>
      <c r="J15" s="258">
        <v>31136.9516</v>
      </c>
      <c r="K15" s="258">
        <v>34890.925709999996</v>
      </c>
      <c r="L15" s="258">
        <v>16768.401519999999</v>
      </c>
      <c r="M15" s="258">
        <v>18122.524189999996</v>
      </c>
      <c r="N15" s="982">
        <v>36936.800429999996</v>
      </c>
      <c r="O15" s="258">
        <v>17893.68305</v>
      </c>
      <c r="P15" s="258">
        <v>19043.117379999996</v>
      </c>
      <c r="Q15" s="754"/>
    </row>
    <row r="16" spans="1:18" s="4" customFormat="1" ht="15" customHeight="1">
      <c r="A16" s="17"/>
      <c r="B16" s="581" t="s">
        <v>1136</v>
      </c>
      <c r="C16" s="308"/>
      <c r="D16" s="981">
        <v>24368</v>
      </c>
      <c r="E16" s="981"/>
      <c r="F16" s="981">
        <v>28242</v>
      </c>
      <c r="G16" s="981"/>
      <c r="H16" s="981">
        <v>31033.851916799995</v>
      </c>
      <c r="I16" s="981">
        <v>0</v>
      </c>
      <c r="J16" s="981">
        <v>30541.9516</v>
      </c>
      <c r="K16" s="981">
        <v>34314.925709999996</v>
      </c>
      <c r="L16" s="981">
        <v>16480.401519999999</v>
      </c>
      <c r="M16" s="981">
        <v>17834.524189999996</v>
      </c>
      <c r="N16" s="981">
        <v>36334.800429999996</v>
      </c>
      <c r="O16" s="981">
        <v>17592.68305</v>
      </c>
      <c r="P16" s="981">
        <v>18742.117379999996</v>
      </c>
      <c r="Q16" s="1015"/>
    </row>
    <row r="17" spans="1:18" s="4" customFormat="1" ht="15" customHeight="1">
      <c r="A17" s="17"/>
      <c r="B17" s="580" t="s">
        <v>1134</v>
      </c>
      <c r="C17" s="751"/>
      <c r="D17" s="751">
        <v>0</v>
      </c>
      <c r="E17" s="751"/>
      <c r="F17" s="751">
        <v>0</v>
      </c>
      <c r="G17" s="751"/>
      <c r="H17" s="751">
        <v>0</v>
      </c>
      <c r="I17" s="751">
        <v>0</v>
      </c>
      <c r="J17" s="751">
        <v>0</v>
      </c>
      <c r="K17" s="751">
        <v>0</v>
      </c>
      <c r="L17" s="751">
        <v>0</v>
      </c>
      <c r="M17" s="751">
        <v>0</v>
      </c>
      <c r="N17" s="1606">
        <v>0</v>
      </c>
      <c r="O17" s="751">
        <v>0</v>
      </c>
      <c r="P17" s="751">
        <v>0</v>
      </c>
      <c r="Q17" s="1015"/>
    </row>
    <row r="18" spans="1:18" s="4" customFormat="1" ht="15" customHeight="1">
      <c r="A18" s="17"/>
      <c r="B18" s="581" t="s">
        <v>1137</v>
      </c>
      <c r="C18" s="308"/>
      <c r="D18" s="981">
        <v>539</v>
      </c>
      <c r="E18" s="308"/>
      <c r="F18" s="981">
        <v>615</v>
      </c>
      <c r="G18" s="981"/>
      <c r="H18" s="981">
        <v>967</v>
      </c>
      <c r="I18" s="981">
        <v>0</v>
      </c>
      <c r="J18" s="981">
        <v>595</v>
      </c>
      <c r="K18" s="981">
        <v>576</v>
      </c>
      <c r="L18" s="981">
        <v>288</v>
      </c>
      <c r="M18" s="981">
        <v>288</v>
      </c>
      <c r="N18" s="981">
        <v>602</v>
      </c>
      <c r="O18" s="981">
        <v>301</v>
      </c>
      <c r="P18" s="981">
        <v>301</v>
      </c>
      <c r="Q18" s="1015"/>
    </row>
    <row r="19" spans="1:18" s="4" customFormat="1" ht="15" customHeight="1">
      <c r="A19" s="17"/>
      <c r="B19" s="581" t="s">
        <v>1138</v>
      </c>
      <c r="C19" s="981"/>
      <c r="D19" s="981">
        <v>0</v>
      </c>
      <c r="E19" s="981"/>
      <c r="F19" s="981">
        <v>35</v>
      </c>
      <c r="G19" s="981"/>
      <c r="H19" s="981">
        <v>39</v>
      </c>
      <c r="I19" s="981">
        <v>0</v>
      </c>
      <c r="J19" s="981">
        <v>0</v>
      </c>
      <c r="K19" s="981">
        <v>0</v>
      </c>
      <c r="L19" s="981">
        <v>0</v>
      </c>
      <c r="M19" s="981">
        <v>0</v>
      </c>
      <c r="N19" s="993">
        <v>0</v>
      </c>
      <c r="O19" s="981">
        <v>0</v>
      </c>
      <c r="P19" s="766">
        <v>0</v>
      </c>
      <c r="Q19" s="1016"/>
    </row>
    <row r="20" spans="1:18" s="1046" customFormat="1">
      <c r="A20" s="1044"/>
      <c r="B20" s="1045" t="s">
        <v>369</v>
      </c>
      <c r="C20" s="258"/>
      <c r="D20" s="258">
        <v>7192</v>
      </c>
      <c r="E20" s="258"/>
      <c r="F20" s="258">
        <v>7509</v>
      </c>
      <c r="G20" s="258"/>
      <c r="H20" s="258">
        <v>8815</v>
      </c>
      <c r="I20" s="258"/>
      <c r="J20" s="258">
        <v>7119</v>
      </c>
      <c r="K20" s="258">
        <v>16836</v>
      </c>
      <c r="L20" s="258">
        <v>9260</v>
      </c>
      <c r="M20" s="258">
        <v>7576</v>
      </c>
      <c r="N20" s="982">
        <v>18163</v>
      </c>
      <c r="O20" s="258">
        <v>9990</v>
      </c>
      <c r="P20" s="258">
        <v>8173</v>
      </c>
      <c r="Q20" s="754"/>
    </row>
    <row r="21" spans="1:18" s="4" customFormat="1">
      <c r="A21" s="17"/>
      <c r="B21" s="580" t="s">
        <v>1134</v>
      </c>
      <c r="C21" s="751"/>
      <c r="D21" s="751">
        <v>0</v>
      </c>
      <c r="E21" s="751"/>
      <c r="F21" s="751">
        <v>0</v>
      </c>
      <c r="G21" s="751"/>
      <c r="H21" s="751">
        <v>0</v>
      </c>
      <c r="I21" s="751">
        <v>0</v>
      </c>
      <c r="J21" s="751">
        <v>0</v>
      </c>
      <c r="K21" s="751">
        <v>0</v>
      </c>
      <c r="L21" s="751">
        <v>0</v>
      </c>
      <c r="M21" s="751">
        <v>0</v>
      </c>
      <c r="N21" s="1606">
        <v>0</v>
      </c>
      <c r="O21" s="751">
        <v>0</v>
      </c>
      <c r="P21" s="751">
        <v>0</v>
      </c>
      <c r="Q21" s="1014"/>
    </row>
    <row r="22" spans="1:18" s="1046" customFormat="1" ht="30" customHeight="1">
      <c r="A22" s="1044"/>
      <c r="B22" s="1045" t="s">
        <v>370</v>
      </c>
      <c r="C22" s="258"/>
      <c r="D22" s="258">
        <v>0</v>
      </c>
      <c r="E22" s="258"/>
      <c r="F22" s="258">
        <v>706</v>
      </c>
      <c r="G22" s="258"/>
      <c r="H22" s="258">
        <v>930</v>
      </c>
      <c r="I22" s="258">
        <v>517</v>
      </c>
      <c r="J22" s="258">
        <v>501</v>
      </c>
      <c r="K22" s="258">
        <v>1054</v>
      </c>
      <c r="L22" s="258">
        <v>527</v>
      </c>
      <c r="M22" s="258">
        <v>527</v>
      </c>
      <c r="N22" s="982">
        <v>1087.6933599999998</v>
      </c>
      <c r="O22" s="258">
        <v>543.84667999999988</v>
      </c>
      <c r="P22" s="258">
        <v>543.84667999999988</v>
      </c>
      <c r="Q22" s="754"/>
    </row>
    <row r="23" spans="1:18" s="1046" customFormat="1" ht="45">
      <c r="A23" s="1044"/>
      <c r="B23" s="1045" t="s">
        <v>371</v>
      </c>
      <c r="C23" s="258"/>
      <c r="D23" s="258">
        <v>0</v>
      </c>
      <c r="E23" s="258"/>
      <c r="F23" s="258">
        <v>0</v>
      </c>
      <c r="G23" s="258"/>
      <c r="H23" s="258">
        <v>0</v>
      </c>
      <c r="I23" s="258">
        <v>0</v>
      </c>
      <c r="J23" s="258">
        <v>0</v>
      </c>
      <c r="K23" s="258">
        <v>0</v>
      </c>
      <c r="L23" s="258">
        <v>0</v>
      </c>
      <c r="M23" s="258">
        <v>0</v>
      </c>
      <c r="N23" s="982">
        <v>0</v>
      </c>
      <c r="O23" s="258">
        <v>0</v>
      </c>
      <c r="P23" s="258">
        <v>0</v>
      </c>
      <c r="Q23" s="754"/>
    </row>
    <row r="24" spans="1:18" s="1046" customFormat="1" ht="60">
      <c r="A24" s="1044"/>
      <c r="B24" s="1045" t="s">
        <v>372</v>
      </c>
      <c r="C24" s="258"/>
      <c r="D24" s="258">
        <v>1569</v>
      </c>
      <c r="E24" s="258"/>
      <c r="F24" s="258">
        <v>2069</v>
      </c>
      <c r="G24" s="258">
        <v>0</v>
      </c>
      <c r="H24" s="258">
        <v>2553</v>
      </c>
      <c r="I24" s="1719">
        <v>21</v>
      </c>
      <c r="J24" s="1719">
        <v>21</v>
      </c>
      <c r="K24" s="1719">
        <v>22.203720000000001</v>
      </c>
      <c r="L24" s="1719">
        <v>7.7713019999999995</v>
      </c>
      <c r="M24" s="1719">
        <v>14.432418000000002</v>
      </c>
      <c r="N24" s="982">
        <v>23.278602085199996</v>
      </c>
      <c r="O24" s="258">
        <v>8.1475107298199987</v>
      </c>
      <c r="P24" s="258">
        <v>15.131091355379997</v>
      </c>
      <c r="Q24" s="754"/>
    </row>
    <row r="25" spans="1:18" s="1046" customFormat="1" ht="90">
      <c r="A25" s="1044"/>
      <c r="B25" s="1045" t="s">
        <v>373</v>
      </c>
      <c r="C25" s="258">
        <f>C27+C28+C29+C55</f>
        <v>0</v>
      </c>
      <c r="D25" s="258">
        <f t="shared" ref="D25" si="2">D27+D28+D29+D55</f>
        <v>9310.3342000000011</v>
      </c>
      <c r="E25" s="258">
        <f>E27+E28+E29</f>
        <v>0</v>
      </c>
      <c r="F25" s="258">
        <v>12055.982319999997</v>
      </c>
      <c r="G25" s="258">
        <v>0</v>
      </c>
      <c r="H25" s="258">
        <v>18101.000410000001</v>
      </c>
      <c r="I25" s="1719">
        <v>16</v>
      </c>
      <c r="J25" s="1719">
        <v>16</v>
      </c>
      <c r="K25" s="1719">
        <v>16.917120000000001</v>
      </c>
      <c r="L25" s="1719">
        <v>8.4585600000000003</v>
      </c>
      <c r="M25" s="1719">
        <v>8.4585600000000003</v>
      </c>
      <c r="N25" s="982">
        <v>17.736077779199999</v>
      </c>
      <c r="O25" s="982">
        <v>8.8680388895999993</v>
      </c>
      <c r="P25" s="982">
        <v>8.8680388895999993</v>
      </c>
      <c r="Q25" s="754"/>
    </row>
    <row r="26" spans="1:18" s="4" customFormat="1">
      <c r="A26" s="17"/>
      <c r="B26" s="51" t="s">
        <v>70</v>
      </c>
      <c r="C26" s="241"/>
      <c r="D26" s="241"/>
      <c r="E26" s="241"/>
      <c r="F26" s="241"/>
      <c r="G26" s="241"/>
      <c r="H26" s="241"/>
      <c r="I26" s="241"/>
      <c r="J26" s="241"/>
      <c r="K26" s="241"/>
      <c r="L26" s="241"/>
      <c r="M26" s="241"/>
      <c r="N26" s="982"/>
      <c r="O26" s="241"/>
      <c r="P26" s="241"/>
      <c r="Q26" s="749"/>
    </row>
    <row r="27" spans="1:18" s="4" customFormat="1">
      <c r="A27" s="17"/>
      <c r="B27" s="581" t="s">
        <v>1275</v>
      </c>
      <c r="C27" s="766"/>
      <c r="D27" s="766">
        <v>6</v>
      </c>
      <c r="E27" s="766"/>
      <c r="F27" s="766">
        <v>3</v>
      </c>
      <c r="G27" s="766"/>
      <c r="H27" s="766">
        <v>0</v>
      </c>
      <c r="I27" s="766">
        <v>0</v>
      </c>
      <c r="J27" s="766">
        <v>0</v>
      </c>
      <c r="K27" s="766">
        <v>0</v>
      </c>
      <c r="L27" s="766">
        <v>0</v>
      </c>
      <c r="M27" s="766">
        <v>0</v>
      </c>
      <c r="N27" s="993">
        <v>0</v>
      </c>
      <c r="O27" s="766">
        <v>0</v>
      </c>
      <c r="P27" s="766">
        <v>0</v>
      </c>
      <c r="Q27" s="1016"/>
    </row>
    <row r="28" spans="1:18" s="4" customFormat="1">
      <c r="A28" s="17"/>
      <c r="B28" s="581" t="s">
        <v>1276</v>
      </c>
      <c r="C28" s="766"/>
      <c r="D28" s="766">
        <v>0</v>
      </c>
      <c r="E28" s="766"/>
      <c r="F28" s="766">
        <v>34</v>
      </c>
      <c r="G28" s="766"/>
      <c r="H28" s="766">
        <v>32</v>
      </c>
      <c r="I28" s="1720">
        <v>16</v>
      </c>
      <c r="J28" s="1720">
        <v>16</v>
      </c>
      <c r="K28" s="1720">
        <v>16.917120000000001</v>
      </c>
      <c r="L28" s="1720">
        <v>8.4585600000000003</v>
      </c>
      <c r="M28" s="1720">
        <v>8.4585600000000003</v>
      </c>
      <c r="N28" s="1720">
        <v>17.736077779199999</v>
      </c>
      <c r="O28" s="1720">
        <v>8.8680388895999993</v>
      </c>
      <c r="P28" s="1720">
        <v>8.8680388895999993</v>
      </c>
      <c r="Q28" s="1016"/>
    </row>
    <row r="29" spans="1:18" s="4" customFormat="1">
      <c r="A29" s="17"/>
      <c r="B29" s="581" t="s">
        <v>1559</v>
      </c>
      <c r="C29" s="766">
        <f>C30+C31</f>
        <v>0</v>
      </c>
      <c r="D29" s="766">
        <f t="shared" ref="D29:H29" si="3">D30+D31</f>
        <v>9304.3342000000011</v>
      </c>
      <c r="E29" s="766">
        <f t="shared" si="3"/>
        <v>0</v>
      </c>
      <c r="F29" s="766">
        <v>12018.982319999997</v>
      </c>
      <c r="G29" s="766">
        <v>0</v>
      </c>
      <c r="H29" s="766">
        <v>18069.000410000001</v>
      </c>
      <c r="I29" s="1720">
        <v>0</v>
      </c>
      <c r="J29" s="1720">
        <v>0</v>
      </c>
      <c r="K29" s="1720">
        <v>0</v>
      </c>
      <c r="L29" s="1720">
        <v>0</v>
      </c>
      <c r="M29" s="1720">
        <v>0</v>
      </c>
      <c r="N29" s="1720">
        <v>0</v>
      </c>
      <c r="O29" s="1720">
        <v>0</v>
      </c>
      <c r="P29" s="1720">
        <v>0</v>
      </c>
      <c r="Q29" s="1016"/>
    </row>
    <row r="30" spans="1:18" s="4" customFormat="1" hidden="1" outlineLevel="1">
      <c r="A30" s="737" t="s">
        <v>89</v>
      </c>
      <c r="B30" s="738" t="s">
        <v>1244</v>
      </c>
      <c r="C30" s="746"/>
      <c r="D30" s="746">
        <v>780</v>
      </c>
      <c r="E30" s="746"/>
      <c r="F30" s="746">
        <v>549</v>
      </c>
      <c r="G30" s="746"/>
      <c r="H30" s="746">
        <v>545</v>
      </c>
      <c r="I30" s="746"/>
      <c r="J30" s="746"/>
      <c r="K30" s="746"/>
      <c r="L30" s="746">
        <v>0</v>
      </c>
      <c r="M30" s="746">
        <v>0</v>
      </c>
      <c r="N30" s="1607"/>
      <c r="O30" s="746">
        <v>0</v>
      </c>
      <c r="P30" s="746">
        <v>0</v>
      </c>
      <c r="Q30" s="762"/>
      <c r="R30" s="1"/>
    </row>
    <row r="31" spans="1:18" s="341" customFormat="1" hidden="1" outlineLevel="1">
      <c r="A31" s="760" t="s">
        <v>91</v>
      </c>
      <c r="B31" s="761" t="s">
        <v>1245</v>
      </c>
      <c r="C31" s="746">
        <f t="shared" ref="C31:D31" si="4">SUM(C32:C43)+C45</f>
        <v>0</v>
      </c>
      <c r="D31" s="746">
        <f t="shared" si="4"/>
        <v>8524.3342000000011</v>
      </c>
      <c r="E31" s="746">
        <f>SUM(E32:E45)</f>
        <v>0</v>
      </c>
      <c r="F31" s="746">
        <v>11469.982319999997</v>
      </c>
      <c r="G31" s="746">
        <v>0</v>
      </c>
      <c r="H31" s="746">
        <v>17524.000410000001</v>
      </c>
      <c r="I31" s="746">
        <v>0</v>
      </c>
      <c r="J31" s="746">
        <v>0</v>
      </c>
      <c r="K31" s="746">
        <v>0</v>
      </c>
      <c r="L31" s="746">
        <v>0</v>
      </c>
      <c r="M31" s="746">
        <v>0</v>
      </c>
      <c r="N31" s="746">
        <v>0</v>
      </c>
      <c r="O31" s="746">
        <v>0</v>
      </c>
      <c r="P31" s="746">
        <v>0</v>
      </c>
      <c r="Q31" s="1017"/>
      <c r="R31" s="763"/>
    </row>
    <row r="32" spans="1:18" s="4" customFormat="1" ht="26.25" hidden="1" outlineLevel="1">
      <c r="A32" s="739" t="s">
        <v>1044</v>
      </c>
      <c r="B32" s="740" t="s">
        <v>1247</v>
      </c>
      <c r="C32" s="740"/>
      <c r="D32" s="750">
        <f>2361*0.3649</f>
        <v>861.52890000000002</v>
      </c>
      <c r="E32" s="750"/>
      <c r="F32" s="750">
        <v>885.00707999999997</v>
      </c>
      <c r="G32" s="750"/>
      <c r="H32" s="750">
        <v>1260.52521</v>
      </c>
      <c r="I32" s="750"/>
      <c r="J32" s="750"/>
      <c r="K32" s="750"/>
      <c r="L32" s="750">
        <v>0</v>
      </c>
      <c r="M32" s="750">
        <v>0</v>
      </c>
      <c r="N32" s="1608"/>
      <c r="O32" s="750">
        <v>0</v>
      </c>
      <c r="P32" s="750">
        <v>0</v>
      </c>
      <c r="Q32" s="1018"/>
      <c r="R32" s="1"/>
    </row>
    <row r="33" spans="1:18" s="4" customFormat="1" ht="26.25" hidden="1" outlineLevel="1">
      <c r="A33" s="739" t="s">
        <v>1043</v>
      </c>
      <c r="B33" s="740" t="s">
        <v>1249</v>
      </c>
      <c r="C33" s="740"/>
      <c r="D33" s="750"/>
      <c r="E33" s="750"/>
      <c r="F33" s="1415">
        <v>0.40355999999999997</v>
      </c>
      <c r="G33" s="750"/>
      <c r="H33" s="750"/>
      <c r="I33" s="750"/>
      <c r="J33" s="750"/>
      <c r="K33" s="750"/>
      <c r="L33" s="750">
        <v>0</v>
      </c>
      <c r="M33" s="750">
        <v>0</v>
      </c>
      <c r="N33" s="1608"/>
      <c r="O33" s="750">
        <v>0</v>
      </c>
      <c r="P33" s="750">
        <v>0</v>
      </c>
      <c r="Q33" s="1018"/>
      <c r="R33" s="1"/>
    </row>
    <row r="34" spans="1:18" s="4" customFormat="1" hidden="1" outlineLevel="1">
      <c r="A34" s="741" t="s">
        <v>1540</v>
      </c>
      <c r="B34" s="740" t="s">
        <v>1250</v>
      </c>
      <c r="C34" s="740"/>
      <c r="D34" s="750">
        <f>250*0.3649</f>
        <v>91.224999999999994</v>
      </c>
      <c r="E34" s="750"/>
      <c r="F34" s="750">
        <v>108.15407999999999</v>
      </c>
      <c r="G34" s="750"/>
      <c r="H34" s="750">
        <v>166.23474000000002</v>
      </c>
      <c r="I34" s="750"/>
      <c r="J34" s="750"/>
      <c r="K34" s="750"/>
      <c r="L34" s="750">
        <v>0</v>
      </c>
      <c r="M34" s="750">
        <v>0</v>
      </c>
      <c r="N34" s="1608"/>
      <c r="O34" s="750">
        <v>0</v>
      </c>
      <c r="P34" s="750">
        <v>0</v>
      </c>
      <c r="Q34" s="1018"/>
      <c r="R34" s="1"/>
    </row>
    <row r="35" spans="1:18" s="4" customFormat="1" ht="15" hidden="1" customHeight="1" outlineLevel="1">
      <c r="A35" s="739" t="s">
        <v>1541</v>
      </c>
      <c r="B35" s="740" t="s">
        <v>1251</v>
      </c>
      <c r="C35" s="740"/>
      <c r="D35" s="750">
        <f>2156*0.3649</f>
        <v>786.72440000000006</v>
      </c>
      <c r="E35" s="750"/>
      <c r="F35" s="750">
        <v>775.23875999999996</v>
      </c>
      <c r="G35" s="750"/>
      <c r="H35" s="750">
        <v>807.35025000000007</v>
      </c>
      <c r="I35" s="750"/>
      <c r="J35" s="750"/>
      <c r="K35" s="750"/>
      <c r="L35" s="750">
        <v>0</v>
      </c>
      <c r="M35" s="750">
        <v>0</v>
      </c>
      <c r="N35" s="1608"/>
      <c r="O35" s="750">
        <v>0</v>
      </c>
      <c r="P35" s="750">
        <v>0</v>
      </c>
      <c r="Q35" s="1018"/>
      <c r="R35" s="1"/>
    </row>
    <row r="36" spans="1:18" s="4" customFormat="1" hidden="1" outlineLevel="1">
      <c r="A36" s="739" t="s">
        <v>1542</v>
      </c>
      <c r="B36" s="740" t="s">
        <v>1252</v>
      </c>
      <c r="C36" s="740"/>
      <c r="D36" s="750">
        <f>8037*0.3649</f>
        <v>2932.7013000000002</v>
      </c>
      <c r="E36" s="750"/>
      <c r="F36" s="750">
        <v>4110.6621599999999</v>
      </c>
      <c r="G36" s="750"/>
      <c r="H36" s="750">
        <v>6083.4503100000002</v>
      </c>
      <c r="I36" s="750"/>
      <c r="J36" s="750"/>
      <c r="K36" s="750"/>
      <c r="L36" s="750">
        <v>0</v>
      </c>
      <c r="M36" s="750">
        <v>0</v>
      </c>
      <c r="N36" s="1608"/>
      <c r="O36" s="750">
        <v>0</v>
      </c>
      <c r="P36" s="750">
        <v>0</v>
      </c>
      <c r="Q36" s="1018"/>
      <c r="R36" s="1"/>
    </row>
    <row r="37" spans="1:18" s="4" customFormat="1" hidden="1" outlineLevel="1">
      <c r="A37" s="739" t="s">
        <v>1543</v>
      </c>
      <c r="B37" s="740" t="s">
        <v>1253</v>
      </c>
      <c r="C37" s="740"/>
      <c r="D37" s="750">
        <f>2640*0.3649</f>
        <v>963.33600000000001</v>
      </c>
      <c r="E37" s="750"/>
      <c r="F37" s="750">
        <v>50.041439999999994</v>
      </c>
      <c r="G37" s="750"/>
      <c r="H37" s="750">
        <v>71.47035000000001</v>
      </c>
      <c r="I37" s="750"/>
      <c r="J37" s="750"/>
      <c r="K37" s="750"/>
      <c r="L37" s="750">
        <v>0</v>
      </c>
      <c r="M37" s="750">
        <v>0</v>
      </c>
      <c r="N37" s="1608"/>
      <c r="O37" s="750">
        <v>0</v>
      </c>
      <c r="P37" s="750">
        <v>0</v>
      </c>
      <c r="Q37" s="1018"/>
      <c r="R37" s="1"/>
    </row>
    <row r="38" spans="1:18" s="4" customFormat="1" hidden="1" outlineLevel="1">
      <c r="A38" s="739" t="s">
        <v>1544</v>
      </c>
      <c r="B38" s="742" t="s">
        <v>1254</v>
      </c>
      <c r="C38" s="742"/>
      <c r="D38" s="750">
        <f>495*0.3649</f>
        <v>180.62549999999999</v>
      </c>
      <c r="E38" s="750"/>
      <c r="F38" s="750">
        <v>165.45959999999999</v>
      </c>
      <c r="G38" s="750"/>
      <c r="H38" s="750">
        <v>16.941120000000002</v>
      </c>
      <c r="I38" s="750"/>
      <c r="J38" s="750"/>
      <c r="K38" s="750"/>
      <c r="L38" s="750">
        <v>0</v>
      </c>
      <c r="M38" s="750">
        <v>0</v>
      </c>
      <c r="N38" s="1608"/>
      <c r="O38" s="750">
        <v>0</v>
      </c>
      <c r="P38" s="750">
        <v>0</v>
      </c>
      <c r="Q38" s="1018"/>
      <c r="R38" s="1"/>
    </row>
    <row r="39" spans="1:18" s="4" customFormat="1" hidden="1" outlineLevel="1">
      <c r="A39" s="739" t="s">
        <v>1545</v>
      </c>
      <c r="B39" s="740" t="s">
        <v>1255</v>
      </c>
      <c r="C39" s="740"/>
      <c r="D39" s="750">
        <f>302*0.3649</f>
        <v>110.1998</v>
      </c>
      <c r="E39" s="750"/>
      <c r="F39" s="750">
        <v>117.83951999999999</v>
      </c>
      <c r="G39" s="750"/>
      <c r="H39" s="750">
        <v>123.35253000000002</v>
      </c>
      <c r="I39" s="750"/>
      <c r="J39" s="750"/>
      <c r="K39" s="750"/>
      <c r="L39" s="750">
        <v>0</v>
      </c>
      <c r="M39" s="750">
        <v>0</v>
      </c>
      <c r="N39" s="1608"/>
      <c r="O39" s="750">
        <v>0</v>
      </c>
      <c r="P39" s="750">
        <v>0</v>
      </c>
      <c r="Q39" s="1018"/>
      <c r="R39" s="1"/>
    </row>
    <row r="40" spans="1:18" s="4" customFormat="1" ht="25.5" hidden="1" outlineLevel="1">
      <c r="A40" s="739" t="s">
        <v>1546</v>
      </c>
      <c r="B40" s="742" t="s">
        <v>1256</v>
      </c>
      <c r="C40" s="742"/>
      <c r="D40" s="750">
        <f>529*0.3649</f>
        <v>193.03210000000001</v>
      </c>
      <c r="E40" s="750"/>
      <c r="F40" s="750">
        <v>121.87512</v>
      </c>
      <c r="G40" s="750"/>
      <c r="H40" s="750">
        <v>187.41114000000002</v>
      </c>
      <c r="I40" s="750"/>
      <c r="J40" s="750"/>
      <c r="K40" s="750"/>
      <c r="L40" s="750">
        <v>0</v>
      </c>
      <c r="M40" s="750">
        <v>0</v>
      </c>
      <c r="N40" s="1608"/>
      <c r="O40" s="750">
        <v>0</v>
      </c>
      <c r="P40" s="750">
        <v>0</v>
      </c>
      <c r="Q40" s="1018"/>
      <c r="R40" s="1"/>
    </row>
    <row r="41" spans="1:18" s="4" customFormat="1" hidden="1" outlineLevel="1">
      <c r="A41" s="739" t="s">
        <v>1547</v>
      </c>
      <c r="B41" s="742" t="s">
        <v>1257</v>
      </c>
      <c r="C41" s="742"/>
      <c r="D41" s="750">
        <f>3908*0.3649</f>
        <v>1426.0291999999999</v>
      </c>
      <c r="E41" s="750"/>
      <c r="F41" s="750">
        <v>4120.7511599999998</v>
      </c>
      <c r="G41" s="750"/>
      <c r="H41" s="750">
        <v>5123.6299800000006</v>
      </c>
      <c r="I41" s="750"/>
      <c r="J41" s="750"/>
      <c r="K41" s="750"/>
      <c r="L41" s="750">
        <v>0</v>
      </c>
      <c r="M41" s="750">
        <v>0</v>
      </c>
      <c r="N41" s="1608"/>
      <c r="O41" s="750">
        <v>0</v>
      </c>
      <c r="P41" s="750">
        <v>0</v>
      </c>
      <c r="Q41" s="1018"/>
      <c r="R41" s="1"/>
    </row>
    <row r="42" spans="1:18" s="4" customFormat="1" hidden="1" outlineLevel="1">
      <c r="A42" s="741" t="s">
        <v>1548</v>
      </c>
      <c r="B42" s="742" t="s">
        <v>1556</v>
      </c>
      <c r="C42" s="742"/>
      <c r="D42" s="750">
        <f>363*0.3649</f>
        <v>132.45869999999999</v>
      </c>
      <c r="E42" s="750"/>
      <c r="F42" s="750">
        <v>529.47071999999991</v>
      </c>
      <c r="G42" s="750"/>
      <c r="H42" s="750">
        <v>408.70452000000006</v>
      </c>
      <c r="I42" s="750"/>
      <c r="J42" s="750"/>
      <c r="K42" s="750"/>
      <c r="L42" s="750">
        <v>0</v>
      </c>
      <c r="M42" s="750">
        <v>0</v>
      </c>
      <c r="N42" s="1608"/>
      <c r="O42" s="750">
        <v>0</v>
      </c>
      <c r="P42" s="750">
        <v>0</v>
      </c>
      <c r="Q42" s="1018"/>
      <c r="R42" s="1"/>
    </row>
    <row r="43" spans="1:18" s="4" customFormat="1" hidden="1" outlineLevel="1">
      <c r="A43" s="741" t="s">
        <v>1549</v>
      </c>
      <c r="B43" s="742" t="s">
        <v>1258</v>
      </c>
      <c r="C43" s="742"/>
      <c r="D43" s="750">
        <f>349*0.3649</f>
        <v>127.3501</v>
      </c>
      <c r="E43" s="750"/>
      <c r="F43" s="750">
        <v>4.0355999999999996</v>
      </c>
      <c r="G43" s="750"/>
      <c r="H43" s="750">
        <v>0</v>
      </c>
      <c r="I43" s="750"/>
      <c r="J43" s="750"/>
      <c r="K43" s="750"/>
      <c r="L43" s="750">
        <v>0</v>
      </c>
      <c r="M43" s="750">
        <v>0</v>
      </c>
      <c r="N43" s="1608"/>
      <c r="O43" s="750">
        <v>0</v>
      </c>
      <c r="P43" s="750">
        <v>0</v>
      </c>
      <c r="Q43" s="1018"/>
      <c r="R43" s="1"/>
    </row>
    <row r="44" spans="1:18" s="4" customFormat="1" hidden="1" outlineLevel="1">
      <c r="A44" s="764" t="s">
        <v>1555</v>
      </c>
      <c r="B44" s="742" t="s">
        <v>1890</v>
      </c>
      <c r="C44" s="742"/>
      <c r="D44" s="750">
        <v>127</v>
      </c>
      <c r="E44" s="750"/>
      <c r="F44" s="750"/>
      <c r="G44" s="750"/>
      <c r="H44" s="750"/>
      <c r="I44" s="750"/>
      <c r="J44" s="750"/>
      <c r="K44" s="750"/>
      <c r="L44" s="750">
        <v>0</v>
      </c>
      <c r="M44" s="750">
        <v>0</v>
      </c>
      <c r="N44" s="1609"/>
      <c r="O44" s="998">
        <v>0</v>
      </c>
      <c r="P44" s="998">
        <v>0</v>
      </c>
      <c r="Q44" s="1019"/>
      <c r="R44" s="1"/>
    </row>
    <row r="45" spans="1:18" s="341" customFormat="1" hidden="1" outlineLevel="1">
      <c r="A45" s="764" t="s">
        <v>1889</v>
      </c>
      <c r="B45" s="765" t="s">
        <v>1259</v>
      </c>
      <c r="C45" s="746">
        <f>SUM(C46:C55)</f>
        <v>0</v>
      </c>
      <c r="D45" s="746">
        <f t="shared" ref="D45:M45" si="5">SUM(D46:D55)</f>
        <v>719.1232</v>
      </c>
      <c r="E45" s="746">
        <f t="shared" si="5"/>
        <v>0</v>
      </c>
      <c r="F45" s="746">
        <v>481.04351999999994</v>
      </c>
      <c r="G45" s="746">
        <v>0</v>
      </c>
      <c r="H45" s="746">
        <v>3274.9302600000001</v>
      </c>
      <c r="I45" s="746">
        <v>0</v>
      </c>
      <c r="J45" s="746">
        <v>0</v>
      </c>
      <c r="K45" s="746">
        <v>0</v>
      </c>
      <c r="L45" s="746">
        <v>0</v>
      </c>
      <c r="M45" s="746">
        <v>0</v>
      </c>
      <c r="N45" s="1607">
        <v>0</v>
      </c>
      <c r="O45" s="746">
        <v>0</v>
      </c>
      <c r="P45" s="746">
        <v>0</v>
      </c>
      <c r="Q45" s="1017"/>
      <c r="R45" s="763"/>
    </row>
    <row r="46" spans="1:18" s="4" customFormat="1" hidden="1" outlineLevel="1">
      <c r="A46" s="744"/>
      <c r="B46" s="745" t="s">
        <v>1260</v>
      </c>
      <c r="C46" s="745"/>
      <c r="D46" s="750">
        <f>237*0.3649</f>
        <v>86.481300000000005</v>
      </c>
      <c r="E46" s="998"/>
      <c r="F46" s="750">
        <v>100.08287999999999</v>
      </c>
      <c r="G46" s="998"/>
      <c r="H46" s="750">
        <v>89.999700000000004</v>
      </c>
      <c r="I46" s="750"/>
      <c r="J46" s="750"/>
      <c r="K46" s="750"/>
      <c r="L46" s="750">
        <v>0</v>
      </c>
      <c r="M46" s="750">
        <v>0</v>
      </c>
      <c r="N46" s="1608"/>
      <c r="O46" s="998">
        <v>0</v>
      </c>
      <c r="P46" s="998">
        <v>0</v>
      </c>
      <c r="Q46" s="1019"/>
      <c r="R46" s="1"/>
    </row>
    <row r="47" spans="1:18" s="4" customFormat="1" hidden="1" outlineLevel="1">
      <c r="A47" s="744"/>
      <c r="B47" s="743" t="s">
        <v>1261</v>
      </c>
      <c r="C47" s="743"/>
      <c r="D47" s="750"/>
      <c r="E47" s="998"/>
      <c r="F47" s="750"/>
      <c r="G47" s="998"/>
      <c r="H47" s="750"/>
      <c r="I47" s="750"/>
      <c r="J47" s="750"/>
      <c r="K47" s="750"/>
      <c r="L47" s="750">
        <v>0</v>
      </c>
      <c r="M47" s="750">
        <v>0</v>
      </c>
      <c r="N47" s="1608"/>
      <c r="O47" s="998">
        <v>0</v>
      </c>
      <c r="P47" s="998">
        <v>0</v>
      </c>
      <c r="Q47" s="1019"/>
      <c r="R47" s="1"/>
    </row>
    <row r="48" spans="1:18" s="4" customFormat="1" hidden="1" outlineLevel="1">
      <c r="A48" s="744"/>
      <c r="B48" s="743" t="s">
        <v>1262</v>
      </c>
      <c r="C48" s="743"/>
      <c r="D48" s="750">
        <f>427*0.3649</f>
        <v>155.81229999999999</v>
      </c>
      <c r="E48" s="998"/>
      <c r="F48" s="750">
        <v>263.92823999999996</v>
      </c>
      <c r="G48" s="998"/>
      <c r="H48" s="750">
        <v>359.46939000000003</v>
      </c>
      <c r="I48" s="750"/>
      <c r="J48" s="750"/>
      <c r="K48" s="750"/>
      <c r="L48" s="750">
        <v>0</v>
      </c>
      <c r="M48" s="750">
        <v>0</v>
      </c>
      <c r="N48" s="1608"/>
      <c r="O48" s="998">
        <v>0</v>
      </c>
      <c r="P48" s="998">
        <v>0</v>
      </c>
      <c r="Q48" s="1019"/>
      <c r="R48" s="1"/>
    </row>
    <row r="49" spans="1:18" s="4" customFormat="1" hidden="1" outlineLevel="1">
      <c r="A49" s="744"/>
      <c r="B49" s="743" t="s">
        <v>1263</v>
      </c>
      <c r="C49" s="743"/>
      <c r="D49" s="750">
        <f>1203*0.3649</f>
        <v>438.97469999999998</v>
      </c>
      <c r="E49" s="998"/>
      <c r="F49" s="750">
        <v>88.379639999999995</v>
      </c>
      <c r="G49" s="998"/>
      <c r="H49" s="750">
        <v>36.529290000000003</v>
      </c>
      <c r="I49" s="750"/>
      <c r="J49" s="750"/>
      <c r="K49" s="750"/>
      <c r="L49" s="750">
        <v>0</v>
      </c>
      <c r="M49" s="750">
        <v>0</v>
      </c>
      <c r="N49" s="1608"/>
      <c r="O49" s="998">
        <v>0</v>
      </c>
      <c r="P49" s="998">
        <v>0</v>
      </c>
      <c r="Q49" s="1019"/>
      <c r="R49" s="1"/>
    </row>
    <row r="50" spans="1:18" s="4" customFormat="1" ht="25.5" hidden="1" outlineLevel="1">
      <c r="A50" s="744"/>
      <c r="B50" s="743" t="s">
        <v>1891</v>
      </c>
      <c r="C50" s="743"/>
      <c r="D50" s="750">
        <f>101*0.3649+1</f>
        <v>37.854900000000001</v>
      </c>
      <c r="E50" s="998"/>
      <c r="F50" s="750">
        <v>28.652759999999997</v>
      </c>
      <c r="G50" s="998"/>
      <c r="H50" s="750">
        <v>1371.1719000000001</v>
      </c>
      <c r="I50" s="750"/>
      <c r="J50" s="750"/>
      <c r="K50" s="750"/>
      <c r="L50" s="750">
        <v>0</v>
      </c>
      <c r="M50" s="750">
        <v>0</v>
      </c>
      <c r="N50" s="1608"/>
      <c r="O50" s="998">
        <v>0</v>
      </c>
      <c r="P50" s="998">
        <v>0</v>
      </c>
      <c r="Q50" s="1019"/>
      <c r="R50" s="1"/>
    </row>
    <row r="51" spans="1:18" s="4" customFormat="1" ht="25.5" hidden="1" outlineLevel="1">
      <c r="A51" s="744"/>
      <c r="B51" s="743" t="s">
        <v>1264</v>
      </c>
      <c r="C51" s="743"/>
      <c r="D51" s="998"/>
      <c r="E51" s="998"/>
      <c r="F51" s="998"/>
      <c r="G51" s="998"/>
      <c r="H51" s="308"/>
      <c r="I51" s="998"/>
      <c r="J51" s="998"/>
      <c r="K51" s="998"/>
      <c r="L51" s="998">
        <v>0</v>
      </c>
      <c r="M51" s="998">
        <v>0</v>
      </c>
      <c r="N51" s="1609"/>
      <c r="O51" s="998">
        <v>0</v>
      </c>
      <c r="P51" s="998">
        <v>0</v>
      </c>
      <c r="Q51" s="1019"/>
      <c r="R51" s="1"/>
    </row>
    <row r="52" spans="1:18" s="4" customFormat="1" hidden="1" outlineLevel="1">
      <c r="A52" s="744"/>
      <c r="B52" s="1391" t="s">
        <v>1883</v>
      </c>
      <c r="C52" s="743"/>
      <c r="D52" s="308"/>
      <c r="E52" s="308"/>
      <c r="F52" s="308"/>
      <c r="G52" s="308"/>
      <c r="H52" s="750"/>
      <c r="I52" s="308"/>
      <c r="J52" s="308"/>
      <c r="K52" s="308"/>
      <c r="L52" s="308">
        <v>0</v>
      </c>
      <c r="M52" s="308">
        <v>0</v>
      </c>
      <c r="N52" s="982"/>
      <c r="O52" s="998">
        <v>0</v>
      </c>
      <c r="P52" s="998">
        <v>0</v>
      </c>
      <c r="Q52" s="762"/>
      <c r="R52" s="1"/>
    </row>
    <row r="53" spans="1:18" s="4" customFormat="1" hidden="1" outlineLevel="1">
      <c r="A53" s="744"/>
      <c r="B53" s="743" t="s">
        <v>1884</v>
      </c>
      <c r="C53" s="743"/>
      <c r="D53" s="308"/>
      <c r="E53" s="308"/>
      <c r="F53" s="308"/>
      <c r="G53" s="308"/>
      <c r="H53" s="750">
        <v>1417.75998</v>
      </c>
      <c r="I53" s="308"/>
      <c r="J53" s="308"/>
      <c r="K53" s="308"/>
      <c r="L53" s="308">
        <v>0</v>
      </c>
      <c r="M53" s="308">
        <v>0</v>
      </c>
      <c r="N53" s="982"/>
      <c r="O53" s="998">
        <v>0</v>
      </c>
      <c r="P53" s="998">
        <v>0</v>
      </c>
      <c r="Q53" s="762"/>
      <c r="R53" s="1"/>
    </row>
    <row r="54" spans="1:18" s="4" customFormat="1" ht="25.5" hidden="1" outlineLevel="1">
      <c r="A54" s="17"/>
      <c r="B54" s="743" t="s">
        <v>1885</v>
      </c>
      <c r="C54" s="241"/>
      <c r="D54" s="241"/>
      <c r="E54" s="241"/>
      <c r="F54" s="308"/>
      <c r="G54" s="241"/>
      <c r="H54" s="750"/>
      <c r="I54" s="308"/>
      <c r="J54" s="308"/>
      <c r="K54" s="308"/>
      <c r="L54" s="308">
        <v>0</v>
      </c>
      <c r="M54" s="308">
        <v>0</v>
      </c>
      <c r="N54" s="982"/>
      <c r="O54" s="998">
        <v>0</v>
      </c>
      <c r="P54" s="998">
        <v>0</v>
      </c>
      <c r="Q54" s="749"/>
    </row>
    <row r="55" spans="1:18" s="341" customFormat="1" ht="25.5" hidden="1" outlineLevel="1">
      <c r="A55" s="339"/>
      <c r="B55" s="743" t="s">
        <v>1886</v>
      </c>
      <c r="C55" s="308"/>
      <c r="D55" s="308"/>
      <c r="E55" s="308"/>
      <c r="F55" s="308"/>
      <c r="G55" s="308"/>
      <c r="H55" s="750"/>
      <c r="I55" s="308"/>
      <c r="J55" s="308"/>
      <c r="K55" s="308"/>
      <c r="L55" s="308">
        <v>0</v>
      </c>
      <c r="M55" s="308">
        <v>0</v>
      </c>
      <c r="N55" s="982"/>
      <c r="O55" s="998">
        <v>0</v>
      </c>
      <c r="P55" s="998">
        <v>0</v>
      </c>
      <c r="Q55" s="762"/>
    </row>
    <row r="56" spans="1:18" s="1046" customFormat="1" ht="75" collapsed="1">
      <c r="A56" s="1044"/>
      <c r="B56" s="1045" t="s">
        <v>374</v>
      </c>
      <c r="C56" s="258"/>
      <c r="D56" s="258">
        <v>0</v>
      </c>
      <c r="E56" s="258"/>
      <c r="F56" s="258">
        <v>0</v>
      </c>
      <c r="G56" s="258"/>
      <c r="H56" s="258">
        <v>0</v>
      </c>
      <c r="I56" s="258">
        <v>0</v>
      </c>
      <c r="J56" s="258">
        <v>0</v>
      </c>
      <c r="K56" s="258">
        <v>0</v>
      </c>
      <c r="L56" s="258">
        <v>0</v>
      </c>
      <c r="M56" s="258">
        <v>0</v>
      </c>
      <c r="N56" s="982">
        <v>0</v>
      </c>
      <c r="O56" s="258">
        <v>0</v>
      </c>
      <c r="P56" s="258">
        <v>0</v>
      </c>
      <c r="Q56" s="754"/>
    </row>
    <row r="57" spans="1:18" s="1046" customFormat="1" ht="30">
      <c r="A57" s="1044"/>
      <c r="B57" s="1045" t="s">
        <v>375</v>
      </c>
      <c r="C57" s="258"/>
      <c r="D57" s="258">
        <v>0</v>
      </c>
      <c r="E57" s="258"/>
      <c r="F57" s="258">
        <v>247</v>
      </c>
      <c r="G57" s="258"/>
      <c r="H57" s="258">
        <v>360</v>
      </c>
      <c r="I57" s="258"/>
      <c r="J57" s="258">
        <v>407</v>
      </c>
      <c r="K57" s="258">
        <v>380</v>
      </c>
      <c r="L57" s="258">
        <v>190</v>
      </c>
      <c r="M57" s="258">
        <v>190</v>
      </c>
      <c r="N57" s="982">
        <v>403</v>
      </c>
      <c r="O57" s="258">
        <v>201.5</v>
      </c>
      <c r="P57" s="258">
        <v>201.5</v>
      </c>
      <c r="Q57" s="754"/>
    </row>
    <row r="58" spans="1:18" s="1046" customFormat="1" ht="15" customHeight="1">
      <c r="A58" s="1044"/>
      <c r="B58" s="1045" t="s">
        <v>376</v>
      </c>
      <c r="C58" s="258"/>
      <c r="D58" s="258">
        <v>168</v>
      </c>
      <c r="E58" s="258"/>
      <c r="F58" s="258">
        <v>129</v>
      </c>
      <c r="G58" s="258"/>
      <c r="H58" s="258">
        <v>119</v>
      </c>
      <c r="I58" s="1719">
        <v>160</v>
      </c>
      <c r="J58" s="1719">
        <v>160</v>
      </c>
      <c r="K58" s="1719">
        <v>169.1712</v>
      </c>
      <c r="L58" s="1719">
        <v>84.585599999999999</v>
      </c>
      <c r="M58" s="1719">
        <v>84.585599999999999</v>
      </c>
      <c r="N58" s="982">
        <v>177.36077779199996</v>
      </c>
      <c r="O58" s="258">
        <v>88.680388895999982</v>
      </c>
      <c r="P58" s="258">
        <v>88.680388895999982</v>
      </c>
      <c r="Q58" s="754"/>
    </row>
    <row r="59" spans="1:18" s="1046" customFormat="1" ht="15" customHeight="1">
      <c r="A59" s="1044"/>
      <c r="B59" s="1045" t="s">
        <v>377</v>
      </c>
      <c r="C59" s="258"/>
      <c r="D59" s="258">
        <v>35</v>
      </c>
      <c r="E59" s="258"/>
      <c r="F59" s="258">
        <v>68</v>
      </c>
      <c r="G59" s="258"/>
      <c r="H59" s="258">
        <v>62</v>
      </c>
      <c r="I59" s="1719">
        <v>70</v>
      </c>
      <c r="J59" s="1719">
        <v>70</v>
      </c>
      <c r="K59" s="1719">
        <v>74.0124</v>
      </c>
      <c r="L59" s="1719">
        <v>37.0062</v>
      </c>
      <c r="M59" s="1719">
        <v>37.0062</v>
      </c>
      <c r="N59" s="982">
        <v>77.595340283999988</v>
      </c>
      <c r="O59" s="258">
        <v>38.797670141999994</v>
      </c>
      <c r="P59" s="258">
        <v>38.797670141999994</v>
      </c>
      <c r="Q59" s="754"/>
    </row>
    <row r="60" spans="1:18" s="1046" customFormat="1" ht="45" customHeight="1">
      <c r="A60" s="1044"/>
      <c r="B60" s="1045" t="s">
        <v>378</v>
      </c>
      <c r="C60" s="258"/>
      <c r="D60" s="258">
        <v>99</v>
      </c>
      <c r="E60" s="258"/>
      <c r="F60" s="258">
        <v>78</v>
      </c>
      <c r="G60" s="258"/>
      <c r="H60" s="258">
        <v>66</v>
      </c>
      <c r="I60" s="258"/>
      <c r="J60" s="258">
        <v>85</v>
      </c>
      <c r="K60" s="258">
        <v>97</v>
      </c>
      <c r="L60" s="258">
        <v>48.5</v>
      </c>
      <c r="M60" s="258">
        <v>48.5</v>
      </c>
      <c r="N60" s="982">
        <v>102</v>
      </c>
      <c r="O60" s="258">
        <v>51</v>
      </c>
      <c r="P60" s="258">
        <v>51</v>
      </c>
      <c r="Q60" s="754"/>
    </row>
    <row r="61" spans="1:18" s="1046" customFormat="1" ht="30" customHeight="1">
      <c r="A61" s="1044"/>
      <c r="B61" s="1045" t="s">
        <v>379</v>
      </c>
      <c r="C61" s="258">
        <f>SUM(C62:C66)</f>
        <v>0</v>
      </c>
      <c r="D61" s="258">
        <f t="shared" ref="D61:M61" si="6">SUM(D62:D66)</f>
        <v>112</v>
      </c>
      <c r="E61" s="258">
        <f t="shared" si="6"/>
        <v>0</v>
      </c>
      <c r="F61" s="258">
        <v>112</v>
      </c>
      <c r="G61" s="258">
        <v>0</v>
      </c>
      <c r="H61" s="258">
        <v>107</v>
      </c>
      <c r="I61" s="258">
        <v>0</v>
      </c>
      <c r="J61" s="258">
        <v>93</v>
      </c>
      <c r="K61" s="258">
        <v>94</v>
      </c>
      <c r="L61" s="258">
        <v>43.5</v>
      </c>
      <c r="M61" s="258">
        <v>50.5</v>
      </c>
      <c r="N61" s="982">
        <v>133</v>
      </c>
      <c r="O61" s="258">
        <v>67.5</v>
      </c>
      <c r="P61" s="258">
        <v>65.5</v>
      </c>
      <c r="Q61" s="754"/>
    </row>
    <row r="62" spans="1:18" s="4" customFormat="1" ht="15" customHeight="1">
      <c r="A62" s="17"/>
      <c r="B62" s="51" t="s">
        <v>380</v>
      </c>
      <c r="C62" s="241"/>
      <c r="D62" s="241">
        <v>112</v>
      </c>
      <c r="E62" s="241"/>
      <c r="F62" s="241">
        <v>109</v>
      </c>
      <c r="G62" s="241"/>
      <c r="H62" s="241">
        <v>106</v>
      </c>
      <c r="I62" s="241"/>
      <c r="J62" s="241">
        <v>87</v>
      </c>
      <c r="K62" s="241">
        <v>87</v>
      </c>
      <c r="L62" s="241">
        <v>40</v>
      </c>
      <c r="M62" s="241">
        <v>47</v>
      </c>
      <c r="N62" s="982">
        <v>126</v>
      </c>
      <c r="O62" s="308">
        <v>64</v>
      </c>
      <c r="P62" s="308">
        <v>62</v>
      </c>
      <c r="Q62" s="749"/>
    </row>
    <row r="63" spans="1:18" s="4" customFormat="1" ht="15" customHeight="1">
      <c r="A63" s="17"/>
      <c r="B63" s="51" t="s">
        <v>381</v>
      </c>
      <c r="C63" s="241"/>
      <c r="D63" s="241">
        <v>0</v>
      </c>
      <c r="E63" s="241"/>
      <c r="F63" s="241">
        <v>3</v>
      </c>
      <c r="G63" s="241"/>
      <c r="H63" s="241">
        <v>1</v>
      </c>
      <c r="I63" s="241">
        <v>0</v>
      </c>
      <c r="J63" s="241">
        <v>6</v>
      </c>
      <c r="K63" s="241">
        <v>7</v>
      </c>
      <c r="L63" s="241">
        <v>3.5</v>
      </c>
      <c r="M63" s="241">
        <v>3.5</v>
      </c>
      <c r="N63" s="982">
        <v>7</v>
      </c>
      <c r="O63" s="308">
        <v>3.5</v>
      </c>
      <c r="P63" s="308">
        <v>3.5</v>
      </c>
      <c r="Q63" s="749"/>
    </row>
    <row r="64" spans="1:18" s="4" customFormat="1" ht="15" customHeight="1">
      <c r="A64" s="17"/>
      <c r="B64" s="51" t="s">
        <v>382</v>
      </c>
      <c r="C64" s="241"/>
      <c r="D64" s="241">
        <v>0</v>
      </c>
      <c r="E64" s="241"/>
      <c r="F64" s="241">
        <v>0</v>
      </c>
      <c r="G64" s="241"/>
      <c r="H64" s="241">
        <v>0</v>
      </c>
      <c r="I64" s="241">
        <v>0</v>
      </c>
      <c r="J64" s="241">
        <v>0</v>
      </c>
      <c r="K64" s="241">
        <v>0</v>
      </c>
      <c r="L64" s="241">
        <v>0</v>
      </c>
      <c r="M64" s="241">
        <v>0</v>
      </c>
      <c r="N64" s="982">
        <v>0</v>
      </c>
      <c r="O64" s="308">
        <v>0</v>
      </c>
      <c r="P64" s="308">
        <v>0</v>
      </c>
      <c r="Q64" s="749"/>
    </row>
    <row r="65" spans="1:19" s="4" customFormat="1" ht="15" customHeight="1">
      <c r="A65" s="17"/>
      <c r="B65" s="51" t="s">
        <v>383</v>
      </c>
      <c r="C65" s="241"/>
      <c r="D65" s="241">
        <v>0</v>
      </c>
      <c r="E65" s="241"/>
      <c r="F65" s="241">
        <v>0</v>
      </c>
      <c r="G65" s="241"/>
      <c r="H65" s="241">
        <v>0</v>
      </c>
      <c r="I65" s="241">
        <v>0</v>
      </c>
      <c r="J65" s="241">
        <v>0</v>
      </c>
      <c r="K65" s="241">
        <v>0</v>
      </c>
      <c r="L65" s="241">
        <v>0</v>
      </c>
      <c r="M65" s="241">
        <v>0</v>
      </c>
      <c r="N65" s="982">
        <v>0</v>
      </c>
      <c r="O65" s="308">
        <v>0</v>
      </c>
      <c r="P65" s="308">
        <v>0</v>
      </c>
      <c r="Q65" s="749"/>
    </row>
    <row r="66" spans="1:19" s="4" customFormat="1" ht="15" customHeight="1">
      <c r="A66" s="17"/>
      <c r="B66" s="51" t="s">
        <v>384</v>
      </c>
      <c r="C66" s="241"/>
      <c r="D66" s="241">
        <v>0</v>
      </c>
      <c r="E66" s="241"/>
      <c r="F66" s="241">
        <v>0</v>
      </c>
      <c r="G66" s="241"/>
      <c r="H66" s="241">
        <v>0</v>
      </c>
      <c r="I66" s="241">
        <v>0</v>
      </c>
      <c r="J66" s="241">
        <v>0</v>
      </c>
      <c r="K66" s="241">
        <v>0</v>
      </c>
      <c r="L66" s="241">
        <v>0</v>
      </c>
      <c r="M66" s="241">
        <v>0</v>
      </c>
      <c r="N66" s="982">
        <v>0</v>
      </c>
      <c r="O66" s="308">
        <v>0</v>
      </c>
      <c r="P66" s="308">
        <v>0</v>
      </c>
      <c r="Q66" s="749"/>
    </row>
    <row r="67" spans="1:19" s="1034" customFormat="1" ht="15" customHeight="1">
      <c r="A67" s="1030" t="s">
        <v>385</v>
      </c>
      <c r="B67" s="1031" t="s">
        <v>386</v>
      </c>
      <c r="C67" s="1032">
        <f>SUM(C68:C71)</f>
        <v>0</v>
      </c>
      <c r="D67" s="1032">
        <f t="shared" ref="D67:M67" si="7">SUM(D68:D71)</f>
        <v>483866</v>
      </c>
      <c r="E67" s="1032">
        <f t="shared" si="7"/>
        <v>0</v>
      </c>
      <c r="F67" s="1032">
        <v>1122.5</v>
      </c>
      <c r="G67" s="1032">
        <v>0</v>
      </c>
      <c r="H67" s="1032">
        <v>657</v>
      </c>
      <c r="I67" s="1032">
        <v>26925.603055315998</v>
      </c>
      <c r="J67" s="1032">
        <v>26925.603055315998</v>
      </c>
      <c r="K67" s="1032">
        <v>26331.151559999998</v>
      </c>
      <c r="L67" s="1032">
        <v>655.57578000000012</v>
      </c>
      <c r="M67" s="1032">
        <v>25675.575779999999</v>
      </c>
      <c r="N67" s="1383">
        <v>1374.7035778595998</v>
      </c>
      <c r="O67" s="1032">
        <v>687.35178892979991</v>
      </c>
      <c r="P67" s="1032">
        <v>687.35178892979991</v>
      </c>
      <c r="Q67" s="1033"/>
    </row>
    <row r="68" spans="1:19" s="1046" customFormat="1" ht="30" customHeight="1">
      <c r="A68" s="1044"/>
      <c r="B68" s="1045" t="s">
        <v>387</v>
      </c>
      <c r="C68" s="258"/>
      <c r="D68" s="258"/>
      <c r="E68" s="258"/>
      <c r="F68" s="258"/>
      <c r="G68" s="258"/>
      <c r="H68" s="258"/>
      <c r="I68" s="258"/>
      <c r="J68" s="258"/>
      <c r="K68" s="258"/>
      <c r="L68" s="258"/>
      <c r="M68" s="258"/>
      <c r="N68" s="982"/>
      <c r="O68" s="258"/>
      <c r="P68" s="258"/>
      <c r="Q68" s="754"/>
    </row>
    <row r="69" spans="1:19" s="1046" customFormat="1" ht="15" customHeight="1">
      <c r="A69" s="1044"/>
      <c r="B69" s="1045" t="s">
        <v>388</v>
      </c>
      <c r="C69" s="258"/>
      <c r="D69" s="258">
        <v>482135</v>
      </c>
      <c r="E69" s="258"/>
      <c r="F69" s="258"/>
      <c r="G69" s="258"/>
      <c r="H69" s="258"/>
      <c r="I69" s="258">
        <v>25685.603055315998</v>
      </c>
      <c r="J69" s="258">
        <v>25685.603055315998</v>
      </c>
      <c r="K69" s="258">
        <v>25020</v>
      </c>
      <c r="L69" s="258">
        <v>0</v>
      </c>
      <c r="M69" s="258">
        <v>25020</v>
      </c>
      <c r="N69" s="982"/>
      <c r="O69" s="258">
        <v>0</v>
      </c>
      <c r="P69" s="258">
        <v>0</v>
      </c>
      <c r="Q69" s="754"/>
      <c r="S69" s="1059"/>
    </row>
    <row r="70" spans="1:19" s="1046" customFormat="1" ht="60.75" customHeight="1">
      <c r="A70" s="1044"/>
      <c r="B70" s="1045" t="s">
        <v>389</v>
      </c>
      <c r="C70" s="1045"/>
      <c r="D70" s="1045"/>
      <c r="E70" s="1045"/>
      <c r="F70" s="1045"/>
      <c r="G70" s="1045"/>
      <c r="H70" s="1045"/>
      <c r="I70" s="1045"/>
      <c r="J70" s="1045"/>
      <c r="K70" s="1045"/>
      <c r="L70" s="1045"/>
      <c r="M70" s="1045"/>
      <c r="N70" s="982"/>
      <c r="O70" s="258"/>
      <c r="P70" s="258"/>
      <c r="Q70" s="754"/>
    </row>
    <row r="71" spans="1:19" s="1046" customFormat="1" ht="15" customHeight="1">
      <c r="A71" s="1044"/>
      <c r="B71" s="1045" t="s">
        <v>390</v>
      </c>
      <c r="C71" s="258">
        <f>SUM(C72:C77)</f>
        <v>0</v>
      </c>
      <c r="D71" s="258">
        <f t="shared" ref="D71:M71" si="8">SUM(D72:D77)</f>
        <v>1731</v>
      </c>
      <c r="E71" s="258">
        <f t="shared" si="8"/>
        <v>0</v>
      </c>
      <c r="F71" s="258">
        <v>1122.5</v>
      </c>
      <c r="G71" s="258">
        <v>0</v>
      </c>
      <c r="H71" s="258">
        <v>657</v>
      </c>
      <c r="I71" s="258">
        <v>1240</v>
      </c>
      <c r="J71" s="258">
        <v>1240</v>
      </c>
      <c r="K71" s="258">
        <v>1311.1515600000002</v>
      </c>
      <c r="L71" s="258">
        <v>655.57578000000012</v>
      </c>
      <c r="M71" s="258">
        <v>655.57578000000012</v>
      </c>
      <c r="N71" s="982">
        <v>1374.7035778595998</v>
      </c>
      <c r="O71" s="258">
        <v>687.35178892979991</v>
      </c>
      <c r="P71" s="258">
        <v>687.35178892979991</v>
      </c>
      <c r="Q71" s="754"/>
    </row>
    <row r="72" spans="1:19" s="4" customFormat="1" ht="15" customHeight="1">
      <c r="A72" s="17"/>
      <c r="B72" s="51" t="s">
        <v>961</v>
      </c>
      <c r="C72" s="308"/>
      <c r="D72" s="308">
        <v>1502</v>
      </c>
      <c r="E72" s="308"/>
      <c r="F72" s="308">
        <v>1030</v>
      </c>
      <c r="G72" s="308"/>
      <c r="H72" s="308">
        <v>585</v>
      </c>
      <c r="I72" s="1719">
        <v>1233</v>
      </c>
      <c r="J72" s="1719">
        <v>1233</v>
      </c>
      <c r="K72" s="1719">
        <v>1303.6755600000001</v>
      </c>
      <c r="L72" s="1719">
        <v>651.83778000000007</v>
      </c>
      <c r="M72" s="1719">
        <v>651.83778000000007</v>
      </c>
      <c r="N72" s="982">
        <v>1366.7864938595999</v>
      </c>
      <c r="O72" s="241">
        <v>683.39324692979994</v>
      </c>
      <c r="P72" s="241">
        <v>683.39324692979994</v>
      </c>
      <c r="Q72" s="749"/>
    </row>
    <row r="73" spans="1:19" s="4" customFormat="1" ht="15" customHeight="1">
      <c r="A73" s="17"/>
      <c r="B73" s="51" t="s">
        <v>962</v>
      </c>
      <c r="C73" s="308"/>
      <c r="D73" s="308"/>
      <c r="E73" s="308"/>
      <c r="F73" s="308"/>
      <c r="G73" s="308"/>
      <c r="H73" s="308"/>
      <c r="I73" s="308"/>
      <c r="J73" s="308"/>
      <c r="K73" s="308"/>
      <c r="L73" s="308"/>
      <c r="M73" s="308">
        <v>0</v>
      </c>
      <c r="N73" s="982"/>
      <c r="O73" s="241"/>
      <c r="P73" s="241">
        <v>0</v>
      </c>
      <c r="Q73" s="749"/>
    </row>
    <row r="74" spans="1:19" s="4" customFormat="1" ht="15" customHeight="1">
      <c r="A74" s="17"/>
      <c r="B74" s="51" t="s">
        <v>963</v>
      </c>
      <c r="C74" s="308"/>
      <c r="D74" s="308">
        <f>229</f>
        <v>229</v>
      </c>
      <c r="E74" s="308"/>
      <c r="F74" s="308">
        <v>92.5</v>
      </c>
      <c r="G74" s="308"/>
      <c r="H74" s="308">
        <v>72</v>
      </c>
      <c r="I74" s="1719">
        <v>7</v>
      </c>
      <c r="J74" s="1719">
        <v>7</v>
      </c>
      <c r="K74" s="1719">
        <v>7.4760000000000009</v>
      </c>
      <c r="L74" s="1719">
        <v>3.7380000000000004</v>
      </c>
      <c r="M74" s="1719">
        <v>3.7380000000000004</v>
      </c>
      <c r="N74" s="982">
        <v>7.9170840000000009</v>
      </c>
      <c r="O74" s="241">
        <v>3.9585420000000004</v>
      </c>
      <c r="P74" s="241">
        <v>3.9585420000000004</v>
      </c>
      <c r="Q74" s="749"/>
    </row>
    <row r="75" spans="1:19" s="4" customFormat="1" ht="15" hidden="1" customHeight="1">
      <c r="A75" s="17"/>
      <c r="B75" s="51"/>
      <c r="C75" s="241"/>
      <c r="D75" s="241"/>
      <c r="E75" s="241"/>
      <c r="F75" s="241"/>
      <c r="G75" s="241"/>
      <c r="H75" s="241"/>
      <c r="I75" s="241"/>
      <c r="J75" s="241"/>
      <c r="K75" s="241"/>
      <c r="L75" s="241"/>
      <c r="M75" s="241">
        <v>0</v>
      </c>
      <c r="N75" s="982"/>
      <c r="O75" s="241"/>
      <c r="P75" s="241">
        <v>0</v>
      </c>
      <c r="Q75" s="749"/>
    </row>
    <row r="76" spans="1:19" s="4" customFormat="1" ht="15" hidden="1" customHeight="1">
      <c r="A76" s="17"/>
      <c r="B76" s="51"/>
      <c r="C76" s="241"/>
      <c r="D76" s="241"/>
      <c r="E76" s="241"/>
      <c r="F76" s="241"/>
      <c r="G76" s="241"/>
      <c r="H76" s="241"/>
      <c r="I76" s="241"/>
      <c r="J76" s="241"/>
      <c r="K76" s="241"/>
      <c r="L76" s="241"/>
      <c r="M76" s="241"/>
      <c r="N76" s="982"/>
      <c r="O76" s="241"/>
      <c r="P76" s="241"/>
      <c r="Q76" s="749"/>
    </row>
    <row r="77" spans="1:19" s="4" customFormat="1" ht="15" hidden="1" customHeight="1">
      <c r="A77" s="17"/>
      <c r="B77" s="51"/>
      <c r="C77" s="241"/>
      <c r="D77" s="241"/>
      <c r="E77" s="241"/>
      <c r="F77" s="241"/>
      <c r="G77" s="241"/>
      <c r="H77" s="241"/>
      <c r="I77" s="241"/>
      <c r="J77" s="241"/>
      <c r="K77" s="241"/>
      <c r="L77" s="241"/>
      <c r="M77" s="241"/>
      <c r="N77" s="982"/>
      <c r="O77" s="241"/>
      <c r="P77" s="241"/>
      <c r="Q77" s="749"/>
    </row>
    <row r="78" spans="1:19" s="1034" customFormat="1" ht="33.75" customHeight="1">
      <c r="A78" s="1030" t="s">
        <v>391</v>
      </c>
      <c r="B78" s="1031" t="s">
        <v>392</v>
      </c>
      <c r="C78" s="1032">
        <f>SUM(C79:C82)</f>
        <v>0</v>
      </c>
      <c r="D78" s="1032">
        <f t="shared" ref="D78:M78" si="9">SUM(D79:D82)</f>
        <v>217</v>
      </c>
      <c r="E78" s="1032">
        <f t="shared" si="9"/>
        <v>0</v>
      </c>
      <c r="F78" s="1032">
        <v>360</v>
      </c>
      <c r="G78" s="1032">
        <v>0</v>
      </c>
      <c r="H78" s="1032">
        <v>490.8</v>
      </c>
      <c r="I78" s="1032">
        <v>320</v>
      </c>
      <c r="J78" s="1032">
        <v>79811</v>
      </c>
      <c r="K78" s="1032">
        <v>87344.76</v>
      </c>
      <c r="L78" s="1032">
        <v>170.88</v>
      </c>
      <c r="M78" s="1032">
        <v>87173.88</v>
      </c>
      <c r="N78" s="1383">
        <v>92197.923840000003</v>
      </c>
      <c r="O78" s="1032">
        <v>180.96191999999999</v>
      </c>
      <c r="P78" s="1032">
        <v>92016.961920000002</v>
      </c>
      <c r="Q78" s="1033"/>
    </row>
    <row r="79" spans="1:19" s="1046" customFormat="1" ht="30">
      <c r="A79" s="1044"/>
      <c r="B79" s="1045" t="s">
        <v>393</v>
      </c>
      <c r="C79" s="258"/>
      <c r="D79" s="258"/>
      <c r="E79" s="258"/>
      <c r="F79" s="258"/>
      <c r="G79" s="258"/>
      <c r="H79" s="258"/>
      <c r="I79" s="258"/>
      <c r="J79" s="258"/>
      <c r="K79" s="258"/>
      <c r="L79" s="258"/>
      <c r="M79" s="258">
        <v>0</v>
      </c>
      <c r="N79" s="982"/>
      <c r="O79" s="258"/>
      <c r="P79" s="258">
        <v>0</v>
      </c>
      <c r="Q79" s="754"/>
    </row>
    <row r="80" spans="1:19" s="1046" customFormat="1" ht="30" customHeight="1">
      <c r="A80" s="1044"/>
      <c r="B80" s="1045" t="s">
        <v>394</v>
      </c>
      <c r="C80" s="258"/>
      <c r="D80" s="258">
        <v>217</v>
      </c>
      <c r="E80" s="258"/>
      <c r="F80" s="258">
        <v>360</v>
      </c>
      <c r="G80" s="258"/>
      <c r="H80" s="258">
        <v>490.8</v>
      </c>
      <c r="I80" s="1719">
        <v>320</v>
      </c>
      <c r="J80" s="1719">
        <v>320</v>
      </c>
      <c r="K80" s="1719">
        <v>341.76</v>
      </c>
      <c r="L80" s="1719">
        <v>170.88</v>
      </c>
      <c r="M80" s="1719">
        <v>170.88</v>
      </c>
      <c r="N80" s="982">
        <v>361.92383999999998</v>
      </c>
      <c r="O80" s="258">
        <v>180.96191999999999</v>
      </c>
      <c r="P80" s="258">
        <v>180.96191999999999</v>
      </c>
      <c r="Q80" s="754"/>
    </row>
    <row r="81" spans="1:17" s="1046" customFormat="1" ht="15" customHeight="1">
      <c r="A81" s="1044"/>
      <c r="B81" s="1045" t="s">
        <v>1568</v>
      </c>
      <c r="C81" s="258"/>
      <c r="D81" s="258"/>
      <c r="E81" s="258"/>
      <c r="F81" s="258"/>
      <c r="G81" s="258"/>
      <c r="H81" s="258"/>
      <c r="I81" s="258"/>
      <c r="J81" s="258"/>
      <c r="K81" s="258"/>
      <c r="L81" s="258"/>
      <c r="M81" s="258">
        <v>0</v>
      </c>
      <c r="N81" s="982"/>
      <c r="O81" s="258"/>
      <c r="P81" s="258">
        <v>0</v>
      </c>
      <c r="Q81" s="754"/>
    </row>
    <row r="82" spans="1:17" s="1046" customFormat="1" ht="28.5" customHeight="1">
      <c r="A82" s="1044"/>
      <c r="B82" s="1045" t="s">
        <v>1957</v>
      </c>
      <c r="C82" s="258"/>
      <c r="D82" s="258">
        <v>0</v>
      </c>
      <c r="E82" s="258"/>
      <c r="F82" s="258">
        <v>0</v>
      </c>
      <c r="G82" s="258"/>
      <c r="H82" s="258"/>
      <c r="I82" s="1719">
        <v>0</v>
      </c>
      <c r="J82" s="1719">
        <v>79491</v>
      </c>
      <c r="K82" s="1719">
        <v>87003</v>
      </c>
      <c r="L82" s="1719">
        <v>0</v>
      </c>
      <c r="M82" s="1719">
        <v>87003</v>
      </c>
      <c r="N82" s="982">
        <v>91836</v>
      </c>
      <c r="O82" s="258">
        <v>0</v>
      </c>
      <c r="P82" s="258">
        <v>91836</v>
      </c>
      <c r="Q82" s="754"/>
    </row>
    <row r="83" spans="1:17" s="1034" customFormat="1" ht="15" customHeight="1">
      <c r="A83" s="1030" t="s">
        <v>395</v>
      </c>
      <c r="B83" s="1031" t="s">
        <v>396</v>
      </c>
      <c r="C83" s="1032">
        <f>(C68+C69+C70+C78)/0.8*0.2</f>
        <v>0</v>
      </c>
      <c r="D83" s="1032">
        <f t="shared" ref="D83" si="10">(D68+D69+D70+D78)/0.8*0.2</f>
        <v>120588</v>
      </c>
      <c r="E83" s="1032">
        <f>E78/0.8*0.2</f>
        <v>0</v>
      </c>
      <c r="F83" s="1032">
        <v>90</v>
      </c>
      <c r="G83" s="1032">
        <v>0</v>
      </c>
      <c r="H83" s="1032">
        <v>122.7</v>
      </c>
      <c r="I83" s="1032">
        <v>6501.4007638289995</v>
      </c>
      <c r="J83" s="1032">
        <v>26374.150763828995</v>
      </c>
      <c r="K83" s="1032">
        <v>28091.19</v>
      </c>
      <c r="L83" s="1032">
        <v>42.72</v>
      </c>
      <c r="M83" s="1032">
        <v>28048.47</v>
      </c>
      <c r="N83" s="1383">
        <v>23049.480960000001</v>
      </c>
      <c r="O83" s="1032">
        <v>45.240479999999998</v>
      </c>
      <c r="P83" s="1032">
        <v>23004.24048</v>
      </c>
      <c r="Q83" s="1033"/>
    </row>
    <row r="84" spans="1:17" s="1034" customFormat="1" ht="15" customHeight="1">
      <c r="A84" s="1030" t="s">
        <v>397</v>
      </c>
      <c r="B84" s="1031" t="s">
        <v>398</v>
      </c>
      <c r="C84" s="1032">
        <f>C85-C88</f>
        <v>0</v>
      </c>
      <c r="D84" s="1032">
        <f t="shared" ref="D84:M84" si="11">D85-D88</f>
        <v>0</v>
      </c>
      <c r="E84" s="1032">
        <f t="shared" si="11"/>
        <v>0</v>
      </c>
      <c r="F84" s="1032">
        <v>0</v>
      </c>
      <c r="G84" s="1032">
        <v>0</v>
      </c>
      <c r="H84" s="1032">
        <v>0</v>
      </c>
      <c r="I84" s="1032">
        <v>-55090.729042644962</v>
      </c>
      <c r="J84" s="1032">
        <v>-55090.729042644962</v>
      </c>
      <c r="K84" s="1032">
        <v>165841</v>
      </c>
      <c r="L84" s="1032">
        <v>0</v>
      </c>
      <c r="M84" s="1032">
        <v>165841</v>
      </c>
      <c r="N84" s="1383">
        <v>0</v>
      </c>
      <c r="O84" s="1032">
        <v>0</v>
      </c>
      <c r="P84" s="1032">
        <v>0</v>
      </c>
      <c r="Q84" s="1033"/>
    </row>
    <row r="85" spans="1:17" s="585" customFormat="1" ht="15" customHeight="1">
      <c r="A85" s="583"/>
      <c r="B85" s="582" t="s">
        <v>1140</v>
      </c>
      <c r="C85" s="587">
        <f>C86+C87</f>
        <v>0</v>
      </c>
      <c r="D85" s="587">
        <f t="shared" ref="D85:M85" si="12">D86+D87</f>
        <v>0</v>
      </c>
      <c r="E85" s="587">
        <f t="shared" si="12"/>
        <v>0</v>
      </c>
      <c r="F85" s="587">
        <v>0</v>
      </c>
      <c r="G85" s="587">
        <v>0</v>
      </c>
      <c r="H85" s="587">
        <v>0</v>
      </c>
      <c r="I85" s="587">
        <v>29332.270957355038</v>
      </c>
      <c r="J85" s="587">
        <v>29332.270957355038</v>
      </c>
      <c r="K85" s="587">
        <v>167214</v>
      </c>
      <c r="L85" s="587">
        <v>0</v>
      </c>
      <c r="M85" s="587">
        <v>167214</v>
      </c>
      <c r="N85" s="982">
        <v>0</v>
      </c>
      <c r="O85" s="587">
        <v>0</v>
      </c>
      <c r="P85" s="587">
        <v>0</v>
      </c>
      <c r="Q85" s="1020"/>
    </row>
    <row r="86" spans="1:17" s="341" customFormat="1" ht="15" customHeight="1">
      <c r="A86" s="339"/>
      <c r="B86" s="340" t="s">
        <v>959</v>
      </c>
      <c r="C86" s="308"/>
      <c r="D86" s="308"/>
      <c r="E86" s="308"/>
      <c r="F86" s="308"/>
      <c r="G86" s="308"/>
      <c r="H86" s="308"/>
      <c r="I86" s="308">
        <v>0</v>
      </c>
      <c r="J86" s="308">
        <v>0</v>
      </c>
      <c r="K86" s="308">
        <v>167214</v>
      </c>
      <c r="L86" s="308">
        <v>0</v>
      </c>
      <c r="M86" s="308">
        <v>167214</v>
      </c>
      <c r="N86" s="982"/>
      <c r="O86" s="308">
        <v>0</v>
      </c>
      <c r="P86" s="308">
        <v>0</v>
      </c>
      <c r="Q86" s="762"/>
    </row>
    <row r="87" spans="1:17" s="341" customFormat="1" ht="15" customHeight="1">
      <c r="A87" s="339"/>
      <c r="B87" s="51" t="s">
        <v>960</v>
      </c>
      <c r="C87" s="241"/>
      <c r="D87" s="241"/>
      <c r="E87" s="241"/>
      <c r="F87" s="241"/>
      <c r="G87" s="241"/>
      <c r="H87" s="241"/>
      <c r="I87" s="241">
        <v>0</v>
      </c>
      <c r="J87" s="241">
        <v>0</v>
      </c>
      <c r="K87" s="241"/>
      <c r="L87" s="241">
        <v>0</v>
      </c>
      <c r="M87" s="241">
        <v>0</v>
      </c>
      <c r="N87" s="982"/>
      <c r="O87" s="308">
        <v>0</v>
      </c>
      <c r="P87" s="308">
        <v>0</v>
      </c>
      <c r="Q87" s="749"/>
    </row>
    <row r="88" spans="1:17" s="588" customFormat="1" ht="15" customHeight="1">
      <c r="A88" s="586"/>
      <c r="B88" s="582" t="s">
        <v>1141</v>
      </c>
      <c r="C88" s="587">
        <f>C89+C90</f>
        <v>0</v>
      </c>
      <c r="D88" s="587">
        <f t="shared" ref="D88:M88" si="13">D89+D90</f>
        <v>0</v>
      </c>
      <c r="E88" s="587">
        <f t="shared" si="13"/>
        <v>0</v>
      </c>
      <c r="F88" s="587">
        <v>0</v>
      </c>
      <c r="G88" s="587">
        <v>0</v>
      </c>
      <c r="H88" s="587">
        <v>0</v>
      </c>
      <c r="I88" s="587">
        <v>84423</v>
      </c>
      <c r="J88" s="587">
        <v>84423</v>
      </c>
      <c r="K88" s="587">
        <v>1373</v>
      </c>
      <c r="L88" s="587">
        <v>0</v>
      </c>
      <c r="M88" s="587">
        <v>1373</v>
      </c>
      <c r="N88" s="982">
        <v>0</v>
      </c>
      <c r="O88" s="587">
        <v>0</v>
      </c>
      <c r="P88" s="587">
        <v>0</v>
      </c>
      <c r="Q88" s="1021"/>
    </row>
    <row r="89" spans="1:17" s="341" customFormat="1" ht="15" customHeight="1">
      <c r="A89" s="339"/>
      <c r="B89" s="340" t="s">
        <v>959</v>
      </c>
      <c r="C89" s="241"/>
      <c r="D89" s="241"/>
      <c r="E89" s="241"/>
      <c r="F89" s="241"/>
      <c r="G89" s="241"/>
      <c r="H89" s="241"/>
      <c r="I89" s="241"/>
      <c r="J89" s="241"/>
      <c r="K89" s="241">
        <v>1373</v>
      </c>
      <c r="L89" s="241">
        <v>0</v>
      </c>
      <c r="M89" s="241">
        <v>1373</v>
      </c>
      <c r="N89" s="982"/>
      <c r="O89" s="308">
        <v>0</v>
      </c>
      <c r="P89" s="308">
        <v>0</v>
      </c>
      <c r="Q89" s="749"/>
    </row>
    <row r="90" spans="1:17" s="341" customFormat="1" ht="15" customHeight="1">
      <c r="A90" s="339"/>
      <c r="B90" s="51" t="s">
        <v>960</v>
      </c>
      <c r="C90" s="241"/>
      <c r="D90" s="241"/>
      <c r="E90" s="241"/>
      <c r="F90" s="241"/>
      <c r="G90" s="241"/>
      <c r="H90" s="241"/>
      <c r="I90" s="241"/>
      <c r="J90" s="241"/>
      <c r="K90" s="241"/>
      <c r="L90" s="241">
        <v>0</v>
      </c>
      <c r="M90" s="241">
        <v>0</v>
      </c>
      <c r="N90" s="982"/>
      <c r="O90" s="308">
        <v>0</v>
      </c>
      <c r="P90" s="308">
        <v>0</v>
      </c>
      <c r="Q90" s="749"/>
    </row>
    <row r="91" spans="1:17" s="1055" customFormat="1" ht="15" customHeight="1">
      <c r="A91" s="1052" t="s">
        <v>399</v>
      </c>
      <c r="B91" s="1053" t="s">
        <v>400</v>
      </c>
      <c r="C91" s="1054">
        <f t="shared" ref="C91:M91" si="14">C7+C67+C78+C83+C84</f>
        <v>0</v>
      </c>
      <c r="D91" s="1054">
        <f t="shared" si="14"/>
        <v>649071.33420000004</v>
      </c>
      <c r="E91" s="1054">
        <f t="shared" si="14"/>
        <v>0</v>
      </c>
      <c r="F91" s="1054">
        <v>54201.482319999996</v>
      </c>
      <c r="G91" s="1054">
        <v>0</v>
      </c>
      <c r="H91" s="1054">
        <v>65418.352326799992</v>
      </c>
      <c r="I91" s="1054">
        <v>-20488.225223499961</v>
      </c>
      <c r="J91" s="1054">
        <v>118104.47637650004</v>
      </c>
      <c r="K91" s="1054">
        <v>361849.93008999998</v>
      </c>
      <c r="L91" s="1054">
        <v>28122.858394999999</v>
      </c>
      <c r="M91" s="1054">
        <v>333727.07169499999</v>
      </c>
      <c r="N91" s="1610">
        <v>174405.83106337581</v>
      </c>
      <c r="O91" s="1054">
        <v>30111.317861738749</v>
      </c>
      <c r="P91" s="1054">
        <v>144294.51320163705</v>
      </c>
      <c r="Q91" s="1056"/>
    </row>
    <row r="92" spans="1:17" s="4" customFormat="1" ht="15" customHeight="1">
      <c r="A92" s="17" t="s">
        <v>401</v>
      </c>
      <c r="B92" s="51" t="s">
        <v>1272</v>
      </c>
      <c r="C92" s="241"/>
      <c r="D92" s="241"/>
      <c r="E92" s="241"/>
      <c r="F92" s="241"/>
      <c r="G92" s="241"/>
      <c r="H92" s="241"/>
      <c r="I92" s="241"/>
      <c r="J92" s="241"/>
      <c r="K92" s="241"/>
      <c r="L92" s="241"/>
      <c r="M92" s="241"/>
      <c r="N92" s="982"/>
      <c r="O92" s="241"/>
      <c r="P92" s="241"/>
      <c r="Q92" s="749"/>
    </row>
    <row r="93" spans="1:17" s="4" customFormat="1" ht="15" customHeight="1">
      <c r="A93" s="17" t="s">
        <v>403</v>
      </c>
      <c r="B93" s="51" t="s">
        <v>1273</v>
      </c>
      <c r="C93" s="241">
        <f>C91-C94-C95</f>
        <v>0</v>
      </c>
      <c r="D93" s="241">
        <f t="shared" ref="D93:M93" si="15">D91-D94-D95</f>
        <v>649071.33420000004</v>
      </c>
      <c r="E93" s="241">
        <f t="shared" si="15"/>
        <v>0</v>
      </c>
      <c r="F93" s="241">
        <v>54201.482319999996</v>
      </c>
      <c r="G93" s="241">
        <v>0</v>
      </c>
      <c r="H93" s="241">
        <v>65418.352326799992</v>
      </c>
      <c r="I93" s="241">
        <v>-20488.225223499961</v>
      </c>
      <c r="J93" s="241">
        <v>118104.47637650004</v>
      </c>
      <c r="K93" s="241">
        <v>361849.93008999998</v>
      </c>
      <c r="L93" s="241">
        <v>28122.858394999999</v>
      </c>
      <c r="M93" s="241">
        <v>333727.07169499999</v>
      </c>
      <c r="N93" s="982">
        <v>174405.83106337581</v>
      </c>
      <c r="O93" s="241">
        <v>30111.317861738749</v>
      </c>
      <c r="P93" s="241">
        <v>144294.51320163705</v>
      </c>
      <c r="Q93" s="749"/>
    </row>
    <row r="94" spans="1:17" s="4" customFormat="1" ht="15" customHeight="1">
      <c r="A94" s="17" t="s">
        <v>405</v>
      </c>
      <c r="B94" s="51" t="s">
        <v>1274</v>
      </c>
      <c r="C94" s="241"/>
      <c r="D94" s="241"/>
      <c r="E94" s="241"/>
      <c r="F94" s="241"/>
      <c r="G94" s="241"/>
      <c r="H94" s="241"/>
      <c r="I94" s="241"/>
      <c r="J94" s="241"/>
      <c r="K94" s="241"/>
      <c r="L94" s="241"/>
      <c r="M94" s="241"/>
      <c r="N94" s="982"/>
      <c r="O94" s="241"/>
      <c r="P94" s="241"/>
      <c r="Q94" s="749"/>
    </row>
    <row r="95" spans="1:17" s="4" customFormat="1" ht="15" customHeight="1">
      <c r="A95" s="17" t="s">
        <v>407</v>
      </c>
      <c r="B95" s="51" t="s">
        <v>408</v>
      </c>
      <c r="C95" s="241"/>
      <c r="D95" s="241"/>
      <c r="E95" s="241"/>
      <c r="F95" s="241"/>
      <c r="G95" s="241"/>
      <c r="H95" s="241"/>
      <c r="I95" s="241"/>
      <c r="J95" s="241"/>
      <c r="K95" s="241"/>
      <c r="L95" s="241"/>
      <c r="M95" s="241"/>
      <c r="N95" s="982"/>
      <c r="O95" s="241"/>
      <c r="P95" s="241"/>
      <c r="Q95" s="749"/>
    </row>
    <row r="96" spans="1:17" s="4" customFormat="1" ht="15" customHeight="1">
      <c r="A96" s="17"/>
      <c r="B96" s="51"/>
      <c r="C96" s="241"/>
      <c r="D96" s="241"/>
      <c r="E96" s="241"/>
      <c r="F96" s="241"/>
      <c r="G96" s="241"/>
      <c r="H96" s="241"/>
      <c r="I96" s="241"/>
      <c r="J96" s="241"/>
      <c r="K96" s="241"/>
      <c r="L96" s="241"/>
      <c r="M96" s="241"/>
      <c r="N96" s="982"/>
      <c r="O96" s="241"/>
      <c r="P96" s="241"/>
      <c r="Q96" s="749"/>
    </row>
    <row r="97" spans="1:17" s="4" customFormat="1" ht="28.5">
      <c r="A97" s="17"/>
      <c r="B97" s="755" t="s">
        <v>1268</v>
      </c>
      <c r="C97" s="286">
        <f>'4.3_котельные'!E8</f>
        <v>457.00900000000001</v>
      </c>
      <c r="D97" s="286">
        <f>'4.3_котельные'!I8</f>
        <v>410.57600000000002</v>
      </c>
      <c r="E97" s="286">
        <f>'4.3_котельные'!M8</f>
        <v>461.95</v>
      </c>
      <c r="F97" s="286">
        <v>399.63940000000008</v>
      </c>
      <c r="G97" s="286">
        <v>466.08759999999995</v>
      </c>
      <c r="H97" s="286">
        <v>377.28214835200004</v>
      </c>
      <c r="I97" s="286">
        <v>0</v>
      </c>
      <c r="J97" s="286">
        <v>400.41050000000007</v>
      </c>
      <c r="K97" s="286">
        <v>389</v>
      </c>
      <c r="L97" s="286">
        <v>237.10000000000002</v>
      </c>
      <c r="M97" s="286">
        <v>151.9</v>
      </c>
      <c r="N97" s="1568">
        <v>389</v>
      </c>
      <c r="O97" s="286">
        <v>237.10000000000002</v>
      </c>
      <c r="P97" s="286">
        <v>151.9</v>
      </c>
      <c r="Q97" s="977"/>
    </row>
    <row r="98" spans="1:17" s="4" customFormat="1" ht="15" customHeight="1">
      <c r="A98" s="17"/>
      <c r="B98" s="51"/>
      <c r="C98" s="241"/>
      <c r="D98" s="241"/>
      <c r="E98" s="241"/>
      <c r="F98" s="241"/>
      <c r="G98" s="241"/>
      <c r="H98" s="241"/>
      <c r="I98" s="241"/>
      <c r="J98" s="241"/>
      <c r="K98" s="241"/>
      <c r="L98" s="241"/>
      <c r="M98" s="241"/>
      <c r="N98" s="982"/>
      <c r="O98" s="241"/>
      <c r="P98" s="241"/>
      <c r="Q98" s="749"/>
    </row>
    <row r="99" spans="1:17" s="4" customFormat="1" ht="15" customHeight="1">
      <c r="A99" s="17"/>
      <c r="B99" s="253" t="s">
        <v>1266</v>
      </c>
      <c r="C99" s="428">
        <f>C93/C97</f>
        <v>0</v>
      </c>
      <c r="D99" s="428">
        <f t="shared" ref="D99:M99" si="16">D93/D97</f>
        <v>1580.8798716924516</v>
      </c>
      <c r="E99" s="428">
        <f t="shared" si="16"/>
        <v>0</v>
      </c>
      <c r="F99" s="428">
        <v>135.62597261431176</v>
      </c>
      <c r="G99" s="428">
        <v>0</v>
      </c>
      <c r="H99" s="428">
        <v>173.39371240476873</v>
      </c>
      <c r="I99" s="428" t="e">
        <v>#DIV/0!</v>
      </c>
      <c r="J99" s="428">
        <v>294.95848979110195</v>
      </c>
      <c r="K99" s="428">
        <v>930.20547580976859</v>
      </c>
      <c r="L99" s="428">
        <v>118.61180259384224</v>
      </c>
      <c r="M99" s="428">
        <v>2197.0182468400262</v>
      </c>
      <c r="N99" s="1128">
        <v>448.34403872333115</v>
      </c>
      <c r="O99" s="428">
        <v>126.99838828232285</v>
      </c>
      <c r="P99" s="428">
        <v>949.93096248608981</v>
      </c>
      <c r="Q99" s="978"/>
    </row>
    <row r="100" spans="1:17" s="4" customFormat="1" ht="15" customHeight="1">
      <c r="A100" s="17"/>
      <c r="B100" s="253" t="s">
        <v>1267</v>
      </c>
      <c r="C100" s="428"/>
      <c r="D100" s="428"/>
      <c r="E100" s="428"/>
      <c r="F100" s="428"/>
      <c r="G100" s="428"/>
      <c r="H100" s="428"/>
      <c r="I100" s="428"/>
      <c r="J100" s="428"/>
      <c r="K100" s="1128"/>
      <c r="L100" s="428"/>
      <c r="M100" s="428"/>
      <c r="N100" s="978"/>
      <c r="O100" s="978"/>
      <c r="P100" s="978"/>
      <c r="Q100" s="978"/>
    </row>
    <row r="101" spans="1:17" s="4" customFormat="1" ht="15" customHeight="1">
      <c r="A101" s="17"/>
      <c r="B101" s="1131" t="s">
        <v>1512</v>
      </c>
      <c r="C101" s="428"/>
      <c r="D101" s="428"/>
      <c r="E101" s="428"/>
      <c r="F101" s="428"/>
      <c r="G101" s="428"/>
      <c r="H101" s="428"/>
      <c r="I101" s="428"/>
      <c r="J101" s="428"/>
      <c r="K101" s="1128"/>
      <c r="L101" s="428"/>
      <c r="M101" s="428"/>
      <c r="N101" s="978"/>
      <c r="O101" s="978"/>
      <c r="P101" s="978"/>
      <c r="Q101" s="978"/>
    </row>
    <row r="102" spans="1:17" s="4" customFormat="1" ht="15" customHeight="1">
      <c r="A102" s="17"/>
      <c r="B102" s="1131" t="s">
        <v>1513</v>
      </c>
      <c r="C102" s="428"/>
      <c r="D102" s="428"/>
      <c r="E102" s="428"/>
      <c r="F102" s="428"/>
      <c r="G102" s="428"/>
      <c r="H102" s="428"/>
      <c r="I102" s="428"/>
      <c r="J102" s="428"/>
      <c r="K102" s="1128"/>
      <c r="L102" s="428"/>
      <c r="M102" s="428"/>
      <c r="N102" s="978"/>
      <c r="O102" s="978"/>
      <c r="P102" s="978"/>
      <c r="Q102" s="978"/>
    </row>
    <row r="103" spans="1:17" hidden="1">
      <c r="A103" s="253" t="s">
        <v>965</v>
      </c>
      <c r="B103" s="253"/>
      <c r="C103" s="308">
        <f>C67+C78+C83+C87-C90</f>
        <v>0</v>
      </c>
      <c r="D103" s="308">
        <f t="shared" ref="D103:M103" si="17">D67+D78+D83+D87-D90</f>
        <v>604671</v>
      </c>
      <c r="E103" s="308">
        <f t="shared" si="17"/>
        <v>0</v>
      </c>
      <c r="F103" s="308">
        <f t="shared" si="17"/>
        <v>1572.5</v>
      </c>
      <c r="G103" s="308"/>
      <c r="H103" s="308"/>
      <c r="I103" s="308"/>
      <c r="J103" s="308"/>
      <c r="K103" s="982">
        <f t="shared" si="17"/>
        <v>141767.10155999998</v>
      </c>
      <c r="L103" s="308">
        <f t="shared" si="17"/>
        <v>869.17578000000015</v>
      </c>
      <c r="M103" s="308">
        <f t="shared" si="17"/>
        <v>140897.92577999999</v>
      </c>
      <c r="N103" s="762"/>
      <c r="O103" s="762"/>
      <c r="P103" s="762"/>
      <c r="Q103" s="762"/>
    </row>
    <row r="104" spans="1:17" s="26" customFormat="1">
      <c r="A104" s="26" t="s">
        <v>88</v>
      </c>
      <c r="K104" s="883"/>
    </row>
    <row r="105" spans="1:17" s="541" customFormat="1" ht="58.5" customHeight="1">
      <c r="A105" s="541" t="s">
        <v>89</v>
      </c>
      <c r="B105" s="1842" t="s">
        <v>409</v>
      </c>
      <c r="C105" s="1842"/>
      <c r="D105" s="1842"/>
      <c r="E105" s="1842"/>
      <c r="F105" s="1842"/>
      <c r="G105" s="1842"/>
      <c r="H105" s="1842"/>
      <c r="I105" s="1842"/>
      <c r="J105" s="1842"/>
      <c r="K105" s="1842"/>
      <c r="L105" s="1842"/>
      <c r="M105" s="1842"/>
      <c r="N105" s="1629"/>
      <c r="O105" s="1629"/>
      <c r="P105" s="1629"/>
      <c r="Q105" s="1011"/>
    </row>
    <row r="106" spans="1:17" s="541" customFormat="1" ht="58.5" customHeight="1">
      <c r="A106" s="541" t="s">
        <v>91</v>
      </c>
      <c r="B106" s="1842" t="s">
        <v>410</v>
      </c>
      <c r="C106" s="1842"/>
      <c r="D106" s="1842"/>
      <c r="E106" s="1842"/>
      <c r="F106" s="1842"/>
      <c r="G106" s="1842"/>
      <c r="H106" s="1842"/>
      <c r="I106" s="1842"/>
      <c r="J106" s="1842"/>
      <c r="K106" s="1842"/>
      <c r="L106" s="1842"/>
      <c r="M106" s="1842"/>
      <c r="N106" s="1629"/>
      <c r="O106" s="1629"/>
      <c r="P106" s="1629"/>
      <c r="Q106" s="1011"/>
    </row>
    <row r="107" spans="1:17" s="541" customFormat="1" ht="58.5" customHeight="1">
      <c r="A107" s="541" t="s">
        <v>93</v>
      </c>
      <c r="B107" s="1842" t="s">
        <v>411</v>
      </c>
      <c r="C107" s="1842"/>
      <c r="D107" s="1842"/>
      <c r="E107" s="1842"/>
      <c r="F107" s="1842"/>
      <c r="G107" s="1842"/>
      <c r="H107" s="1842"/>
      <c r="I107" s="1842"/>
      <c r="J107" s="1842"/>
      <c r="K107" s="1842"/>
      <c r="L107" s="1842"/>
      <c r="M107" s="1842"/>
      <c r="N107" s="1629"/>
      <c r="O107" s="1629"/>
      <c r="P107" s="1629"/>
      <c r="Q107" s="1011"/>
    </row>
    <row r="108" spans="1:17" ht="18.75" customHeight="1"/>
  </sheetData>
  <mergeCells count="4">
    <mergeCell ref="B105:M105"/>
    <mergeCell ref="B106:M106"/>
    <mergeCell ref="B107:M107"/>
    <mergeCell ref="A3:J3"/>
  </mergeCells>
  <pageMargins left="0.78740157480314965" right="0.31496062992125984" top="0.19685039370078741" bottom="0.19685039370078741" header="0.19685039370078741" footer="0.19685039370078741"/>
  <pageSetup paperSize="9" scale="50" orientation="portrait" r:id="rId1"/>
  <headerFooter alignWithMargins="0"/>
  <rowBreaks count="1" manualBreakCount="1">
    <brk id="99" max="8" man="1"/>
  </rowBreaks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66FF"/>
  </sheetPr>
  <dimension ref="A1:AO305"/>
  <sheetViews>
    <sheetView view="pageBreakPreview" zoomScaleNormal="100" zoomScaleSheetLayoutView="100" workbookViewId="0">
      <pane ySplit="11" topLeftCell="A295" activePane="bottomLeft" state="frozen"/>
      <selection activeCell="A175" sqref="A175"/>
      <selection pane="bottomLeft" activeCell="AA2" sqref="AA2"/>
    </sheetView>
  </sheetViews>
  <sheetFormatPr defaultRowHeight="12.75"/>
  <cols>
    <col min="1" max="1" width="8.140625" style="181" bestFit="1" customWidth="1"/>
    <col min="2" max="2" width="22.42578125" style="181" customWidth="1"/>
    <col min="3" max="3" width="9" style="181" hidden="1" customWidth="1"/>
    <col min="4" max="4" width="9.7109375" style="181" hidden="1" customWidth="1"/>
    <col min="5" max="5" width="10.140625" style="181" hidden="1" customWidth="1"/>
    <col min="6" max="7" width="9.42578125" style="181" customWidth="1"/>
    <col min="8" max="8" width="6.140625" style="181" hidden="1" customWidth="1"/>
    <col min="9" max="9" width="10.28515625" style="181" customWidth="1"/>
    <col min="10" max="10" width="7.5703125" style="181" hidden="1" customWidth="1"/>
    <col min="11" max="11" width="9.28515625" style="181" customWidth="1"/>
    <col min="12" max="12" width="8.7109375" style="181" customWidth="1"/>
    <col min="13" max="13" width="9.140625" style="181"/>
    <col min="14" max="14" width="5.28515625" style="181" customWidth="1"/>
    <col min="15" max="15" width="11.28515625" style="181" customWidth="1"/>
    <col min="16" max="16" width="20.42578125" style="181" hidden="1" customWidth="1"/>
    <col min="17" max="17" width="10.5703125" style="181" hidden="1" customWidth="1"/>
    <col min="18" max="18" width="0" style="181" hidden="1" customWidth="1"/>
    <col min="19" max="19" width="12.42578125" style="181" hidden="1" customWidth="1"/>
    <col min="20" max="20" width="9.5703125" style="181" hidden="1" customWidth="1"/>
    <col min="21" max="21" width="0" style="181" hidden="1" customWidth="1"/>
    <col min="22" max="22" width="12.85546875" style="181" hidden="1" customWidth="1"/>
    <col min="23" max="23" width="9.7109375" style="181" hidden="1" customWidth="1"/>
    <col min="24" max="24" width="0" style="181" hidden="1" customWidth="1"/>
    <col min="25" max="25" width="13.7109375" style="181" hidden="1" customWidth="1"/>
    <col min="26" max="26" width="0" style="181" hidden="1" customWidth="1"/>
    <col min="27" max="27" width="23" style="181" customWidth="1"/>
    <col min="28" max="28" width="10.42578125" style="181" customWidth="1"/>
    <col min="29" max="29" width="9.140625" style="181"/>
    <col min="30" max="30" width="11.42578125" style="181" customWidth="1"/>
    <col min="31" max="31" width="11" style="181" customWidth="1"/>
    <col min="32" max="32" width="9.140625" style="181"/>
    <col min="33" max="33" width="11.7109375" style="181" customWidth="1"/>
    <col min="34" max="34" width="10.7109375" style="181" customWidth="1"/>
    <col min="35" max="35" width="9.140625" style="181"/>
    <col min="36" max="36" width="11.5703125" style="181" customWidth="1"/>
    <col min="37" max="37" width="10.42578125" style="181" customWidth="1"/>
    <col min="38" max="38" width="9.140625" style="181"/>
    <col min="39" max="39" width="12.7109375" style="181" customWidth="1"/>
    <col min="40" max="257" width="9.140625" style="181"/>
    <col min="258" max="258" width="8.140625" style="181" bestFit="1" customWidth="1"/>
    <col min="259" max="259" width="22.42578125" style="181" customWidth="1"/>
    <col min="260" max="260" width="10.7109375" style="181" customWidth="1"/>
    <col min="261" max="261" width="9.7109375" style="181" customWidth="1"/>
    <col min="262" max="262" width="0" style="181" hidden="1" customWidth="1"/>
    <col min="263" max="263" width="9.42578125" style="181" customWidth="1"/>
    <col min="264" max="265" width="9.140625" style="181"/>
    <col min="266" max="266" width="8.5703125" style="181" bestFit="1" customWidth="1"/>
    <col min="267" max="270" width="9.140625" style="181"/>
    <col min="271" max="271" width="8.140625" style="181" bestFit="1" customWidth="1"/>
    <col min="272" max="513" width="9.140625" style="181"/>
    <col min="514" max="514" width="8.140625" style="181" bestFit="1" customWidth="1"/>
    <col min="515" max="515" width="22.42578125" style="181" customWidth="1"/>
    <col min="516" max="516" width="10.7109375" style="181" customWidth="1"/>
    <col min="517" max="517" width="9.7109375" style="181" customWidth="1"/>
    <col min="518" max="518" width="0" style="181" hidden="1" customWidth="1"/>
    <col min="519" max="519" width="9.42578125" style="181" customWidth="1"/>
    <col min="520" max="521" width="9.140625" style="181"/>
    <col min="522" max="522" width="8.5703125" style="181" bestFit="1" customWidth="1"/>
    <col min="523" max="526" width="9.140625" style="181"/>
    <col min="527" max="527" width="8.140625" style="181" bestFit="1" customWidth="1"/>
    <col min="528" max="769" width="9.140625" style="181"/>
    <col min="770" max="770" width="8.140625" style="181" bestFit="1" customWidth="1"/>
    <col min="771" max="771" width="22.42578125" style="181" customWidth="1"/>
    <col min="772" max="772" width="10.7109375" style="181" customWidth="1"/>
    <col min="773" max="773" width="9.7109375" style="181" customWidth="1"/>
    <col min="774" max="774" width="0" style="181" hidden="1" customWidth="1"/>
    <col min="775" max="775" width="9.42578125" style="181" customWidth="1"/>
    <col min="776" max="777" width="9.140625" style="181"/>
    <col min="778" max="778" width="8.5703125" style="181" bestFit="1" customWidth="1"/>
    <col min="779" max="782" width="9.140625" style="181"/>
    <col min="783" max="783" width="8.140625" style="181" bestFit="1" customWidth="1"/>
    <col min="784" max="1025" width="9.140625" style="181"/>
    <col min="1026" max="1026" width="8.140625" style="181" bestFit="1" customWidth="1"/>
    <col min="1027" max="1027" width="22.42578125" style="181" customWidth="1"/>
    <col min="1028" max="1028" width="10.7109375" style="181" customWidth="1"/>
    <col min="1029" max="1029" width="9.7109375" style="181" customWidth="1"/>
    <col min="1030" max="1030" width="0" style="181" hidden="1" customWidth="1"/>
    <col min="1031" max="1031" width="9.42578125" style="181" customWidth="1"/>
    <col min="1032" max="1033" width="9.140625" style="181"/>
    <col min="1034" max="1034" width="8.5703125" style="181" bestFit="1" customWidth="1"/>
    <col min="1035" max="1038" width="9.140625" style="181"/>
    <col min="1039" max="1039" width="8.140625" style="181" bestFit="1" customWidth="1"/>
    <col min="1040" max="1281" width="9.140625" style="181"/>
    <col min="1282" max="1282" width="8.140625" style="181" bestFit="1" customWidth="1"/>
    <col min="1283" max="1283" width="22.42578125" style="181" customWidth="1"/>
    <col min="1284" max="1284" width="10.7109375" style="181" customWidth="1"/>
    <col min="1285" max="1285" width="9.7109375" style="181" customWidth="1"/>
    <col min="1286" max="1286" width="0" style="181" hidden="1" customWidth="1"/>
    <col min="1287" max="1287" width="9.42578125" style="181" customWidth="1"/>
    <col min="1288" max="1289" width="9.140625" style="181"/>
    <col min="1290" max="1290" width="8.5703125" style="181" bestFit="1" customWidth="1"/>
    <col min="1291" max="1294" width="9.140625" style="181"/>
    <col min="1295" max="1295" width="8.140625" style="181" bestFit="1" customWidth="1"/>
    <col min="1296" max="1537" width="9.140625" style="181"/>
    <col min="1538" max="1538" width="8.140625" style="181" bestFit="1" customWidth="1"/>
    <col min="1539" max="1539" width="22.42578125" style="181" customWidth="1"/>
    <col min="1540" max="1540" width="10.7109375" style="181" customWidth="1"/>
    <col min="1541" max="1541" width="9.7109375" style="181" customWidth="1"/>
    <col min="1542" max="1542" width="0" style="181" hidden="1" customWidth="1"/>
    <col min="1543" max="1543" width="9.42578125" style="181" customWidth="1"/>
    <col min="1544" max="1545" width="9.140625" style="181"/>
    <col min="1546" max="1546" width="8.5703125" style="181" bestFit="1" customWidth="1"/>
    <col min="1547" max="1550" width="9.140625" style="181"/>
    <col min="1551" max="1551" width="8.140625" style="181" bestFit="1" customWidth="1"/>
    <col min="1552" max="1793" width="9.140625" style="181"/>
    <col min="1794" max="1794" width="8.140625" style="181" bestFit="1" customWidth="1"/>
    <col min="1795" max="1795" width="22.42578125" style="181" customWidth="1"/>
    <col min="1796" max="1796" width="10.7109375" style="181" customWidth="1"/>
    <col min="1797" max="1797" width="9.7109375" style="181" customWidth="1"/>
    <col min="1798" max="1798" width="0" style="181" hidden="1" customWidth="1"/>
    <col min="1799" max="1799" width="9.42578125" style="181" customWidth="1"/>
    <col min="1800" max="1801" width="9.140625" style="181"/>
    <col min="1802" max="1802" width="8.5703125" style="181" bestFit="1" customWidth="1"/>
    <col min="1803" max="1806" width="9.140625" style="181"/>
    <col min="1807" max="1807" width="8.140625" style="181" bestFit="1" customWidth="1"/>
    <col min="1808" max="2049" width="9.140625" style="181"/>
    <col min="2050" max="2050" width="8.140625" style="181" bestFit="1" customWidth="1"/>
    <col min="2051" max="2051" width="22.42578125" style="181" customWidth="1"/>
    <col min="2052" max="2052" width="10.7109375" style="181" customWidth="1"/>
    <col min="2053" max="2053" width="9.7109375" style="181" customWidth="1"/>
    <col min="2054" max="2054" width="0" style="181" hidden="1" customWidth="1"/>
    <col min="2055" max="2055" width="9.42578125" style="181" customWidth="1"/>
    <col min="2056" max="2057" width="9.140625" style="181"/>
    <col min="2058" max="2058" width="8.5703125" style="181" bestFit="1" customWidth="1"/>
    <col min="2059" max="2062" width="9.140625" style="181"/>
    <col min="2063" max="2063" width="8.140625" style="181" bestFit="1" customWidth="1"/>
    <col min="2064" max="2305" width="9.140625" style="181"/>
    <col min="2306" max="2306" width="8.140625" style="181" bestFit="1" customWidth="1"/>
    <col min="2307" max="2307" width="22.42578125" style="181" customWidth="1"/>
    <col min="2308" max="2308" width="10.7109375" style="181" customWidth="1"/>
    <col min="2309" max="2309" width="9.7109375" style="181" customWidth="1"/>
    <col min="2310" max="2310" width="0" style="181" hidden="1" customWidth="1"/>
    <col min="2311" max="2311" width="9.42578125" style="181" customWidth="1"/>
    <col min="2312" max="2313" width="9.140625" style="181"/>
    <col min="2314" max="2314" width="8.5703125" style="181" bestFit="1" customWidth="1"/>
    <col min="2315" max="2318" width="9.140625" style="181"/>
    <col min="2319" max="2319" width="8.140625" style="181" bestFit="1" customWidth="1"/>
    <col min="2320" max="2561" width="9.140625" style="181"/>
    <col min="2562" max="2562" width="8.140625" style="181" bestFit="1" customWidth="1"/>
    <col min="2563" max="2563" width="22.42578125" style="181" customWidth="1"/>
    <col min="2564" max="2564" width="10.7109375" style="181" customWidth="1"/>
    <col min="2565" max="2565" width="9.7109375" style="181" customWidth="1"/>
    <col min="2566" max="2566" width="0" style="181" hidden="1" customWidth="1"/>
    <col min="2567" max="2567" width="9.42578125" style="181" customWidth="1"/>
    <col min="2568" max="2569" width="9.140625" style="181"/>
    <col min="2570" max="2570" width="8.5703125" style="181" bestFit="1" customWidth="1"/>
    <col min="2571" max="2574" width="9.140625" style="181"/>
    <col min="2575" max="2575" width="8.140625" style="181" bestFit="1" customWidth="1"/>
    <col min="2576" max="2817" width="9.140625" style="181"/>
    <col min="2818" max="2818" width="8.140625" style="181" bestFit="1" customWidth="1"/>
    <col min="2819" max="2819" width="22.42578125" style="181" customWidth="1"/>
    <col min="2820" max="2820" width="10.7109375" style="181" customWidth="1"/>
    <col min="2821" max="2821" width="9.7109375" style="181" customWidth="1"/>
    <col min="2822" max="2822" width="0" style="181" hidden="1" customWidth="1"/>
    <col min="2823" max="2823" width="9.42578125" style="181" customWidth="1"/>
    <col min="2824" max="2825" width="9.140625" style="181"/>
    <col min="2826" max="2826" width="8.5703125" style="181" bestFit="1" customWidth="1"/>
    <col min="2827" max="2830" width="9.140625" style="181"/>
    <col min="2831" max="2831" width="8.140625" style="181" bestFit="1" customWidth="1"/>
    <col min="2832" max="3073" width="9.140625" style="181"/>
    <col min="3074" max="3074" width="8.140625" style="181" bestFit="1" customWidth="1"/>
    <col min="3075" max="3075" width="22.42578125" style="181" customWidth="1"/>
    <col min="3076" max="3076" width="10.7109375" style="181" customWidth="1"/>
    <col min="3077" max="3077" width="9.7109375" style="181" customWidth="1"/>
    <col min="3078" max="3078" width="0" style="181" hidden="1" customWidth="1"/>
    <col min="3079" max="3079" width="9.42578125" style="181" customWidth="1"/>
    <col min="3080" max="3081" width="9.140625" style="181"/>
    <col min="3082" max="3082" width="8.5703125" style="181" bestFit="1" customWidth="1"/>
    <col min="3083" max="3086" width="9.140625" style="181"/>
    <col min="3087" max="3087" width="8.140625" style="181" bestFit="1" customWidth="1"/>
    <col min="3088" max="3329" width="9.140625" style="181"/>
    <col min="3330" max="3330" width="8.140625" style="181" bestFit="1" customWidth="1"/>
    <col min="3331" max="3331" width="22.42578125" style="181" customWidth="1"/>
    <col min="3332" max="3332" width="10.7109375" style="181" customWidth="1"/>
    <col min="3333" max="3333" width="9.7109375" style="181" customWidth="1"/>
    <col min="3334" max="3334" width="0" style="181" hidden="1" customWidth="1"/>
    <col min="3335" max="3335" width="9.42578125" style="181" customWidth="1"/>
    <col min="3336" max="3337" width="9.140625" style="181"/>
    <col min="3338" max="3338" width="8.5703125" style="181" bestFit="1" customWidth="1"/>
    <col min="3339" max="3342" width="9.140625" style="181"/>
    <col min="3343" max="3343" width="8.140625" style="181" bestFit="1" customWidth="1"/>
    <col min="3344" max="3585" width="9.140625" style="181"/>
    <col min="3586" max="3586" width="8.140625" style="181" bestFit="1" customWidth="1"/>
    <col min="3587" max="3587" width="22.42578125" style="181" customWidth="1"/>
    <col min="3588" max="3588" width="10.7109375" style="181" customWidth="1"/>
    <col min="3589" max="3589" width="9.7109375" style="181" customWidth="1"/>
    <col min="3590" max="3590" width="0" style="181" hidden="1" customWidth="1"/>
    <col min="3591" max="3591" width="9.42578125" style="181" customWidth="1"/>
    <col min="3592" max="3593" width="9.140625" style="181"/>
    <col min="3594" max="3594" width="8.5703125" style="181" bestFit="1" customWidth="1"/>
    <col min="3595" max="3598" width="9.140625" style="181"/>
    <col min="3599" max="3599" width="8.140625" style="181" bestFit="1" customWidth="1"/>
    <col min="3600" max="3841" width="9.140625" style="181"/>
    <col min="3842" max="3842" width="8.140625" style="181" bestFit="1" customWidth="1"/>
    <col min="3843" max="3843" width="22.42578125" style="181" customWidth="1"/>
    <col min="3844" max="3844" width="10.7109375" style="181" customWidth="1"/>
    <col min="3845" max="3845" width="9.7109375" style="181" customWidth="1"/>
    <col min="3846" max="3846" width="0" style="181" hidden="1" customWidth="1"/>
    <col min="3847" max="3847" width="9.42578125" style="181" customWidth="1"/>
    <col min="3848" max="3849" width="9.140625" style="181"/>
    <col min="3850" max="3850" width="8.5703125" style="181" bestFit="1" customWidth="1"/>
    <col min="3851" max="3854" width="9.140625" style="181"/>
    <col min="3855" max="3855" width="8.140625" style="181" bestFit="1" customWidth="1"/>
    <col min="3856" max="4097" width="9.140625" style="181"/>
    <col min="4098" max="4098" width="8.140625" style="181" bestFit="1" customWidth="1"/>
    <col min="4099" max="4099" width="22.42578125" style="181" customWidth="1"/>
    <col min="4100" max="4100" width="10.7109375" style="181" customWidth="1"/>
    <col min="4101" max="4101" width="9.7109375" style="181" customWidth="1"/>
    <col min="4102" max="4102" width="0" style="181" hidden="1" customWidth="1"/>
    <col min="4103" max="4103" width="9.42578125" style="181" customWidth="1"/>
    <col min="4104" max="4105" width="9.140625" style="181"/>
    <col min="4106" max="4106" width="8.5703125" style="181" bestFit="1" customWidth="1"/>
    <col min="4107" max="4110" width="9.140625" style="181"/>
    <col min="4111" max="4111" width="8.140625" style="181" bestFit="1" customWidth="1"/>
    <col min="4112" max="4353" width="9.140625" style="181"/>
    <col min="4354" max="4354" width="8.140625" style="181" bestFit="1" customWidth="1"/>
    <col min="4355" max="4355" width="22.42578125" style="181" customWidth="1"/>
    <col min="4356" max="4356" width="10.7109375" style="181" customWidth="1"/>
    <col min="4357" max="4357" width="9.7109375" style="181" customWidth="1"/>
    <col min="4358" max="4358" width="0" style="181" hidden="1" customWidth="1"/>
    <col min="4359" max="4359" width="9.42578125" style="181" customWidth="1"/>
    <col min="4360" max="4361" width="9.140625" style="181"/>
    <col min="4362" max="4362" width="8.5703125" style="181" bestFit="1" customWidth="1"/>
    <col min="4363" max="4366" width="9.140625" style="181"/>
    <col min="4367" max="4367" width="8.140625" style="181" bestFit="1" customWidth="1"/>
    <col min="4368" max="4609" width="9.140625" style="181"/>
    <col min="4610" max="4610" width="8.140625" style="181" bestFit="1" customWidth="1"/>
    <col min="4611" max="4611" width="22.42578125" style="181" customWidth="1"/>
    <col min="4612" max="4612" width="10.7109375" style="181" customWidth="1"/>
    <col min="4613" max="4613" width="9.7109375" style="181" customWidth="1"/>
    <col min="4614" max="4614" width="0" style="181" hidden="1" customWidth="1"/>
    <col min="4615" max="4615" width="9.42578125" style="181" customWidth="1"/>
    <col min="4616" max="4617" width="9.140625" style="181"/>
    <col min="4618" max="4618" width="8.5703125" style="181" bestFit="1" customWidth="1"/>
    <col min="4619" max="4622" width="9.140625" style="181"/>
    <col min="4623" max="4623" width="8.140625" style="181" bestFit="1" customWidth="1"/>
    <col min="4624" max="4865" width="9.140625" style="181"/>
    <col min="4866" max="4866" width="8.140625" style="181" bestFit="1" customWidth="1"/>
    <col min="4867" max="4867" width="22.42578125" style="181" customWidth="1"/>
    <col min="4868" max="4868" width="10.7109375" style="181" customWidth="1"/>
    <col min="4869" max="4869" width="9.7109375" style="181" customWidth="1"/>
    <col min="4870" max="4870" width="0" style="181" hidden="1" customWidth="1"/>
    <col min="4871" max="4871" width="9.42578125" style="181" customWidth="1"/>
    <col min="4872" max="4873" width="9.140625" style="181"/>
    <col min="4874" max="4874" width="8.5703125" style="181" bestFit="1" customWidth="1"/>
    <col min="4875" max="4878" width="9.140625" style="181"/>
    <col min="4879" max="4879" width="8.140625" style="181" bestFit="1" customWidth="1"/>
    <col min="4880" max="5121" width="9.140625" style="181"/>
    <col min="5122" max="5122" width="8.140625" style="181" bestFit="1" customWidth="1"/>
    <col min="5123" max="5123" width="22.42578125" style="181" customWidth="1"/>
    <col min="5124" max="5124" width="10.7109375" style="181" customWidth="1"/>
    <col min="5125" max="5125" width="9.7109375" style="181" customWidth="1"/>
    <col min="5126" max="5126" width="0" style="181" hidden="1" customWidth="1"/>
    <col min="5127" max="5127" width="9.42578125" style="181" customWidth="1"/>
    <col min="5128" max="5129" width="9.140625" style="181"/>
    <col min="5130" max="5130" width="8.5703125" style="181" bestFit="1" customWidth="1"/>
    <col min="5131" max="5134" width="9.140625" style="181"/>
    <col min="5135" max="5135" width="8.140625" style="181" bestFit="1" customWidth="1"/>
    <col min="5136" max="5377" width="9.140625" style="181"/>
    <col min="5378" max="5378" width="8.140625" style="181" bestFit="1" customWidth="1"/>
    <col min="5379" max="5379" width="22.42578125" style="181" customWidth="1"/>
    <col min="5380" max="5380" width="10.7109375" style="181" customWidth="1"/>
    <col min="5381" max="5381" width="9.7109375" style="181" customWidth="1"/>
    <col min="5382" max="5382" width="0" style="181" hidden="1" customWidth="1"/>
    <col min="5383" max="5383" width="9.42578125" style="181" customWidth="1"/>
    <col min="5384" max="5385" width="9.140625" style="181"/>
    <col min="5386" max="5386" width="8.5703125" style="181" bestFit="1" customWidth="1"/>
    <col min="5387" max="5390" width="9.140625" style="181"/>
    <col min="5391" max="5391" width="8.140625" style="181" bestFit="1" customWidth="1"/>
    <col min="5392" max="5633" width="9.140625" style="181"/>
    <col min="5634" max="5634" width="8.140625" style="181" bestFit="1" customWidth="1"/>
    <col min="5635" max="5635" width="22.42578125" style="181" customWidth="1"/>
    <col min="5636" max="5636" width="10.7109375" style="181" customWidth="1"/>
    <col min="5637" max="5637" width="9.7109375" style="181" customWidth="1"/>
    <col min="5638" max="5638" width="0" style="181" hidden="1" customWidth="1"/>
    <col min="5639" max="5639" width="9.42578125" style="181" customWidth="1"/>
    <col min="5640" max="5641" width="9.140625" style="181"/>
    <col min="5642" max="5642" width="8.5703125" style="181" bestFit="1" customWidth="1"/>
    <col min="5643" max="5646" width="9.140625" style="181"/>
    <col min="5647" max="5647" width="8.140625" style="181" bestFit="1" customWidth="1"/>
    <col min="5648" max="5889" width="9.140625" style="181"/>
    <col min="5890" max="5890" width="8.140625" style="181" bestFit="1" customWidth="1"/>
    <col min="5891" max="5891" width="22.42578125" style="181" customWidth="1"/>
    <col min="5892" max="5892" width="10.7109375" style="181" customWidth="1"/>
    <col min="5893" max="5893" width="9.7109375" style="181" customWidth="1"/>
    <col min="5894" max="5894" width="0" style="181" hidden="1" customWidth="1"/>
    <col min="5895" max="5895" width="9.42578125" style="181" customWidth="1"/>
    <col min="5896" max="5897" width="9.140625" style="181"/>
    <col min="5898" max="5898" width="8.5703125" style="181" bestFit="1" customWidth="1"/>
    <col min="5899" max="5902" width="9.140625" style="181"/>
    <col min="5903" max="5903" width="8.140625" style="181" bestFit="1" customWidth="1"/>
    <col min="5904" max="6145" width="9.140625" style="181"/>
    <col min="6146" max="6146" width="8.140625" style="181" bestFit="1" customWidth="1"/>
    <col min="6147" max="6147" width="22.42578125" style="181" customWidth="1"/>
    <col min="6148" max="6148" width="10.7109375" style="181" customWidth="1"/>
    <col min="6149" max="6149" width="9.7109375" style="181" customWidth="1"/>
    <col min="6150" max="6150" width="0" style="181" hidden="1" customWidth="1"/>
    <col min="6151" max="6151" width="9.42578125" style="181" customWidth="1"/>
    <col min="6152" max="6153" width="9.140625" style="181"/>
    <col min="6154" max="6154" width="8.5703125" style="181" bestFit="1" customWidth="1"/>
    <col min="6155" max="6158" width="9.140625" style="181"/>
    <col min="6159" max="6159" width="8.140625" style="181" bestFit="1" customWidth="1"/>
    <col min="6160" max="6401" width="9.140625" style="181"/>
    <col min="6402" max="6402" width="8.140625" style="181" bestFit="1" customWidth="1"/>
    <col min="6403" max="6403" width="22.42578125" style="181" customWidth="1"/>
    <col min="6404" max="6404" width="10.7109375" style="181" customWidth="1"/>
    <col min="6405" max="6405" width="9.7109375" style="181" customWidth="1"/>
    <col min="6406" max="6406" width="0" style="181" hidden="1" customWidth="1"/>
    <col min="6407" max="6407" width="9.42578125" style="181" customWidth="1"/>
    <col min="6408" max="6409" width="9.140625" style="181"/>
    <col min="6410" max="6410" width="8.5703125" style="181" bestFit="1" customWidth="1"/>
    <col min="6411" max="6414" width="9.140625" style="181"/>
    <col min="6415" max="6415" width="8.140625" style="181" bestFit="1" customWidth="1"/>
    <col min="6416" max="6657" width="9.140625" style="181"/>
    <col min="6658" max="6658" width="8.140625" style="181" bestFit="1" customWidth="1"/>
    <col min="6659" max="6659" width="22.42578125" style="181" customWidth="1"/>
    <col min="6660" max="6660" width="10.7109375" style="181" customWidth="1"/>
    <col min="6661" max="6661" width="9.7109375" style="181" customWidth="1"/>
    <col min="6662" max="6662" width="0" style="181" hidden="1" customWidth="1"/>
    <col min="6663" max="6663" width="9.42578125" style="181" customWidth="1"/>
    <col min="6664" max="6665" width="9.140625" style="181"/>
    <col min="6666" max="6666" width="8.5703125" style="181" bestFit="1" customWidth="1"/>
    <col min="6667" max="6670" width="9.140625" style="181"/>
    <col min="6671" max="6671" width="8.140625" style="181" bestFit="1" customWidth="1"/>
    <col min="6672" max="6913" width="9.140625" style="181"/>
    <col min="6914" max="6914" width="8.140625" style="181" bestFit="1" customWidth="1"/>
    <col min="6915" max="6915" width="22.42578125" style="181" customWidth="1"/>
    <col min="6916" max="6916" width="10.7109375" style="181" customWidth="1"/>
    <col min="6917" max="6917" width="9.7109375" style="181" customWidth="1"/>
    <col min="6918" max="6918" width="0" style="181" hidden="1" customWidth="1"/>
    <col min="6919" max="6919" width="9.42578125" style="181" customWidth="1"/>
    <col min="6920" max="6921" width="9.140625" style="181"/>
    <col min="6922" max="6922" width="8.5703125" style="181" bestFit="1" customWidth="1"/>
    <col min="6923" max="6926" width="9.140625" style="181"/>
    <col min="6927" max="6927" width="8.140625" style="181" bestFit="1" customWidth="1"/>
    <col min="6928" max="7169" width="9.140625" style="181"/>
    <col min="7170" max="7170" width="8.140625" style="181" bestFit="1" customWidth="1"/>
    <col min="7171" max="7171" width="22.42578125" style="181" customWidth="1"/>
    <col min="7172" max="7172" width="10.7109375" style="181" customWidth="1"/>
    <col min="7173" max="7173" width="9.7109375" style="181" customWidth="1"/>
    <col min="7174" max="7174" width="0" style="181" hidden="1" customWidth="1"/>
    <col min="7175" max="7175" width="9.42578125" style="181" customWidth="1"/>
    <col min="7176" max="7177" width="9.140625" style="181"/>
    <col min="7178" max="7178" width="8.5703125" style="181" bestFit="1" customWidth="1"/>
    <col min="7179" max="7182" width="9.140625" style="181"/>
    <col min="7183" max="7183" width="8.140625" style="181" bestFit="1" customWidth="1"/>
    <col min="7184" max="7425" width="9.140625" style="181"/>
    <col min="7426" max="7426" width="8.140625" style="181" bestFit="1" customWidth="1"/>
    <col min="7427" max="7427" width="22.42578125" style="181" customWidth="1"/>
    <col min="7428" max="7428" width="10.7109375" style="181" customWidth="1"/>
    <col min="7429" max="7429" width="9.7109375" style="181" customWidth="1"/>
    <col min="7430" max="7430" width="0" style="181" hidden="1" customWidth="1"/>
    <col min="7431" max="7431" width="9.42578125" style="181" customWidth="1"/>
    <col min="7432" max="7433" width="9.140625" style="181"/>
    <col min="7434" max="7434" width="8.5703125" style="181" bestFit="1" customWidth="1"/>
    <col min="7435" max="7438" width="9.140625" style="181"/>
    <col min="7439" max="7439" width="8.140625" style="181" bestFit="1" customWidth="1"/>
    <col min="7440" max="7681" width="9.140625" style="181"/>
    <col min="7682" max="7682" width="8.140625" style="181" bestFit="1" customWidth="1"/>
    <col min="7683" max="7683" width="22.42578125" style="181" customWidth="1"/>
    <col min="7684" max="7684" width="10.7109375" style="181" customWidth="1"/>
    <col min="7685" max="7685" width="9.7109375" style="181" customWidth="1"/>
    <col min="7686" max="7686" width="0" style="181" hidden="1" customWidth="1"/>
    <col min="7687" max="7687" width="9.42578125" style="181" customWidth="1"/>
    <col min="7688" max="7689" width="9.140625" style="181"/>
    <col min="7690" max="7690" width="8.5703125" style="181" bestFit="1" customWidth="1"/>
    <col min="7691" max="7694" width="9.140625" style="181"/>
    <col min="7695" max="7695" width="8.140625" style="181" bestFit="1" customWidth="1"/>
    <col min="7696" max="7937" width="9.140625" style="181"/>
    <col min="7938" max="7938" width="8.140625" style="181" bestFit="1" customWidth="1"/>
    <col min="7939" max="7939" width="22.42578125" style="181" customWidth="1"/>
    <col min="7940" max="7940" width="10.7109375" style="181" customWidth="1"/>
    <col min="7941" max="7941" width="9.7109375" style="181" customWidth="1"/>
    <col min="7942" max="7942" width="0" style="181" hidden="1" customWidth="1"/>
    <col min="7943" max="7943" width="9.42578125" style="181" customWidth="1"/>
    <col min="7944" max="7945" width="9.140625" style="181"/>
    <col min="7946" max="7946" width="8.5703125" style="181" bestFit="1" customWidth="1"/>
    <col min="7947" max="7950" width="9.140625" style="181"/>
    <col min="7951" max="7951" width="8.140625" style="181" bestFit="1" customWidth="1"/>
    <col min="7952" max="8193" width="9.140625" style="181"/>
    <col min="8194" max="8194" width="8.140625" style="181" bestFit="1" customWidth="1"/>
    <col min="8195" max="8195" width="22.42578125" style="181" customWidth="1"/>
    <col min="8196" max="8196" width="10.7109375" style="181" customWidth="1"/>
    <col min="8197" max="8197" width="9.7109375" style="181" customWidth="1"/>
    <col min="8198" max="8198" width="0" style="181" hidden="1" customWidth="1"/>
    <col min="8199" max="8199" width="9.42578125" style="181" customWidth="1"/>
    <col min="8200" max="8201" width="9.140625" style="181"/>
    <col min="8202" max="8202" width="8.5703125" style="181" bestFit="1" customWidth="1"/>
    <col min="8203" max="8206" width="9.140625" style="181"/>
    <col min="8207" max="8207" width="8.140625" style="181" bestFit="1" customWidth="1"/>
    <col min="8208" max="8449" width="9.140625" style="181"/>
    <col min="8450" max="8450" width="8.140625" style="181" bestFit="1" customWidth="1"/>
    <col min="8451" max="8451" width="22.42578125" style="181" customWidth="1"/>
    <col min="8452" max="8452" width="10.7109375" style="181" customWidth="1"/>
    <col min="8453" max="8453" width="9.7109375" style="181" customWidth="1"/>
    <col min="8454" max="8454" width="0" style="181" hidden="1" customWidth="1"/>
    <col min="8455" max="8455" width="9.42578125" style="181" customWidth="1"/>
    <col min="8456" max="8457" width="9.140625" style="181"/>
    <col min="8458" max="8458" width="8.5703125" style="181" bestFit="1" customWidth="1"/>
    <col min="8459" max="8462" width="9.140625" style="181"/>
    <col min="8463" max="8463" width="8.140625" style="181" bestFit="1" customWidth="1"/>
    <col min="8464" max="8705" width="9.140625" style="181"/>
    <col min="8706" max="8706" width="8.140625" style="181" bestFit="1" customWidth="1"/>
    <col min="8707" max="8707" width="22.42578125" style="181" customWidth="1"/>
    <col min="8708" max="8708" width="10.7109375" style="181" customWidth="1"/>
    <col min="8709" max="8709" width="9.7109375" style="181" customWidth="1"/>
    <col min="8710" max="8710" width="0" style="181" hidden="1" customWidth="1"/>
    <col min="8711" max="8711" width="9.42578125" style="181" customWidth="1"/>
    <col min="8712" max="8713" width="9.140625" style="181"/>
    <col min="8714" max="8714" width="8.5703125" style="181" bestFit="1" customWidth="1"/>
    <col min="8715" max="8718" width="9.140625" style="181"/>
    <col min="8719" max="8719" width="8.140625" style="181" bestFit="1" customWidth="1"/>
    <col min="8720" max="8961" width="9.140625" style="181"/>
    <col min="8962" max="8962" width="8.140625" style="181" bestFit="1" customWidth="1"/>
    <col min="8963" max="8963" width="22.42578125" style="181" customWidth="1"/>
    <col min="8964" max="8964" width="10.7109375" style="181" customWidth="1"/>
    <col min="8965" max="8965" width="9.7109375" style="181" customWidth="1"/>
    <col min="8966" max="8966" width="0" style="181" hidden="1" customWidth="1"/>
    <col min="8967" max="8967" width="9.42578125" style="181" customWidth="1"/>
    <col min="8968" max="8969" width="9.140625" style="181"/>
    <col min="8970" max="8970" width="8.5703125" style="181" bestFit="1" customWidth="1"/>
    <col min="8971" max="8974" width="9.140625" style="181"/>
    <col min="8975" max="8975" width="8.140625" style="181" bestFit="1" customWidth="1"/>
    <col min="8976" max="9217" width="9.140625" style="181"/>
    <col min="9218" max="9218" width="8.140625" style="181" bestFit="1" customWidth="1"/>
    <col min="9219" max="9219" width="22.42578125" style="181" customWidth="1"/>
    <col min="9220" max="9220" width="10.7109375" style="181" customWidth="1"/>
    <col min="9221" max="9221" width="9.7109375" style="181" customWidth="1"/>
    <col min="9222" max="9222" width="0" style="181" hidden="1" customWidth="1"/>
    <col min="9223" max="9223" width="9.42578125" style="181" customWidth="1"/>
    <col min="9224" max="9225" width="9.140625" style="181"/>
    <col min="9226" max="9226" width="8.5703125" style="181" bestFit="1" customWidth="1"/>
    <col min="9227" max="9230" width="9.140625" style="181"/>
    <col min="9231" max="9231" width="8.140625" style="181" bestFit="1" customWidth="1"/>
    <col min="9232" max="9473" width="9.140625" style="181"/>
    <col min="9474" max="9474" width="8.140625" style="181" bestFit="1" customWidth="1"/>
    <col min="9475" max="9475" width="22.42578125" style="181" customWidth="1"/>
    <col min="9476" max="9476" width="10.7109375" style="181" customWidth="1"/>
    <col min="9477" max="9477" width="9.7109375" style="181" customWidth="1"/>
    <col min="9478" max="9478" width="0" style="181" hidden="1" customWidth="1"/>
    <col min="9479" max="9479" width="9.42578125" style="181" customWidth="1"/>
    <col min="9480" max="9481" width="9.140625" style="181"/>
    <col min="9482" max="9482" width="8.5703125" style="181" bestFit="1" customWidth="1"/>
    <col min="9483" max="9486" width="9.140625" style="181"/>
    <col min="9487" max="9487" width="8.140625" style="181" bestFit="1" customWidth="1"/>
    <col min="9488" max="9729" width="9.140625" style="181"/>
    <col min="9730" max="9730" width="8.140625" style="181" bestFit="1" customWidth="1"/>
    <col min="9731" max="9731" width="22.42578125" style="181" customWidth="1"/>
    <col min="9732" max="9732" width="10.7109375" style="181" customWidth="1"/>
    <col min="9733" max="9733" width="9.7109375" style="181" customWidth="1"/>
    <col min="9734" max="9734" width="0" style="181" hidden="1" customWidth="1"/>
    <col min="9735" max="9735" width="9.42578125" style="181" customWidth="1"/>
    <col min="9736" max="9737" width="9.140625" style="181"/>
    <col min="9738" max="9738" width="8.5703125" style="181" bestFit="1" customWidth="1"/>
    <col min="9739" max="9742" width="9.140625" style="181"/>
    <col min="9743" max="9743" width="8.140625" style="181" bestFit="1" customWidth="1"/>
    <col min="9744" max="9985" width="9.140625" style="181"/>
    <col min="9986" max="9986" width="8.140625" style="181" bestFit="1" customWidth="1"/>
    <col min="9987" max="9987" width="22.42578125" style="181" customWidth="1"/>
    <col min="9988" max="9988" width="10.7109375" style="181" customWidth="1"/>
    <col min="9989" max="9989" width="9.7109375" style="181" customWidth="1"/>
    <col min="9990" max="9990" width="0" style="181" hidden="1" customWidth="1"/>
    <col min="9991" max="9991" width="9.42578125" style="181" customWidth="1"/>
    <col min="9992" max="9993" width="9.140625" style="181"/>
    <col min="9994" max="9994" width="8.5703125" style="181" bestFit="1" customWidth="1"/>
    <col min="9995" max="9998" width="9.140625" style="181"/>
    <col min="9999" max="9999" width="8.140625" style="181" bestFit="1" customWidth="1"/>
    <col min="10000" max="10241" width="9.140625" style="181"/>
    <col min="10242" max="10242" width="8.140625" style="181" bestFit="1" customWidth="1"/>
    <col min="10243" max="10243" width="22.42578125" style="181" customWidth="1"/>
    <col min="10244" max="10244" width="10.7109375" style="181" customWidth="1"/>
    <col min="10245" max="10245" width="9.7109375" style="181" customWidth="1"/>
    <col min="10246" max="10246" width="0" style="181" hidden="1" customWidth="1"/>
    <col min="10247" max="10247" width="9.42578125" style="181" customWidth="1"/>
    <col min="10248" max="10249" width="9.140625" style="181"/>
    <col min="10250" max="10250" width="8.5703125" style="181" bestFit="1" customWidth="1"/>
    <col min="10251" max="10254" width="9.140625" style="181"/>
    <col min="10255" max="10255" width="8.140625" style="181" bestFit="1" customWidth="1"/>
    <col min="10256" max="10497" width="9.140625" style="181"/>
    <col min="10498" max="10498" width="8.140625" style="181" bestFit="1" customWidth="1"/>
    <col min="10499" max="10499" width="22.42578125" style="181" customWidth="1"/>
    <col min="10500" max="10500" width="10.7109375" style="181" customWidth="1"/>
    <col min="10501" max="10501" width="9.7109375" style="181" customWidth="1"/>
    <col min="10502" max="10502" width="0" style="181" hidden="1" customWidth="1"/>
    <col min="10503" max="10503" width="9.42578125" style="181" customWidth="1"/>
    <col min="10504" max="10505" width="9.140625" style="181"/>
    <col min="10506" max="10506" width="8.5703125" style="181" bestFit="1" customWidth="1"/>
    <col min="10507" max="10510" width="9.140625" style="181"/>
    <col min="10511" max="10511" width="8.140625" style="181" bestFit="1" customWidth="1"/>
    <col min="10512" max="10753" width="9.140625" style="181"/>
    <col min="10754" max="10754" width="8.140625" style="181" bestFit="1" customWidth="1"/>
    <col min="10755" max="10755" width="22.42578125" style="181" customWidth="1"/>
    <col min="10756" max="10756" width="10.7109375" style="181" customWidth="1"/>
    <col min="10757" max="10757" width="9.7109375" style="181" customWidth="1"/>
    <col min="10758" max="10758" width="0" style="181" hidden="1" customWidth="1"/>
    <col min="10759" max="10759" width="9.42578125" style="181" customWidth="1"/>
    <col min="10760" max="10761" width="9.140625" style="181"/>
    <col min="10762" max="10762" width="8.5703125" style="181" bestFit="1" customWidth="1"/>
    <col min="10763" max="10766" width="9.140625" style="181"/>
    <col min="10767" max="10767" width="8.140625" style="181" bestFit="1" customWidth="1"/>
    <col min="10768" max="11009" width="9.140625" style="181"/>
    <col min="11010" max="11010" width="8.140625" style="181" bestFit="1" customWidth="1"/>
    <col min="11011" max="11011" width="22.42578125" style="181" customWidth="1"/>
    <col min="11012" max="11012" width="10.7109375" style="181" customWidth="1"/>
    <col min="11013" max="11013" width="9.7109375" style="181" customWidth="1"/>
    <col min="11014" max="11014" width="0" style="181" hidden="1" customWidth="1"/>
    <col min="11015" max="11015" width="9.42578125" style="181" customWidth="1"/>
    <col min="11016" max="11017" width="9.140625" style="181"/>
    <col min="11018" max="11018" width="8.5703125" style="181" bestFit="1" customWidth="1"/>
    <col min="11019" max="11022" width="9.140625" style="181"/>
    <col min="11023" max="11023" width="8.140625" style="181" bestFit="1" customWidth="1"/>
    <col min="11024" max="11265" width="9.140625" style="181"/>
    <col min="11266" max="11266" width="8.140625" style="181" bestFit="1" customWidth="1"/>
    <col min="11267" max="11267" width="22.42578125" style="181" customWidth="1"/>
    <col min="11268" max="11268" width="10.7109375" style="181" customWidth="1"/>
    <col min="11269" max="11269" width="9.7109375" style="181" customWidth="1"/>
    <col min="11270" max="11270" width="0" style="181" hidden="1" customWidth="1"/>
    <col min="11271" max="11271" width="9.42578125" style="181" customWidth="1"/>
    <col min="11272" max="11273" width="9.140625" style="181"/>
    <col min="11274" max="11274" width="8.5703125" style="181" bestFit="1" customWidth="1"/>
    <col min="11275" max="11278" width="9.140625" style="181"/>
    <col min="11279" max="11279" width="8.140625" style="181" bestFit="1" customWidth="1"/>
    <col min="11280" max="11521" width="9.140625" style="181"/>
    <col min="11522" max="11522" width="8.140625" style="181" bestFit="1" customWidth="1"/>
    <col min="11523" max="11523" width="22.42578125" style="181" customWidth="1"/>
    <col min="11524" max="11524" width="10.7109375" style="181" customWidth="1"/>
    <col min="11525" max="11525" width="9.7109375" style="181" customWidth="1"/>
    <col min="11526" max="11526" width="0" style="181" hidden="1" customWidth="1"/>
    <col min="11527" max="11527" width="9.42578125" style="181" customWidth="1"/>
    <col min="11528" max="11529" width="9.140625" style="181"/>
    <col min="11530" max="11530" width="8.5703125" style="181" bestFit="1" customWidth="1"/>
    <col min="11531" max="11534" width="9.140625" style="181"/>
    <col min="11535" max="11535" width="8.140625" style="181" bestFit="1" customWidth="1"/>
    <col min="11536" max="11777" width="9.140625" style="181"/>
    <col min="11778" max="11778" width="8.140625" style="181" bestFit="1" customWidth="1"/>
    <col min="11779" max="11779" width="22.42578125" style="181" customWidth="1"/>
    <col min="11780" max="11780" width="10.7109375" style="181" customWidth="1"/>
    <col min="11781" max="11781" width="9.7109375" style="181" customWidth="1"/>
    <col min="11782" max="11782" width="0" style="181" hidden="1" customWidth="1"/>
    <col min="11783" max="11783" width="9.42578125" style="181" customWidth="1"/>
    <col min="11784" max="11785" width="9.140625" style="181"/>
    <col min="11786" max="11786" width="8.5703125" style="181" bestFit="1" customWidth="1"/>
    <col min="11787" max="11790" width="9.140625" style="181"/>
    <col min="11791" max="11791" width="8.140625" style="181" bestFit="1" customWidth="1"/>
    <col min="11792" max="12033" width="9.140625" style="181"/>
    <col min="12034" max="12034" width="8.140625" style="181" bestFit="1" customWidth="1"/>
    <col min="12035" max="12035" width="22.42578125" style="181" customWidth="1"/>
    <col min="12036" max="12036" width="10.7109375" style="181" customWidth="1"/>
    <col min="12037" max="12037" width="9.7109375" style="181" customWidth="1"/>
    <col min="12038" max="12038" width="0" style="181" hidden="1" customWidth="1"/>
    <col min="12039" max="12039" width="9.42578125" style="181" customWidth="1"/>
    <col min="12040" max="12041" width="9.140625" style="181"/>
    <col min="12042" max="12042" width="8.5703125" style="181" bestFit="1" customWidth="1"/>
    <col min="12043" max="12046" width="9.140625" style="181"/>
    <col min="12047" max="12047" width="8.140625" style="181" bestFit="1" customWidth="1"/>
    <col min="12048" max="12289" width="9.140625" style="181"/>
    <col min="12290" max="12290" width="8.140625" style="181" bestFit="1" customWidth="1"/>
    <col min="12291" max="12291" width="22.42578125" style="181" customWidth="1"/>
    <col min="12292" max="12292" width="10.7109375" style="181" customWidth="1"/>
    <col min="12293" max="12293" width="9.7109375" style="181" customWidth="1"/>
    <col min="12294" max="12294" width="0" style="181" hidden="1" customWidth="1"/>
    <col min="12295" max="12295" width="9.42578125" style="181" customWidth="1"/>
    <col min="12296" max="12297" width="9.140625" style="181"/>
    <col min="12298" max="12298" width="8.5703125" style="181" bestFit="1" customWidth="1"/>
    <col min="12299" max="12302" width="9.140625" style="181"/>
    <col min="12303" max="12303" width="8.140625" style="181" bestFit="1" customWidth="1"/>
    <col min="12304" max="12545" width="9.140625" style="181"/>
    <col min="12546" max="12546" width="8.140625" style="181" bestFit="1" customWidth="1"/>
    <col min="12547" max="12547" width="22.42578125" style="181" customWidth="1"/>
    <col min="12548" max="12548" width="10.7109375" style="181" customWidth="1"/>
    <col min="12549" max="12549" width="9.7109375" style="181" customWidth="1"/>
    <col min="12550" max="12550" width="0" style="181" hidden="1" customWidth="1"/>
    <col min="12551" max="12551" width="9.42578125" style="181" customWidth="1"/>
    <col min="12552" max="12553" width="9.140625" style="181"/>
    <col min="12554" max="12554" width="8.5703125" style="181" bestFit="1" customWidth="1"/>
    <col min="12555" max="12558" width="9.140625" style="181"/>
    <col min="12559" max="12559" width="8.140625" style="181" bestFit="1" customWidth="1"/>
    <col min="12560" max="12801" width="9.140625" style="181"/>
    <col min="12802" max="12802" width="8.140625" style="181" bestFit="1" customWidth="1"/>
    <col min="12803" max="12803" width="22.42578125" style="181" customWidth="1"/>
    <col min="12804" max="12804" width="10.7109375" style="181" customWidth="1"/>
    <col min="12805" max="12805" width="9.7109375" style="181" customWidth="1"/>
    <col min="12806" max="12806" width="0" style="181" hidden="1" customWidth="1"/>
    <col min="12807" max="12807" width="9.42578125" style="181" customWidth="1"/>
    <col min="12808" max="12809" width="9.140625" style="181"/>
    <col min="12810" max="12810" width="8.5703125" style="181" bestFit="1" customWidth="1"/>
    <col min="12811" max="12814" width="9.140625" style="181"/>
    <col min="12815" max="12815" width="8.140625" style="181" bestFit="1" customWidth="1"/>
    <col min="12816" max="13057" width="9.140625" style="181"/>
    <col min="13058" max="13058" width="8.140625" style="181" bestFit="1" customWidth="1"/>
    <col min="13059" max="13059" width="22.42578125" style="181" customWidth="1"/>
    <col min="13060" max="13060" width="10.7109375" style="181" customWidth="1"/>
    <col min="13061" max="13061" width="9.7109375" style="181" customWidth="1"/>
    <col min="13062" max="13062" width="0" style="181" hidden="1" customWidth="1"/>
    <col min="13063" max="13063" width="9.42578125" style="181" customWidth="1"/>
    <col min="13064" max="13065" width="9.140625" style="181"/>
    <col min="13066" max="13066" width="8.5703125" style="181" bestFit="1" customWidth="1"/>
    <col min="13067" max="13070" width="9.140625" style="181"/>
    <col min="13071" max="13071" width="8.140625" style="181" bestFit="1" customWidth="1"/>
    <col min="13072" max="13313" width="9.140625" style="181"/>
    <col min="13314" max="13314" width="8.140625" style="181" bestFit="1" customWidth="1"/>
    <col min="13315" max="13315" width="22.42578125" style="181" customWidth="1"/>
    <col min="13316" max="13316" width="10.7109375" style="181" customWidth="1"/>
    <col min="13317" max="13317" width="9.7109375" style="181" customWidth="1"/>
    <col min="13318" max="13318" width="0" style="181" hidden="1" customWidth="1"/>
    <col min="13319" max="13319" width="9.42578125" style="181" customWidth="1"/>
    <col min="13320" max="13321" width="9.140625" style="181"/>
    <col min="13322" max="13322" width="8.5703125" style="181" bestFit="1" customWidth="1"/>
    <col min="13323" max="13326" width="9.140625" style="181"/>
    <col min="13327" max="13327" width="8.140625" style="181" bestFit="1" customWidth="1"/>
    <col min="13328" max="13569" width="9.140625" style="181"/>
    <col min="13570" max="13570" width="8.140625" style="181" bestFit="1" customWidth="1"/>
    <col min="13571" max="13571" width="22.42578125" style="181" customWidth="1"/>
    <col min="13572" max="13572" width="10.7109375" style="181" customWidth="1"/>
    <col min="13573" max="13573" width="9.7109375" style="181" customWidth="1"/>
    <col min="13574" max="13574" width="0" style="181" hidden="1" customWidth="1"/>
    <col min="13575" max="13575" width="9.42578125" style="181" customWidth="1"/>
    <col min="13576" max="13577" width="9.140625" style="181"/>
    <col min="13578" max="13578" width="8.5703125" style="181" bestFit="1" customWidth="1"/>
    <col min="13579" max="13582" width="9.140625" style="181"/>
    <col min="13583" max="13583" width="8.140625" style="181" bestFit="1" customWidth="1"/>
    <col min="13584" max="13825" width="9.140625" style="181"/>
    <col min="13826" max="13826" width="8.140625" style="181" bestFit="1" customWidth="1"/>
    <col min="13827" max="13827" width="22.42578125" style="181" customWidth="1"/>
    <col min="13828" max="13828" width="10.7109375" style="181" customWidth="1"/>
    <col min="13829" max="13829" width="9.7109375" style="181" customWidth="1"/>
    <col min="13830" max="13830" width="0" style="181" hidden="1" customWidth="1"/>
    <col min="13831" max="13831" width="9.42578125" style="181" customWidth="1"/>
    <col min="13832" max="13833" width="9.140625" style="181"/>
    <col min="13834" max="13834" width="8.5703125" style="181" bestFit="1" customWidth="1"/>
    <col min="13835" max="13838" width="9.140625" style="181"/>
    <col min="13839" max="13839" width="8.140625" style="181" bestFit="1" customWidth="1"/>
    <col min="13840" max="14081" width="9.140625" style="181"/>
    <col min="14082" max="14082" width="8.140625" style="181" bestFit="1" customWidth="1"/>
    <col min="14083" max="14083" width="22.42578125" style="181" customWidth="1"/>
    <col min="14084" max="14084" width="10.7109375" style="181" customWidth="1"/>
    <col min="14085" max="14085" width="9.7109375" style="181" customWidth="1"/>
    <col min="14086" max="14086" width="0" style="181" hidden="1" customWidth="1"/>
    <col min="14087" max="14087" width="9.42578125" style="181" customWidth="1"/>
    <col min="14088" max="14089" width="9.140625" style="181"/>
    <col min="14090" max="14090" width="8.5703125" style="181" bestFit="1" customWidth="1"/>
    <col min="14091" max="14094" width="9.140625" style="181"/>
    <col min="14095" max="14095" width="8.140625" style="181" bestFit="1" customWidth="1"/>
    <col min="14096" max="14337" width="9.140625" style="181"/>
    <col min="14338" max="14338" width="8.140625" style="181" bestFit="1" customWidth="1"/>
    <col min="14339" max="14339" width="22.42578125" style="181" customWidth="1"/>
    <col min="14340" max="14340" width="10.7109375" style="181" customWidth="1"/>
    <col min="14341" max="14341" width="9.7109375" style="181" customWidth="1"/>
    <col min="14342" max="14342" width="0" style="181" hidden="1" customWidth="1"/>
    <col min="14343" max="14343" width="9.42578125" style="181" customWidth="1"/>
    <col min="14344" max="14345" width="9.140625" style="181"/>
    <col min="14346" max="14346" width="8.5703125" style="181" bestFit="1" customWidth="1"/>
    <col min="14347" max="14350" width="9.140625" style="181"/>
    <col min="14351" max="14351" width="8.140625" style="181" bestFit="1" customWidth="1"/>
    <col min="14352" max="14593" width="9.140625" style="181"/>
    <col min="14594" max="14594" width="8.140625" style="181" bestFit="1" customWidth="1"/>
    <col min="14595" max="14595" width="22.42578125" style="181" customWidth="1"/>
    <col min="14596" max="14596" width="10.7109375" style="181" customWidth="1"/>
    <col min="14597" max="14597" width="9.7109375" style="181" customWidth="1"/>
    <col min="14598" max="14598" width="0" style="181" hidden="1" customWidth="1"/>
    <col min="14599" max="14599" width="9.42578125" style="181" customWidth="1"/>
    <col min="14600" max="14601" width="9.140625" style="181"/>
    <col min="14602" max="14602" width="8.5703125" style="181" bestFit="1" customWidth="1"/>
    <col min="14603" max="14606" width="9.140625" style="181"/>
    <col min="14607" max="14607" width="8.140625" style="181" bestFit="1" customWidth="1"/>
    <col min="14608" max="14849" width="9.140625" style="181"/>
    <col min="14850" max="14850" width="8.140625" style="181" bestFit="1" customWidth="1"/>
    <col min="14851" max="14851" width="22.42578125" style="181" customWidth="1"/>
    <col min="14852" max="14852" width="10.7109375" style="181" customWidth="1"/>
    <col min="14853" max="14853" width="9.7109375" style="181" customWidth="1"/>
    <col min="14854" max="14854" width="0" style="181" hidden="1" customWidth="1"/>
    <col min="14855" max="14855" width="9.42578125" style="181" customWidth="1"/>
    <col min="14856" max="14857" width="9.140625" style="181"/>
    <col min="14858" max="14858" width="8.5703125" style="181" bestFit="1" customWidth="1"/>
    <col min="14859" max="14862" width="9.140625" style="181"/>
    <col min="14863" max="14863" width="8.140625" style="181" bestFit="1" customWidth="1"/>
    <col min="14864" max="15105" width="9.140625" style="181"/>
    <col min="15106" max="15106" width="8.140625" style="181" bestFit="1" customWidth="1"/>
    <col min="15107" max="15107" width="22.42578125" style="181" customWidth="1"/>
    <col min="15108" max="15108" width="10.7109375" style="181" customWidth="1"/>
    <col min="15109" max="15109" width="9.7109375" style="181" customWidth="1"/>
    <col min="15110" max="15110" width="0" style="181" hidden="1" customWidth="1"/>
    <col min="15111" max="15111" width="9.42578125" style="181" customWidth="1"/>
    <col min="15112" max="15113" width="9.140625" style="181"/>
    <col min="15114" max="15114" width="8.5703125" style="181" bestFit="1" customWidth="1"/>
    <col min="15115" max="15118" width="9.140625" style="181"/>
    <col min="15119" max="15119" width="8.140625" style="181" bestFit="1" customWidth="1"/>
    <col min="15120" max="15361" width="9.140625" style="181"/>
    <col min="15362" max="15362" width="8.140625" style="181" bestFit="1" customWidth="1"/>
    <col min="15363" max="15363" width="22.42578125" style="181" customWidth="1"/>
    <col min="15364" max="15364" width="10.7109375" style="181" customWidth="1"/>
    <col min="15365" max="15365" width="9.7109375" style="181" customWidth="1"/>
    <col min="15366" max="15366" width="0" style="181" hidden="1" customWidth="1"/>
    <col min="15367" max="15367" width="9.42578125" style="181" customWidth="1"/>
    <col min="15368" max="15369" width="9.140625" style="181"/>
    <col min="15370" max="15370" width="8.5703125" style="181" bestFit="1" customWidth="1"/>
    <col min="15371" max="15374" width="9.140625" style="181"/>
    <col min="15375" max="15375" width="8.140625" style="181" bestFit="1" customWidth="1"/>
    <col min="15376" max="15617" width="9.140625" style="181"/>
    <col min="15618" max="15618" width="8.140625" style="181" bestFit="1" customWidth="1"/>
    <col min="15619" max="15619" width="22.42578125" style="181" customWidth="1"/>
    <col min="15620" max="15620" width="10.7109375" style="181" customWidth="1"/>
    <col min="15621" max="15621" width="9.7109375" style="181" customWidth="1"/>
    <col min="15622" max="15622" width="0" style="181" hidden="1" customWidth="1"/>
    <col min="15623" max="15623" width="9.42578125" style="181" customWidth="1"/>
    <col min="15624" max="15625" width="9.140625" style="181"/>
    <col min="15626" max="15626" width="8.5703125" style="181" bestFit="1" customWidth="1"/>
    <col min="15627" max="15630" width="9.140625" style="181"/>
    <col min="15631" max="15631" width="8.140625" style="181" bestFit="1" customWidth="1"/>
    <col min="15632" max="15873" width="9.140625" style="181"/>
    <col min="15874" max="15874" width="8.140625" style="181" bestFit="1" customWidth="1"/>
    <col min="15875" max="15875" width="22.42578125" style="181" customWidth="1"/>
    <col min="15876" max="15876" width="10.7109375" style="181" customWidth="1"/>
    <col min="15877" max="15877" width="9.7109375" style="181" customWidth="1"/>
    <col min="15878" max="15878" width="0" style="181" hidden="1" customWidth="1"/>
    <col min="15879" max="15879" width="9.42578125" style="181" customWidth="1"/>
    <col min="15880" max="15881" width="9.140625" style="181"/>
    <col min="15882" max="15882" width="8.5703125" style="181" bestFit="1" customWidth="1"/>
    <col min="15883" max="15886" width="9.140625" style="181"/>
    <col min="15887" max="15887" width="8.140625" style="181" bestFit="1" customWidth="1"/>
    <col min="15888" max="16129" width="9.140625" style="181"/>
    <col min="16130" max="16130" width="8.140625" style="181" bestFit="1" customWidth="1"/>
    <col min="16131" max="16131" width="22.42578125" style="181" customWidth="1"/>
    <col min="16132" max="16132" width="10.7109375" style="181" customWidth="1"/>
    <col min="16133" max="16133" width="9.7109375" style="181" customWidth="1"/>
    <col min="16134" max="16134" width="0" style="181" hidden="1" customWidth="1"/>
    <col min="16135" max="16135" width="9.42578125" style="181" customWidth="1"/>
    <col min="16136" max="16137" width="9.140625" style="181"/>
    <col min="16138" max="16138" width="8.5703125" style="181" bestFit="1" customWidth="1"/>
    <col min="16139" max="16142" width="9.140625" style="181"/>
    <col min="16143" max="16143" width="8.140625" style="181" bestFit="1" customWidth="1"/>
    <col min="16144" max="16384" width="9.140625" style="181"/>
  </cols>
  <sheetData>
    <row r="1" spans="1:28" s="177" customFormat="1" ht="14.25" customHeight="1">
      <c r="A1" s="74" t="s">
        <v>1860</v>
      </c>
      <c r="B1" s="335"/>
      <c r="C1" s="335"/>
      <c r="D1" s="335"/>
      <c r="E1" s="335"/>
      <c r="F1" s="335"/>
      <c r="G1" s="335"/>
      <c r="H1" s="335"/>
      <c r="I1" s="335"/>
      <c r="J1" s="335"/>
      <c r="K1" s="335"/>
      <c r="L1" s="175"/>
      <c r="M1" s="175"/>
      <c r="N1" s="175"/>
      <c r="O1" s="176"/>
    </row>
    <row r="2" spans="1:28" ht="16.5">
      <c r="A2" s="105" t="str">
        <f>'4.1_КТЭЦ'!A2</f>
        <v>ПКГО - Комбинированная выработка КТЭЦ</v>
      </c>
      <c r="B2" s="178"/>
      <c r="C2" s="179"/>
      <c r="D2" s="180"/>
      <c r="E2" s="179"/>
      <c r="F2" s="179"/>
      <c r="G2" s="179"/>
      <c r="H2" s="179"/>
      <c r="I2" s="179"/>
      <c r="J2" s="179"/>
      <c r="K2" s="179"/>
      <c r="L2" s="179"/>
      <c r="M2" s="179"/>
      <c r="N2" s="442"/>
      <c r="O2" s="932" t="s">
        <v>847</v>
      </c>
    </row>
    <row r="3" spans="1:28">
      <c r="A3" s="179"/>
      <c r="B3" s="179"/>
      <c r="C3" s="179"/>
      <c r="D3" s="179"/>
      <c r="E3" s="179"/>
      <c r="F3" s="179"/>
      <c r="G3" s="179"/>
      <c r="H3" s="179"/>
      <c r="I3" s="179"/>
      <c r="J3" s="179"/>
      <c r="K3" s="179"/>
      <c r="L3" s="179"/>
      <c r="M3" s="179"/>
      <c r="N3" s="179"/>
      <c r="O3" s="179"/>
    </row>
    <row r="4" spans="1:28" ht="16.5">
      <c r="A4" s="1931" t="s">
        <v>413</v>
      </c>
      <c r="B4" s="1931"/>
      <c r="C4" s="1931"/>
      <c r="D4" s="1931"/>
      <c r="E4" s="1931"/>
      <c r="F4" s="1931"/>
      <c r="G4" s="1931"/>
      <c r="H4" s="1931"/>
      <c r="I4" s="1931"/>
      <c r="J4" s="1931"/>
      <c r="K4" s="1931"/>
      <c r="L4" s="1931"/>
      <c r="M4" s="1931"/>
      <c r="N4" s="1931"/>
      <c r="O4" s="1931"/>
      <c r="AA4" s="1412"/>
      <c r="AB4" s="1413"/>
    </row>
    <row r="5" spans="1:28" ht="15.75">
      <c r="A5" s="1932"/>
      <c r="B5" s="1932"/>
      <c r="C5" s="1932"/>
      <c r="D5" s="1932"/>
      <c r="E5" s="1932"/>
      <c r="F5" s="1932"/>
      <c r="G5" s="1932"/>
      <c r="H5" s="1932"/>
      <c r="I5" s="1932"/>
      <c r="J5" s="179"/>
      <c r="K5" s="179"/>
      <c r="L5" s="179"/>
      <c r="M5" s="179"/>
      <c r="N5" s="179"/>
      <c r="O5" s="179"/>
    </row>
    <row r="6" spans="1:28" s="182" customFormat="1" ht="23.25" customHeight="1">
      <c r="A6" s="1930" t="s">
        <v>0</v>
      </c>
      <c r="B6" s="1930" t="s">
        <v>848</v>
      </c>
      <c r="C6" s="1930" t="s">
        <v>849</v>
      </c>
      <c r="D6" s="1930" t="s">
        <v>850</v>
      </c>
      <c r="E6" s="1930"/>
      <c r="F6" s="1933" t="s">
        <v>851</v>
      </c>
      <c r="G6" s="1933" t="s">
        <v>852</v>
      </c>
      <c r="H6" s="1930" t="s">
        <v>417</v>
      </c>
      <c r="I6" s="1930"/>
      <c r="J6" s="1930"/>
      <c r="K6" s="1930"/>
      <c r="L6" s="1930"/>
      <c r="M6" s="1930" t="s">
        <v>853</v>
      </c>
      <c r="N6" s="1930"/>
      <c r="O6" s="1930"/>
    </row>
    <row r="7" spans="1:28" s="182" customFormat="1">
      <c r="A7" s="1930"/>
      <c r="B7" s="1930"/>
      <c r="C7" s="1930"/>
      <c r="D7" s="1930"/>
      <c r="E7" s="1930"/>
      <c r="F7" s="1933"/>
      <c r="G7" s="1933"/>
      <c r="H7" s="1930" t="s">
        <v>854</v>
      </c>
      <c r="I7" s="1930"/>
      <c r="J7" s="1930"/>
      <c r="K7" s="1930" t="s">
        <v>420</v>
      </c>
      <c r="L7" s="1930"/>
      <c r="M7" s="1930" t="s">
        <v>421</v>
      </c>
      <c r="N7" s="1930" t="s">
        <v>855</v>
      </c>
      <c r="O7" s="1930" t="s">
        <v>63</v>
      </c>
    </row>
    <row r="8" spans="1:28" s="182" customFormat="1" ht="25.5" customHeight="1">
      <c r="A8" s="1930"/>
      <c r="B8" s="1930"/>
      <c r="C8" s="1930"/>
      <c r="D8" s="1930"/>
      <c r="E8" s="1930"/>
      <c r="F8" s="1933"/>
      <c r="G8" s="1933"/>
      <c r="H8" s="1930"/>
      <c r="I8" s="1930"/>
      <c r="J8" s="1930"/>
      <c r="K8" s="183" t="s">
        <v>856</v>
      </c>
      <c r="L8" s="183" t="s">
        <v>857</v>
      </c>
      <c r="M8" s="1930"/>
      <c r="N8" s="1930"/>
      <c r="O8" s="1930"/>
    </row>
    <row r="9" spans="1:28" s="182" customFormat="1" ht="26.25" customHeight="1">
      <c r="A9" s="1930"/>
      <c r="B9" s="1930"/>
      <c r="C9" s="1930"/>
      <c r="D9" s="1930"/>
      <c r="E9" s="1930"/>
      <c r="F9" s="1933"/>
      <c r="G9" s="1933"/>
      <c r="H9" s="438" t="s">
        <v>858</v>
      </c>
      <c r="I9" s="438"/>
      <c r="J9" s="438"/>
      <c r="K9" s="438" t="s">
        <v>859</v>
      </c>
      <c r="L9" s="438" t="s">
        <v>860</v>
      </c>
      <c r="M9" s="1930"/>
      <c r="N9" s="1930"/>
      <c r="O9" s="1930"/>
    </row>
    <row r="10" spans="1:28">
      <c r="A10" s="184">
        <v>1</v>
      </c>
      <c r="B10" s="184">
        <v>2</v>
      </c>
      <c r="C10" s="184">
        <v>3</v>
      </c>
      <c r="D10" s="184">
        <v>4</v>
      </c>
      <c r="E10" s="184">
        <v>5</v>
      </c>
      <c r="F10" s="184">
        <v>3</v>
      </c>
      <c r="G10" s="184">
        <v>4</v>
      </c>
      <c r="H10" s="184">
        <v>6</v>
      </c>
      <c r="I10" s="184">
        <v>5</v>
      </c>
      <c r="J10" s="184">
        <v>6</v>
      </c>
      <c r="K10" s="184">
        <v>7</v>
      </c>
      <c r="L10" s="184">
        <v>8</v>
      </c>
      <c r="M10" s="184">
        <v>9</v>
      </c>
      <c r="N10" s="184">
        <v>10</v>
      </c>
      <c r="O10" s="184">
        <v>11</v>
      </c>
    </row>
    <row r="11" spans="1:28" hidden="1">
      <c r="A11" s="440"/>
      <c r="B11" s="440"/>
      <c r="C11" s="440"/>
      <c r="D11" s="440" t="s">
        <v>861</v>
      </c>
      <c r="E11" s="440"/>
      <c r="F11" s="440"/>
      <c r="G11" s="440"/>
      <c r="H11" s="1944"/>
      <c r="I11" s="1944"/>
      <c r="J11" s="1944"/>
      <c r="K11" s="440"/>
      <c r="L11" s="440"/>
      <c r="M11" s="440"/>
      <c r="N11" s="440"/>
      <c r="O11" s="440"/>
    </row>
    <row r="12" spans="1:28" ht="15" hidden="1" customHeight="1">
      <c r="A12" s="1934" t="s">
        <v>862</v>
      </c>
      <c r="B12" s="1935"/>
      <c r="C12" s="1935"/>
      <c r="D12" s="1935"/>
      <c r="E12" s="1935"/>
      <c r="F12" s="1935"/>
      <c r="G12" s="1935"/>
      <c r="H12" s="1935"/>
      <c r="I12" s="1935"/>
      <c r="J12" s="1935"/>
      <c r="K12" s="1935"/>
      <c r="L12" s="1935"/>
      <c r="M12" s="1935"/>
      <c r="N12" s="1935"/>
      <c r="O12" s="1936"/>
    </row>
    <row r="13" spans="1:28" ht="25.5" hidden="1">
      <c r="A13" s="440">
        <v>1</v>
      </c>
      <c r="B13" s="185" t="s">
        <v>863</v>
      </c>
      <c r="C13" s="186">
        <v>277.36700000000002</v>
      </c>
      <c r="D13" s="186">
        <v>29.58</v>
      </c>
      <c r="E13" s="187"/>
      <c r="F13" s="188">
        <v>8203.2999999999993</v>
      </c>
      <c r="G13" s="188"/>
      <c r="H13" s="187"/>
      <c r="I13" s="187"/>
      <c r="J13" s="187">
        <v>5.36</v>
      </c>
      <c r="K13" s="189"/>
      <c r="L13" s="189"/>
      <c r="M13" s="189">
        <v>43360</v>
      </c>
      <c r="N13" s="189"/>
      <c r="O13" s="189">
        <v>43360</v>
      </c>
    </row>
    <row r="14" spans="1:28" hidden="1">
      <c r="A14" s="440" t="s">
        <v>5</v>
      </c>
      <c r="B14" s="190" t="s">
        <v>864</v>
      </c>
      <c r="C14" s="191"/>
      <c r="D14" s="191"/>
      <c r="E14" s="192"/>
      <c r="F14" s="193">
        <v>8203.2999999999993</v>
      </c>
      <c r="G14" s="193"/>
      <c r="H14" s="192"/>
      <c r="I14" s="192"/>
      <c r="J14" s="192">
        <v>5.36</v>
      </c>
      <c r="K14" s="194"/>
      <c r="L14" s="194"/>
      <c r="M14" s="194">
        <v>43360</v>
      </c>
      <c r="N14" s="194"/>
      <c r="O14" s="194">
        <v>43360</v>
      </c>
    </row>
    <row r="15" spans="1:28" hidden="1">
      <c r="A15" s="440" t="s">
        <v>6</v>
      </c>
      <c r="B15" s="190" t="s">
        <v>429</v>
      </c>
      <c r="C15" s="191"/>
      <c r="D15" s="191"/>
      <c r="E15" s="192"/>
      <c r="F15" s="193"/>
      <c r="G15" s="193"/>
      <c r="H15" s="192"/>
      <c r="I15" s="192"/>
      <c r="J15" s="192"/>
      <c r="K15" s="194"/>
      <c r="L15" s="194"/>
      <c r="M15" s="194"/>
      <c r="N15" s="194"/>
      <c r="O15" s="194"/>
    </row>
    <row r="16" spans="1:28" hidden="1">
      <c r="A16" s="440" t="s">
        <v>7</v>
      </c>
      <c r="B16" s="190" t="s">
        <v>432</v>
      </c>
      <c r="C16" s="191"/>
      <c r="D16" s="191"/>
      <c r="E16" s="192"/>
      <c r="F16" s="193"/>
      <c r="G16" s="193"/>
      <c r="H16" s="192"/>
      <c r="I16" s="192"/>
      <c r="J16" s="192"/>
      <c r="K16" s="194"/>
      <c r="L16" s="194"/>
      <c r="M16" s="194"/>
      <c r="N16" s="194"/>
      <c r="O16" s="194"/>
    </row>
    <row r="17" spans="1:15" ht="13.5" hidden="1">
      <c r="A17" s="195" t="s">
        <v>11</v>
      </c>
      <c r="B17" s="1945" t="s">
        <v>865</v>
      </c>
      <c r="C17" s="1945"/>
      <c r="D17" s="1945"/>
      <c r="E17" s="196"/>
      <c r="F17" s="197">
        <f>F18+F19+F20</f>
        <v>7960.4000000000005</v>
      </c>
      <c r="G17" s="197"/>
      <c r="H17" s="198"/>
      <c r="I17" s="198"/>
      <c r="J17" s="198">
        <v>5.36</v>
      </c>
      <c r="K17" s="198"/>
      <c r="L17" s="198"/>
      <c r="M17" s="189">
        <f>M18+M19+M20</f>
        <v>42667</v>
      </c>
      <c r="N17" s="198"/>
      <c r="O17" s="189">
        <f>M17</f>
        <v>42667</v>
      </c>
    </row>
    <row r="18" spans="1:15" hidden="1">
      <c r="A18" s="440" t="s">
        <v>12</v>
      </c>
      <c r="B18" s="190" t="s">
        <v>866</v>
      </c>
      <c r="C18" s="199">
        <v>277.37</v>
      </c>
      <c r="D18" s="200">
        <v>28.7</v>
      </c>
      <c r="E18" s="192"/>
      <c r="F18" s="193">
        <v>7902.1</v>
      </c>
      <c r="G18" s="193"/>
      <c r="H18" s="192"/>
      <c r="I18" s="192"/>
      <c r="J18" s="192">
        <v>5.36</v>
      </c>
      <c r="K18" s="194"/>
      <c r="L18" s="194"/>
      <c r="M18" s="194">
        <v>42355</v>
      </c>
      <c r="N18" s="194"/>
      <c r="O18" s="194">
        <f t="shared" ref="O18:O26" si="0">M18</f>
        <v>42355</v>
      </c>
    </row>
    <row r="19" spans="1:15" ht="17.25" hidden="1" customHeight="1">
      <c r="A19" s="440" t="s">
        <v>18</v>
      </c>
      <c r="B19" s="190"/>
      <c r="C19" s="199">
        <v>277.37</v>
      </c>
      <c r="D19" s="200"/>
      <c r="E19" s="192"/>
      <c r="F19" s="193"/>
      <c r="G19" s="193"/>
      <c r="H19" s="192"/>
      <c r="I19" s="192"/>
      <c r="J19" s="192">
        <v>5.36</v>
      </c>
      <c r="K19" s="194"/>
      <c r="L19" s="194"/>
      <c r="M19" s="194"/>
      <c r="N19" s="194"/>
      <c r="O19" s="194">
        <f t="shared" si="0"/>
        <v>0</v>
      </c>
    </row>
    <row r="20" spans="1:15" hidden="1">
      <c r="A20" s="440" t="s">
        <v>867</v>
      </c>
      <c r="B20" s="190" t="s">
        <v>868</v>
      </c>
      <c r="C20" s="199">
        <v>277.37</v>
      </c>
      <c r="D20" s="200">
        <v>0.2</v>
      </c>
      <c r="E20" s="192"/>
      <c r="F20" s="193">
        <v>58.3</v>
      </c>
      <c r="G20" s="193"/>
      <c r="H20" s="192"/>
      <c r="I20" s="192"/>
      <c r="J20" s="192">
        <v>5.36</v>
      </c>
      <c r="K20" s="194"/>
      <c r="L20" s="194"/>
      <c r="M20" s="194">
        <v>312</v>
      </c>
      <c r="N20" s="194"/>
      <c r="O20" s="194">
        <f t="shared" si="0"/>
        <v>312</v>
      </c>
    </row>
    <row r="21" spans="1:15" ht="25.5" hidden="1">
      <c r="A21" s="440" t="s">
        <v>869</v>
      </c>
      <c r="B21" s="190" t="s">
        <v>870</v>
      </c>
      <c r="C21" s="199">
        <v>277.37</v>
      </c>
      <c r="D21" s="201">
        <v>0.47</v>
      </c>
      <c r="E21" s="192"/>
      <c r="F21" s="193">
        <v>129.30000000000001</v>
      </c>
      <c r="G21" s="193"/>
      <c r="H21" s="192"/>
      <c r="I21" s="192"/>
      <c r="J21" s="192">
        <v>5.36</v>
      </c>
      <c r="K21" s="194"/>
      <c r="L21" s="194"/>
      <c r="M21" s="194">
        <v>693</v>
      </c>
      <c r="N21" s="194"/>
      <c r="O21" s="194">
        <f t="shared" si="0"/>
        <v>693</v>
      </c>
    </row>
    <row r="22" spans="1:15" hidden="1">
      <c r="A22" s="202" t="s">
        <v>869</v>
      </c>
      <c r="B22" s="185" t="s">
        <v>871</v>
      </c>
      <c r="C22" s="203"/>
      <c r="D22" s="203"/>
      <c r="E22" s="187"/>
      <c r="F22" s="188">
        <v>113.6</v>
      </c>
      <c r="G22" s="188"/>
      <c r="H22" s="187"/>
      <c r="I22" s="192"/>
      <c r="J22" s="198">
        <v>5.36</v>
      </c>
      <c r="K22" s="189"/>
      <c r="L22" s="189"/>
      <c r="M22" s="189">
        <v>609</v>
      </c>
      <c r="N22" s="189"/>
      <c r="O22" s="189">
        <f t="shared" si="0"/>
        <v>609</v>
      </c>
    </row>
    <row r="23" spans="1:15" hidden="1">
      <c r="A23" s="440" t="s">
        <v>872</v>
      </c>
      <c r="B23" s="190" t="s">
        <v>873</v>
      </c>
      <c r="C23" s="201"/>
      <c r="D23" s="201"/>
      <c r="E23" s="192"/>
      <c r="F23" s="193"/>
      <c r="G23" s="193"/>
      <c r="H23" s="192"/>
      <c r="I23" s="192"/>
      <c r="J23" s="194"/>
      <c r="K23" s="194"/>
      <c r="L23" s="194"/>
      <c r="M23" s="194"/>
      <c r="N23" s="194"/>
      <c r="O23" s="189"/>
    </row>
    <row r="24" spans="1:15" hidden="1">
      <c r="A24" s="440" t="s">
        <v>874</v>
      </c>
      <c r="B24" s="190" t="s">
        <v>875</v>
      </c>
      <c r="C24" s="201"/>
      <c r="D24" s="201"/>
      <c r="E24" s="192"/>
      <c r="F24" s="193">
        <v>23.8</v>
      </c>
      <c r="G24" s="193"/>
      <c r="H24" s="192"/>
      <c r="I24" s="192"/>
      <c r="J24" s="192">
        <v>5.36</v>
      </c>
      <c r="K24" s="194"/>
      <c r="L24" s="194"/>
      <c r="M24" s="194">
        <v>128</v>
      </c>
      <c r="N24" s="194"/>
      <c r="O24" s="194">
        <f t="shared" si="0"/>
        <v>128</v>
      </c>
    </row>
    <row r="25" spans="1:15" hidden="1">
      <c r="A25" s="440" t="s">
        <v>876</v>
      </c>
      <c r="B25" s="190" t="s">
        <v>877</v>
      </c>
      <c r="C25" s="201"/>
      <c r="D25" s="201"/>
      <c r="E25" s="192"/>
      <c r="F25" s="193">
        <v>68.7</v>
      </c>
      <c r="G25" s="193"/>
      <c r="H25" s="192"/>
      <c r="I25" s="192"/>
      <c r="J25" s="192">
        <v>5.36</v>
      </c>
      <c r="K25" s="194"/>
      <c r="L25" s="194"/>
      <c r="M25" s="194">
        <v>368</v>
      </c>
      <c r="N25" s="194"/>
      <c r="O25" s="194">
        <f t="shared" si="0"/>
        <v>368</v>
      </c>
    </row>
    <row r="26" spans="1:15" hidden="1">
      <c r="A26" s="440" t="s">
        <v>878</v>
      </c>
      <c r="B26" s="190" t="s">
        <v>879</v>
      </c>
      <c r="C26" s="201"/>
      <c r="D26" s="201"/>
      <c r="E26" s="192"/>
      <c r="F26" s="193">
        <v>21.1</v>
      </c>
      <c r="G26" s="193"/>
      <c r="H26" s="192"/>
      <c r="I26" s="192"/>
      <c r="J26" s="192">
        <v>5.36</v>
      </c>
      <c r="K26" s="194"/>
      <c r="L26" s="194"/>
      <c r="M26" s="194">
        <v>113</v>
      </c>
      <c r="N26" s="194"/>
      <c r="O26" s="194">
        <f t="shared" si="0"/>
        <v>113</v>
      </c>
    </row>
    <row r="27" spans="1:15" hidden="1">
      <c r="A27" s="440" t="s">
        <v>880</v>
      </c>
      <c r="B27" s="190" t="s">
        <v>26</v>
      </c>
      <c r="C27" s="201"/>
      <c r="D27" s="201"/>
      <c r="E27" s="192"/>
      <c r="F27" s="193"/>
      <c r="G27" s="193"/>
      <c r="H27" s="192"/>
      <c r="I27" s="192"/>
      <c r="J27" s="194"/>
      <c r="K27" s="194"/>
      <c r="L27" s="194"/>
      <c r="M27" s="194"/>
      <c r="N27" s="194"/>
      <c r="O27" s="194"/>
    </row>
    <row r="28" spans="1:15" ht="15" hidden="1" customHeight="1">
      <c r="A28" s="1934" t="s">
        <v>881</v>
      </c>
      <c r="B28" s="1935"/>
      <c r="C28" s="1935"/>
      <c r="D28" s="1935"/>
      <c r="E28" s="1935"/>
      <c r="F28" s="1935"/>
      <c r="G28" s="1935"/>
      <c r="H28" s="1935"/>
      <c r="I28" s="1935"/>
      <c r="J28" s="1935"/>
      <c r="K28" s="1935"/>
      <c r="L28" s="1935"/>
      <c r="M28" s="1935"/>
      <c r="N28" s="1935"/>
      <c r="O28" s="1936"/>
    </row>
    <row r="29" spans="1:15" ht="25.5" hidden="1">
      <c r="A29" s="440">
        <v>1</v>
      </c>
      <c r="B29" s="185" t="s">
        <v>863</v>
      </c>
      <c r="C29" s="204">
        <f>'[12]7 '!F9</f>
        <v>222.755</v>
      </c>
      <c r="D29" s="186">
        <v>36.15</v>
      </c>
      <c r="E29" s="187"/>
      <c r="F29" s="188">
        <f>F34+F35+F36+F37</f>
        <v>8162.2999999999993</v>
      </c>
      <c r="G29" s="188"/>
      <c r="H29" s="187"/>
      <c r="I29" s="187"/>
      <c r="J29" s="205">
        <v>5.3949999999999996</v>
      </c>
      <c r="K29" s="206"/>
      <c r="L29" s="206"/>
      <c r="M29" s="189">
        <f>M34+M35+M36+M37</f>
        <v>44035.608499999995</v>
      </c>
      <c r="N29" s="189"/>
      <c r="O29" s="189">
        <f>M29</f>
        <v>44035.608499999995</v>
      </c>
    </row>
    <row r="30" spans="1:15" hidden="1">
      <c r="A30" s="207" t="s">
        <v>5</v>
      </c>
      <c r="B30" s="208" t="s">
        <v>864</v>
      </c>
      <c r="C30" s="209"/>
      <c r="D30" s="209"/>
      <c r="E30" s="192"/>
      <c r="F30" s="193">
        <f>F34+F35+F36+F37</f>
        <v>8162.2999999999993</v>
      </c>
      <c r="G30" s="193"/>
      <c r="H30" s="192"/>
      <c r="I30" s="192"/>
      <c r="J30" s="210">
        <v>5.3949999999999996</v>
      </c>
      <c r="K30" s="184"/>
      <c r="L30" s="184"/>
      <c r="M30" s="194">
        <f>M34+M35+M36+M37</f>
        <v>44035.608499999995</v>
      </c>
      <c r="N30" s="194"/>
      <c r="O30" s="211"/>
    </row>
    <row r="31" spans="1:15" hidden="1">
      <c r="A31" s="207" t="s">
        <v>6</v>
      </c>
      <c r="B31" s="208" t="s">
        <v>429</v>
      </c>
      <c r="C31" s="208"/>
      <c r="D31" s="208"/>
      <c r="E31" s="184"/>
      <c r="F31" s="184"/>
      <c r="G31" s="184"/>
      <c r="H31" s="184"/>
      <c r="I31" s="192"/>
      <c r="J31" s="192"/>
      <c r="K31" s="184"/>
      <c r="L31" s="184"/>
      <c r="M31" s="184"/>
      <c r="N31" s="184"/>
      <c r="O31" s="211"/>
    </row>
    <row r="32" spans="1:15" hidden="1">
      <c r="A32" s="207" t="s">
        <v>7</v>
      </c>
      <c r="B32" s="208" t="s">
        <v>432</v>
      </c>
      <c r="C32" s="208"/>
      <c r="D32" s="208"/>
      <c r="E32" s="184"/>
      <c r="F32" s="184"/>
      <c r="G32" s="184"/>
      <c r="H32" s="184"/>
      <c r="I32" s="192"/>
      <c r="J32" s="192"/>
      <c r="K32" s="184"/>
      <c r="L32" s="184"/>
      <c r="M32" s="184"/>
      <c r="N32" s="184"/>
      <c r="O32" s="211"/>
    </row>
    <row r="33" spans="1:15" ht="13.5" hidden="1">
      <c r="A33" s="207" t="s">
        <v>11</v>
      </c>
      <c r="B33" s="212" t="s">
        <v>865</v>
      </c>
      <c r="C33" s="208"/>
      <c r="D33" s="208"/>
      <c r="E33" s="184"/>
      <c r="F33" s="184"/>
      <c r="G33" s="184"/>
      <c r="H33" s="184"/>
      <c r="I33" s="198"/>
      <c r="J33" s="205">
        <v>5.3949999999999996</v>
      </c>
      <c r="K33" s="184"/>
      <c r="L33" s="184"/>
      <c r="M33" s="184"/>
      <c r="N33" s="184"/>
      <c r="O33" s="213">
        <f>SUM(O34:O36)</f>
        <v>43448.092999999993</v>
      </c>
    </row>
    <row r="34" spans="1:15" hidden="1">
      <c r="A34" s="207" t="s">
        <v>12</v>
      </c>
      <c r="B34" s="208" t="s">
        <v>866</v>
      </c>
      <c r="C34" s="214">
        <v>222.755</v>
      </c>
      <c r="D34" s="215">
        <v>36.15</v>
      </c>
      <c r="E34" s="192"/>
      <c r="F34" s="193">
        <v>8053.4</v>
      </c>
      <c r="G34" s="193"/>
      <c r="H34" s="192"/>
      <c r="I34" s="192"/>
      <c r="J34" s="210">
        <v>5.3949999999999996</v>
      </c>
      <c r="K34" s="194"/>
      <c r="L34" s="194"/>
      <c r="M34" s="194">
        <f>F34*J34</f>
        <v>43448.092999999993</v>
      </c>
      <c r="N34" s="194"/>
      <c r="O34" s="211">
        <f t="shared" ref="O34:O39" si="1">M34</f>
        <v>43448.092999999993</v>
      </c>
    </row>
    <row r="35" spans="1:15" hidden="1">
      <c r="A35" s="207" t="s">
        <v>18</v>
      </c>
      <c r="B35" s="208" t="s">
        <v>868</v>
      </c>
      <c r="C35" s="214">
        <v>222.755</v>
      </c>
      <c r="D35" s="215"/>
      <c r="E35" s="192"/>
      <c r="F35" s="193">
        <f>D35*C35</f>
        <v>0</v>
      </c>
      <c r="G35" s="193"/>
      <c r="H35" s="192"/>
      <c r="I35" s="192"/>
      <c r="J35" s="210"/>
      <c r="K35" s="194"/>
      <c r="L35" s="194"/>
      <c r="M35" s="194">
        <f t="shared" ref="M35:M36" si="2">F35*J35</f>
        <v>0</v>
      </c>
      <c r="N35" s="194"/>
      <c r="O35" s="211">
        <f t="shared" si="1"/>
        <v>0</v>
      </c>
    </row>
    <row r="36" spans="1:15" hidden="1">
      <c r="A36" s="207" t="s">
        <v>867</v>
      </c>
      <c r="B36" s="208" t="s">
        <v>882</v>
      </c>
      <c r="C36" s="214">
        <v>222.755</v>
      </c>
      <c r="D36" s="216"/>
      <c r="E36" s="192"/>
      <c r="F36" s="193">
        <f>D36*C36</f>
        <v>0</v>
      </c>
      <c r="G36" s="193"/>
      <c r="H36" s="192"/>
      <c r="I36" s="192"/>
      <c r="J36" s="210"/>
      <c r="K36" s="194"/>
      <c r="L36" s="194"/>
      <c r="M36" s="194">
        <f t="shared" si="2"/>
        <v>0</v>
      </c>
      <c r="N36" s="194"/>
      <c r="O36" s="211">
        <f t="shared" si="1"/>
        <v>0</v>
      </c>
    </row>
    <row r="37" spans="1:15" hidden="1">
      <c r="A37" s="217" t="s">
        <v>869</v>
      </c>
      <c r="B37" s="218" t="s">
        <v>871</v>
      </c>
      <c r="C37" s="219"/>
      <c r="D37" s="219"/>
      <c r="E37" s="187"/>
      <c r="F37" s="188">
        <f>SUM(F38:F41)</f>
        <v>108.9</v>
      </c>
      <c r="G37" s="188"/>
      <c r="H37" s="187"/>
      <c r="I37" s="192"/>
      <c r="J37" s="210">
        <v>5.3949999999999996</v>
      </c>
      <c r="K37" s="189"/>
      <c r="L37" s="189"/>
      <c r="M37" s="189">
        <f>M38+M39+M42+M40+M41</f>
        <v>587.51549999999997</v>
      </c>
      <c r="N37" s="189"/>
      <c r="O37" s="213">
        <f t="shared" si="1"/>
        <v>587.51549999999997</v>
      </c>
    </row>
    <row r="38" spans="1:15" hidden="1">
      <c r="A38" s="207" t="s">
        <v>872</v>
      </c>
      <c r="B38" s="208" t="s">
        <v>873</v>
      </c>
      <c r="C38" s="216"/>
      <c r="D38" s="216"/>
      <c r="E38" s="192"/>
      <c r="F38" s="193"/>
      <c r="G38" s="193"/>
      <c r="H38" s="192"/>
      <c r="I38" s="184"/>
      <c r="J38" s="210"/>
      <c r="K38" s="194"/>
      <c r="L38" s="194"/>
      <c r="M38" s="194"/>
      <c r="N38" s="194"/>
      <c r="O38" s="211"/>
    </row>
    <row r="39" spans="1:15" hidden="1">
      <c r="A39" s="207" t="s">
        <v>874</v>
      </c>
      <c r="B39" s="208" t="s">
        <v>875</v>
      </c>
      <c r="C39" s="216"/>
      <c r="D39" s="216"/>
      <c r="E39" s="192"/>
      <c r="F39" s="193">
        <v>108.9</v>
      </c>
      <c r="G39" s="193"/>
      <c r="H39" s="192"/>
      <c r="I39" s="184"/>
      <c r="J39" s="210">
        <v>5.3949999999999996</v>
      </c>
      <c r="K39" s="194"/>
      <c r="L39" s="194"/>
      <c r="M39" s="194">
        <f t="shared" ref="M39" si="3">F39*J39</f>
        <v>587.51549999999997</v>
      </c>
      <c r="N39" s="194"/>
      <c r="O39" s="211">
        <f t="shared" si="1"/>
        <v>587.51549999999997</v>
      </c>
    </row>
    <row r="40" spans="1:15" hidden="1">
      <c r="A40" s="207" t="s">
        <v>876</v>
      </c>
      <c r="B40" s="208" t="s">
        <v>883</v>
      </c>
      <c r="C40" s="216"/>
      <c r="D40" s="216"/>
      <c r="E40" s="192"/>
      <c r="F40" s="193"/>
      <c r="G40" s="193"/>
      <c r="H40" s="192"/>
      <c r="I40" s="184"/>
      <c r="J40" s="210"/>
      <c r="K40" s="194"/>
      <c r="L40" s="194"/>
      <c r="M40" s="194"/>
      <c r="N40" s="194"/>
      <c r="O40" s="211"/>
    </row>
    <row r="41" spans="1:15" hidden="1">
      <c r="A41" s="207" t="s">
        <v>878</v>
      </c>
      <c r="B41" s="208" t="s">
        <v>884</v>
      </c>
      <c r="C41" s="216"/>
      <c r="D41" s="216"/>
      <c r="E41" s="192"/>
      <c r="F41" s="193"/>
      <c r="G41" s="193"/>
      <c r="H41" s="192"/>
      <c r="I41" s="184"/>
      <c r="J41" s="210"/>
      <c r="K41" s="194"/>
      <c r="L41" s="194"/>
      <c r="M41" s="194"/>
      <c r="N41" s="194"/>
      <c r="O41" s="211"/>
    </row>
    <row r="42" spans="1:15" hidden="1">
      <c r="A42" s="207" t="s">
        <v>880</v>
      </c>
      <c r="B42" s="208" t="s">
        <v>26</v>
      </c>
      <c r="C42" s="216"/>
      <c r="D42" s="216"/>
      <c r="E42" s="192"/>
      <c r="F42" s="193"/>
      <c r="G42" s="193"/>
      <c r="H42" s="192"/>
      <c r="I42" s="184"/>
      <c r="J42" s="194"/>
      <c r="K42" s="194"/>
      <c r="L42" s="194"/>
      <c r="M42" s="194"/>
      <c r="N42" s="194"/>
      <c r="O42" s="211"/>
    </row>
    <row r="43" spans="1:15" hidden="1">
      <c r="A43" s="207"/>
      <c r="B43" s="208"/>
      <c r="C43" s="220"/>
      <c r="D43" s="220"/>
      <c r="E43" s="184"/>
      <c r="F43" s="184"/>
      <c r="G43" s="184"/>
      <c r="H43" s="184"/>
      <c r="I43" s="184"/>
      <c r="J43" s="184"/>
      <c r="K43" s="184"/>
      <c r="L43" s="184"/>
      <c r="M43" s="184"/>
      <c r="N43" s="184"/>
      <c r="O43" s="211"/>
    </row>
    <row r="44" spans="1:15" ht="15" hidden="1" customHeight="1">
      <c r="A44" s="1937" t="s">
        <v>885</v>
      </c>
      <c r="B44" s="1935"/>
      <c r="C44" s="1935"/>
      <c r="D44" s="1935"/>
      <c r="E44" s="1935"/>
      <c r="F44" s="1935"/>
      <c r="G44" s="1935"/>
      <c r="H44" s="1935"/>
      <c r="I44" s="1935"/>
      <c r="J44" s="1935"/>
      <c r="K44" s="1935"/>
      <c r="L44" s="1935"/>
      <c r="M44" s="1935"/>
      <c r="N44" s="1935"/>
      <c r="O44" s="1938"/>
    </row>
    <row r="45" spans="1:15" ht="25.5" hidden="1">
      <c r="A45" s="207">
        <v>1</v>
      </c>
      <c r="B45" s="218" t="s">
        <v>863</v>
      </c>
      <c r="C45" s="221">
        <v>293.51100000000002</v>
      </c>
      <c r="D45" s="222">
        <v>29.4</v>
      </c>
      <c r="E45" s="187"/>
      <c r="F45" s="188">
        <v>8620.4</v>
      </c>
      <c r="G45" s="188"/>
      <c r="H45" s="187"/>
      <c r="I45" s="187"/>
      <c r="J45" s="205">
        <v>5.4180000000000001</v>
      </c>
      <c r="K45" s="189"/>
      <c r="L45" s="189"/>
      <c r="M45" s="189">
        <v>46706</v>
      </c>
      <c r="N45" s="189"/>
      <c r="O45" s="213">
        <v>5694</v>
      </c>
    </row>
    <row r="46" spans="1:15" hidden="1">
      <c r="A46" s="207" t="s">
        <v>5</v>
      </c>
      <c r="B46" s="208" t="s">
        <v>864</v>
      </c>
      <c r="C46" s="209"/>
      <c r="D46" s="209"/>
      <c r="E46" s="192"/>
      <c r="F46" s="193">
        <v>8620.4</v>
      </c>
      <c r="G46" s="193"/>
      <c r="H46" s="192"/>
      <c r="I46" s="192"/>
      <c r="J46" s="192"/>
      <c r="K46" s="194"/>
      <c r="L46" s="194"/>
      <c r="M46" s="194"/>
      <c r="N46" s="194"/>
      <c r="O46" s="211"/>
    </row>
    <row r="47" spans="1:15" hidden="1">
      <c r="A47" s="207" t="s">
        <v>6</v>
      </c>
      <c r="B47" s="208" t="s">
        <v>429</v>
      </c>
      <c r="C47" s="209"/>
      <c r="D47" s="209"/>
      <c r="E47" s="192"/>
      <c r="F47" s="193"/>
      <c r="G47" s="193"/>
      <c r="H47" s="192"/>
      <c r="I47" s="192"/>
      <c r="J47" s="192"/>
      <c r="K47" s="194"/>
      <c r="L47" s="194"/>
      <c r="M47" s="194"/>
      <c r="N47" s="194"/>
      <c r="O47" s="211"/>
    </row>
    <row r="48" spans="1:15" hidden="1">
      <c r="A48" s="207" t="s">
        <v>7</v>
      </c>
      <c r="B48" s="208" t="s">
        <v>432</v>
      </c>
      <c r="C48" s="209"/>
      <c r="D48" s="209"/>
      <c r="E48" s="192"/>
      <c r="F48" s="193"/>
      <c r="G48" s="193"/>
      <c r="H48" s="192"/>
      <c r="I48" s="192"/>
      <c r="J48" s="192"/>
      <c r="K48" s="194"/>
      <c r="L48" s="194"/>
      <c r="M48" s="194"/>
      <c r="N48" s="194"/>
      <c r="O48" s="211"/>
    </row>
    <row r="49" spans="1:15" ht="26.25" hidden="1" customHeight="1">
      <c r="A49" s="223" t="s">
        <v>11</v>
      </c>
      <c r="B49" s="1939" t="s">
        <v>865</v>
      </c>
      <c r="C49" s="1940"/>
      <c r="D49" s="1940"/>
      <c r="E49" s="224"/>
      <c r="F49" s="197">
        <f>F50+F51+F52+F53</f>
        <v>8620.5</v>
      </c>
      <c r="G49" s="197"/>
      <c r="H49" s="198"/>
      <c r="I49" s="198"/>
      <c r="J49" s="198"/>
      <c r="K49" s="198"/>
      <c r="L49" s="198"/>
      <c r="M49" s="189">
        <f>M50+M51+M52+M53</f>
        <v>46705.260704091335</v>
      </c>
      <c r="N49" s="198"/>
      <c r="O49" s="213">
        <f t="shared" ref="O49:O59" si="4">M49</f>
        <v>46705.260704091335</v>
      </c>
    </row>
    <row r="50" spans="1:15" ht="15.75" hidden="1" customHeight="1">
      <c r="A50" s="207" t="s">
        <v>12</v>
      </c>
      <c r="B50" s="208" t="s">
        <v>866</v>
      </c>
      <c r="C50" s="225">
        <v>293.51100000000002</v>
      </c>
      <c r="D50" s="215">
        <v>13.2</v>
      </c>
      <c r="E50" s="192"/>
      <c r="F50" s="193">
        <v>3878.7</v>
      </c>
      <c r="G50" s="193"/>
      <c r="H50" s="192"/>
      <c r="I50" s="210"/>
      <c r="J50" s="210">
        <v>5.4176974310180777</v>
      </c>
      <c r="K50" s="194"/>
      <c r="L50" s="194"/>
      <c r="M50" s="194">
        <f>F50*J50+1</f>
        <v>21014.623025689816</v>
      </c>
      <c r="N50" s="194"/>
      <c r="O50" s="211">
        <f>M50</f>
        <v>21014.623025689816</v>
      </c>
    </row>
    <row r="51" spans="1:15" ht="15.75" hidden="1" customHeight="1">
      <c r="A51" s="207" t="s">
        <v>18</v>
      </c>
      <c r="B51" s="208"/>
      <c r="C51" s="225">
        <v>293.51100000000002</v>
      </c>
      <c r="D51" s="215"/>
      <c r="E51" s="192"/>
      <c r="F51" s="193"/>
      <c r="G51" s="193"/>
      <c r="H51" s="192"/>
      <c r="I51" s="210"/>
      <c r="J51" s="210">
        <v>5.4176974310180777</v>
      </c>
      <c r="K51" s="194"/>
      <c r="L51" s="194"/>
      <c r="M51" s="194">
        <f t="shared" ref="M51:M59" si="5">F51*J51</f>
        <v>0</v>
      </c>
      <c r="N51" s="194"/>
      <c r="O51" s="211">
        <f t="shared" si="4"/>
        <v>0</v>
      </c>
    </row>
    <row r="52" spans="1:15" ht="15" hidden="1" customHeight="1">
      <c r="A52" s="207" t="s">
        <v>867</v>
      </c>
      <c r="B52" s="208" t="s">
        <v>868</v>
      </c>
      <c r="C52" s="225">
        <v>293.51100000000002</v>
      </c>
      <c r="D52" s="215">
        <v>15.7</v>
      </c>
      <c r="E52" s="192"/>
      <c r="F52" s="193">
        <v>4603.8</v>
      </c>
      <c r="G52" s="193"/>
      <c r="H52" s="192"/>
      <c r="I52" s="210"/>
      <c r="J52" s="210">
        <v>5.4176974310180777</v>
      </c>
      <c r="K52" s="194"/>
      <c r="L52" s="194"/>
      <c r="M52" s="194">
        <f>F52*J52+2</f>
        <v>24943.995432921027</v>
      </c>
      <c r="N52" s="194"/>
      <c r="O52" s="211">
        <f t="shared" si="4"/>
        <v>24943.995432921027</v>
      </c>
    </row>
    <row r="53" spans="1:15" ht="25.5" hidden="1">
      <c r="A53" s="207" t="s">
        <v>869</v>
      </c>
      <c r="B53" s="208" t="s">
        <v>870</v>
      </c>
      <c r="C53" s="225">
        <v>293.51100000000002</v>
      </c>
      <c r="D53" s="215">
        <v>0.5</v>
      </c>
      <c r="E53" s="192"/>
      <c r="F53" s="193">
        <v>138</v>
      </c>
      <c r="G53" s="193"/>
      <c r="H53" s="192"/>
      <c r="I53" s="210"/>
      <c r="J53" s="210">
        <v>5.4176974310180803</v>
      </c>
      <c r="K53" s="194"/>
      <c r="L53" s="194"/>
      <c r="M53" s="194">
        <f>F53*J53-1</f>
        <v>746.64224548049503</v>
      </c>
      <c r="N53" s="194"/>
      <c r="O53" s="211">
        <f t="shared" si="4"/>
        <v>746.64224548049503</v>
      </c>
    </row>
    <row r="54" spans="1:15" hidden="1">
      <c r="A54" s="217" t="s">
        <v>869</v>
      </c>
      <c r="B54" s="218" t="s">
        <v>871</v>
      </c>
      <c r="C54" s="219"/>
      <c r="D54" s="219"/>
      <c r="E54" s="187"/>
      <c r="F54" s="188">
        <f>SUM(F55:F58)</f>
        <v>0</v>
      </c>
      <c r="G54" s="188"/>
      <c r="H54" s="187"/>
      <c r="I54" s="192"/>
      <c r="J54" s="189"/>
      <c r="K54" s="189"/>
      <c r="L54" s="189"/>
      <c r="M54" s="194">
        <f t="shared" si="5"/>
        <v>0</v>
      </c>
      <c r="N54" s="189"/>
      <c r="O54" s="213">
        <f t="shared" si="4"/>
        <v>0</v>
      </c>
    </row>
    <row r="55" spans="1:15" hidden="1">
      <c r="A55" s="207" t="s">
        <v>872</v>
      </c>
      <c r="B55" s="208" t="s">
        <v>873</v>
      </c>
      <c r="C55" s="216"/>
      <c r="D55" s="216"/>
      <c r="E55" s="192"/>
      <c r="F55" s="193"/>
      <c r="G55" s="193"/>
      <c r="H55" s="192"/>
      <c r="I55" s="192"/>
      <c r="J55" s="194"/>
      <c r="K55" s="194"/>
      <c r="L55" s="194"/>
      <c r="M55" s="194">
        <f t="shared" si="5"/>
        <v>0</v>
      </c>
      <c r="N55" s="194"/>
      <c r="O55" s="211">
        <f t="shared" si="4"/>
        <v>0</v>
      </c>
    </row>
    <row r="56" spans="1:15" hidden="1">
      <c r="A56" s="207" t="s">
        <v>874</v>
      </c>
      <c r="B56" s="208" t="s">
        <v>875</v>
      </c>
      <c r="C56" s="216"/>
      <c r="D56" s="216"/>
      <c r="E56" s="192"/>
      <c r="F56" s="193"/>
      <c r="G56" s="193"/>
      <c r="H56" s="192"/>
      <c r="I56" s="192"/>
      <c r="J56" s="194"/>
      <c r="K56" s="194"/>
      <c r="L56" s="194"/>
      <c r="M56" s="194">
        <f t="shared" si="5"/>
        <v>0</v>
      </c>
      <c r="N56" s="194"/>
      <c r="O56" s="211">
        <f t="shared" si="4"/>
        <v>0</v>
      </c>
    </row>
    <row r="57" spans="1:15" hidden="1">
      <c r="A57" s="207" t="s">
        <v>876</v>
      </c>
      <c r="B57" s="208" t="s">
        <v>883</v>
      </c>
      <c r="C57" s="216"/>
      <c r="D57" s="216"/>
      <c r="E57" s="192"/>
      <c r="F57" s="193"/>
      <c r="G57" s="193"/>
      <c r="H57" s="192"/>
      <c r="I57" s="192"/>
      <c r="J57" s="194"/>
      <c r="K57" s="194"/>
      <c r="L57" s="194"/>
      <c r="M57" s="194">
        <f t="shared" si="5"/>
        <v>0</v>
      </c>
      <c r="N57" s="194"/>
      <c r="O57" s="211">
        <f t="shared" si="4"/>
        <v>0</v>
      </c>
    </row>
    <row r="58" spans="1:15" hidden="1">
      <c r="A58" s="207" t="s">
        <v>878</v>
      </c>
      <c r="B58" s="208" t="s">
        <v>884</v>
      </c>
      <c r="C58" s="216"/>
      <c r="D58" s="216"/>
      <c r="E58" s="192"/>
      <c r="F58" s="193"/>
      <c r="G58" s="193"/>
      <c r="H58" s="192"/>
      <c r="I58" s="192"/>
      <c r="J58" s="194"/>
      <c r="K58" s="194"/>
      <c r="L58" s="194"/>
      <c r="M58" s="194">
        <f t="shared" si="5"/>
        <v>0</v>
      </c>
      <c r="N58" s="194"/>
      <c r="O58" s="211">
        <f t="shared" si="4"/>
        <v>0</v>
      </c>
    </row>
    <row r="59" spans="1:15" hidden="1">
      <c r="A59" s="207" t="s">
        <v>880</v>
      </c>
      <c r="B59" s="208" t="s">
        <v>26</v>
      </c>
      <c r="C59" s="216"/>
      <c r="D59" s="216"/>
      <c r="E59" s="192"/>
      <c r="F59" s="193"/>
      <c r="G59" s="193"/>
      <c r="H59" s="192"/>
      <c r="I59" s="192"/>
      <c r="J59" s="194"/>
      <c r="K59" s="194"/>
      <c r="L59" s="194"/>
      <c r="M59" s="194">
        <f t="shared" si="5"/>
        <v>0</v>
      </c>
      <c r="N59" s="194"/>
      <c r="O59" s="211">
        <f t="shared" si="4"/>
        <v>0</v>
      </c>
    </row>
    <row r="60" spans="1:15" hidden="1">
      <c r="A60" s="207"/>
      <c r="B60" s="208"/>
      <c r="C60" s="216"/>
      <c r="D60" s="216"/>
      <c r="E60" s="192"/>
      <c r="F60" s="192"/>
      <c r="G60" s="192"/>
      <c r="H60" s="192"/>
      <c r="I60" s="192"/>
      <c r="J60" s="194"/>
      <c r="K60" s="194"/>
      <c r="L60" s="194"/>
      <c r="M60" s="194"/>
      <c r="N60" s="194"/>
      <c r="O60" s="211"/>
    </row>
    <row r="61" spans="1:15" hidden="1">
      <c r="A61" s="1941" t="s">
        <v>886</v>
      </c>
      <c r="B61" s="1942"/>
      <c r="C61" s="1942"/>
      <c r="D61" s="1942"/>
      <c r="E61" s="1942"/>
      <c r="F61" s="1942"/>
      <c r="G61" s="1942"/>
      <c r="H61" s="1942"/>
      <c r="I61" s="1942"/>
      <c r="J61" s="1942"/>
      <c r="K61" s="1942"/>
      <c r="L61" s="1942"/>
      <c r="M61" s="1942"/>
      <c r="N61" s="1942"/>
      <c r="O61" s="1943"/>
    </row>
    <row r="62" spans="1:15" ht="25.5" hidden="1">
      <c r="A62" s="207">
        <v>1</v>
      </c>
      <c r="B62" s="218" t="s">
        <v>863</v>
      </c>
      <c r="C62" s="222">
        <f>'[12]7 '!AA9</f>
        <v>297.77000000000004</v>
      </c>
      <c r="D62" s="222">
        <f>F62/C62</f>
        <v>32.473016086241053</v>
      </c>
      <c r="E62" s="187"/>
      <c r="F62" s="188">
        <f>F63+F64</f>
        <v>9669.49</v>
      </c>
      <c r="G62" s="188"/>
      <c r="H62" s="187"/>
      <c r="I62" s="226">
        <f>I63+I64</f>
        <v>4.3390000000000004</v>
      </c>
      <c r="J62" s="226">
        <f>J63+J64</f>
        <v>5.4140857852650832</v>
      </c>
      <c r="K62" s="206"/>
      <c r="L62" s="206"/>
      <c r="M62" s="189">
        <f>M63+M64</f>
        <v>51215.415961331106</v>
      </c>
      <c r="N62" s="189"/>
      <c r="O62" s="213">
        <f>M62</f>
        <v>51215.415961331106</v>
      </c>
    </row>
    <row r="63" spans="1:15" hidden="1">
      <c r="A63" s="207" t="s">
        <v>5</v>
      </c>
      <c r="B63" s="208" t="s">
        <v>864</v>
      </c>
      <c r="C63" s="209"/>
      <c r="D63" s="209"/>
      <c r="E63" s="192"/>
      <c r="F63" s="193">
        <v>8612.7999999999993</v>
      </c>
      <c r="G63" s="193"/>
      <c r="H63" s="192"/>
      <c r="I63" s="227"/>
      <c r="J63" s="227">
        <f>J67</f>
        <v>5.4140857852650832</v>
      </c>
      <c r="K63" s="184"/>
      <c r="L63" s="184"/>
      <c r="M63" s="194">
        <f>F63*J63</f>
        <v>46630.438051331104</v>
      </c>
      <c r="N63" s="194"/>
      <c r="O63" s="211">
        <f>M63</f>
        <v>46630.438051331104</v>
      </c>
    </row>
    <row r="64" spans="1:15" hidden="1">
      <c r="A64" s="207" t="s">
        <v>6</v>
      </c>
      <c r="B64" s="228" t="s">
        <v>887</v>
      </c>
      <c r="C64" s="208"/>
      <c r="D64" s="208"/>
      <c r="E64" s="184"/>
      <c r="F64" s="184">
        <v>1056.69</v>
      </c>
      <c r="G64" s="184"/>
      <c r="H64" s="184"/>
      <c r="I64" s="184">
        <v>4.3390000000000004</v>
      </c>
      <c r="J64" s="184"/>
      <c r="K64" s="184"/>
      <c r="L64" s="184"/>
      <c r="M64" s="194">
        <f>F64*I64</f>
        <v>4584.9779100000005</v>
      </c>
      <c r="N64" s="184"/>
      <c r="O64" s="211">
        <f>M64</f>
        <v>4584.9779100000005</v>
      </c>
    </row>
    <row r="65" spans="1:25" hidden="1">
      <c r="A65" s="207" t="s">
        <v>7</v>
      </c>
      <c r="B65" s="208" t="s">
        <v>432</v>
      </c>
      <c r="C65" s="208"/>
      <c r="D65" s="208"/>
      <c r="E65" s="184"/>
      <c r="F65" s="184"/>
      <c r="G65" s="184"/>
      <c r="H65" s="184"/>
      <c r="I65" s="184"/>
      <c r="J65" s="184"/>
      <c r="K65" s="184"/>
      <c r="L65" s="184"/>
      <c r="M65" s="184"/>
      <c r="N65" s="184"/>
      <c r="O65" s="211"/>
      <c r="Q65" s="1923" t="s">
        <v>767</v>
      </c>
      <c r="R65" s="1926"/>
      <c r="S65" s="1927"/>
      <c r="T65" s="1920" t="s">
        <v>766</v>
      </c>
      <c r="U65" s="1921"/>
      <c r="V65" s="1922"/>
      <c r="W65" s="1920" t="s">
        <v>1051</v>
      </c>
      <c r="X65" s="1921"/>
      <c r="Y65" s="1922"/>
    </row>
    <row r="66" spans="1:25" ht="14.25" hidden="1" thickBot="1">
      <c r="A66" s="207" t="s">
        <v>11</v>
      </c>
      <c r="B66" s="212" t="s">
        <v>865</v>
      </c>
      <c r="C66" s="208"/>
      <c r="D66" s="208"/>
      <c r="E66" s="184"/>
      <c r="F66" s="184"/>
      <c r="G66" s="184"/>
      <c r="H66" s="184"/>
      <c r="I66" s="184"/>
      <c r="J66" s="229"/>
      <c r="K66" s="184"/>
      <c r="L66" s="184"/>
      <c r="M66" s="184"/>
      <c r="N66" s="184"/>
      <c r="O66" s="211"/>
      <c r="P66" s="443" t="s">
        <v>1052</v>
      </c>
      <c r="Q66" s="444" t="s">
        <v>1053</v>
      </c>
      <c r="R66" s="445" t="s">
        <v>417</v>
      </c>
      <c r="S66" s="446" t="s">
        <v>1054</v>
      </c>
      <c r="T66" s="444" t="s">
        <v>1053</v>
      </c>
      <c r="U66" s="445" t="s">
        <v>417</v>
      </c>
      <c r="V66" s="446" t="s">
        <v>1054</v>
      </c>
      <c r="W66" s="445" t="s">
        <v>1053</v>
      </c>
      <c r="X66" s="445" t="s">
        <v>417</v>
      </c>
      <c r="Y66" s="446" t="s">
        <v>1054</v>
      </c>
    </row>
    <row r="67" spans="1:25" ht="14.25" hidden="1" customHeight="1" thickBot="1">
      <c r="A67" s="207" t="s">
        <v>12</v>
      </c>
      <c r="B67" s="208" t="s">
        <v>866</v>
      </c>
      <c r="C67" s="225">
        <f>'[12]7 '!AA9</f>
        <v>297.77000000000004</v>
      </c>
      <c r="D67" s="215">
        <f>F67/C67</f>
        <v>31.953121536756555</v>
      </c>
      <c r="E67" s="192"/>
      <c r="F67" s="193">
        <f>W69</f>
        <v>9514.6810000000005</v>
      </c>
      <c r="G67" s="193"/>
      <c r="H67" s="192"/>
      <c r="I67" s="227">
        <f>X68</f>
        <v>4.338999990536486</v>
      </c>
      <c r="J67" s="210">
        <f>X67</f>
        <v>5.4140857852650832</v>
      </c>
      <c r="K67" s="194"/>
      <c r="L67" s="194"/>
      <c r="M67" s="194">
        <f>Y69</f>
        <v>50377.266745000001</v>
      </c>
      <c r="N67" s="194"/>
      <c r="O67" s="211">
        <f t="shared" ref="O67:O75" si="6">M67</f>
        <v>50377.266745000001</v>
      </c>
      <c r="P67" s="447" t="s">
        <v>864</v>
      </c>
      <c r="Q67" s="448">
        <v>5412.1909999999998</v>
      </c>
      <c r="R67" s="449">
        <v>5.3949999999999996</v>
      </c>
      <c r="S67" s="450">
        <f>Q67*R67</f>
        <v>29198.770444999998</v>
      </c>
      <c r="T67" s="448">
        <v>3045.8</v>
      </c>
      <c r="U67" s="449">
        <v>5.4480000000000004</v>
      </c>
      <c r="V67" s="230">
        <f>T67*U67</f>
        <v>16593.518400000001</v>
      </c>
      <c r="W67" s="451">
        <f>Q67+T67</f>
        <v>8457.991</v>
      </c>
      <c r="X67" s="452">
        <f>Y67/W67</f>
        <v>5.4140857852650832</v>
      </c>
      <c r="Y67" s="453">
        <f>S67+V67</f>
        <v>45792.288845000003</v>
      </c>
    </row>
    <row r="68" spans="1:25" ht="13.5" hidden="1" thickBot="1">
      <c r="A68" s="207" t="s">
        <v>18</v>
      </c>
      <c r="B68" s="208" t="s">
        <v>868</v>
      </c>
      <c r="C68" s="225">
        <f>'[12]7 '!AA9</f>
        <v>297.77000000000004</v>
      </c>
      <c r="D68" s="215">
        <f t="shared" ref="D68" si="7">F68/C68</f>
        <v>0</v>
      </c>
      <c r="E68" s="192"/>
      <c r="F68" s="193"/>
      <c r="G68" s="193"/>
      <c r="H68" s="192"/>
      <c r="I68" s="184"/>
      <c r="J68" s="194"/>
      <c r="K68" s="194"/>
      <c r="L68" s="194"/>
      <c r="M68" s="194">
        <f>F68*I68</f>
        <v>0</v>
      </c>
      <c r="N68" s="194"/>
      <c r="O68" s="211">
        <f t="shared" si="6"/>
        <v>0</v>
      </c>
      <c r="P68" s="228" t="s">
        <v>887</v>
      </c>
      <c r="Q68" s="454"/>
      <c r="R68" s="446"/>
      <c r="S68" s="230">
        <f>Q68*R68</f>
        <v>0</v>
      </c>
      <c r="T68" s="454"/>
      <c r="U68" s="446"/>
      <c r="V68" s="450">
        <f>T68*U68</f>
        <v>0</v>
      </c>
      <c r="W68" s="448">
        <v>1056.69</v>
      </c>
      <c r="X68" s="455">
        <f>Y68/W68</f>
        <v>4.338999990536486</v>
      </c>
      <c r="Y68" s="456">
        <v>4584.9778999999999</v>
      </c>
    </row>
    <row r="69" spans="1:25" ht="25.5" hidden="1">
      <c r="A69" s="207" t="s">
        <v>867</v>
      </c>
      <c r="B69" s="208" t="s">
        <v>870</v>
      </c>
      <c r="C69" s="225">
        <f>'[12]7 '!AA9</f>
        <v>297.77000000000004</v>
      </c>
      <c r="D69" s="215">
        <f>F69/C69</f>
        <v>0</v>
      </c>
      <c r="E69" s="192"/>
      <c r="F69" s="193"/>
      <c r="G69" s="193"/>
      <c r="H69" s="192"/>
      <c r="I69" s="184"/>
      <c r="J69" s="194"/>
      <c r="K69" s="194"/>
      <c r="L69" s="194"/>
      <c r="M69" s="194">
        <f>F69*I69</f>
        <v>0</v>
      </c>
      <c r="N69" s="194"/>
      <c r="O69" s="211">
        <f t="shared" si="6"/>
        <v>0</v>
      </c>
      <c r="P69" s="457" t="s">
        <v>435</v>
      </c>
      <c r="Q69" s="446"/>
      <c r="R69" s="446"/>
      <c r="S69" s="446"/>
      <c r="T69" s="446"/>
      <c r="U69" s="446"/>
      <c r="V69" s="446"/>
      <c r="W69" s="458">
        <f>W67+W68</f>
        <v>9514.6810000000005</v>
      </c>
      <c r="X69" s="446"/>
      <c r="Y69" s="459">
        <f>Y67+Y68</f>
        <v>50377.266745000001</v>
      </c>
    </row>
    <row r="70" spans="1:25" hidden="1">
      <c r="A70" s="217" t="s">
        <v>869</v>
      </c>
      <c r="B70" s="218" t="s">
        <v>871</v>
      </c>
      <c r="C70" s="219"/>
      <c r="D70" s="219"/>
      <c r="E70" s="187"/>
      <c r="F70" s="188">
        <f>SUM(F71:F74)</f>
        <v>154.78</v>
      </c>
      <c r="G70" s="188"/>
      <c r="H70" s="187"/>
      <c r="I70" s="184"/>
      <c r="J70" s="189"/>
      <c r="K70" s="189"/>
      <c r="L70" s="189"/>
      <c r="M70" s="189">
        <f>M71+M72+M75+M73+M74</f>
        <v>837.99219784332956</v>
      </c>
      <c r="N70" s="189"/>
      <c r="O70" s="213">
        <f>M70</f>
        <v>837.99219784332956</v>
      </c>
    </row>
    <row r="71" spans="1:25" hidden="1">
      <c r="A71" s="207" t="s">
        <v>872</v>
      </c>
      <c r="B71" s="208" t="s">
        <v>873</v>
      </c>
      <c r="C71" s="216"/>
      <c r="D71" s="216"/>
      <c r="E71" s="192"/>
      <c r="F71" s="193">
        <v>154.78</v>
      </c>
      <c r="G71" s="193"/>
      <c r="H71" s="192"/>
      <c r="I71" s="227"/>
      <c r="J71" s="227">
        <f>J67</f>
        <v>5.4140857852650832</v>
      </c>
      <c r="K71" s="194"/>
      <c r="L71" s="194"/>
      <c r="M71" s="194">
        <f>F71*J71</f>
        <v>837.99219784332956</v>
      </c>
      <c r="N71" s="194"/>
      <c r="O71" s="211">
        <f t="shared" si="6"/>
        <v>837.99219784332956</v>
      </c>
    </row>
    <row r="72" spans="1:25" hidden="1">
      <c r="A72" s="207" t="s">
        <v>874</v>
      </c>
      <c r="B72" s="208" t="s">
        <v>875</v>
      </c>
      <c r="C72" s="216"/>
      <c r="D72" s="216"/>
      <c r="E72" s="192"/>
      <c r="F72" s="193"/>
      <c r="G72" s="193"/>
      <c r="H72" s="192"/>
      <c r="I72" s="227"/>
      <c r="J72" s="194"/>
      <c r="K72" s="194"/>
      <c r="L72" s="194"/>
      <c r="M72" s="194">
        <f>F72*I72</f>
        <v>0</v>
      </c>
      <c r="N72" s="194"/>
      <c r="O72" s="211">
        <f t="shared" si="6"/>
        <v>0</v>
      </c>
    </row>
    <row r="73" spans="1:25" hidden="1">
      <c r="A73" s="207" t="s">
        <v>876</v>
      </c>
      <c r="B73" s="208" t="s">
        <v>883</v>
      </c>
      <c r="C73" s="216"/>
      <c r="D73" s="216"/>
      <c r="E73" s="192"/>
      <c r="F73" s="193"/>
      <c r="G73" s="193"/>
      <c r="H73" s="192"/>
      <c r="I73" s="184"/>
      <c r="J73" s="194"/>
      <c r="K73" s="194"/>
      <c r="L73" s="194"/>
      <c r="M73" s="194">
        <f>F73*I73</f>
        <v>0</v>
      </c>
      <c r="N73" s="194"/>
      <c r="O73" s="211">
        <f t="shared" si="6"/>
        <v>0</v>
      </c>
    </row>
    <row r="74" spans="1:25" hidden="1">
      <c r="A74" s="207" t="s">
        <v>878</v>
      </c>
      <c r="B74" s="208" t="s">
        <v>884</v>
      </c>
      <c r="C74" s="216"/>
      <c r="D74" s="216"/>
      <c r="E74" s="192"/>
      <c r="F74" s="193"/>
      <c r="G74" s="193"/>
      <c r="H74" s="192"/>
      <c r="I74" s="184"/>
      <c r="J74" s="194"/>
      <c r="K74" s="194"/>
      <c r="L74" s="194"/>
      <c r="M74" s="194">
        <f>F74*I74</f>
        <v>0</v>
      </c>
      <c r="N74" s="194"/>
      <c r="O74" s="211">
        <f t="shared" si="6"/>
        <v>0</v>
      </c>
    </row>
    <row r="75" spans="1:25" hidden="1">
      <c r="A75" s="207" t="s">
        <v>880</v>
      </c>
      <c r="B75" s="208" t="s">
        <v>26</v>
      </c>
      <c r="C75" s="216"/>
      <c r="D75" s="216"/>
      <c r="E75" s="192"/>
      <c r="F75" s="193"/>
      <c r="G75" s="193"/>
      <c r="H75" s="192"/>
      <c r="I75" s="184"/>
      <c r="J75" s="194"/>
      <c r="K75" s="194"/>
      <c r="L75" s="194"/>
      <c r="M75" s="194">
        <f>F75*I75</f>
        <v>0</v>
      </c>
      <c r="N75" s="194"/>
      <c r="O75" s="211">
        <f t="shared" si="6"/>
        <v>0</v>
      </c>
    </row>
    <row r="76" spans="1:25" hidden="1">
      <c r="A76" s="207"/>
      <c r="B76" s="208"/>
      <c r="C76" s="220"/>
      <c r="D76" s="220"/>
      <c r="E76" s="184"/>
      <c r="F76" s="184"/>
      <c r="G76" s="184"/>
      <c r="H76" s="184"/>
      <c r="I76" s="184"/>
      <c r="J76" s="184"/>
      <c r="K76" s="184"/>
      <c r="L76" s="184"/>
      <c r="M76" s="184"/>
      <c r="N76" s="184"/>
      <c r="O76" s="211"/>
    </row>
    <row r="77" spans="1:25" hidden="1">
      <c r="A77" s="1941" t="s">
        <v>888</v>
      </c>
      <c r="B77" s="1942"/>
      <c r="C77" s="1942"/>
      <c r="D77" s="1942"/>
      <c r="E77" s="1942"/>
      <c r="F77" s="1942"/>
      <c r="G77" s="1942"/>
      <c r="H77" s="1942"/>
      <c r="I77" s="1942"/>
      <c r="J77" s="1942"/>
      <c r="K77" s="1942"/>
      <c r="L77" s="1942"/>
      <c r="M77" s="1942"/>
      <c r="N77" s="1942"/>
      <c r="O77" s="1943"/>
    </row>
    <row r="78" spans="1:25" ht="25.5" hidden="1">
      <c r="A78" s="207">
        <v>1</v>
      </c>
      <c r="B78" s="218" t="s">
        <v>863</v>
      </c>
      <c r="C78" s="222" t="e">
        <f>'[12]7 '!#REF!</f>
        <v>#REF!</v>
      </c>
      <c r="D78" s="222" t="e">
        <f>F78/C78</f>
        <v>#REF!</v>
      </c>
      <c r="E78" s="187"/>
      <c r="F78" s="188">
        <f>F79+F80</f>
        <v>0</v>
      </c>
      <c r="G78" s="188"/>
      <c r="H78" s="187"/>
      <c r="I78" s="187"/>
      <c r="J78" s="187"/>
      <c r="K78" s="189"/>
      <c r="L78" s="189"/>
      <c r="M78" s="189">
        <f>M79+M80</f>
        <v>111508</v>
      </c>
      <c r="N78" s="189"/>
      <c r="O78" s="1563">
        <f>M78</f>
        <v>111508</v>
      </c>
    </row>
    <row r="79" spans="1:25" hidden="1">
      <c r="A79" s="207" t="s">
        <v>5</v>
      </c>
      <c r="B79" s="208" t="s">
        <v>864</v>
      </c>
      <c r="C79" s="209"/>
      <c r="D79" s="209"/>
      <c r="E79" s="192"/>
      <c r="F79" s="193"/>
      <c r="G79" s="193"/>
      <c r="H79" s="192"/>
      <c r="I79" s="229"/>
      <c r="J79" s="192">
        <f>X83</f>
        <v>0</v>
      </c>
      <c r="K79" s="194"/>
      <c r="L79" s="194"/>
      <c r="M79" s="194">
        <f>M84+M85+M87+M89+M91</f>
        <v>97518</v>
      </c>
      <c r="N79" s="194"/>
      <c r="O79" s="1564">
        <f t="shared" ref="O79" si="8">M79</f>
        <v>97518</v>
      </c>
    </row>
    <row r="80" spans="1:25" hidden="1">
      <c r="A80" s="207" t="s">
        <v>6</v>
      </c>
      <c r="B80" s="228" t="s">
        <v>887</v>
      </c>
      <c r="C80" s="208"/>
      <c r="D80" s="231"/>
      <c r="E80" s="184"/>
      <c r="F80" s="193"/>
      <c r="G80" s="193"/>
      <c r="H80" s="184"/>
      <c r="I80" s="229"/>
      <c r="J80" s="192"/>
      <c r="K80" s="184"/>
      <c r="L80" s="184"/>
      <c r="M80" s="194">
        <v>13990</v>
      </c>
      <c r="N80" s="184"/>
      <c r="O80" s="1564">
        <f>M80</f>
        <v>13990</v>
      </c>
    </row>
    <row r="81" spans="1:41" hidden="1">
      <c r="A81" s="207" t="s">
        <v>7</v>
      </c>
      <c r="B81" s="208" t="s">
        <v>432</v>
      </c>
      <c r="C81" s="208"/>
      <c r="D81" s="231"/>
      <c r="E81" s="184"/>
      <c r="F81" s="184"/>
      <c r="G81" s="184"/>
      <c r="H81" s="184"/>
      <c r="I81" s="192"/>
      <c r="J81" s="192"/>
      <c r="K81" s="184"/>
      <c r="L81" s="184"/>
      <c r="M81" s="184"/>
      <c r="N81" s="184"/>
      <c r="O81" s="211"/>
    </row>
    <row r="82" spans="1:41" ht="13.5" hidden="1">
      <c r="A82" s="207" t="s">
        <v>11</v>
      </c>
      <c r="B82" s="212" t="s">
        <v>865</v>
      </c>
      <c r="C82" s="208"/>
      <c r="D82" s="231"/>
      <c r="E82" s="184">
        <f>SUM(E83:E89)</f>
        <v>0</v>
      </c>
      <c r="F82" s="184"/>
      <c r="G82" s="184"/>
      <c r="H82" s="184"/>
      <c r="I82" s="192"/>
      <c r="J82" s="229"/>
      <c r="K82" s="184"/>
      <c r="L82" s="184"/>
      <c r="M82" s="184"/>
      <c r="N82" s="184"/>
      <c r="O82" s="211"/>
    </row>
    <row r="83" spans="1:41" hidden="1">
      <c r="A83" s="460" t="s">
        <v>12</v>
      </c>
      <c r="B83" s="461" t="s">
        <v>866</v>
      </c>
      <c r="C83" s="462" t="e">
        <f>'[12]7 '!#REF!</f>
        <v>#REF!</v>
      </c>
      <c r="D83" s="463" t="e">
        <f>F83/C83</f>
        <v>#REF!</v>
      </c>
      <c r="E83" s="464"/>
      <c r="F83" s="465">
        <f>F84+F85+F86+F87</f>
        <v>0</v>
      </c>
      <c r="G83" s="465"/>
      <c r="H83" s="464"/>
      <c r="I83" s="466"/>
      <c r="J83" s="467">
        <f>X83</f>
        <v>0</v>
      </c>
      <c r="K83" s="468"/>
      <c r="L83" s="468"/>
      <c r="M83" s="468">
        <f>M84+M85+M86+M87</f>
        <v>0</v>
      </c>
      <c r="N83" s="468"/>
      <c r="O83" s="469">
        <f t="shared" ref="O83:O91" si="9">M83</f>
        <v>0</v>
      </c>
    </row>
    <row r="84" spans="1:41" hidden="1">
      <c r="A84" s="207"/>
      <c r="B84" s="479" t="s">
        <v>1055</v>
      </c>
      <c r="C84" s="225"/>
      <c r="D84" s="215"/>
      <c r="E84" s="192"/>
      <c r="F84" s="193"/>
      <c r="G84" s="193"/>
      <c r="H84" s="192"/>
      <c r="I84" s="229"/>
      <c r="J84" s="210"/>
      <c r="K84" s="194"/>
      <c r="L84" s="194"/>
      <c r="M84" s="194"/>
      <c r="N84" s="194"/>
      <c r="O84" s="211">
        <f t="shared" si="9"/>
        <v>0</v>
      </c>
    </row>
    <row r="85" spans="1:41" hidden="1">
      <c r="A85" s="207"/>
      <c r="B85" s="479" t="s">
        <v>1056</v>
      </c>
      <c r="C85" s="225"/>
      <c r="D85" s="215"/>
      <c r="E85" s="192"/>
      <c r="F85" s="193"/>
      <c r="G85" s="193"/>
      <c r="H85" s="192"/>
      <c r="I85" s="229"/>
      <c r="J85" s="210"/>
      <c r="K85" s="194"/>
      <c r="L85" s="194"/>
      <c r="M85" s="194"/>
      <c r="N85" s="194"/>
      <c r="O85" s="211">
        <f t="shared" si="9"/>
        <v>0</v>
      </c>
    </row>
    <row r="86" spans="1:41" hidden="1">
      <c r="A86" s="481"/>
      <c r="B86" s="482" t="s">
        <v>1057</v>
      </c>
      <c r="C86" s="483"/>
      <c r="D86" s="484"/>
      <c r="E86" s="485"/>
      <c r="F86" s="486"/>
      <c r="G86" s="486"/>
      <c r="H86" s="485"/>
      <c r="I86" s="485"/>
      <c r="J86" s="488"/>
      <c r="K86" s="489"/>
      <c r="L86" s="489"/>
      <c r="M86" s="489"/>
      <c r="N86" s="503"/>
      <c r="O86" s="490">
        <f t="shared" si="9"/>
        <v>0</v>
      </c>
    </row>
    <row r="87" spans="1:41" hidden="1">
      <c r="A87" s="207"/>
      <c r="B87" s="479" t="s">
        <v>1058</v>
      </c>
      <c r="C87" s="225"/>
      <c r="D87" s="215"/>
      <c r="E87" s="192"/>
      <c r="F87" s="193"/>
      <c r="G87" s="193"/>
      <c r="H87" s="192"/>
      <c r="I87" s="229"/>
      <c r="J87" s="210"/>
      <c r="K87" s="194"/>
      <c r="L87" s="194"/>
      <c r="M87" s="194"/>
      <c r="N87" s="504"/>
      <c r="O87" s="211">
        <f t="shared" si="9"/>
        <v>0</v>
      </c>
    </row>
    <row r="88" spans="1:41" hidden="1">
      <c r="A88" s="460" t="s">
        <v>18</v>
      </c>
      <c r="B88" s="461" t="s">
        <v>868</v>
      </c>
      <c r="C88" s="462" t="e">
        <f>'[12]7 '!#REF!</f>
        <v>#REF!</v>
      </c>
      <c r="D88" s="463" t="e">
        <f>F88/C88</f>
        <v>#REF!</v>
      </c>
      <c r="E88" s="464"/>
      <c r="F88" s="465"/>
      <c r="G88" s="465"/>
      <c r="H88" s="464"/>
      <c r="I88" s="466"/>
      <c r="J88" s="464"/>
      <c r="K88" s="468"/>
      <c r="L88" s="468"/>
      <c r="M88" s="468">
        <f>M89+M90+M91</f>
        <v>111508</v>
      </c>
      <c r="N88" s="505"/>
      <c r="O88" s="469">
        <f t="shared" si="9"/>
        <v>111508</v>
      </c>
    </row>
    <row r="89" spans="1:41" hidden="1">
      <c r="A89" s="207"/>
      <c r="B89" s="479" t="s">
        <v>1059</v>
      </c>
      <c r="C89" s="225" t="e">
        <f>'[12]7 '!#REF!</f>
        <v>#REF!</v>
      </c>
      <c r="D89" s="215" t="e">
        <f>F89/C89</f>
        <v>#REF!</v>
      </c>
      <c r="E89" s="192"/>
      <c r="F89" s="193"/>
      <c r="G89" s="193"/>
      <c r="H89" s="192"/>
      <c r="I89" s="229"/>
      <c r="J89" s="184"/>
      <c r="K89" s="194"/>
      <c r="L89" s="194"/>
      <c r="M89" s="194">
        <v>97518</v>
      </c>
      <c r="N89" s="504"/>
      <c r="O89" s="211">
        <f t="shared" si="9"/>
        <v>97518</v>
      </c>
    </row>
    <row r="90" spans="1:41" hidden="1">
      <c r="A90" s="506"/>
      <c r="B90" s="482" t="s">
        <v>1057</v>
      </c>
      <c r="C90" s="507"/>
      <c r="D90" s="508"/>
      <c r="E90" s="509"/>
      <c r="F90" s="510"/>
      <c r="G90" s="510"/>
      <c r="H90" s="509"/>
      <c r="I90" s="485"/>
      <c r="J90" s="509"/>
      <c r="K90" s="511"/>
      <c r="L90" s="511"/>
      <c r="M90" s="489">
        <v>13990</v>
      </c>
      <c r="N90" s="512"/>
      <c r="O90" s="490">
        <f t="shared" si="9"/>
        <v>13990</v>
      </c>
    </row>
    <row r="91" spans="1:41" ht="13.5" hidden="1" thickBot="1">
      <c r="A91" s="232"/>
      <c r="B91" s="514" t="s">
        <v>1058</v>
      </c>
      <c r="C91" s="515"/>
      <c r="D91" s="516"/>
      <c r="E91" s="235"/>
      <c r="F91" s="236"/>
      <c r="G91" s="236"/>
      <c r="H91" s="235"/>
      <c r="I91" s="517"/>
      <c r="J91" s="235"/>
      <c r="K91" s="237"/>
      <c r="L91" s="237"/>
      <c r="M91" s="237"/>
      <c r="N91" s="518"/>
      <c r="O91" s="238">
        <f t="shared" si="9"/>
        <v>0</v>
      </c>
    </row>
    <row r="92" spans="1:41" hidden="1">
      <c r="A92" s="1941" t="s">
        <v>1154</v>
      </c>
      <c r="B92" s="1942"/>
      <c r="C92" s="1942"/>
      <c r="D92" s="1942"/>
      <c r="E92" s="1942"/>
      <c r="F92" s="1942"/>
      <c r="G92" s="1942"/>
      <c r="H92" s="1942"/>
      <c r="I92" s="1942"/>
      <c r="J92" s="1942"/>
      <c r="K92" s="1942"/>
      <c r="L92" s="1942"/>
      <c r="M92" s="1942"/>
      <c r="N92" s="1942"/>
      <c r="O92" s="1943"/>
      <c r="AB92" s="1923" t="s">
        <v>767</v>
      </c>
      <c r="AC92" s="1928"/>
      <c r="AD92" s="1929"/>
      <c r="AE92" s="1923" t="s">
        <v>1277</v>
      </c>
      <c r="AF92" s="1924"/>
      <c r="AG92" s="1925"/>
      <c r="AH92" s="1923" t="s">
        <v>1278</v>
      </c>
      <c r="AI92" s="1924"/>
      <c r="AJ92" s="1925"/>
      <c r="AK92" s="1923" t="s">
        <v>1051</v>
      </c>
      <c r="AL92" s="1924"/>
      <c r="AM92" s="1925"/>
    </row>
    <row r="93" spans="1:41" ht="26.25" hidden="1" thickBot="1">
      <c r="A93" s="207">
        <v>1</v>
      </c>
      <c r="B93" s="218" t="s">
        <v>863</v>
      </c>
      <c r="C93" s="222" t="e">
        <f>'[12]7 '!#REF!</f>
        <v>#REF!</v>
      </c>
      <c r="D93" s="222" t="e">
        <f>F93/C93</f>
        <v>#REF!</v>
      </c>
      <c r="E93" s="187"/>
      <c r="F93" s="188">
        <f>F94+F95+F96</f>
        <v>21.7127695</v>
      </c>
      <c r="G93" s="188"/>
      <c r="H93" s="187"/>
      <c r="I93" s="187">
        <f>M93/F93</f>
        <v>4450.0215653742362</v>
      </c>
      <c r="J93" s="187"/>
      <c r="K93" s="189"/>
      <c r="L93" s="189"/>
      <c r="M93" s="189">
        <f>M94+M95+M96</f>
        <v>96622.292518999981</v>
      </c>
      <c r="N93" s="189"/>
      <c r="O93" s="1563">
        <f>M93</f>
        <v>96622.292518999981</v>
      </c>
      <c r="AA93" s="443" t="s">
        <v>1285</v>
      </c>
      <c r="AB93" s="942" t="s">
        <v>1519</v>
      </c>
      <c r="AC93" s="875" t="s">
        <v>417</v>
      </c>
      <c r="AD93" s="446" t="s">
        <v>1054</v>
      </c>
      <c r="AE93" s="942" t="s">
        <v>1519</v>
      </c>
      <c r="AF93" s="875" t="s">
        <v>417</v>
      </c>
      <c r="AG93" s="446" t="s">
        <v>1054</v>
      </c>
      <c r="AH93" s="942" t="s">
        <v>1519</v>
      </c>
      <c r="AI93" s="875" t="s">
        <v>417</v>
      </c>
      <c r="AJ93" s="446" t="s">
        <v>1054</v>
      </c>
      <c r="AK93" s="942" t="s">
        <v>1519</v>
      </c>
      <c r="AL93" s="875" t="s">
        <v>417</v>
      </c>
      <c r="AM93" s="446" t="s">
        <v>1054</v>
      </c>
      <c r="AN93" s="181" t="s">
        <v>1282</v>
      </c>
    </row>
    <row r="94" spans="1:41" ht="13.5" hidden="1" thickBot="1">
      <c r="A94" s="207" t="s">
        <v>5</v>
      </c>
      <c r="B94" s="208" t="s">
        <v>864</v>
      </c>
      <c r="C94" s="209"/>
      <c r="D94" s="209"/>
      <c r="E94" s="192"/>
      <c r="F94" s="193">
        <f>AK94/1000</f>
        <v>19.5801385</v>
      </c>
      <c r="G94" s="193"/>
      <c r="H94" s="192"/>
      <c r="I94" s="229">
        <f>AL94*1000</f>
        <v>4427.3048474606021</v>
      </c>
      <c r="J94" s="192">
        <f>X98</f>
        <v>5.3924651823909073</v>
      </c>
      <c r="K94" s="194"/>
      <c r="L94" s="194"/>
      <c r="M94" s="194">
        <f>AM94</f>
        <v>86687.24209499998</v>
      </c>
      <c r="N94" s="194"/>
      <c r="O94" s="1564">
        <f t="shared" ref="O94:O96" si="10">M94</f>
        <v>86687.24209499998</v>
      </c>
      <c r="AA94" s="447" t="s">
        <v>864</v>
      </c>
      <c r="AB94" s="448">
        <f>AB104+AB106+AB107</f>
        <v>11459.7235</v>
      </c>
      <c r="AC94" s="933">
        <f>AD94/AB94</f>
        <v>4.4224601070872254</v>
      </c>
      <c r="AD94" s="450">
        <f>AD104+AD106+AD107</f>
        <v>50680.170016999989</v>
      </c>
      <c r="AE94" s="448">
        <f>AE104+AE106+AE107</f>
        <v>863.63200000000006</v>
      </c>
      <c r="AF94" s="933">
        <f>AG94/AE94</f>
        <v>4.4359981056746385</v>
      </c>
      <c r="AG94" s="450">
        <f>AG104+AG106+AG107</f>
        <v>3831.0699159999999</v>
      </c>
      <c r="AH94" s="448">
        <f>AH104+AH106+AH107</f>
        <v>7256.7829999999994</v>
      </c>
      <c r="AI94" s="933">
        <f>AJ94/AH94</f>
        <v>4.4339209484423048</v>
      </c>
      <c r="AJ94" s="450">
        <f>AJ104+AJ106+AJ107</f>
        <v>32176.002161999993</v>
      </c>
      <c r="AK94" s="451">
        <f>AB94+AE94+AH94</f>
        <v>19580.138500000001</v>
      </c>
      <c r="AL94" s="480">
        <f t="shared" ref="AL94:AL99" si="11">AM94/AK94</f>
        <v>4.4273048474606025</v>
      </c>
      <c r="AM94" s="453">
        <f>AD94+AG94+AJ94</f>
        <v>86687.24209499998</v>
      </c>
    </row>
    <row r="95" spans="1:41" ht="14.25" hidden="1" customHeight="1" thickBot="1">
      <c r="A95" s="207" t="s">
        <v>6</v>
      </c>
      <c r="B95" s="228" t="s">
        <v>887</v>
      </c>
      <c r="C95" s="208"/>
      <c r="D95" s="231"/>
      <c r="E95" s="184"/>
      <c r="F95" s="1565">
        <f>(AK95+AK96)/1000</f>
        <v>2.1326310000000004</v>
      </c>
      <c r="G95" s="1565">
        <f>F95/1000</f>
        <v>2.1326310000000003E-3</v>
      </c>
      <c r="H95" s="184"/>
      <c r="I95" s="229">
        <f>M95/F95</f>
        <v>4658.5885809593874</v>
      </c>
      <c r="J95" s="192"/>
      <c r="K95" s="184"/>
      <c r="L95" s="184"/>
      <c r="M95" s="194">
        <f>AM95+AM96</f>
        <v>9935.0504240000009</v>
      </c>
      <c r="N95" s="184"/>
      <c r="O95" s="1564">
        <f t="shared" si="10"/>
        <v>9935.0504240000009</v>
      </c>
      <c r="AA95" s="228" t="s">
        <v>1515</v>
      </c>
      <c r="AB95" s="448">
        <v>1060.0309999999999</v>
      </c>
      <c r="AC95" s="449">
        <v>4.6040000000000001</v>
      </c>
      <c r="AD95" s="450">
        <f>AB95*AC95</f>
        <v>4880.3827240000001</v>
      </c>
      <c r="AE95" s="448">
        <v>81.900000000000006</v>
      </c>
      <c r="AF95" s="449">
        <v>4.4880000000000004</v>
      </c>
      <c r="AG95" s="230">
        <f>AE95*AF95</f>
        <v>367.56720000000007</v>
      </c>
      <c r="AH95" s="448">
        <v>633.70000000000005</v>
      </c>
      <c r="AI95" s="449">
        <v>4.55</v>
      </c>
      <c r="AJ95" s="230">
        <f>AH95*AI95</f>
        <v>2883.335</v>
      </c>
      <c r="AK95" s="451">
        <f t="shared" ref="AK95:AK96" si="12">AB95+AE95+AH95</f>
        <v>1775.6310000000001</v>
      </c>
      <c r="AL95" s="480">
        <f t="shared" si="11"/>
        <v>4.5793776544788871</v>
      </c>
      <c r="AM95" s="453">
        <f t="shared" ref="AM95:AM96" si="13">AD95+AG95+AJ95</f>
        <v>8131.2849240000005</v>
      </c>
    </row>
    <row r="96" spans="1:41" ht="13.5" hidden="1" thickBot="1">
      <c r="A96" s="207" t="s">
        <v>7</v>
      </c>
      <c r="B96" s="208" t="s">
        <v>1279</v>
      </c>
      <c r="C96" s="208"/>
      <c r="D96" s="231"/>
      <c r="E96" s="184"/>
      <c r="F96" s="193"/>
      <c r="G96" s="184"/>
      <c r="H96" s="184"/>
      <c r="I96" s="229"/>
      <c r="J96" s="192"/>
      <c r="K96" s="184"/>
      <c r="L96" s="184"/>
      <c r="M96" s="194"/>
      <c r="N96" s="184"/>
      <c r="O96" s="211">
        <f t="shared" si="10"/>
        <v>0</v>
      </c>
      <c r="Q96" s="1923" t="s">
        <v>767</v>
      </c>
      <c r="R96" s="1926"/>
      <c r="S96" s="1927"/>
      <c r="T96" s="1920" t="s">
        <v>766</v>
      </c>
      <c r="U96" s="1921"/>
      <c r="V96" s="1922"/>
      <c r="W96" s="1920" t="s">
        <v>1051</v>
      </c>
      <c r="X96" s="1921"/>
      <c r="Y96" s="1922"/>
      <c r="AA96" s="228" t="s">
        <v>1516</v>
      </c>
      <c r="AB96" s="448">
        <v>215.9</v>
      </c>
      <c r="AC96" s="449">
        <v>4.8520000000000003</v>
      </c>
      <c r="AD96" s="450">
        <f>AB96*AC96</f>
        <v>1047.5468000000001</v>
      </c>
      <c r="AE96" s="448">
        <v>10.3</v>
      </c>
      <c r="AF96" s="449">
        <v>5.2889999999999997</v>
      </c>
      <c r="AG96" s="230">
        <f>AE96*AF96</f>
        <v>54.476700000000001</v>
      </c>
      <c r="AH96" s="448">
        <v>130.80000000000001</v>
      </c>
      <c r="AI96" s="449">
        <v>5.3650000000000002</v>
      </c>
      <c r="AJ96" s="230">
        <f>AH96*AI96</f>
        <v>701.74200000000008</v>
      </c>
      <c r="AK96" s="767">
        <f t="shared" si="12"/>
        <v>357</v>
      </c>
      <c r="AL96" s="452">
        <f t="shared" si="11"/>
        <v>5.0525644257703082</v>
      </c>
      <c r="AM96" s="230">
        <f t="shared" si="13"/>
        <v>1803.7655</v>
      </c>
      <c r="AN96" s="776">
        <f>AK97-AN98</f>
        <v>0</v>
      </c>
      <c r="AO96" s="777" t="s">
        <v>1283</v>
      </c>
    </row>
    <row r="97" spans="1:41" ht="14.25" hidden="1" thickBot="1">
      <c r="A97" s="207" t="s">
        <v>11</v>
      </c>
      <c r="B97" s="212" t="s">
        <v>865</v>
      </c>
      <c r="C97" s="208"/>
      <c r="D97" s="231"/>
      <c r="E97" s="184">
        <f>SUM(E98:E104)</f>
        <v>0</v>
      </c>
      <c r="F97" s="184"/>
      <c r="G97" s="184"/>
      <c r="H97" s="184"/>
      <c r="I97" s="192"/>
      <c r="J97" s="229"/>
      <c r="K97" s="184"/>
      <c r="L97" s="184"/>
      <c r="M97" s="184"/>
      <c r="N97" s="184"/>
      <c r="O97" s="211"/>
      <c r="P97" s="443" t="s">
        <v>1052</v>
      </c>
      <c r="Q97" s="444" t="s">
        <v>1053</v>
      </c>
      <c r="R97" s="445" t="s">
        <v>417</v>
      </c>
      <c r="S97" s="446" t="s">
        <v>1054</v>
      </c>
      <c r="T97" s="444" t="s">
        <v>1053</v>
      </c>
      <c r="U97" s="445" t="s">
        <v>417</v>
      </c>
      <c r="V97" s="446" t="s">
        <v>1054</v>
      </c>
      <c r="W97" s="445" t="s">
        <v>1053</v>
      </c>
      <c r="X97" s="445" t="s">
        <v>417</v>
      </c>
      <c r="Y97" s="446" t="s">
        <v>1054</v>
      </c>
      <c r="AA97" s="457" t="s">
        <v>435</v>
      </c>
      <c r="AB97" s="767">
        <f>AB94+AB95+AB96</f>
        <v>12735.654499999999</v>
      </c>
      <c r="AC97" s="452">
        <f>AD97/AB97</f>
        <v>4.4448520129844908</v>
      </c>
      <c r="AD97" s="230">
        <f>AD94+AD95+AD96</f>
        <v>56608.099540999989</v>
      </c>
      <c r="AE97" s="767">
        <f>AE94+AE95+AE96</f>
        <v>955.83199999999999</v>
      </c>
      <c r="AF97" s="452">
        <f>AG97/AE97</f>
        <v>4.4496457703864278</v>
      </c>
      <c r="AG97" s="230">
        <f>AG94+AG95+AG96</f>
        <v>4253.113816</v>
      </c>
      <c r="AH97" s="767">
        <f>AH94+AH95+AH96</f>
        <v>8021.2829999999994</v>
      </c>
      <c r="AI97" s="452">
        <f>AJ97/AH97</f>
        <v>4.458274213987961</v>
      </c>
      <c r="AJ97" s="230">
        <f>AJ94+AJ95+AJ96</f>
        <v>35761.079161999995</v>
      </c>
      <c r="AK97" s="458">
        <f>AK94+AK95+AK96</f>
        <v>21712.769500000002</v>
      </c>
      <c r="AL97" s="912">
        <f t="shared" si="11"/>
        <v>4.4500215653742359</v>
      </c>
      <c r="AM97" s="459">
        <f>AM94+AM95+AM96</f>
        <v>96622.292518999981</v>
      </c>
      <c r="AN97" s="778">
        <f>AM97-AN99</f>
        <v>0.99999999998544808</v>
      </c>
      <c r="AO97" s="777" t="s">
        <v>1284</v>
      </c>
    </row>
    <row r="98" spans="1:41" s="478" customFormat="1" ht="13.5" hidden="1" customHeight="1" thickBot="1">
      <c r="A98" s="460" t="s">
        <v>12</v>
      </c>
      <c r="B98" s="461" t="s">
        <v>866</v>
      </c>
      <c r="C98" s="462" t="e">
        <f>'[12]7 '!#REF!</f>
        <v>#REF!</v>
      </c>
      <c r="D98" s="463" t="e">
        <f>F98/C98</f>
        <v>#REF!</v>
      </c>
      <c r="E98" s="464"/>
      <c r="F98" s="465">
        <f t="shared" ref="F98:F105" si="14">AK98/1000</f>
        <v>0</v>
      </c>
      <c r="G98" s="465"/>
      <c r="H98" s="464"/>
      <c r="I98" s="466"/>
      <c r="J98" s="467">
        <f>X98</f>
        <v>5.3924651823909073</v>
      </c>
      <c r="K98" s="468"/>
      <c r="L98" s="468"/>
      <c r="M98" s="468">
        <f>M99+M100+M101+M102</f>
        <v>0</v>
      </c>
      <c r="N98" s="468"/>
      <c r="O98" s="469">
        <f t="shared" ref="O98:O106" si="15">M98</f>
        <v>0</v>
      </c>
      <c r="P98" s="470" t="s">
        <v>864</v>
      </c>
      <c r="Q98" s="471">
        <f>2154.36+3586.5</f>
        <v>5740.8600000000006</v>
      </c>
      <c r="R98" s="472">
        <v>5.4480000000000004</v>
      </c>
      <c r="S98" s="473">
        <f>Q98*R98</f>
        <v>31276.205280000006</v>
      </c>
      <c r="T98" s="471">
        <v>3081.4</v>
      </c>
      <c r="U98" s="472">
        <v>5.2889999999999997</v>
      </c>
      <c r="V98" s="474">
        <f>T98*U98</f>
        <v>16297.524599999999</v>
      </c>
      <c r="W98" s="475">
        <f>Q98+T98</f>
        <v>8822.26</v>
      </c>
      <c r="X98" s="476">
        <f>Y98/W98</f>
        <v>5.3924651823909073</v>
      </c>
      <c r="Y98" s="477">
        <f>S98+V98</f>
        <v>47573.729880000006</v>
      </c>
      <c r="AA98" s="768" t="s">
        <v>1280</v>
      </c>
      <c r="AB98" s="774">
        <f>AB99+AB100+AB101+AB102</f>
        <v>0</v>
      </c>
      <c r="AC98" s="911" t="e">
        <f>AD98/AB98</f>
        <v>#DIV/0!</v>
      </c>
      <c r="AD98" s="775">
        <f>AD99+AD100+AD101+AD102</f>
        <v>0</v>
      </c>
      <c r="AE98" s="774">
        <f>AE99+AE100+AE101+AE102</f>
        <v>0</v>
      </c>
      <c r="AF98" s="911" t="e">
        <f>AG98/AE98</f>
        <v>#DIV/0!</v>
      </c>
      <c r="AG98" s="775">
        <f>AG99+AG100+AG101+AG102</f>
        <v>0</v>
      </c>
      <c r="AH98" s="774">
        <f>AH99+AH100+AH101+AH102</f>
        <v>0</v>
      </c>
      <c r="AI98" s="911" t="e">
        <f>AJ98/AH98</f>
        <v>#DIV/0!</v>
      </c>
      <c r="AJ98" s="775">
        <f>AJ99+AJ100+AJ101+AJ102</f>
        <v>0</v>
      </c>
      <c r="AK98" s="774">
        <f>AK99+AK100+AK101+AK102</f>
        <v>0</v>
      </c>
      <c r="AL98" s="911" t="e">
        <f t="shared" si="11"/>
        <v>#DIV/0!</v>
      </c>
      <c r="AM98" s="775">
        <f>AM99+AM100+AM101+AM102</f>
        <v>0</v>
      </c>
      <c r="AN98" s="779">
        <f>AK98+AK103</f>
        <v>21712.769500000002</v>
      </c>
      <c r="AO98" s="181" t="s">
        <v>1283</v>
      </c>
    </row>
    <row r="99" spans="1:41" ht="13.5" hidden="1" customHeight="1" thickBot="1">
      <c r="A99" s="207"/>
      <c r="B99" s="479" t="s">
        <v>1055</v>
      </c>
      <c r="C99" s="225"/>
      <c r="D99" s="215"/>
      <c r="E99" s="192"/>
      <c r="F99" s="193">
        <f t="shared" si="14"/>
        <v>0</v>
      </c>
      <c r="G99" s="193"/>
      <c r="H99" s="192"/>
      <c r="I99" s="229" t="e">
        <f>AL99*1000</f>
        <v>#DIV/0!</v>
      </c>
      <c r="J99" s="210"/>
      <c r="K99" s="194"/>
      <c r="L99" s="194"/>
      <c r="M99" s="194">
        <f t="shared" ref="M99:M105" si="16">AM99</f>
        <v>0</v>
      </c>
      <c r="N99" s="194"/>
      <c r="O99" s="211">
        <f t="shared" si="15"/>
        <v>0</v>
      </c>
      <c r="P99" s="447"/>
      <c r="Q99" s="448"/>
      <c r="R99" s="449"/>
      <c r="S99" s="450"/>
      <c r="T99" s="448"/>
      <c r="U99" s="449"/>
      <c r="V99" s="230"/>
      <c r="W99" s="451"/>
      <c r="X99" s="480"/>
      <c r="Y99" s="453"/>
      <c r="AA99" s="479" t="s">
        <v>1055</v>
      </c>
      <c r="AB99" s="446"/>
      <c r="AC99" s="446"/>
      <c r="AD99" s="450">
        <f>AB99*AC99</f>
        <v>0</v>
      </c>
      <c r="AE99" s="446"/>
      <c r="AF99" s="446"/>
      <c r="AG99" s="450">
        <f>AE99*AF99</f>
        <v>0</v>
      </c>
      <c r="AH99" s="446"/>
      <c r="AI99" s="446"/>
      <c r="AJ99" s="450">
        <f>AH99*AI99</f>
        <v>0</v>
      </c>
      <c r="AK99" s="767">
        <f t="shared" ref="AK99" si="17">AB99+AE99+AH99</f>
        <v>0</v>
      </c>
      <c r="AL99" s="452" t="e">
        <f t="shared" si="11"/>
        <v>#DIV/0!</v>
      </c>
      <c r="AM99" s="230">
        <f t="shared" ref="AM99" si="18">AD99+AG99+AJ99</f>
        <v>0</v>
      </c>
      <c r="AN99" s="608">
        <f>AM98+AM103</f>
        <v>96621.292518999995</v>
      </c>
      <c r="AO99" s="181" t="s">
        <v>1284</v>
      </c>
    </row>
    <row r="100" spans="1:41" ht="13.5" hidden="1" customHeight="1" thickBot="1">
      <c r="A100" s="207"/>
      <c r="B100" s="479" t="s">
        <v>1056</v>
      </c>
      <c r="C100" s="225"/>
      <c r="D100" s="215"/>
      <c r="E100" s="192"/>
      <c r="F100" s="193">
        <f t="shared" si="14"/>
        <v>0</v>
      </c>
      <c r="G100" s="193"/>
      <c r="H100" s="192"/>
      <c r="I100" s="229" t="e">
        <f>AL100*1000</f>
        <v>#DIV/0!</v>
      </c>
      <c r="J100" s="210"/>
      <c r="K100" s="194"/>
      <c r="L100" s="194"/>
      <c r="M100" s="194">
        <f t="shared" si="16"/>
        <v>0</v>
      </c>
      <c r="N100" s="194"/>
      <c r="O100" s="211">
        <f t="shared" si="15"/>
        <v>0</v>
      </c>
      <c r="P100" s="447"/>
      <c r="Q100" s="448"/>
      <c r="R100" s="449"/>
      <c r="S100" s="450"/>
      <c r="T100" s="448"/>
      <c r="U100" s="449"/>
      <c r="V100" s="230"/>
      <c r="W100" s="451"/>
      <c r="X100" s="480"/>
      <c r="Y100" s="453"/>
      <c r="AA100" s="479" t="s">
        <v>1056</v>
      </c>
      <c r="AB100" s="446"/>
      <c r="AC100" s="446"/>
      <c r="AD100" s="450">
        <f t="shared" ref="AD100:AD104" si="19">AB100*AC100</f>
        <v>0</v>
      </c>
      <c r="AE100" s="446"/>
      <c r="AF100" s="446"/>
      <c r="AG100" s="450">
        <f t="shared" ref="AG100:AG102" si="20">AE100*AF100</f>
        <v>0</v>
      </c>
      <c r="AH100" s="446"/>
      <c r="AI100" s="446"/>
      <c r="AJ100" s="450">
        <f t="shared" ref="AJ100:AJ102" si="21">AH100*AI100</f>
        <v>0</v>
      </c>
      <c r="AK100" s="767">
        <f t="shared" ref="AK100:AK102" si="22">AB100+AE100+AH100</f>
        <v>0</v>
      </c>
      <c r="AL100" s="452" t="e">
        <f t="shared" ref="AL100:AL106" si="23">AM100/AK100</f>
        <v>#DIV/0!</v>
      </c>
      <c r="AM100" s="230">
        <f t="shared" ref="AM100:AM102" si="24">AD100+AG100+AJ100</f>
        <v>0</v>
      </c>
    </row>
    <row r="101" spans="1:41" s="499" customFormat="1" ht="13.5" hidden="1" customHeight="1" thickBot="1">
      <c r="A101" s="481"/>
      <c r="B101" s="482" t="s">
        <v>1057</v>
      </c>
      <c r="C101" s="483"/>
      <c r="D101" s="484"/>
      <c r="E101" s="485"/>
      <c r="F101" s="486">
        <f t="shared" si="14"/>
        <v>0</v>
      </c>
      <c r="G101" s="486"/>
      <c r="H101" s="485"/>
      <c r="I101" s="487" t="e">
        <f>AL101*1000</f>
        <v>#DIV/0!</v>
      </c>
      <c r="J101" s="488"/>
      <c r="K101" s="489"/>
      <c r="L101" s="489"/>
      <c r="M101" s="489">
        <f t="shared" si="16"/>
        <v>0</v>
      </c>
      <c r="N101" s="503"/>
      <c r="O101" s="490">
        <f t="shared" si="15"/>
        <v>0</v>
      </c>
      <c r="P101" s="491"/>
      <c r="Q101" s="492"/>
      <c r="R101" s="493"/>
      <c r="S101" s="494"/>
      <c r="T101" s="492"/>
      <c r="U101" s="493"/>
      <c r="V101" s="495"/>
      <c r="W101" s="496"/>
      <c r="X101" s="497"/>
      <c r="Y101" s="498"/>
      <c r="AA101" s="482" t="s">
        <v>1057</v>
      </c>
      <c r="AB101" s="767"/>
      <c r="AC101" s="446"/>
      <c r="AD101" s="450"/>
      <c r="AE101" s="767"/>
      <c r="AF101" s="446"/>
      <c r="AG101" s="450"/>
      <c r="AH101" s="767"/>
      <c r="AI101" s="446"/>
      <c r="AJ101" s="450"/>
      <c r="AK101" s="767">
        <f t="shared" si="22"/>
        <v>0</v>
      </c>
      <c r="AL101" s="452" t="e">
        <f t="shared" si="23"/>
        <v>#DIV/0!</v>
      </c>
      <c r="AM101" s="230">
        <f t="shared" si="24"/>
        <v>0</v>
      </c>
    </row>
    <row r="102" spans="1:41" ht="13.5" hidden="1" customHeight="1" thickBot="1">
      <c r="A102" s="207"/>
      <c r="B102" s="479" t="s">
        <v>1058</v>
      </c>
      <c r="C102" s="225"/>
      <c r="D102" s="215"/>
      <c r="E102" s="192"/>
      <c r="F102" s="193">
        <f t="shared" si="14"/>
        <v>0</v>
      </c>
      <c r="G102" s="193"/>
      <c r="H102" s="192"/>
      <c r="I102" s="229" t="e">
        <f>AL102*1000</f>
        <v>#DIV/0!</v>
      </c>
      <c r="J102" s="210"/>
      <c r="K102" s="194"/>
      <c r="L102" s="194"/>
      <c r="M102" s="194">
        <f t="shared" si="16"/>
        <v>0</v>
      </c>
      <c r="N102" s="504"/>
      <c r="O102" s="211">
        <f t="shared" si="15"/>
        <v>0</v>
      </c>
      <c r="P102" s="447"/>
      <c r="Q102" s="448"/>
      <c r="R102" s="449"/>
      <c r="S102" s="450"/>
      <c r="T102" s="448"/>
      <c r="U102" s="449"/>
      <c r="V102" s="230"/>
      <c r="W102" s="451"/>
      <c r="X102" s="480"/>
      <c r="Y102" s="453"/>
      <c r="AA102" s="479" t="s">
        <v>1058</v>
      </c>
      <c r="AB102" s="446"/>
      <c r="AC102" s="446"/>
      <c r="AD102" s="450">
        <f t="shared" si="19"/>
        <v>0</v>
      </c>
      <c r="AE102" s="446"/>
      <c r="AF102" s="446"/>
      <c r="AG102" s="450">
        <f t="shared" si="20"/>
        <v>0</v>
      </c>
      <c r="AH102" s="446"/>
      <c r="AI102" s="446"/>
      <c r="AJ102" s="450">
        <f t="shared" si="21"/>
        <v>0</v>
      </c>
      <c r="AK102" s="767">
        <f t="shared" si="22"/>
        <v>0</v>
      </c>
      <c r="AL102" s="452" t="e">
        <f t="shared" si="23"/>
        <v>#DIV/0!</v>
      </c>
      <c r="AM102" s="230">
        <f t="shared" si="24"/>
        <v>0</v>
      </c>
    </row>
    <row r="103" spans="1:41" s="478" customFormat="1" ht="13.5" hidden="1" thickBot="1">
      <c r="A103" s="460" t="s">
        <v>18</v>
      </c>
      <c r="B103" s="461" t="s">
        <v>868</v>
      </c>
      <c r="C103" s="462" t="e">
        <f>'[12]7 '!#REF!</f>
        <v>#REF!</v>
      </c>
      <c r="D103" s="463" t="e">
        <f>F103/C103</f>
        <v>#REF!</v>
      </c>
      <c r="E103" s="464"/>
      <c r="F103" s="465">
        <f t="shared" si="14"/>
        <v>21.712769500000004</v>
      </c>
      <c r="G103" s="465"/>
      <c r="H103" s="464"/>
      <c r="I103" s="466"/>
      <c r="J103" s="464"/>
      <c r="K103" s="468"/>
      <c r="L103" s="468"/>
      <c r="M103" s="468">
        <f>M104+M105+M106</f>
        <v>96621.292518999995</v>
      </c>
      <c r="N103" s="505"/>
      <c r="O103" s="469">
        <f t="shared" si="15"/>
        <v>96621.292518999995</v>
      </c>
      <c r="P103" s="500" t="s">
        <v>887</v>
      </c>
      <c r="Q103" s="471">
        <f>249.71+452.5</f>
        <v>702.21</v>
      </c>
      <c r="R103" s="472">
        <v>4.6040000000000001</v>
      </c>
      <c r="S103" s="473">
        <f>Q103*R103</f>
        <v>3232.9748400000003</v>
      </c>
      <c r="T103" s="471">
        <v>419</v>
      </c>
      <c r="U103" s="472">
        <v>4.4880000000000004</v>
      </c>
      <c r="V103" s="474">
        <f>T103*U103</f>
        <v>1880.4720000000002</v>
      </c>
      <c r="W103" s="501">
        <f>Q103+T103</f>
        <v>1121.21</v>
      </c>
      <c r="X103" s="502">
        <f>Y103/W103</f>
        <v>4.5606504044737388</v>
      </c>
      <c r="Y103" s="474">
        <f>S103+V103</f>
        <v>5113.4468400000005</v>
      </c>
      <c r="AA103" s="768" t="s">
        <v>1281</v>
      </c>
      <c r="AB103" s="922">
        <f>AB104+AB105+AB106+AB107</f>
        <v>12735.654500000001</v>
      </c>
      <c r="AC103" s="911">
        <f>AD103/AB103</f>
        <v>4.4448520129844908</v>
      </c>
      <c r="AD103" s="775">
        <f>AD104+AD105+AD106+AD107</f>
        <v>56608.099540999989</v>
      </c>
      <c r="AE103" s="922">
        <f>AE104+AE105+AE106+AE107</f>
        <v>955.83200000000011</v>
      </c>
      <c r="AF103" s="911">
        <f>AG103/AE103</f>
        <v>4.4496457703864269</v>
      </c>
      <c r="AG103" s="775">
        <f>AG104+AG105+AG106+AG107</f>
        <v>4253.113816</v>
      </c>
      <c r="AH103" s="922">
        <f>AH104+AH105+AH106+AH107</f>
        <v>8021.2829999999994</v>
      </c>
      <c r="AI103" s="911">
        <f>AJ103/AH103</f>
        <v>4.4582742139879601</v>
      </c>
      <c r="AJ103" s="775">
        <f>AJ104+AJ105+AJ106+AJ107</f>
        <v>35761.079161999987</v>
      </c>
      <c r="AK103" s="922">
        <f>AK104+AK105+AK106+AK107</f>
        <v>21712.769500000002</v>
      </c>
      <c r="AL103" s="911">
        <f>AM103/AK103</f>
        <v>4.4499755095267783</v>
      </c>
      <c r="AM103" s="775">
        <f>AM104+AM105+AM106+AM107</f>
        <v>96621.292518999995</v>
      </c>
    </row>
    <row r="104" spans="1:41" hidden="1">
      <c r="A104" s="207"/>
      <c r="B104" s="479" t="s">
        <v>1059</v>
      </c>
      <c r="C104" s="225" t="e">
        <f>'[12]7 '!#REF!</f>
        <v>#REF!</v>
      </c>
      <c r="D104" s="215" t="e">
        <f>F104/C104</f>
        <v>#REF!</v>
      </c>
      <c r="E104" s="192"/>
      <c r="F104" s="193">
        <f t="shared" si="14"/>
        <v>19.527549499999999</v>
      </c>
      <c r="G104" s="193"/>
      <c r="H104" s="192"/>
      <c r="I104" s="229">
        <f>AL104*1000</f>
        <v>4426.5560676212854</v>
      </c>
      <c r="J104" s="184"/>
      <c r="K104" s="194"/>
      <c r="L104" s="194"/>
      <c r="M104" s="194">
        <f t="shared" si="16"/>
        <v>86439.792724999992</v>
      </c>
      <c r="N104" s="504"/>
      <c r="O104" s="211">
        <f t="shared" si="15"/>
        <v>86439.792724999992</v>
      </c>
      <c r="P104" s="457" t="s">
        <v>435</v>
      </c>
      <c r="Q104" s="446"/>
      <c r="R104" s="446"/>
      <c r="S104" s="446"/>
      <c r="T104" s="446"/>
      <c r="U104" s="446"/>
      <c r="V104" s="446"/>
      <c r="W104" s="458">
        <f>W98+W103</f>
        <v>9943.4700000000012</v>
      </c>
      <c r="X104" s="454"/>
      <c r="Y104" s="459">
        <f>Y98+Y103</f>
        <v>52687.176720000003</v>
      </c>
      <c r="AA104" s="479" t="s">
        <v>1059</v>
      </c>
      <c r="AB104" s="767">
        <f>9236.9105+2202.563</f>
        <v>11439.4735</v>
      </c>
      <c r="AC104" s="446">
        <v>4.4219999999999997</v>
      </c>
      <c r="AD104" s="450">
        <f t="shared" si="19"/>
        <v>50585.351816999995</v>
      </c>
      <c r="AE104" s="446">
        <f>737.44+110.572</f>
        <v>848.01200000000006</v>
      </c>
      <c r="AF104" s="446">
        <v>4.4329999999999998</v>
      </c>
      <c r="AG104" s="450">
        <f t="shared" ref="AG104:AG106" si="25">AE104*AF104</f>
        <v>3759.237196</v>
      </c>
      <c r="AH104" s="767">
        <f>5717.413+1522.651</f>
        <v>7240.0639999999994</v>
      </c>
      <c r="AI104" s="446">
        <v>4.4329999999999998</v>
      </c>
      <c r="AJ104" s="450">
        <f t="shared" ref="AJ104:AJ106" si="26">AH104*AI104</f>
        <v>32095.203711999995</v>
      </c>
      <c r="AK104" s="767">
        <f t="shared" ref="AK104" si="27">AB104+AE104+AH104</f>
        <v>19527.549500000001</v>
      </c>
      <c r="AL104" s="452">
        <f t="shared" si="23"/>
        <v>4.4265560676212852</v>
      </c>
      <c r="AM104" s="230">
        <f t="shared" ref="AM104" si="28">AD104+AG104+AJ104</f>
        <v>86439.792724999992</v>
      </c>
    </row>
    <row r="105" spans="1:41" hidden="1">
      <c r="A105" s="506"/>
      <c r="B105" s="482" t="s">
        <v>1057</v>
      </c>
      <c r="C105" s="507"/>
      <c r="D105" s="508"/>
      <c r="E105" s="509"/>
      <c r="F105" s="486">
        <f t="shared" si="14"/>
        <v>2.1326310000000004</v>
      </c>
      <c r="G105" s="510"/>
      <c r="H105" s="509"/>
      <c r="I105" s="487">
        <f>AL105*1000</f>
        <v>4658.5885809593874</v>
      </c>
      <c r="J105" s="509"/>
      <c r="K105" s="511"/>
      <c r="L105" s="511"/>
      <c r="M105" s="489">
        <f t="shared" si="16"/>
        <v>9935.0504240000009</v>
      </c>
      <c r="N105" s="512"/>
      <c r="O105" s="490">
        <f t="shared" si="15"/>
        <v>9935.0504240000009</v>
      </c>
      <c r="AA105" s="482" t="s">
        <v>1057</v>
      </c>
      <c r="AB105" s="767">
        <f>AB95+AB96</f>
        <v>1275.931</v>
      </c>
      <c r="AC105" s="452">
        <f>AD105/AB105</f>
        <v>4.6459640247003948</v>
      </c>
      <c r="AD105" s="450">
        <f>AD95+AD96</f>
        <v>5927.9295240000001</v>
      </c>
      <c r="AE105" s="767">
        <f>AE95+AE96</f>
        <v>92.2</v>
      </c>
      <c r="AF105" s="452">
        <f>AG105/AE105</f>
        <v>4.5774826464208251</v>
      </c>
      <c r="AG105" s="450">
        <f>AG95+AG96</f>
        <v>422.04390000000006</v>
      </c>
      <c r="AH105" s="767">
        <f>AH95+AH96</f>
        <v>764.5</v>
      </c>
      <c r="AI105" s="452">
        <f>AJ105/AH105</f>
        <v>4.689440156965337</v>
      </c>
      <c r="AJ105" s="450">
        <f>AJ95+AJ96</f>
        <v>3585.0770000000002</v>
      </c>
      <c r="AK105" s="767">
        <f t="shared" ref="AK105:AK106" si="29">AB105+AE105+AH105</f>
        <v>2132.6310000000003</v>
      </c>
      <c r="AL105" s="452">
        <f t="shared" si="23"/>
        <v>4.6585885809593872</v>
      </c>
      <c r="AM105" s="230">
        <f t="shared" ref="AM105:AM106" si="30">AD105+AG105+AJ105</f>
        <v>9935.0504240000009</v>
      </c>
    </row>
    <row r="106" spans="1:41" hidden="1">
      <c r="A106" s="207"/>
      <c r="B106" s="923" t="s">
        <v>1058</v>
      </c>
      <c r="C106" s="225"/>
      <c r="D106" s="215"/>
      <c r="E106" s="192"/>
      <c r="F106" s="192">
        <f>(AK106+AK107)/1000</f>
        <v>5.2588999999999997E-2</v>
      </c>
      <c r="G106" s="193"/>
      <c r="H106" s="192"/>
      <c r="I106" s="229">
        <f>M106/F106</f>
        <v>4686.3292703797379</v>
      </c>
      <c r="J106" s="192"/>
      <c r="K106" s="194"/>
      <c r="L106" s="194"/>
      <c r="M106" s="194">
        <f>AM106+AM107</f>
        <v>246.44937000000002</v>
      </c>
      <c r="N106" s="504"/>
      <c r="O106" s="211">
        <f t="shared" si="15"/>
        <v>246.44937000000002</v>
      </c>
      <c r="AA106" s="923" t="s">
        <v>1517</v>
      </c>
      <c r="AB106" s="446">
        <v>13.85</v>
      </c>
      <c r="AC106" s="446">
        <v>4.6040000000000001</v>
      </c>
      <c r="AD106" s="450">
        <f t="shared" ref="AD106" si="31">AB106*AC106</f>
        <v>63.7654</v>
      </c>
      <c r="AE106" s="446">
        <v>13.46</v>
      </c>
      <c r="AF106" s="446">
        <v>4.4880000000000004</v>
      </c>
      <c r="AG106" s="230">
        <f t="shared" si="25"/>
        <v>60.408480000000012</v>
      </c>
      <c r="AH106" s="446">
        <v>10.919</v>
      </c>
      <c r="AI106" s="446">
        <v>4.55</v>
      </c>
      <c r="AJ106" s="230">
        <f t="shared" si="26"/>
        <v>49.681449999999998</v>
      </c>
      <c r="AK106" s="767">
        <f t="shared" si="29"/>
        <v>38.228999999999999</v>
      </c>
      <c r="AL106" s="452">
        <f t="shared" si="23"/>
        <v>4.5477341808574643</v>
      </c>
      <c r="AM106" s="230">
        <f t="shared" si="30"/>
        <v>173.85533000000001</v>
      </c>
    </row>
    <row r="107" spans="1:41" ht="13.5" hidden="1" thickBot="1">
      <c r="A107" s="924"/>
      <c r="B107" s="514"/>
      <c r="C107" s="925"/>
      <c r="D107" s="926"/>
      <c r="E107" s="235"/>
      <c r="F107" s="236"/>
      <c r="G107" s="236"/>
      <c r="H107" s="235"/>
      <c r="I107" s="517"/>
      <c r="J107" s="235"/>
      <c r="K107" s="237"/>
      <c r="L107" s="237"/>
      <c r="M107" s="237"/>
      <c r="N107" s="237"/>
      <c r="O107" s="237"/>
      <c r="AA107" s="927" t="s">
        <v>1518</v>
      </c>
      <c r="AB107" s="928">
        <v>6.4</v>
      </c>
      <c r="AC107" s="928">
        <v>4.8520000000000003</v>
      </c>
      <c r="AD107" s="929">
        <f t="shared" ref="AD107" si="32">AB107*AC107</f>
        <v>31.052800000000005</v>
      </c>
      <c r="AE107" s="928">
        <v>2.16</v>
      </c>
      <c r="AF107" s="928">
        <v>5.2889999999999997</v>
      </c>
      <c r="AG107" s="929">
        <f t="shared" ref="AG107" si="33">AE107*AF107</f>
        <v>11.424239999999999</v>
      </c>
      <c r="AH107" s="928">
        <v>5.8</v>
      </c>
      <c r="AI107" s="928">
        <v>5.3650000000000002</v>
      </c>
      <c r="AJ107" s="929">
        <f t="shared" ref="AJ107" si="34">AH107*AI107</f>
        <v>31.117000000000001</v>
      </c>
      <c r="AK107" s="930">
        <f t="shared" ref="AK107" si="35">AB107+AE107+AH107</f>
        <v>14.36</v>
      </c>
      <c r="AL107" s="931">
        <f t="shared" ref="AL107" si="36">AM107/AK107</f>
        <v>5.0552952646239557</v>
      </c>
      <c r="AM107" s="929">
        <f>AD107+AG107+AJ107-1</f>
        <v>72.594040000000007</v>
      </c>
    </row>
    <row r="108" spans="1:41">
      <c r="A108" s="1947" t="s">
        <v>1155</v>
      </c>
      <c r="B108" s="1946"/>
      <c r="C108" s="1946"/>
      <c r="D108" s="1946"/>
      <c r="E108" s="1946"/>
      <c r="F108" s="1946"/>
      <c r="G108" s="1946"/>
      <c r="H108" s="1946"/>
      <c r="I108" s="1946"/>
      <c r="J108" s="1946"/>
      <c r="K108" s="1946"/>
      <c r="L108" s="1946"/>
      <c r="M108" s="1946"/>
      <c r="N108" s="1946"/>
      <c r="O108" s="1948"/>
      <c r="AB108" s="1923" t="s">
        <v>767</v>
      </c>
      <c r="AC108" s="1928"/>
      <c r="AD108" s="1929"/>
      <c r="AE108" s="1923" t="s">
        <v>766</v>
      </c>
      <c r="AF108" s="1924"/>
      <c r="AG108" s="1925"/>
      <c r="AH108" s="1923"/>
      <c r="AI108" s="1924"/>
      <c r="AJ108" s="1925"/>
      <c r="AK108" s="1923" t="s">
        <v>1051</v>
      </c>
      <c r="AL108" s="1924"/>
      <c r="AM108" s="1925"/>
    </row>
    <row r="109" spans="1:41" ht="26.25" thickBot="1">
      <c r="A109" s="207">
        <v>1</v>
      </c>
      <c r="B109" s="218" t="s">
        <v>863</v>
      </c>
      <c r="C109" s="222" t="e">
        <v>#REF!</v>
      </c>
      <c r="D109" s="222" t="e">
        <v>#REF!</v>
      </c>
      <c r="E109" s="187"/>
      <c r="F109" s="188">
        <v>23.367999999999999</v>
      </c>
      <c r="G109" s="188"/>
      <c r="H109" s="187"/>
      <c r="I109" s="187">
        <v>4819.3087341663813</v>
      </c>
      <c r="J109" s="187"/>
      <c r="K109" s="189"/>
      <c r="L109" s="189"/>
      <c r="M109" s="189">
        <v>112617.60649999999</v>
      </c>
      <c r="N109" s="189"/>
      <c r="O109" s="213">
        <v>112617.60649999999</v>
      </c>
      <c r="AA109" s="443" t="s">
        <v>1285</v>
      </c>
      <c r="AB109" s="942" t="s">
        <v>1519</v>
      </c>
      <c r="AC109" s="1802" t="s">
        <v>417</v>
      </c>
      <c r="AD109" s="446" t="s">
        <v>1054</v>
      </c>
      <c r="AE109" s="942" t="s">
        <v>1519</v>
      </c>
      <c r="AF109" s="1802" t="s">
        <v>417</v>
      </c>
      <c r="AG109" s="446" t="s">
        <v>1054</v>
      </c>
      <c r="AH109" s="942" t="s">
        <v>1519</v>
      </c>
      <c r="AI109" s="1802" t="s">
        <v>417</v>
      </c>
      <c r="AJ109" s="446" t="s">
        <v>1054</v>
      </c>
      <c r="AK109" s="942" t="s">
        <v>1519</v>
      </c>
      <c r="AL109" s="1802" t="s">
        <v>417</v>
      </c>
      <c r="AM109" s="446" t="s">
        <v>1054</v>
      </c>
      <c r="AN109" s="181" t="s">
        <v>1282</v>
      </c>
    </row>
    <row r="110" spans="1:41" s="499" customFormat="1" ht="13.5" thickBot="1">
      <c r="A110" s="207" t="s">
        <v>5</v>
      </c>
      <c r="B110" s="208" t="s">
        <v>1870</v>
      </c>
      <c r="C110" s="209"/>
      <c r="D110" s="209"/>
      <c r="E110" s="192"/>
      <c r="F110" s="193">
        <v>20.832999999999998</v>
      </c>
      <c r="G110" s="193"/>
      <c r="H110" s="192"/>
      <c r="I110" s="229">
        <v>4790.9049104785672</v>
      </c>
      <c r="J110" s="192">
        <v>5.3924651823909073</v>
      </c>
      <c r="K110" s="194"/>
      <c r="L110" s="194"/>
      <c r="M110" s="194">
        <v>99808.921999999991</v>
      </c>
      <c r="N110" s="194"/>
      <c r="O110" s="211">
        <v>99808.921999999991</v>
      </c>
      <c r="P110" s="181"/>
      <c r="Q110" s="181"/>
      <c r="R110" s="181"/>
      <c r="S110" s="181"/>
      <c r="T110" s="181"/>
      <c r="U110" s="181"/>
      <c r="V110" s="181"/>
      <c r="W110" s="181"/>
      <c r="X110" s="181"/>
      <c r="Y110" s="181"/>
      <c r="Z110" s="181"/>
      <c r="AA110" s="447" t="s">
        <v>864</v>
      </c>
      <c r="AB110" s="448">
        <v>12165</v>
      </c>
      <c r="AC110" s="933">
        <v>4.55</v>
      </c>
      <c r="AD110" s="450">
        <v>55350.75</v>
      </c>
      <c r="AE110" s="448">
        <v>8668</v>
      </c>
      <c r="AF110" s="933">
        <v>5.1289999999999996</v>
      </c>
      <c r="AG110" s="450">
        <v>44458.171999999999</v>
      </c>
      <c r="AH110" s="448">
        <v>0</v>
      </c>
      <c r="AI110" s="933" t="e">
        <v>#DIV/0!</v>
      </c>
      <c r="AJ110" s="450">
        <v>0</v>
      </c>
      <c r="AK110" s="451">
        <v>20833</v>
      </c>
      <c r="AL110" s="480">
        <v>4.7909049104785675</v>
      </c>
      <c r="AM110" s="453">
        <v>99808.921999999991</v>
      </c>
      <c r="AN110" s="181"/>
      <c r="AO110" s="181"/>
    </row>
    <row r="111" spans="1:41" ht="16.5" customHeight="1" thickBot="1">
      <c r="A111" s="207" t="s">
        <v>6</v>
      </c>
      <c r="B111" s="208" t="s">
        <v>429</v>
      </c>
      <c r="C111" s="208"/>
      <c r="D111" s="231"/>
      <c r="E111" s="184"/>
      <c r="F111" s="1565">
        <v>2.5350000000000001</v>
      </c>
      <c r="G111" s="1565">
        <v>2.5349999999999999E-3</v>
      </c>
      <c r="H111" s="184"/>
      <c r="I111" s="229">
        <v>5052.7355029585797</v>
      </c>
      <c r="J111" s="192"/>
      <c r="K111" s="184">
        <v>5052.7355029585797</v>
      </c>
      <c r="L111" s="184"/>
      <c r="M111" s="194">
        <v>12808.684499999999</v>
      </c>
      <c r="N111" s="184"/>
      <c r="O111" s="211">
        <v>12808.684499999999</v>
      </c>
      <c r="AA111" s="228" t="s">
        <v>1515</v>
      </c>
      <c r="AB111" s="448">
        <v>987</v>
      </c>
      <c r="AC111" s="449">
        <v>4.55</v>
      </c>
      <c r="AD111" s="450">
        <v>4490.8499999999995</v>
      </c>
      <c r="AE111" s="448">
        <v>759</v>
      </c>
      <c r="AF111" s="449">
        <v>5.1289999999999996</v>
      </c>
      <c r="AG111" s="230">
        <v>3892.9109999999996</v>
      </c>
      <c r="AH111" s="448"/>
      <c r="AI111" s="449"/>
      <c r="AJ111" s="230">
        <v>0</v>
      </c>
      <c r="AK111" s="451">
        <v>1746</v>
      </c>
      <c r="AL111" s="480">
        <v>4.801695876288659</v>
      </c>
      <c r="AM111" s="453">
        <v>8383.7609999999986</v>
      </c>
    </row>
    <row r="112" spans="1:41" ht="13.5" thickBot="1">
      <c r="A112" s="207" t="s">
        <v>7</v>
      </c>
      <c r="B112" s="208" t="s">
        <v>432</v>
      </c>
      <c r="C112" s="208"/>
      <c r="D112" s="231"/>
      <c r="E112" s="184"/>
      <c r="F112" s="193"/>
      <c r="G112" s="184"/>
      <c r="H112" s="184"/>
      <c r="I112" s="229"/>
      <c r="J112" s="192"/>
      <c r="K112" s="184"/>
      <c r="L112" s="184"/>
      <c r="M112" s="194"/>
      <c r="N112" s="184"/>
      <c r="O112" s="211">
        <v>0</v>
      </c>
      <c r="Q112" s="1799" t="s">
        <v>767</v>
      </c>
      <c r="R112" s="1800"/>
      <c r="S112" s="1801"/>
      <c r="T112" s="1802" t="s">
        <v>766</v>
      </c>
      <c r="U112" s="1803"/>
      <c r="V112" s="1804"/>
      <c r="W112" s="1802" t="s">
        <v>1051</v>
      </c>
      <c r="X112" s="1803"/>
      <c r="Y112" s="1804"/>
      <c r="AA112" s="228" t="s">
        <v>1516</v>
      </c>
      <c r="AB112" s="448">
        <v>457.5</v>
      </c>
      <c r="AC112" s="449">
        <v>5.3650000000000002</v>
      </c>
      <c r="AD112" s="450">
        <v>2454.4875000000002</v>
      </c>
      <c r="AE112" s="448">
        <v>331.5</v>
      </c>
      <c r="AF112" s="449">
        <v>5.944</v>
      </c>
      <c r="AG112" s="230">
        <v>1970.4359999999999</v>
      </c>
      <c r="AH112" s="448"/>
      <c r="AI112" s="449"/>
      <c r="AJ112" s="230">
        <v>0</v>
      </c>
      <c r="AK112" s="767">
        <v>789</v>
      </c>
      <c r="AL112" s="452">
        <v>5.6082680608365019</v>
      </c>
      <c r="AM112" s="230">
        <v>4424.9234999999999</v>
      </c>
      <c r="AN112" s="776">
        <f>AK113-AN114</f>
        <v>0</v>
      </c>
      <c r="AO112" s="777" t="s">
        <v>1283</v>
      </c>
    </row>
    <row r="113" spans="1:41" ht="14.25" thickBot="1">
      <c r="A113" s="207" t="s">
        <v>11</v>
      </c>
      <c r="B113" s="212" t="s">
        <v>865</v>
      </c>
      <c r="C113" s="208"/>
      <c r="D113" s="231"/>
      <c r="E113" s="184">
        <v>0</v>
      </c>
      <c r="F113" s="184"/>
      <c r="G113" s="184"/>
      <c r="H113" s="184"/>
      <c r="I113" s="192"/>
      <c r="J113" s="229"/>
      <c r="K113" s="184"/>
      <c r="L113" s="184"/>
      <c r="M113" s="184"/>
      <c r="N113" s="184"/>
      <c r="O113" s="211"/>
      <c r="P113" s="443" t="s">
        <v>1052</v>
      </c>
      <c r="Q113" s="444" t="s">
        <v>1053</v>
      </c>
      <c r="R113" s="1802" t="s">
        <v>417</v>
      </c>
      <c r="S113" s="446" t="s">
        <v>1054</v>
      </c>
      <c r="T113" s="444" t="s">
        <v>1053</v>
      </c>
      <c r="U113" s="1802" t="s">
        <v>417</v>
      </c>
      <c r="V113" s="446" t="s">
        <v>1054</v>
      </c>
      <c r="W113" s="1802" t="s">
        <v>1053</v>
      </c>
      <c r="X113" s="1802" t="s">
        <v>417</v>
      </c>
      <c r="Y113" s="446" t="s">
        <v>1054</v>
      </c>
      <c r="AA113" s="457" t="s">
        <v>435</v>
      </c>
      <c r="AB113" s="767">
        <v>13609.5</v>
      </c>
      <c r="AC113" s="452">
        <v>4.577397222528381</v>
      </c>
      <c r="AD113" s="230">
        <v>62296.087500000001</v>
      </c>
      <c r="AE113" s="767">
        <v>9758.5</v>
      </c>
      <c r="AF113" s="452">
        <v>5.1566858636060866</v>
      </c>
      <c r="AG113" s="230">
        <v>50321.519</v>
      </c>
      <c r="AH113" s="767">
        <v>0</v>
      </c>
      <c r="AI113" s="446" t="e">
        <v>#DIV/0!</v>
      </c>
      <c r="AJ113" s="230">
        <v>0</v>
      </c>
      <c r="AK113" s="458">
        <v>23368</v>
      </c>
      <c r="AL113" s="912">
        <v>4.8193087341663814</v>
      </c>
      <c r="AM113" s="459">
        <v>112617.60649999999</v>
      </c>
      <c r="AN113" s="778">
        <f>AM113-AN115</f>
        <v>0</v>
      </c>
      <c r="AO113" s="777" t="s">
        <v>1284</v>
      </c>
    </row>
    <row r="114" spans="1:41" ht="13.5" thickBot="1">
      <c r="A114" s="460" t="s">
        <v>12</v>
      </c>
      <c r="B114" s="461" t="s">
        <v>866</v>
      </c>
      <c r="C114" s="462" t="e">
        <v>#REF!</v>
      </c>
      <c r="D114" s="463" t="e">
        <v>#REF!</v>
      </c>
      <c r="E114" s="464"/>
      <c r="F114" s="465">
        <v>0</v>
      </c>
      <c r="G114" s="465"/>
      <c r="H114" s="464"/>
      <c r="I114" s="466"/>
      <c r="J114" s="467">
        <v>5.3924651823909073</v>
      </c>
      <c r="K114" s="468"/>
      <c r="L114" s="468"/>
      <c r="M114" s="468">
        <v>0</v>
      </c>
      <c r="N114" s="468"/>
      <c r="O114" s="469">
        <v>0</v>
      </c>
      <c r="P114" s="470" t="s">
        <v>864</v>
      </c>
      <c r="Q114" s="471">
        <v>5740.8600000000006</v>
      </c>
      <c r="R114" s="472">
        <v>5.4480000000000004</v>
      </c>
      <c r="S114" s="473">
        <v>31276.205280000006</v>
      </c>
      <c r="T114" s="471">
        <v>3081.4</v>
      </c>
      <c r="U114" s="472">
        <v>5.2889999999999997</v>
      </c>
      <c r="V114" s="474">
        <v>16297.524599999999</v>
      </c>
      <c r="W114" s="475">
        <v>8822.26</v>
      </c>
      <c r="X114" s="476">
        <v>5.3924651823909073</v>
      </c>
      <c r="Y114" s="477">
        <v>47573.729880000006</v>
      </c>
      <c r="Z114" s="478"/>
      <c r="AA114" s="768" t="s">
        <v>1280</v>
      </c>
      <c r="AB114" s="774">
        <v>0</v>
      </c>
      <c r="AC114" s="774" t="e">
        <v>#DIV/0!</v>
      </c>
      <c r="AD114" s="775">
        <v>0</v>
      </c>
      <c r="AE114" s="774">
        <v>0</v>
      </c>
      <c r="AF114" s="774" t="e">
        <v>#DIV/0!</v>
      </c>
      <c r="AG114" s="775">
        <v>0</v>
      </c>
      <c r="AH114" s="774">
        <v>0</v>
      </c>
      <c r="AI114" s="774" t="e">
        <v>#DIV/0!</v>
      </c>
      <c r="AJ114" s="775">
        <v>0</v>
      </c>
      <c r="AK114" s="774">
        <v>0</v>
      </c>
      <c r="AL114" s="774" t="e">
        <v>#DIV/0!</v>
      </c>
      <c r="AM114" s="775">
        <v>0</v>
      </c>
      <c r="AN114" s="779">
        <f>AK114+AK119</f>
        <v>23368</v>
      </c>
      <c r="AO114" s="181" t="s">
        <v>1283</v>
      </c>
    </row>
    <row r="115" spans="1:41" ht="13.5" thickBot="1">
      <c r="A115" s="207"/>
      <c r="B115" s="479" t="s">
        <v>1055</v>
      </c>
      <c r="C115" s="225"/>
      <c r="D115" s="215"/>
      <c r="E115" s="192"/>
      <c r="F115" s="193">
        <v>0</v>
      </c>
      <c r="G115" s="193"/>
      <c r="H115" s="192"/>
      <c r="I115" s="229" t="e">
        <v>#DIV/0!</v>
      </c>
      <c r="J115" s="210"/>
      <c r="K115" s="194"/>
      <c r="L115" s="194"/>
      <c r="M115" s="194">
        <v>0</v>
      </c>
      <c r="N115" s="194"/>
      <c r="O115" s="211">
        <v>0</v>
      </c>
      <c r="P115" s="447"/>
      <c r="Q115" s="448"/>
      <c r="R115" s="449"/>
      <c r="S115" s="450"/>
      <c r="T115" s="448"/>
      <c r="U115" s="449"/>
      <c r="V115" s="230"/>
      <c r="W115" s="451"/>
      <c r="X115" s="480"/>
      <c r="Y115" s="453"/>
      <c r="AA115" s="479" t="s">
        <v>1055</v>
      </c>
      <c r="AB115" s="446"/>
      <c r="AC115" s="446"/>
      <c r="AD115" s="450">
        <v>0</v>
      </c>
      <c r="AE115" s="446"/>
      <c r="AF115" s="446"/>
      <c r="AG115" s="450">
        <v>0</v>
      </c>
      <c r="AH115" s="446"/>
      <c r="AI115" s="446"/>
      <c r="AJ115" s="450">
        <v>0</v>
      </c>
      <c r="AK115" s="767">
        <v>0</v>
      </c>
      <c r="AL115" s="452" t="e">
        <v>#DIV/0!</v>
      </c>
      <c r="AM115" s="230">
        <v>0</v>
      </c>
      <c r="AN115" s="608">
        <f>AM114+AM119</f>
        <v>112617.60649999999</v>
      </c>
      <c r="AO115" s="181" t="s">
        <v>1284</v>
      </c>
    </row>
    <row r="116" spans="1:41" ht="13.5" thickBot="1">
      <c r="A116" s="207"/>
      <c r="B116" s="479" t="s">
        <v>1056</v>
      </c>
      <c r="C116" s="225"/>
      <c r="D116" s="215"/>
      <c r="E116" s="192"/>
      <c r="F116" s="193">
        <v>0</v>
      </c>
      <c r="G116" s="193"/>
      <c r="H116" s="192"/>
      <c r="I116" s="229" t="e">
        <v>#DIV/0!</v>
      </c>
      <c r="J116" s="210"/>
      <c r="K116" s="194"/>
      <c r="L116" s="194"/>
      <c r="M116" s="194">
        <v>0</v>
      </c>
      <c r="N116" s="194"/>
      <c r="O116" s="211">
        <v>0</v>
      </c>
      <c r="P116" s="447"/>
      <c r="Q116" s="448"/>
      <c r="R116" s="449"/>
      <c r="S116" s="450"/>
      <c r="T116" s="448"/>
      <c r="U116" s="449"/>
      <c r="V116" s="230"/>
      <c r="W116" s="451"/>
      <c r="X116" s="480"/>
      <c r="Y116" s="453"/>
      <c r="AA116" s="479" t="s">
        <v>1056</v>
      </c>
      <c r="AB116" s="446"/>
      <c r="AC116" s="446"/>
      <c r="AD116" s="450">
        <v>0</v>
      </c>
      <c r="AE116" s="446"/>
      <c r="AF116" s="446"/>
      <c r="AG116" s="450">
        <v>0</v>
      </c>
      <c r="AH116" s="446"/>
      <c r="AI116" s="446"/>
      <c r="AJ116" s="450">
        <v>0</v>
      </c>
      <c r="AK116" s="767">
        <v>0</v>
      </c>
      <c r="AL116" s="452" t="e">
        <v>#DIV/0!</v>
      </c>
      <c r="AM116" s="230">
        <v>0</v>
      </c>
    </row>
    <row r="117" spans="1:41" ht="13.5" thickBot="1">
      <c r="A117" s="481"/>
      <c r="B117" s="482" t="s">
        <v>1057</v>
      </c>
      <c r="C117" s="483"/>
      <c r="D117" s="484"/>
      <c r="E117" s="485"/>
      <c r="F117" s="486">
        <v>0</v>
      </c>
      <c r="G117" s="486"/>
      <c r="H117" s="485"/>
      <c r="I117" s="487" t="e">
        <v>#DIV/0!</v>
      </c>
      <c r="J117" s="488"/>
      <c r="K117" s="489"/>
      <c r="L117" s="489"/>
      <c r="M117" s="489">
        <v>0</v>
      </c>
      <c r="N117" s="503"/>
      <c r="O117" s="490">
        <v>0</v>
      </c>
      <c r="P117" s="491"/>
      <c r="Q117" s="492"/>
      <c r="R117" s="493"/>
      <c r="S117" s="494"/>
      <c r="T117" s="492"/>
      <c r="U117" s="493"/>
      <c r="V117" s="495"/>
      <c r="W117" s="496"/>
      <c r="X117" s="497"/>
      <c r="Y117" s="498"/>
      <c r="Z117" s="499"/>
      <c r="AA117" s="482" t="s">
        <v>1057</v>
      </c>
      <c r="AB117" s="446"/>
      <c r="AC117" s="446"/>
      <c r="AD117" s="450">
        <v>0</v>
      </c>
      <c r="AE117" s="446"/>
      <c r="AF117" s="446"/>
      <c r="AG117" s="450">
        <v>0</v>
      </c>
      <c r="AH117" s="446"/>
      <c r="AI117" s="446"/>
      <c r="AJ117" s="450">
        <v>0</v>
      </c>
      <c r="AK117" s="767">
        <v>0</v>
      </c>
      <c r="AL117" s="452" t="e">
        <v>#DIV/0!</v>
      </c>
      <c r="AM117" s="230">
        <v>0</v>
      </c>
      <c r="AN117" s="499"/>
      <c r="AO117" s="499"/>
    </row>
    <row r="118" spans="1:41" ht="13.5" thickBot="1">
      <c r="A118" s="207"/>
      <c r="B118" s="479" t="s">
        <v>1058</v>
      </c>
      <c r="C118" s="225"/>
      <c r="D118" s="215"/>
      <c r="E118" s="192"/>
      <c r="F118" s="193">
        <v>0</v>
      </c>
      <c r="G118" s="193"/>
      <c r="H118" s="192"/>
      <c r="I118" s="229" t="e">
        <v>#DIV/0!</v>
      </c>
      <c r="J118" s="210"/>
      <c r="K118" s="194"/>
      <c r="L118" s="194"/>
      <c r="M118" s="194">
        <v>0</v>
      </c>
      <c r="N118" s="504"/>
      <c r="O118" s="211">
        <v>0</v>
      </c>
      <c r="P118" s="447"/>
      <c r="Q118" s="448"/>
      <c r="R118" s="449"/>
      <c r="S118" s="450"/>
      <c r="T118" s="448"/>
      <c r="U118" s="449"/>
      <c r="V118" s="230"/>
      <c r="W118" s="451"/>
      <c r="X118" s="480"/>
      <c r="Y118" s="453"/>
      <c r="AA118" s="479" t="s">
        <v>1058</v>
      </c>
      <c r="AB118" s="446"/>
      <c r="AC118" s="446"/>
      <c r="AD118" s="450">
        <v>0</v>
      </c>
      <c r="AE118" s="446"/>
      <c r="AF118" s="446"/>
      <c r="AG118" s="450">
        <v>0</v>
      </c>
      <c r="AH118" s="446"/>
      <c r="AI118" s="446"/>
      <c r="AJ118" s="450">
        <v>0</v>
      </c>
      <c r="AK118" s="767">
        <v>0</v>
      </c>
      <c r="AL118" s="452" t="e">
        <v>#DIV/0!</v>
      </c>
      <c r="AM118" s="230">
        <v>0</v>
      </c>
    </row>
    <row r="119" spans="1:41" ht="13.5" thickBot="1">
      <c r="A119" s="460" t="s">
        <v>18</v>
      </c>
      <c r="B119" s="461" t="s">
        <v>868</v>
      </c>
      <c r="C119" s="462" t="e">
        <v>#REF!</v>
      </c>
      <c r="D119" s="463" t="e">
        <v>#REF!</v>
      </c>
      <c r="E119" s="464"/>
      <c r="F119" s="465">
        <v>23.367999999999999</v>
      </c>
      <c r="G119" s="465"/>
      <c r="H119" s="464"/>
      <c r="I119" s="466"/>
      <c r="J119" s="464"/>
      <c r="K119" s="468"/>
      <c r="L119" s="468"/>
      <c r="M119" s="468">
        <v>112617.60649999999</v>
      </c>
      <c r="N119" s="505"/>
      <c r="O119" s="469">
        <v>112617.60649999999</v>
      </c>
      <c r="P119" s="500" t="s">
        <v>887</v>
      </c>
      <c r="Q119" s="471">
        <v>702.21</v>
      </c>
      <c r="R119" s="472">
        <v>4.6040000000000001</v>
      </c>
      <c r="S119" s="473">
        <v>3232.9748400000003</v>
      </c>
      <c r="T119" s="471">
        <v>419</v>
      </c>
      <c r="U119" s="472">
        <v>4.4880000000000004</v>
      </c>
      <c r="V119" s="474">
        <v>1880.4720000000002</v>
      </c>
      <c r="W119" s="501">
        <v>1121.21</v>
      </c>
      <c r="X119" s="502">
        <v>4.5606504044737388</v>
      </c>
      <c r="Y119" s="474">
        <v>5113.4468400000005</v>
      </c>
      <c r="Z119" s="478"/>
      <c r="AA119" s="768" t="s">
        <v>1281</v>
      </c>
      <c r="AB119" s="922">
        <v>13609.5</v>
      </c>
      <c r="AC119" s="911">
        <v>4.577397222528381</v>
      </c>
      <c r="AD119" s="775">
        <v>62296.087500000001</v>
      </c>
      <c r="AE119" s="922">
        <v>9758.5</v>
      </c>
      <c r="AF119" s="911">
        <v>5.1566858636060866</v>
      </c>
      <c r="AG119" s="775">
        <v>50321.519</v>
      </c>
      <c r="AH119" s="922">
        <v>0</v>
      </c>
      <c r="AI119" s="911" t="e">
        <v>#DIV/0!</v>
      </c>
      <c r="AJ119" s="775">
        <v>0</v>
      </c>
      <c r="AK119" s="922">
        <v>23368</v>
      </c>
      <c r="AL119" s="911">
        <v>4.8193087341663814</v>
      </c>
      <c r="AM119" s="775">
        <v>112617.60649999999</v>
      </c>
      <c r="AN119" s="478"/>
      <c r="AO119" s="478"/>
    </row>
    <row r="120" spans="1:41">
      <c r="A120" s="207"/>
      <c r="B120" s="479" t="s">
        <v>1059</v>
      </c>
      <c r="C120" s="225" t="e">
        <v>#REF!</v>
      </c>
      <c r="D120" s="215" t="e">
        <v>#REF!</v>
      </c>
      <c r="E120" s="192"/>
      <c r="F120" s="193">
        <v>20.832999999999998</v>
      </c>
      <c r="G120" s="193"/>
      <c r="H120" s="192"/>
      <c r="I120" s="229">
        <v>4790.9049104785672</v>
      </c>
      <c r="J120" s="184"/>
      <c r="K120" s="194"/>
      <c r="L120" s="194"/>
      <c r="M120" s="194">
        <v>99808.921999999991</v>
      </c>
      <c r="N120" s="504"/>
      <c r="O120" s="211">
        <v>99808.921999999991</v>
      </c>
      <c r="P120" s="457" t="s">
        <v>435</v>
      </c>
      <c r="Q120" s="446"/>
      <c r="R120" s="446"/>
      <c r="S120" s="446"/>
      <c r="T120" s="446"/>
      <c r="U120" s="446"/>
      <c r="V120" s="446"/>
      <c r="W120" s="458">
        <v>9943.4700000000012</v>
      </c>
      <c r="X120" s="454"/>
      <c r="Y120" s="459">
        <v>52687.176720000003</v>
      </c>
      <c r="AA120" s="479" t="s">
        <v>1059</v>
      </c>
      <c r="AB120" s="767">
        <v>12165</v>
      </c>
      <c r="AC120" s="446">
        <v>4.55</v>
      </c>
      <c r="AD120" s="450">
        <v>55350.75</v>
      </c>
      <c r="AE120" s="767">
        <v>8668</v>
      </c>
      <c r="AF120" s="446">
        <v>5.1289999999999996</v>
      </c>
      <c r="AG120" s="450">
        <v>44458.171999999999</v>
      </c>
      <c r="AH120" s="446"/>
      <c r="AI120" s="446"/>
      <c r="AJ120" s="450">
        <v>0</v>
      </c>
      <c r="AK120" s="767">
        <v>20833</v>
      </c>
      <c r="AL120" s="452">
        <v>4.7909049104785675</v>
      </c>
      <c r="AM120" s="230">
        <v>99808.921999999991</v>
      </c>
    </row>
    <row r="121" spans="1:41">
      <c r="A121" s="506"/>
      <c r="B121" s="482" t="s">
        <v>1057</v>
      </c>
      <c r="C121" s="507"/>
      <c r="D121" s="508"/>
      <c r="E121" s="509"/>
      <c r="F121" s="486">
        <v>2.5350000000000001</v>
      </c>
      <c r="G121" s="510"/>
      <c r="H121" s="509"/>
      <c r="I121" s="487">
        <v>5052.7355029585797</v>
      </c>
      <c r="J121" s="509"/>
      <c r="K121" s="511"/>
      <c r="L121" s="511"/>
      <c r="M121" s="489">
        <v>12808.684499999999</v>
      </c>
      <c r="N121" s="512"/>
      <c r="O121" s="490">
        <v>12808.684499999999</v>
      </c>
      <c r="AA121" s="482" t="s">
        <v>1057</v>
      </c>
      <c r="AB121" s="767">
        <v>1444.5</v>
      </c>
      <c r="AC121" s="452">
        <v>4.8081256490134994</v>
      </c>
      <c r="AD121" s="450">
        <v>6945.3374999999996</v>
      </c>
      <c r="AE121" s="767">
        <v>1090.5</v>
      </c>
      <c r="AF121" s="452">
        <v>5.3767510316368634</v>
      </c>
      <c r="AG121" s="450">
        <v>5863.3469999999998</v>
      </c>
      <c r="AH121" s="446"/>
      <c r="AI121" s="446"/>
      <c r="AJ121" s="450">
        <v>0</v>
      </c>
      <c r="AK121" s="767">
        <v>2535</v>
      </c>
      <c r="AL121" s="452">
        <v>5.0527355029585799</v>
      </c>
      <c r="AM121" s="230">
        <v>12808.684499999999</v>
      </c>
    </row>
    <row r="122" spans="1:41">
      <c r="A122" s="207"/>
      <c r="B122" s="923" t="s">
        <v>1058</v>
      </c>
      <c r="C122" s="225"/>
      <c r="D122" s="215"/>
      <c r="E122" s="192"/>
      <c r="F122" s="192">
        <v>0</v>
      </c>
      <c r="G122" s="193"/>
      <c r="H122" s="192"/>
      <c r="I122" s="229" t="e">
        <v>#DIV/0!</v>
      </c>
      <c r="J122" s="192"/>
      <c r="K122" s="194"/>
      <c r="L122" s="194"/>
      <c r="M122" s="194">
        <v>0</v>
      </c>
      <c r="N122" s="504"/>
      <c r="O122" s="211">
        <v>0</v>
      </c>
      <c r="P122" s="941"/>
      <c r="Q122" s="941"/>
      <c r="R122" s="941"/>
      <c r="S122" s="941"/>
      <c r="T122" s="941"/>
      <c r="U122" s="941"/>
      <c r="V122" s="941"/>
      <c r="W122" s="941"/>
      <c r="X122" s="941"/>
      <c r="Y122" s="941"/>
      <c r="Z122" s="941"/>
      <c r="AA122" s="923" t="s">
        <v>1517</v>
      </c>
      <c r="AB122" s="446"/>
      <c r="AC122" s="446"/>
      <c r="AD122" s="230">
        <v>0</v>
      </c>
      <c r="AE122" s="446"/>
      <c r="AF122" s="446"/>
      <c r="AG122" s="230">
        <v>0</v>
      </c>
      <c r="AH122" s="446"/>
      <c r="AI122" s="446"/>
      <c r="AJ122" s="230">
        <v>0</v>
      </c>
      <c r="AK122" s="767">
        <v>0</v>
      </c>
      <c r="AL122" s="452" t="e">
        <v>#DIV/0!</v>
      </c>
      <c r="AM122" s="230">
        <v>0</v>
      </c>
    </row>
    <row r="123" spans="1:41" ht="13.5" thickBot="1">
      <c r="A123" s="934"/>
      <c r="B123" s="927"/>
      <c r="C123" s="935"/>
      <c r="D123" s="936"/>
      <c r="E123" s="937"/>
      <c r="F123" s="938"/>
      <c r="G123" s="938"/>
      <c r="H123" s="937"/>
      <c r="I123" s="939"/>
      <c r="J123" s="937"/>
      <c r="K123" s="940"/>
      <c r="L123" s="940"/>
      <c r="M123" s="940"/>
      <c r="N123" s="940"/>
      <c r="O123" s="940"/>
      <c r="AA123" s="927" t="s">
        <v>1518</v>
      </c>
      <c r="AB123" s="928"/>
      <c r="AC123" s="928"/>
      <c r="AD123" s="929">
        <v>0</v>
      </c>
      <c r="AE123" s="928"/>
      <c r="AF123" s="928"/>
      <c r="AG123" s="929">
        <v>0</v>
      </c>
      <c r="AH123" s="928"/>
      <c r="AI123" s="928"/>
      <c r="AJ123" s="929">
        <v>0</v>
      </c>
      <c r="AK123" s="930">
        <v>0</v>
      </c>
      <c r="AL123" s="931" t="e">
        <v>#DIV/0!</v>
      </c>
      <c r="AM123" s="929">
        <v>0</v>
      </c>
    </row>
    <row r="124" spans="1:41">
      <c r="A124" s="1795" t="s">
        <v>1699</v>
      </c>
      <c r="B124" s="1796"/>
      <c r="C124" s="1796"/>
      <c r="D124" s="1796"/>
      <c r="E124" s="1796"/>
      <c r="F124" s="1796"/>
      <c r="G124" s="1796"/>
      <c r="H124" s="1796"/>
      <c r="I124" s="1796"/>
      <c r="J124" s="1796"/>
      <c r="K124" s="1796"/>
      <c r="L124" s="1796"/>
      <c r="M124" s="1796"/>
      <c r="N124" s="1796"/>
      <c r="O124" s="1798"/>
      <c r="AB124" s="1799" t="s">
        <v>767</v>
      </c>
      <c r="AC124" s="1806"/>
      <c r="AD124" s="1807"/>
      <c r="AE124" s="1799" t="s">
        <v>766</v>
      </c>
      <c r="AF124" s="1808"/>
      <c r="AG124" s="1809"/>
      <c r="AH124" s="1799"/>
      <c r="AI124" s="1808"/>
      <c r="AJ124" s="1809"/>
      <c r="AK124" s="1799" t="s">
        <v>1051</v>
      </c>
      <c r="AL124" s="1808"/>
      <c r="AM124" s="1809"/>
    </row>
    <row r="125" spans="1:41" ht="26.25" thickBot="1">
      <c r="A125" s="207">
        <v>1</v>
      </c>
      <c r="B125" s="218" t="s">
        <v>863</v>
      </c>
      <c r="C125" s="222" t="e">
        <v>#REF!</v>
      </c>
      <c r="D125" s="222" t="e">
        <v>#REF!</v>
      </c>
      <c r="E125" s="187"/>
      <c r="F125" s="205">
        <v>21.573505000000001</v>
      </c>
      <c r="G125" s="188"/>
      <c r="H125" s="187"/>
      <c r="I125" s="187"/>
      <c r="J125" s="187"/>
      <c r="K125" s="189"/>
      <c r="L125" s="189"/>
      <c r="M125" s="189">
        <v>103600.51058</v>
      </c>
      <c r="N125" s="189"/>
      <c r="O125" s="213">
        <v>103600.51058</v>
      </c>
      <c r="AA125" s="443" t="s">
        <v>1285</v>
      </c>
      <c r="AB125" s="942" t="s">
        <v>1519</v>
      </c>
      <c r="AC125" s="1802" t="s">
        <v>417</v>
      </c>
      <c r="AD125" s="446" t="s">
        <v>1054</v>
      </c>
      <c r="AE125" s="942" t="s">
        <v>1519</v>
      </c>
      <c r="AF125" s="1802" t="s">
        <v>417</v>
      </c>
      <c r="AG125" s="446" t="s">
        <v>1054</v>
      </c>
      <c r="AH125" s="942" t="s">
        <v>1519</v>
      </c>
      <c r="AI125" s="1802" t="s">
        <v>417</v>
      </c>
      <c r="AJ125" s="446" t="s">
        <v>1054</v>
      </c>
      <c r="AK125" s="942" t="s">
        <v>1519</v>
      </c>
      <c r="AL125" s="1802" t="s">
        <v>417</v>
      </c>
      <c r="AM125" s="446" t="s">
        <v>1054</v>
      </c>
      <c r="AN125" s="181" t="s">
        <v>1282</v>
      </c>
    </row>
    <row r="126" spans="1:41" ht="13.5" thickBot="1">
      <c r="A126" s="207" t="s">
        <v>5</v>
      </c>
      <c r="B126" s="208" t="s">
        <v>1870</v>
      </c>
      <c r="C126" s="209"/>
      <c r="D126" s="209"/>
      <c r="E126" s="192"/>
      <c r="F126" s="210">
        <v>19.504809000000002</v>
      </c>
      <c r="G126" s="193"/>
      <c r="H126" s="192"/>
      <c r="I126" s="229">
        <v>4786.2085899943959</v>
      </c>
      <c r="J126" s="192">
        <v>5.3924651823909073</v>
      </c>
      <c r="K126" s="194">
        <v>4786.208589994395</v>
      </c>
      <c r="L126" s="194"/>
      <c r="M126" s="194">
        <v>93354.084382000001</v>
      </c>
      <c r="N126" s="194"/>
      <c r="O126" s="211">
        <v>93354.084382000001</v>
      </c>
      <c r="AA126" s="447" t="s">
        <v>864</v>
      </c>
      <c r="AB126" s="448">
        <v>11683.344999999999</v>
      </c>
      <c r="AC126" s="933">
        <v>4.5503180938335719</v>
      </c>
      <c r="AD126" s="450">
        <v>53162.936149999994</v>
      </c>
      <c r="AE126" s="448">
        <v>7821.4639999999999</v>
      </c>
      <c r="AF126" s="933">
        <v>5.1385710184180349</v>
      </c>
      <c r="AG126" s="450">
        <v>40191.148232</v>
      </c>
      <c r="AH126" s="448">
        <v>0</v>
      </c>
      <c r="AI126" s="933" t="e">
        <v>#DIV/0!</v>
      </c>
      <c r="AJ126" s="450">
        <v>0</v>
      </c>
      <c r="AK126" s="451">
        <v>19504.809000000001</v>
      </c>
      <c r="AL126" s="480">
        <v>4.7862085899943958</v>
      </c>
      <c r="AM126" s="453">
        <v>93354.084382000001</v>
      </c>
    </row>
    <row r="127" spans="1:41" ht="15" customHeight="1" thickBot="1">
      <c r="A127" s="207" t="s">
        <v>6</v>
      </c>
      <c r="B127" s="208" t="s">
        <v>429</v>
      </c>
      <c r="C127" s="208"/>
      <c r="D127" s="231"/>
      <c r="E127" s="184"/>
      <c r="F127" s="210">
        <v>2.0686960000000001</v>
      </c>
      <c r="G127" s="193"/>
      <c r="H127" s="184"/>
      <c r="I127" s="229">
        <v>4953.0845508474895</v>
      </c>
      <c r="J127" s="192"/>
      <c r="K127" s="184"/>
      <c r="L127" s="184"/>
      <c r="M127" s="194">
        <v>10246.426197999999</v>
      </c>
      <c r="N127" s="184"/>
      <c r="O127" s="211">
        <v>10246.426197999999</v>
      </c>
      <c r="AA127" s="228" t="s">
        <v>1515</v>
      </c>
      <c r="AB127" s="448">
        <v>955.60400000000004</v>
      </c>
      <c r="AC127" s="449">
        <v>4.55</v>
      </c>
      <c r="AD127" s="450">
        <v>4347.9982</v>
      </c>
      <c r="AE127" s="448">
        <v>727.36599999999999</v>
      </c>
      <c r="AF127" s="449">
        <v>5.1379999999999999</v>
      </c>
      <c r="AG127" s="230">
        <v>3737.2065079999998</v>
      </c>
      <c r="AH127" s="448"/>
      <c r="AI127" s="449"/>
      <c r="AJ127" s="230">
        <v>0</v>
      </c>
      <c r="AK127" s="451">
        <v>1682.97</v>
      </c>
      <c r="AL127" s="480">
        <v>4.8041288365211496</v>
      </c>
      <c r="AM127" s="453">
        <v>8085.2047079999993</v>
      </c>
    </row>
    <row r="128" spans="1:41" ht="13.5" thickBot="1">
      <c r="A128" s="207" t="s">
        <v>7</v>
      </c>
      <c r="B128" s="208" t="s">
        <v>432</v>
      </c>
      <c r="C128" s="208"/>
      <c r="D128" s="231"/>
      <c r="E128" s="184"/>
      <c r="F128" s="193"/>
      <c r="G128" s="184"/>
      <c r="H128" s="184"/>
      <c r="I128" s="229"/>
      <c r="J128" s="192"/>
      <c r="K128" s="184"/>
      <c r="L128" s="184"/>
      <c r="M128" s="194"/>
      <c r="N128" s="184"/>
      <c r="O128" s="211">
        <v>0</v>
      </c>
      <c r="Q128" s="1799" t="s">
        <v>767</v>
      </c>
      <c r="R128" s="1800"/>
      <c r="S128" s="1801"/>
      <c r="T128" s="1802" t="s">
        <v>766</v>
      </c>
      <c r="U128" s="1803"/>
      <c r="V128" s="1804"/>
      <c r="W128" s="1802" t="s">
        <v>1051</v>
      </c>
      <c r="X128" s="1803"/>
      <c r="Y128" s="1804"/>
      <c r="AA128" s="228" t="s">
        <v>1516</v>
      </c>
      <c r="AB128" s="448">
        <v>229.601</v>
      </c>
      <c r="AC128" s="449">
        <v>5.3650000000000002</v>
      </c>
      <c r="AD128" s="450">
        <v>1231.8093650000001</v>
      </c>
      <c r="AE128" s="448">
        <v>156.12500000000003</v>
      </c>
      <c r="AF128" s="933">
        <v>5.9530000000000003</v>
      </c>
      <c r="AG128" s="230">
        <v>929.41212500000017</v>
      </c>
      <c r="AH128" s="448"/>
      <c r="AI128" s="449"/>
      <c r="AJ128" s="230">
        <v>0</v>
      </c>
      <c r="AK128" s="767">
        <v>385.726</v>
      </c>
      <c r="AL128" s="452">
        <v>5.6029966608421535</v>
      </c>
      <c r="AM128" s="230">
        <v>2161.2214900000004</v>
      </c>
      <c r="AN128" s="776">
        <f>AK129-AN130</f>
        <v>0</v>
      </c>
      <c r="AO128" s="777" t="s">
        <v>1283</v>
      </c>
    </row>
    <row r="129" spans="1:41" ht="14.25" thickBot="1">
      <c r="A129" s="207" t="s">
        <v>11</v>
      </c>
      <c r="B129" s="212" t="s">
        <v>865</v>
      </c>
      <c r="C129" s="208"/>
      <c r="D129" s="231"/>
      <c r="E129" s="184">
        <v>0</v>
      </c>
      <c r="F129" s="184"/>
      <c r="G129" s="184"/>
      <c r="H129" s="184"/>
      <c r="I129" s="192"/>
      <c r="J129" s="229"/>
      <c r="K129" s="184"/>
      <c r="L129" s="184"/>
      <c r="M129" s="184"/>
      <c r="N129" s="184"/>
      <c r="O129" s="211"/>
      <c r="P129" s="443" t="s">
        <v>1052</v>
      </c>
      <c r="Q129" s="444" t="s">
        <v>1053</v>
      </c>
      <c r="R129" s="1802" t="s">
        <v>417</v>
      </c>
      <c r="S129" s="446" t="s">
        <v>1054</v>
      </c>
      <c r="T129" s="444" t="s">
        <v>1053</v>
      </c>
      <c r="U129" s="1802" t="s">
        <v>417</v>
      </c>
      <c r="V129" s="446" t="s">
        <v>1054</v>
      </c>
      <c r="W129" s="1802" t="s">
        <v>1053</v>
      </c>
      <c r="X129" s="1802" t="s">
        <v>417</v>
      </c>
      <c r="Y129" s="446" t="s">
        <v>1054</v>
      </c>
      <c r="AA129" s="457" t="s">
        <v>435</v>
      </c>
      <c r="AB129" s="767">
        <v>12868.55</v>
      </c>
      <c r="AC129" s="452">
        <v>4.5648300480629134</v>
      </c>
      <c r="AD129" s="230">
        <v>58742.743714999997</v>
      </c>
      <c r="AE129" s="767">
        <v>8704.9549999999999</v>
      </c>
      <c r="AF129" s="452">
        <v>5.1531302419139449</v>
      </c>
      <c r="AG129" s="230">
        <v>44857.766865000005</v>
      </c>
      <c r="AH129" s="767">
        <v>0</v>
      </c>
      <c r="AI129" s="446" t="e">
        <v>#DIV/0!</v>
      </c>
      <c r="AJ129" s="230">
        <v>0</v>
      </c>
      <c r="AK129" s="458">
        <v>21573.505000000001</v>
      </c>
      <c r="AL129" s="912">
        <v>4.8022104233873915</v>
      </c>
      <c r="AM129" s="459">
        <v>103600.51058</v>
      </c>
      <c r="AN129" s="778">
        <f>AM129-AN131</f>
        <v>0</v>
      </c>
      <c r="AO129" s="777" t="s">
        <v>1284</v>
      </c>
    </row>
    <row r="130" spans="1:41" ht="13.5" thickBot="1">
      <c r="A130" s="460" t="s">
        <v>12</v>
      </c>
      <c r="B130" s="461" t="s">
        <v>866</v>
      </c>
      <c r="C130" s="462" t="e">
        <v>#REF!</v>
      </c>
      <c r="D130" s="463" t="e">
        <v>#REF!</v>
      </c>
      <c r="E130" s="464"/>
      <c r="F130" s="465">
        <v>0</v>
      </c>
      <c r="G130" s="465"/>
      <c r="H130" s="464"/>
      <c r="I130" s="466"/>
      <c r="J130" s="467">
        <v>5.3924651823909073</v>
      </c>
      <c r="K130" s="468"/>
      <c r="L130" s="468"/>
      <c r="M130" s="468">
        <v>0</v>
      </c>
      <c r="N130" s="468"/>
      <c r="O130" s="469">
        <v>0</v>
      </c>
      <c r="P130" s="470" t="s">
        <v>864</v>
      </c>
      <c r="Q130" s="471">
        <v>5740.8600000000006</v>
      </c>
      <c r="R130" s="472">
        <v>5.4480000000000004</v>
      </c>
      <c r="S130" s="473">
        <v>31276.205280000006</v>
      </c>
      <c r="T130" s="471">
        <v>3081.4</v>
      </c>
      <c r="U130" s="472">
        <v>5.2889999999999997</v>
      </c>
      <c r="V130" s="474">
        <v>16297.524599999999</v>
      </c>
      <c r="W130" s="475">
        <v>8822.26</v>
      </c>
      <c r="X130" s="476">
        <v>5.3924651823909073</v>
      </c>
      <c r="Y130" s="477">
        <v>47573.729880000006</v>
      </c>
      <c r="Z130" s="478"/>
      <c r="AA130" s="768" t="s">
        <v>1280</v>
      </c>
      <c r="AB130" s="774">
        <v>0</v>
      </c>
      <c r="AC130" s="774" t="e">
        <v>#DIV/0!</v>
      </c>
      <c r="AD130" s="775">
        <v>0</v>
      </c>
      <c r="AE130" s="774">
        <v>0</v>
      </c>
      <c r="AF130" s="774" t="e">
        <v>#DIV/0!</v>
      </c>
      <c r="AG130" s="775">
        <v>0</v>
      </c>
      <c r="AH130" s="774">
        <v>0</v>
      </c>
      <c r="AI130" s="774" t="e">
        <v>#DIV/0!</v>
      </c>
      <c r="AJ130" s="775">
        <v>0</v>
      </c>
      <c r="AK130" s="774">
        <v>0</v>
      </c>
      <c r="AL130" s="774" t="e">
        <v>#DIV/0!</v>
      </c>
      <c r="AM130" s="775">
        <v>0</v>
      </c>
      <c r="AN130" s="779">
        <f>AK130+AK135</f>
        <v>21573.505000000001</v>
      </c>
      <c r="AO130" s="181" t="s">
        <v>1283</v>
      </c>
    </row>
    <row r="131" spans="1:41" ht="13.5" thickBot="1">
      <c r="A131" s="207"/>
      <c r="B131" s="479" t="s">
        <v>1055</v>
      </c>
      <c r="C131" s="225"/>
      <c r="D131" s="215"/>
      <c r="E131" s="192"/>
      <c r="F131" s="193">
        <v>0</v>
      </c>
      <c r="G131" s="193"/>
      <c r="H131" s="192"/>
      <c r="I131" s="229" t="e">
        <v>#DIV/0!</v>
      </c>
      <c r="J131" s="210"/>
      <c r="K131" s="194"/>
      <c r="L131" s="194"/>
      <c r="M131" s="194">
        <v>0</v>
      </c>
      <c r="N131" s="194"/>
      <c r="O131" s="211">
        <v>0</v>
      </c>
      <c r="P131" s="447"/>
      <c r="Q131" s="448"/>
      <c r="R131" s="449"/>
      <c r="S131" s="450"/>
      <c r="T131" s="448"/>
      <c r="U131" s="449"/>
      <c r="V131" s="230"/>
      <c r="W131" s="451"/>
      <c r="X131" s="480"/>
      <c r="Y131" s="453"/>
      <c r="AA131" s="479" t="s">
        <v>1055</v>
      </c>
      <c r="AB131" s="446"/>
      <c r="AC131" s="446"/>
      <c r="AD131" s="450">
        <v>0</v>
      </c>
      <c r="AE131" s="446"/>
      <c r="AF131" s="446"/>
      <c r="AG131" s="450">
        <v>0</v>
      </c>
      <c r="AH131" s="446"/>
      <c r="AI131" s="446"/>
      <c r="AJ131" s="450">
        <v>0</v>
      </c>
      <c r="AK131" s="767">
        <v>0</v>
      </c>
      <c r="AL131" s="452" t="e">
        <v>#DIV/0!</v>
      </c>
      <c r="AM131" s="230">
        <v>0</v>
      </c>
      <c r="AN131" s="608">
        <f>AM130+AM135</f>
        <v>103600.51058</v>
      </c>
      <c r="AO131" s="181" t="s">
        <v>1284</v>
      </c>
    </row>
    <row r="132" spans="1:41" ht="13.5" thickBot="1">
      <c r="A132" s="207"/>
      <c r="B132" s="479" t="s">
        <v>1056</v>
      </c>
      <c r="C132" s="225"/>
      <c r="D132" s="215"/>
      <c r="E132" s="192"/>
      <c r="F132" s="193">
        <v>0</v>
      </c>
      <c r="G132" s="193"/>
      <c r="H132" s="192"/>
      <c r="I132" s="229" t="e">
        <v>#DIV/0!</v>
      </c>
      <c r="J132" s="210"/>
      <c r="K132" s="194"/>
      <c r="L132" s="194"/>
      <c r="M132" s="194">
        <v>0</v>
      </c>
      <c r="N132" s="194"/>
      <c r="O132" s="211">
        <v>0</v>
      </c>
      <c r="P132" s="447"/>
      <c r="Q132" s="448"/>
      <c r="R132" s="449"/>
      <c r="S132" s="450"/>
      <c r="T132" s="448"/>
      <c r="U132" s="449"/>
      <c r="V132" s="230"/>
      <c r="W132" s="451"/>
      <c r="X132" s="480"/>
      <c r="Y132" s="453"/>
      <c r="AA132" s="479" t="s">
        <v>1056</v>
      </c>
      <c r="AB132" s="446"/>
      <c r="AC132" s="446"/>
      <c r="AD132" s="450">
        <v>0</v>
      </c>
      <c r="AE132" s="446"/>
      <c r="AF132" s="446"/>
      <c r="AG132" s="450">
        <v>0</v>
      </c>
      <c r="AH132" s="446"/>
      <c r="AI132" s="446"/>
      <c r="AJ132" s="450">
        <v>0</v>
      </c>
      <c r="AK132" s="767">
        <v>0</v>
      </c>
      <c r="AL132" s="452" t="e">
        <v>#DIV/0!</v>
      </c>
      <c r="AM132" s="230">
        <v>0</v>
      </c>
    </row>
    <row r="133" spans="1:41" ht="13.5" thickBot="1">
      <c r="A133" s="481"/>
      <c r="B133" s="482" t="s">
        <v>1057</v>
      </c>
      <c r="C133" s="483"/>
      <c r="D133" s="484"/>
      <c r="E133" s="485"/>
      <c r="F133" s="486">
        <v>0</v>
      </c>
      <c r="G133" s="486"/>
      <c r="H133" s="485"/>
      <c r="I133" s="487" t="e">
        <v>#DIV/0!</v>
      </c>
      <c r="J133" s="488"/>
      <c r="K133" s="489"/>
      <c r="L133" s="489"/>
      <c r="M133" s="489">
        <v>0</v>
      </c>
      <c r="N133" s="503"/>
      <c r="O133" s="490">
        <v>0</v>
      </c>
      <c r="P133" s="491"/>
      <c r="Q133" s="492"/>
      <c r="R133" s="493"/>
      <c r="S133" s="494"/>
      <c r="T133" s="492"/>
      <c r="U133" s="493"/>
      <c r="V133" s="495"/>
      <c r="W133" s="496"/>
      <c r="X133" s="497"/>
      <c r="Y133" s="498"/>
      <c r="Z133" s="499"/>
      <c r="AA133" s="482" t="s">
        <v>1057</v>
      </c>
      <c r="AB133" s="446"/>
      <c r="AC133" s="446"/>
      <c r="AD133" s="450">
        <v>0</v>
      </c>
      <c r="AE133" s="446"/>
      <c r="AF133" s="446"/>
      <c r="AG133" s="450">
        <v>0</v>
      </c>
      <c r="AH133" s="446"/>
      <c r="AI133" s="446"/>
      <c r="AJ133" s="450">
        <v>0</v>
      </c>
      <c r="AK133" s="767">
        <v>0</v>
      </c>
      <c r="AL133" s="452" t="e">
        <v>#DIV/0!</v>
      </c>
      <c r="AM133" s="230">
        <v>0</v>
      </c>
      <c r="AN133" s="499"/>
      <c r="AO133" s="499"/>
    </row>
    <row r="134" spans="1:41" ht="13.5" thickBot="1">
      <c r="A134" s="207"/>
      <c r="B134" s="479" t="s">
        <v>1058</v>
      </c>
      <c r="C134" s="225"/>
      <c r="D134" s="215"/>
      <c r="E134" s="192"/>
      <c r="F134" s="193">
        <v>0</v>
      </c>
      <c r="G134" s="193"/>
      <c r="H134" s="192"/>
      <c r="I134" s="229" t="e">
        <v>#DIV/0!</v>
      </c>
      <c r="J134" s="210"/>
      <c r="K134" s="194"/>
      <c r="L134" s="194"/>
      <c r="M134" s="194">
        <v>0</v>
      </c>
      <c r="N134" s="504"/>
      <c r="O134" s="211">
        <v>0</v>
      </c>
      <c r="P134" s="447"/>
      <c r="Q134" s="448"/>
      <c r="R134" s="449"/>
      <c r="S134" s="450"/>
      <c r="T134" s="448"/>
      <c r="U134" s="449"/>
      <c r="V134" s="230"/>
      <c r="W134" s="451"/>
      <c r="X134" s="480"/>
      <c r="Y134" s="453"/>
      <c r="AA134" s="479" t="s">
        <v>1058</v>
      </c>
      <c r="AB134" s="446"/>
      <c r="AC134" s="446"/>
      <c r="AD134" s="450">
        <v>0</v>
      </c>
      <c r="AE134" s="446"/>
      <c r="AF134" s="446"/>
      <c r="AG134" s="450">
        <v>0</v>
      </c>
      <c r="AH134" s="446"/>
      <c r="AI134" s="446"/>
      <c r="AJ134" s="450">
        <v>0</v>
      </c>
      <c r="AK134" s="767">
        <v>0</v>
      </c>
      <c r="AL134" s="452" t="e">
        <v>#DIV/0!</v>
      </c>
      <c r="AM134" s="230">
        <v>0</v>
      </c>
    </row>
    <row r="135" spans="1:41" ht="13.5" thickBot="1">
      <c r="A135" s="460" t="s">
        <v>18</v>
      </c>
      <c r="B135" s="461" t="s">
        <v>868</v>
      </c>
      <c r="C135" s="462" t="e">
        <v>#REF!</v>
      </c>
      <c r="D135" s="463" t="e">
        <v>#REF!</v>
      </c>
      <c r="E135" s="464"/>
      <c r="F135" s="465">
        <v>21.573505000000001</v>
      </c>
      <c r="G135" s="465"/>
      <c r="H135" s="464"/>
      <c r="I135" s="466"/>
      <c r="J135" s="464"/>
      <c r="K135" s="468"/>
      <c r="L135" s="468"/>
      <c r="M135" s="468">
        <v>103600.51057999999</v>
      </c>
      <c r="N135" s="505"/>
      <c r="O135" s="469">
        <v>103600.51057999999</v>
      </c>
      <c r="P135" s="500" t="s">
        <v>887</v>
      </c>
      <c r="Q135" s="471">
        <v>702.21</v>
      </c>
      <c r="R135" s="472">
        <v>4.6040000000000001</v>
      </c>
      <c r="S135" s="473">
        <v>3232.9748400000003</v>
      </c>
      <c r="T135" s="471">
        <v>419</v>
      </c>
      <c r="U135" s="472">
        <v>4.4880000000000004</v>
      </c>
      <c r="V135" s="474">
        <v>1880.4720000000002</v>
      </c>
      <c r="W135" s="501">
        <v>1121.21</v>
      </c>
      <c r="X135" s="502">
        <v>4.5606504044737388</v>
      </c>
      <c r="Y135" s="474">
        <v>5113.4468400000005</v>
      </c>
      <c r="Z135" s="478"/>
      <c r="AA135" s="768" t="s">
        <v>1281</v>
      </c>
      <c r="AB135" s="922">
        <v>12868.55</v>
      </c>
      <c r="AC135" s="911">
        <v>4.5648300480629134</v>
      </c>
      <c r="AD135" s="775">
        <v>58742.743714999997</v>
      </c>
      <c r="AE135" s="922">
        <v>8704.9549999999999</v>
      </c>
      <c r="AF135" s="911">
        <v>5.153130241913944</v>
      </c>
      <c r="AG135" s="775">
        <v>44857.766864999998</v>
      </c>
      <c r="AH135" s="922">
        <v>0</v>
      </c>
      <c r="AI135" s="911" t="e">
        <v>#DIV/0!</v>
      </c>
      <c r="AJ135" s="775">
        <v>0</v>
      </c>
      <c r="AK135" s="922">
        <v>21573.505000000001</v>
      </c>
      <c r="AL135" s="911">
        <v>4.8022104233873915</v>
      </c>
      <c r="AM135" s="775">
        <v>103600.51058</v>
      </c>
      <c r="AN135" s="478"/>
      <c r="AO135" s="478"/>
    </row>
    <row r="136" spans="1:41">
      <c r="A136" s="207"/>
      <c r="B136" s="479" t="s">
        <v>1059</v>
      </c>
      <c r="C136" s="225" t="e">
        <v>#REF!</v>
      </c>
      <c r="D136" s="215" t="e">
        <v>#REF!</v>
      </c>
      <c r="E136" s="192"/>
      <c r="F136" s="193">
        <v>19.495000000000001</v>
      </c>
      <c r="G136" s="193"/>
      <c r="H136" s="192"/>
      <c r="I136" s="229">
        <v>4785.8937163375222</v>
      </c>
      <c r="J136" s="184"/>
      <c r="K136" s="194"/>
      <c r="L136" s="194"/>
      <c r="M136" s="194">
        <v>93300.997999999992</v>
      </c>
      <c r="N136" s="504"/>
      <c r="O136" s="211">
        <v>93300.997999999992</v>
      </c>
      <c r="P136" s="457" t="s">
        <v>435</v>
      </c>
      <c r="Q136" s="446"/>
      <c r="R136" s="446"/>
      <c r="S136" s="446"/>
      <c r="T136" s="446"/>
      <c r="U136" s="446"/>
      <c r="V136" s="446"/>
      <c r="W136" s="458">
        <v>9943.4700000000012</v>
      </c>
      <c r="X136" s="454"/>
      <c r="Y136" s="459">
        <v>52687.176720000003</v>
      </c>
      <c r="AA136" s="479" t="s">
        <v>1059</v>
      </c>
      <c r="AB136" s="1410">
        <v>11674</v>
      </c>
      <c r="AC136" s="449">
        <v>4.55</v>
      </c>
      <c r="AD136" s="450">
        <v>53116.7</v>
      </c>
      <c r="AE136" s="1410">
        <v>7821</v>
      </c>
      <c r="AF136" s="449">
        <v>5.1379999999999999</v>
      </c>
      <c r="AG136" s="450">
        <v>40184.298000000003</v>
      </c>
      <c r="AH136" s="446"/>
      <c r="AI136" s="446"/>
      <c r="AJ136" s="450">
        <v>0</v>
      </c>
      <c r="AK136" s="767">
        <v>19495</v>
      </c>
      <c r="AL136" s="452">
        <v>4.7858937163375224</v>
      </c>
      <c r="AM136" s="230">
        <v>93300.997999999992</v>
      </c>
      <c r="AN136" s="181">
        <v>19495</v>
      </c>
    </row>
    <row r="137" spans="1:41">
      <c r="A137" s="506"/>
      <c r="B137" s="482" t="s">
        <v>1057</v>
      </c>
      <c r="C137" s="507"/>
      <c r="D137" s="508"/>
      <c r="E137" s="509"/>
      <c r="F137" s="486">
        <v>2.0686960000000001</v>
      </c>
      <c r="G137" s="510"/>
      <c r="H137" s="509"/>
      <c r="I137" s="487">
        <v>4953.0845508474904</v>
      </c>
      <c r="J137" s="509"/>
      <c r="K137" s="511"/>
      <c r="L137" s="511"/>
      <c r="M137" s="489">
        <v>10246.426198000001</v>
      </c>
      <c r="N137" s="512"/>
      <c r="O137" s="490">
        <v>10246.426198000001</v>
      </c>
      <c r="AA137" s="482" t="s">
        <v>1057</v>
      </c>
      <c r="AB137" s="767">
        <v>1185.2049999999999</v>
      </c>
      <c r="AC137" s="452">
        <v>4.7078839230344123</v>
      </c>
      <c r="AD137" s="450">
        <v>5579.8075650000001</v>
      </c>
      <c r="AE137" s="767">
        <v>883.49099999999999</v>
      </c>
      <c r="AF137" s="452">
        <v>5.2820216991457754</v>
      </c>
      <c r="AG137" s="450">
        <v>4666.618633</v>
      </c>
      <c r="AH137" s="767"/>
      <c r="AI137" s="452"/>
      <c r="AJ137" s="450"/>
      <c r="AK137" s="767">
        <v>2068.6959999999999</v>
      </c>
      <c r="AL137" s="452">
        <v>4.9530845508474908</v>
      </c>
      <c r="AM137" s="230">
        <v>10246.426198000001</v>
      </c>
    </row>
    <row r="138" spans="1:41">
      <c r="A138" s="207"/>
      <c r="B138" s="923" t="s">
        <v>1058</v>
      </c>
      <c r="C138" s="225"/>
      <c r="D138" s="215"/>
      <c r="E138" s="192"/>
      <c r="F138" s="192">
        <v>9.809E-3</v>
      </c>
      <c r="G138" s="193"/>
      <c r="H138" s="192"/>
      <c r="I138" s="229">
        <v>5412.0075440921601</v>
      </c>
      <c r="J138" s="192"/>
      <c r="K138" s="194"/>
      <c r="L138" s="194"/>
      <c r="M138" s="194">
        <v>53.086382</v>
      </c>
      <c r="N138" s="504"/>
      <c r="O138" s="211">
        <v>53.086382</v>
      </c>
      <c r="P138" s="941"/>
      <c r="Q138" s="941"/>
      <c r="R138" s="941"/>
      <c r="S138" s="941"/>
      <c r="T138" s="941"/>
      <c r="U138" s="941"/>
      <c r="V138" s="941"/>
      <c r="W138" s="941"/>
      <c r="X138" s="941"/>
      <c r="Y138" s="941"/>
      <c r="Z138" s="941"/>
      <c r="AA138" s="923" t="s">
        <v>1517</v>
      </c>
      <c r="AB138" s="446">
        <v>4.7850000000000001</v>
      </c>
      <c r="AC138" s="446">
        <v>4.55</v>
      </c>
      <c r="AD138" s="230">
        <v>21.771750000000001</v>
      </c>
      <c r="AE138" s="446">
        <v>-5.016</v>
      </c>
      <c r="AF138" s="449">
        <v>5.1379999999999999</v>
      </c>
      <c r="AG138" s="230">
        <v>-25.772207999999999</v>
      </c>
      <c r="AH138" s="446"/>
      <c r="AI138" s="446"/>
      <c r="AJ138" s="230">
        <v>0</v>
      </c>
      <c r="AK138" s="767">
        <v>-0.23099999999999987</v>
      </c>
      <c r="AL138" s="452">
        <v>17.318000000000001</v>
      </c>
      <c r="AM138" s="230">
        <v>-4.0004579999999983</v>
      </c>
    </row>
    <row r="139" spans="1:41" ht="13.5" thickBot="1">
      <c r="A139" s="934"/>
      <c r="B139" s="927"/>
      <c r="C139" s="935"/>
      <c r="D139" s="936"/>
      <c r="E139" s="937"/>
      <c r="F139" s="938"/>
      <c r="G139" s="938"/>
      <c r="H139" s="937"/>
      <c r="I139" s="939"/>
      <c r="J139" s="937"/>
      <c r="K139" s="940"/>
      <c r="L139" s="940"/>
      <c r="M139" s="940"/>
      <c r="N139" s="940"/>
      <c r="O139" s="940"/>
      <c r="AA139" s="927" t="s">
        <v>1518</v>
      </c>
      <c r="AB139" s="931">
        <v>4.5599999999999996</v>
      </c>
      <c r="AC139" s="928">
        <v>5.3650000000000002</v>
      </c>
      <c r="AD139" s="929">
        <v>24.464399999999998</v>
      </c>
      <c r="AE139" s="928">
        <v>5.48</v>
      </c>
      <c r="AF139" s="933">
        <v>5.9530000000000003</v>
      </c>
      <c r="AG139" s="929">
        <v>32.622440000000005</v>
      </c>
      <c r="AH139" s="928"/>
      <c r="AI139" s="928"/>
      <c r="AJ139" s="929">
        <v>0</v>
      </c>
      <c r="AK139" s="930">
        <v>10.039999999999999</v>
      </c>
      <c r="AL139" s="931">
        <v>5.6859402390438252</v>
      </c>
      <c r="AM139" s="929">
        <v>57.086840000000002</v>
      </c>
    </row>
    <row r="140" spans="1:41">
      <c r="A140" s="1795" t="s">
        <v>1700</v>
      </c>
      <c r="B140" s="1796"/>
      <c r="C140" s="1796"/>
      <c r="D140" s="1796"/>
      <c r="E140" s="1796"/>
      <c r="F140" s="1796"/>
      <c r="G140" s="1796"/>
      <c r="H140" s="1796"/>
      <c r="I140" s="1796"/>
      <c r="J140" s="1796"/>
      <c r="K140" s="1796"/>
      <c r="L140" s="1796"/>
      <c r="M140" s="1796"/>
      <c r="N140" s="1796"/>
      <c r="O140" s="1798"/>
      <c r="AB140" s="1799" t="s">
        <v>767</v>
      </c>
      <c r="AC140" s="1806"/>
      <c r="AD140" s="1807"/>
      <c r="AE140" s="1799" t="s">
        <v>766</v>
      </c>
      <c r="AF140" s="1808"/>
      <c r="AG140" s="1809"/>
      <c r="AH140" s="1799"/>
      <c r="AI140" s="1808"/>
      <c r="AJ140" s="1809"/>
      <c r="AK140" s="1799" t="s">
        <v>1051</v>
      </c>
      <c r="AL140" s="1808"/>
      <c r="AM140" s="1809"/>
    </row>
    <row r="141" spans="1:41" ht="26.25" thickBot="1">
      <c r="A141" s="207">
        <v>1</v>
      </c>
      <c r="B141" s="218" t="s">
        <v>863</v>
      </c>
      <c r="C141" s="222" t="e">
        <v>#REF!</v>
      </c>
      <c r="D141" s="222" t="e">
        <v>#REF!</v>
      </c>
      <c r="E141" s="187"/>
      <c r="F141" s="188">
        <v>22.588538999999997</v>
      </c>
      <c r="G141" s="188"/>
      <c r="H141" s="187"/>
      <c r="I141" s="187">
        <v>5287.068702716896</v>
      </c>
      <c r="J141" s="187"/>
      <c r="K141" s="189"/>
      <c r="L141" s="189"/>
      <c r="M141" s="189">
        <v>119427.15758699999</v>
      </c>
      <c r="N141" s="189"/>
      <c r="O141" s="213">
        <v>119427.15758699999</v>
      </c>
      <c r="AA141" s="443" t="s">
        <v>1285</v>
      </c>
      <c r="AB141" s="942" t="s">
        <v>1519</v>
      </c>
      <c r="AC141" s="1802" t="s">
        <v>417</v>
      </c>
      <c r="AD141" s="446" t="s">
        <v>1054</v>
      </c>
      <c r="AE141" s="942" t="s">
        <v>1519</v>
      </c>
      <c r="AF141" s="1802" t="s">
        <v>417</v>
      </c>
      <c r="AG141" s="446" t="s">
        <v>1054</v>
      </c>
      <c r="AH141" s="942" t="s">
        <v>1519</v>
      </c>
      <c r="AI141" s="1802" t="s">
        <v>417</v>
      </c>
      <c r="AJ141" s="446" t="s">
        <v>1054</v>
      </c>
      <c r="AK141" s="942" t="s">
        <v>1519</v>
      </c>
      <c r="AL141" s="1802" t="s">
        <v>417</v>
      </c>
      <c r="AM141" s="446" t="s">
        <v>1054</v>
      </c>
    </row>
    <row r="142" spans="1:41" ht="13.5" thickBot="1">
      <c r="A142" s="207" t="s">
        <v>5</v>
      </c>
      <c r="B142" s="208" t="s">
        <v>1870</v>
      </c>
      <c r="C142" s="209"/>
      <c r="D142" s="209"/>
      <c r="E142" s="192"/>
      <c r="F142" s="193">
        <v>20.420769999999997</v>
      </c>
      <c r="G142" s="193"/>
      <c r="H142" s="192"/>
      <c r="I142" s="229">
        <v>5272.81888435157</v>
      </c>
      <c r="J142" s="192">
        <v>5.3924651823909073</v>
      </c>
      <c r="K142" s="194"/>
      <c r="L142" s="194"/>
      <c r="M142" s="194">
        <v>107675.021689</v>
      </c>
      <c r="N142" s="194"/>
      <c r="O142" s="211">
        <v>107675.021689</v>
      </c>
      <c r="AA142" s="447" t="s">
        <v>864</v>
      </c>
      <c r="AB142" s="448">
        <v>0</v>
      </c>
      <c r="AC142" s="933" t="e">
        <v>#DIV/0!</v>
      </c>
      <c r="AD142" s="450">
        <v>0</v>
      </c>
      <c r="AE142" s="448">
        <v>0</v>
      </c>
      <c r="AF142" s="933" t="e">
        <v>#DIV/0!</v>
      </c>
      <c r="AG142" s="450">
        <v>0</v>
      </c>
      <c r="AH142" s="448">
        <v>0</v>
      </c>
      <c r="AI142" s="933" t="e">
        <v>#DIV/0!</v>
      </c>
      <c r="AJ142" s="450">
        <v>0</v>
      </c>
      <c r="AK142" s="451">
        <v>0</v>
      </c>
      <c r="AL142" s="480" t="e">
        <v>#DIV/0!</v>
      </c>
      <c r="AM142" s="453">
        <v>0</v>
      </c>
    </row>
    <row r="143" spans="1:41" ht="13.5" thickBot="1">
      <c r="A143" s="207" t="s">
        <v>6</v>
      </c>
      <c r="B143" s="208" t="s">
        <v>429</v>
      </c>
      <c r="C143" s="208"/>
      <c r="D143" s="231"/>
      <c r="E143" s="184"/>
      <c r="F143" s="193">
        <v>2.1677689999999998</v>
      </c>
      <c r="G143" s="193"/>
      <c r="H143" s="184"/>
      <c r="I143" s="229">
        <v>5421.3045292187508</v>
      </c>
      <c r="J143" s="192"/>
      <c r="K143" s="184"/>
      <c r="L143" s="184"/>
      <c r="M143" s="194">
        <v>11752.135898</v>
      </c>
      <c r="N143" s="184"/>
      <c r="O143" s="211">
        <v>11752.135898</v>
      </c>
      <c r="AA143" s="228" t="s">
        <v>1515</v>
      </c>
      <c r="AB143" s="448"/>
      <c r="AC143" s="449"/>
      <c r="AD143" s="450">
        <v>0</v>
      </c>
      <c r="AE143" s="448"/>
      <c r="AF143" s="449"/>
      <c r="AG143" s="230">
        <v>0</v>
      </c>
      <c r="AH143" s="448"/>
      <c r="AI143" s="449"/>
      <c r="AJ143" s="230">
        <v>0</v>
      </c>
      <c r="AK143" s="451">
        <v>0</v>
      </c>
      <c r="AL143" s="480" t="e">
        <v>#DIV/0!</v>
      </c>
      <c r="AM143" s="453">
        <v>0</v>
      </c>
    </row>
    <row r="144" spans="1:41" ht="13.5" thickBot="1">
      <c r="A144" s="207" t="s">
        <v>7</v>
      </c>
      <c r="B144" s="208" t="s">
        <v>432</v>
      </c>
      <c r="C144" s="208"/>
      <c r="D144" s="231"/>
      <c r="E144" s="184"/>
      <c r="F144" s="193"/>
      <c r="G144" s="184"/>
      <c r="H144" s="184"/>
      <c r="I144" s="229"/>
      <c r="J144" s="192"/>
      <c r="K144" s="184"/>
      <c r="L144" s="184"/>
      <c r="M144" s="194"/>
      <c r="N144" s="184"/>
      <c r="O144" s="211">
        <v>0</v>
      </c>
      <c r="Q144" s="1799" t="s">
        <v>767</v>
      </c>
      <c r="R144" s="1800"/>
      <c r="S144" s="1801"/>
      <c r="T144" s="1802" t="s">
        <v>766</v>
      </c>
      <c r="U144" s="1803"/>
      <c r="V144" s="1804"/>
      <c r="W144" s="1802" t="s">
        <v>1051</v>
      </c>
      <c r="X144" s="1803"/>
      <c r="Y144" s="1804"/>
      <c r="AA144" s="228" t="s">
        <v>1516</v>
      </c>
      <c r="AB144" s="448"/>
      <c r="AC144" s="449"/>
      <c r="AD144" s="450">
        <v>0</v>
      </c>
      <c r="AE144" s="448"/>
      <c r="AF144" s="449"/>
      <c r="AG144" s="230">
        <v>0</v>
      </c>
      <c r="AH144" s="448"/>
      <c r="AI144" s="449"/>
      <c r="AJ144" s="230">
        <v>0</v>
      </c>
      <c r="AK144" s="767">
        <v>0</v>
      </c>
      <c r="AL144" s="452" t="e">
        <v>#DIV/0!</v>
      </c>
      <c r="AM144" s="230">
        <v>0</v>
      </c>
    </row>
    <row r="145" spans="1:39" ht="14.25" thickBot="1">
      <c r="A145" s="207" t="s">
        <v>11</v>
      </c>
      <c r="B145" s="212" t="s">
        <v>865</v>
      </c>
      <c r="C145" s="208"/>
      <c r="D145" s="231"/>
      <c r="E145" s="184">
        <v>0</v>
      </c>
      <c r="F145" s="184"/>
      <c r="G145" s="184"/>
      <c r="H145" s="184"/>
      <c r="I145" s="192"/>
      <c r="J145" s="229"/>
      <c r="K145" s="184"/>
      <c r="L145" s="184"/>
      <c r="M145" s="184"/>
      <c r="N145" s="184"/>
      <c r="O145" s="211"/>
      <c r="P145" s="443" t="s">
        <v>1052</v>
      </c>
      <c r="Q145" s="444" t="s">
        <v>1053</v>
      </c>
      <c r="R145" s="1802" t="s">
        <v>417</v>
      </c>
      <c r="S145" s="446" t="s">
        <v>1054</v>
      </c>
      <c r="T145" s="444" t="s">
        <v>1053</v>
      </c>
      <c r="U145" s="1802" t="s">
        <v>417</v>
      </c>
      <c r="V145" s="446" t="s">
        <v>1054</v>
      </c>
      <c r="W145" s="1802" t="s">
        <v>1053</v>
      </c>
      <c r="X145" s="1802" t="s">
        <v>417</v>
      </c>
      <c r="Y145" s="446" t="s">
        <v>1054</v>
      </c>
      <c r="AA145" s="457" t="s">
        <v>435</v>
      </c>
      <c r="AB145" s="767">
        <v>0</v>
      </c>
      <c r="AC145" s="452" t="e">
        <v>#DIV/0!</v>
      </c>
      <c r="AD145" s="230">
        <v>0</v>
      </c>
      <c r="AE145" s="767">
        <v>0</v>
      </c>
      <c r="AF145" s="452" t="e">
        <v>#DIV/0!</v>
      </c>
      <c r="AG145" s="230">
        <v>0</v>
      </c>
      <c r="AH145" s="767">
        <v>0</v>
      </c>
      <c r="AI145" s="446" t="e">
        <v>#DIV/0!</v>
      </c>
      <c r="AJ145" s="230">
        <v>0</v>
      </c>
      <c r="AK145" s="458">
        <v>0</v>
      </c>
      <c r="AL145" s="912" t="e">
        <v>#DIV/0!</v>
      </c>
      <c r="AM145" s="459">
        <v>0</v>
      </c>
    </row>
    <row r="146" spans="1:39" ht="13.5" thickBot="1">
      <c r="A146" s="460" t="s">
        <v>12</v>
      </c>
      <c r="B146" s="461" t="s">
        <v>866</v>
      </c>
      <c r="C146" s="462" t="e">
        <v>#REF!</v>
      </c>
      <c r="D146" s="463" t="e">
        <v>#REF!</v>
      </c>
      <c r="E146" s="464"/>
      <c r="F146" s="465">
        <v>0</v>
      </c>
      <c r="G146" s="465"/>
      <c r="H146" s="464"/>
      <c r="I146" s="466"/>
      <c r="J146" s="467">
        <v>5.3924651823909073</v>
      </c>
      <c r="K146" s="468"/>
      <c r="L146" s="468"/>
      <c r="M146" s="468">
        <v>0</v>
      </c>
      <c r="N146" s="468"/>
      <c r="O146" s="469">
        <v>0</v>
      </c>
      <c r="P146" s="470" t="s">
        <v>864</v>
      </c>
      <c r="Q146" s="471">
        <v>5740.8600000000006</v>
      </c>
      <c r="R146" s="472">
        <v>5.4480000000000004</v>
      </c>
      <c r="S146" s="473">
        <v>31276.205280000006</v>
      </c>
      <c r="T146" s="471">
        <v>3081.4</v>
      </c>
      <c r="U146" s="472">
        <v>5.2889999999999997</v>
      </c>
      <c r="V146" s="474">
        <v>16297.524599999999</v>
      </c>
      <c r="W146" s="475">
        <v>8822.26</v>
      </c>
      <c r="X146" s="476">
        <v>5.3924651823909073</v>
      </c>
      <c r="Y146" s="477">
        <v>47573.729880000006</v>
      </c>
      <c r="Z146" s="478"/>
      <c r="AA146" s="768" t="s">
        <v>1280</v>
      </c>
      <c r="AB146" s="774">
        <v>0</v>
      </c>
      <c r="AC146" s="774" t="e">
        <v>#DIV/0!</v>
      </c>
      <c r="AD146" s="775">
        <v>0</v>
      </c>
      <c r="AE146" s="774">
        <v>0</v>
      </c>
      <c r="AF146" s="774" t="e">
        <v>#DIV/0!</v>
      </c>
      <c r="AG146" s="775">
        <v>0</v>
      </c>
      <c r="AH146" s="774">
        <v>0</v>
      </c>
      <c r="AI146" s="774" t="e">
        <v>#DIV/0!</v>
      </c>
      <c r="AJ146" s="775">
        <v>0</v>
      </c>
      <c r="AK146" s="774">
        <v>0</v>
      </c>
      <c r="AL146" s="774" t="e">
        <v>#DIV/0!</v>
      </c>
      <c r="AM146" s="775">
        <v>0</v>
      </c>
    </row>
    <row r="147" spans="1:39" ht="13.5" thickBot="1">
      <c r="A147" s="207"/>
      <c r="B147" s="479" t="s">
        <v>1055</v>
      </c>
      <c r="C147" s="225"/>
      <c r="D147" s="215"/>
      <c r="E147" s="192"/>
      <c r="F147" s="193">
        <v>0</v>
      </c>
      <c r="G147" s="193"/>
      <c r="H147" s="192"/>
      <c r="I147" s="229" t="e">
        <v>#DIV/0!</v>
      </c>
      <c r="J147" s="210"/>
      <c r="K147" s="194"/>
      <c r="L147" s="194"/>
      <c r="M147" s="194">
        <v>0</v>
      </c>
      <c r="N147" s="194"/>
      <c r="O147" s="211">
        <v>0</v>
      </c>
      <c r="P147" s="447"/>
      <c r="Q147" s="448"/>
      <c r="R147" s="449"/>
      <c r="S147" s="450"/>
      <c r="T147" s="448"/>
      <c r="U147" s="449"/>
      <c r="V147" s="230"/>
      <c r="W147" s="451"/>
      <c r="X147" s="480"/>
      <c r="Y147" s="453"/>
      <c r="AA147" s="479" t="s">
        <v>1055</v>
      </c>
      <c r="AB147" s="446"/>
      <c r="AC147" s="446"/>
      <c r="AD147" s="450">
        <v>0</v>
      </c>
      <c r="AE147" s="446"/>
      <c r="AF147" s="446"/>
      <c r="AG147" s="450">
        <v>0</v>
      </c>
      <c r="AH147" s="446"/>
      <c r="AI147" s="446"/>
      <c r="AJ147" s="450">
        <v>0</v>
      </c>
      <c r="AK147" s="767">
        <v>0</v>
      </c>
      <c r="AL147" s="452" t="e">
        <v>#DIV/0!</v>
      </c>
      <c r="AM147" s="230">
        <v>0</v>
      </c>
    </row>
    <row r="148" spans="1:39" ht="13.5" thickBot="1">
      <c r="A148" s="207"/>
      <c r="B148" s="479" t="s">
        <v>1056</v>
      </c>
      <c r="C148" s="225"/>
      <c r="D148" s="215"/>
      <c r="E148" s="192"/>
      <c r="F148" s="193">
        <v>0</v>
      </c>
      <c r="G148" s="193"/>
      <c r="H148" s="192"/>
      <c r="I148" s="229" t="e">
        <v>#DIV/0!</v>
      </c>
      <c r="J148" s="210"/>
      <c r="K148" s="194"/>
      <c r="L148" s="194"/>
      <c r="M148" s="194">
        <v>0</v>
      </c>
      <c r="N148" s="194"/>
      <c r="O148" s="211">
        <v>0</v>
      </c>
      <c r="P148" s="447"/>
      <c r="Q148" s="448"/>
      <c r="R148" s="449"/>
      <c r="S148" s="450"/>
      <c r="T148" s="448"/>
      <c r="U148" s="449"/>
      <c r="V148" s="230"/>
      <c r="W148" s="451"/>
      <c r="X148" s="480"/>
      <c r="Y148" s="453"/>
      <c r="AA148" s="479" t="s">
        <v>1056</v>
      </c>
      <c r="AB148" s="446"/>
      <c r="AC148" s="446"/>
      <c r="AD148" s="450">
        <v>0</v>
      </c>
      <c r="AE148" s="446"/>
      <c r="AF148" s="446"/>
      <c r="AG148" s="450">
        <v>0</v>
      </c>
      <c r="AH148" s="446"/>
      <c r="AI148" s="446"/>
      <c r="AJ148" s="450">
        <v>0</v>
      </c>
      <c r="AK148" s="767">
        <v>0</v>
      </c>
      <c r="AL148" s="452" t="e">
        <v>#DIV/0!</v>
      </c>
      <c r="AM148" s="230">
        <v>0</v>
      </c>
    </row>
    <row r="149" spans="1:39" ht="13.5" thickBot="1">
      <c r="A149" s="481"/>
      <c r="B149" s="482" t="s">
        <v>1057</v>
      </c>
      <c r="C149" s="483"/>
      <c r="D149" s="484"/>
      <c r="E149" s="485"/>
      <c r="F149" s="486">
        <v>0</v>
      </c>
      <c r="G149" s="486"/>
      <c r="H149" s="485"/>
      <c r="I149" s="487" t="e">
        <v>#DIV/0!</v>
      </c>
      <c r="J149" s="488"/>
      <c r="K149" s="489"/>
      <c r="L149" s="489"/>
      <c r="M149" s="489">
        <v>0</v>
      </c>
      <c r="N149" s="503"/>
      <c r="O149" s="490">
        <v>0</v>
      </c>
      <c r="P149" s="491"/>
      <c r="Q149" s="492"/>
      <c r="R149" s="493"/>
      <c r="S149" s="494"/>
      <c r="T149" s="492"/>
      <c r="U149" s="493"/>
      <c r="V149" s="495"/>
      <c r="W149" s="496"/>
      <c r="X149" s="497"/>
      <c r="Y149" s="498"/>
      <c r="Z149" s="499"/>
      <c r="AA149" s="482" t="s">
        <v>1057</v>
      </c>
      <c r="AB149" s="446"/>
      <c r="AC149" s="446"/>
      <c r="AD149" s="450">
        <v>0</v>
      </c>
      <c r="AE149" s="446"/>
      <c r="AF149" s="446"/>
      <c r="AG149" s="450">
        <v>0</v>
      </c>
      <c r="AH149" s="446"/>
      <c r="AI149" s="446"/>
      <c r="AJ149" s="450">
        <v>0</v>
      </c>
      <c r="AK149" s="767">
        <v>0</v>
      </c>
      <c r="AL149" s="452" t="e">
        <v>#DIV/0!</v>
      </c>
      <c r="AM149" s="230">
        <v>0</v>
      </c>
    </row>
    <row r="150" spans="1:39" ht="13.5" thickBot="1">
      <c r="A150" s="207"/>
      <c r="B150" s="479" t="s">
        <v>1058</v>
      </c>
      <c r="C150" s="225"/>
      <c r="D150" s="215"/>
      <c r="E150" s="192"/>
      <c r="F150" s="193">
        <v>0</v>
      </c>
      <c r="G150" s="193"/>
      <c r="H150" s="192"/>
      <c r="I150" s="229" t="e">
        <v>#DIV/0!</v>
      </c>
      <c r="J150" s="210"/>
      <c r="K150" s="194"/>
      <c r="L150" s="194"/>
      <c r="M150" s="194">
        <v>0</v>
      </c>
      <c r="N150" s="504"/>
      <c r="O150" s="211">
        <v>0</v>
      </c>
      <c r="P150" s="447"/>
      <c r="Q150" s="448"/>
      <c r="R150" s="449"/>
      <c r="S150" s="450"/>
      <c r="T150" s="448"/>
      <c r="U150" s="449"/>
      <c r="V150" s="230"/>
      <c r="W150" s="451"/>
      <c r="X150" s="480"/>
      <c r="Y150" s="453"/>
      <c r="AA150" s="479" t="s">
        <v>1058</v>
      </c>
      <c r="AB150" s="446"/>
      <c r="AC150" s="446"/>
      <c r="AD150" s="450">
        <v>0</v>
      </c>
      <c r="AE150" s="446"/>
      <c r="AF150" s="446"/>
      <c r="AG150" s="450">
        <v>0</v>
      </c>
      <c r="AH150" s="446"/>
      <c r="AI150" s="446"/>
      <c r="AJ150" s="450">
        <v>0</v>
      </c>
      <c r="AK150" s="767">
        <v>0</v>
      </c>
      <c r="AL150" s="452" t="e">
        <v>#DIV/0!</v>
      </c>
      <c r="AM150" s="230">
        <v>0</v>
      </c>
    </row>
    <row r="151" spans="1:39" ht="13.5" thickBot="1">
      <c r="A151" s="460" t="s">
        <v>18</v>
      </c>
      <c r="B151" s="461" t="s">
        <v>868</v>
      </c>
      <c r="C151" s="462" t="e">
        <v>#REF!</v>
      </c>
      <c r="D151" s="463" t="e">
        <v>#REF!</v>
      </c>
      <c r="E151" s="464"/>
      <c r="F151" s="465">
        <v>0</v>
      </c>
      <c r="G151" s="465"/>
      <c r="H151" s="464"/>
      <c r="I151" s="466">
        <v>5287.0687027168951</v>
      </c>
      <c r="J151" s="464"/>
      <c r="K151" s="468"/>
      <c r="L151" s="468"/>
      <c r="M151" s="468">
        <v>119427.15758699999</v>
      </c>
      <c r="N151" s="505"/>
      <c r="O151" s="469">
        <v>119427.15758699999</v>
      </c>
      <c r="P151" s="500" t="s">
        <v>887</v>
      </c>
      <c r="Q151" s="471">
        <v>702.21</v>
      </c>
      <c r="R151" s="472">
        <v>4.6040000000000001</v>
      </c>
      <c r="S151" s="473">
        <v>3232.9748400000003</v>
      </c>
      <c r="T151" s="471">
        <v>419</v>
      </c>
      <c r="U151" s="472">
        <v>4.4880000000000004</v>
      </c>
      <c r="V151" s="474">
        <v>1880.4720000000002</v>
      </c>
      <c r="W151" s="501">
        <v>1121.21</v>
      </c>
      <c r="X151" s="502">
        <v>4.5606504044737388</v>
      </c>
      <c r="Y151" s="474">
        <v>5113.4468400000005</v>
      </c>
      <c r="Z151" s="478"/>
      <c r="AA151" s="768" t="s">
        <v>1281</v>
      </c>
      <c r="AB151" s="922">
        <v>0</v>
      </c>
      <c r="AC151" s="911" t="e">
        <v>#DIV/0!</v>
      </c>
      <c r="AD151" s="775">
        <v>0</v>
      </c>
      <c r="AE151" s="922">
        <v>0</v>
      </c>
      <c r="AF151" s="911" t="e">
        <v>#DIV/0!</v>
      </c>
      <c r="AG151" s="775">
        <v>0</v>
      </c>
      <c r="AH151" s="922">
        <v>0</v>
      </c>
      <c r="AI151" s="911" t="e">
        <v>#DIV/0!</v>
      </c>
      <c r="AJ151" s="775">
        <v>0</v>
      </c>
      <c r="AK151" s="922">
        <v>0</v>
      </c>
      <c r="AL151" s="911" t="e">
        <v>#DIV/0!</v>
      </c>
      <c r="AM151" s="775">
        <v>0</v>
      </c>
    </row>
    <row r="152" spans="1:39">
      <c r="A152" s="207"/>
      <c r="B152" s="479" t="s">
        <v>1059</v>
      </c>
      <c r="C152" s="225" t="e">
        <v>#REF!</v>
      </c>
      <c r="D152" s="215" t="e">
        <v>#REF!</v>
      </c>
      <c r="E152" s="192"/>
      <c r="F152" s="193">
        <v>20.368000000000002</v>
      </c>
      <c r="G152" s="193"/>
      <c r="H152" s="192"/>
      <c r="I152" s="229">
        <v>5284.9154556166532</v>
      </c>
      <c r="J152" s="184"/>
      <c r="K152" s="194"/>
      <c r="L152" s="194"/>
      <c r="M152" s="194">
        <v>107643.158</v>
      </c>
      <c r="N152" s="504"/>
      <c r="O152" s="211">
        <v>107643.158</v>
      </c>
      <c r="P152" s="457" t="s">
        <v>435</v>
      </c>
      <c r="Q152" s="446"/>
      <c r="R152" s="446"/>
      <c r="S152" s="446"/>
      <c r="T152" s="446"/>
      <c r="U152" s="446"/>
      <c r="V152" s="446"/>
      <c r="W152" s="458">
        <v>9943.4700000000012</v>
      </c>
      <c r="X152" s="454"/>
      <c r="Y152" s="459">
        <v>52687.176720000003</v>
      </c>
      <c r="AA152" s="479" t="s">
        <v>1059</v>
      </c>
      <c r="AB152" s="767"/>
      <c r="AC152" s="446"/>
      <c r="AD152" s="450">
        <v>0</v>
      </c>
      <c r="AE152" s="767"/>
      <c r="AF152" s="446"/>
      <c r="AG152" s="450">
        <v>0</v>
      </c>
      <c r="AH152" s="446"/>
      <c r="AI152" s="446"/>
      <c r="AJ152" s="450">
        <v>0</v>
      </c>
      <c r="AK152" s="767">
        <v>0</v>
      </c>
      <c r="AL152" s="452" t="e">
        <v>#DIV/0!</v>
      </c>
      <c r="AM152" s="230">
        <v>0</v>
      </c>
    </row>
    <row r="153" spans="1:39">
      <c r="A153" s="506"/>
      <c r="B153" s="482" t="s">
        <v>1057</v>
      </c>
      <c r="C153" s="507"/>
      <c r="D153" s="508"/>
      <c r="E153" s="509"/>
      <c r="F153" s="486">
        <v>2.1677689999999998</v>
      </c>
      <c r="G153" s="510"/>
      <c r="H153" s="509"/>
      <c r="I153" s="487">
        <v>0</v>
      </c>
      <c r="J153" s="509"/>
      <c r="K153" s="511"/>
      <c r="L153" s="511"/>
      <c r="M153" s="489">
        <v>11456.396497</v>
      </c>
      <c r="N153" s="512"/>
      <c r="O153" s="490">
        <v>11456.396497</v>
      </c>
      <c r="AA153" s="482" t="s">
        <v>1057</v>
      </c>
      <c r="AB153" s="767">
        <v>0</v>
      </c>
      <c r="AC153" s="452" t="e">
        <v>#DIV/0!</v>
      </c>
      <c r="AD153" s="450">
        <v>0</v>
      </c>
      <c r="AE153" s="767">
        <v>0</v>
      </c>
      <c r="AF153" s="452" t="e">
        <v>#DIV/0!</v>
      </c>
      <c r="AG153" s="450">
        <v>0</v>
      </c>
      <c r="AH153" s="767"/>
      <c r="AI153" s="452"/>
      <c r="AJ153" s="450"/>
      <c r="AK153" s="767">
        <v>0</v>
      </c>
      <c r="AL153" s="452" t="e">
        <v>#DIV/0!</v>
      </c>
      <c r="AM153" s="230">
        <v>0</v>
      </c>
    </row>
    <row r="154" spans="1:39">
      <c r="A154" s="207"/>
      <c r="B154" s="923" t="s">
        <v>1058</v>
      </c>
      <c r="C154" s="225"/>
      <c r="D154" s="215"/>
      <c r="E154" s="192"/>
      <c r="F154" s="192">
        <v>5.2769999999999997E-2</v>
      </c>
      <c r="G154" s="193"/>
      <c r="H154" s="192"/>
      <c r="I154" s="229">
        <v>6208.1313246162599</v>
      </c>
      <c r="J154" s="192"/>
      <c r="K154" s="194"/>
      <c r="L154" s="194"/>
      <c r="M154" s="194">
        <v>327.60309000000001</v>
      </c>
      <c r="N154" s="504"/>
      <c r="O154" s="211">
        <v>327.60309000000001</v>
      </c>
      <c r="P154" s="941"/>
      <c r="Q154" s="941"/>
      <c r="R154" s="941"/>
      <c r="S154" s="941"/>
      <c r="T154" s="941"/>
      <c r="U154" s="941"/>
      <c r="V154" s="941"/>
      <c r="W154" s="941"/>
      <c r="X154" s="941"/>
      <c r="Y154" s="941"/>
      <c r="Z154" s="941"/>
      <c r="AA154" s="923" t="s">
        <v>1517</v>
      </c>
      <c r="AB154" s="446"/>
      <c r="AC154" s="446"/>
      <c r="AD154" s="230">
        <v>0</v>
      </c>
      <c r="AE154" s="446"/>
      <c r="AF154" s="446"/>
      <c r="AG154" s="230">
        <v>0</v>
      </c>
      <c r="AH154" s="446"/>
      <c r="AI154" s="446"/>
      <c r="AJ154" s="230">
        <v>0</v>
      </c>
      <c r="AK154" s="767">
        <v>0</v>
      </c>
      <c r="AL154" s="452" t="e">
        <v>#DIV/0!</v>
      </c>
      <c r="AM154" s="230">
        <v>0</v>
      </c>
    </row>
    <row r="155" spans="1:39" ht="13.5" thickBot="1">
      <c r="A155" s="934"/>
      <c r="B155" s="927"/>
      <c r="C155" s="935"/>
      <c r="D155" s="936"/>
      <c r="E155" s="937"/>
      <c r="F155" s="938"/>
      <c r="G155" s="938"/>
      <c r="H155" s="937"/>
      <c r="I155" s="939"/>
      <c r="J155" s="937"/>
      <c r="K155" s="940"/>
      <c r="L155" s="940"/>
      <c r="M155" s="940"/>
      <c r="N155" s="940"/>
      <c r="O155" s="940"/>
      <c r="AA155" s="927" t="s">
        <v>1518</v>
      </c>
      <c r="AB155" s="928"/>
      <c r="AC155" s="928"/>
      <c r="AD155" s="929">
        <v>0</v>
      </c>
      <c r="AE155" s="928"/>
      <c r="AF155" s="928"/>
      <c r="AG155" s="929">
        <v>0</v>
      </c>
      <c r="AH155" s="928"/>
      <c r="AI155" s="928"/>
      <c r="AJ155" s="929">
        <v>0</v>
      </c>
      <c r="AK155" s="930">
        <v>0</v>
      </c>
      <c r="AL155" s="931" t="e">
        <v>#DIV/0!</v>
      </c>
      <c r="AM155" s="929">
        <v>0</v>
      </c>
    </row>
    <row r="156" spans="1:39">
      <c r="A156" s="1795" t="s">
        <v>1836</v>
      </c>
      <c r="B156" s="1796"/>
      <c r="C156" s="1796"/>
      <c r="D156" s="1796"/>
      <c r="E156" s="1796"/>
      <c r="F156" s="1796"/>
      <c r="G156" s="1796"/>
      <c r="H156" s="1796"/>
      <c r="I156" s="1796"/>
      <c r="J156" s="1796"/>
      <c r="K156" s="1796"/>
      <c r="L156" s="1796"/>
      <c r="M156" s="1796"/>
      <c r="N156" s="1796"/>
      <c r="O156" s="1798"/>
      <c r="AB156" s="1799" t="s">
        <v>767</v>
      </c>
      <c r="AC156" s="1806"/>
      <c r="AD156" s="1807"/>
      <c r="AE156" s="1799" t="s">
        <v>766</v>
      </c>
      <c r="AF156" s="1808"/>
      <c r="AG156" s="1809"/>
      <c r="AH156" s="1799"/>
      <c r="AI156" s="1808"/>
      <c r="AJ156" s="1809"/>
      <c r="AK156" s="1799" t="s">
        <v>1051</v>
      </c>
      <c r="AL156" s="1808"/>
      <c r="AM156" s="1809"/>
    </row>
    <row r="157" spans="1:39" ht="26.25" thickBot="1">
      <c r="A157" s="207">
        <v>1</v>
      </c>
      <c r="B157" s="218" t="s">
        <v>863</v>
      </c>
      <c r="C157" s="222" t="e">
        <v>#REF!</v>
      </c>
      <c r="D157" s="222" t="e">
        <v>#REF!</v>
      </c>
      <c r="E157" s="187"/>
      <c r="F157" s="188">
        <v>21.164602449999997</v>
      </c>
      <c r="G157" s="188"/>
      <c r="H157" s="187"/>
      <c r="I157" s="187"/>
      <c r="J157" s="187"/>
      <c r="K157" s="189"/>
      <c r="L157" s="189"/>
      <c r="M157" s="189">
        <v>112631.43554158999</v>
      </c>
      <c r="N157" s="189"/>
      <c r="O157" s="213">
        <v>112631.43554158999</v>
      </c>
      <c r="AA157" s="443" t="s">
        <v>1285</v>
      </c>
      <c r="AB157" s="942" t="s">
        <v>1519</v>
      </c>
      <c r="AC157" s="1802" t="s">
        <v>417</v>
      </c>
      <c r="AD157" s="446" t="s">
        <v>1054</v>
      </c>
      <c r="AE157" s="942" t="s">
        <v>1519</v>
      </c>
      <c r="AF157" s="1802" t="s">
        <v>417</v>
      </c>
      <c r="AG157" s="446" t="s">
        <v>1054</v>
      </c>
      <c r="AH157" s="942" t="s">
        <v>1519</v>
      </c>
      <c r="AI157" s="1802" t="s">
        <v>417</v>
      </c>
      <c r="AJ157" s="446" t="s">
        <v>1054</v>
      </c>
      <c r="AK157" s="942" t="s">
        <v>1519</v>
      </c>
      <c r="AL157" s="1802" t="s">
        <v>417</v>
      </c>
      <c r="AM157" s="446" t="s">
        <v>1054</v>
      </c>
    </row>
    <row r="158" spans="1:39" ht="13.5" thickBot="1">
      <c r="A158" s="207" t="s">
        <v>5</v>
      </c>
      <c r="B158" s="208" t="s">
        <v>1870</v>
      </c>
      <c r="C158" s="209"/>
      <c r="D158" s="209"/>
      <c r="E158" s="192"/>
      <c r="F158" s="193">
        <v>19.410799999999998</v>
      </c>
      <c r="G158" s="193"/>
      <c r="H158" s="192"/>
      <c r="I158" s="229">
        <v>5313.4397294289774</v>
      </c>
      <c r="J158" s="192">
        <v>5.3924651823909073</v>
      </c>
      <c r="K158" s="194"/>
      <c r="L158" s="194"/>
      <c r="M158" s="194">
        <v>103138.11589999999</v>
      </c>
      <c r="N158" s="194"/>
      <c r="O158" s="211">
        <v>103138.11589999999</v>
      </c>
      <c r="AA158" s="447" t="s">
        <v>864</v>
      </c>
      <c r="AB158" s="448">
        <v>11565.699999999999</v>
      </c>
      <c r="AC158" s="933">
        <v>5.1383100547307992</v>
      </c>
      <c r="AD158" s="450">
        <v>59428.152599999994</v>
      </c>
      <c r="AE158" s="448">
        <v>7845.1</v>
      </c>
      <c r="AF158" s="933">
        <v>5.571626021338159</v>
      </c>
      <c r="AG158" s="450">
        <v>43709.963299999996</v>
      </c>
      <c r="AH158" s="448">
        <v>0</v>
      </c>
      <c r="AI158" s="933" t="e">
        <v>#DIV/0!</v>
      </c>
      <c r="AJ158" s="450">
        <v>0</v>
      </c>
      <c r="AK158" s="451">
        <v>19410.8</v>
      </c>
      <c r="AL158" s="480">
        <v>5.3134397294289775</v>
      </c>
      <c r="AM158" s="453">
        <v>103138.11589999999</v>
      </c>
    </row>
    <row r="159" spans="1:39" ht="13.5" thickBot="1">
      <c r="A159" s="207" t="s">
        <v>6</v>
      </c>
      <c r="B159" s="208" t="s">
        <v>429</v>
      </c>
      <c r="C159" s="208"/>
      <c r="D159" s="231"/>
      <c r="E159" s="184"/>
      <c r="F159" s="210">
        <v>1.7538024499999998</v>
      </c>
      <c r="G159" s="193"/>
      <c r="H159" s="184"/>
      <c r="I159" s="229">
        <v>5412.9925759825464</v>
      </c>
      <c r="J159" s="192"/>
      <c r="K159" s="184"/>
      <c r="L159" s="184"/>
      <c r="M159" s="194">
        <v>9493.3196415900002</v>
      </c>
      <c r="N159" s="184"/>
      <c r="O159" s="211">
        <v>9493.3196415900002</v>
      </c>
      <c r="AA159" s="228" t="s">
        <v>1515</v>
      </c>
      <c r="AB159" s="448">
        <v>961.91692</v>
      </c>
      <c r="AC159" s="449">
        <v>5.1379999999999999</v>
      </c>
      <c r="AD159" s="450">
        <v>4942.3291349600004</v>
      </c>
      <c r="AE159" s="448">
        <v>550.88852999999995</v>
      </c>
      <c r="AF159" s="449">
        <v>5.5709999999999997</v>
      </c>
      <c r="AG159" s="230">
        <v>3069.0000006299997</v>
      </c>
      <c r="AH159" s="448"/>
      <c r="AI159" s="449"/>
      <c r="AJ159" s="230">
        <v>0</v>
      </c>
      <c r="AK159" s="451">
        <v>1512.8054499999998</v>
      </c>
      <c r="AL159" s="480">
        <v>5.2956770717543362</v>
      </c>
      <c r="AM159" s="453">
        <v>8011.3291355900001</v>
      </c>
    </row>
    <row r="160" spans="1:39" ht="13.5" thickBot="1">
      <c r="A160" s="207" t="s">
        <v>7</v>
      </c>
      <c r="B160" s="208" t="s">
        <v>432</v>
      </c>
      <c r="C160" s="208"/>
      <c r="D160" s="231"/>
      <c r="E160" s="184"/>
      <c r="F160" s="193"/>
      <c r="G160" s="184"/>
      <c r="H160" s="184"/>
      <c r="I160" s="229"/>
      <c r="J160" s="192"/>
      <c r="K160" s="184"/>
      <c r="L160" s="184"/>
      <c r="M160" s="194"/>
      <c r="N160" s="184"/>
      <c r="O160" s="211">
        <v>0</v>
      </c>
      <c r="Q160" s="1799" t="s">
        <v>767</v>
      </c>
      <c r="R160" s="1800"/>
      <c r="S160" s="1801"/>
      <c r="T160" s="1802" t="s">
        <v>766</v>
      </c>
      <c r="U160" s="1803"/>
      <c r="V160" s="1804"/>
      <c r="W160" s="1802" t="s">
        <v>1051</v>
      </c>
      <c r="X160" s="1803"/>
      <c r="Y160" s="1804"/>
      <c r="AA160" s="228" t="s">
        <v>1516</v>
      </c>
      <c r="AB160" s="448">
        <v>145.36999999999998</v>
      </c>
      <c r="AC160" s="933">
        <v>5.9530000000000003</v>
      </c>
      <c r="AD160" s="450">
        <v>865.38760999999988</v>
      </c>
      <c r="AE160" s="448">
        <v>95.626999999999995</v>
      </c>
      <c r="AF160" s="449">
        <v>6.4480000000000004</v>
      </c>
      <c r="AG160" s="230">
        <v>616.60289599999999</v>
      </c>
      <c r="AH160" s="448"/>
      <c r="AI160" s="449"/>
      <c r="AJ160" s="230">
        <v>0</v>
      </c>
      <c r="AK160" s="767">
        <v>240.99699999999996</v>
      </c>
      <c r="AL160" s="452">
        <v>6.1494147479014263</v>
      </c>
      <c r="AM160" s="230">
        <v>1481.9905059999999</v>
      </c>
    </row>
    <row r="161" spans="1:40" ht="14.25" thickBot="1">
      <c r="A161" s="207" t="s">
        <v>11</v>
      </c>
      <c r="B161" s="212" t="s">
        <v>865</v>
      </c>
      <c r="C161" s="208"/>
      <c r="D161" s="231"/>
      <c r="E161" s="184">
        <v>0</v>
      </c>
      <c r="F161" s="184"/>
      <c r="G161" s="184"/>
      <c r="H161" s="184"/>
      <c r="I161" s="192"/>
      <c r="J161" s="229"/>
      <c r="K161" s="184"/>
      <c r="L161" s="184"/>
      <c r="M161" s="184"/>
      <c r="N161" s="184"/>
      <c r="O161" s="211"/>
      <c r="P161" s="443" t="s">
        <v>1052</v>
      </c>
      <c r="Q161" s="444" t="s">
        <v>1053</v>
      </c>
      <c r="R161" s="1802" t="s">
        <v>417</v>
      </c>
      <c r="S161" s="446" t="s">
        <v>1054</v>
      </c>
      <c r="T161" s="444" t="s">
        <v>1053</v>
      </c>
      <c r="U161" s="1802" t="s">
        <v>417</v>
      </c>
      <c r="V161" s="446" t="s">
        <v>1054</v>
      </c>
      <c r="W161" s="1802" t="s">
        <v>1053</v>
      </c>
      <c r="X161" s="1802" t="s">
        <v>417</v>
      </c>
      <c r="Y161" s="446" t="s">
        <v>1054</v>
      </c>
      <c r="AA161" s="457" t="s">
        <v>435</v>
      </c>
      <c r="AB161" s="767">
        <v>12672.986919999999</v>
      </c>
      <c r="AC161" s="452">
        <v>5.1476317111956735</v>
      </c>
      <c r="AD161" s="230">
        <v>65235.869344959989</v>
      </c>
      <c r="AE161" s="767">
        <v>8491.6155300000009</v>
      </c>
      <c r="AF161" s="452">
        <v>5.5814545570494039</v>
      </c>
      <c r="AG161" s="230">
        <v>47395.566196629996</v>
      </c>
      <c r="AH161" s="767">
        <v>0</v>
      </c>
      <c r="AI161" s="446" t="e">
        <v>#DIV/0!</v>
      </c>
      <c r="AJ161" s="230">
        <v>0</v>
      </c>
      <c r="AK161" s="458">
        <v>21164.602449999998</v>
      </c>
      <c r="AL161" s="912">
        <v>5.3216891650894205</v>
      </c>
      <c r="AM161" s="459">
        <v>112631.43554158999</v>
      </c>
    </row>
    <row r="162" spans="1:40" ht="13.5" thickBot="1">
      <c r="A162" s="460" t="s">
        <v>12</v>
      </c>
      <c r="B162" s="461" t="s">
        <v>866</v>
      </c>
      <c r="C162" s="462" t="e">
        <v>#REF!</v>
      </c>
      <c r="D162" s="463" t="e">
        <v>#REF!</v>
      </c>
      <c r="E162" s="464"/>
      <c r="F162" s="465">
        <v>0</v>
      </c>
      <c r="G162" s="465"/>
      <c r="H162" s="464"/>
      <c r="I162" s="466"/>
      <c r="J162" s="467">
        <v>5.3924651823909073</v>
      </c>
      <c r="K162" s="468"/>
      <c r="L162" s="468"/>
      <c r="M162" s="468">
        <v>0</v>
      </c>
      <c r="N162" s="468"/>
      <c r="O162" s="469">
        <v>0</v>
      </c>
      <c r="P162" s="470" t="s">
        <v>864</v>
      </c>
      <c r="Q162" s="471">
        <v>5740.8600000000006</v>
      </c>
      <c r="R162" s="472">
        <v>5.4480000000000004</v>
      </c>
      <c r="S162" s="473">
        <v>31276.205280000006</v>
      </c>
      <c r="T162" s="471">
        <v>3081.4</v>
      </c>
      <c r="U162" s="472">
        <v>5.2889999999999997</v>
      </c>
      <c r="V162" s="474">
        <v>16297.524599999999</v>
      </c>
      <c r="W162" s="475">
        <v>8822.26</v>
      </c>
      <c r="X162" s="476">
        <v>5.3924651823909073</v>
      </c>
      <c r="Y162" s="477">
        <v>47573.729880000006</v>
      </c>
      <c r="Z162" s="478"/>
      <c r="AA162" s="768" t="s">
        <v>1280</v>
      </c>
      <c r="AB162" s="774">
        <v>0</v>
      </c>
      <c r="AC162" s="774" t="e">
        <v>#DIV/0!</v>
      </c>
      <c r="AD162" s="775">
        <v>0</v>
      </c>
      <c r="AE162" s="774">
        <v>0</v>
      </c>
      <c r="AF162" s="774" t="e">
        <v>#DIV/0!</v>
      </c>
      <c r="AG162" s="775">
        <v>0</v>
      </c>
      <c r="AH162" s="774">
        <v>0</v>
      </c>
      <c r="AI162" s="774" t="e">
        <v>#DIV/0!</v>
      </c>
      <c r="AJ162" s="775">
        <v>0</v>
      </c>
      <c r="AK162" s="774">
        <v>0</v>
      </c>
      <c r="AL162" s="774" t="e">
        <v>#DIV/0!</v>
      </c>
      <c r="AM162" s="775">
        <v>0</v>
      </c>
    </row>
    <row r="163" spans="1:40" ht="13.5" thickBot="1">
      <c r="A163" s="207"/>
      <c r="B163" s="479" t="s">
        <v>1055</v>
      </c>
      <c r="C163" s="225"/>
      <c r="D163" s="215"/>
      <c r="E163" s="192"/>
      <c r="F163" s="193">
        <v>0</v>
      </c>
      <c r="G163" s="193"/>
      <c r="H163" s="192"/>
      <c r="I163" s="229" t="e">
        <v>#DIV/0!</v>
      </c>
      <c r="J163" s="210"/>
      <c r="K163" s="194"/>
      <c r="L163" s="194"/>
      <c r="M163" s="194">
        <v>0</v>
      </c>
      <c r="N163" s="194"/>
      <c r="O163" s="211">
        <v>0</v>
      </c>
      <c r="P163" s="447"/>
      <c r="Q163" s="448"/>
      <c r="R163" s="449"/>
      <c r="S163" s="450"/>
      <c r="T163" s="448"/>
      <c r="U163" s="449"/>
      <c r="V163" s="230"/>
      <c r="W163" s="451"/>
      <c r="X163" s="480"/>
      <c r="Y163" s="453"/>
      <c r="AA163" s="479" t="s">
        <v>1055</v>
      </c>
      <c r="AB163" s="446"/>
      <c r="AC163" s="446"/>
      <c r="AD163" s="450">
        <v>0</v>
      </c>
      <c r="AE163" s="446"/>
      <c r="AF163" s="446"/>
      <c r="AG163" s="450">
        <v>0</v>
      </c>
      <c r="AH163" s="446"/>
      <c r="AI163" s="446"/>
      <c r="AJ163" s="450">
        <v>0</v>
      </c>
      <c r="AK163" s="767">
        <v>0</v>
      </c>
      <c r="AL163" s="452" t="e">
        <v>#DIV/0!</v>
      </c>
      <c r="AM163" s="230">
        <v>0</v>
      </c>
    </row>
    <row r="164" spans="1:40" ht="13.5" thickBot="1">
      <c r="A164" s="207"/>
      <c r="B164" s="479" t="s">
        <v>1056</v>
      </c>
      <c r="C164" s="225"/>
      <c r="D164" s="215"/>
      <c r="E164" s="192"/>
      <c r="F164" s="193">
        <v>0</v>
      </c>
      <c r="G164" s="193"/>
      <c r="H164" s="192"/>
      <c r="I164" s="229" t="e">
        <v>#DIV/0!</v>
      </c>
      <c r="J164" s="210"/>
      <c r="K164" s="194"/>
      <c r="L164" s="194"/>
      <c r="M164" s="194">
        <v>0</v>
      </c>
      <c r="N164" s="194"/>
      <c r="O164" s="211">
        <v>0</v>
      </c>
      <c r="P164" s="447"/>
      <c r="Q164" s="448"/>
      <c r="R164" s="449"/>
      <c r="S164" s="450"/>
      <c r="T164" s="448"/>
      <c r="U164" s="449"/>
      <c r="V164" s="230"/>
      <c r="W164" s="451"/>
      <c r="X164" s="480"/>
      <c r="Y164" s="453"/>
      <c r="AA164" s="479" t="s">
        <v>1056</v>
      </c>
      <c r="AB164" s="446"/>
      <c r="AC164" s="446"/>
      <c r="AD164" s="450">
        <v>0</v>
      </c>
      <c r="AE164" s="446"/>
      <c r="AF164" s="446"/>
      <c r="AG164" s="450">
        <v>0</v>
      </c>
      <c r="AH164" s="446"/>
      <c r="AI164" s="446"/>
      <c r="AJ164" s="450">
        <v>0</v>
      </c>
      <c r="AK164" s="767">
        <v>0</v>
      </c>
      <c r="AL164" s="452" t="e">
        <v>#DIV/0!</v>
      </c>
      <c r="AM164" s="230">
        <v>0</v>
      </c>
    </row>
    <row r="165" spans="1:40" ht="13.5" thickBot="1">
      <c r="A165" s="481"/>
      <c r="B165" s="482" t="s">
        <v>1057</v>
      </c>
      <c r="C165" s="483"/>
      <c r="D165" s="484"/>
      <c r="E165" s="485"/>
      <c r="F165" s="486">
        <v>0</v>
      </c>
      <c r="G165" s="486"/>
      <c r="H165" s="485"/>
      <c r="I165" s="487" t="e">
        <v>#DIV/0!</v>
      </c>
      <c r="J165" s="488"/>
      <c r="K165" s="489"/>
      <c r="L165" s="489"/>
      <c r="M165" s="489">
        <v>0</v>
      </c>
      <c r="N165" s="503"/>
      <c r="O165" s="490">
        <v>0</v>
      </c>
      <c r="P165" s="491"/>
      <c r="Q165" s="492"/>
      <c r="R165" s="493"/>
      <c r="S165" s="494"/>
      <c r="T165" s="492"/>
      <c r="U165" s="493"/>
      <c r="V165" s="495"/>
      <c r="W165" s="496"/>
      <c r="X165" s="497"/>
      <c r="Y165" s="498"/>
      <c r="Z165" s="499"/>
      <c r="AA165" s="482" t="s">
        <v>1057</v>
      </c>
      <c r="AB165" s="446"/>
      <c r="AC165" s="446"/>
      <c r="AD165" s="450">
        <v>0</v>
      </c>
      <c r="AE165" s="446"/>
      <c r="AF165" s="446"/>
      <c r="AG165" s="450">
        <v>0</v>
      </c>
      <c r="AH165" s="446"/>
      <c r="AI165" s="446"/>
      <c r="AJ165" s="450">
        <v>0</v>
      </c>
      <c r="AK165" s="767">
        <v>0</v>
      </c>
      <c r="AL165" s="452" t="e">
        <v>#DIV/0!</v>
      </c>
      <c r="AM165" s="230">
        <v>0</v>
      </c>
    </row>
    <row r="166" spans="1:40" ht="13.5" thickBot="1">
      <c r="A166" s="207"/>
      <c r="B166" s="479" t="s">
        <v>1058</v>
      </c>
      <c r="C166" s="225"/>
      <c r="D166" s="215"/>
      <c r="E166" s="192"/>
      <c r="F166" s="193">
        <v>0</v>
      </c>
      <c r="G166" s="193"/>
      <c r="H166" s="192"/>
      <c r="I166" s="229" t="e">
        <v>#DIV/0!</v>
      </c>
      <c r="J166" s="210"/>
      <c r="K166" s="194"/>
      <c r="L166" s="194"/>
      <c r="M166" s="194">
        <v>0</v>
      </c>
      <c r="N166" s="504"/>
      <c r="O166" s="211">
        <v>0</v>
      </c>
      <c r="P166" s="447"/>
      <c r="Q166" s="448"/>
      <c r="R166" s="449"/>
      <c r="S166" s="450"/>
      <c r="T166" s="448"/>
      <c r="U166" s="449"/>
      <c r="V166" s="230"/>
      <c r="W166" s="451"/>
      <c r="X166" s="480"/>
      <c r="Y166" s="453"/>
      <c r="AA166" s="479" t="s">
        <v>1058</v>
      </c>
      <c r="AB166" s="446"/>
      <c r="AC166" s="446"/>
      <c r="AD166" s="450">
        <v>0</v>
      </c>
      <c r="AE166" s="446"/>
      <c r="AF166" s="446"/>
      <c r="AG166" s="450">
        <v>0</v>
      </c>
      <c r="AH166" s="446"/>
      <c r="AI166" s="446"/>
      <c r="AJ166" s="450">
        <v>0</v>
      </c>
      <c r="AK166" s="767">
        <v>0</v>
      </c>
      <c r="AL166" s="452" t="e">
        <v>#DIV/0!</v>
      </c>
      <c r="AM166" s="230">
        <v>0</v>
      </c>
    </row>
    <row r="167" spans="1:40" ht="13.5" thickBot="1">
      <c r="A167" s="460" t="s">
        <v>18</v>
      </c>
      <c r="B167" s="461" t="s">
        <v>868</v>
      </c>
      <c r="C167" s="462" t="e">
        <v>#REF!</v>
      </c>
      <c r="D167" s="463" t="e">
        <v>#REF!</v>
      </c>
      <c r="E167" s="464"/>
      <c r="F167" s="465">
        <v>21.164602449999997</v>
      </c>
      <c r="G167" s="465"/>
      <c r="H167" s="464"/>
      <c r="I167" s="466"/>
      <c r="J167" s="464"/>
      <c r="K167" s="468"/>
      <c r="L167" s="468"/>
      <c r="M167" s="468">
        <v>112631.43554158999</v>
      </c>
      <c r="N167" s="505"/>
      <c r="O167" s="469">
        <v>112631.43554158999</v>
      </c>
      <c r="P167" s="500" t="s">
        <v>887</v>
      </c>
      <c r="Q167" s="471">
        <v>702.21</v>
      </c>
      <c r="R167" s="472">
        <v>4.6040000000000001</v>
      </c>
      <c r="S167" s="473">
        <v>3232.9748400000003</v>
      </c>
      <c r="T167" s="471">
        <v>419</v>
      </c>
      <c r="U167" s="472">
        <v>4.4880000000000004</v>
      </c>
      <c r="V167" s="474">
        <v>1880.4720000000002</v>
      </c>
      <c r="W167" s="501">
        <v>1121.21</v>
      </c>
      <c r="X167" s="502">
        <v>4.5606504044737388</v>
      </c>
      <c r="Y167" s="474">
        <v>5113.4468400000005</v>
      </c>
      <c r="Z167" s="478"/>
      <c r="AA167" s="768" t="s">
        <v>1281</v>
      </c>
      <c r="AB167" s="922">
        <v>12672.986919999999</v>
      </c>
      <c r="AC167" s="911">
        <v>5.1476317111956744</v>
      </c>
      <c r="AD167" s="775">
        <v>65235.869344959996</v>
      </c>
      <c r="AE167" s="922">
        <v>8491.6155300000009</v>
      </c>
      <c r="AF167" s="911">
        <v>5.5814545570494039</v>
      </c>
      <c r="AG167" s="775">
        <v>47395.566196629996</v>
      </c>
      <c r="AH167" s="922">
        <v>0</v>
      </c>
      <c r="AI167" s="911" t="e">
        <v>#DIV/0!</v>
      </c>
      <c r="AJ167" s="775">
        <v>0</v>
      </c>
      <c r="AK167" s="922">
        <v>21164.602449999998</v>
      </c>
      <c r="AL167" s="911">
        <v>5.3216891650894205</v>
      </c>
      <c r="AM167" s="775">
        <v>112631.43554158999</v>
      </c>
    </row>
    <row r="168" spans="1:40">
      <c r="A168" s="207"/>
      <c r="B168" s="479" t="s">
        <v>1059</v>
      </c>
      <c r="C168" s="225" t="e">
        <v>#REF!</v>
      </c>
      <c r="D168" s="215" t="e">
        <v>#REF!</v>
      </c>
      <c r="E168" s="192"/>
      <c r="F168" s="193">
        <v>19.390999999999998</v>
      </c>
      <c r="G168" s="193"/>
      <c r="H168" s="192"/>
      <c r="I168" s="229">
        <v>5312.9551338249703</v>
      </c>
      <c r="J168" s="184"/>
      <c r="K168" s="194"/>
      <c r="L168" s="194"/>
      <c r="M168" s="194">
        <v>103023.51299999999</v>
      </c>
      <c r="N168" s="504"/>
      <c r="O168" s="211">
        <v>103023.51299999999</v>
      </c>
      <c r="P168" s="457" t="s">
        <v>435</v>
      </c>
      <c r="Q168" s="446"/>
      <c r="R168" s="446"/>
      <c r="S168" s="446"/>
      <c r="T168" s="446"/>
      <c r="U168" s="446"/>
      <c r="V168" s="446"/>
      <c r="W168" s="458">
        <v>9943.4700000000012</v>
      </c>
      <c r="X168" s="454"/>
      <c r="Y168" s="459">
        <v>52687.176720000003</v>
      </c>
      <c r="AA168" s="479" t="s">
        <v>1059</v>
      </c>
      <c r="AB168" s="1696">
        <v>11556</v>
      </c>
      <c r="AC168" s="449">
        <v>5.1379999999999999</v>
      </c>
      <c r="AD168" s="450">
        <v>59374.727999999996</v>
      </c>
      <c r="AE168" s="1696">
        <v>7835</v>
      </c>
      <c r="AF168" s="449">
        <v>5.5709999999999997</v>
      </c>
      <c r="AG168" s="450">
        <v>43648.784999999996</v>
      </c>
      <c r="AH168" s="446"/>
      <c r="AI168" s="446"/>
      <c r="AJ168" s="450">
        <v>0</v>
      </c>
      <c r="AK168" s="767">
        <v>19391</v>
      </c>
      <c r="AL168" s="452">
        <v>5.3129551338249703</v>
      </c>
      <c r="AM168" s="230">
        <v>103023.51299999999</v>
      </c>
      <c r="AN168" s="181">
        <v>20047</v>
      </c>
    </row>
    <row r="169" spans="1:40">
      <c r="A169" s="506"/>
      <c r="B169" s="482" t="s">
        <v>1057</v>
      </c>
      <c r="C169" s="507"/>
      <c r="D169" s="508"/>
      <c r="E169" s="509"/>
      <c r="F169" s="488">
        <v>1.75380245</v>
      </c>
      <c r="G169" s="510"/>
      <c r="H169" s="509"/>
      <c r="I169" s="487">
        <v>5412.9925759825464</v>
      </c>
      <c r="J169" s="509"/>
      <c r="K169" s="511"/>
      <c r="L169" s="511"/>
      <c r="M169" s="489">
        <v>9493.3196415900002</v>
      </c>
      <c r="N169" s="512"/>
      <c r="O169" s="490">
        <v>9493.3196415900002</v>
      </c>
      <c r="AA169" s="482" t="s">
        <v>1057</v>
      </c>
      <c r="AB169" s="767">
        <v>1107.28692</v>
      </c>
      <c r="AC169" s="452">
        <v>5.24499715481151</v>
      </c>
      <c r="AD169" s="450">
        <v>5807.7167449600001</v>
      </c>
      <c r="AE169" s="767">
        <v>646.5155299999999</v>
      </c>
      <c r="AF169" s="452">
        <v>5.7007182745169329</v>
      </c>
      <c r="AG169" s="450">
        <v>3685.6028966299996</v>
      </c>
      <c r="AH169" s="767"/>
      <c r="AI169" s="452"/>
      <c r="AJ169" s="450"/>
      <c r="AK169" s="767">
        <v>1753.8024499999999</v>
      </c>
      <c r="AL169" s="452">
        <v>5.4129925759825461</v>
      </c>
      <c r="AM169" s="230">
        <v>9493.3196415900002</v>
      </c>
    </row>
    <row r="170" spans="1:40">
      <c r="A170" s="207"/>
      <c r="B170" s="923" t="s">
        <v>1058</v>
      </c>
      <c r="C170" s="225"/>
      <c r="D170" s="215"/>
      <c r="E170" s="192"/>
      <c r="F170" s="192">
        <v>1.9800000000000002E-2</v>
      </c>
      <c r="G170" s="193"/>
      <c r="H170" s="192"/>
      <c r="I170" s="229">
        <v>5788.0252525252527</v>
      </c>
      <c r="J170" s="192"/>
      <c r="K170" s="194"/>
      <c r="L170" s="194"/>
      <c r="M170" s="194">
        <v>114.60290000000001</v>
      </c>
      <c r="N170" s="504"/>
      <c r="O170" s="211">
        <v>114.60290000000001</v>
      </c>
      <c r="P170" s="941"/>
      <c r="Q170" s="941"/>
      <c r="R170" s="941"/>
      <c r="S170" s="941"/>
      <c r="T170" s="941"/>
      <c r="U170" s="941"/>
      <c r="V170" s="941"/>
      <c r="W170" s="941"/>
      <c r="X170" s="941"/>
      <c r="Y170" s="941"/>
      <c r="Z170" s="941"/>
      <c r="AA170" s="923" t="s">
        <v>1517</v>
      </c>
      <c r="AB170" s="446">
        <v>5.3</v>
      </c>
      <c r="AC170" s="449">
        <v>5.1379999999999999</v>
      </c>
      <c r="AD170" s="230">
        <v>27.231399999999997</v>
      </c>
      <c r="AE170" s="446">
        <v>4.5</v>
      </c>
      <c r="AF170" s="449">
        <v>5.5709999999999997</v>
      </c>
      <c r="AG170" s="230">
        <v>25.069499999999998</v>
      </c>
      <c r="AH170" s="446"/>
      <c r="AI170" s="446"/>
      <c r="AJ170" s="230">
        <v>0</v>
      </c>
      <c r="AK170" s="767">
        <v>9.8000000000000007</v>
      </c>
      <c r="AL170" s="452">
        <v>5.3368265306122442</v>
      </c>
      <c r="AM170" s="230">
        <v>52.300899999999999</v>
      </c>
    </row>
    <row r="171" spans="1:40" ht="13.5" thickBot="1">
      <c r="A171" s="934"/>
      <c r="B171" s="927"/>
      <c r="C171" s="935"/>
      <c r="D171" s="936"/>
      <c r="E171" s="937"/>
      <c r="F171" s="938"/>
      <c r="G171" s="938"/>
      <c r="H171" s="937"/>
      <c r="I171" s="939"/>
      <c r="J171" s="937"/>
      <c r="K171" s="940"/>
      <c r="L171" s="940"/>
      <c r="M171" s="940"/>
      <c r="N171" s="940"/>
      <c r="O171" s="940"/>
      <c r="AA171" s="927" t="s">
        <v>1518</v>
      </c>
      <c r="AB171" s="928">
        <v>4.4000000000000004</v>
      </c>
      <c r="AC171" s="928">
        <v>5.9530000000000003</v>
      </c>
      <c r="AD171" s="929">
        <v>26.193200000000004</v>
      </c>
      <c r="AE171" s="928">
        <v>5.6</v>
      </c>
      <c r="AF171" s="928">
        <v>6.4480000000000004</v>
      </c>
      <c r="AG171" s="929">
        <v>36.108800000000002</v>
      </c>
      <c r="AH171" s="928"/>
      <c r="AI171" s="928"/>
      <c r="AJ171" s="929">
        <v>0</v>
      </c>
      <c r="AK171" s="930">
        <v>10</v>
      </c>
      <c r="AL171" s="931">
        <v>6.2302000000000008</v>
      </c>
      <c r="AM171" s="929">
        <v>62.302000000000007</v>
      </c>
    </row>
    <row r="172" spans="1:40">
      <c r="A172" s="1795" t="s">
        <v>1835</v>
      </c>
      <c r="B172" s="1796"/>
      <c r="C172" s="1796"/>
      <c r="D172" s="1796"/>
      <c r="E172" s="1796"/>
      <c r="F172" s="1796"/>
      <c r="G172" s="1796"/>
      <c r="H172" s="1796"/>
      <c r="I172" s="1796"/>
      <c r="J172" s="1796"/>
      <c r="K172" s="1796"/>
      <c r="L172" s="1796"/>
      <c r="M172" s="1796"/>
      <c r="N172" s="1796"/>
      <c r="O172" s="1798"/>
      <c r="AB172" s="1799" t="s">
        <v>767</v>
      </c>
      <c r="AC172" s="1806"/>
      <c r="AD172" s="1807"/>
      <c r="AE172" s="1799" t="s">
        <v>766</v>
      </c>
      <c r="AF172" s="1808"/>
      <c r="AG172" s="1809"/>
      <c r="AH172" s="1799"/>
      <c r="AI172" s="1808"/>
      <c r="AJ172" s="1809"/>
      <c r="AK172" s="1799" t="s">
        <v>1051</v>
      </c>
      <c r="AL172" s="1808"/>
      <c r="AM172" s="1809"/>
    </row>
    <row r="173" spans="1:40" ht="26.25" thickBot="1">
      <c r="A173" s="207">
        <v>1</v>
      </c>
      <c r="B173" s="218" t="s">
        <v>863</v>
      </c>
      <c r="C173" s="222" t="e">
        <v>#REF!</v>
      </c>
      <c r="D173" s="222" t="e">
        <v>#REF!</v>
      </c>
      <c r="E173" s="187"/>
      <c r="F173" s="188">
        <v>22.427538999999996</v>
      </c>
      <c r="G173" s="188"/>
      <c r="H173" s="187"/>
      <c r="I173" s="187"/>
      <c r="J173" s="187"/>
      <c r="K173" s="189"/>
      <c r="L173" s="189"/>
      <c r="M173" s="189">
        <v>129070.56959200001</v>
      </c>
      <c r="N173" s="189"/>
      <c r="O173" s="213">
        <v>129070.56959200001</v>
      </c>
      <c r="AA173" s="443" t="s">
        <v>1285</v>
      </c>
      <c r="AB173" s="942" t="s">
        <v>1519</v>
      </c>
      <c r="AC173" s="1802" t="s">
        <v>417</v>
      </c>
      <c r="AD173" s="446" t="s">
        <v>1054</v>
      </c>
      <c r="AE173" s="942" t="s">
        <v>1519</v>
      </c>
      <c r="AF173" s="1802" t="s">
        <v>417</v>
      </c>
      <c r="AG173" s="446" t="s">
        <v>1054</v>
      </c>
      <c r="AH173" s="942" t="s">
        <v>1519</v>
      </c>
      <c r="AI173" s="1802" t="s">
        <v>417</v>
      </c>
      <c r="AJ173" s="446" t="s">
        <v>1054</v>
      </c>
      <c r="AK173" s="942" t="s">
        <v>1519</v>
      </c>
      <c r="AL173" s="1802" t="s">
        <v>417</v>
      </c>
      <c r="AM173" s="446" t="s">
        <v>1054</v>
      </c>
    </row>
    <row r="174" spans="1:40" ht="13.5" thickBot="1">
      <c r="A174" s="207" t="s">
        <v>5</v>
      </c>
      <c r="B174" s="208" t="s">
        <v>1870</v>
      </c>
      <c r="C174" s="209"/>
      <c r="D174" s="209"/>
      <c r="E174" s="192"/>
      <c r="F174" s="193">
        <v>20.259769999999996</v>
      </c>
      <c r="G174" s="193"/>
      <c r="H174" s="192"/>
      <c r="I174" s="229">
        <v>5740.8085299092754</v>
      </c>
      <c r="J174" s="192">
        <v>5.3924651823909073</v>
      </c>
      <c r="K174" s="194"/>
      <c r="L174" s="194"/>
      <c r="M174" s="194">
        <v>116307.46043000001</v>
      </c>
      <c r="N174" s="194"/>
      <c r="O174" s="211">
        <v>116307.46043000001</v>
      </c>
      <c r="AA174" s="447" t="s">
        <v>864</v>
      </c>
      <c r="AB174" s="448">
        <v>11941.25</v>
      </c>
      <c r="AC174" s="933">
        <v>5.5714700345441228</v>
      </c>
      <c r="AD174" s="450">
        <v>66530.316550000003</v>
      </c>
      <c r="AE174" s="448">
        <v>8318.5199999999986</v>
      </c>
      <c r="AF174" s="933">
        <v>5.9838942359939029</v>
      </c>
      <c r="AG174" s="450">
        <v>49777.143879999996</v>
      </c>
      <c r="AH174" s="448">
        <v>0</v>
      </c>
      <c r="AI174" s="933" t="e">
        <v>#DIV/0!</v>
      </c>
      <c r="AJ174" s="450">
        <v>0</v>
      </c>
      <c r="AK174" s="451">
        <v>20259.769999999997</v>
      </c>
      <c r="AL174" s="480">
        <v>5.740808529909275</v>
      </c>
      <c r="AM174" s="453">
        <v>116307.46043000001</v>
      </c>
    </row>
    <row r="175" spans="1:40" ht="13.5" thickBot="1">
      <c r="A175" s="207" t="s">
        <v>6</v>
      </c>
      <c r="B175" s="208" t="s">
        <v>429</v>
      </c>
      <c r="C175" s="208"/>
      <c r="D175" s="231"/>
      <c r="E175" s="184"/>
      <c r="F175" s="193">
        <v>2.1677690000000003</v>
      </c>
      <c r="G175" s="193"/>
      <c r="H175" s="184"/>
      <c r="I175" s="229">
        <v>5887.6703015865614</v>
      </c>
      <c r="J175" s="192"/>
      <c r="K175" s="184"/>
      <c r="L175" s="184"/>
      <c r="M175" s="194">
        <v>12763.109162000001</v>
      </c>
      <c r="N175" s="184"/>
      <c r="O175" s="211">
        <v>12763.109162000001</v>
      </c>
      <c r="AA175" s="228" t="s">
        <v>1515</v>
      </c>
      <c r="AB175" s="448">
        <v>1060.0310000000002</v>
      </c>
      <c r="AC175" s="449">
        <v>5.5709999999999997</v>
      </c>
      <c r="AD175" s="450">
        <v>5905.4327010000006</v>
      </c>
      <c r="AE175" s="448">
        <v>754.47699999999998</v>
      </c>
      <c r="AF175" s="449">
        <v>5.9829999999999997</v>
      </c>
      <c r="AG175" s="230">
        <v>4514.0358909999995</v>
      </c>
      <c r="AH175" s="448"/>
      <c r="AI175" s="449"/>
      <c r="AJ175" s="230">
        <v>0</v>
      </c>
      <c r="AK175" s="451">
        <v>1814.5080000000003</v>
      </c>
      <c r="AL175" s="480">
        <v>5.7423106384761047</v>
      </c>
      <c r="AM175" s="453">
        <v>10419.468592000001</v>
      </c>
    </row>
    <row r="176" spans="1:40" ht="13.5" thickBot="1">
      <c r="A176" s="207" t="s">
        <v>7</v>
      </c>
      <c r="B176" s="208" t="s">
        <v>432</v>
      </c>
      <c r="C176" s="208"/>
      <c r="D176" s="231"/>
      <c r="E176" s="184"/>
      <c r="F176" s="193"/>
      <c r="G176" s="184"/>
      <c r="H176" s="184"/>
      <c r="I176" s="229"/>
      <c r="J176" s="192"/>
      <c r="K176" s="184"/>
      <c r="L176" s="184"/>
      <c r="M176" s="194"/>
      <c r="N176" s="184"/>
      <c r="O176" s="211">
        <v>0</v>
      </c>
      <c r="Q176" s="1799" t="s">
        <v>767</v>
      </c>
      <c r="R176" s="1800"/>
      <c r="S176" s="1801"/>
      <c r="T176" s="1802" t="s">
        <v>766</v>
      </c>
      <c r="U176" s="1803"/>
      <c r="V176" s="1804"/>
      <c r="W176" s="1802" t="s">
        <v>1051</v>
      </c>
      <c r="X176" s="1803"/>
      <c r="Y176" s="1804"/>
      <c r="AA176" s="228" t="s">
        <v>1516</v>
      </c>
      <c r="AB176" s="448">
        <v>215.863</v>
      </c>
      <c r="AC176" s="933">
        <v>6.4480000000000004</v>
      </c>
      <c r="AD176" s="450">
        <v>1391.884624</v>
      </c>
      <c r="AE176" s="448">
        <v>137.398</v>
      </c>
      <c r="AF176" s="449">
        <v>6.9269999999999996</v>
      </c>
      <c r="AG176" s="230">
        <v>951.75594599999988</v>
      </c>
      <c r="AH176" s="448"/>
      <c r="AI176" s="449"/>
      <c r="AJ176" s="230">
        <v>0</v>
      </c>
      <c r="AK176" s="767">
        <v>353.26099999999997</v>
      </c>
      <c r="AL176" s="452">
        <v>6.6343031639496015</v>
      </c>
      <c r="AM176" s="230">
        <v>2343.64057</v>
      </c>
    </row>
    <row r="177" spans="1:39" ht="14.25" thickBot="1">
      <c r="A177" s="207" t="s">
        <v>11</v>
      </c>
      <c r="B177" s="212" t="s">
        <v>865</v>
      </c>
      <c r="C177" s="208"/>
      <c r="D177" s="231"/>
      <c r="E177" s="184">
        <v>0</v>
      </c>
      <c r="F177" s="184"/>
      <c r="G177" s="184"/>
      <c r="H177" s="184"/>
      <c r="I177" s="192"/>
      <c r="J177" s="229"/>
      <c r="K177" s="184"/>
      <c r="L177" s="184"/>
      <c r="M177" s="184"/>
      <c r="N177" s="184"/>
      <c r="O177" s="211"/>
      <c r="P177" s="443" t="s">
        <v>1052</v>
      </c>
      <c r="Q177" s="444" t="s">
        <v>1053</v>
      </c>
      <c r="R177" s="1802" t="s">
        <v>417</v>
      </c>
      <c r="S177" s="446" t="s">
        <v>1054</v>
      </c>
      <c r="T177" s="444" t="s">
        <v>1053</v>
      </c>
      <c r="U177" s="1802" t="s">
        <v>417</v>
      </c>
      <c r="V177" s="446" t="s">
        <v>1054</v>
      </c>
      <c r="W177" s="1802" t="s">
        <v>1053</v>
      </c>
      <c r="X177" s="1802" t="s">
        <v>417</v>
      </c>
      <c r="Y177" s="446" t="s">
        <v>1054</v>
      </c>
      <c r="AA177" s="457" t="s">
        <v>435</v>
      </c>
      <c r="AB177" s="767">
        <v>13217.144</v>
      </c>
      <c r="AC177" s="452">
        <v>5.5857478646672831</v>
      </c>
      <c r="AD177" s="230">
        <v>73827.633875</v>
      </c>
      <c r="AE177" s="767">
        <v>9210.3949999999986</v>
      </c>
      <c r="AF177" s="452">
        <v>5.9978899620483164</v>
      </c>
      <c r="AG177" s="230">
        <v>55242.935716999993</v>
      </c>
      <c r="AH177" s="767">
        <v>0</v>
      </c>
      <c r="AI177" s="446" t="e">
        <v>#DIV/0!</v>
      </c>
      <c r="AJ177" s="230">
        <v>0</v>
      </c>
      <c r="AK177" s="458">
        <v>22427.538999999997</v>
      </c>
      <c r="AL177" s="912">
        <v>5.7550036850677211</v>
      </c>
      <c r="AM177" s="459">
        <v>129070.56959200001</v>
      </c>
    </row>
    <row r="178" spans="1:39" ht="13.5" thickBot="1">
      <c r="A178" s="460" t="s">
        <v>12</v>
      </c>
      <c r="B178" s="461" t="s">
        <v>866</v>
      </c>
      <c r="C178" s="462" t="e">
        <v>#REF!</v>
      </c>
      <c r="D178" s="463" t="e">
        <v>#REF!</v>
      </c>
      <c r="E178" s="464"/>
      <c r="F178" s="465">
        <v>0</v>
      </c>
      <c r="G178" s="465"/>
      <c r="H178" s="464"/>
      <c r="I178" s="466"/>
      <c r="J178" s="467">
        <v>5.3924651823909073</v>
      </c>
      <c r="K178" s="468"/>
      <c r="L178" s="468"/>
      <c r="M178" s="468">
        <v>0</v>
      </c>
      <c r="N178" s="468"/>
      <c r="O178" s="469">
        <v>0</v>
      </c>
      <c r="P178" s="470" t="s">
        <v>864</v>
      </c>
      <c r="Q178" s="471">
        <v>5740.8600000000006</v>
      </c>
      <c r="R178" s="472">
        <v>5.4480000000000004</v>
      </c>
      <c r="S178" s="473">
        <v>31276.205280000006</v>
      </c>
      <c r="T178" s="471">
        <v>3081.4</v>
      </c>
      <c r="U178" s="472">
        <v>5.2889999999999997</v>
      </c>
      <c r="V178" s="474">
        <v>16297.524599999999</v>
      </c>
      <c r="W178" s="475">
        <v>8822.26</v>
      </c>
      <c r="X178" s="476">
        <v>5.3924651823909073</v>
      </c>
      <c r="Y178" s="477">
        <v>47573.729880000006</v>
      </c>
      <c r="Z178" s="478"/>
      <c r="AA178" s="768" t="s">
        <v>1280</v>
      </c>
      <c r="AB178" s="774">
        <v>0</v>
      </c>
      <c r="AC178" s="774" t="e">
        <v>#DIV/0!</v>
      </c>
      <c r="AD178" s="775">
        <v>0</v>
      </c>
      <c r="AE178" s="774">
        <v>0</v>
      </c>
      <c r="AF178" s="774" t="e">
        <v>#DIV/0!</v>
      </c>
      <c r="AG178" s="775">
        <v>0</v>
      </c>
      <c r="AH178" s="774">
        <v>0</v>
      </c>
      <c r="AI178" s="774" t="e">
        <v>#DIV/0!</v>
      </c>
      <c r="AJ178" s="775">
        <v>0</v>
      </c>
      <c r="AK178" s="774">
        <v>0</v>
      </c>
      <c r="AL178" s="774" t="e">
        <v>#DIV/0!</v>
      </c>
      <c r="AM178" s="775">
        <v>0</v>
      </c>
    </row>
    <row r="179" spans="1:39" ht="13.5" thickBot="1">
      <c r="A179" s="207"/>
      <c r="B179" s="479" t="s">
        <v>1055</v>
      </c>
      <c r="C179" s="225"/>
      <c r="D179" s="215"/>
      <c r="E179" s="192"/>
      <c r="F179" s="193">
        <v>0</v>
      </c>
      <c r="G179" s="193"/>
      <c r="H179" s="192"/>
      <c r="I179" s="229" t="e">
        <v>#DIV/0!</v>
      </c>
      <c r="J179" s="210"/>
      <c r="K179" s="194"/>
      <c r="L179" s="194"/>
      <c r="M179" s="194">
        <v>0</v>
      </c>
      <c r="N179" s="194"/>
      <c r="O179" s="211">
        <v>0</v>
      </c>
      <c r="P179" s="447"/>
      <c r="Q179" s="448"/>
      <c r="R179" s="449"/>
      <c r="S179" s="450"/>
      <c r="T179" s="448"/>
      <c r="U179" s="449"/>
      <c r="V179" s="230"/>
      <c r="W179" s="451"/>
      <c r="X179" s="480"/>
      <c r="Y179" s="453"/>
      <c r="AA179" s="479" t="s">
        <v>1055</v>
      </c>
      <c r="AB179" s="446"/>
      <c r="AC179" s="446"/>
      <c r="AD179" s="450">
        <v>0</v>
      </c>
      <c r="AE179" s="446"/>
      <c r="AF179" s="446"/>
      <c r="AG179" s="450">
        <v>0</v>
      </c>
      <c r="AH179" s="446"/>
      <c r="AI179" s="446"/>
      <c r="AJ179" s="450">
        <v>0</v>
      </c>
      <c r="AK179" s="767">
        <v>0</v>
      </c>
      <c r="AL179" s="452" t="e">
        <v>#DIV/0!</v>
      </c>
      <c r="AM179" s="230">
        <v>0</v>
      </c>
    </row>
    <row r="180" spans="1:39" ht="13.5" thickBot="1">
      <c r="A180" s="207"/>
      <c r="B180" s="479" t="s">
        <v>1056</v>
      </c>
      <c r="C180" s="225"/>
      <c r="D180" s="215"/>
      <c r="E180" s="192"/>
      <c r="F180" s="193">
        <v>0</v>
      </c>
      <c r="G180" s="193"/>
      <c r="H180" s="192"/>
      <c r="I180" s="229" t="e">
        <v>#DIV/0!</v>
      </c>
      <c r="J180" s="210"/>
      <c r="K180" s="194"/>
      <c r="L180" s="194"/>
      <c r="M180" s="194">
        <v>0</v>
      </c>
      <c r="N180" s="194"/>
      <c r="O180" s="211">
        <v>0</v>
      </c>
      <c r="P180" s="447"/>
      <c r="Q180" s="448"/>
      <c r="R180" s="449"/>
      <c r="S180" s="450"/>
      <c r="T180" s="448"/>
      <c r="U180" s="449"/>
      <c r="V180" s="230"/>
      <c r="W180" s="451"/>
      <c r="X180" s="480"/>
      <c r="Y180" s="453"/>
      <c r="AA180" s="479" t="s">
        <v>1056</v>
      </c>
      <c r="AB180" s="446"/>
      <c r="AC180" s="446"/>
      <c r="AD180" s="450">
        <v>0</v>
      </c>
      <c r="AE180" s="446"/>
      <c r="AF180" s="446"/>
      <c r="AG180" s="450">
        <v>0</v>
      </c>
      <c r="AH180" s="446"/>
      <c r="AI180" s="446"/>
      <c r="AJ180" s="450">
        <v>0</v>
      </c>
      <c r="AK180" s="767">
        <v>0</v>
      </c>
      <c r="AL180" s="452" t="e">
        <v>#DIV/0!</v>
      </c>
      <c r="AM180" s="230">
        <v>0</v>
      </c>
    </row>
    <row r="181" spans="1:39" ht="13.5" thickBot="1">
      <c r="A181" s="481"/>
      <c r="B181" s="482" t="s">
        <v>1057</v>
      </c>
      <c r="C181" s="483"/>
      <c r="D181" s="484"/>
      <c r="E181" s="485"/>
      <c r="F181" s="486">
        <v>0</v>
      </c>
      <c r="G181" s="486"/>
      <c r="H181" s="485"/>
      <c r="I181" s="487" t="e">
        <v>#DIV/0!</v>
      </c>
      <c r="J181" s="488"/>
      <c r="K181" s="489"/>
      <c r="L181" s="489"/>
      <c r="M181" s="489">
        <v>0</v>
      </c>
      <c r="N181" s="503"/>
      <c r="O181" s="490">
        <v>0</v>
      </c>
      <c r="P181" s="491"/>
      <c r="Q181" s="492"/>
      <c r="R181" s="493"/>
      <c r="S181" s="494"/>
      <c r="T181" s="492"/>
      <c r="U181" s="493"/>
      <c r="V181" s="495"/>
      <c r="W181" s="496"/>
      <c r="X181" s="497"/>
      <c r="Y181" s="498"/>
      <c r="Z181" s="499"/>
      <c r="AA181" s="482" t="s">
        <v>1057</v>
      </c>
      <c r="AB181" s="446"/>
      <c r="AC181" s="446"/>
      <c r="AD181" s="450">
        <v>0</v>
      </c>
      <c r="AE181" s="446"/>
      <c r="AF181" s="446"/>
      <c r="AG181" s="450">
        <v>0</v>
      </c>
      <c r="AH181" s="446"/>
      <c r="AI181" s="446"/>
      <c r="AJ181" s="450">
        <v>0</v>
      </c>
      <c r="AK181" s="767">
        <v>0</v>
      </c>
      <c r="AL181" s="452" t="e">
        <v>#DIV/0!</v>
      </c>
      <c r="AM181" s="230">
        <v>0</v>
      </c>
    </row>
    <row r="182" spans="1:39" ht="13.5" thickBot="1">
      <c r="A182" s="207"/>
      <c r="B182" s="479" t="s">
        <v>1058</v>
      </c>
      <c r="C182" s="225"/>
      <c r="D182" s="215"/>
      <c r="E182" s="192"/>
      <c r="F182" s="193">
        <v>0</v>
      </c>
      <c r="G182" s="193"/>
      <c r="H182" s="192"/>
      <c r="I182" s="229" t="e">
        <v>#DIV/0!</v>
      </c>
      <c r="J182" s="210"/>
      <c r="K182" s="194"/>
      <c r="L182" s="194"/>
      <c r="M182" s="194">
        <v>0</v>
      </c>
      <c r="N182" s="504"/>
      <c r="O182" s="211">
        <v>0</v>
      </c>
      <c r="P182" s="447"/>
      <c r="Q182" s="448"/>
      <c r="R182" s="449"/>
      <c r="S182" s="450"/>
      <c r="T182" s="448"/>
      <c r="U182" s="449"/>
      <c r="V182" s="230"/>
      <c r="W182" s="451"/>
      <c r="X182" s="480"/>
      <c r="Y182" s="453"/>
      <c r="AA182" s="479" t="s">
        <v>1058</v>
      </c>
      <c r="AB182" s="446"/>
      <c r="AC182" s="446"/>
      <c r="AD182" s="450">
        <v>0</v>
      </c>
      <c r="AE182" s="446"/>
      <c r="AF182" s="446"/>
      <c r="AG182" s="450">
        <v>0</v>
      </c>
      <c r="AH182" s="446"/>
      <c r="AI182" s="446"/>
      <c r="AJ182" s="450">
        <v>0</v>
      </c>
      <c r="AK182" s="767">
        <v>0</v>
      </c>
      <c r="AL182" s="452" t="e">
        <v>#DIV/0!</v>
      </c>
      <c r="AM182" s="230">
        <v>0</v>
      </c>
    </row>
    <row r="183" spans="1:39" ht="13.5" thickBot="1">
      <c r="A183" s="460" t="s">
        <v>18</v>
      </c>
      <c r="B183" s="461" t="s">
        <v>868</v>
      </c>
      <c r="C183" s="462" t="e">
        <v>#REF!</v>
      </c>
      <c r="D183" s="463" t="e">
        <v>#REF!</v>
      </c>
      <c r="E183" s="464"/>
      <c r="F183" s="465">
        <v>22.427538999999999</v>
      </c>
      <c r="G183" s="465"/>
      <c r="H183" s="464"/>
      <c r="I183" s="466"/>
      <c r="J183" s="464"/>
      <c r="K183" s="468"/>
      <c r="L183" s="468"/>
      <c r="M183" s="468">
        <v>129070.56959200001</v>
      </c>
      <c r="N183" s="505"/>
      <c r="O183" s="469">
        <v>129070.56959200001</v>
      </c>
      <c r="P183" s="500" t="s">
        <v>887</v>
      </c>
      <c r="Q183" s="471">
        <v>702.21</v>
      </c>
      <c r="R183" s="472">
        <v>4.6040000000000001</v>
      </c>
      <c r="S183" s="473">
        <v>3232.9748400000003</v>
      </c>
      <c r="T183" s="471">
        <v>419</v>
      </c>
      <c r="U183" s="472">
        <v>4.4880000000000004</v>
      </c>
      <c r="V183" s="474">
        <v>1880.4720000000002</v>
      </c>
      <c r="W183" s="501">
        <v>1121.21</v>
      </c>
      <c r="X183" s="502">
        <v>4.5606504044737388</v>
      </c>
      <c r="Y183" s="474">
        <v>5113.4468400000005</v>
      </c>
      <c r="Z183" s="478"/>
      <c r="AA183" s="768" t="s">
        <v>1281</v>
      </c>
      <c r="AB183" s="922">
        <v>13217.144</v>
      </c>
      <c r="AC183" s="911">
        <v>5.5857478646672831</v>
      </c>
      <c r="AD183" s="775">
        <v>73827.633875</v>
      </c>
      <c r="AE183" s="922">
        <v>9210.3949999999986</v>
      </c>
      <c r="AF183" s="911">
        <v>5.9978899620483164</v>
      </c>
      <c r="AG183" s="775">
        <v>55242.935716999993</v>
      </c>
      <c r="AH183" s="922">
        <v>0</v>
      </c>
      <c r="AI183" s="911" t="e">
        <v>#DIV/0!</v>
      </c>
      <c r="AJ183" s="775">
        <v>0</v>
      </c>
      <c r="AK183" s="922">
        <v>22427.539000000001</v>
      </c>
      <c r="AL183" s="911">
        <v>5.7550036850677202</v>
      </c>
      <c r="AM183" s="775">
        <v>129070.56959200001</v>
      </c>
    </row>
    <row r="184" spans="1:39">
      <c r="A184" s="207"/>
      <c r="B184" s="479" t="s">
        <v>1059</v>
      </c>
      <c r="C184" s="225" t="e">
        <v>#REF!</v>
      </c>
      <c r="D184" s="215" t="e">
        <v>#REF!</v>
      </c>
      <c r="E184" s="192"/>
      <c r="F184" s="193">
        <v>20.207000000000001</v>
      </c>
      <c r="G184" s="193"/>
      <c r="H184" s="192"/>
      <c r="I184" s="229">
        <v>5739.9430395407544</v>
      </c>
      <c r="J184" s="184"/>
      <c r="K184" s="194"/>
      <c r="L184" s="194"/>
      <c r="M184" s="194">
        <v>115987.02900000001</v>
      </c>
      <c r="N184" s="504"/>
      <c r="O184" s="211">
        <v>115987.02900000001</v>
      </c>
      <c r="P184" s="457" t="s">
        <v>435</v>
      </c>
      <c r="Q184" s="446"/>
      <c r="R184" s="446"/>
      <c r="S184" s="446"/>
      <c r="T184" s="446"/>
      <c r="U184" s="446"/>
      <c r="V184" s="446"/>
      <c r="W184" s="458">
        <v>9943.4700000000012</v>
      </c>
      <c r="X184" s="454"/>
      <c r="Y184" s="459">
        <v>52687.176720000003</v>
      </c>
      <c r="AA184" s="479" t="s">
        <v>1059</v>
      </c>
      <c r="AB184" s="1410">
        <v>11921</v>
      </c>
      <c r="AC184" s="449">
        <v>5.5709999999999997</v>
      </c>
      <c r="AD184" s="450">
        <v>66411.891000000003</v>
      </c>
      <c r="AE184" s="1410">
        <v>8286</v>
      </c>
      <c r="AF184" s="449">
        <v>5.9829999999999997</v>
      </c>
      <c r="AG184" s="450">
        <v>49575.137999999999</v>
      </c>
      <c r="AH184" s="446"/>
      <c r="AI184" s="446"/>
      <c r="AJ184" s="450">
        <v>0</v>
      </c>
      <c r="AK184" s="767">
        <v>20207</v>
      </c>
      <c r="AL184" s="452">
        <v>5.739943039540754</v>
      </c>
      <c r="AM184" s="230">
        <v>115987.02900000001</v>
      </c>
    </row>
    <row r="185" spans="1:39">
      <c r="A185" s="506"/>
      <c r="B185" s="482" t="s">
        <v>1057</v>
      </c>
      <c r="C185" s="507"/>
      <c r="D185" s="508"/>
      <c r="E185" s="509"/>
      <c r="F185" s="486">
        <v>2.1677690000000003</v>
      </c>
      <c r="G185" s="510"/>
      <c r="H185" s="509"/>
      <c r="I185" s="487">
        <v>5887.6703015865623</v>
      </c>
      <c r="J185" s="509"/>
      <c r="K185" s="511"/>
      <c r="L185" s="511"/>
      <c r="M185" s="489">
        <v>12763.109162000001</v>
      </c>
      <c r="N185" s="512"/>
      <c r="O185" s="490">
        <v>12763.109162000001</v>
      </c>
      <c r="AA185" s="482" t="s">
        <v>1057</v>
      </c>
      <c r="AB185" s="767">
        <v>1275.8940000000002</v>
      </c>
      <c r="AC185" s="452">
        <v>5.7193758454855965</v>
      </c>
      <c r="AD185" s="450">
        <v>7297.3173250000009</v>
      </c>
      <c r="AE185" s="767">
        <v>891.875</v>
      </c>
      <c r="AF185" s="452">
        <v>6.128428128381219</v>
      </c>
      <c r="AG185" s="450">
        <v>5465.7918369999998</v>
      </c>
      <c r="AH185" s="767"/>
      <c r="AI185" s="452"/>
      <c r="AJ185" s="450"/>
      <c r="AK185" s="767">
        <v>2167.7690000000002</v>
      </c>
      <c r="AL185" s="452">
        <v>5.8876703015865619</v>
      </c>
      <c r="AM185" s="230">
        <v>12763.109162000001</v>
      </c>
    </row>
    <row r="186" spans="1:39">
      <c r="A186" s="207"/>
      <c r="B186" s="923" t="s">
        <v>1058</v>
      </c>
      <c r="C186" s="225"/>
      <c r="D186" s="215"/>
      <c r="E186" s="192"/>
      <c r="F186" s="192">
        <v>5.2770000000000004E-2</v>
      </c>
      <c r="G186" s="193"/>
      <c r="H186" s="192"/>
      <c r="I186" s="229">
        <v>6072.2272124313049</v>
      </c>
      <c r="J186" s="192"/>
      <c r="K186" s="194"/>
      <c r="L186" s="194"/>
      <c r="M186" s="194">
        <v>320.43142999999998</v>
      </c>
      <c r="N186" s="504"/>
      <c r="O186" s="211">
        <v>320.43142999999998</v>
      </c>
      <c r="P186" s="941"/>
      <c r="Q186" s="941"/>
      <c r="R186" s="941"/>
      <c r="S186" s="941"/>
      <c r="T186" s="941"/>
      <c r="U186" s="941"/>
      <c r="V186" s="941"/>
      <c r="W186" s="941"/>
      <c r="X186" s="941"/>
      <c r="Y186" s="941"/>
      <c r="Z186" s="941"/>
      <c r="AA186" s="923" t="s">
        <v>1517</v>
      </c>
      <c r="AB186" s="446">
        <v>13.85</v>
      </c>
      <c r="AC186" s="449">
        <v>5.5709999999999997</v>
      </c>
      <c r="AD186" s="230">
        <v>77.158349999999999</v>
      </c>
      <c r="AE186" s="446">
        <v>24.64</v>
      </c>
      <c r="AF186" s="449">
        <v>5.9829999999999997</v>
      </c>
      <c r="AG186" s="230">
        <v>147.42112</v>
      </c>
      <c r="AH186" s="446"/>
      <c r="AI186" s="446"/>
      <c r="AJ186" s="230">
        <v>0</v>
      </c>
      <c r="AK186" s="767">
        <v>38.49</v>
      </c>
      <c r="AL186" s="452">
        <v>5.8347485061054822</v>
      </c>
      <c r="AM186" s="230">
        <v>224.57947000000001</v>
      </c>
    </row>
    <row r="187" spans="1:39" ht="13.5" thickBot="1">
      <c r="A187" s="934"/>
      <c r="B187" s="927"/>
      <c r="C187" s="935"/>
      <c r="D187" s="936"/>
      <c r="E187" s="937"/>
      <c r="F187" s="938"/>
      <c r="G187" s="938"/>
      <c r="H187" s="937"/>
      <c r="I187" s="939"/>
      <c r="J187" s="937"/>
      <c r="K187" s="940"/>
      <c r="L187" s="940"/>
      <c r="M187" s="940"/>
      <c r="N187" s="940"/>
      <c r="O187" s="940"/>
      <c r="AA187" s="927" t="s">
        <v>1518</v>
      </c>
      <c r="AB187" s="928">
        <v>6.4</v>
      </c>
      <c r="AC187" s="928">
        <v>6.4480000000000004</v>
      </c>
      <c r="AD187" s="929">
        <v>41.267200000000003</v>
      </c>
      <c r="AE187" s="928">
        <v>7.88</v>
      </c>
      <c r="AF187" s="928">
        <v>6.9269999999999996</v>
      </c>
      <c r="AG187" s="929">
        <v>54.584759999999996</v>
      </c>
      <c r="AH187" s="928"/>
      <c r="AI187" s="928"/>
      <c r="AJ187" s="929">
        <v>0</v>
      </c>
      <c r="AK187" s="930">
        <v>14.280000000000001</v>
      </c>
      <c r="AL187" s="931">
        <v>6.7123221288515396</v>
      </c>
      <c r="AM187" s="929">
        <v>95.851959999999991</v>
      </c>
    </row>
    <row r="188" spans="1:39">
      <c r="A188" s="1805" t="s">
        <v>1861</v>
      </c>
      <c r="B188" s="1805"/>
      <c r="C188" s="1805"/>
      <c r="D188" s="1805"/>
      <c r="E188" s="1805"/>
      <c r="F188" s="1805"/>
      <c r="G188" s="1805"/>
      <c r="H188" s="1805"/>
      <c r="I188" s="1805"/>
      <c r="J188" s="1805"/>
      <c r="K188" s="1805"/>
      <c r="L188" s="1805"/>
      <c r="M188" s="1805"/>
      <c r="N188" s="1805"/>
      <c r="O188" s="1805"/>
      <c r="AB188" s="1799" t="s">
        <v>767</v>
      </c>
      <c r="AC188" s="1806"/>
      <c r="AD188" s="1807"/>
      <c r="AE188" s="1799" t="s">
        <v>766</v>
      </c>
      <c r="AF188" s="1808"/>
      <c r="AG188" s="1809"/>
      <c r="AH188" s="1799"/>
      <c r="AI188" s="1808"/>
      <c r="AJ188" s="1809"/>
      <c r="AK188" s="1799" t="s">
        <v>1051</v>
      </c>
      <c r="AL188" s="1808"/>
      <c r="AM188" s="1809"/>
    </row>
    <row r="189" spans="1:39" ht="26.25" thickBot="1">
      <c r="A189" s="207">
        <v>1</v>
      </c>
      <c r="B189" s="218" t="s">
        <v>863</v>
      </c>
      <c r="C189" s="222" t="e">
        <v>#REF!</v>
      </c>
      <c r="D189" s="222" t="e">
        <v>#REF!</v>
      </c>
      <c r="E189" s="187"/>
      <c r="F189" s="188">
        <v>21.904751659999999</v>
      </c>
      <c r="G189" s="188"/>
      <c r="H189" s="187"/>
      <c r="I189" s="187"/>
      <c r="J189" s="187"/>
      <c r="K189" s="189"/>
      <c r="L189" s="189"/>
      <c r="M189" s="189">
        <v>125955.85906626002</v>
      </c>
      <c r="N189" s="189"/>
      <c r="O189" s="213">
        <v>125955.85906626002</v>
      </c>
      <c r="AA189" s="443" t="s">
        <v>1285</v>
      </c>
      <c r="AB189" s="942" t="s">
        <v>1519</v>
      </c>
      <c r="AC189" s="1802" t="s">
        <v>417</v>
      </c>
      <c r="AD189" s="446" t="s">
        <v>1054</v>
      </c>
      <c r="AE189" s="942" t="s">
        <v>1519</v>
      </c>
      <c r="AF189" s="1802" t="s">
        <v>417</v>
      </c>
      <c r="AG189" s="446" t="s">
        <v>1054</v>
      </c>
      <c r="AH189" s="942" t="s">
        <v>1519</v>
      </c>
      <c r="AI189" s="1802" t="s">
        <v>417</v>
      </c>
      <c r="AJ189" s="446" t="s">
        <v>1054</v>
      </c>
      <c r="AK189" s="942" t="s">
        <v>1519</v>
      </c>
      <c r="AL189" s="1802" t="s">
        <v>417</v>
      </c>
      <c r="AM189" s="446" t="s">
        <v>1054</v>
      </c>
    </row>
    <row r="190" spans="1:39" ht="13.5" thickBot="1">
      <c r="A190" s="207" t="s">
        <v>5</v>
      </c>
      <c r="B190" s="208" t="s">
        <v>1870</v>
      </c>
      <c r="C190" s="209"/>
      <c r="D190" s="209"/>
      <c r="E190" s="192"/>
      <c r="F190" s="193">
        <v>19.941800000000001</v>
      </c>
      <c r="G190" s="193"/>
      <c r="H190" s="192"/>
      <c r="I190" s="229">
        <v>5739.5689305880123</v>
      </c>
      <c r="J190" s="192">
        <v>5.3924651823909073</v>
      </c>
      <c r="K190" s="194"/>
      <c r="L190" s="194"/>
      <c r="M190" s="194">
        <v>114457.33570000001</v>
      </c>
      <c r="N190" s="194"/>
      <c r="O190" s="211">
        <v>114457.33570000001</v>
      </c>
      <c r="AA190" s="447" t="s">
        <v>864</v>
      </c>
      <c r="AB190" s="448">
        <v>11803.1</v>
      </c>
      <c r="AC190" s="933">
        <v>5.5712897798036112</v>
      </c>
      <c r="AD190" s="450">
        <v>65758.49040000001</v>
      </c>
      <c r="AE190" s="448">
        <v>8138.7</v>
      </c>
      <c r="AF190" s="933">
        <v>5.9836147419120991</v>
      </c>
      <c r="AG190" s="450">
        <v>48698.845300000001</v>
      </c>
      <c r="AH190" s="448">
        <v>0</v>
      </c>
      <c r="AI190" s="933" t="e">
        <v>#DIV/0!</v>
      </c>
      <c r="AJ190" s="450">
        <v>0</v>
      </c>
      <c r="AK190" s="451">
        <v>19941.8</v>
      </c>
      <c r="AL190" s="480">
        <v>5.7395689305880122</v>
      </c>
      <c r="AM190" s="453">
        <v>114457.33570000001</v>
      </c>
    </row>
    <row r="191" spans="1:39" ht="13.5" thickBot="1">
      <c r="A191" s="207" t="s">
        <v>6</v>
      </c>
      <c r="B191" s="208" t="s">
        <v>429</v>
      </c>
      <c r="C191" s="208"/>
      <c r="D191" s="231"/>
      <c r="E191" s="184"/>
      <c r="F191" s="193">
        <v>1.9629516599999997</v>
      </c>
      <c r="G191" s="193"/>
      <c r="H191" s="184"/>
      <c r="I191" s="229">
        <v>5857.7720483753546</v>
      </c>
      <c r="J191" s="192"/>
      <c r="K191" s="184"/>
      <c r="L191" s="184"/>
      <c r="M191" s="194">
        <v>11498.52336626</v>
      </c>
      <c r="N191" s="184"/>
      <c r="O191" s="211">
        <v>11498.52336626</v>
      </c>
      <c r="AA191" s="228" t="s">
        <v>1515</v>
      </c>
      <c r="AB191" s="448">
        <v>1007.9824599999999</v>
      </c>
      <c r="AC191" s="449">
        <v>5.5709999999999997</v>
      </c>
      <c r="AD191" s="450">
        <v>5615.4702846599994</v>
      </c>
      <c r="AE191" s="448">
        <v>697.0791999999999</v>
      </c>
      <c r="AF191" s="449">
        <v>5.9829999999999997</v>
      </c>
      <c r="AG191" s="230">
        <v>4170.6248535999994</v>
      </c>
      <c r="AH191" s="448"/>
      <c r="AI191" s="449"/>
      <c r="AJ191" s="230">
        <v>0</v>
      </c>
      <c r="AK191" s="451">
        <v>1705.0616599999998</v>
      </c>
      <c r="AL191" s="480">
        <v>5.7394376800777991</v>
      </c>
      <c r="AM191" s="453">
        <v>9786.0951382599997</v>
      </c>
    </row>
    <row r="192" spans="1:39" ht="13.5" thickBot="1">
      <c r="A192" s="207" t="s">
        <v>7</v>
      </c>
      <c r="B192" s="208" t="s">
        <v>432</v>
      </c>
      <c r="C192" s="208"/>
      <c r="D192" s="231"/>
      <c r="E192" s="184"/>
      <c r="F192" s="193"/>
      <c r="G192" s="184"/>
      <c r="H192" s="184"/>
      <c r="I192" s="229"/>
      <c r="J192" s="192"/>
      <c r="K192" s="184"/>
      <c r="L192" s="184"/>
      <c r="M192" s="194"/>
      <c r="N192" s="184"/>
      <c r="O192" s="211">
        <v>0</v>
      </c>
      <c r="Q192" s="1799" t="s">
        <v>767</v>
      </c>
      <c r="R192" s="1800"/>
      <c r="S192" s="1801"/>
      <c r="T192" s="1802" t="s">
        <v>766</v>
      </c>
      <c r="U192" s="1803"/>
      <c r="V192" s="1804"/>
      <c r="W192" s="1802" t="s">
        <v>1051</v>
      </c>
      <c r="X192" s="1803"/>
      <c r="Y192" s="1804"/>
      <c r="AA192" s="228" t="s">
        <v>1516</v>
      </c>
      <c r="AB192" s="448">
        <v>154.43799999999999</v>
      </c>
      <c r="AC192" s="933">
        <v>6.4480000000000004</v>
      </c>
      <c r="AD192" s="450">
        <v>995.81622400000003</v>
      </c>
      <c r="AE192" s="448">
        <v>103.452</v>
      </c>
      <c r="AF192" s="449">
        <v>6.9269999999999996</v>
      </c>
      <c r="AG192" s="230">
        <v>716.61200399999996</v>
      </c>
      <c r="AH192" s="448"/>
      <c r="AI192" s="449"/>
      <c r="AJ192" s="230">
        <v>0</v>
      </c>
      <c r="AK192" s="767">
        <v>257.89</v>
      </c>
      <c r="AL192" s="452">
        <v>6.6401497847919657</v>
      </c>
      <c r="AM192" s="230">
        <v>1712.428228</v>
      </c>
    </row>
    <row r="193" spans="1:41" ht="14.25" thickBot="1">
      <c r="A193" s="207" t="s">
        <v>11</v>
      </c>
      <c r="B193" s="212" t="s">
        <v>865</v>
      </c>
      <c r="C193" s="208"/>
      <c r="D193" s="231"/>
      <c r="E193" s="184">
        <v>0</v>
      </c>
      <c r="F193" s="184"/>
      <c r="G193" s="184"/>
      <c r="H193" s="184"/>
      <c r="I193" s="192"/>
      <c r="J193" s="229"/>
      <c r="K193" s="184"/>
      <c r="L193" s="184"/>
      <c r="M193" s="184"/>
      <c r="N193" s="184"/>
      <c r="O193" s="211"/>
      <c r="P193" s="443" t="s">
        <v>1052</v>
      </c>
      <c r="Q193" s="444" t="s">
        <v>1053</v>
      </c>
      <c r="R193" s="1802" t="s">
        <v>417</v>
      </c>
      <c r="S193" s="446" t="s">
        <v>1054</v>
      </c>
      <c r="T193" s="444" t="s">
        <v>1053</v>
      </c>
      <c r="U193" s="1802" t="s">
        <v>417</v>
      </c>
      <c r="V193" s="446" t="s">
        <v>1054</v>
      </c>
      <c r="W193" s="1802" t="s">
        <v>1053</v>
      </c>
      <c r="X193" s="1802" t="s">
        <v>417</v>
      </c>
      <c r="Y193" s="446" t="s">
        <v>1054</v>
      </c>
      <c r="AA193" s="457" t="s">
        <v>435</v>
      </c>
      <c r="AB193" s="767">
        <v>12965.52046</v>
      </c>
      <c r="AC193" s="452">
        <v>5.5817101312614801</v>
      </c>
      <c r="AD193" s="230">
        <v>72369.776908660002</v>
      </c>
      <c r="AE193" s="767">
        <v>8939.2311999999984</v>
      </c>
      <c r="AF193" s="452">
        <v>5.9944844202709522</v>
      </c>
      <c r="AG193" s="230">
        <v>53586.082157600002</v>
      </c>
      <c r="AH193" s="767">
        <v>0</v>
      </c>
      <c r="AI193" s="446" t="e">
        <v>#DIV/0!</v>
      </c>
      <c r="AJ193" s="230">
        <v>0</v>
      </c>
      <c r="AK193" s="458">
        <v>21904.751659999998</v>
      </c>
      <c r="AL193" s="912">
        <v>5.7501614727852175</v>
      </c>
      <c r="AM193" s="459">
        <v>125955.85906626002</v>
      </c>
    </row>
    <row r="194" spans="1:41" ht="13.5" thickBot="1">
      <c r="A194" s="460" t="s">
        <v>12</v>
      </c>
      <c r="B194" s="461" t="s">
        <v>866</v>
      </c>
      <c r="C194" s="462" t="e">
        <v>#REF!</v>
      </c>
      <c r="D194" s="463" t="e">
        <v>#REF!</v>
      </c>
      <c r="E194" s="464"/>
      <c r="F194" s="465">
        <v>0</v>
      </c>
      <c r="G194" s="465"/>
      <c r="H194" s="464"/>
      <c r="I194" s="466"/>
      <c r="J194" s="467">
        <v>5.3924651823909073</v>
      </c>
      <c r="K194" s="468"/>
      <c r="L194" s="468"/>
      <c r="M194" s="468">
        <v>0</v>
      </c>
      <c r="N194" s="468"/>
      <c r="O194" s="469">
        <v>0</v>
      </c>
      <c r="P194" s="470" t="s">
        <v>864</v>
      </c>
      <c r="Q194" s="471">
        <v>5740.8600000000006</v>
      </c>
      <c r="R194" s="472">
        <v>5.4480000000000004</v>
      </c>
      <c r="S194" s="473">
        <v>31276.205280000006</v>
      </c>
      <c r="T194" s="471">
        <v>3081.4</v>
      </c>
      <c r="U194" s="472">
        <v>5.2889999999999997</v>
      </c>
      <c r="V194" s="474">
        <v>16297.524599999999</v>
      </c>
      <c r="W194" s="475">
        <v>8822.26</v>
      </c>
      <c r="X194" s="476">
        <v>5.3924651823909073</v>
      </c>
      <c r="Y194" s="477">
        <v>47573.729880000006</v>
      </c>
      <c r="Z194" s="478"/>
      <c r="AA194" s="768" t="s">
        <v>1280</v>
      </c>
      <c r="AB194" s="774">
        <v>0</v>
      </c>
      <c r="AC194" s="774" t="e">
        <v>#DIV/0!</v>
      </c>
      <c r="AD194" s="775">
        <v>0</v>
      </c>
      <c r="AE194" s="774">
        <v>0</v>
      </c>
      <c r="AF194" s="774" t="e">
        <v>#DIV/0!</v>
      </c>
      <c r="AG194" s="775">
        <v>0</v>
      </c>
      <c r="AH194" s="774">
        <v>0</v>
      </c>
      <c r="AI194" s="774" t="e">
        <v>#DIV/0!</v>
      </c>
      <c r="AJ194" s="775">
        <v>0</v>
      </c>
      <c r="AK194" s="774">
        <v>0</v>
      </c>
      <c r="AL194" s="774" t="e">
        <v>#DIV/0!</v>
      </c>
      <c r="AM194" s="775">
        <v>0</v>
      </c>
    </row>
    <row r="195" spans="1:41" ht="13.5" thickBot="1">
      <c r="A195" s="207"/>
      <c r="B195" s="479" t="s">
        <v>1055</v>
      </c>
      <c r="C195" s="225"/>
      <c r="D195" s="215"/>
      <c r="E195" s="192"/>
      <c r="F195" s="193">
        <v>0</v>
      </c>
      <c r="G195" s="193"/>
      <c r="H195" s="192"/>
      <c r="I195" s="229" t="e">
        <v>#DIV/0!</v>
      </c>
      <c r="J195" s="210"/>
      <c r="K195" s="194"/>
      <c r="L195" s="194"/>
      <c r="M195" s="194">
        <v>0</v>
      </c>
      <c r="N195" s="194"/>
      <c r="O195" s="211">
        <v>0</v>
      </c>
      <c r="P195" s="447"/>
      <c r="Q195" s="448"/>
      <c r="R195" s="449"/>
      <c r="S195" s="450"/>
      <c r="T195" s="448"/>
      <c r="U195" s="449"/>
      <c r="V195" s="230"/>
      <c r="W195" s="451"/>
      <c r="X195" s="480"/>
      <c r="Y195" s="453"/>
      <c r="AA195" s="479" t="s">
        <v>1055</v>
      </c>
      <c r="AB195" s="446"/>
      <c r="AC195" s="446"/>
      <c r="AD195" s="450">
        <v>0</v>
      </c>
      <c r="AE195" s="446"/>
      <c r="AF195" s="446"/>
      <c r="AG195" s="450">
        <v>0</v>
      </c>
      <c r="AH195" s="446"/>
      <c r="AI195" s="446"/>
      <c r="AJ195" s="450">
        <v>0</v>
      </c>
      <c r="AK195" s="767">
        <v>0</v>
      </c>
      <c r="AL195" s="452" t="e">
        <v>#DIV/0!</v>
      </c>
      <c r="AM195" s="230">
        <v>0</v>
      </c>
    </row>
    <row r="196" spans="1:41" ht="13.5" thickBot="1">
      <c r="A196" s="207"/>
      <c r="B196" s="479" t="s">
        <v>1056</v>
      </c>
      <c r="C196" s="225"/>
      <c r="D196" s="215"/>
      <c r="E196" s="192"/>
      <c r="F196" s="193">
        <v>0</v>
      </c>
      <c r="G196" s="193"/>
      <c r="H196" s="192"/>
      <c r="I196" s="229" t="e">
        <v>#DIV/0!</v>
      </c>
      <c r="J196" s="210"/>
      <c r="K196" s="194"/>
      <c r="L196" s="194"/>
      <c r="M196" s="194">
        <v>0</v>
      </c>
      <c r="N196" s="194"/>
      <c r="O196" s="211">
        <v>0</v>
      </c>
      <c r="P196" s="447"/>
      <c r="Q196" s="448"/>
      <c r="R196" s="449"/>
      <c r="S196" s="450"/>
      <c r="T196" s="448"/>
      <c r="U196" s="449"/>
      <c r="V196" s="230"/>
      <c r="W196" s="451"/>
      <c r="X196" s="480"/>
      <c r="Y196" s="453"/>
      <c r="AA196" s="479" t="s">
        <v>1056</v>
      </c>
      <c r="AB196" s="446"/>
      <c r="AC196" s="446"/>
      <c r="AD196" s="450">
        <v>0</v>
      </c>
      <c r="AE196" s="446"/>
      <c r="AF196" s="446"/>
      <c r="AG196" s="450">
        <v>0</v>
      </c>
      <c r="AH196" s="446"/>
      <c r="AI196" s="446"/>
      <c r="AJ196" s="450">
        <v>0</v>
      </c>
      <c r="AK196" s="767">
        <v>0</v>
      </c>
      <c r="AL196" s="452" t="e">
        <v>#DIV/0!</v>
      </c>
      <c r="AM196" s="230">
        <v>0</v>
      </c>
    </row>
    <row r="197" spans="1:41" ht="13.5" thickBot="1">
      <c r="A197" s="481"/>
      <c r="B197" s="482" t="s">
        <v>1057</v>
      </c>
      <c r="C197" s="483"/>
      <c r="D197" s="484"/>
      <c r="E197" s="485"/>
      <c r="F197" s="486">
        <v>0</v>
      </c>
      <c r="G197" s="486"/>
      <c r="H197" s="485"/>
      <c r="I197" s="487" t="e">
        <v>#DIV/0!</v>
      </c>
      <c r="J197" s="488"/>
      <c r="K197" s="489"/>
      <c r="L197" s="489"/>
      <c r="M197" s="489">
        <v>0</v>
      </c>
      <c r="N197" s="503"/>
      <c r="O197" s="490">
        <v>0</v>
      </c>
      <c r="P197" s="491"/>
      <c r="Q197" s="492"/>
      <c r="R197" s="493"/>
      <c r="S197" s="494"/>
      <c r="T197" s="492"/>
      <c r="U197" s="493"/>
      <c r="V197" s="495"/>
      <c r="W197" s="496"/>
      <c r="X197" s="497"/>
      <c r="Y197" s="498"/>
      <c r="Z197" s="499"/>
      <c r="AA197" s="482" t="s">
        <v>1057</v>
      </c>
      <c r="AB197" s="446"/>
      <c r="AC197" s="446"/>
      <c r="AD197" s="450">
        <v>0</v>
      </c>
      <c r="AE197" s="446"/>
      <c r="AF197" s="446"/>
      <c r="AG197" s="450">
        <v>0</v>
      </c>
      <c r="AH197" s="446"/>
      <c r="AI197" s="446"/>
      <c r="AJ197" s="450">
        <v>0</v>
      </c>
      <c r="AK197" s="767">
        <v>0</v>
      </c>
      <c r="AL197" s="452" t="e">
        <v>#DIV/0!</v>
      </c>
      <c r="AM197" s="230">
        <v>0</v>
      </c>
    </row>
    <row r="198" spans="1:41" ht="13.5" thickBot="1">
      <c r="A198" s="207"/>
      <c r="B198" s="479" t="s">
        <v>1058</v>
      </c>
      <c r="C198" s="225"/>
      <c r="D198" s="215"/>
      <c r="E198" s="192"/>
      <c r="F198" s="193">
        <v>0</v>
      </c>
      <c r="G198" s="193"/>
      <c r="H198" s="192"/>
      <c r="I198" s="229" t="e">
        <v>#DIV/0!</v>
      </c>
      <c r="J198" s="210"/>
      <c r="K198" s="194"/>
      <c r="L198" s="194"/>
      <c r="M198" s="194">
        <v>0</v>
      </c>
      <c r="N198" s="504"/>
      <c r="O198" s="211">
        <v>0</v>
      </c>
      <c r="P198" s="447"/>
      <c r="Q198" s="448"/>
      <c r="R198" s="449"/>
      <c r="S198" s="450"/>
      <c r="T198" s="448"/>
      <c r="U198" s="449"/>
      <c r="V198" s="230"/>
      <c r="W198" s="451"/>
      <c r="X198" s="480"/>
      <c r="Y198" s="453"/>
      <c r="AA198" s="479" t="s">
        <v>1058</v>
      </c>
      <c r="AB198" s="446"/>
      <c r="AC198" s="446"/>
      <c r="AD198" s="450">
        <v>0</v>
      </c>
      <c r="AE198" s="446"/>
      <c r="AF198" s="446"/>
      <c r="AG198" s="450">
        <v>0</v>
      </c>
      <c r="AH198" s="446"/>
      <c r="AI198" s="446"/>
      <c r="AJ198" s="450">
        <v>0</v>
      </c>
      <c r="AK198" s="767">
        <v>0</v>
      </c>
      <c r="AL198" s="452" t="e">
        <v>#DIV/0!</v>
      </c>
      <c r="AM198" s="230">
        <v>0</v>
      </c>
    </row>
    <row r="199" spans="1:41" ht="13.5" thickBot="1">
      <c r="A199" s="460" t="s">
        <v>18</v>
      </c>
      <c r="B199" s="461" t="s">
        <v>868</v>
      </c>
      <c r="C199" s="462" t="e">
        <v>#REF!</v>
      </c>
      <c r="D199" s="463" t="e">
        <v>#REF!</v>
      </c>
      <c r="E199" s="464"/>
      <c r="F199" s="465">
        <v>21.904751659999999</v>
      </c>
      <c r="G199" s="465"/>
      <c r="H199" s="464"/>
      <c r="I199" s="466"/>
      <c r="J199" s="464"/>
      <c r="K199" s="468"/>
      <c r="L199" s="468"/>
      <c r="M199" s="468">
        <v>125955.85906625999</v>
      </c>
      <c r="N199" s="505"/>
      <c r="O199" s="469">
        <v>125955.85906625999</v>
      </c>
      <c r="P199" s="500" t="s">
        <v>887</v>
      </c>
      <c r="Q199" s="471">
        <v>702.21</v>
      </c>
      <c r="R199" s="472">
        <v>4.6040000000000001</v>
      </c>
      <c r="S199" s="473">
        <v>3232.9748400000003</v>
      </c>
      <c r="T199" s="471">
        <v>419</v>
      </c>
      <c r="U199" s="472">
        <v>4.4880000000000004</v>
      </c>
      <c r="V199" s="474">
        <v>1880.4720000000002</v>
      </c>
      <c r="W199" s="501">
        <v>1121.21</v>
      </c>
      <c r="X199" s="502">
        <v>4.5606504044737388</v>
      </c>
      <c r="Y199" s="474">
        <v>5113.4468400000005</v>
      </c>
      <c r="Z199" s="478"/>
      <c r="AA199" s="768" t="s">
        <v>1281</v>
      </c>
      <c r="AB199" s="922">
        <v>12965.52046</v>
      </c>
      <c r="AC199" s="911">
        <v>5.5817101312614801</v>
      </c>
      <c r="AD199" s="775">
        <v>72369.776908660002</v>
      </c>
      <c r="AE199" s="922">
        <v>8939.2311999999984</v>
      </c>
      <c r="AF199" s="911">
        <v>5.9944844202709522</v>
      </c>
      <c r="AG199" s="775">
        <v>53586.082157600002</v>
      </c>
      <c r="AH199" s="922">
        <v>0</v>
      </c>
      <c r="AI199" s="911" t="e">
        <v>#DIV/0!</v>
      </c>
      <c r="AJ199" s="775">
        <v>0</v>
      </c>
      <c r="AK199" s="922">
        <v>21904.751659999998</v>
      </c>
      <c r="AL199" s="911">
        <v>5.7501614727852157</v>
      </c>
      <c r="AM199" s="775">
        <v>125955.85906625999</v>
      </c>
    </row>
    <row r="200" spans="1:41">
      <c r="A200" s="207"/>
      <c r="B200" s="479" t="s">
        <v>1059</v>
      </c>
      <c r="C200" s="225" t="e">
        <v>#REF!</v>
      </c>
      <c r="D200" s="215" t="e">
        <v>#REF!</v>
      </c>
      <c r="E200" s="192"/>
      <c r="F200" s="193">
        <v>19.920000000000002</v>
      </c>
      <c r="G200" s="193"/>
      <c r="H200" s="192"/>
      <c r="I200" s="229">
        <v>5739.088554216868</v>
      </c>
      <c r="J200" s="184"/>
      <c r="K200" s="194"/>
      <c r="L200" s="194"/>
      <c r="M200" s="194">
        <v>114322.644</v>
      </c>
      <c r="N200" s="504"/>
      <c r="O200" s="211">
        <v>114322.644</v>
      </c>
      <c r="P200" s="457" t="s">
        <v>435</v>
      </c>
      <c r="Q200" s="446"/>
      <c r="R200" s="446"/>
      <c r="S200" s="446"/>
      <c r="T200" s="446"/>
      <c r="U200" s="446"/>
      <c r="V200" s="446"/>
      <c r="W200" s="458">
        <v>9943.4700000000012</v>
      </c>
      <c r="X200" s="454"/>
      <c r="Y200" s="459">
        <v>52687.176720000003</v>
      </c>
      <c r="AA200" s="479" t="s">
        <v>1059</v>
      </c>
      <c r="AB200" s="1696">
        <v>11793</v>
      </c>
      <c r="AC200" s="449">
        <v>5.5709999999999997</v>
      </c>
      <c r="AD200" s="450">
        <v>65698.803</v>
      </c>
      <c r="AE200" s="1696">
        <v>8127</v>
      </c>
      <c r="AF200" s="449">
        <v>5.9829999999999997</v>
      </c>
      <c r="AG200" s="450">
        <v>48623.841</v>
      </c>
      <c r="AH200" s="446"/>
      <c r="AI200" s="446"/>
      <c r="AJ200" s="450">
        <v>0</v>
      </c>
      <c r="AK200" s="767">
        <v>19920</v>
      </c>
      <c r="AL200" s="452">
        <v>5.7390885542168677</v>
      </c>
      <c r="AM200" s="230">
        <v>114322.644</v>
      </c>
    </row>
    <row r="201" spans="1:41">
      <c r="A201" s="506"/>
      <c r="B201" s="482" t="s">
        <v>1057</v>
      </c>
      <c r="C201" s="507"/>
      <c r="D201" s="508"/>
      <c r="E201" s="509"/>
      <c r="F201" s="486">
        <v>1.9629516599999997</v>
      </c>
      <c r="G201" s="510"/>
      <c r="H201" s="509"/>
      <c r="I201" s="487">
        <v>5857.7720483753528</v>
      </c>
      <c r="J201" s="509"/>
      <c r="K201" s="511"/>
      <c r="L201" s="511"/>
      <c r="M201" s="489">
        <v>11498.523366259999</v>
      </c>
      <c r="N201" s="512"/>
      <c r="O201" s="490">
        <v>11498.523366259999</v>
      </c>
      <c r="AA201" s="482" t="s">
        <v>1057</v>
      </c>
      <c r="AB201" s="767">
        <v>1162.4204599999998</v>
      </c>
      <c r="AC201" s="452">
        <v>5.6875173279899087</v>
      </c>
      <c r="AD201" s="450">
        <v>6611.2865086599995</v>
      </c>
      <c r="AE201" s="767">
        <v>800.5311999999999</v>
      </c>
      <c r="AF201" s="452">
        <v>6.1049923570749014</v>
      </c>
      <c r="AG201" s="450">
        <v>4887.236857599999</v>
      </c>
      <c r="AH201" s="767"/>
      <c r="AI201" s="452"/>
      <c r="AJ201" s="450"/>
      <c r="AK201" s="767">
        <v>1962.9516599999997</v>
      </c>
      <c r="AL201" s="452">
        <v>5.8577720483753533</v>
      </c>
      <c r="AM201" s="230">
        <v>11498.523366259999</v>
      </c>
    </row>
    <row r="202" spans="1:41">
      <c r="A202" s="207"/>
      <c r="B202" s="923" t="s">
        <v>1058</v>
      </c>
      <c r="C202" s="225"/>
      <c r="D202" s="215"/>
      <c r="E202" s="192"/>
      <c r="F202" s="192">
        <v>2.18E-2</v>
      </c>
      <c r="G202" s="193"/>
      <c r="H202" s="192"/>
      <c r="I202" s="229">
        <v>6178.5183486238529</v>
      </c>
      <c r="J202" s="192"/>
      <c r="K202" s="194"/>
      <c r="L202" s="194"/>
      <c r="M202" s="194">
        <v>134.6917</v>
      </c>
      <c r="N202" s="504"/>
      <c r="O202" s="211">
        <v>134.6917</v>
      </c>
      <c r="P202" s="941"/>
      <c r="Q202" s="941"/>
      <c r="R202" s="941"/>
      <c r="S202" s="941"/>
      <c r="T202" s="941"/>
      <c r="U202" s="941"/>
      <c r="V202" s="941"/>
      <c r="W202" s="941"/>
      <c r="X202" s="941"/>
      <c r="Y202" s="941"/>
      <c r="Z202" s="941"/>
      <c r="AA202" s="923" t="s">
        <v>1517</v>
      </c>
      <c r="AB202" s="446">
        <v>6.2</v>
      </c>
      <c r="AC202" s="449">
        <v>5.5709999999999997</v>
      </c>
      <c r="AD202" s="230">
        <v>34.540199999999999</v>
      </c>
      <c r="AE202" s="446">
        <v>6.4</v>
      </c>
      <c r="AF202" s="449">
        <v>5.9829999999999997</v>
      </c>
      <c r="AG202" s="230">
        <v>38.291199999999996</v>
      </c>
      <c r="AH202" s="446"/>
      <c r="AI202" s="446"/>
      <c r="AJ202" s="230">
        <v>0</v>
      </c>
      <c r="AK202" s="767">
        <v>12.600000000000001</v>
      </c>
      <c r="AL202" s="452">
        <v>5.780269841269841</v>
      </c>
      <c r="AM202" s="230">
        <v>72.831400000000002</v>
      </c>
    </row>
    <row r="203" spans="1:41" ht="13.5" thickBot="1">
      <c r="A203" s="934"/>
      <c r="B203" s="927"/>
      <c r="C203" s="935"/>
      <c r="D203" s="936"/>
      <c r="E203" s="937"/>
      <c r="F203" s="938"/>
      <c r="G203" s="938"/>
      <c r="H203" s="937"/>
      <c r="I203" s="939"/>
      <c r="J203" s="937"/>
      <c r="K203" s="940"/>
      <c r="L203" s="940"/>
      <c r="M203" s="940"/>
      <c r="N203" s="940"/>
      <c r="O203" s="940"/>
      <c r="AA203" s="927" t="s">
        <v>1518</v>
      </c>
      <c r="AB203" s="928">
        <v>3.9</v>
      </c>
      <c r="AC203" s="928">
        <v>6.4480000000000004</v>
      </c>
      <c r="AD203" s="929">
        <v>25.147200000000002</v>
      </c>
      <c r="AE203" s="928">
        <v>5.3</v>
      </c>
      <c r="AF203" s="928">
        <v>6.9269999999999996</v>
      </c>
      <c r="AG203" s="929">
        <v>36.713099999999997</v>
      </c>
      <c r="AH203" s="928"/>
      <c r="AI203" s="928"/>
      <c r="AJ203" s="929">
        <v>0</v>
      </c>
      <c r="AK203" s="930">
        <v>9.1999999999999993</v>
      </c>
      <c r="AL203" s="931">
        <v>6.7239456521739127</v>
      </c>
      <c r="AM203" s="929">
        <v>61.860299999999995</v>
      </c>
    </row>
    <row r="204" spans="1:41">
      <c r="A204" s="1805" t="s">
        <v>1866</v>
      </c>
      <c r="B204" s="1805"/>
      <c r="C204" s="1805"/>
      <c r="D204" s="1805"/>
      <c r="E204" s="1805"/>
      <c r="F204" s="1805"/>
      <c r="G204" s="1805"/>
      <c r="H204" s="1805"/>
      <c r="I204" s="1805"/>
      <c r="J204" s="1805"/>
      <c r="K204" s="1805"/>
      <c r="L204" s="1805"/>
      <c r="M204" s="1805"/>
      <c r="N204" s="1805"/>
      <c r="O204" s="1805"/>
      <c r="AB204" s="1799" t="s">
        <v>767</v>
      </c>
      <c r="AC204" s="1806"/>
      <c r="AD204" s="1807"/>
      <c r="AE204" s="1799" t="s">
        <v>766</v>
      </c>
      <c r="AF204" s="1808"/>
      <c r="AG204" s="1809"/>
      <c r="AH204" s="1799"/>
      <c r="AI204" s="1808"/>
      <c r="AJ204" s="1809"/>
      <c r="AK204" s="1799" t="s">
        <v>1051</v>
      </c>
      <c r="AL204" s="1808"/>
      <c r="AM204" s="1809"/>
    </row>
    <row r="205" spans="1:41" ht="25.5" customHeight="1" thickBot="1">
      <c r="A205" s="207">
        <v>1</v>
      </c>
      <c r="B205" s="218" t="s">
        <v>863</v>
      </c>
      <c r="C205" s="222">
        <v>279.42200000000003</v>
      </c>
      <c r="D205" s="222">
        <v>7.9020238206010951E-2</v>
      </c>
      <c r="E205" s="187"/>
      <c r="F205" s="188">
        <v>22.079992999999995</v>
      </c>
      <c r="G205" s="188"/>
      <c r="H205" s="187"/>
      <c r="I205" s="187"/>
      <c r="J205" s="187"/>
      <c r="K205" s="189"/>
      <c r="L205" s="189"/>
      <c r="M205" s="189">
        <v>137662.18967315598</v>
      </c>
      <c r="N205" s="189"/>
      <c r="O205" s="213">
        <v>137662.18967315598</v>
      </c>
      <c r="AA205" s="443" t="s">
        <v>1285</v>
      </c>
      <c r="AB205" s="942" t="s">
        <v>1519</v>
      </c>
      <c r="AC205" s="1802" t="s">
        <v>417</v>
      </c>
      <c r="AD205" s="446" t="s">
        <v>1054</v>
      </c>
      <c r="AE205" s="942" t="s">
        <v>1519</v>
      </c>
      <c r="AF205" s="1802" t="s">
        <v>417</v>
      </c>
      <c r="AG205" s="446" t="s">
        <v>1054</v>
      </c>
      <c r="AH205" s="942" t="s">
        <v>1519</v>
      </c>
      <c r="AI205" s="1802" t="s">
        <v>417</v>
      </c>
      <c r="AJ205" s="446" t="s">
        <v>1054</v>
      </c>
      <c r="AK205" s="942" t="s">
        <v>1519</v>
      </c>
      <c r="AL205" s="1802" t="s">
        <v>417</v>
      </c>
      <c r="AM205" s="446" t="s">
        <v>1054</v>
      </c>
      <c r="AN205" s="181" t="s">
        <v>1282</v>
      </c>
    </row>
    <row r="206" spans="1:41" ht="14.25" customHeight="1" thickBot="1">
      <c r="A206" s="207" t="s">
        <v>5</v>
      </c>
      <c r="B206" s="208" t="s">
        <v>1870</v>
      </c>
      <c r="C206" s="209"/>
      <c r="D206" s="209"/>
      <c r="E206" s="192"/>
      <c r="F206" s="193">
        <v>20.140199999999997</v>
      </c>
      <c r="G206" s="193"/>
      <c r="H206" s="192"/>
      <c r="I206" s="229">
        <v>6223.0904211775451</v>
      </c>
      <c r="J206" s="192">
        <v>5.3924651823909073</v>
      </c>
      <c r="K206" s="194"/>
      <c r="L206" s="194"/>
      <c r="M206" s="194">
        <v>125334.28570059998</v>
      </c>
      <c r="N206" s="194"/>
      <c r="O206" s="211">
        <v>125334.28570059998</v>
      </c>
      <c r="AA206" s="447" t="s">
        <v>864</v>
      </c>
      <c r="AB206" s="448">
        <v>11909.699999999999</v>
      </c>
      <c r="AC206" s="933">
        <v>5.9833487577352917</v>
      </c>
      <c r="AD206" s="450">
        <v>71259.888699999996</v>
      </c>
      <c r="AE206" s="448">
        <v>8230.5</v>
      </c>
      <c r="AF206" s="933">
        <v>6.5700014580645156</v>
      </c>
      <c r="AG206" s="450">
        <v>54074.397000599994</v>
      </c>
      <c r="AH206" s="448">
        <v>0</v>
      </c>
      <c r="AI206" s="933" t="e">
        <v>#DIV/0!</v>
      </c>
      <c r="AJ206" s="450">
        <v>0</v>
      </c>
      <c r="AK206" s="451">
        <v>20140.199999999997</v>
      </c>
      <c r="AL206" s="480">
        <v>6.2230904211775453</v>
      </c>
      <c r="AM206" s="453">
        <v>125334.28570059998</v>
      </c>
    </row>
    <row r="207" spans="1:41" ht="15" customHeight="1" thickBot="1">
      <c r="A207" s="207" t="s">
        <v>6</v>
      </c>
      <c r="B207" s="208" t="s">
        <v>429</v>
      </c>
      <c r="C207" s="208"/>
      <c r="D207" s="231"/>
      <c r="E207" s="184"/>
      <c r="F207" s="210">
        <v>1.9397929999999999</v>
      </c>
      <c r="G207" s="193"/>
      <c r="H207" s="184"/>
      <c r="I207" s="229">
        <v>6355.2677902002943</v>
      </c>
      <c r="J207" s="192"/>
      <c r="K207" s="184"/>
      <c r="L207" s="184"/>
      <c r="M207" s="194">
        <v>12327.903972555998</v>
      </c>
      <c r="N207" s="184"/>
      <c r="O207" s="211">
        <v>12327.903972555998</v>
      </c>
      <c r="AA207" s="228" t="s">
        <v>1515</v>
      </c>
      <c r="AB207" s="448">
        <v>983.15800000000002</v>
      </c>
      <c r="AC207" s="449">
        <v>5.9829999999999997</v>
      </c>
      <c r="AD207" s="450">
        <v>5882.2343139999994</v>
      </c>
      <c r="AE207" s="448">
        <v>702.29</v>
      </c>
      <c r="AF207" s="933">
        <v>6.5693339999999987</v>
      </c>
      <c r="AG207" s="230">
        <v>4613.577574859999</v>
      </c>
      <c r="AH207" s="448"/>
      <c r="AI207" s="449"/>
      <c r="AJ207" s="230">
        <v>0</v>
      </c>
      <c r="AK207" s="451">
        <v>1685.4479999999999</v>
      </c>
      <c r="AL207" s="480">
        <v>6.227312790937483</v>
      </c>
      <c r="AM207" s="453">
        <v>10495.811888859998</v>
      </c>
    </row>
    <row r="208" spans="1:41" ht="14.25" customHeight="1" thickBot="1">
      <c r="A208" s="207" t="s">
        <v>7</v>
      </c>
      <c r="B208" s="208" t="s">
        <v>432</v>
      </c>
      <c r="C208" s="208"/>
      <c r="D208" s="231"/>
      <c r="E208" s="184"/>
      <c r="F208" s="193"/>
      <c r="G208" s="184"/>
      <c r="H208" s="184"/>
      <c r="I208" s="229"/>
      <c r="J208" s="192"/>
      <c r="K208" s="184"/>
      <c r="L208" s="184"/>
      <c r="M208" s="194"/>
      <c r="N208" s="184"/>
      <c r="O208" s="211">
        <v>0</v>
      </c>
      <c r="Q208" s="1799" t="s">
        <v>767</v>
      </c>
      <c r="R208" s="1800"/>
      <c r="S208" s="1801"/>
      <c r="T208" s="1802" t="s">
        <v>766</v>
      </c>
      <c r="U208" s="1803"/>
      <c r="V208" s="1804"/>
      <c r="W208" s="1802" t="s">
        <v>1051</v>
      </c>
      <c r="X208" s="1803"/>
      <c r="Y208" s="1804"/>
      <c r="AA208" s="228" t="s">
        <v>1516</v>
      </c>
      <c r="AB208" s="448">
        <v>150.869</v>
      </c>
      <c r="AC208" s="449">
        <v>6.9269999999999996</v>
      </c>
      <c r="AD208" s="450">
        <v>1045.069563</v>
      </c>
      <c r="AE208" s="448">
        <v>103.476</v>
      </c>
      <c r="AF208" s="933">
        <v>7.6058459999999988</v>
      </c>
      <c r="AG208" s="230">
        <v>787.0225206959999</v>
      </c>
      <c r="AH208" s="448"/>
      <c r="AI208" s="449"/>
      <c r="AJ208" s="230">
        <v>0</v>
      </c>
      <c r="AK208" s="767">
        <v>254.345</v>
      </c>
      <c r="AL208" s="452">
        <v>7.2031771164992433</v>
      </c>
      <c r="AM208" s="230">
        <v>1832.0920836959999</v>
      </c>
      <c r="AN208" s="776">
        <f>AK209-AN210</f>
        <v>0</v>
      </c>
      <c r="AO208" s="777" t="s">
        <v>1283</v>
      </c>
    </row>
    <row r="209" spans="1:41" ht="14.25" customHeight="1" thickBot="1">
      <c r="A209" s="207" t="s">
        <v>11</v>
      </c>
      <c r="B209" s="212" t="s">
        <v>865</v>
      </c>
      <c r="C209" s="208"/>
      <c r="D209" s="231"/>
      <c r="E209" s="184">
        <v>0</v>
      </c>
      <c r="F209" s="184"/>
      <c r="G209" s="184"/>
      <c r="H209" s="184"/>
      <c r="I209" s="192"/>
      <c r="J209" s="229"/>
      <c r="K209" s="184"/>
      <c r="L209" s="184"/>
      <c r="M209" s="184"/>
      <c r="N209" s="184"/>
      <c r="O209" s="211"/>
      <c r="P209" s="443" t="s">
        <v>1052</v>
      </c>
      <c r="Q209" s="444" t="s">
        <v>1053</v>
      </c>
      <c r="R209" s="1802" t="s">
        <v>417</v>
      </c>
      <c r="S209" s="446" t="s">
        <v>1054</v>
      </c>
      <c r="T209" s="444" t="s">
        <v>1053</v>
      </c>
      <c r="U209" s="1802" t="s">
        <v>417</v>
      </c>
      <c r="V209" s="446" t="s">
        <v>1054</v>
      </c>
      <c r="W209" s="1802" t="s">
        <v>1053</v>
      </c>
      <c r="X209" s="1802" t="s">
        <v>417</v>
      </c>
      <c r="Y209" s="446" t="s">
        <v>1054</v>
      </c>
      <c r="AA209" s="457" t="s">
        <v>435</v>
      </c>
      <c r="AB209" s="767">
        <v>13043.726999999999</v>
      </c>
      <c r="AC209" s="452">
        <v>5.99423712080144</v>
      </c>
      <c r="AD209" s="230">
        <v>78187.192576999994</v>
      </c>
      <c r="AE209" s="767">
        <v>9036.2660000000014</v>
      </c>
      <c r="AF209" s="452">
        <v>6.5818112366497381</v>
      </c>
      <c r="AG209" s="230">
        <v>59474.997096155996</v>
      </c>
      <c r="AH209" s="767">
        <v>0</v>
      </c>
      <c r="AI209" s="446" t="e">
        <v>#DIV/0!</v>
      </c>
      <c r="AJ209" s="230">
        <v>0</v>
      </c>
      <c r="AK209" s="458">
        <v>22079.992999999999</v>
      </c>
      <c r="AL209" s="912">
        <v>6.2347025958366924</v>
      </c>
      <c r="AM209" s="459">
        <v>137662.18967315598</v>
      </c>
      <c r="AN209" s="778">
        <f>AM209-AN211</f>
        <v>0</v>
      </c>
      <c r="AO209" s="777" t="s">
        <v>1284</v>
      </c>
    </row>
    <row r="210" spans="1:41" s="478" customFormat="1" ht="13.5" customHeight="1" thickBot="1">
      <c r="A210" s="460" t="s">
        <v>12</v>
      </c>
      <c r="B210" s="461" t="s">
        <v>866</v>
      </c>
      <c r="C210" s="462">
        <v>279.42200000000003</v>
      </c>
      <c r="D210" s="463">
        <v>0</v>
      </c>
      <c r="E210" s="464"/>
      <c r="F210" s="465">
        <v>0</v>
      </c>
      <c r="G210" s="465"/>
      <c r="H210" s="464"/>
      <c r="I210" s="466"/>
      <c r="J210" s="467">
        <v>5.3924651823909073</v>
      </c>
      <c r="K210" s="468"/>
      <c r="L210" s="468"/>
      <c r="M210" s="468">
        <v>0</v>
      </c>
      <c r="N210" s="468"/>
      <c r="O210" s="469">
        <v>0</v>
      </c>
      <c r="P210" s="470" t="s">
        <v>864</v>
      </c>
      <c r="Q210" s="471">
        <v>5740.8600000000006</v>
      </c>
      <c r="R210" s="472">
        <v>5.4480000000000004</v>
      </c>
      <c r="S210" s="473">
        <v>31276.205280000006</v>
      </c>
      <c r="T210" s="471">
        <v>3081.4</v>
      </c>
      <c r="U210" s="472">
        <v>5.2889999999999997</v>
      </c>
      <c r="V210" s="474">
        <v>16297.524599999999</v>
      </c>
      <c r="W210" s="475">
        <v>8822.26</v>
      </c>
      <c r="X210" s="476">
        <v>5.3924651823909073</v>
      </c>
      <c r="Y210" s="477">
        <v>47573.729880000006</v>
      </c>
      <c r="AA210" s="768" t="s">
        <v>1280</v>
      </c>
      <c r="AB210" s="774">
        <v>0</v>
      </c>
      <c r="AC210" s="774" t="e">
        <v>#DIV/0!</v>
      </c>
      <c r="AD210" s="775">
        <v>0</v>
      </c>
      <c r="AE210" s="774">
        <v>0</v>
      </c>
      <c r="AF210" s="774" t="e">
        <v>#DIV/0!</v>
      </c>
      <c r="AG210" s="775">
        <v>0</v>
      </c>
      <c r="AH210" s="774">
        <v>0</v>
      </c>
      <c r="AI210" s="774" t="e">
        <v>#DIV/0!</v>
      </c>
      <c r="AJ210" s="775">
        <v>0</v>
      </c>
      <c r="AK210" s="774">
        <v>0</v>
      </c>
      <c r="AL210" s="774" t="e">
        <v>#DIV/0!</v>
      </c>
      <c r="AM210" s="775">
        <v>0</v>
      </c>
      <c r="AN210" s="779">
        <f>AK210+AK215</f>
        <v>22079.993000000002</v>
      </c>
      <c r="AO210" s="181" t="s">
        <v>1283</v>
      </c>
    </row>
    <row r="211" spans="1:41" ht="13.5" customHeight="1" thickBot="1">
      <c r="A211" s="207"/>
      <c r="B211" s="479" t="s">
        <v>1055</v>
      </c>
      <c r="C211" s="225"/>
      <c r="D211" s="215"/>
      <c r="E211" s="192"/>
      <c r="F211" s="193">
        <v>0</v>
      </c>
      <c r="G211" s="193"/>
      <c r="H211" s="192"/>
      <c r="I211" s="229" t="e">
        <v>#DIV/0!</v>
      </c>
      <c r="J211" s="210"/>
      <c r="K211" s="194"/>
      <c r="L211" s="194"/>
      <c r="M211" s="194">
        <v>0</v>
      </c>
      <c r="N211" s="194"/>
      <c r="O211" s="211">
        <v>0</v>
      </c>
      <c r="P211" s="447"/>
      <c r="Q211" s="448"/>
      <c r="R211" s="449"/>
      <c r="S211" s="450"/>
      <c r="T211" s="448"/>
      <c r="U211" s="449"/>
      <c r="V211" s="230"/>
      <c r="W211" s="451"/>
      <c r="X211" s="480"/>
      <c r="Y211" s="453"/>
      <c r="AA211" s="479" t="s">
        <v>1055</v>
      </c>
      <c r="AB211" s="446"/>
      <c r="AC211" s="446"/>
      <c r="AD211" s="450">
        <v>0</v>
      </c>
      <c r="AE211" s="446"/>
      <c r="AF211" s="446"/>
      <c r="AG211" s="450">
        <v>0</v>
      </c>
      <c r="AH211" s="446"/>
      <c r="AI211" s="446"/>
      <c r="AJ211" s="450">
        <v>0</v>
      </c>
      <c r="AK211" s="767">
        <v>0</v>
      </c>
      <c r="AL211" s="452" t="e">
        <v>#DIV/0!</v>
      </c>
      <c r="AM211" s="230">
        <v>0</v>
      </c>
      <c r="AN211" s="608">
        <f>AM210+AM215</f>
        <v>137662.18967315598</v>
      </c>
      <c r="AO211" s="181" t="s">
        <v>1284</v>
      </c>
    </row>
    <row r="212" spans="1:41" ht="13.5" customHeight="1" thickBot="1">
      <c r="A212" s="207"/>
      <c r="B212" s="479" t="s">
        <v>1056</v>
      </c>
      <c r="C212" s="225"/>
      <c r="D212" s="215"/>
      <c r="E212" s="192"/>
      <c r="F212" s="193">
        <v>0</v>
      </c>
      <c r="G212" s="193"/>
      <c r="H212" s="192"/>
      <c r="I212" s="229" t="e">
        <v>#DIV/0!</v>
      </c>
      <c r="J212" s="210"/>
      <c r="K212" s="194"/>
      <c r="L212" s="194"/>
      <c r="M212" s="194">
        <v>0</v>
      </c>
      <c r="N212" s="194"/>
      <c r="O212" s="211">
        <v>0</v>
      </c>
      <c r="P212" s="447"/>
      <c r="Q212" s="448"/>
      <c r="R212" s="449"/>
      <c r="S212" s="450"/>
      <c r="T212" s="448"/>
      <c r="U212" s="449"/>
      <c r="V212" s="230"/>
      <c r="W212" s="451"/>
      <c r="X212" s="480"/>
      <c r="Y212" s="453"/>
      <c r="AA212" s="479" t="s">
        <v>1056</v>
      </c>
      <c r="AB212" s="446"/>
      <c r="AC212" s="446"/>
      <c r="AD212" s="450">
        <v>0</v>
      </c>
      <c r="AE212" s="446"/>
      <c r="AF212" s="446"/>
      <c r="AG212" s="450">
        <v>0</v>
      </c>
      <c r="AH212" s="446"/>
      <c r="AI212" s="446"/>
      <c r="AJ212" s="450">
        <v>0</v>
      </c>
      <c r="AK212" s="767">
        <v>0</v>
      </c>
      <c r="AL212" s="452" t="e">
        <v>#DIV/0!</v>
      </c>
      <c r="AM212" s="230">
        <v>0</v>
      </c>
    </row>
    <row r="213" spans="1:41" s="499" customFormat="1" ht="13.5" customHeight="1" thickBot="1">
      <c r="A213" s="481"/>
      <c r="B213" s="482" t="s">
        <v>1057</v>
      </c>
      <c r="C213" s="483"/>
      <c r="D213" s="484"/>
      <c r="E213" s="485"/>
      <c r="F213" s="486">
        <v>0</v>
      </c>
      <c r="G213" s="486"/>
      <c r="H213" s="485"/>
      <c r="I213" s="487" t="e">
        <v>#DIV/0!</v>
      </c>
      <c r="J213" s="488"/>
      <c r="K213" s="489"/>
      <c r="L213" s="489"/>
      <c r="M213" s="489">
        <v>0</v>
      </c>
      <c r="N213" s="503"/>
      <c r="O213" s="490">
        <v>0</v>
      </c>
      <c r="P213" s="491"/>
      <c r="Q213" s="492"/>
      <c r="R213" s="493"/>
      <c r="S213" s="494"/>
      <c r="T213" s="492"/>
      <c r="U213" s="493"/>
      <c r="V213" s="495"/>
      <c r="W213" s="496"/>
      <c r="X213" s="497"/>
      <c r="Y213" s="498"/>
      <c r="AA213" s="482" t="s">
        <v>1057</v>
      </c>
      <c r="AB213" s="446"/>
      <c r="AC213" s="446"/>
      <c r="AD213" s="450">
        <v>0</v>
      </c>
      <c r="AE213" s="446"/>
      <c r="AF213" s="446"/>
      <c r="AG213" s="450">
        <v>0</v>
      </c>
      <c r="AH213" s="446"/>
      <c r="AI213" s="446"/>
      <c r="AJ213" s="450">
        <v>0</v>
      </c>
      <c r="AK213" s="767">
        <v>0</v>
      </c>
      <c r="AL213" s="452" t="e">
        <v>#DIV/0!</v>
      </c>
      <c r="AM213" s="230">
        <v>0</v>
      </c>
    </row>
    <row r="214" spans="1:41" ht="13.5" customHeight="1" thickBot="1">
      <c r="A214" s="207"/>
      <c r="B214" s="479" t="s">
        <v>1058</v>
      </c>
      <c r="C214" s="225"/>
      <c r="D214" s="215"/>
      <c r="E214" s="192"/>
      <c r="F214" s="193">
        <v>0</v>
      </c>
      <c r="G214" s="193"/>
      <c r="H214" s="192"/>
      <c r="I214" s="229" t="e">
        <v>#DIV/0!</v>
      </c>
      <c r="J214" s="210"/>
      <c r="K214" s="194"/>
      <c r="L214" s="194"/>
      <c r="M214" s="194">
        <v>0</v>
      </c>
      <c r="N214" s="504"/>
      <c r="O214" s="211">
        <v>0</v>
      </c>
      <c r="P214" s="447"/>
      <c r="Q214" s="448"/>
      <c r="R214" s="449"/>
      <c r="S214" s="450"/>
      <c r="T214" s="448"/>
      <c r="U214" s="449"/>
      <c r="V214" s="230"/>
      <c r="W214" s="451"/>
      <c r="X214" s="480"/>
      <c r="Y214" s="453"/>
      <c r="AA214" s="479" t="s">
        <v>1058</v>
      </c>
      <c r="AB214" s="446"/>
      <c r="AC214" s="446"/>
      <c r="AD214" s="450">
        <v>0</v>
      </c>
      <c r="AE214" s="446"/>
      <c r="AF214" s="446"/>
      <c r="AG214" s="450">
        <v>0</v>
      </c>
      <c r="AH214" s="446"/>
      <c r="AI214" s="446"/>
      <c r="AJ214" s="450">
        <v>0</v>
      </c>
      <c r="AK214" s="767">
        <v>0</v>
      </c>
      <c r="AL214" s="452" t="e">
        <v>#DIV/0!</v>
      </c>
      <c r="AM214" s="230">
        <v>0</v>
      </c>
    </row>
    <row r="215" spans="1:41" s="478" customFormat="1" ht="13.5" thickBot="1">
      <c r="A215" s="460" t="s">
        <v>18</v>
      </c>
      <c r="B215" s="461" t="s">
        <v>868</v>
      </c>
      <c r="C215" s="462">
        <v>279.42200000000003</v>
      </c>
      <c r="D215" s="463">
        <v>7.9020238206010979E-2</v>
      </c>
      <c r="E215" s="464"/>
      <c r="F215" s="465">
        <v>22.079993000000002</v>
      </c>
      <c r="G215" s="465"/>
      <c r="H215" s="464"/>
      <c r="I215" s="466"/>
      <c r="J215" s="464"/>
      <c r="K215" s="468"/>
      <c r="L215" s="468"/>
      <c r="M215" s="468">
        <v>137662.18967315598</v>
      </c>
      <c r="N215" s="505"/>
      <c r="O215" s="469">
        <v>137662.18967315598</v>
      </c>
      <c r="P215" s="500" t="s">
        <v>887</v>
      </c>
      <c r="Q215" s="471">
        <v>702.21</v>
      </c>
      <c r="R215" s="472">
        <v>4.6040000000000001</v>
      </c>
      <c r="S215" s="473">
        <v>3232.9748400000003</v>
      </c>
      <c r="T215" s="471">
        <v>419</v>
      </c>
      <c r="U215" s="472">
        <v>4.4880000000000004</v>
      </c>
      <c r="V215" s="474">
        <v>1880.4720000000002</v>
      </c>
      <c r="W215" s="501">
        <v>1121.21</v>
      </c>
      <c r="X215" s="502">
        <v>4.5606504044737388</v>
      </c>
      <c r="Y215" s="474">
        <v>5113.4468400000005</v>
      </c>
      <c r="AA215" s="768" t="s">
        <v>1281</v>
      </c>
      <c r="AB215" s="922">
        <v>13043.726999999999</v>
      </c>
      <c r="AC215" s="911">
        <v>5.99423712080144</v>
      </c>
      <c r="AD215" s="775">
        <v>78187.192576999994</v>
      </c>
      <c r="AE215" s="922">
        <v>9036.2659999999996</v>
      </c>
      <c r="AF215" s="911">
        <v>6.5818112366497399</v>
      </c>
      <c r="AG215" s="775">
        <v>59474.997096155996</v>
      </c>
      <c r="AH215" s="922">
        <v>0</v>
      </c>
      <c r="AI215" s="911" t="e">
        <v>#DIV/0!</v>
      </c>
      <c r="AJ215" s="775">
        <v>0</v>
      </c>
      <c r="AK215" s="922">
        <v>22079.993000000002</v>
      </c>
      <c r="AL215" s="911">
        <v>6.2347025958366915</v>
      </c>
      <c r="AM215" s="775">
        <v>137662.18967315598</v>
      </c>
    </row>
    <row r="216" spans="1:41">
      <c r="A216" s="207"/>
      <c r="B216" s="479" t="s">
        <v>1059</v>
      </c>
      <c r="C216" s="225">
        <v>279.42200000000003</v>
      </c>
      <c r="D216" s="215">
        <v>7.2034413897259342E-2</v>
      </c>
      <c r="E216" s="192"/>
      <c r="F216" s="193">
        <v>20.128</v>
      </c>
      <c r="G216" s="193"/>
      <c r="H216" s="192"/>
      <c r="I216" s="229">
        <v>6222.5673100158983</v>
      </c>
      <c r="J216" s="184"/>
      <c r="K216" s="194"/>
      <c r="L216" s="194"/>
      <c r="M216" s="194">
        <v>125247.83481599999</v>
      </c>
      <c r="N216" s="504"/>
      <c r="O216" s="211">
        <v>125247.83481599999</v>
      </c>
      <c r="P216" s="457" t="s">
        <v>435</v>
      </c>
      <c r="Q216" s="446"/>
      <c r="R216" s="446"/>
      <c r="S216" s="446"/>
      <c r="T216" s="446"/>
      <c r="U216" s="446"/>
      <c r="V216" s="446"/>
      <c r="W216" s="458">
        <v>9943.4700000000012</v>
      </c>
      <c r="X216" s="454"/>
      <c r="Y216" s="459">
        <v>52687.176720000003</v>
      </c>
      <c r="AA216" s="479" t="s">
        <v>1059</v>
      </c>
      <c r="AB216" s="1410">
        <v>11904</v>
      </c>
      <c r="AC216" s="449">
        <v>5.9829999999999997</v>
      </c>
      <c r="AD216" s="450">
        <v>71221.631999999998</v>
      </c>
      <c r="AE216" s="767">
        <v>8224</v>
      </c>
      <c r="AF216" s="933">
        <v>6.5693339999999987</v>
      </c>
      <c r="AG216" s="450">
        <v>54026.20281599999</v>
      </c>
      <c r="AH216" s="446"/>
      <c r="AI216" s="446"/>
      <c r="AJ216" s="450">
        <v>0</v>
      </c>
      <c r="AK216" s="1410">
        <v>20128</v>
      </c>
      <c r="AL216" s="452">
        <v>6.222567310015898</v>
      </c>
      <c r="AM216" s="230">
        <v>125247.83481599999</v>
      </c>
    </row>
    <row r="217" spans="1:41" s="499" customFormat="1">
      <c r="A217" s="506"/>
      <c r="B217" s="482" t="s">
        <v>1057</v>
      </c>
      <c r="C217" s="507"/>
      <c r="D217" s="508"/>
      <c r="E217" s="509"/>
      <c r="F217" s="486">
        <v>1.9397930000000001</v>
      </c>
      <c r="G217" s="510"/>
      <c r="H217" s="509"/>
      <c r="I217" s="487">
        <v>6355.2677902002943</v>
      </c>
      <c r="J217" s="509"/>
      <c r="K217" s="511"/>
      <c r="L217" s="511"/>
      <c r="M217" s="489">
        <v>12327.903972556</v>
      </c>
      <c r="N217" s="512"/>
      <c r="O217" s="490">
        <v>12327.903972556</v>
      </c>
      <c r="P217" s="181"/>
      <c r="Q217" s="181"/>
      <c r="R217" s="181"/>
      <c r="S217" s="181"/>
      <c r="T217" s="181"/>
      <c r="U217" s="181"/>
      <c r="V217" s="181"/>
      <c r="W217" s="181"/>
      <c r="X217" s="181"/>
      <c r="Y217" s="181"/>
      <c r="Z217" s="181"/>
      <c r="AA217" s="482" t="s">
        <v>1057</v>
      </c>
      <c r="AB217" s="767">
        <v>1134.027</v>
      </c>
      <c r="AC217" s="452">
        <v>6.1085881350267668</v>
      </c>
      <c r="AD217" s="450">
        <v>6927.3038769999994</v>
      </c>
      <c r="AE217" s="767">
        <v>805.76599999999996</v>
      </c>
      <c r="AF217" s="452">
        <v>6.7024422668069885</v>
      </c>
      <c r="AG217" s="450">
        <v>5400.6000955559994</v>
      </c>
      <c r="AH217" s="446"/>
      <c r="AI217" s="446"/>
      <c r="AJ217" s="450">
        <v>0</v>
      </c>
      <c r="AK217" s="767">
        <v>1939.7930000000001</v>
      </c>
      <c r="AL217" s="452">
        <v>6.3552677902002941</v>
      </c>
      <c r="AM217" s="230">
        <v>12327.903972556</v>
      </c>
      <c r="AN217" s="181"/>
      <c r="AO217" s="181"/>
    </row>
    <row r="218" spans="1:41">
      <c r="A218" s="207"/>
      <c r="B218" s="923" t="s">
        <v>1058</v>
      </c>
      <c r="C218" s="225"/>
      <c r="D218" s="215"/>
      <c r="E218" s="192"/>
      <c r="F218" s="192">
        <v>1.2199999999999999E-2</v>
      </c>
      <c r="G218" s="193"/>
      <c r="H218" s="192"/>
      <c r="I218" s="229">
        <v>7086.1380819672131</v>
      </c>
      <c r="J218" s="192"/>
      <c r="K218" s="194"/>
      <c r="L218" s="194"/>
      <c r="M218" s="194">
        <v>86.450884599999995</v>
      </c>
      <c r="N218" s="504"/>
      <c r="O218" s="211">
        <v>86.450884599999995</v>
      </c>
      <c r="P218" s="941"/>
      <c r="Q218" s="941"/>
      <c r="R218" s="941"/>
      <c r="S218" s="941"/>
      <c r="T218" s="941"/>
      <c r="U218" s="941"/>
      <c r="V218" s="941"/>
      <c r="W218" s="941"/>
      <c r="X218" s="941"/>
      <c r="Y218" s="941"/>
      <c r="Z218" s="941"/>
      <c r="AA218" s="923" t="s">
        <v>1517</v>
      </c>
      <c r="AB218" s="446">
        <v>1.3</v>
      </c>
      <c r="AC218" s="449">
        <v>5.9829999999999997</v>
      </c>
      <c r="AD218" s="230">
        <v>7.7778999999999998</v>
      </c>
      <c r="AE218" s="446">
        <v>1.2</v>
      </c>
      <c r="AF218" s="933">
        <v>6.5693339999999987</v>
      </c>
      <c r="AG218" s="230">
        <v>7.8832007999999982</v>
      </c>
      <c r="AH218" s="446"/>
      <c r="AI218" s="446"/>
      <c r="AJ218" s="230">
        <v>0</v>
      </c>
      <c r="AK218" s="767">
        <v>2.5</v>
      </c>
      <c r="AL218" s="452">
        <v>6.2644403199999994</v>
      </c>
      <c r="AM218" s="230">
        <v>15.661100799999998</v>
      </c>
    </row>
    <row r="219" spans="1:41" ht="13.5" thickBot="1">
      <c r="A219" s="934"/>
      <c r="B219" s="927"/>
      <c r="C219" s="935"/>
      <c r="D219" s="936"/>
      <c r="E219" s="937"/>
      <c r="F219" s="938"/>
      <c r="G219" s="938"/>
      <c r="H219" s="937"/>
      <c r="I219" s="939"/>
      <c r="J219" s="937"/>
      <c r="K219" s="940"/>
      <c r="L219" s="940"/>
      <c r="M219" s="940"/>
      <c r="N219" s="940"/>
      <c r="O219" s="940"/>
      <c r="AA219" s="927" t="s">
        <v>1518</v>
      </c>
      <c r="AB219" s="928">
        <v>4.4000000000000004</v>
      </c>
      <c r="AC219" s="928">
        <v>6.9269999999999996</v>
      </c>
      <c r="AD219" s="929">
        <v>30.4788</v>
      </c>
      <c r="AE219" s="928">
        <v>5.3</v>
      </c>
      <c r="AF219" s="931">
        <v>7.6058459999999988</v>
      </c>
      <c r="AG219" s="929">
        <v>40.310983799999995</v>
      </c>
      <c r="AH219" s="928"/>
      <c r="AI219" s="928"/>
      <c r="AJ219" s="929">
        <v>0</v>
      </c>
      <c r="AK219" s="930">
        <v>9.6999999999999993</v>
      </c>
      <c r="AL219" s="931">
        <v>7.2979158556701034</v>
      </c>
      <c r="AM219" s="929">
        <v>70.789783799999995</v>
      </c>
    </row>
    <row r="220" spans="1:41" ht="12.75" hidden="1" customHeight="1">
      <c r="A220" s="522" t="s">
        <v>869</v>
      </c>
      <c r="B220" s="523" t="s">
        <v>871</v>
      </c>
      <c r="C220" s="524"/>
      <c r="D220" s="524"/>
      <c r="E220" s="525"/>
      <c r="F220" s="526">
        <v>164</v>
      </c>
      <c r="G220" s="526"/>
      <c r="H220" s="525"/>
      <c r="I220" s="527"/>
      <c r="J220" s="527">
        <v>5.3757713414634152</v>
      </c>
      <c r="K220" s="528"/>
      <c r="L220" s="528"/>
      <c r="M220" s="528">
        <v>881.62650000000008</v>
      </c>
      <c r="N220" s="528"/>
      <c r="O220" s="529">
        <v>881.62650000000008</v>
      </c>
    </row>
    <row r="221" spans="1:41" ht="12.75" hidden="1" customHeight="1">
      <c r="A221" s="207" t="s">
        <v>872</v>
      </c>
      <c r="B221" s="208" t="s">
        <v>873</v>
      </c>
      <c r="C221" s="216"/>
      <c r="D221" s="216"/>
      <c r="E221" s="192"/>
      <c r="F221" s="193"/>
      <c r="G221" s="193"/>
      <c r="H221" s="192"/>
      <c r="I221" s="192"/>
      <c r="J221" s="192"/>
      <c r="K221" s="194"/>
      <c r="L221" s="194"/>
      <c r="M221" s="194">
        <v>0</v>
      </c>
      <c r="N221" s="194"/>
      <c r="O221" s="211">
        <v>0</v>
      </c>
    </row>
    <row r="222" spans="1:41" ht="12.75" hidden="1" customHeight="1">
      <c r="A222" s="207" t="s">
        <v>874</v>
      </c>
      <c r="B222" s="208" t="s">
        <v>875</v>
      </c>
      <c r="C222" s="216"/>
      <c r="D222" s="216"/>
      <c r="E222" s="192"/>
      <c r="F222" s="193">
        <v>164</v>
      </c>
      <c r="G222" s="193"/>
      <c r="H222" s="192"/>
      <c r="I222" s="192"/>
      <c r="J222" s="210">
        <v>5.3757713414634152</v>
      </c>
      <c r="K222" s="194"/>
      <c r="L222" s="194"/>
      <c r="M222" s="194">
        <v>881.62650000000008</v>
      </c>
      <c r="N222" s="194"/>
      <c r="O222" s="211">
        <v>881.62650000000008</v>
      </c>
    </row>
    <row r="223" spans="1:41" ht="12.75" hidden="1" customHeight="1">
      <c r="A223" s="207" t="s">
        <v>876</v>
      </c>
      <c r="B223" s="208" t="s">
        <v>883</v>
      </c>
      <c r="C223" s="216"/>
      <c r="D223" s="216"/>
      <c r="E223" s="192"/>
      <c r="F223" s="193"/>
      <c r="G223" s="193"/>
      <c r="H223" s="192"/>
      <c r="I223" s="192"/>
      <c r="J223" s="192"/>
      <c r="K223" s="194"/>
      <c r="L223" s="194"/>
      <c r="M223" s="194">
        <v>0</v>
      </c>
      <c r="N223" s="194"/>
      <c r="O223" s="211">
        <v>0</v>
      </c>
    </row>
    <row r="224" spans="1:41" ht="13.5" hidden="1" customHeight="1" thickBot="1">
      <c r="A224" s="232" t="s">
        <v>878</v>
      </c>
      <c r="B224" s="233" t="s">
        <v>884</v>
      </c>
      <c r="C224" s="234"/>
      <c r="D224" s="234"/>
      <c r="E224" s="235"/>
      <c r="F224" s="236"/>
      <c r="G224" s="236"/>
      <c r="H224" s="235"/>
      <c r="I224" s="235"/>
      <c r="J224" s="235"/>
      <c r="K224" s="237"/>
      <c r="L224" s="237"/>
      <c r="M224" s="237">
        <v>0</v>
      </c>
      <c r="N224" s="237"/>
      <c r="O224" s="238">
        <v>0</v>
      </c>
    </row>
    <row r="225" spans="1:41">
      <c r="A225" s="1795" t="s">
        <v>1837</v>
      </c>
      <c r="B225" s="1796"/>
      <c r="C225" s="1796"/>
      <c r="D225" s="1796"/>
      <c r="E225" s="1796"/>
      <c r="F225" s="1796"/>
      <c r="G225" s="1796"/>
      <c r="H225" s="1796"/>
      <c r="I225" s="1796"/>
      <c r="J225" s="1796"/>
      <c r="K225" s="1796"/>
      <c r="L225" s="1796"/>
      <c r="M225" s="1796"/>
      <c r="N225" s="1796"/>
      <c r="O225" s="1798"/>
      <c r="AA225" s="519"/>
      <c r="AB225" s="519"/>
      <c r="AC225" s="519"/>
      <c r="AD225" s="519"/>
      <c r="AE225" s="519"/>
      <c r="AF225" s="519"/>
      <c r="AG225" s="519"/>
      <c r="AH225" s="519"/>
      <c r="AI225" s="519"/>
      <c r="AJ225" s="519"/>
      <c r="AK225" s="519"/>
      <c r="AL225" s="519"/>
      <c r="AM225" s="519"/>
      <c r="AN225" s="519"/>
      <c r="AO225" s="519"/>
    </row>
    <row r="226" spans="1:41" ht="25.5">
      <c r="A226" s="207">
        <v>1</v>
      </c>
      <c r="B226" s="218" t="s">
        <v>863</v>
      </c>
      <c r="C226" s="222" t="e">
        <v>#REF!</v>
      </c>
      <c r="D226" s="222" t="e">
        <v>#REF!</v>
      </c>
      <c r="E226" s="187"/>
      <c r="F226" s="188">
        <v>13.043726999999999</v>
      </c>
      <c r="G226" s="188"/>
      <c r="H226" s="187"/>
      <c r="I226" s="187"/>
      <c r="J226" s="187"/>
      <c r="K226" s="189"/>
      <c r="L226" s="189"/>
      <c r="M226" s="189">
        <v>78187.192576999994</v>
      </c>
      <c r="N226" s="189"/>
      <c r="O226" s="213">
        <v>78187.192576999994</v>
      </c>
      <c r="AA226" s="780"/>
      <c r="AB226" s="781"/>
      <c r="AC226" s="781"/>
      <c r="AD226" s="519"/>
      <c r="AE226" s="781"/>
      <c r="AF226" s="781"/>
      <c r="AG226" s="519"/>
      <c r="AH226" s="781"/>
      <c r="AI226" s="781"/>
      <c r="AJ226" s="519"/>
      <c r="AK226" s="781"/>
      <c r="AL226" s="781"/>
      <c r="AM226" s="519"/>
      <c r="AN226" s="519"/>
      <c r="AO226" s="519"/>
    </row>
    <row r="227" spans="1:41" s="239" customFormat="1" ht="15.75">
      <c r="A227" s="207" t="s">
        <v>5</v>
      </c>
      <c r="B227" s="208" t="s">
        <v>1870</v>
      </c>
      <c r="C227" s="209"/>
      <c r="D227" s="209"/>
      <c r="E227" s="192"/>
      <c r="F227" s="193">
        <v>11.909699999999999</v>
      </c>
      <c r="G227" s="193"/>
      <c r="H227" s="192"/>
      <c r="I227" s="229">
        <v>5983.3487577352917</v>
      </c>
      <c r="J227" s="192">
        <v>5.3924651823909073</v>
      </c>
      <c r="K227" s="194"/>
      <c r="L227" s="194"/>
      <c r="M227" s="194">
        <v>71259.888699999996</v>
      </c>
      <c r="N227" s="194"/>
      <c r="O227" s="211">
        <v>71259.888699999996</v>
      </c>
      <c r="P227" s="181"/>
      <c r="Q227" s="181"/>
      <c r="R227" s="181"/>
      <c r="S227" s="181"/>
      <c r="T227" s="181"/>
      <c r="U227" s="181"/>
      <c r="V227" s="181"/>
      <c r="W227" s="181"/>
      <c r="X227" s="181"/>
      <c r="Y227" s="181"/>
      <c r="Z227" s="181"/>
      <c r="AA227" s="782"/>
      <c r="AB227" s="520"/>
      <c r="AC227" s="519"/>
      <c r="AD227" s="521"/>
      <c r="AE227" s="520"/>
      <c r="AF227" s="519"/>
      <c r="AG227" s="521"/>
      <c r="AH227" s="520"/>
      <c r="AI227" s="519"/>
      <c r="AJ227" s="521"/>
      <c r="AK227" s="520"/>
      <c r="AL227" s="783"/>
      <c r="AM227" s="521"/>
      <c r="AN227" s="519"/>
      <c r="AO227" s="519"/>
    </row>
    <row r="228" spans="1:41">
      <c r="A228" s="207" t="s">
        <v>6</v>
      </c>
      <c r="B228" s="208" t="s">
        <v>429</v>
      </c>
      <c r="C228" s="208"/>
      <c r="D228" s="231"/>
      <c r="E228" s="184"/>
      <c r="F228" s="193">
        <v>1.1340270000000001</v>
      </c>
      <c r="G228" s="193"/>
      <c r="H228" s="184"/>
      <c r="I228" s="229">
        <v>6108.5881350267664</v>
      </c>
      <c r="J228" s="192"/>
      <c r="K228" s="184"/>
      <c r="L228" s="184"/>
      <c r="M228" s="194">
        <v>6927.3038769999994</v>
      </c>
      <c r="N228" s="184"/>
      <c r="O228" s="211">
        <v>6927.3038769999994</v>
      </c>
      <c r="AA228" s="784"/>
      <c r="AB228" s="520"/>
      <c r="AC228" s="519"/>
      <c r="AD228" s="521"/>
      <c r="AE228" s="520"/>
      <c r="AF228" s="519"/>
      <c r="AG228" s="521"/>
      <c r="AH228" s="520"/>
      <c r="AI228" s="519"/>
      <c r="AJ228" s="521"/>
      <c r="AK228" s="520"/>
      <c r="AL228" s="783"/>
      <c r="AM228" s="521"/>
      <c r="AN228" s="519"/>
      <c r="AO228" s="519"/>
    </row>
    <row r="229" spans="1:41">
      <c r="A229" s="207" t="s">
        <v>7</v>
      </c>
      <c r="B229" s="208" t="s">
        <v>432</v>
      </c>
      <c r="C229" s="208"/>
      <c r="D229" s="231"/>
      <c r="E229" s="184"/>
      <c r="F229" s="193"/>
      <c r="G229" s="184"/>
      <c r="H229" s="184"/>
      <c r="I229" s="229"/>
      <c r="J229" s="192"/>
      <c r="K229" s="184"/>
      <c r="L229" s="184"/>
      <c r="M229" s="194"/>
      <c r="N229" s="184"/>
      <c r="O229" s="211">
        <v>0</v>
      </c>
      <c r="Q229" s="1799" t="s">
        <v>767</v>
      </c>
      <c r="R229" s="1800"/>
      <c r="S229" s="1801"/>
      <c r="T229" s="1802" t="s">
        <v>766</v>
      </c>
      <c r="U229" s="1803"/>
      <c r="V229" s="1804"/>
      <c r="W229" s="1802" t="s">
        <v>1051</v>
      </c>
      <c r="X229" s="1803"/>
      <c r="Y229" s="1804"/>
      <c r="AA229" s="784"/>
      <c r="AB229" s="520"/>
      <c r="AC229" s="519"/>
      <c r="AD229" s="521"/>
      <c r="AE229" s="520"/>
      <c r="AF229" s="519"/>
      <c r="AG229" s="521"/>
      <c r="AH229" s="520"/>
      <c r="AI229" s="519"/>
      <c r="AJ229" s="521"/>
      <c r="AK229" s="520"/>
      <c r="AL229" s="783"/>
      <c r="AM229" s="521"/>
      <c r="AN229" s="785"/>
      <c r="AO229" s="786"/>
    </row>
    <row r="230" spans="1:41" ht="14.25" thickBot="1">
      <c r="A230" s="207" t="s">
        <v>11</v>
      </c>
      <c r="B230" s="212" t="s">
        <v>865</v>
      </c>
      <c r="C230" s="208"/>
      <c r="D230" s="231"/>
      <c r="E230" s="184">
        <v>0</v>
      </c>
      <c r="F230" s="184"/>
      <c r="G230" s="184"/>
      <c r="H230" s="184"/>
      <c r="I230" s="192"/>
      <c r="J230" s="229"/>
      <c r="K230" s="184"/>
      <c r="L230" s="184"/>
      <c r="M230" s="184"/>
      <c r="N230" s="184"/>
      <c r="O230" s="211"/>
      <c r="P230" s="443" t="s">
        <v>1052</v>
      </c>
      <c r="Q230" s="444" t="s">
        <v>1053</v>
      </c>
      <c r="R230" s="1802" t="s">
        <v>417</v>
      </c>
      <c r="S230" s="446" t="s">
        <v>1054</v>
      </c>
      <c r="T230" s="444" t="s">
        <v>1053</v>
      </c>
      <c r="U230" s="1802" t="s">
        <v>417</v>
      </c>
      <c r="V230" s="446" t="s">
        <v>1054</v>
      </c>
      <c r="W230" s="1802" t="s">
        <v>1053</v>
      </c>
      <c r="X230" s="1802" t="s">
        <v>417</v>
      </c>
      <c r="Y230" s="446" t="s">
        <v>1054</v>
      </c>
      <c r="AA230" s="787"/>
      <c r="AB230" s="520"/>
      <c r="AC230" s="519"/>
      <c r="AD230" s="521"/>
      <c r="AE230" s="520"/>
      <c r="AF230" s="519"/>
      <c r="AG230" s="521"/>
      <c r="AH230" s="520"/>
      <c r="AI230" s="519"/>
      <c r="AJ230" s="521"/>
      <c r="AK230" s="520"/>
      <c r="AL230" s="519"/>
      <c r="AM230" s="521"/>
      <c r="AN230" s="788"/>
      <c r="AO230" s="786"/>
    </row>
    <row r="231" spans="1:41" ht="13.5" thickBot="1">
      <c r="A231" s="460" t="s">
        <v>12</v>
      </c>
      <c r="B231" s="461" t="s">
        <v>866</v>
      </c>
      <c r="C231" s="462" t="e">
        <v>#REF!</v>
      </c>
      <c r="D231" s="463" t="e">
        <v>#REF!</v>
      </c>
      <c r="E231" s="464"/>
      <c r="F231" s="465">
        <v>0</v>
      </c>
      <c r="G231" s="465"/>
      <c r="H231" s="464"/>
      <c r="I231" s="466"/>
      <c r="J231" s="467">
        <v>5.3924651823909073</v>
      </c>
      <c r="K231" s="468"/>
      <c r="L231" s="468"/>
      <c r="M231" s="468">
        <v>0</v>
      </c>
      <c r="N231" s="468"/>
      <c r="O231" s="469">
        <v>0</v>
      </c>
      <c r="P231" s="470" t="s">
        <v>864</v>
      </c>
      <c r="Q231" s="471">
        <v>5740.8600000000006</v>
      </c>
      <c r="R231" s="472">
        <v>5.4480000000000004</v>
      </c>
      <c r="S231" s="473">
        <v>31276.205280000006</v>
      </c>
      <c r="T231" s="471">
        <v>3081.4</v>
      </c>
      <c r="U231" s="472">
        <v>5.2889999999999997</v>
      </c>
      <c r="V231" s="474">
        <v>16297.524599999999</v>
      </c>
      <c r="W231" s="475">
        <v>8822.26</v>
      </c>
      <c r="X231" s="476">
        <v>5.3924651823909073</v>
      </c>
      <c r="Y231" s="477">
        <v>47573.729880000006</v>
      </c>
      <c r="Z231" s="478"/>
      <c r="AA231" s="789"/>
      <c r="AB231" s="789"/>
      <c r="AC231" s="789"/>
      <c r="AD231" s="790"/>
      <c r="AE231" s="789"/>
      <c r="AF231" s="789"/>
      <c r="AG231" s="790"/>
      <c r="AH231" s="789"/>
      <c r="AI231" s="789"/>
      <c r="AJ231" s="790"/>
      <c r="AK231" s="789"/>
      <c r="AL231" s="789"/>
      <c r="AM231" s="790"/>
      <c r="AN231" s="791"/>
      <c r="AO231" s="519"/>
    </row>
    <row r="232" spans="1:41" ht="13.5" thickBot="1">
      <c r="A232" s="207"/>
      <c r="B232" s="479" t="s">
        <v>1059</v>
      </c>
      <c r="C232" s="225"/>
      <c r="D232" s="215"/>
      <c r="E232" s="192"/>
      <c r="F232" s="193">
        <v>0</v>
      </c>
      <c r="G232" s="193"/>
      <c r="H232" s="192"/>
      <c r="I232" s="229">
        <v>0</v>
      </c>
      <c r="J232" s="210"/>
      <c r="K232" s="194"/>
      <c r="L232" s="194"/>
      <c r="M232" s="194">
        <v>0</v>
      </c>
      <c r="N232" s="194"/>
      <c r="O232" s="211">
        <v>0</v>
      </c>
      <c r="P232" s="447"/>
      <c r="Q232" s="448"/>
      <c r="R232" s="449"/>
      <c r="S232" s="450"/>
      <c r="T232" s="448"/>
      <c r="U232" s="449"/>
      <c r="V232" s="230"/>
      <c r="W232" s="451"/>
      <c r="X232" s="480"/>
      <c r="Y232" s="453"/>
      <c r="AA232" s="792"/>
      <c r="AB232" s="519"/>
      <c r="AC232" s="519"/>
      <c r="AD232" s="521"/>
      <c r="AE232" s="519"/>
      <c r="AF232" s="519"/>
      <c r="AG232" s="521"/>
      <c r="AH232" s="519"/>
      <c r="AI232" s="519"/>
      <c r="AJ232" s="521"/>
      <c r="AK232" s="520"/>
      <c r="AL232" s="783"/>
      <c r="AM232" s="521"/>
      <c r="AN232" s="521"/>
      <c r="AO232" s="519"/>
    </row>
    <row r="233" spans="1:41" ht="13.5" thickBot="1">
      <c r="A233" s="207"/>
      <c r="B233" s="479" t="s">
        <v>1056</v>
      </c>
      <c r="C233" s="225"/>
      <c r="D233" s="215"/>
      <c r="E233" s="192"/>
      <c r="F233" s="193">
        <v>0</v>
      </c>
      <c r="G233" s="193"/>
      <c r="H233" s="192"/>
      <c r="I233" s="229">
        <v>0</v>
      </c>
      <c r="J233" s="210"/>
      <c r="K233" s="194"/>
      <c r="L233" s="194"/>
      <c r="M233" s="194">
        <v>0</v>
      </c>
      <c r="N233" s="194"/>
      <c r="O233" s="211">
        <v>0</v>
      </c>
      <c r="P233" s="447"/>
      <c r="Q233" s="448"/>
      <c r="R233" s="449"/>
      <c r="S233" s="450"/>
      <c r="T233" s="448"/>
      <c r="U233" s="449"/>
      <c r="V233" s="230"/>
      <c r="W233" s="451"/>
      <c r="X233" s="480"/>
      <c r="Y233" s="453"/>
      <c r="AA233" s="792"/>
      <c r="AB233" s="519"/>
      <c r="AC233" s="519"/>
      <c r="AD233" s="521"/>
      <c r="AE233" s="519"/>
      <c r="AF233" s="519"/>
      <c r="AG233" s="521"/>
      <c r="AH233" s="519"/>
      <c r="AI233" s="519"/>
      <c r="AJ233" s="521"/>
      <c r="AK233" s="520"/>
      <c r="AL233" s="783"/>
      <c r="AM233" s="521"/>
      <c r="AN233" s="519"/>
      <c r="AO233" s="519"/>
    </row>
    <row r="234" spans="1:41" ht="13.5" thickBot="1">
      <c r="A234" s="481"/>
      <c r="B234" s="482" t="s">
        <v>1057</v>
      </c>
      <c r="C234" s="483"/>
      <c r="D234" s="484"/>
      <c r="E234" s="485"/>
      <c r="F234" s="486">
        <v>0</v>
      </c>
      <c r="G234" s="486"/>
      <c r="H234" s="485"/>
      <c r="I234" s="487">
        <v>0</v>
      </c>
      <c r="J234" s="488"/>
      <c r="K234" s="489"/>
      <c r="L234" s="489"/>
      <c r="M234" s="489">
        <v>0</v>
      </c>
      <c r="N234" s="503"/>
      <c r="O234" s="490">
        <v>0</v>
      </c>
      <c r="P234" s="491"/>
      <c r="Q234" s="492"/>
      <c r="R234" s="493"/>
      <c r="S234" s="494"/>
      <c r="T234" s="492"/>
      <c r="U234" s="493"/>
      <c r="V234" s="495"/>
      <c r="W234" s="496"/>
      <c r="X234" s="497"/>
      <c r="Y234" s="498"/>
      <c r="Z234" s="499"/>
      <c r="AA234" s="793"/>
      <c r="AB234" s="519"/>
      <c r="AC234" s="519"/>
      <c r="AD234" s="521"/>
      <c r="AE234" s="519"/>
      <c r="AF234" s="519"/>
      <c r="AG234" s="521"/>
      <c r="AH234" s="519"/>
      <c r="AI234" s="519"/>
      <c r="AJ234" s="521"/>
      <c r="AK234" s="520"/>
      <c r="AL234" s="783"/>
      <c r="AM234" s="521"/>
      <c r="AN234" s="513"/>
      <c r="AO234" s="513"/>
    </row>
    <row r="235" spans="1:41" ht="13.5" thickBot="1">
      <c r="A235" s="207"/>
      <c r="B235" s="479" t="s">
        <v>1058</v>
      </c>
      <c r="C235" s="225"/>
      <c r="D235" s="215"/>
      <c r="E235" s="192"/>
      <c r="F235" s="193">
        <v>0</v>
      </c>
      <c r="G235" s="193"/>
      <c r="H235" s="192"/>
      <c r="I235" s="229">
        <v>0</v>
      </c>
      <c r="J235" s="210"/>
      <c r="K235" s="194"/>
      <c r="L235" s="194"/>
      <c r="M235" s="194">
        <v>0</v>
      </c>
      <c r="N235" s="504"/>
      <c r="O235" s="211">
        <v>0</v>
      </c>
      <c r="P235" s="447"/>
      <c r="Q235" s="448"/>
      <c r="R235" s="449"/>
      <c r="S235" s="450"/>
      <c r="T235" s="448"/>
      <c r="U235" s="449"/>
      <c r="V235" s="230"/>
      <c r="W235" s="451"/>
      <c r="X235" s="480"/>
      <c r="Y235" s="453"/>
      <c r="AA235" s="792"/>
      <c r="AB235" s="519"/>
      <c r="AC235" s="519"/>
      <c r="AD235" s="521"/>
      <c r="AE235" s="519"/>
      <c r="AF235" s="519"/>
      <c r="AG235" s="521"/>
      <c r="AH235" s="519"/>
      <c r="AI235" s="519"/>
      <c r="AJ235" s="521"/>
      <c r="AK235" s="520"/>
      <c r="AL235" s="783"/>
      <c r="AM235" s="521"/>
      <c r="AN235" s="519"/>
      <c r="AO235" s="519"/>
    </row>
    <row r="236" spans="1:41" ht="13.5" thickBot="1">
      <c r="A236" s="460" t="s">
        <v>18</v>
      </c>
      <c r="B236" s="461" t="s">
        <v>868</v>
      </c>
      <c r="C236" s="462" t="e">
        <v>#REF!</v>
      </c>
      <c r="D236" s="463" t="e">
        <v>#REF!</v>
      </c>
      <c r="E236" s="464"/>
      <c r="F236" s="465">
        <v>13.043726999999999</v>
      </c>
      <c r="G236" s="465"/>
      <c r="H236" s="464"/>
      <c r="I236" s="466"/>
      <c r="J236" s="464"/>
      <c r="K236" s="468"/>
      <c r="L236" s="468"/>
      <c r="M236" s="468">
        <v>78187.192576999994</v>
      </c>
      <c r="N236" s="505"/>
      <c r="O236" s="469">
        <v>78187.192576999994</v>
      </c>
      <c r="P236" s="500" t="s">
        <v>887</v>
      </c>
      <c r="Q236" s="471">
        <v>702.21</v>
      </c>
      <c r="R236" s="472">
        <v>4.6040000000000001</v>
      </c>
      <c r="S236" s="473">
        <v>3232.9748400000003</v>
      </c>
      <c r="T236" s="471">
        <v>419</v>
      </c>
      <c r="U236" s="472">
        <v>4.4880000000000004</v>
      </c>
      <c r="V236" s="474">
        <v>1880.4720000000002</v>
      </c>
      <c r="W236" s="501">
        <v>1121.21</v>
      </c>
      <c r="X236" s="502">
        <v>4.5606504044737388</v>
      </c>
      <c r="Y236" s="474">
        <v>5113.4468400000005</v>
      </c>
      <c r="Z236" s="478"/>
      <c r="AA236" s="789"/>
      <c r="AB236" s="789"/>
      <c r="AC236" s="789"/>
      <c r="AD236" s="790"/>
      <c r="AE236" s="789"/>
      <c r="AF236" s="789"/>
      <c r="AG236" s="790"/>
      <c r="AH236" s="789"/>
      <c r="AI236" s="789"/>
      <c r="AJ236" s="790"/>
      <c r="AK236" s="789"/>
      <c r="AL236" s="789"/>
      <c r="AM236" s="790"/>
      <c r="AN236" s="794"/>
      <c r="AO236" s="794"/>
    </row>
    <row r="237" spans="1:41">
      <c r="A237" s="207"/>
      <c r="B237" s="479" t="s">
        <v>1059</v>
      </c>
      <c r="C237" s="225" t="e">
        <v>#REF!</v>
      </c>
      <c r="D237" s="215" t="e">
        <v>#REF!</v>
      </c>
      <c r="E237" s="192"/>
      <c r="F237" s="193">
        <v>11.904</v>
      </c>
      <c r="G237" s="193"/>
      <c r="H237" s="192"/>
      <c r="I237" s="229">
        <v>5983</v>
      </c>
      <c r="J237" s="184"/>
      <c r="K237" s="194"/>
      <c r="L237" s="194"/>
      <c r="M237" s="194">
        <v>71221.631999999998</v>
      </c>
      <c r="N237" s="504"/>
      <c r="O237" s="211">
        <v>71221.631999999998</v>
      </c>
      <c r="P237" s="457" t="s">
        <v>435</v>
      </c>
      <c r="Q237" s="446"/>
      <c r="R237" s="446"/>
      <c r="S237" s="446"/>
      <c r="T237" s="446"/>
      <c r="U237" s="446"/>
      <c r="V237" s="446"/>
      <c r="W237" s="458">
        <v>9943.4700000000012</v>
      </c>
      <c r="X237" s="454"/>
      <c r="Y237" s="459">
        <v>52687.176720000003</v>
      </c>
      <c r="AA237" s="792"/>
      <c r="AB237" s="519"/>
      <c r="AC237" s="519"/>
      <c r="AD237" s="521"/>
      <c r="AE237" s="519"/>
      <c r="AF237" s="519"/>
      <c r="AG237" s="521"/>
      <c r="AH237" s="519"/>
      <c r="AI237" s="519"/>
      <c r="AJ237" s="521"/>
      <c r="AK237" s="520"/>
      <c r="AL237" s="783"/>
      <c r="AM237" s="521"/>
      <c r="AN237" s="519"/>
      <c r="AO237" s="519"/>
    </row>
    <row r="238" spans="1:41">
      <c r="A238" s="506"/>
      <c r="B238" s="482" t="s">
        <v>1057</v>
      </c>
      <c r="C238" s="507"/>
      <c r="D238" s="508"/>
      <c r="E238" s="509"/>
      <c r="F238" s="486">
        <v>1.1340270000000001</v>
      </c>
      <c r="G238" s="510"/>
      <c r="H238" s="509"/>
      <c r="I238" s="487">
        <v>6108.5881350267664</v>
      </c>
      <c r="J238" s="509"/>
      <c r="K238" s="511"/>
      <c r="L238" s="511"/>
      <c r="M238" s="489">
        <v>6927.3038769999994</v>
      </c>
      <c r="N238" s="512"/>
      <c r="O238" s="490">
        <v>6927.3038769999994</v>
      </c>
      <c r="AA238" s="793"/>
      <c r="AB238" s="519"/>
      <c r="AC238" s="519"/>
      <c r="AD238" s="521"/>
      <c r="AE238" s="519"/>
      <c r="AF238" s="519"/>
      <c r="AG238" s="521"/>
      <c r="AH238" s="519"/>
      <c r="AI238" s="519"/>
      <c r="AJ238" s="521"/>
      <c r="AK238" s="520"/>
      <c r="AL238" s="783"/>
      <c r="AM238" s="521"/>
      <c r="AN238" s="519"/>
      <c r="AO238" s="519"/>
    </row>
    <row r="239" spans="1:41" ht="13.5" thickBot="1">
      <c r="A239" s="232"/>
      <c r="B239" s="514" t="s">
        <v>1058</v>
      </c>
      <c r="C239" s="515"/>
      <c r="D239" s="516"/>
      <c r="E239" s="235"/>
      <c r="F239" s="943">
        <v>5.7000000000000002E-3</v>
      </c>
      <c r="G239" s="236"/>
      <c r="H239" s="235"/>
      <c r="I239" s="517">
        <v>6711.7017543859647</v>
      </c>
      <c r="J239" s="235"/>
      <c r="K239" s="237"/>
      <c r="L239" s="237"/>
      <c r="M239" s="237">
        <v>38.256700000000002</v>
      </c>
      <c r="N239" s="518"/>
      <c r="O239" s="238">
        <v>38.256700000000002</v>
      </c>
      <c r="AA239" s="795"/>
      <c r="AB239" s="519"/>
      <c r="AC239" s="519"/>
      <c r="AD239" s="521"/>
      <c r="AE239" s="519"/>
      <c r="AF239" s="519"/>
      <c r="AG239" s="521"/>
      <c r="AH239" s="519"/>
      <c r="AI239" s="519"/>
      <c r="AJ239" s="521"/>
      <c r="AK239" s="520"/>
      <c r="AL239" s="783"/>
      <c r="AM239" s="521"/>
      <c r="AN239" s="519"/>
      <c r="AO239" s="519"/>
    </row>
    <row r="240" spans="1:41">
      <c r="A240" s="1795" t="s">
        <v>1838</v>
      </c>
      <c r="B240" s="1796"/>
      <c r="C240" s="1796"/>
      <c r="D240" s="1796"/>
      <c r="E240" s="1796"/>
      <c r="F240" s="1797"/>
      <c r="G240" s="1796"/>
      <c r="H240" s="1796"/>
      <c r="I240" s="1797"/>
      <c r="J240" s="1796"/>
      <c r="K240" s="1796"/>
      <c r="L240" s="1796"/>
      <c r="M240" s="1797"/>
      <c r="N240" s="1796"/>
      <c r="O240" s="1798"/>
      <c r="AA240" s="519"/>
      <c r="AB240" s="519"/>
      <c r="AC240" s="519"/>
      <c r="AD240" s="519"/>
      <c r="AE240" s="519"/>
      <c r="AF240" s="519"/>
      <c r="AG240" s="519"/>
      <c r="AH240" s="519"/>
      <c r="AI240" s="519"/>
      <c r="AJ240" s="519"/>
      <c r="AK240" s="519"/>
      <c r="AL240" s="519"/>
      <c r="AM240" s="519"/>
      <c r="AN240" s="519"/>
      <c r="AO240" s="519"/>
    </row>
    <row r="241" spans="1:41" ht="25.5">
      <c r="A241" s="207">
        <v>1</v>
      </c>
      <c r="B241" s="218" t="s">
        <v>863</v>
      </c>
      <c r="C241" s="222" t="e">
        <v>#REF!</v>
      </c>
      <c r="D241" s="222" t="e">
        <v>#REF!</v>
      </c>
      <c r="E241" s="187"/>
      <c r="F241" s="188">
        <v>9.0362659999999995</v>
      </c>
      <c r="G241" s="188"/>
      <c r="H241" s="187"/>
      <c r="I241" s="187"/>
      <c r="J241" s="187"/>
      <c r="K241" s="189"/>
      <c r="L241" s="189"/>
      <c r="M241" s="189">
        <v>59474.997096155996</v>
      </c>
      <c r="N241" s="189"/>
      <c r="O241" s="213">
        <v>59474.997096155996</v>
      </c>
      <c r="AA241" s="780"/>
      <c r="AB241" s="781"/>
      <c r="AC241" s="781"/>
      <c r="AD241" s="519"/>
      <c r="AE241" s="781"/>
      <c r="AF241" s="781"/>
      <c r="AG241" s="519"/>
      <c r="AH241" s="781"/>
      <c r="AI241" s="781"/>
      <c r="AJ241" s="519"/>
      <c r="AK241" s="781"/>
      <c r="AL241" s="781"/>
      <c r="AM241" s="519"/>
      <c r="AN241" s="519"/>
      <c r="AO241" s="519"/>
    </row>
    <row r="242" spans="1:41">
      <c r="A242" s="207" t="s">
        <v>5</v>
      </c>
      <c r="B242" s="208" t="s">
        <v>1870</v>
      </c>
      <c r="C242" s="209"/>
      <c r="D242" s="209"/>
      <c r="E242" s="192"/>
      <c r="F242" s="193">
        <v>8.2304999999999993</v>
      </c>
      <c r="G242" s="193"/>
      <c r="H242" s="192"/>
      <c r="I242" s="229">
        <v>6570.0014580645156</v>
      </c>
      <c r="J242" s="192">
        <v>5.3924651823909073</v>
      </c>
      <c r="K242" s="194"/>
      <c r="L242" s="194"/>
      <c r="M242" s="194">
        <v>54074.397000599994</v>
      </c>
      <c r="N242" s="194"/>
      <c r="O242" s="211">
        <v>54074.397000599994</v>
      </c>
      <c r="AA242" s="782"/>
      <c r="AB242" s="520"/>
      <c r="AC242" s="519"/>
      <c r="AD242" s="521"/>
      <c r="AE242" s="520"/>
      <c r="AF242" s="519"/>
      <c r="AG242" s="521"/>
      <c r="AH242" s="520"/>
      <c r="AI242" s="519"/>
      <c r="AJ242" s="521"/>
      <c r="AK242" s="520"/>
      <c r="AL242" s="783"/>
      <c r="AM242" s="521"/>
      <c r="AN242" s="519"/>
      <c r="AO242" s="519"/>
    </row>
    <row r="243" spans="1:41">
      <c r="A243" s="207" t="s">
        <v>6</v>
      </c>
      <c r="B243" s="208" t="s">
        <v>429</v>
      </c>
      <c r="C243" s="208"/>
      <c r="D243" s="231"/>
      <c r="E243" s="184"/>
      <c r="F243" s="193">
        <v>0.80576599999999998</v>
      </c>
      <c r="G243" s="193"/>
      <c r="H243" s="192"/>
      <c r="I243" s="229">
        <v>6702.4422668069883</v>
      </c>
      <c r="J243" s="192">
        <v>0</v>
      </c>
      <c r="K243" s="194"/>
      <c r="L243" s="194"/>
      <c r="M243" s="194">
        <v>5400.6000955559994</v>
      </c>
      <c r="N243" s="184"/>
      <c r="O243" s="211">
        <v>5400.6000955559994</v>
      </c>
      <c r="AA243" s="784"/>
      <c r="AB243" s="520"/>
      <c r="AC243" s="519"/>
      <c r="AD243" s="521"/>
      <c r="AE243" s="520"/>
      <c r="AF243" s="519"/>
      <c r="AG243" s="521"/>
      <c r="AH243" s="520"/>
      <c r="AI243" s="519"/>
      <c r="AJ243" s="521"/>
      <c r="AK243" s="520"/>
      <c r="AL243" s="783"/>
      <c r="AM243" s="521"/>
      <c r="AN243" s="519"/>
      <c r="AO243" s="519"/>
    </row>
    <row r="244" spans="1:41">
      <c r="A244" s="207" t="s">
        <v>7</v>
      </c>
      <c r="B244" s="208" t="s">
        <v>432</v>
      </c>
      <c r="C244" s="208"/>
      <c r="D244" s="231"/>
      <c r="E244" s="184"/>
      <c r="F244" s="193"/>
      <c r="G244" s="193"/>
      <c r="H244" s="192"/>
      <c r="I244" s="229"/>
      <c r="J244" s="192">
        <v>0</v>
      </c>
      <c r="K244" s="194"/>
      <c r="L244" s="194"/>
      <c r="M244" s="194"/>
      <c r="N244" s="184"/>
      <c r="O244" s="211">
        <v>0</v>
      </c>
      <c r="Q244" s="1799" t="s">
        <v>767</v>
      </c>
      <c r="R244" s="1800"/>
      <c r="S244" s="1801"/>
      <c r="T244" s="1802" t="s">
        <v>766</v>
      </c>
      <c r="U244" s="1803"/>
      <c r="V244" s="1804"/>
      <c r="W244" s="1802" t="s">
        <v>1051</v>
      </c>
      <c r="X244" s="1803"/>
      <c r="Y244" s="1804"/>
      <c r="AA244" s="784"/>
      <c r="AB244" s="520"/>
      <c r="AC244" s="519"/>
      <c r="AD244" s="521"/>
      <c r="AE244" s="520"/>
      <c r="AF244" s="519"/>
      <c r="AG244" s="521"/>
      <c r="AH244" s="520"/>
      <c r="AI244" s="519"/>
      <c r="AJ244" s="521"/>
      <c r="AK244" s="520"/>
      <c r="AL244" s="783"/>
      <c r="AM244" s="521"/>
      <c r="AN244" s="785"/>
      <c r="AO244" s="786"/>
    </row>
    <row r="245" spans="1:41" ht="14.25" thickBot="1">
      <c r="A245" s="207" t="s">
        <v>11</v>
      </c>
      <c r="B245" s="212" t="s">
        <v>865</v>
      </c>
      <c r="C245" s="208"/>
      <c r="D245" s="231"/>
      <c r="E245" s="184">
        <v>0</v>
      </c>
      <c r="F245" s="184"/>
      <c r="G245" s="184"/>
      <c r="H245" s="184"/>
      <c r="I245" s="192"/>
      <c r="J245" s="229"/>
      <c r="K245" s="184"/>
      <c r="L245" s="184"/>
      <c r="M245" s="184"/>
      <c r="N245" s="184"/>
      <c r="O245" s="211"/>
      <c r="P245" s="443" t="s">
        <v>1052</v>
      </c>
      <c r="Q245" s="444" t="s">
        <v>1053</v>
      </c>
      <c r="R245" s="1802" t="s">
        <v>417</v>
      </c>
      <c r="S245" s="446" t="s">
        <v>1054</v>
      </c>
      <c r="T245" s="444" t="s">
        <v>1053</v>
      </c>
      <c r="U245" s="1802" t="s">
        <v>417</v>
      </c>
      <c r="V245" s="446" t="s">
        <v>1054</v>
      </c>
      <c r="W245" s="1802" t="s">
        <v>1053</v>
      </c>
      <c r="X245" s="1802" t="s">
        <v>417</v>
      </c>
      <c r="Y245" s="446" t="s">
        <v>1054</v>
      </c>
      <c r="AA245" s="787"/>
      <c r="AB245" s="520"/>
      <c r="AC245" s="519"/>
      <c r="AD245" s="521"/>
      <c r="AE245" s="520"/>
      <c r="AF245" s="519"/>
      <c r="AG245" s="521"/>
      <c r="AH245" s="520"/>
      <c r="AI245" s="519"/>
      <c r="AJ245" s="521"/>
      <c r="AK245" s="520"/>
      <c r="AL245" s="519"/>
      <c r="AM245" s="521"/>
      <c r="AN245" s="788"/>
      <c r="AO245" s="786"/>
    </row>
    <row r="246" spans="1:41" ht="13.5" thickBot="1">
      <c r="A246" s="460" t="s">
        <v>12</v>
      </c>
      <c r="B246" s="461" t="s">
        <v>866</v>
      </c>
      <c r="C246" s="462" t="e">
        <v>#REF!</v>
      </c>
      <c r="D246" s="463" t="e">
        <v>#REF!</v>
      </c>
      <c r="E246" s="464"/>
      <c r="F246" s="465">
        <v>0</v>
      </c>
      <c r="G246" s="465"/>
      <c r="H246" s="464"/>
      <c r="I246" s="466"/>
      <c r="J246" s="467">
        <v>5.3924651823909073</v>
      </c>
      <c r="K246" s="468"/>
      <c r="L246" s="468"/>
      <c r="M246" s="468">
        <v>0</v>
      </c>
      <c r="N246" s="468"/>
      <c r="O246" s="469">
        <v>0</v>
      </c>
      <c r="P246" s="470" t="s">
        <v>864</v>
      </c>
      <c r="Q246" s="471">
        <v>5740.8600000000006</v>
      </c>
      <c r="R246" s="472">
        <v>5.4480000000000004</v>
      </c>
      <c r="S246" s="473">
        <v>31276.205280000006</v>
      </c>
      <c r="T246" s="471">
        <v>3081.4</v>
      </c>
      <c r="U246" s="472">
        <v>5.2889999999999997</v>
      </c>
      <c r="V246" s="474">
        <v>16297.524599999999</v>
      </c>
      <c r="W246" s="475">
        <v>8822.26</v>
      </c>
      <c r="X246" s="476">
        <v>5.3924651823909073</v>
      </c>
      <c r="Y246" s="477">
        <v>47573.729880000006</v>
      </c>
      <c r="Z246" s="478"/>
      <c r="AA246" s="789"/>
      <c r="AB246" s="789"/>
      <c r="AC246" s="789"/>
      <c r="AD246" s="790"/>
      <c r="AE246" s="789"/>
      <c r="AF246" s="789"/>
      <c r="AG246" s="790"/>
      <c r="AH246" s="789"/>
      <c r="AI246" s="789"/>
      <c r="AJ246" s="790"/>
      <c r="AK246" s="789"/>
      <c r="AL246" s="789"/>
      <c r="AM246" s="790"/>
      <c r="AN246" s="791"/>
      <c r="AO246" s="519"/>
    </row>
    <row r="247" spans="1:41" ht="13.5" thickBot="1">
      <c r="A247" s="207"/>
      <c r="B247" s="479" t="s">
        <v>1055</v>
      </c>
      <c r="C247" s="225"/>
      <c r="D247" s="215"/>
      <c r="E247" s="192"/>
      <c r="F247" s="193">
        <v>0</v>
      </c>
      <c r="G247" s="193"/>
      <c r="H247" s="192"/>
      <c r="I247" s="229">
        <v>0</v>
      </c>
      <c r="J247" s="210"/>
      <c r="K247" s="194"/>
      <c r="L247" s="194"/>
      <c r="M247" s="194">
        <v>0</v>
      </c>
      <c r="N247" s="194"/>
      <c r="O247" s="211">
        <v>0</v>
      </c>
      <c r="P247" s="447"/>
      <c r="Q247" s="448"/>
      <c r="R247" s="449"/>
      <c r="S247" s="450"/>
      <c r="T247" s="448"/>
      <c r="U247" s="449"/>
      <c r="V247" s="230"/>
      <c r="W247" s="451"/>
      <c r="X247" s="480"/>
      <c r="Y247" s="453"/>
      <c r="AA247" s="792"/>
      <c r="AB247" s="519"/>
      <c r="AC247" s="519"/>
      <c r="AD247" s="521"/>
      <c r="AE247" s="519"/>
      <c r="AF247" s="519"/>
      <c r="AG247" s="521"/>
      <c r="AH247" s="519"/>
      <c r="AI247" s="519"/>
      <c r="AJ247" s="521"/>
      <c r="AK247" s="520"/>
      <c r="AL247" s="783"/>
      <c r="AM247" s="521"/>
      <c r="AN247" s="521"/>
      <c r="AO247" s="519"/>
    </row>
    <row r="248" spans="1:41" ht="13.5" thickBot="1">
      <c r="A248" s="207"/>
      <c r="B248" s="479" t="s">
        <v>1056</v>
      </c>
      <c r="C248" s="225"/>
      <c r="D248" s="215"/>
      <c r="E248" s="192"/>
      <c r="F248" s="193">
        <v>0</v>
      </c>
      <c r="G248" s="193"/>
      <c r="H248" s="192"/>
      <c r="I248" s="229">
        <v>0</v>
      </c>
      <c r="J248" s="210"/>
      <c r="K248" s="194"/>
      <c r="L248" s="194"/>
      <c r="M248" s="194">
        <v>0</v>
      </c>
      <c r="N248" s="194"/>
      <c r="O248" s="211">
        <v>0</v>
      </c>
      <c r="P248" s="447"/>
      <c r="Q248" s="448"/>
      <c r="R248" s="449"/>
      <c r="S248" s="450"/>
      <c r="T248" s="448"/>
      <c r="U248" s="449"/>
      <c r="V248" s="230"/>
      <c r="W248" s="451"/>
      <c r="X248" s="480"/>
      <c r="Y248" s="453"/>
      <c r="AA248" s="792"/>
      <c r="AB248" s="519"/>
      <c r="AC248" s="519"/>
      <c r="AD248" s="521"/>
      <c r="AE248" s="519"/>
      <c r="AF248" s="519"/>
      <c r="AG248" s="521"/>
      <c r="AH248" s="519"/>
      <c r="AI248" s="519"/>
      <c r="AJ248" s="521"/>
      <c r="AK248" s="520"/>
      <c r="AL248" s="783"/>
      <c r="AM248" s="521"/>
      <c r="AN248" s="519"/>
      <c r="AO248" s="519"/>
    </row>
    <row r="249" spans="1:41" ht="13.5" thickBot="1">
      <c r="A249" s="481"/>
      <c r="B249" s="482" t="s">
        <v>1057</v>
      </c>
      <c r="C249" s="483"/>
      <c r="D249" s="484"/>
      <c r="E249" s="485"/>
      <c r="F249" s="486">
        <v>0</v>
      </c>
      <c r="G249" s="486"/>
      <c r="H249" s="485"/>
      <c r="I249" s="487">
        <v>0</v>
      </c>
      <c r="J249" s="488"/>
      <c r="K249" s="489"/>
      <c r="L249" s="489"/>
      <c r="M249" s="489">
        <v>0</v>
      </c>
      <c r="N249" s="503"/>
      <c r="O249" s="490">
        <v>0</v>
      </c>
      <c r="P249" s="491"/>
      <c r="Q249" s="492"/>
      <c r="R249" s="493"/>
      <c r="S249" s="494"/>
      <c r="T249" s="492"/>
      <c r="U249" s="493"/>
      <c r="V249" s="495"/>
      <c r="W249" s="496"/>
      <c r="X249" s="497"/>
      <c r="Y249" s="498"/>
      <c r="Z249" s="499"/>
      <c r="AA249" s="793"/>
      <c r="AB249" s="519"/>
      <c r="AC249" s="519"/>
      <c r="AD249" s="521"/>
      <c r="AE249" s="519"/>
      <c r="AF249" s="519"/>
      <c r="AG249" s="521"/>
      <c r="AH249" s="519"/>
      <c r="AI249" s="519"/>
      <c r="AJ249" s="521"/>
      <c r="AK249" s="520"/>
      <c r="AL249" s="783"/>
      <c r="AM249" s="521"/>
      <c r="AN249" s="513"/>
      <c r="AO249" s="513"/>
    </row>
    <row r="250" spans="1:41" ht="13.5" thickBot="1">
      <c r="A250" s="207"/>
      <c r="B250" s="479" t="s">
        <v>1058</v>
      </c>
      <c r="C250" s="225"/>
      <c r="D250" s="215"/>
      <c r="E250" s="192"/>
      <c r="F250" s="193">
        <v>0</v>
      </c>
      <c r="G250" s="193"/>
      <c r="H250" s="192"/>
      <c r="I250" s="229">
        <v>0</v>
      </c>
      <c r="J250" s="210"/>
      <c r="K250" s="194"/>
      <c r="L250" s="194"/>
      <c r="M250" s="194">
        <v>0</v>
      </c>
      <c r="N250" s="504"/>
      <c r="O250" s="211">
        <v>0</v>
      </c>
      <c r="P250" s="447"/>
      <c r="Q250" s="448"/>
      <c r="R250" s="449"/>
      <c r="S250" s="450"/>
      <c r="T250" s="448"/>
      <c r="U250" s="449"/>
      <c r="V250" s="230"/>
      <c r="W250" s="451"/>
      <c r="X250" s="480"/>
      <c r="Y250" s="453"/>
      <c r="AA250" s="792"/>
      <c r="AB250" s="519"/>
      <c r="AC250" s="519"/>
      <c r="AD250" s="521"/>
      <c r="AE250" s="519"/>
      <c r="AF250" s="519"/>
      <c r="AG250" s="521"/>
      <c r="AH250" s="519"/>
      <c r="AI250" s="519"/>
      <c r="AJ250" s="521"/>
      <c r="AK250" s="520"/>
      <c r="AL250" s="783"/>
      <c r="AM250" s="521"/>
      <c r="AN250" s="519"/>
      <c r="AO250" s="519"/>
    </row>
    <row r="251" spans="1:41" ht="13.5" thickBot="1">
      <c r="A251" s="460" t="s">
        <v>18</v>
      </c>
      <c r="B251" s="461" t="s">
        <v>868</v>
      </c>
      <c r="C251" s="462" t="e">
        <v>#REF!</v>
      </c>
      <c r="D251" s="463" t="e">
        <v>#REF!</v>
      </c>
      <c r="E251" s="464"/>
      <c r="F251" s="465">
        <v>9.0362659999999995</v>
      </c>
      <c r="G251" s="465"/>
      <c r="H251" s="464"/>
      <c r="I251" s="466"/>
      <c r="J251" s="464"/>
      <c r="K251" s="468"/>
      <c r="L251" s="468"/>
      <c r="M251" s="468">
        <v>59474.997096155988</v>
      </c>
      <c r="N251" s="505"/>
      <c r="O251" s="469">
        <v>59474.997096155988</v>
      </c>
      <c r="P251" s="500" t="s">
        <v>887</v>
      </c>
      <c r="Q251" s="471">
        <v>702.21</v>
      </c>
      <c r="R251" s="472">
        <v>4.6040000000000001</v>
      </c>
      <c r="S251" s="473">
        <v>3232.9748400000003</v>
      </c>
      <c r="T251" s="471">
        <v>419</v>
      </c>
      <c r="U251" s="472">
        <v>4.4880000000000004</v>
      </c>
      <c r="V251" s="474">
        <v>1880.4720000000002</v>
      </c>
      <c r="W251" s="501">
        <v>1121.21</v>
      </c>
      <c r="X251" s="502">
        <v>4.5606504044737388</v>
      </c>
      <c r="Y251" s="474">
        <v>5113.4468400000005</v>
      </c>
      <c r="Z251" s="478"/>
      <c r="AA251" s="789"/>
      <c r="AB251" s="789"/>
      <c r="AC251" s="789"/>
      <c r="AD251" s="790"/>
      <c r="AE251" s="789"/>
      <c r="AF251" s="789"/>
      <c r="AG251" s="790"/>
      <c r="AH251" s="789"/>
      <c r="AI251" s="789"/>
      <c r="AJ251" s="790"/>
      <c r="AK251" s="789"/>
      <c r="AL251" s="789"/>
      <c r="AM251" s="790"/>
      <c r="AN251" s="794"/>
      <c r="AO251" s="794"/>
    </row>
    <row r="252" spans="1:41">
      <c r="A252" s="207"/>
      <c r="B252" s="479" t="s">
        <v>1059</v>
      </c>
      <c r="C252" s="225" t="e">
        <v>#REF!</v>
      </c>
      <c r="D252" s="215" t="e">
        <v>#REF!</v>
      </c>
      <c r="E252" s="192"/>
      <c r="F252" s="193">
        <v>8.2240000000000002</v>
      </c>
      <c r="G252" s="193"/>
      <c r="H252" s="192"/>
      <c r="I252" s="229">
        <v>6569.3339999999989</v>
      </c>
      <c r="J252" s="184"/>
      <c r="K252" s="194"/>
      <c r="L252" s="194"/>
      <c r="M252" s="194">
        <v>54026.20281599999</v>
      </c>
      <c r="N252" s="504"/>
      <c r="O252" s="211">
        <v>54026.20281599999</v>
      </c>
      <c r="P252" s="457" t="s">
        <v>435</v>
      </c>
      <c r="Q252" s="446"/>
      <c r="R252" s="446"/>
      <c r="S252" s="446"/>
      <c r="T252" s="446"/>
      <c r="U252" s="446"/>
      <c r="V252" s="446"/>
      <c r="W252" s="458">
        <v>9943.4700000000012</v>
      </c>
      <c r="X252" s="454"/>
      <c r="Y252" s="459">
        <v>52687.176720000003</v>
      </c>
      <c r="AA252" s="792"/>
      <c r="AB252" s="519"/>
      <c r="AC252" s="519"/>
      <c r="AD252" s="521"/>
      <c r="AE252" s="519"/>
      <c r="AF252" s="519"/>
      <c r="AG252" s="521"/>
      <c r="AH252" s="519"/>
      <c r="AI252" s="519"/>
      <c r="AJ252" s="521"/>
      <c r="AK252" s="520"/>
      <c r="AL252" s="783"/>
      <c r="AM252" s="521"/>
      <c r="AN252" s="519"/>
      <c r="AO252" s="519"/>
    </row>
    <row r="253" spans="1:41">
      <c r="A253" s="506"/>
      <c r="B253" s="482" t="s">
        <v>1057</v>
      </c>
      <c r="C253" s="507"/>
      <c r="D253" s="508"/>
      <c r="E253" s="509"/>
      <c r="F253" s="486">
        <v>0.80576599999999998</v>
      </c>
      <c r="G253" s="510"/>
      <c r="H253" s="509"/>
      <c r="I253" s="487">
        <v>6702.4422668069883</v>
      </c>
      <c r="J253" s="509"/>
      <c r="K253" s="511"/>
      <c r="L253" s="511"/>
      <c r="M253" s="489">
        <v>5400.6000955559994</v>
      </c>
      <c r="N253" s="512"/>
      <c r="O253" s="490">
        <v>5400.6000955559994</v>
      </c>
      <c r="AA253" s="793"/>
      <c r="AB253" s="519"/>
      <c r="AC253" s="519"/>
      <c r="AD253" s="521"/>
      <c r="AE253" s="519"/>
      <c r="AF253" s="519"/>
      <c r="AG253" s="521"/>
      <c r="AH253" s="519"/>
      <c r="AI253" s="519"/>
      <c r="AJ253" s="521"/>
      <c r="AK253" s="520"/>
      <c r="AL253" s="783"/>
      <c r="AM253" s="521"/>
      <c r="AN253" s="519"/>
      <c r="AO253" s="519"/>
    </row>
    <row r="254" spans="1:41" ht="13.5" thickBot="1">
      <c r="A254" s="232"/>
      <c r="B254" s="514" t="s">
        <v>1058</v>
      </c>
      <c r="C254" s="515"/>
      <c r="D254" s="516"/>
      <c r="E254" s="235"/>
      <c r="F254" s="943">
        <v>6.4999999999999997E-3</v>
      </c>
      <c r="G254" s="236"/>
      <c r="H254" s="235"/>
      <c r="I254" s="517">
        <v>6569.3339999999989</v>
      </c>
      <c r="J254" s="235"/>
      <c r="K254" s="237"/>
      <c r="L254" s="237"/>
      <c r="M254" s="237">
        <v>48.194184599999993</v>
      </c>
      <c r="N254" s="518"/>
      <c r="O254" s="238">
        <v>48.194184599999993</v>
      </c>
      <c r="AA254" s="795"/>
      <c r="AB254" s="519"/>
      <c r="AC254" s="519"/>
      <c r="AD254" s="521"/>
      <c r="AE254" s="519"/>
      <c r="AF254" s="519"/>
      <c r="AG254" s="521"/>
      <c r="AH254" s="519"/>
      <c r="AI254" s="519"/>
      <c r="AJ254" s="521"/>
      <c r="AK254" s="520"/>
      <c r="AL254" s="783"/>
      <c r="AM254" s="521"/>
      <c r="AN254" s="519"/>
      <c r="AO254" s="519"/>
    </row>
    <row r="255" spans="1:41">
      <c r="A255" s="1805" t="s">
        <v>1867</v>
      </c>
      <c r="B255" s="1805"/>
      <c r="C255" s="1805"/>
      <c r="D255" s="1805"/>
      <c r="E255" s="1805"/>
      <c r="F255" s="1805"/>
      <c r="G255" s="1805"/>
      <c r="H255" s="1805"/>
      <c r="I255" s="1805"/>
      <c r="J255" s="1805"/>
      <c r="K255" s="1805"/>
      <c r="L255" s="1805"/>
      <c r="M255" s="1805"/>
      <c r="N255" s="1805"/>
      <c r="O255" s="1805"/>
      <c r="AB255" s="1799" t="s">
        <v>767</v>
      </c>
      <c r="AC255" s="1806"/>
      <c r="AD255" s="1807"/>
      <c r="AE255" s="1799" t="s">
        <v>766</v>
      </c>
      <c r="AF255" s="1808"/>
      <c r="AG255" s="1809"/>
      <c r="AH255" s="1799"/>
      <c r="AI255" s="1808"/>
      <c r="AJ255" s="1809"/>
      <c r="AK255" s="1799" t="s">
        <v>1051</v>
      </c>
      <c r="AL255" s="1808"/>
      <c r="AM255" s="1809"/>
      <c r="AN255" s="519"/>
      <c r="AO255" s="519"/>
    </row>
    <row r="256" spans="1:41" ht="26.25" thickBot="1">
      <c r="A256" s="207">
        <v>1</v>
      </c>
      <c r="B256" s="218" t="s">
        <v>863</v>
      </c>
      <c r="C256" s="222" t="e">
        <v>#REF!</v>
      </c>
      <c r="D256" s="222" t="e">
        <v>#REF!</v>
      </c>
      <c r="E256" s="187"/>
      <c r="F256" s="188">
        <v>22.079992999999995</v>
      </c>
      <c r="G256" s="188"/>
      <c r="H256" s="187"/>
      <c r="I256" s="187"/>
      <c r="J256" s="187"/>
      <c r="K256" s="189"/>
      <c r="L256" s="189"/>
      <c r="M256" s="189">
        <v>150260.95930468291</v>
      </c>
      <c r="N256" s="189"/>
      <c r="O256" s="213">
        <v>150260.95930468291</v>
      </c>
      <c r="AA256" s="443" t="s">
        <v>1285</v>
      </c>
      <c r="AB256" s="942" t="s">
        <v>1519</v>
      </c>
      <c r="AC256" s="1802" t="s">
        <v>417</v>
      </c>
      <c r="AD256" s="446" t="s">
        <v>1054</v>
      </c>
      <c r="AE256" s="942" t="s">
        <v>1519</v>
      </c>
      <c r="AF256" s="1802" t="s">
        <v>417</v>
      </c>
      <c r="AG256" s="446" t="s">
        <v>1054</v>
      </c>
      <c r="AH256" s="942" t="s">
        <v>1519</v>
      </c>
      <c r="AI256" s="1802" t="s">
        <v>417</v>
      </c>
      <c r="AJ256" s="446" t="s">
        <v>1054</v>
      </c>
      <c r="AK256" s="942" t="s">
        <v>1519</v>
      </c>
      <c r="AL256" s="1802" t="s">
        <v>417</v>
      </c>
      <c r="AM256" s="446" t="s">
        <v>1054</v>
      </c>
    </row>
    <row r="257" spans="1:39" ht="13.5" thickBot="1">
      <c r="A257" s="207" t="s">
        <v>5</v>
      </c>
      <c r="B257" s="208" t="s">
        <v>1870</v>
      </c>
      <c r="C257" s="209"/>
      <c r="D257" s="209"/>
      <c r="E257" s="192"/>
      <c r="F257" s="193">
        <v>20.140199999999997</v>
      </c>
      <c r="G257" s="193"/>
      <c r="H257" s="192"/>
      <c r="I257" s="229">
        <v>6792.679801801858</v>
      </c>
      <c r="J257" s="192">
        <v>5.3924651823909073</v>
      </c>
      <c r="K257" s="194"/>
      <c r="L257" s="194"/>
      <c r="M257" s="194">
        <v>136805.92974424976</v>
      </c>
      <c r="N257" s="194"/>
      <c r="O257" s="211">
        <v>136805.92974424976</v>
      </c>
      <c r="AA257" s="447" t="s">
        <v>864</v>
      </c>
      <c r="AB257" s="448">
        <v>11909.699999999999</v>
      </c>
      <c r="AC257" s="933">
        <v>6.5697169359933483</v>
      </c>
      <c r="AD257" s="450">
        <v>78243.357792599971</v>
      </c>
      <c r="AE257" s="448">
        <v>8230.5</v>
      </c>
      <c r="AF257" s="933">
        <v>7.115311579083869</v>
      </c>
      <c r="AG257" s="450">
        <v>58562.571951649785</v>
      </c>
      <c r="AH257" s="448">
        <v>0</v>
      </c>
      <c r="AI257" s="933" t="e">
        <v>#DIV/0!</v>
      </c>
      <c r="AJ257" s="450">
        <v>0</v>
      </c>
      <c r="AK257" s="451">
        <v>20140.199999999997</v>
      </c>
      <c r="AL257" s="480">
        <v>6.7926798018018584</v>
      </c>
      <c r="AM257" s="453">
        <v>136805.92974424976</v>
      </c>
    </row>
    <row r="258" spans="1:39" ht="13.5" thickBot="1">
      <c r="A258" s="207" t="s">
        <v>6</v>
      </c>
      <c r="B258" s="208" t="s">
        <v>429</v>
      </c>
      <c r="C258" s="208"/>
      <c r="D258" s="231"/>
      <c r="E258" s="184"/>
      <c r="F258" s="210">
        <v>1.9397929999999999</v>
      </c>
      <c r="G258" s="193"/>
      <c r="H258" s="184"/>
      <c r="I258" s="229">
        <v>6936.3223603926526</v>
      </c>
      <c r="J258" s="192"/>
      <c r="K258" s="184"/>
      <c r="L258" s="184"/>
      <c r="M258" s="194">
        <v>13455.029560433144</v>
      </c>
      <c r="N258" s="184"/>
      <c r="O258" s="211">
        <v>13455.029560433144</v>
      </c>
      <c r="AA258" s="228" t="s">
        <v>1515</v>
      </c>
      <c r="AB258" s="448">
        <v>983.15800000000002</v>
      </c>
      <c r="AC258" s="933">
        <v>6.5693339999999987</v>
      </c>
      <c r="AD258" s="450">
        <v>6458.6932767719991</v>
      </c>
      <c r="AE258" s="448">
        <v>702.29</v>
      </c>
      <c r="AF258" s="933">
        <v>7.1145887219999988</v>
      </c>
      <c r="AG258" s="230">
        <v>4996.504513573379</v>
      </c>
      <c r="AH258" s="448"/>
      <c r="AI258" s="449"/>
      <c r="AJ258" s="230">
        <v>0</v>
      </c>
      <c r="AK258" s="451">
        <v>1685.4479999999999</v>
      </c>
      <c r="AL258" s="480">
        <v>6.7965299376458832</v>
      </c>
      <c r="AM258" s="453">
        <v>11455.197790345377</v>
      </c>
    </row>
    <row r="259" spans="1:39" ht="13.5" thickBot="1">
      <c r="A259" s="207" t="s">
        <v>7</v>
      </c>
      <c r="B259" s="208" t="s">
        <v>432</v>
      </c>
      <c r="C259" s="208"/>
      <c r="D259" s="231"/>
      <c r="E259" s="184"/>
      <c r="F259" s="193"/>
      <c r="G259" s="184"/>
      <c r="H259" s="184"/>
      <c r="I259" s="229"/>
      <c r="J259" s="192"/>
      <c r="K259" s="184"/>
      <c r="L259" s="184"/>
      <c r="M259" s="194"/>
      <c r="N259" s="184"/>
      <c r="O259" s="211">
        <v>0</v>
      </c>
      <c r="Q259" s="1799" t="s">
        <v>767</v>
      </c>
      <c r="R259" s="1800"/>
      <c r="S259" s="1801"/>
      <c r="T259" s="1802" t="s">
        <v>766</v>
      </c>
      <c r="U259" s="1803"/>
      <c r="V259" s="1804"/>
      <c r="W259" s="1802" t="s">
        <v>1051</v>
      </c>
      <c r="X259" s="1803"/>
      <c r="Y259" s="1804"/>
      <c r="AA259" s="228" t="s">
        <v>1516</v>
      </c>
      <c r="AB259" s="448">
        <v>150.869</v>
      </c>
      <c r="AC259" s="933">
        <v>7.6058459999999988</v>
      </c>
      <c r="AD259" s="450">
        <v>1147.4863801739998</v>
      </c>
      <c r="AE259" s="448">
        <v>103.476</v>
      </c>
      <c r="AF259" s="933">
        <v>8.2371312179999983</v>
      </c>
      <c r="AG259" s="230">
        <v>852.3453899137678</v>
      </c>
      <c r="AH259" s="448"/>
      <c r="AI259" s="449"/>
      <c r="AJ259" s="230">
        <v>0</v>
      </c>
      <c r="AK259" s="767">
        <v>254.345</v>
      </c>
      <c r="AL259" s="452">
        <v>7.8626738095412438</v>
      </c>
      <c r="AM259" s="230">
        <v>1999.8317700877676</v>
      </c>
    </row>
    <row r="260" spans="1:39" ht="14.25" thickBot="1">
      <c r="A260" s="207" t="s">
        <v>11</v>
      </c>
      <c r="B260" s="212" t="s">
        <v>865</v>
      </c>
      <c r="C260" s="208"/>
      <c r="D260" s="231"/>
      <c r="E260" s="184">
        <v>0</v>
      </c>
      <c r="F260" s="184"/>
      <c r="G260" s="184"/>
      <c r="H260" s="184"/>
      <c r="I260" s="192"/>
      <c r="J260" s="229"/>
      <c r="K260" s="184"/>
      <c r="L260" s="184"/>
      <c r="M260" s="184"/>
      <c r="N260" s="184"/>
      <c r="O260" s="211"/>
      <c r="P260" s="443" t="s">
        <v>1052</v>
      </c>
      <c r="Q260" s="444" t="s">
        <v>1053</v>
      </c>
      <c r="R260" s="1802" t="s">
        <v>417</v>
      </c>
      <c r="S260" s="446" t="s">
        <v>1054</v>
      </c>
      <c r="T260" s="444" t="s">
        <v>1053</v>
      </c>
      <c r="U260" s="1802" t="s">
        <v>417</v>
      </c>
      <c r="V260" s="446" t="s">
        <v>1054</v>
      </c>
      <c r="W260" s="1802" t="s">
        <v>1053</v>
      </c>
      <c r="X260" s="1802" t="s">
        <v>417</v>
      </c>
      <c r="Y260" s="446" t="s">
        <v>1054</v>
      </c>
      <c r="AA260" s="457" t="s">
        <v>435</v>
      </c>
      <c r="AB260" s="767">
        <v>13043.726999999999</v>
      </c>
      <c r="AC260" s="452">
        <v>6.5816723586399792</v>
      </c>
      <c r="AD260" s="230">
        <v>85849.537449545969</v>
      </c>
      <c r="AE260" s="767">
        <v>9036.2660000000014</v>
      </c>
      <c r="AF260" s="452">
        <v>7.1281015692916654</v>
      </c>
      <c r="AG260" s="230">
        <v>64411.421855136934</v>
      </c>
      <c r="AH260" s="767">
        <v>0</v>
      </c>
      <c r="AI260" s="446" t="e">
        <v>#DIV/0!</v>
      </c>
      <c r="AJ260" s="230">
        <v>0</v>
      </c>
      <c r="AK260" s="458">
        <v>22079.992999999999</v>
      </c>
      <c r="AL260" s="912">
        <v>6.8052992274355759</v>
      </c>
      <c r="AM260" s="459">
        <v>150260.95930468291</v>
      </c>
    </row>
    <row r="261" spans="1:39" ht="13.5" thickBot="1">
      <c r="A261" s="460" t="s">
        <v>12</v>
      </c>
      <c r="B261" s="461" t="s">
        <v>866</v>
      </c>
      <c r="C261" s="462" t="e">
        <v>#REF!</v>
      </c>
      <c r="D261" s="463" t="e">
        <v>#REF!</v>
      </c>
      <c r="E261" s="464"/>
      <c r="F261" s="465">
        <v>0</v>
      </c>
      <c r="G261" s="465"/>
      <c r="H261" s="464"/>
      <c r="I261" s="466"/>
      <c r="J261" s="467">
        <v>5.3924651823909073</v>
      </c>
      <c r="K261" s="468"/>
      <c r="L261" s="468"/>
      <c r="M261" s="468">
        <v>0</v>
      </c>
      <c r="N261" s="468"/>
      <c r="O261" s="469">
        <v>0</v>
      </c>
      <c r="P261" s="470" t="s">
        <v>864</v>
      </c>
      <c r="Q261" s="471">
        <v>5740.8600000000006</v>
      </c>
      <c r="R261" s="472">
        <v>5.4480000000000004</v>
      </c>
      <c r="S261" s="473">
        <v>31276.205280000006</v>
      </c>
      <c r="T261" s="471">
        <v>3081.4</v>
      </c>
      <c r="U261" s="472">
        <v>5.2889999999999997</v>
      </c>
      <c r="V261" s="474">
        <v>16297.524599999999</v>
      </c>
      <c r="W261" s="475">
        <v>8822.26</v>
      </c>
      <c r="X261" s="476">
        <v>5.3924651823909073</v>
      </c>
      <c r="Y261" s="477">
        <v>47573.729880000006</v>
      </c>
      <c r="Z261" s="478"/>
      <c r="AA261" s="768" t="s">
        <v>1280</v>
      </c>
      <c r="AB261" s="774">
        <v>0</v>
      </c>
      <c r="AC261" s="774" t="e">
        <v>#DIV/0!</v>
      </c>
      <c r="AD261" s="775">
        <v>0</v>
      </c>
      <c r="AE261" s="774">
        <v>0</v>
      </c>
      <c r="AF261" s="774" t="e">
        <v>#DIV/0!</v>
      </c>
      <c r="AG261" s="775">
        <v>0</v>
      </c>
      <c r="AH261" s="774">
        <v>0</v>
      </c>
      <c r="AI261" s="774" t="e">
        <v>#DIV/0!</v>
      </c>
      <c r="AJ261" s="775">
        <v>0</v>
      </c>
      <c r="AK261" s="774">
        <v>0</v>
      </c>
      <c r="AL261" s="774" t="e">
        <v>#DIV/0!</v>
      </c>
      <c r="AM261" s="775">
        <v>0</v>
      </c>
    </row>
    <row r="262" spans="1:39" ht="13.5" thickBot="1">
      <c r="A262" s="207"/>
      <c r="B262" s="479" t="s">
        <v>1055</v>
      </c>
      <c r="C262" s="225"/>
      <c r="D262" s="215"/>
      <c r="E262" s="192"/>
      <c r="F262" s="193">
        <v>0</v>
      </c>
      <c r="G262" s="193"/>
      <c r="H262" s="192"/>
      <c r="I262" s="229" t="e">
        <v>#DIV/0!</v>
      </c>
      <c r="J262" s="210"/>
      <c r="K262" s="194"/>
      <c r="L262" s="194"/>
      <c r="M262" s="194">
        <v>0</v>
      </c>
      <c r="N262" s="194"/>
      <c r="O262" s="211">
        <v>0</v>
      </c>
      <c r="P262" s="447"/>
      <c r="Q262" s="448"/>
      <c r="R262" s="449"/>
      <c r="S262" s="450"/>
      <c r="T262" s="448"/>
      <c r="U262" s="449"/>
      <c r="V262" s="230"/>
      <c r="W262" s="451"/>
      <c r="X262" s="480"/>
      <c r="Y262" s="453"/>
      <c r="AA262" s="479" t="s">
        <v>1055</v>
      </c>
      <c r="AB262" s="446"/>
      <c r="AC262" s="446"/>
      <c r="AD262" s="450">
        <v>0</v>
      </c>
      <c r="AE262" s="446"/>
      <c r="AF262" s="446"/>
      <c r="AG262" s="450">
        <v>0</v>
      </c>
      <c r="AH262" s="446"/>
      <c r="AI262" s="446"/>
      <c r="AJ262" s="450">
        <v>0</v>
      </c>
      <c r="AK262" s="767">
        <v>0</v>
      </c>
      <c r="AL262" s="452" t="e">
        <v>#DIV/0!</v>
      </c>
      <c r="AM262" s="230">
        <v>0</v>
      </c>
    </row>
    <row r="263" spans="1:39" ht="13.5" thickBot="1">
      <c r="A263" s="207"/>
      <c r="B263" s="479" t="s">
        <v>1056</v>
      </c>
      <c r="C263" s="225"/>
      <c r="D263" s="215"/>
      <c r="E263" s="192"/>
      <c r="F263" s="193">
        <v>0</v>
      </c>
      <c r="G263" s="193"/>
      <c r="H263" s="192"/>
      <c r="I263" s="229" t="e">
        <v>#DIV/0!</v>
      </c>
      <c r="J263" s="210"/>
      <c r="K263" s="194"/>
      <c r="L263" s="194"/>
      <c r="M263" s="194">
        <v>0</v>
      </c>
      <c r="N263" s="194"/>
      <c r="O263" s="211">
        <v>0</v>
      </c>
      <c r="P263" s="447"/>
      <c r="Q263" s="448"/>
      <c r="R263" s="449"/>
      <c r="S263" s="450"/>
      <c r="T263" s="448"/>
      <c r="U263" s="449"/>
      <c r="V263" s="230"/>
      <c r="W263" s="451"/>
      <c r="X263" s="480"/>
      <c r="Y263" s="453"/>
      <c r="AA263" s="479" t="s">
        <v>1056</v>
      </c>
      <c r="AB263" s="446"/>
      <c r="AC263" s="446"/>
      <c r="AD263" s="450">
        <v>0</v>
      </c>
      <c r="AE263" s="446"/>
      <c r="AF263" s="446"/>
      <c r="AG263" s="450">
        <v>0</v>
      </c>
      <c r="AH263" s="446"/>
      <c r="AI263" s="446"/>
      <c r="AJ263" s="450">
        <v>0</v>
      </c>
      <c r="AK263" s="767">
        <v>0</v>
      </c>
      <c r="AL263" s="452" t="e">
        <v>#DIV/0!</v>
      </c>
      <c r="AM263" s="230">
        <v>0</v>
      </c>
    </row>
    <row r="264" spans="1:39" ht="13.5" thickBot="1">
      <c r="A264" s="481"/>
      <c r="B264" s="482" t="s">
        <v>1057</v>
      </c>
      <c r="C264" s="483"/>
      <c r="D264" s="484"/>
      <c r="E264" s="485"/>
      <c r="F264" s="486">
        <v>0</v>
      </c>
      <c r="G264" s="486"/>
      <c r="H264" s="485"/>
      <c r="I264" s="487" t="e">
        <v>#DIV/0!</v>
      </c>
      <c r="J264" s="488"/>
      <c r="K264" s="489"/>
      <c r="L264" s="489"/>
      <c r="M264" s="489">
        <v>0</v>
      </c>
      <c r="N264" s="503"/>
      <c r="O264" s="490">
        <v>0</v>
      </c>
      <c r="P264" s="491"/>
      <c r="Q264" s="492"/>
      <c r="R264" s="493"/>
      <c r="S264" s="494"/>
      <c r="T264" s="492"/>
      <c r="U264" s="493"/>
      <c r="V264" s="495"/>
      <c r="W264" s="496"/>
      <c r="X264" s="497"/>
      <c r="Y264" s="498"/>
      <c r="Z264" s="499"/>
      <c r="AA264" s="482" t="s">
        <v>1057</v>
      </c>
      <c r="AB264" s="446"/>
      <c r="AC264" s="446"/>
      <c r="AD264" s="450">
        <v>0</v>
      </c>
      <c r="AE264" s="446"/>
      <c r="AF264" s="446"/>
      <c r="AG264" s="450">
        <v>0</v>
      </c>
      <c r="AH264" s="446"/>
      <c r="AI264" s="446"/>
      <c r="AJ264" s="450">
        <v>0</v>
      </c>
      <c r="AK264" s="767">
        <v>0</v>
      </c>
      <c r="AL264" s="452" t="e">
        <v>#DIV/0!</v>
      </c>
      <c r="AM264" s="230">
        <v>0</v>
      </c>
    </row>
    <row r="265" spans="1:39" ht="13.5" thickBot="1">
      <c r="A265" s="207"/>
      <c r="B265" s="479" t="s">
        <v>1058</v>
      </c>
      <c r="C265" s="225"/>
      <c r="D265" s="215"/>
      <c r="E265" s="192"/>
      <c r="F265" s="193">
        <v>0</v>
      </c>
      <c r="G265" s="193"/>
      <c r="H265" s="192"/>
      <c r="I265" s="229" t="e">
        <v>#DIV/0!</v>
      </c>
      <c r="J265" s="210"/>
      <c r="K265" s="194"/>
      <c r="L265" s="194"/>
      <c r="M265" s="194">
        <v>0</v>
      </c>
      <c r="N265" s="504"/>
      <c r="O265" s="211">
        <v>0</v>
      </c>
      <c r="P265" s="447"/>
      <c r="Q265" s="448"/>
      <c r="R265" s="449"/>
      <c r="S265" s="450"/>
      <c r="T265" s="448"/>
      <c r="U265" s="449"/>
      <c r="V265" s="230"/>
      <c r="W265" s="451"/>
      <c r="X265" s="480"/>
      <c r="Y265" s="453"/>
      <c r="AA265" s="479" t="s">
        <v>1058</v>
      </c>
      <c r="AB265" s="446"/>
      <c r="AC265" s="446"/>
      <c r="AD265" s="450">
        <v>0</v>
      </c>
      <c r="AE265" s="446"/>
      <c r="AF265" s="446"/>
      <c r="AG265" s="450">
        <v>0</v>
      </c>
      <c r="AH265" s="446"/>
      <c r="AI265" s="446"/>
      <c r="AJ265" s="450">
        <v>0</v>
      </c>
      <c r="AK265" s="767">
        <v>0</v>
      </c>
      <c r="AL265" s="452" t="e">
        <v>#DIV/0!</v>
      </c>
      <c r="AM265" s="230">
        <v>0</v>
      </c>
    </row>
    <row r="266" spans="1:39" ht="13.5" thickBot="1">
      <c r="A266" s="460" t="s">
        <v>18</v>
      </c>
      <c r="B266" s="461" t="s">
        <v>868</v>
      </c>
      <c r="C266" s="462" t="e">
        <v>#REF!</v>
      </c>
      <c r="D266" s="463" t="e">
        <v>#REF!</v>
      </c>
      <c r="E266" s="464"/>
      <c r="F266" s="465">
        <v>22.079993000000002</v>
      </c>
      <c r="G266" s="465"/>
      <c r="H266" s="464"/>
      <c r="I266" s="466"/>
      <c r="J266" s="464"/>
      <c r="K266" s="468"/>
      <c r="L266" s="468"/>
      <c r="M266" s="468">
        <v>150260.95930468291</v>
      </c>
      <c r="N266" s="505"/>
      <c r="O266" s="469">
        <v>150260.95930468291</v>
      </c>
      <c r="P266" s="500" t="s">
        <v>887</v>
      </c>
      <c r="Q266" s="471">
        <v>702.21</v>
      </c>
      <c r="R266" s="472">
        <v>4.6040000000000001</v>
      </c>
      <c r="S266" s="473">
        <v>3232.9748400000003</v>
      </c>
      <c r="T266" s="471">
        <v>419</v>
      </c>
      <c r="U266" s="472">
        <v>4.4880000000000004</v>
      </c>
      <c r="V266" s="474">
        <v>1880.4720000000002</v>
      </c>
      <c r="W266" s="501">
        <v>1121.21</v>
      </c>
      <c r="X266" s="502">
        <v>4.5606504044737388</v>
      </c>
      <c r="Y266" s="474">
        <v>5113.4468400000005</v>
      </c>
      <c r="Z266" s="478"/>
      <c r="AA266" s="768" t="s">
        <v>1281</v>
      </c>
      <c r="AB266" s="922">
        <v>13043.726999999999</v>
      </c>
      <c r="AC266" s="911">
        <v>6.5816723586399792</v>
      </c>
      <c r="AD266" s="775">
        <v>85849.537449545969</v>
      </c>
      <c r="AE266" s="922">
        <v>9036.2659999999996</v>
      </c>
      <c r="AF266" s="911">
        <v>7.1281015692916672</v>
      </c>
      <c r="AG266" s="775">
        <v>64411.421855136934</v>
      </c>
      <c r="AH266" s="922">
        <v>0</v>
      </c>
      <c r="AI266" s="911" t="e">
        <v>#DIV/0!</v>
      </c>
      <c r="AJ266" s="775">
        <v>0</v>
      </c>
      <c r="AK266" s="922">
        <v>22079.993000000002</v>
      </c>
      <c r="AL266" s="911">
        <v>6.805299227435575</v>
      </c>
      <c r="AM266" s="775">
        <v>150260.95930468291</v>
      </c>
    </row>
    <row r="267" spans="1:39">
      <c r="A267" s="207"/>
      <c r="B267" s="479" t="s">
        <v>1059</v>
      </c>
      <c r="C267" s="225" t="e">
        <v>#REF!</v>
      </c>
      <c r="D267" s="215" t="e">
        <v>#REF!</v>
      </c>
      <c r="E267" s="192"/>
      <c r="F267" s="193">
        <v>20.128</v>
      </c>
      <c r="G267" s="193"/>
      <c r="H267" s="192"/>
      <c r="I267" s="229">
        <v>6792.116930928456</v>
      </c>
      <c r="J267" s="184"/>
      <c r="K267" s="194"/>
      <c r="L267" s="194"/>
      <c r="M267" s="194">
        <v>136711.72958572797</v>
      </c>
      <c r="N267" s="504"/>
      <c r="O267" s="211">
        <v>136711.72958572797</v>
      </c>
      <c r="P267" s="457" t="s">
        <v>435</v>
      </c>
      <c r="Q267" s="446"/>
      <c r="R267" s="446"/>
      <c r="S267" s="446"/>
      <c r="T267" s="446"/>
      <c r="U267" s="446"/>
      <c r="V267" s="446"/>
      <c r="W267" s="458">
        <v>9943.4700000000012</v>
      </c>
      <c r="X267" s="454"/>
      <c r="Y267" s="459">
        <v>52687.176720000003</v>
      </c>
      <c r="AA267" s="479" t="s">
        <v>1059</v>
      </c>
      <c r="AB267" s="1410">
        <v>11904</v>
      </c>
      <c r="AC267" s="933">
        <v>6.5693339999999987</v>
      </c>
      <c r="AD267" s="450">
        <v>78201.351935999977</v>
      </c>
      <c r="AE267" s="767">
        <v>8224</v>
      </c>
      <c r="AF267" s="933">
        <v>7.1145887219999988</v>
      </c>
      <c r="AG267" s="450">
        <v>58510.377649727991</v>
      </c>
      <c r="AH267" s="446"/>
      <c r="AI267" s="446"/>
      <c r="AJ267" s="450">
        <v>0</v>
      </c>
      <c r="AK267" s="1410">
        <v>20128</v>
      </c>
      <c r="AL267" s="452">
        <v>6.7921169309284561</v>
      </c>
      <c r="AM267" s="230">
        <v>136711.72958572797</v>
      </c>
    </row>
    <row r="268" spans="1:39">
      <c r="A268" s="506"/>
      <c r="B268" s="482" t="s">
        <v>1057</v>
      </c>
      <c r="C268" s="507"/>
      <c r="D268" s="508"/>
      <c r="E268" s="509"/>
      <c r="F268" s="486">
        <v>1.9397930000000001</v>
      </c>
      <c r="G268" s="510"/>
      <c r="H268" s="509"/>
      <c r="I268" s="487">
        <v>6936.3223603926517</v>
      </c>
      <c r="J268" s="509"/>
      <c r="K268" s="511"/>
      <c r="L268" s="511"/>
      <c r="M268" s="489">
        <v>13455.029560433144</v>
      </c>
      <c r="N268" s="512"/>
      <c r="O268" s="490">
        <v>13455.029560433144</v>
      </c>
      <c r="AA268" s="482" t="s">
        <v>1057</v>
      </c>
      <c r="AB268" s="767">
        <v>1134.027</v>
      </c>
      <c r="AC268" s="452">
        <v>6.7072297722593888</v>
      </c>
      <c r="AD268" s="450">
        <v>7606.1796569459984</v>
      </c>
      <c r="AE268" s="767">
        <v>805.76599999999996</v>
      </c>
      <c r="AF268" s="452">
        <v>7.2587449749519672</v>
      </c>
      <c r="AG268" s="450">
        <v>5848.8499034871465</v>
      </c>
      <c r="AH268" s="446"/>
      <c r="AI268" s="446"/>
      <c r="AJ268" s="450">
        <v>0</v>
      </c>
      <c r="AK268" s="767">
        <v>1939.7930000000001</v>
      </c>
      <c r="AL268" s="452">
        <v>6.9363223603926514</v>
      </c>
      <c r="AM268" s="230">
        <v>13455.029560433144</v>
      </c>
    </row>
    <row r="269" spans="1:39">
      <c r="A269" s="207"/>
      <c r="B269" s="923" t="s">
        <v>1058</v>
      </c>
      <c r="C269" s="225"/>
      <c r="D269" s="215"/>
      <c r="E269" s="192"/>
      <c r="F269" s="192">
        <v>1.2199999999999999E-2</v>
      </c>
      <c r="G269" s="193"/>
      <c r="H269" s="192"/>
      <c r="I269" s="229">
        <v>7721.3244690000001</v>
      </c>
      <c r="J269" s="192"/>
      <c r="K269" s="194"/>
      <c r="L269" s="194"/>
      <c r="M269" s="194">
        <v>94.200158521799992</v>
      </c>
      <c r="N269" s="504"/>
      <c r="O269" s="211">
        <v>94.200158521799992</v>
      </c>
      <c r="P269" s="941"/>
      <c r="Q269" s="941"/>
      <c r="R269" s="941"/>
      <c r="S269" s="941"/>
      <c r="T269" s="941"/>
      <c r="U269" s="941"/>
      <c r="V269" s="941"/>
      <c r="W269" s="941"/>
      <c r="X269" s="941"/>
      <c r="Y269" s="941"/>
      <c r="Z269" s="941"/>
      <c r="AA269" s="923" t="s">
        <v>1517</v>
      </c>
      <c r="AB269" s="446">
        <v>1.3</v>
      </c>
      <c r="AC269" s="933">
        <v>6.5693339999999987</v>
      </c>
      <c r="AD269" s="230">
        <v>8.5401341999999989</v>
      </c>
      <c r="AE269" s="446">
        <v>1.2</v>
      </c>
      <c r="AF269" s="933">
        <v>7.1145887219999988</v>
      </c>
      <c r="AG269" s="230">
        <v>8.5375064663999982</v>
      </c>
      <c r="AH269" s="446"/>
      <c r="AI269" s="446"/>
      <c r="AJ269" s="230">
        <v>0</v>
      </c>
      <c r="AK269" s="767">
        <v>2.5</v>
      </c>
      <c r="AL269" s="452">
        <v>6.8310562665599992</v>
      </c>
      <c r="AM269" s="230">
        <v>17.077640666399997</v>
      </c>
    </row>
    <row r="270" spans="1:39" ht="13.5" thickBot="1">
      <c r="A270" s="934"/>
      <c r="B270" s="927"/>
      <c r="C270" s="935"/>
      <c r="D270" s="936"/>
      <c r="E270" s="937"/>
      <c r="F270" s="938"/>
      <c r="G270" s="938"/>
      <c r="H270" s="937"/>
      <c r="I270" s="939"/>
      <c r="J270" s="937"/>
      <c r="K270" s="940"/>
      <c r="L270" s="940"/>
      <c r="M270" s="940"/>
      <c r="N270" s="940"/>
      <c r="O270" s="940"/>
      <c r="AA270" s="927" t="s">
        <v>1518</v>
      </c>
      <c r="AB270" s="928">
        <v>4.4000000000000004</v>
      </c>
      <c r="AC270" s="931">
        <v>7.6058459999999988</v>
      </c>
      <c r="AD270" s="929">
        <v>33.465722399999997</v>
      </c>
      <c r="AE270" s="928">
        <v>5.3</v>
      </c>
      <c r="AF270" s="931">
        <v>8.2371312179999983</v>
      </c>
      <c r="AG270" s="929">
        <v>43.656795455399987</v>
      </c>
      <c r="AH270" s="928"/>
      <c r="AI270" s="928"/>
      <c r="AJ270" s="929">
        <v>0</v>
      </c>
      <c r="AK270" s="930">
        <v>9.6999999999999993</v>
      </c>
      <c r="AL270" s="931">
        <v>7.9507750366391745</v>
      </c>
      <c r="AM270" s="929">
        <v>77.122517855399991</v>
      </c>
    </row>
    <row r="271" spans="1:39">
      <c r="A271" s="522" t="s">
        <v>869</v>
      </c>
      <c r="B271" s="523" t="s">
        <v>871</v>
      </c>
      <c r="C271" s="524"/>
      <c r="D271" s="524"/>
      <c r="E271" s="525"/>
      <c r="F271" s="526">
        <v>164</v>
      </c>
      <c r="G271" s="526"/>
      <c r="H271" s="525"/>
      <c r="I271" s="527"/>
      <c r="J271" s="527">
        <v>5.3757713414634152</v>
      </c>
      <c r="K271" s="528"/>
      <c r="L271" s="528"/>
      <c r="M271" s="528">
        <v>881.62650000000008</v>
      </c>
      <c r="N271" s="528"/>
      <c r="O271" s="529">
        <v>881.62650000000008</v>
      </c>
    </row>
    <row r="272" spans="1:39">
      <c r="A272" s="207" t="s">
        <v>872</v>
      </c>
      <c r="B272" s="208" t="s">
        <v>873</v>
      </c>
      <c r="C272" s="216"/>
      <c r="D272" s="216"/>
      <c r="E272" s="192"/>
      <c r="F272" s="193"/>
      <c r="G272" s="193"/>
      <c r="H272" s="192"/>
      <c r="I272" s="192"/>
      <c r="J272" s="192"/>
      <c r="K272" s="194"/>
      <c r="L272" s="194"/>
      <c r="M272" s="194">
        <v>0</v>
      </c>
      <c r="N272" s="194"/>
      <c r="O272" s="211">
        <v>0</v>
      </c>
    </row>
    <row r="273" spans="1:39">
      <c r="A273" s="207" t="s">
        <v>874</v>
      </c>
      <c r="B273" s="208" t="s">
        <v>875</v>
      </c>
      <c r="C273" s="216"/>
      <c r="D273" s="216"/>
      <c r="E273" s="192"/>
      <c r="F273" s="193">
        <v>164</v>
      </c>
      <c r="G273" s="193"/>
      <c r="H273" s="192"/>
      <c r="I273" s="192"/>
      <c r="J273" s="210">
        <v>5.3757713414634152</v>
      </c>
      <c r="K273" s="194"/>
      <c r="L273" s="194"/>
      <c r="M273" s="194">
        <v>881.62650000000008</v>
      </c>
      <c r="N273" s="194"/>
      <c r="O273" s="211">
        <v>881.62650000000008</v>
      </c>
    </row>
    <row r="274" spans="1:39">
      <c r="A274" s="207" t="s">
        <v>876</v>
      </c>
      <c r="B274" s="208" t="s">
        <v>883</v>
      </c>
      <c r="C274" s="216"/>
      <c r="D274" s="216"/>
      <c r="E274" s="192"/>
      <c r="F274" s="193"/>
      <c r="G274" s="193"/>
      <c r="H274" s="192"/>
      <c r="I274" s="192"/>
      <c r="J274" s="192"/>
      <c r="K274" s="194"/>
      <c r="L274" s="194"/>
      <c r="M274" s="194">
        <v>0</v>
      </c>
      <c r="N274" s="194"/>
      <c r="O274" s="211">
        <v>0</v>
      </c>
    </row>
    <row r="275" spans="1:39" ht="13.5" thickBot="1">
      <c r="A275" s="232" t="s">
        <v>878</v>
      </c>
      <c r="B275" s="233" t="s">
        <v>884</v>
      </c>
      <c r="C275" s="234"/>
      <c r="D275" s="234"/>
      <c r="E275" s="235"/>
      <c r="F275" s="236"/>
      <c r="G275" s="236"/>
      <c r="H275" s="235"/>
      <c r="I275" s="235"/>
      <c r="J275" s="235"/>
      <c r="K275" s="237"/>
      <c r="L275" s="237"/>
      <c r="M275" s="237">
        <v>0</v>
      </c>
      <c r="N275" s="237"/>
      <c r="O275" s="238">
        <v>0</v>
      </c>
    </row>
    <row r="276" spans="1:39">
      <c r="A276" s="1795" t="s">
        <v>1871</v>
      </c>
      <c r="B276" s="1796"/>
      <c r="C276" s="1796"/>
      <c r="D276" s="1796"/>
      <c r="E276" s="1796"/>
      <c r="F276" s="1796"/>
      <c r="G276" s="1796"/>
      <c r="H276" s="1796"/>
      <c r="I276" s="1796"/>
      <c r="J276" s="1796"/>
      <c r="K276" s="1796"/>
      <c r="L276" s="1796"/>
      <c r="M276" s="1796"/>
      <c r="N276" s="1796"/>
      <c r="O276" s="1798"/>
      <c r="AA276" s="519"/>
      <c r="AB276" s="519"/>
      <c r="AC276" s="519"/>
      <c r="AD276" s="519"/>
      <c r="AE276" s="519"/>
      <c r="AF276" s="519"/>
      <c r="AG276" s="519"/>
      <c r="AH276" s="519"/>
      <c r="AI276" s="519"/>
      <c r="AJ276" s="519"/>
      <c r="AK276" s="519"/>
      <c r="AL276" s="519"/>
      <c r="AM276" s="519"/>
    </row>
    <row r="277" spans="1:39" ht="25.5">
      <c r="A277" s="207">
        <v>1</v>
      </c>
      <c r="B277" s="218" t="s">
        <v>863</v>
      </c>
      <c r="C277" s="222" t="e">
        <v>#REF!</v>
      </c>
      <c r="D277" s="222" t="e">
        <v>#REF!</v>
      </c>
      <c r="E277" s="187"/>
      <c r="F277" s="188">
        <v>13.043726999999999</v>
      </c>
      <c r="G277" s="188"/>
      <c r="H277" s="187"/>
      <c r="I277" s="187"/>
      <c r="J277" s="187"/>
      <c r="K277" s="189"/>
      <c r="L277" s="189"/>
      <c r="M277" s="189">
        <v>85849.537449545969</v>
      </c>
      <c r="N277" s="189"/>
      <c r="O277" s="213">
        <v>85849.537449545969</v>
      </c>
      <c r="AA277" s="780"/>
      <c r="AB277" s="781"/>
      <c r="AC277" s="781"/>
      <c r="AD277" s="519"/>
      <c r="AE277" s="781"/>
      <c r="AF277" s="781"/>
      <c r="AG277" s="519"/>
      <c r="AH277" s="781"/>
      <c r="AI277" s="781"/>
      <c r="AJ277" s="519"/>
      <c r="AK277" s="781"/>
      <c r="AL277" s="781"/>
      <c r="AM277" s="519"/>
    </row>
    <row r="278" spans="1:39">
      <c r="A278" s="207" t="s">
        <v>5</v>
      </c>
      <c r="B278" s="208" t="s">
        <v>1870</v>
      </c>
      <c r="C278" s="209"/>
      <c r="D278" s="209"/>
      <c r="E278" s="192"/>
      <c r="F278" s="193">
        <v>11.909699999999999</v>
      </c>
      <c r="G278" s="193"/>
      <c r="H278" s="192"/>
      <c r="I278" s="229">
        <v>6569.7169359933487</v>
      </c>
      <c r="J278" s="192">
        <v>5.3924651823909073</v>
      </c>
      <c r="K278" s="194"/>
      <c r="L278" s="194"/>
      <c r="M278" s="194">
        <v>78243.357792599971</v>
      </c>
      <c r="N278" s="194"/>
      <c r="O278" s="211">
        <v>78243.357792599971</v>
      </c>
      <c r="AA278" s="782"/>
      <c r="AB278" s="520"/>
      <c r="AC278" s="519"/>
      <c r="AD278" s="521"/>
      <c r="AE278" s="520"/>
      <c r="AF278" s="519"/>
      <c r="AG278" s="521"/>
      <c r="AH278" s="520"/>
      <c r="AI278" s="519"/>
      <c r="AJ278" s="521"/>
      <c r="AK278" s="520"/>
      <c r="AL278" s="783"/>
      <c r="AM278" s="521"/>
    </row>
    <row r="279" spans="1:39">
      <c r="A279" s="207" t="s">
        <v>6</v>
      </c>
      <c r="B279" s="208" t="s">
        <v>429</v>
      </c>
      <c r="C279" s="208"/>
      <c r="D279" s="231"/>
      <c r="E279" s="184"/>
      <c r="F279" s="193">
        <v>1.1340270000000001</v>
      </c>
      <c r="G279" s="193"/>
      <c r="H279" s="184"/>
      <c r="I279" s="229">
        <v>6707.2297722593885</v>
      </c>
      <c r="J279" s="192"/>
      <c r="K279" s="184"/>
      <c r="L279" s="184"/>
      <c r="M279" s="194">
        <v>7606.1796569459984</v>
      </c>
      <c r="N279" s="184"/>
      <c r="O279" s="211">
        <v>7606.1796569459984</v>
      </c>
      <c r="AA279" s="784"/>
      <c r="AB279" s="520"/>
      <c r="AC279" s="519"/>
      <c r="AD279" s="521"/>
      <c r="AE279" s="520"/>
      <c r="AF279" s="519"/>
      <c r="AG279" s="521"/>
      <c r="AH279" s="520"/>
      <c r="AI279" s="519"/>
      <c r="AJ279" s="521"/>
      <c r="AK279" s="520"/>
      <c r="AL279" s="783"/>
      <c r="AM279" s="521"/>
    </row>
    <row r="280" spans="1:39">
      <c r="A280" s="207" t="s">
        <v>7</v>
      </c>
      <c r="B280" s="208" t="s">
        <v>432</v>
      </c>
      <c r="C280" s="208"/>
      <c r="D280" s="231"/>
      <c r="E280" s="184"/>
      <c r="F280" s="193"/>
      <c r="G280" s="184"/>
      <c r="H280" s="184"/>
      <c r="I280" s="229"/>
      <c r="J280" s="192"/>
      <c r="K280" s="184"/>
      <c r="L280" s="184"/>
      <c r="M280" s="194"/>
      <c r="N280" s="184"/>
      <c r="O280" s="211">
        <v>0</v>
      </c>
      <c r="Q280" s="1799" t="s">
        <v>767</v>
      </c>
      <c r="R280" s="1800"/>
      <c r="S280" s="1801"/>
      <c r="T280" s="1802" t="s">
        <v>766</v>
      </c>
      <c r="U280" s="1803"/>
      <c r="V280" s="1804"/>
      <c r="W280" s="1802" t="s">
        <v>1051</v>
      </c>
      <c r="X280" s="1803"/>
      <c r="Y280" s="1804"/>
      <c r="AA280" s="784"/>
      <c r="AB280" s="520"/>
      <c r="AC280" s="519"/>
      <c r="AD280" s="521"/>
      <c r="AE280" s="520"/>
      <c r="AF280" s="519"/>
      <c r="AG280" s="521"/>
      <c r="AH280" s="520"/>
      <c r="AI280" s="519"/>
      <c r="AJ280" s="521"/>
      <c r="AK280" s="520"/>
      <c r="AL280" s="783"/>
      <c r="AM280" s="521"/>
    </row>
    <row r="281" spans="1:39" ht="14.25" thickBot="1">
      <c r="A281" s="207" t="s">
        <v>11</v>
      </c>
      <c r="B281" s="212" t="s">
        <v>865</v>
      </c>
      <c r="C281" s="208"/>
      <c r="D281" s="231"/>
      <c r="E281" s="184">
        <v>0</v>
      </c>
      <c r="F281" s="184"/>
      <c r="G281" s="184"/>
      <c r="H281" s="184"/>
      <c r="I281" s="192"/>
      <c r="J281" s="229"/>
      <c r="K281" s="184"/>
      <c r="L281" s="184"/>
      <c r="M281" s="184"/>
      <c r="N281" s="184"/>
      <c r="O281" s="211"/>
      <c r="P281" s="443" t="s">
        <v>1052</v>
      </c>
      <c r="Q281" s="444" t="s">
        <v>1053</v>
      </c>
      <c r="R281" s="1802" t="s">
        <v>417</v>
      </c>
      <c r="S281" s="446" t="s">
        <v>1054</v>
      </c>
      <c r="T281" s="444" t="s">
        <v>1053</v>
      </c>
      <c r="U281" s="1802" t="s">
        <v>417</v>
      </c>
      <c r="V281" s="446" t="s">
        <v>1054</v>
      </c>
      <c r="W281" s="1802" t="s">
        <v>1053</v>
      </c>
      <c r="X281" s="1802" t="s">
        <v>417</v>
      </c>
      <c r="Y281" s="446" t="s">
        <v>1054</v>
      </c>
      <c r="AA281" s="787"/>
      <c r="AB281" s="520"/>
      <c r="AC281" s="519"/>
      <c r="AD281" s="521"/>
      <c r="AE281" s="520"/>
      <c r="AF281" s="519"/>
      <c r="AG281" s="521"/>
      <c r="AH281" s="520"/>
      <c r="AI281" s="519"/>
      <c r="AJ281" s="521"/>
      <c r="AK281" s="520"/>
      <c r="AL281" s="519"/>
      <c r="AM281" s="521"/>
    </row>
    <row r="282" spans="1:39" ht="13.5" thickBot="1">
      <c r="A282" s="460" t="s">
        <v>12</v>
      </c>
      <c r="B282" s="461" t="s">
        <v>866</v>
      </c>
      <c r="C282" s="462" t="e">
        <v>#REF!</v>
      </c>
      <c r="D282" s="463" t="e">
        <v>#REF!</v>
      </c>
      <c r="E282" s="464"/>
      <c r="F282" s="465">
        <v>0</v>
      </c>
      <c r="G282" s="465"/>
      <c r="H282" s="464"/>
      <c r="I282" s="466"/>
      <c r="J282" s="467">
        <v>5.3924651823909073</v>
      </c>
      <c r="K282" s="468"/>
      <c r="L282" s="468"/>
      <c r="M282" s="468">
        <v>0</v>
      </c>
      <c r="N282" s="468"/>
      <c r="O282" s="469">
        <v>0</v>
      </c>
      <c r="P282" s="470" t="s">
        <v>864</v>
      </c>
      <c r="Q282" s="471">
        <v>5740.8600000000006</v>
      </c>
      <c r="R282" s="472">
        <v>5.4480000000000004</v>
      </c>
      <c r="S282" s="473">
        <v>31276.205280000006</v>
      </c>
      <c r="T282" s="471">
        <v>3081.4</v>
      </c>
      <c r="U282" s="472">
        <v>5.2889999999999997</v>
      </c>
      <c r="V282" s="474">
        <v>16297.524599999999</v>
      </c>
      <c r="W282" s="475">
        <v>8822.26</v>
      </c>
      <c r="X282" s="476">
        <v>5.3924651823909073</v>
      </c>
      <c r="Y282" s="477">
        <v>47573.729880000006</v>
      </c>
      <c r="Z282" s="478"/>
      <c r="AA282" s="789"/>
      <c r="AB282" s="789"/>
      <c r="AC282" s="789"/>
      <c r="AD282" s="790"/>
      <c r="AE282" s="789"/>
      <c r="AF282" s="789"/>
      <c r="AG282" s="790"/>
      <c r="AH282" s="789"/>
      <c r="AI282" s="789"/>
      <c r="AJ282" s="790"/>
      <c r="AK282" s="789"/>
      <c r="AL282" s="789"/>
      <c r="AM282" s="790"/>
    </row>
    <row r="283" spans="1:39" ht="13.5" thickBot="1">
      <c r="A283" s="207"/>
      <c r="B283" s="479" t="s">
        <v>1059</v>
      </c>
      <c r="C283" s="225"/>
      <c r="D283" s="215"/>
      <c r="E283" s="192"/>
      <c r="F283" s="193">
        <v>0</v>
      </c>
      <c r="G283" s="193"/>
      <c r="H283" s="192"/>
      <c r="I283" s="229">
        <v>0</v>
      </c>
      <c r="J283" s="210"/>
      <c r="K283" s="194"/>
      <c r="L283" s="194"/>
      <c r="M283" s="194">
        <v>0</v>
      </c>
      <c r="N283" s="194"/>
      <c r="O283" s="211">
        <v>0</v>
      </c>
      <c r="P283" s="447"/>
      <c r="Q283" s="448"/>
      <c r="R283" s="449"/>
      <c r="S283" s="450"/>
      <c r="T283" s="448"/>
      <c r="U283" s="449"/>
      <c r="V283" s="230"/>
      <c r="W283" s="451"/>
      <c r="X283" s="480"/>
      <c r="Y283" s="453"/>
      <c r="AA283" s="792"/>
      <c r="AB283" s="519"/>
      <c r="AC283" s="519"/>
      <c r="AD283" s="521"/>
      <c r="AE283" s="519"/>
      <c r="AF283" s="519"/>
      <c r="AG283" s="521"/>
      <c r="AH283" s="519"/>
      <c r="AI283" s="519"/>
      <c r="AJ283" s="521"/>
      <c r="AK283" s="520"/>
      <c r="AL283" s="783"/>
      <c r="AM283" s="521"/>
    </row>
    <row r="284" spans="1:39" ht="13.5" thickBot="1">
      <c r="A284" s="207"/>
      <c r="B284" s="479" t="s">
        <v>1056</v>
      </c>
      <c r="C284" s="225"/>
      <c r="D284" s="215"/>
      <c r="E284" s="192"/>
      <c r="F284" s="193">
        <v>0</v>
      </c>
      <c r="G284" s="193"/>
      <c r="H284" s="192"/>
      <c r="I284" s="229">
        <v>0</v>
      </c>
      <c r="J284" s="210"/>
      <c r="K284" s="194"/>
      <c r="L284" s="194"/>
      <c r="M284" s="194">
        <v>0</v>
      </c>
      <c r="N284" s="194"/>
      <c r="O284" s="211">
        <v>0</v>
      </c>
      <c r="P284" s="447"/>
      <c r="Q284" s="448"/>
      <c r="R284" s="449"/>
      <c r="S284" s="450"/>
      <c r="T284" s="448"/>
      <c r="U284" s="449"/>
      <c r="V284" s="230"/>
      <c r="W284" s="451"/>
      <c r="X284" s="480"/>
      <c r="Y284" s="453"/>
      <c r="AA284" s="792"/>
      <c r="AB284" s="519"/>
      <c r="AC284" s="519"/>
      <c r="AD284" s="521"/>
      <c r="AE284" s="519"/>
      <c r="AF284" s="519"/>
      <c r="AG284" s="521"/>
      <c r="AH284" s="519"/>
      <c r="AI284" s="519"/>
      <c r="AJ284" s="521"/>
      <c r="AK284" s="520"/>
      <c r="AL284" s="783"/>
      <c r="AM284" s="521"/>
    </row>
    <row r="285" spans="1:39" ht="13.5" thickBot="1">
      <c r="A285" s="481"/>
      <c r="B285" s="482" t="s">
        <v>1057</v>
      </c>
      <c r="C285" s="483"/>
      <c r="D285" s="484"/>
      <c r="E285" s="485"/>
      <c r="F285" s="486">
        <v>0</v>
      </c>
      <c r="G285" s="486"/>
      <c r="H285" s="485"/>
      <c r="I285" s="487">
        <v>0</v>
      </c>
      <c r="J285" s="488"/>
      <c r="K285" s="489"/>
      <c r="L285" s="489"/>
      <c r="M285" s="489">
        <v>0</v>
      </c>
      <c r="N285" s="503"/>
      <c r="O285" s="490">
        <v>0</v>
      </c>
      <c r="P285" s="491"/>
      <c r="Q285" s="492"/>
      <c r="R285" s="493"/>
      <c r="S285" s="494"/>
      <c r="T285" s="492"/>
      <c r="U285" s="493"/>
      <c r="V285" s="495"/>
      <c r="W285" s="496"/>
      <c r="X285" s="497"/>
      <c r="Y285" s="498"/>
      <c r="Z285" s="499"/>
      <c r="AA285" s="793"/>
      <c r="AB285" s="519"/>
      <c r="AC285" s="519"/>
      <c r="AD285" s="521"/>
      <c r="AE285" s="519"/>
      <c r="AF285" s="519"/>
      <c r="AG285" s="521"/>
      <c r="AH285" s="519"/>
      <c r="AI285" s="519"/>
      <c r="AJ285" s="521"/>
      <c r="AK285" s="520"/>
      <c r="AL285" s="783"/>
      <c r="AM285" s="521"/>
    </row>
    <row r="286" spans="1:39" ht="13.5" thickBot="1">
      <c r="A286" s="207"/>
      <c r="B286" s="479" t="s">
        <v>1058</v>
      </c>
      <c r="C286" s="225"/>
      <c r="D286" s="215"/>
      <c r="E286" s="192"/>
      <c r="F286" s="193">
        <v>0</v>
      </c>
      <c r="G286" s="193"/>
      <c r="H286" s="192"/>
      <c r="I286" s="229">
        <v>0</v>
      </c>
      <c r="J286" s="210"/>
      <c r="K286" s="194"/>
      <c r="L286" s="194"/>
      <c r="M286" s="194">
        <v>0</v>
      </c>
      <c r="N286" s="504"/>
      <c r="O286" s="211">
        <v>0</v>
      </c>
      <c r="P286" s="447"/>
      <c r="Q286" s="448"/>
      <c r="R286" s="449"/>
      <c r="S286" s="450"/>
      <c r="T286" s="448"/>
      <c r="U286" s="449"/>
      <c r="V286" s="230"/>
      <c r="W286" s="451"/>
      <c r="X286" s="480"/>
      <c r="Y286" s="453"/>
      <c r="AA286" s="792"/>
      <c r="AB286" s="519"/>
      <c r="AC286" s="519"/>
      <c r="AD286" s="521"/>
      <c r="AE286" s="519"/>
      <c r="AF286" s="519"/>
      <c r="AG286" s="521"/>
      <c r="AH286" s="519"/>
      <c r="AI286" s="519"/>
      <c r="AJ286" s="521"/>
      <c r="AK286" s="520"/>
      <c r="AL286" s="783"/>
      <c r="AM286" s="521"/>
    </row>
    <row r="287" spans="1:39" ht="13.5" thickBot="1">
      <c r="A287" s="460" t="s">
        <v>18</v>
      </c>
      <c r="B287" s="461" t="s">
        <v>868</v>
      </c>
      <c r="C287" s="462" t="e">
        <v>#REF!</v>
      </c>
      <c r="D287" s="463" t="e">
        <v>#REF!</v>
      </c>
      <c r="E287" s="464"/>
      <c r="F287" s="465">
        <v>13.043726999999999</v>
      </c>
      <c r="G287" s="465"/>
      <c r="H287" s="464"/>
      <c r="I287" s="466"/>
      <c r="J287" s="464"/>
      <c r="K287" s="468"/>
      <c r="L287" s="468"/>
      <c r="M287" s="468">
        <v>85849.537449545969</v>
      </c>
      <c r="N287" s="505"/>
      <c r="O287" s="469">
        <v>85849.537449545969</v>
      </c>
      <c r="P287" s="500" t="s">
        <v>887</v>
      </c>
      <c r="Q287" s="471">
        <v>702.21</v>
      </c>
      <c r="R287" s="472">
        <v>4.6040000000000001</v>
      </c>
      <c r="S287" s="473">
        <v>3232.9748400000003</v>
      </c>
      <c r="T287" s="471">
        <v>419</v>
      </c>
      <c r="U287" s="472">
        <v>4.4880000000000004</v>
      </c>
      <c r="V287" s="474">
        <v>1880.4720000000002</v>
      </c>
      <c r="W287" s="501">
        <v>1121.21</v>
      </c>
      <c r="X287" s="502">
        <v>4.5606504044737388</v>
      </c>
      <c r="Y287" s="474">
        <v>5113.4468400000005</v>
      </c>
      <c r="Z287" s="478"/>
      <c r="AA287" s="789"/>
      <c r="AB287" s="789"/>
      <c r="AC287" s="789"/>
      <c r="AD287" s="790"/>
      <c r="AE287" s="789"/>
      <c r="AF287" s="789"/>
      <c r="AG287" s="790"/>
      <c r="AH287" s="789"/>
      <c r="AI287" s="789"/>
      <c r="AJ287" s="790"/>
      <c r="AK287" s="789"/>
      <c r="AL287" s="789"/>
      <c r="AM287" s="790"/>
    </row>
    <row r="288" spans="1:39">
      <c r="A288" s="207"/>
      <c r="B288" s="479" t="s">
        <v>1059</v>
      </c>
      <c r="C288" s="225" t="e">
        <v>#REF!</v>
      </c>
      <c r="D288" s="215" t="e">
        <v>#REF!</v>
      </c>
      <c r="E288" s="192"/>
      <c r="F288" s="193">
        <v>11.904</v>
      </c>
      <c r="G288" s="193"/>
      <c r="H288" s="192"/>
      <c r="I288" s="229">
        <v>6569.3339999999989</v>
      </c>
      <c r="J288" s="184"/>
      <c r="K288" s="194"/>
      <c r="L288" s="194"/>
      <c r="M288" s="194">
        <v>78201.351935999977</v>
      </c>
      <c r="N288" s="504"/>
      <c r="O288" s="211">
        <v>78201.351935999977</v>
      </c>
      <c r="P288" s="457" t="s">
        <v>435</v>
      </c>
      <c r="Q288" s="446"/>
      <c r="R288" s="446"/>
      <c r="S288" s="446"/>
      <c r="T288" s="446"/>
      <c r="U288" s="446"/>
      <c r="V288" s="446"/>
      <c r="W288" s="458">
        <v>9943.4700000000012</v>
      </c>
      <c r="X288" s="454"/>
      <c r="Y288" s="459">
        <v>52687.176720000003</v>
      </c>
      <c r="AA288" s="792"/>
      <c r="AB288" s="519"/>
      <c r="AC288" s="519"/>
      <c r="AD288" s="521"/>
      <c r="AE288" s="519"/>
      <c r="AF288" s="519"/>
      <c r="AG288" s="521"/>
      <c r="AH288" s="519"/>
      <c r="AI288" s="519"/>
      <c r="AJ288" s="521"/>
      <c r="AK288" s="520"/>
      <c r="AL288" s="783"/>
      <c r="AM288" s="521"/>
    </row>
    <row r="289" spans="1:39">
      <c r="A289" s="506"/>
      <c r="B289" s="482" t="s">
        <v>1057</v>
      </c>
      <c r="C289" s="507"/>
      <c r="D289" s="508"/>
      <c r="E289" s="509"/>
      <c r="F289" s="486">
        <v>1.1340270000000001</v>
      </c>
      <c r="G289" s="510"/>
      <c r="H289" s="509"/>
      <c r="I289" s="487">
        <v>6707.2297722593885</v>
      </c>
      <c r="J289" s="509"/>
      <c r="K289" s="511"/>
      <c r="L289" s="511"/>
      <c r="M289" s="489">
        <v>7606.1796569459984</v>
      </c>
      <c r="N289" s="512"/>
      <c r="O289" s="490">
        <v>7606.1796569459984</v>
      </c>
      <c r="AA289" s="793"/>
      <c r="AB289" s="519"/>
      <c r="AC289" s="519"/>
      <c r="AD289" s="521"/>
      <c r="AE289" s="519"/>
      <c r="AF289" s="519"/>
      <c r="AG289" s="521"/>
      <c r="AH289" s="519"/>
      <c r="AI289" s="519"/>
      <c r="AJ289" s="521"/>
      <c r="AK289" s="520"/>
      <c r="AL289" s="783"/>
      <c r="AM289" s="521"/>
    </row>
    <row r="290" spans="1:39" ht="13.5" thickBot="1">
      <c r="A290" s="232"/>
      <c r="B290" s="514" t="s">
        <v>1058</v>
      </c>
      <c r="C290" s="515"/>
      <c r="D290" s="516"/>
      <c r="E290" s="235"/>
      <c r="F290" s="943">
        <v>5.7000000000000002E-3</v>
      </c>
      <c r="G290" s="236"/>
      <c r="H290" s="235"/>
      <c r="I290" s="517">
        <v>7369.4485263157885</v>
      </c>
      <c r="J290" s="235"/>
      <c r="K290" s="237"/>
      <c r="L290" s="237"/>
      <c r="M290" s="237">
        <v>42.005856599999994</v>
      </c>
      <c r="N290" s="518"/>
      <c r="O290" s="238">
        <v>42.005856599999994</v>
      </c>
      <c r="AA290" s="795"/>
      <c r="AB290" s="519"/>
      <c r="AC290" s="519"/>
      <c r="AD290" s="521"/>
      <c r="AE290" s="519"/>
      <c r="AF290" s="519"/>
      <c r="AG290" s="521"/>
      <c r="AH290" s="519"/>
      <c r="AI290" s="519"/>
      <c r="AJ290" s="521"/>
      <c r="AK290" s="520"/>
      <c r="AL290" s="783"/>
      <c r="AM290" s="521"/>
    </row>
    <row r="291" spans="1:39">
      <c r="A291" s="1795" t="s">
        <v>1872</v>
      </c>
      <c r="B291" s="1796"/>
      <c r="C291" s="1796"/>
      <c r="D291" s="1796"/>
      <c r="E291" s="1796"/>
      <c r="F291" s="1797"/>
      <c r="G291" s="1796"/>
      <c r="H291" s="1796"/>
      <c r="I291" s="1797"/>
      <c r="J291" s="1796"/>
      <c r="K291" s="1796"/>
      <c r="L291" s="1796"/>
      <c r="M291" s="1797"/>
      <c r="N291" s="1796"/>
      <c r="O291" s="1798"/>
      <c r="AA291" s="519"/>
      <c r="AB291" s="519"/>
      <c r="AC291" s="519"/>
      <c r="AD291" s="519"/>
      <c r="AE291" s="519"/>
      <c r="AF291" s="519"/>
      <c r="AG291" s="519"/>
      <c r="AH291" s="519"/>
      <c r="AI291" s="519"/>
      <c r="AJ291" s="519"/>
      <c r="AK291" s="519"/>
      <c r="AL291" s="519"/>
      <c r="AM291" s="519"/>
    </row>
    <row r="292" spans="1:39" ht="25.5">
      <c r="A292" s="207">
        <v>1</v>
      </c>
      <c r="B292" s="218" t="s">
        <v>863</v>
      </c>
      <c r="C292" s="222" t="e">
        <v>#REF!</v>
      </c>
      <c r="D292" s="222" t="e">
        <v>#REF!</v>
      </c>
      <c r="E292" s="187"/>
      <c r="F292" s="188">
        <v>9.0362659999999995</v>
      </c>
      <c r="G292" s="188"/>
      <c r="H292" s="187"/>
      <c r="I292" s="187"/>
      <c r="J292" s="187"/>
      <c r="K292" s="189"/>
      <c r="L292" s="189"/>
      <c r="M292" s="189">
        <v>64411.421855136934</v>
      </c>
      <c r="N292" s="189"/>
      <c r="O292" s="213">
        <v>64411.421855136934</v>
      </c>
      <c r="AA292" s="780"/>
      <c r="AB292" s="781"/>
      <c r="AC292" s="781"/>
      <c r="AD292" s="519"/>
      <c r="AE292" s="781"/>
      <c r="AF292" s="781"/>
      <c r="AG292" s="519"/>
      <c r="AH292" s="781"/>
      <c r="AI292" s="781"/>
      <c r="AJ292" s="519"/>
      <c r="AK292" s="781"/>
      <c r="AL292" s="781"/>
      <c r="AM292" s="519"/>
    </row>
    <row r="293" spans="1:39">
      <c r="A293" s="207" t="s">
        <v>5</v>
      </c>
      <c r="B293" s="208" t="s">
        <v>1870</v>
      </c>
      <c r="C293" s="209"/>
      <c r="D293" s="209"/>
      <c r="E293" s="192"/>
      <c r="F293" s="193">
        <v>8.2304999999999993</v>
      </c>
      <c r="G293" s="193"/>
      <c r="H293" s="192"/>
      <c r="I293" s="229">
        <v>7115.3115790838692</v>
      </c>
      <c r="J293" s="192">
        <v>5.3924651823909073</v>
      </c>
      <c r="K293" s="194"/>
      <c r="L293" s="194"/>
      <c r="M293" s="194">
        <v>58562.571951649785</v>
      </c>
      <c r="N293" s="194"/>
      <c r="O293" s="211">
        <v>58562.571951649785</v>
      </c>
      <c r="AA293" s="782"/>
      <c r="AB293" s="520"/>
      <c r="AC293" s="519"/>
      <c r="AD293" s="521"/>
      <c r="AE293" s="520"/>
      <c r="AF293" s="519"/>
      <c r="AG293" s="521"/>
      <c r="AH293" s="520"/>
      <c r="AI293" s="519"/>
      <c r="AJ293" s="521"/>
      <c r="AK293" s="520"/>
      <c r="AL293" s="783"/>
      <c r="AM293" s="521"/>
    </row>
    <row r="294" spans="1:39">
      <c r="A294" s="207" t="s">
        <v>6</v>
      </c>
      <c r="B294" s="208" t="s">
        <v>429</v>
      </c>
      <c r="C294" s="208"/>
      <c r="D294" s="231"/>
      <c r="E294" s="184"/>
      <c r="F294" s="193">
        <v>0.80576599999999998</v>
      </c>
      <c r="G294" s="193"/>
      <c r="H294" s="192"/>
      <c r="I294" s="229">
        <v>7258.7449749519674</v>
      </c>
      <c r="J294" s="192">
        <v>0</v>
      </c>
      <c r="K294" s="194"/>
      <c r="L294" s="194"/>
      <c r="M294" s="194">
        <v>5848.8499034871465</v>
      </c>
      <c r="N294" s="184"/>
      <c r="O294" s="211">
        <v>5848.8499034871465</v>
      </c>
      <c r="AA294" s="784"/>
      <c r="AB294" s="520"/>
      <c r="AC294" s="519"/>
      <c r="AD294" s="521"/>
      <c r="AE294" s="520"/>
      <c r="AF294" s="519"/>
      <c r="AG294" s="521"/>
      <c r="AH294" s="520"/>
      <c r="AI294" s="519"/>
      <c r="AJ294" s="521"/>
      <c r="AK294" s="520"/>
      <c r="AL294" s="783"/>
      <c r="AM294" s="521"/>
    </row>
    <row r="295" spans="1:39">
      <c r="A295" s="207" t="s">
        <v>7</v>
      </c>
      <c r="B295" s="208" t="s">
        <v>432</v>
      </c>
      <c r="C295" s="208"/>
      <c r="D295" s="231"/>
      <c r="E295" s="184"/>
      <c r="F295" s="193"/>
      <c r="G295" s="193"/>
      <c r="H295" s="192"/>
      <c r="I295" s="229"/>
      <c r="J295" s="192">
        <v>0</v>
      </c>
      <c r="K295" s="194"/>
      <c r="L295" s="194"/>
      <c r="M295" s="194"/>
      <c r="N295" s="184"/>
      <c r="O295" s="211">
        <v>0</v>
      </c>
      <c r="Q295" s="1799" t="s">
        <v>767</v>
      </c>
      <c r="R295" s="1800"/>
      <c r="S295" s="1801"/>
      <c r="T295" s="1802" t="s">
        <v>766</v>
      </c>
      <c r="U295" s="1803"/>
      <c r="V295" s="1804"/>
      <c r="W295" s="1802" t="s">
        <v>1051</v>
      </c>
      <c r="X295" s="1803"/>
      <c r="Y295" s="1804"/>
      <c r="AA295" s="784"/>
      <c r="AB295" s="520"/>
      <c r="AC295" s="519"/>
      <c r="AD295" s="521"/>
      <c r="AE295" s="520"/>
      <c r="AF295" s="519"/>
      <c r="AG295" s="521"/>
      <c r="AH295" s="520"/>
      <c r="AI295" s="519"/>
      <c r="AJ295" s="521"/>
      <c r="AK295" s="520"/>
      <c r="AL295" s="783"/>
      <c r="AM295" s="521"/>
    </row>
    <row r="296" spans="1:39" ht="14.25" thickBot="1">
      <c r="A296" s="207" t="s">
        <v>11</v>
      </c>
      <c r="B296" s="212" t="s">
        <v>865</v>
      </c>
      <c r="C296" s="208"/>
      <c r="D296" s="231"/>
      <c r="E296" s="184">
        <v>0</v>
      </c>
      <c r="F296" s="184"/>
      <c r="G296" s="184"/>
      <c r="H296" s="184"/>
      <c r="I296" s="192"/>
      <c r="J296" s="229"/>
      <c r="K296" s="184"/>
      <c r="L296" s="184"/>
      <c r="M296" s="184"/>
      <c r="N296" s="184"/>
      <c r="O296" s="211"/>
      <c r="P296" s="443" t="s">
        <v>1052</v>
      </c>
      <c r="Q296" s="444" t="s">
        <v>1053</v>
      </c>
      <c r="R296" s="1802" t="s">
        <v>417</v>
      </c>
      <c r="S296" s="446" t="s">
        <v>1054</v>
      </c>
      <c r="T296" s="444" t="s">
        <v>1053</v>
      </c>
      <c r="U296" s="1802" t="s">
        <v>417</v>
      </c>
      <c r="V296" s="446" t="s">
        <v>1054</v>
      </c>
      <c r="W296" s="1802" t="s">
        <v>1053</v>
      </c>
      <c r="X296" s="1802" t="s">
        <v>417</v>
      </c>
      <c r="Y296" s="446" t="s">
        <v>1054</v>
      </c>
      <c r="AA296" s="787"/>
      <c r="AB296" s="520"/>
      <c r="AC296" s="519"/>
      <c r="AD296" s="521"/>
      <c r="AE296" s="520"/>
      <c r="AF296" s="519"/>
      <c r="AG296" s="521"/>
      <c r="AH296" s="520"/>
      <c r="AI296" s="519"/>
      <c r="AJ296" s="521"/>
      <c r="AK296" s="520"/>
      <c r="AL296" s="519"/>
      <c r="AM296" s="521"/>
    </row>
    <row r="297" spans="1:39" ht="13.5" thickBot="1">
      <c r="A297" s="460" t="s">
        <v>12</v>
      </c>
      <c r="B297" s="461" t="s">
        <v>866</v>
      </c>
      <c r="C297" s="462" t="e">
        <v>#REF!</v>
      </c>
      <c r="D297" s="463" t="e">
        <v>#REF!</v>
      </c>
      <c r="E297" s="464"/>
      <c r="F297" s="465">
        <v>0</v>
      </c>
      <c r="G297" s="465"/>
      <c r="H297" s="464"/>
      <c r="I297" s="466"/>
      <c r="J297" s="467">
        <v>5.3924651823909073</v>
      </c>
      <c r="K297" s="468"/>
      <c r="L297" s="468"/>
      <c r="M297" s="468">
        <v>0</v>
      </c>
      <c r="N297" s="468"/>
      <c r="O297" s="469">
        <v>0</v>
      </c>
      <c r="P297" s="470" t="s">
        <v>864</v>
      </c>
      <c r="Q297" s="471">
        <v>5740.8600000000006</v>
      </c>
      <c r="R297" s="472">
        <v>5.4480000000000004</v>
      </c>
      <c r="S297" s="473">
        <v>31276.205280000006</v>
      </c>
      <c r="T297" s="471">
        <v>3081.4</v>
      </c>
      <c r="U297" s="472">
        <v>5.2889999999999997</v>
      </c>
      <c r="V297" s="474">
        <v>16297.524599999999</v>
      </c>
      <c r="W297" s="475">
        <v>8822.26</v>
      </c>
      <c r="X297" s="476">
        <v>5.3924651823909073</v>
      </c>
      <c r="Y297" s="477">
        <v>47573.729880000006</v>
      </c>
      <c r="Z297" s="478"/>
      <c r="AA297" s="789"/>
      <c r="AB297" s="789"/>
      <c r="AC297" s="789"/>
      <c r="AD297" s="790"/>
      <c r="AE297" s="789"/>
      <c r="AF297" s="789"/>
      <c r="AG297" s="790"/>
      <c r="AH297" s="789"/>
      <c r="AI297" s="789"/>
      <c r="AJ297" s="790"/>
      <c r="AK297" s="789"/>
      <c r="AL297" s="789"/>
      <c r="AM297" s="790"/>
    </row>
    <row r="298" spans="1:39" ht="13.5" thickBot="1">
      <c r="A298" s="207"/>
      <c r="B298" s="479" t="s">
        <v>1055</v>
      </c>
      <c r="C298" s="225"/>
      <c r="D298" s="215"/>
      <c r="E298" s="192"/>
      <c r="F298" s="193">
        <v>0</v>
      </c>
      <c r="G298" s="193"/>
      <c r="H298" s="192"/>
      <c r="I298" s="229">
        <v>0</v>
      </c>
      <c r="J298" s="210"/>
      <c r="K298" s="194"/>
      <c r="L298" s="194"/>
      <c r="M298" s="194">
        <v>0</v>
      </c>
      <c r="N298" s="194"/>
      <c r="O298" s="211">
        <v>0</v>
      </c>
      <c r="P298" s="447"/>
      <c r="Q298" s="448"/>
      <c r="R298" s="449"/>
      <c r="S298" s="450"/>
      <c r="T298" s="448"/>
      <c r="U298" s="449"/>
      <c r="V298" s="230"/>
      <c r="W298" s="451"/>
      <c r="X298" s="480"/>
      <c r="Y298" s="453"/>
      <c r="AA298" s="792"/>
      <c r="AB298" s="519"/>
      <c r="AC298" s="519"/>
      <c r="AD298" s="521"/>
      <c r="AE298" s="519"/>
      <c r="AF298" s="519"/>
      <c r="AG298" s="521"/>
      <c r="AH298" s="519"/>
      <c r="AI298" s="519"/>
      <c r="AJ298" s="521"/>
      <c r="AK298" s="520"/>
      <c r="AL298" s="783"/>
      <c r="AM298" s="521"/>
    </row>
    <row r="299" spans="1:39" ht="13.5" thickBot="1">
      <c r="A299" s="207"/>
      <c r="B299" s="479" t="s">
        <v>1056</v>
      </c>
      <c r="C299" s="225"/>
      <c r="D299" s="215"/>
      <c r="E299" s="192"/>
      <c r="F299" s="193">
        <v>0</v>
      </c>
      <c r="G299" s="193"/>
      <c r="H299" s="192"/>
      <c r="I299" s="229">
        <v>0</v>
      </c>
      <c r="J299" s="210"/>
      <c r="K299" s="194"/>
      <c r="L299" s="194"/>
      <c r="M299" s="194">
        <v>0</v>
      </c>
      <c r="N299" s="194"/>
      <c r="O299" s="211">
        <v>0</v>
      </c>
      <c r="P299" s="447"/>
      <c r="Q299" s="448"/>
      <c r="R299" s="449"/>
      <c r="S299" s="450"/>
      <c r="T299" s="448"/>
      <c r="U299" s="449"/>
      <c r="V299" s="230"/>
      <c r="W299" s="451"/>
      <c r="X299" s="480"/>
      <c r="Y299" s="453"/>
      <c r="AA299" s="792"/>
      <c r="AB299" s="519"/>
      <c r="AC299" s="519"/>
      <c r="AD299" s="521"/>
      <c r="AE299" s="519"/>
      <c r="AF299" s="519"/>
      <c r="AG299" s="521"/>
      <c r="AH299" s="519"/>
      <c r="AI299" s="519"/>
      <c r="AJ299" s="521"/>
      <c r="AK299" s="520"/>
      <c r="AL299" s="783"/>
      <c r="AM299" s="521"/>
    </row>
    <row r="300" spans="1:39" ht="13.5" thickBot="1">
      <c r="A300" s="481"/>
      <c r="B300" s="482" t="s">
        <v>1057</v>
      </c>
      <c r="C300" s="483"/>
      <c r="D300" s="484"/>
      <c r="E300" s="485"/>
      <c r="F300" s="486">
        <v>0</v>
      </c>
      <c r="G300" s="486"/>
      <c r="H300" s="485"/>
      <c r="I300" s="487">
        <v>0</v>
      </c>
      <c r="J300" s="488"/>
      <c r="K300" s="489"/>
      <c r="L300" s="489"/>
      <c r="M300" s="489">
        <v>0</v>
      </c>
      <c r="N300" s="503"/>
      <c r="O300" s="490">
        <v>0</v>
      </c>
      <c r="P300" s="491"/>
      <c r="Q300" s="492"/>
      <c r="R300" s="493"/>
      <c r="S300" s="494"/>
      <c r="T300" s="492"/>
      <c r="U300" s="493"/>
      <c r="V300" s="495"/>
      <c r="W300" s="496"/>
      <c r="X300" s="497"/>
      <c r="Y300" s="498"/>
      <c r="Z300" s="499"/>
      <c r="AA300" s="793"/>
      <c r="AB300" s="519"/>
      <c r="AC300" s="519"/>
      <c r="AD300" s="521"/>
      <c r="AE300" s="519"/>
      <c r="AF300" s="519"/>
      <c r="AG300" s="521"/>
      <c r="AH300" s="519"/>
      <c r="AI300" s="519"/>
      <c r="AJ300" s="521"/>
      <c r="AK300" s="520"/>
      <c r="AL300" s="783"/>
      <c r="AM300" s="521"/>
    </row>
    <row r="301" spans="1:39" ht="13.5" thickBot="1">
      <c r="A301" s="207"/>
      <c r="B301" s="479" t="s">
        <v>1058</v>
      </c>
      <c r="C301" s="225"/>
      <c r="D301" s="215"/>
      <c r="E301" s="192"/>
      <c r="F301" s="193">
        <v>0</v>
      </c>
      <c r="G301" s="193"/>
      <c r="H301" s="192"/>
      <c r="I301" s="229">
        <v>0</v>
      </c>
      <c r="J301" s="210"/>
      <c r="K301" s="194"/>
      <c r="L301" s="194"/>
      <c r="M301" s="194">
        <v>0</v>
      </c>
      <c r="N301" s="504"/>
      <c r="O301" s="211">
        <v>0</v>
      </c>
      <c r="P301" s="447"/>
      <c r="Q301" s="448"/>
      <c r="R301" s="449"/>
      <c r="S301" s="450"/>
      <c r="T301" s="448"/>
      <c r="U301" s="449"/>
      <c r="V301" s="230"/>
      <c r="W301" s="451"/>
      <c r="X301" s="480"/>
      <c r="Y301" s="453"/>
      <c r="AA301" s="792"/>
      <c r="AB301" s="519"/>
      <c r="AC301" s="519"/>
      <c r="AD301" s="521"/>
      <c r="AE301" s="519"/>
      <c r="AF301" s="519"/>
      <c r="AG301" s="521"/>
      <c r="AH301" s="519"/>
      <c r="AI301" s="519"/>
      <c r="AJ301" s="521"/>
      <c r="AK301" s="520"/>
      <c r="AL301" s="783"/>
      <c r="AM301" s="521"/>
    </row>
    <row r="302" spans="1:39" ht="13.5" thickBot="1">
      <c r="A302" s="460" t="s">
        <v>18</v>
      </c>
      <c r="B302" s="461" t="s">
        <v>868</v>
      </c>
      <c r="C302" s="462" t="e">
        <v>#REF!</v>
      </c>
      <c r="D302" s="463" t="e">
        <v>#REF!</v>
      </c>
      <c r="E302" s="464"/>
      <c r="F302" s="465">
        <v>9.0362659999999995</v>
      </c>
      <c r="G302" s="465"/>
      <c r="H302" s="464"/>
      <c r="I302" s="466"/>
      <c r="J302" s="464"/>
      <c r="K302" s="468"/>
      <c r="L302" s="468"/>
      <c r="M302" s="468">
        <v>64411.421855136941</v>
      </c>
      <c r="N302" s="505"/>
      <c r="O302" s="469">
        <v>64411.421855136941</v>
      </c>
      <c r="P302" s="500" t="s">
        <v>887</v>
      </c>
      <c r="Q302" s="471">
        <v>702.21</v>
      </c>
      <c r="R302" s="472">
        <v>4.6040000000000001</v>
      </c>
      <c r="S302" s="473">
        <v>3232.9748400000003</v>
      </c>
      <c r="T302" s="471">
        <v>419</v>
      </c>
      <c r="U302" s="472">
        <v>4.4880000000000004</v>
      </c>
      <c r="V302" s="474">
        <v>1880.4720000000002</v>
      </c>
      <c r="W302" s="501">
        <v>1121.21</v>
      </c>
      <c r="X302" s="502">
        <v>4.5606504044737388</v>
      </c>
      <c r="Y302" s="474">
        <v>5113.4468400000005</v>
      </c>
      <c r="Z302" s="478"/>
      <c r="AA302" s="789"/>
      <c r="AB302" s="789"/>
      <c r="AC302" s="789"/>
      <c r="AD302" s="790"/>
      <c r="AE302" s="789"/>
      <c r="AF302" s="789"/>
      <c r="AG302" s="790"/>
      <c r="AH302" s="789"/>
      <c r="AI302" s="789"/>
      <c r="AJ302" s="790"/>
      <c r="AK302" s="789"/>
      <c r="AL302" s="789"/>
      <c r="AM302" s="790"/>
    </row>
    <row r="303" spans="1:39">
      <c r="A303" s="207"/>
      <c r="B303" s="479" t="s">
        <v>1059</v>
      </c>
      <c r="C303" s="225" t="e">
        <v>#REF!</v>
      </c>
      <c r="D303" s="215" t="e">
        <v>#REF!</v>
      </c>
      <c r="E303" s="192"/>
      <c r="F303" s="193">
        <v>8.2240000000000002</v>
      </c>
      <c r="G303" s="193"/>
      <c r="H303" s="192"/>
      <c r="I303" s="229">
        <v>7114.5887219999986</v>
      </c>
      <c r="J303" s="184"/>
      <c r="K303" s="194"/>
      <c r="L303" s="194"/>
      <c r="M303" s="194">
        <v>58510.377649727991</v>
      </c>
      <c r="N303" s="504"/>
      <c r="O303" s="211">
        <v>58510.377649727991</v>
      </c>
      <c r="P303" s="457" t="s">
        <v>435</v>
      </c>
      <c r="Q303" s="446"/>
      <c r="R303" s="446"/>
      <c r="S303" s="446"/>
      <c r="T303" s="446"/>
      <c r="U303" s="446"/>
      <c r="V303" s="446"/>
      <c r="W303" s="458">
        <v>9943.4700000000012</v>
      </c>
      <c r="X303" s="454"/>
      <c r="Y303" s="459">
        <v>52687.176720000003</v>
      </c>
      <c r="AA303" s="792"/>
      <c r="AB303" s="519"/>
      <c r="AC303" s="519"/>
      <c r="AD303" s="521"/>
      <c r="AE303" s="519"/>
      <c r="AF303" s="519"/>
      <c r="AG303" s="521"/>
      <c r="AH303" s="519"/>
      <c r="AI303" s="519"/>
      <c r="AJ303" s="521"/>
      <c r="AK303" s="520"/>
      <c r="AL303" s="783"/>
      <c r="AM303" s="521"/>
    </row>
    <row r="304" spans="1:39">
      <c r="A304" s="506"/>
      <c r="B304" s="482" t="s">
        <v>1057</v>
      </c>
      <c r="C304" s="507"/>
      <c r="D304" s="508"/>
      <c r="E304" s="509"/>
      <c r="F304" s="486">
        <v>0.80576599999999998</v>
      </c>
      <c r="G304" s="510"/>
      <c r="H304" s="509"/>
      <c r="I304" s="487">
        <v>7258.7449749519674</v>
      </c>
      <c r="J304" s="509"/>
      <c r="K304" s="511"/>
      <c r="L304" s="511"/>
      <c r="M304" s="489">
        <v>5848.8499034871465</v>
      </c>
      <c r="N304" s="512"/>
      <c r="O304" s="490">
        <v>5848.8499034871465</v>
      </c>
      <c r="AA304" s="793"/>
      <c r="AB304" s="519"/>
      <c r="AC304" s="519"/>
      <c r="AD304" s="521"/>
      <c r="AE304" s="519"/>
      <c r="AF304" s="519"/>
      <c r="AG304" s="521"/>
      <c r="AH304" s="519"/>
      <c r="AI304" s="519"/>
      <c r="AJ304" s="521"/>
      <c r="AK304" s="520"/>
      <c r="AL304" s="783"/>
      <c r="AM304" s="521"/>
    </row>
    <row r="305" spans="1:39" ht="13.5" thickBot="1">
      <c r="A305" s="232"/>
      <c r="B305" s="514" t="s">
        <v>1058</v>
      </c>
      <c r="C305" s="515"/>
      <c r="D305" s="516"/>
      <c r="E305" s="235"/>
      <c r="F305" s="943">
        <v>6.4999999999999997E-3</v>
      </c>
      <c r="G305" s="236"/>
      <c r="H305" s="235"/>
      <c r="I305" s="517">
        <v>7114.5887219999986</v>
      </c>
      <c r="J305" s="235"/>
      <c r="K305" s="237"/>
      <c r="L305" s="237"/>
      <c r="M305" s="237">
        <v>52.194301921799983</v>
      </c>
      <c r="N305" s="518"/>
      <c r="O305" s="238">
        <v>52.194301921799983</v>
      </c>
      <c r="AA305" s="795"/>
      <c r="AB305" s="519"/>
      <c r="AC305" s="519"/>
      <c r="AD305" s="521"/>
      <c r="AE305" s="519"/>
      <c r="AF305" s="519"/>
      <c r="AG305" s="521"/>
      <c r="AH305" s="519"/>
      <c r="AI305" s="519"/>
      <c r="AJ305" s="521"/>
      <c r="AK305" s="520"/>
      <c r="AL305" s="783"/>
      <c r="AM305" s="521"/>
    </row>
  </sheetData>
  <mergeCells count="40">
    <mergeCell ref="AB108:AD108"/>
    <mergeCell ref="AE108:AG108"/>
    <mergeCell ref="AH108:AJ108"/>
    <mergeCell ref="AK108:AM108"/>
    <mergeCell ref="AB92:AD92"/>
    <mergeCell ref="AE92:AG92"/>
    <mergeCell ref="AH92:AJ92"/>
    <mergeCell ref="AK92:AM92"/>
    <mergeCell ref="T96:V96"/>
    <mergeCell ref="W96:Y96"/>
    <mergeCell ref="A77:O77"/>
    <mergeCell ref="A92:O92"/>
    <mergeCell ref="Q96:S96"/>
    <mergeCell ref="A108:O108"/>
    <mergeCell ref="A28:O28"/>
    <mergeCell ref="A44:O44"/>
    <mergeCell ref="Q65:S65"/>
    <mergeCell ref="T65:V65"/>
    <mergeCell ref="W65:Y65"/>
    <mergeCell ref="B49:D49"/>
    <mergeCell ref="A61:O61"/>
    <mergeCell ref="H11:J11"/>
    <mergeCell ref="A12:O12"/>
    <mergeCell ref="B17:D17"/>
    <mergeCell ref="N7:N9"/>
    <mergeCell ref="O7:O9"/>
    <mergeCell ref="A4:O4"/>
    <mergeCell ref="A5:I5"/>
    <mergeCell ref="A6:A9"/>
    <mergeCell ref="B6:B9"/>
    <mergeCell ref="C6:C9"/>
    <mergeCell ref="D6:D9"/>
    <mergeCell ref="E6:E9"/>
    <mergeCell ref="F6:F9"/>
    <mergeCell ref="G6:G9"/>
    <mergeCell ref="H6:L6"/>
    <mergeCell ref="M6:O6"/>
    <mergeCell ref="H7:J8"/>
    <mergeCell ref="K7:L7"/>
    <mergeCell ref="M7:M9"/>
  </mergeCells>
  <printOptions horizontalCentered="1"/>
  <pageMargins left="0.9055118110236221" right="0.39370078740157483" top="0.6692913385826772" bottom="0.39370078740157483" header="0.31496062992125984" footer="0.31496062992125984"/>
  <pageSetup paperSize="9" scale="60" orientation="portrait" r:id="rId1"/>
  <rowBreaks count="2" manualBreakCount="2">
    <brk id="171" max="14" man="1"/>
    <brk id="254" max="14" man="1"/>
  </rowBreaks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66FF"/>
  </sheetPr>
  <dimension ref="A1:AO305"/>
  <sheetViews>
    <sheetView view="pageBreakPreview" zoomScaleNormal="70" zoomScaleSheetLayoutView="100" workbookViewId="0">
      <pane ySplit="11" topLeftCell="A12" activePane="bottomLeft" state="frozen"/>
      <selection activeCell="A2" sqref="A2"/>
      <selection pane="bottomLeft" activeCell="AA2" sqref="AA2"/>
    </sheetView>
  </sheetViews>
  <sheetFormatPr defaultRowHeight="12.75"/>
  <cols>
    <col min="1" max="1" width="8.140625" style="181" bestFit="1" customWidth="1"/>
    <col min="2" max="2" width="22.42578125" style="181" customWidth="1"/>
    <col min="3" max="3" width="9" style="181" hidden="1" customWidth="1"/>
    <col min="4" max="4" width="9.7109375" style="181" hidden="1" customWidth="1"/>
    <col min="5" max="5" width="10.140625" style="181" hidden="1" customWidth="1"/>
    <col min="6" max="6" width="11.140625" style="181" customWidth="1"/>
    <col min="7" max="7" width="9.42578125" style="181" customWidth="1"/>
    <col min="8" max="8" width="6.140625" style="181" hidden="1" customWidth="1"/>
    <col min="9" max="9" width="10.5703125" style="181" customWidth="1"/>
    <col min="10" max="10" width="7.5703125" style="181" hidden="1" customWidth="1"/>
    <col min="11" max="11" width="9.28515625" style="181" customWidth="1"/>
    <col min="12" max="12" width="8.7109375" style="181" customWidth="1"/>
    <col min="13" max="14" width="9.140625" style="181"/>
    <col min="15" max="15" width="10.7109375" style="181" customWidth="1"/>
    <col min="16" max="16" width="20.42578125" style="181" hidden="1" customWidth="1"/>
    <col min="17" max="17" width="10.5703125" style="181" hidden="1" customWidth="1"/>
    <col min="18" max="18" width="0" style="181" hidden="1" customWidth="1"/>
    <col min="19" max="19" width="12.42578125" style="181" hidden="1" customWidth="1"/>
    <col min="20" max="20" width="9.5703125" style="181" hidden="1" customWidth="1"/>
    <col min="21" max="21" width="0" style="181" hidden="1" customWidth="1"/>
    <col min="22" max="22" width="12.85546875" style="181" hidden="1" customWidth="1"/>
    <col min="23" max="23" width="9.7109375" style="181" hidden="1" customWidth="1"/>
    <col min="24" max="24" width="0" style="181" hidden="1" customWidth="1"/>
    <col min="25" max="25" width="13.7109375" style="181" hidden="1" customWidth="1"/>
    <col min="26" max="26" width="0" style="181" hidden="1" customWidth="1"/>
    <col min="27" max="27" width="23" style="181" customWidth="1"/>
    <col min="28" max="28" width="10.42578125" style="181" customWidth="1"/>
    <col min="29" max="29" width="9.140625" style="181"/>
    <col min="30" max="30" width="11.42578125" style="181" customWidth="1"/>
    <col min="31" max="31" width="11" style="181" customWidth="1"/>
    <col min="32" max="32" width="9.140625" style="181"/>
    <col min="33" max="33" width="11.7109375" style="181" customWidth="1"/>
    <col min="34" max="34" width="10.85546875" style="181" customWidth="1"/>
    <col min="35" max="35" width="9.140625" style="181"/>
    <col min="36" max="36" width="11.5703125" style="181" customWidth="1"/>
    <col min="37" max="37" width="10.28515625" style="181" customWidth="1"/>
    <col min="38" max="38" width="9.140625" style="181"/>
    <col min="39" max="39" width="12.7109375" style="181" customWidth="1"/>
    <col min="40" max="257" width="9.140625" style="181"/>
    <col min="258" max="258" width="8.140625" style="181" bestFit="1" customWidth="1"/>
    <col min="259" max="259" width="22.42578125" style="181" customWidth="1"/>
    <col min="260" max="260" width="10.7109375" style="181" customWidth="1"/>
    <col min="261" max="261" width="9.7109375" style="181" customWidth="1"/>
    <col min="262" max="262" width="0" style="181" hidden="1" customWidth="1"/>
    <col min="263" max="263" width="9.42578125" style="181" customWidth="1"/>
    <col min="264" max="265" width="9.140625" style="181"/>
    <col min="266" max="266" width="8.5703125" style="181" bestFit="1" customWidth="1"/>
    <col min="267" max="270" width="9.140625" style="181"/>
    <col min="271" max="271" width="8.140625" style="181" bestFit="1" customWidth="1"/>
    <col min="272" max="513" width="9.140625" style="181"/>
    <col min="514" max="514" width="8.140625" style="181" bestFit="1" customWidth="1"/>
    <col min="515" max="515" width="22.42578125" style="181" customWidth="1"/>
    <col min="516" max="516" width="10.7109375" style="181" customWidth="1"/>
    <col min="517" max="517" width="9.7109375" style="181" customWidth="1"/>
    <col min="518" max="518" width="0" style="181" hidden="1" customWidth="1"/>
    <col min="519" max="519" width="9.42578125" style="181" customWidth="1"/>
    <col min="520" max="521" width="9.140625" style="181"/>
    <col min="522" max="522" width="8.5703125" style="181" bestFit="1" customWidth="1"/>
    <col min="523" max="526" width="9.140625" style="181"/>
    <col min="527" max="527" width="8.140625" style="181" bestFit="1" customWidth="1"/>
    <col min="528" max="769" width="9.140625" style="181"/>
    <col min="770" max="770" width="8.140625" style="181" bestFit="1" customWidth="1"/>
    <col min="771" max="771" width="22.42578125" style="181" customWidth="1"/>
    <col min="772" max="772" width="10.7109375" style="181" customWidth="1"/>
    <col min="773" max="773" width="9.7109375" style="181" customWidth="1"/>
    <col min="774" max="774" width="0" style="181" hidden="1" customWidth="1"/>
    <col min="775" max="775" width="9.42578125" style="181" customWidth="1"/>
    <col min="776" max="777" width="9.140625" style="181"/>
    <col min="778" max="778" width="8.5703125" style="181" bestFit="1" customWidth="1"/>
    <col min="779" max="782" width="9.140625" style="181"/>
    <col min="783" max="783" width="8.140625" style="181" bestFit="1" customWidth="1"/>
    <col min="784" max="1025" width="9.140625" style="181"/>
    <col min="1026" max="1026" width="8.140625" style="181" bestFit="1" customWidth="1"/>
    <col min="1027" max="1027" width="22.42578125" style="181" customWidth="1"/>
    <col min="1028" max="1028" width="10.7109375" style="181" customWidth="1"/>
    <col min="1029" max="1029" width="9.7109375" style="181" customWidth="1"/>
    <col min="1030" max="1030" width="0" style="181" hidden="1" customWidth="1"/>
    <col min="1031" max="1031" width="9.42578125" style="181" customWidth="1"/>
    <col min="1032" max="1033" width="9.140625" style="181"/>
    <col min="1034" max="1034" width="8.5703125" style="181" bestFit="1" customWidth="1"/>
    <col min="1035" max="1038" width="9.140625" style="181"/>
    <col min="1039" max="1039" width="8.140625" style="181" bestFit="1" customWidth="1"/>
    <col min="1040" max="1281" width="9.140625" style="181"/>
    <col min="1282" max="1282" width="8.140625" style="181" bestFit="1" customWidth="1"/>
    <col min="1283" max="1283" width="22.42578125" style="181" customWidth="1"/>
    <col min="1284" max="1284" width="10.7109375" style="181" customWidth="1"/>
    <col min="1285" max="1285" width="9.7109375" style="181" customWidth="1"/>
    <col min="1286" max="1286" width="0" style="181" hidden="1" customWidth="1"/>
    <col min="1287" max="1287" width="9.42578125" style="181" customWidth="1"/>
    <col min="1288" max="1289" width="9.140625" style="181"/>
    <col min="1290" max="1290" width="8.5703125" style="181" bestFit="1" customWidth="1"/>
    <col min="1291" max="1294" width="9.140625" style="181"/>
    <col min="1295" max="1295" width="8.140625" style="181" bestFit="1" customWidth="1"/>
    <col min="1296" max="1537" width="9.140625" style="181"/>
    <col min="1538" max="1538" width="8.140625" style="181" bestFit="1" customWidth="1"/>
    <col min="1539" max="1539" width="22.42578125" style="181" customWidth="1"/>
    <col min="1540" max="1540" width="10.7109375" style="181" customWidth="1"/>
    <col min="1541" max="1541" width="9.7109375" style="181" customWidth="1"/>
    <col min="1542" max="1542" width="0" style="181" hidden="1" customWidth="1"/>
    <col min="1543" max="1543" width="9.42578125" style="181" customWidth="1"/>
    <col min="1544" max="1545" width="9.140625" style="181"/>
    <col min="1546" max="1546" width="8.5703125" style="181" bestFit="1" customWidth="1"/>
    <col min="1547" max="1550" width="9.140625" style="181"/>
    <col min="1551" max="1551" width="8.140625" style="181" bestFit="1" customWidth="1"/>
    <col min="1552" max="1793" width="9.140625" style="181"/>
    <col min="1794" max="1794" width="8.140625" style="181" bestFit="1" customWidth="1"/>
    <col min="1795" max="1795" width="22.42578125" style="181" customWidth="1"/>
    <col min="1796" max="1796" width="10.7109375" style="181" customWidth="1"/>
    <col min="1797" max="1797" width="9.7109375" style="181" customWidth="1"/>
    <col min="1798" max="1798" width="0" style="181" hidden="1" customWidth="1"/>
    <col min="1799" max="1799" width="9.42578125" style="181" customWidth="1"/>
    <col min="1800" max="1801" width="9.140625" style="181"/>
    <col min="1802" max="1802" width="8.5703125" style="181" bestFit="1" customWidth="1"/>
    <col min="1803" max="1806" width="9.140625" style="181"/>
    <col min="1807" max="1807" width="8.140625" style="181" bestFit="1" customWidth="1"/>
    <col min="1808" max="2049" width="9.140625" style="181"/>
    <col min="2050" max="2050" width="8.140625" style="181" bestFit="1" customWidth="1"/>
    <col min="2051" max="2051" width="22.42578125" style="181" customWidth="1"/>
    <col min="2052" max="2052" width="10.7109375" style="181" customWidth="1"/>
    <col min="2053" max="2053" width="9.7109375" style="181" customWidth="1"/>
    <col min="2054" max="2054" width="0" style="181" hidden="1" customWidth="1"/>
    <col min="2055" max="2055" width="9.42578125" style="181" customWidth="1"/>
    <col min="2056" max="2057" width="9.140625" style="181"/>
    <col min="2058" max="2058" width="8.5703125" style="181" bestFit="1" customWidth="1"/>
    <col min="2059" max="2062" width="9.140625" style="181"/>
    <col min="2063" max="2063" width="8.140625" style="181" bestFit="1" customWidth="1"/>
    <col min="2064" max="2305" width="9.140625" style="181"/>
    <col min="2306" max="2306" width="8.140625" style="181" bestFit="1" customWidth="1"/>
    <col min="2307" max="2307" width="22.42578125" style="181" customWidth="1"/>
    <col min="2308" max="2308" width="10.7109375" style="181" customWidth="1"/>
    <col min="2309" max="2309" width="9.7109375" style="181" customWidth="1"/>
    <col min="2310" max="2310" width="0" style="181" hidden="1" customWidth="1"/>
    <col min="2311" max="2311" width="9.42578125" style="181" customWidth="1"/>
    <col min="2312" max="2313" width="9.140625" style="181"/>
    <col min="2314" max="2314" width="8.5703125" style="181" bestFit="1" customWidth="1"/>
    <col min="2315" max="2318" width="9.140625" style="181"/>
    <col min="2319" max="2319" width="8.140625" style="181" bestFit="1" customWidth="1"/>
    <col min="2320" max="2561" width="9.140625" style="181"/>
    <col min="2562" max="2562" width="8.140625" style="181" bestFit="1" customWidth="1"/>
    <col min="2563" max="2563" width="22.42578125" style="181" customWidth="1"/>
    <col min="2564" max="2564" width="10.7109375" style="181" customWidth="1"/>
    <col min="2565" max="2565" width="9.7109375" style="181" customWidth="1"/>
    <col min="2566" max="2566" width="0" style="181" hidden="1" customWidth="1"/>
    <col min="2567" max="2567" width="9.42578125" style="181" customWidth="1"/>
    <col min="2568" max="2569" width="9.140625" style="181"/>
    <col min="2570" max="2570" width="8.5703125" style="181" bestFit="1" customWidth="1"/>
    <col min="2571" max="2574" width="9.140625" style="181"/>
    <col min="2575" max="2575" width="8.140625" style="181" bestFit="1" customWidth="1"/>
    <col min="2576" max="2817" width="9.140625" style="181"/>
    <col min="2818" max="2818" width="8.140625" style="181" bestFit="1" customWidth="1"/>
    <col min="2819" max="2819" width="22.42578125" style="181" customWidth="1"/>
    <col min="2820" max="2820" width="10.7109375" style="181" customWidth="1"/>
    <col min="2821" max="2821" width="9.7109375" style="181" customWidth="1"/>
    <col min="2822" max="2822" width="0" style="181" hidden="1" customWidth="1"/>
    <col min="2823" max="2823" width="9.42578125" style="181" customWidth="1"/>
    <col min="2824" max="2825" width="9.140625" style="181"/>
    <col min="2826" max="2826" width="8.5703125" style="181" bestFit="1" customWidth="1"/>
    <col min="2827" max="2830" width="9.140625" style="181"/>
    <col min="2831" max="2831" width="8.140625" style="181" bestFit="1" customWidth="1"/>
    <col min="2832" max="3073" width="9.140625" style="181"/>
    <col min="3074" max="3074" width="8.140625" style="181" bestFit="1" customWidth="1"/>
    <col min="3075" max="3075" width="22.42578125" style="181" customWidth="1"/>
    <col min="3076" max="3076" width="10.7109375" style="181" customWidth="1"/>
    <col min="3077" max="3077" width="9.7109375" style="181" customWidth="1"/>
    <col min="3078" max="3078" width="0" style="181" hidden="1" customWidth="1"/>
    <col min="3079" max="3079" width="9.42578125" style="181" customWidth="1"/>
    <col min="3080" max="3081" width="9.140625" style="181"/>
    <col min="3082" max="3082" width="8.5703125" style="181" bestFit="1" customWidth="1"/>
    <col min="3083" max="3086" width="9.140625" style="181"/>
    <col min="3087" max="3087" width="8.140625" style="181" bestFit="1" customWidth="1"/>
    <col min="3088" max="3329" width="9.140625" style="181"/>
    <col min="3330" max="3330" width="8.140625" style="181" bestFit="1" customWidth="1"/>
    <col min="3331" max="3331" width="22.42578125" style="181" customWidth="1"/>
    <col min="3332" max="3332" width="10.7109375" style="181" customWidth="1"/>
    <col min="3333" max="3333" width="9.7109375" style="181" customWidth="1"/>
    <col min="3334" max="3334" width="0" style="181" hidden="1" customWidth="1"/>
    <col min="3335" max="3335" width="9.42578125" style="181" customWidth="1"/>
    <col min="3336" max="3337" width="9.140625" style="181"/>
    <col min="3338" max="3338" width="8.5703125" style="181" bestFit="1" customWidth="1"/>
    <col min="3339" max="3342" width="9.140625" style="181"/>
    <col min="3343" max="3343" width="8.140625" style="181" bestFit="1" customWidth="1"/>
    <col min="3344" max="3585" width="9.140625" style="181"/>
    <col min="3586" max="3586" width="8.140625" style="181" bestFit="1" customWidth="1"/>
    <col min="3587" max="3587" width="22.42578125" style="181" customWidth="1"/>
    <col min="3588" max="3588" width="10.7109375" style="181" customWidth="1"/>
    <col min="3589" max="3589" width="9.7109375" style="181" customWidth="1"/>
    <col min="3590" max="3590" width="0" style="181" hidden="1" customWidth="1"/>
    <col min="3591" max="3591" width="9.42578125" style="181" customWidth="1"/>
    <col min="3592" max="3593" width="9.140625" style="181"/>
    <col min="3594" max="3594" width="8.5703125" style="181" bestFit="1" customWidth="1"/>
    <col min="3595" max="3598" width="9.140625" style="181"/>
    <col min="3599" max="3599" width="8.140625" style="181" bestFit="1" customWidth="1"/>
    <col min="3600" max="3841" width="9.140625" style="181"/>
    <col min="3842" max="3842" width="8.140625" style="181" bestFit="1" customWidth="1"/>
    <col min="3843" max="3843" width="22.42578125" style="181" customWidth="1"/>
    <col min="3844" max="3844" width="10.7109375" style="181" customWidth="1"/>
    <col min="3845" max="3845" width="9.7109375" style="181" customWidth="1"/>
    <col min="3846" max="3846" width="0" style="181" hidden="1" customWidth="1"/>
    <col min="3847" max="3847" width="9.42578125" style="181" customWidth="1"/>
    <col min="3848" max="3849" width="9.140625" style="181"/>
    <col min="3850" max="3850" width="8.5703125" style="181" bestFit="1" customWidth="1"/>
    <col min="3851" max="3854" width="9.140625" style="181"/>
    <col min="3855" max="3855" width="8.140625" style="181" bestFit="1" customWidth="1"/>
    <col min="3856" max="4097" width="9.140625" style="181"/>
    <col min="4098" max="4098" width="8.140625" style="181" bestFit="1" customWidth="1"/>
    <col min="4099" max="4099" width="22.42578125" style="181" customWidth="1"/>
    <col min="4100" max="4100" width="10.7109375" style="181" customWidth="1"/>
    <col min="4101" max="4101" width="9.7109375" style="181" customWidth="1"/>
    <col min="4102" max="4102" width="0" style="181" hidden="1" customWidth="1"/>
    <col min="4103" max="4103" width="9.42578125" style="181" customWidth="1"/>
    <col min="4104" max="4105" width="9.140625" style="181"/>
    <col min="4106" max="4106" width="8.5703125" style="181" bestFit="1" customWidth="1"/>
    <col min="4107" max="4110" width="9.140625" style="181"/>
    <col min="4111" max="4111" width="8.140625" style="181" bestFit="1" customWidth="1"/>
    <col min="4112" max="4353" width="9.140625" style="181"/>
    <col min="4354" max="4354" width="8.140625" style="181" bestFit="1" customWidth="1"/>
    <col min="4355" max="4355" width="22.42578125" style="181" customWidth="1"/>
    <col min="4356" max="4356" width="10.7109375" style="181" customWidth="1"/>
    <col min="4357" max="4357" width="9.7109375" style="181" customWidth="1"/>
    <col min="4358" max="4358" width="0" style="181" hidden="1" customWidth="1"/>
    <col min="4359" max="4359" width="9.42578125" style="181" customWidth="1"/>
    <col min="4360" max="4361" width="9.140625" style="181"/>
    <col min="4362" max="4362" width="8.5703125" style="181" bestFit="1" customWidth="1"/>
    <col min="4363" max="4366" width="9.140625" style="181"/>
    <col min="4367" max="4367" width="8.140625" style="181" bestFit="1" customWidth="1"/>
    <col min="4368" max="4609" width="9.140625" style="181"/>
    <col min="4610" max="4610" width="8.140625" style="181" bestFit="1" customWidth="1"/>
    <col min="4611" max="4611" width="22.42578125" style="181" customWidth="1"/>
    <col min="4612" max="4612" width="10.7109375" style="181" customWidth="1"/>
    <col min="4613" max="4613" width="9.7109375" style="181" customWidth="1"/>
    <col min="4614" max="4614" width="0" style="181" hidden="1" customWidth="1"/>
    <col min="4615" max="4615" width="9.42578125" style="181" customWidth="1"/>
    <col min="4616" max="4617" width="9.140625" style="181"/>
    <col min="4618" max="4618" width="8.5703125" style="181" bestFit="1" customWidth="1"/>
    <col min="4619" max="4622" width="9.140625" style="181"/>
    <col min="4623" max="4623" width="8.140625" style="181" bestFit="1" customWidth="1"/>
    <col min="4624" max="4865" width="9.140625" style="181"/>
    <col min="4866" max="4866" width="8.140625" style="181" bestFit="1" customWidth="1"/>
    <col min="4867" max="4867" width="22.42578125" style="181" customWidth="1"/>
    <col min="4868" max="4868" width="10.7109375" style="181" customWidth="1"/>
    <col min="4869" max="4869" width="9.7109375" style="181" customWidth="1"/>
    <col min="4870" max="4870" width="0" style="181" hidden="1" customWidth="1"/>
    <col min="4871" max="4871" width="9.42578125" style="181" customWidth="1"/>
    <col min="4872" max="4873" width="9.140625" style="181"/>
    <col min="4874" max="4874" width="8.5703125" style="181" bestFit="1" customWidth="1"/>
    <col min="4875" max="4878" width="9.140625" style="181"/>
    <col min="4879" max="4879" width="8.140625" style="181" bestFit="1" customWidth="1"/>
    <col min="4880" max="5121" width="9.140625" style="181"/>
    <col min="5122" max="5122" width="8.140625" style="181" bestFit="1" customWidth="1"/>
    <col min="5123" max="5123" width="22.42578125" style="181" customWidth="1"/>
    <col min="5124" max="5124" width="10.7109375" style="181" customWidth="1"/>
    <col min="5125" max="5125" width="9.7109375" style="181" customWidth="1"/>
    <col min="5126" max="5126" width="0" style="181" hidden="1" customWidth="1"/>
    <col min="5127" max="5127" width="9.42578125" style="181" customWidth="1"/>
    <col min="5128" max="5129" width="9.140625" style="181"/>
    <col min="5130" max="5130" width="8.5703125" style="181" bestFit="1" customWidth="1"/>
    <col min="5131" max="5134" width="9.140625" style="181"/>
    <col min="5135" max="5135" width="8.140625" style="181" bestFit="1" customWidth="1"/>
    <col min="5136" max="5377" width="9.140625" style="181"/>
    <col min="5378" max="5378" width="8.140625" style="181" bestFit="1" customWidth="1"/>
    <col min="5379" max="5379" width="22.42578125" style="181" customWidth="1"/>
    <col min="5380" max="5380" width="10.7109375" style="181" customWidth="1"/>
    <col min="5381" max="5381" width="9.7109375" style="181" customWidth="1"/>
    <col min="5382" max="5382" width="0" style="181" hidden="1" customWidth="1"/>
    <col min="5383" max="5383" width="9.42578125" style="181" customWidth="1"/>
    <col min="5384" max="5385" width="9.140625" style="181"/>
    <col min="5386" max="5386" width="8.5703125" style="181" bestFit="1" customWidth="1"/>
    <col min="5387" max="5390" width="9.140625" style="181"/>
    <col min="5391" max="5391" width="8.140625" style="181" bestFit="1" customWidth="1"/>
    <col min="5392" max="5633" width="9.140625" style="181"/>
    <col min="5634" max="5634" width="8.140625" style="181" bestFit="1" customWidth="1"/>
    <col min="5635" max="5635" width="22.42578125" style="181" customWidth="1"/>
    <col min="5636" max="5636" width="10.7109375" style="181" customWidth="1"/>
    <col min="5637" max="5637" width="9.7109375" style="181" customWidth="1"/>
    <col min="5638" max="5638" width="0" style="181" hidden="1" customWidth="1"/>
    <col min="5639" max="5639" width="9.42578125" style="181" customWidth="1"/>
    <col min="5640" max="5641" width="9.140625" style="181"/>
    <col min="5642" max="5642" width="8.5703125" style="181" bestFit="1" customWidth="1"/>
    <col min="5643" max="5646" width="9.140625" style="181"/>
    <col min="5647" max="5647" width="8.140625" style="181" bestFit="1" customWidth="1"/>
    <col min="5648" max="5889" width="9.140625" style="181"/>
    <col min="5890" max="5890" width="8.140625" style="181" bestFit="1" customWidth="1"/>
    <col min="5891" max="5891" width="22.42578125" style="181" customWidth="1"/>
    <col min="5892" max="5892" width="10.7109375" style="181" customWidth="1"/>
    <col min="5893" max="5893" width="9.7109375" style="181" customWidth="1"/>
    <col min="5894" max="5894" width="0" style="181" hidden="1" customWidth="1"/>
    <col min="5895" max="5895" width="9.42578125" style="181" customWidth="1"/>
    <col min="5896" max="5897" width="9.140625" style="181"/>
    <col min="5898" max="5898" width="8.5703125" style="181" bestFit="1" customWidth="1"/>
    <col min="5899" max="5902" width="9.140625" style="181"/>
    <col min="5903" max="5903" width="8.140625" style="181" bestFit="1" customWidth="1"/>
    <col min="5904" max="6145" width="9.140625" style="181"/>
    <col min="6146" max="6146" width="8.140625" style="181" bestFit="1" customWidth="1"/>
    <col min="6147" max="6147" width="22.42578125" style="181" customWidth="1"/>
    <col min="6148" max="6148" width="10.7109375" style="181" customWidth="1"/>
    <col min="6149" max="6149" width="9.7109375" style="181" customWidth="1"/>
    <col min="6150" max="6150" width="0" style="181" hidden="1" customWidth="1"/>
    <col min="6151" max="6151" width="9.42578125" style="181" customWidth="1"/>
    <col min="6152" max="6153" width="9.140625" style="181"/>
    <col min="6154" max="6154" width="8.5703125" style="181" bestFit="1" customWidth="1"/>
    <col min="6155" max="6158" width="9.140625" style="181"/>
    <col min="6159" max="6159" width="8.140625" style="181" bestFit="1" customWidth="1"/>
    <col min="6160" max="6401" width="9.140625" style="181"/>
    <col min="6402" max="6402" width="8.140625" style="181" bestFit="1" customWidth="1"/>
    <col min="6403" max="6403" width="22.42578125" style="181" customWidth="1"/>
    <col min="6404" max="6404" width="10.7109375" style="181" customWidth="1"/>
    <col min="6405" max="6405" width="9.7109375" style="181" customWidth="1"/>
    <col min="6406" max="6406" width="0" style="181" hidden="1" customWidth="1"/>
    <col min="6407" max="6407" width="9.42578125" style="181" customWidth="1"/>
    <col min="6408" max="6409" width="9.140625" style="181"/>
    <col min="6410" max="6410" width="8.5703125" style="181" bestFit="1" customWidth="1"/>
    <col min="6411" max="6414" width="9.140625" style="181"/>
    <col min="6415" max="6415" width="8.140625" style="181" bestFit="1" customWidth="1"/>
    <col min="6416" max="6657" width="9.140625" style="181"/>
    <col min="6658" max="6658" width="8.140625" style="181" bestFit="1" customWidth="1"/>
    <col min="6659" max="6659" width="22.42578125" style="181" customWidth="1"/>
    <col min="6660" max="6660" width="10.7109375" style="181" customWidth="1"/>
    <col min="6661" max="6661" width="9.7109375" style="181" customWidth="1"/>
    <col min="6662" max="6662" width="0" style="181" hidden="1" customWidth="1"/>
    <col min="6663" max="6663" width="9.42578125" style="181" customWidth="1"/>
    <col min="6664" max="6665" width="9.140625" style="181"/>
    <col min="6666" max="6666" width="8.5703125" style="181" bestFit="1" customWidth="1"/>
    <col min="6667" max="6670" width="9.140625" style="181"/>
    <col min="6671" max="6671" width="8.140625" style="181" bestFit="1" customWidth="1"/>
    <col min="6672" max="6913" width="9.140625" style="181"/>
    <col min="6914" max="6914" width="8.140625" style="181" bestFit="1" customWidth="1"/>
    <col min="6915" max="6915" width="22.42578125" style="181" customWidth="1"/>
    <col min="6916" max="6916" width="10.7109375" style="181" customWidth="1"/>
    <col min="6917" max="6917" width="9.7109375" style="181" customWidth="1"/>
    <col min="6918" max="6918" width="0" style="181" hidden="1" customWidth="1"/>
    <col min="6919" max="6919" width="9.42578125" style="181" customWidth="1"/>
    <col min="6920" max="6921" width="9.140625" style="181"/>
    <col min="6922" max="6922" width="8.5703125" style="181" bestFit="1" customWidth="1"/>
    <col min="6923" max="6926" width="9.140625" style="181"/>
    <col min="6927" max="6927" width="8.140625" style="181" bestFit="1" customWidth="1"/>
    <col min="6928" max="7169" width="9.140625" style="181"/>
    <col min="7170" max="7170" width="8.140625" style="181" bestFit="1" customWidth="1"/>
    <col min="7171" max="7171" width="22.42578125" style="181" customWidth="1"/>
    <col min="7172" max="7172" width="10.7109375" style="181" customWidth="1"/>
    <col min="7173" max="7173" width="9.7109375" style="181" customWidth="1"/>
    <col min="7174" max="7174" width="0" style="181" hidden="1" customWidth="1"/>
    <col min="7175" max="7175" width="9.42578125" style="181" customWidth="1"/>
    <col min="7176" max="7177" width="9.140625" style="181"/>
    <col min="7178" max="7178" width="8.5703125" style="181" bestFit="1" customWidth="1"/>
    <col min="7179" max="7182" width="9.140625" style="181"/>
    <col min="7183" max="7183" width="8.140625" style="181" bestFit="1" customWidth="1"/>
    <col min="7184" max="7425" width="9.140625" style="181"/>
    <col min="7426" max="7426" width="8.140625" style="181" bestFit="1" customWidth="1"/>
    <col min="7427" max="7427" width="22.42578125" style="181" customWidth="1"/>
    <col min="7428" max="7428" width="10.7109375" style="181" customWidth="1"/>
    <col min="7429" max="7429" width="9.7109375" style="181" customWidth="1"/>
    <col min="7430" max="7430" width="0" style="181" hidden="1" customWidth="1"/>
    <col min="7431" max="7431" width="9.42578125" style="181" customWidth="1"/>
    <col min="7432" max="7433" width="9.140625" style="181"/>
    <col min="7434" max="7434" width="8.5703125" style="181" bestFit="1" customWidth="1"/>
    <col min="7435" max="7438" width="9.140625" style="181"/>
    <col min="7439" max="7439" width="8.140625" style="181" bestFit="1" customWidth="1"/>
    <col min="7440" max="7681" width="9.140625" style="181"/>
    <col min="7682" max="7682" width="8.140625" style="181" bestFit="1" customWidth="1"/>
    <col min="7683" max="7683" width="22.42578125" style="181" customWidth="1"/>
    <col min="7684" max="7684" width="10.7109375" style="181" customWidth="1"/>
    <col min="7685" max="7685" width="9.7109375" style="181" customWidth="1"/>
    <col min="7686" max="7686" width="0" style="181" hidden="1" customWidth="1"/>
    <col min="7687" max="7687" width="9.42578125" style="181" customWidth="1"/>
    <col min="7688" max="7689" width="9.140625" style="181"/>
    <col min="7690" max="7690" width="8.5703125" style="181" bestFit="1" customWidth="1"/>
    <col min="7691" max="7694" width="9.140625" style="181"/>
    <col min="7695" max="7695" width="8.140625" style="181" bestFit="1" customWidth="1"/>
    <col min="7696" max="7937" width="9.140625" style="181"/>
    <col min="7938" max="7938" width="8.140625" style="181" bestFit="1" customWidth="1"/>
    <col min="7939" max="7939" width="22.42578125" style="181" customWidth="1"/>
    <col min="7940" max="7940" width="10.7109375" style="181" customWidth="1"/>
    <col min="7941" max="7941" width="9.7109375" style="181" customWidth="1"/>
    <col min="7942" max="7942" width="0" style="181" hidden="1" customWidth="1"/>
    <col min="7943" max="7943" width="9.42578125" style="181" customWidth="1"/>
    <col min="7944" max="7945" width="9.140625" style="181"/>
    <col min="7946" max="7946" width="8.5703125" style="181" bestFit="1" customWidth="1"/>
    <col min="7947" max="7950" width="9.140625" style="181"/>
    <col min="7951" max="7951" width="8.140625" style="181" bestFit="1" customWidth="1"/>
    <col min="7952" max="8193" width="9.140625" style="181"/>
    <col min="8194" max="8194" width="8.140625" style="181" bestFit="1" customWidth="1"/>
    <col min="8195" max="8195" width="22.42578125" style="181" customWidth="1"/>
    <col min="8196" max="8196" width="10.7109375" style="181" customWidth="1"/>
    <col min="8197" max="8197" width="9.7109375" style="181" customWidth="1"/>
    <col min="8198" max="8198" width="0" style="181" hidden="1" customWidth="1"/>
    <col min="8199" max="8199" width="9.42578125" style="181" customWidth="1"/>
    <col min="8200" max="8201" width="9.140625" style="181"/>
    <col min="8202" max="8202" width="8.5703125" style="181" bestFit="1" customWidth="1"/>
    <col min="8203" max="8206" width="9.140625" style="181"/>
    <col min="8207" max="8207" width="8.140625" style="181" bestFit="1" customWidth="1"/>
    <col min="8208" max="8449" width="9.140625" style="181"/>
    <col min="8450" max="8450" width="8.140625" style="181" bestFit="1" customWidth="1"/>
    <col min="8451" max="8451" width="22.42578125" style="181" customWidth="1"/>
    <col min="8452" max="8452" width="10.7109375" style="181" customWidth="1"/>
    <col min="8453" max="8453" width="9.7109375" style="181" customWidth="1"/>
    <col min="8454" max="8454" width="0" style="181" hidden="1" customWidth="1"/>
    <col min="8455" max="8455" width="9.42578125" style="181" customWidth="1"/>
    <col min="8456" max="8457" width="9.140625" style="181"/>
    <col min="8458" max="8458" width="8.5703125" style="181" bestFit="1" customWidth="1"/>
    <col min="8459" max="8462" width="9.140625" style="181"/>
    <col min="8463" max="8463" width="8.140625" style="181" bestFit="1" customWidth="1"/>
    <col min="8464" max="8705" width="9.140625" style="181"/>
    <col min="8706" max="8706" width="8.140625" style="181" bestFit="1" customWidth="1"/>
    <col min="8707" max="8707" width="22.42578125" style="181" customWidth="1"/>
    <col min="8708" max="8708" width="10.7109375" style="181" customWidth="1"/>
    <col min="8709" max="8709" width="9.7109375" style="181" customWidth="1"/>
    <col min="8710" max="8710" width="0" style="181" hidden="1" customWidth="1"/>
    <col min="8711" max="8711" width="9.42578125" style="181" customWidth="1"/>
    <col min="8712" max="8713" width="9.140625" style="181"/>
    <col min="8714" max="8714" width="8.5703125" style="181" bestFit="1" customWidth="1"/>
    <col min="8715" max="8718" width="9.140625" style="181"/>
    <col min="8719" max="8719" width="8.140625" style="181" bestFit="1" customWidth="1"/>
    <col min="8720" max="8961" width="9.140625" style="181"/>
    <col min="8962" max="8962" width="8.140625" style="181" bestFit="1" customWidth="1"/>
    <col min="8963" max="8963" width="22.42578125" style="181" customWidth="1"/>
    <col min="8964" max="8964" width="10.7109375" style="181" customWidth="1"/>
    <col min="8965" max="8965" width="9.7109375" style="181" customWidth="1"/>
    <col min="8966" max="8966" width="0" style="181" hidden="1" customWidth="1"/>
    <col min="8967" max="8967" width="9.42578125" style="181" customWidth="1"/>
    <col min="8968" max="8969" width="9.140625" style="181"/>
    <col min="8970" max="8970" width="8.5703125" style="181" bestFit="1" customWidth="1"/>
    <col min="8971" max="8974" width="9.140625" style="181"/>
    <col min="8975" max="8975" width="8.140625" style="181" bestFit="1" customWidth="1"/>
    <col min="8976" max="9217" width="9.140625" style="181"/>
    <col min="9218" max="9218" width="8.140625" style="181" bestFit="1" customWidth="1"/>
    <col min="9219" max="9219" width="22.42578125" style="181" customWidth="1"/>
    <col min="9220" max="9220" width="10.7109375" style="181" customWidth="1"/>
    <col min="9221" max="9221" width="9.7109375" style="181" customWidth="1"/>
    <col min="9222" max="9222" width="0" style="181" hidden="1" customWidth="1"/>
    <col min="9223" max="9223" width="9.42578125" style="181" customWidth="1"/>
    <col min="9224" max="9225" width="9.140625" style="181"/>
    <col min="9226" max="9226" width="8.5703125" style="181" bestFit="1" customWidth="1"/>
    <col min="9227" max="9230" width="9.140625" style="181"/>
    <col min="9231" max="9231" width="8.140625" style="181" bestFit="1" customWidth="1"/>
    <col min="9232" max="9473" width="9.140625" style="181"/>
    <col min="9474" max="9474" width="8.140625" style="181" bestFit="1" customWidth="1"/>
    <col min="9475" max="9475" width="22.42578125" style="181" customWidth="1"/>
    <col min="9476" max="9476" width="10.7109375" style="181" customWidth="1"/>
    <col min="9477" max="9477" width="9.7109375" style="181" customWidth="1"/>
    <col min="9478" max="9478" width="0" style="181" hidden="1" customWidth="1"/>
    <col min="9479" max="9479" width="9.42578125" style="181" customWidth="1"/>
    <col min="9480" max="9481" width="9.140625" style="181"/>
    <col min="9482" max="9482" width="8.5703125" style="181" bestFit="1" customWidth="1"/>
    <col min="9483" max="9486" width="9.140625" style="181"/>
    <col min="9487" max="9487" width="8.140625" style="181" bestFit="1" customWidth="1"/>
    <col min="9488" max="9729" width="9.140625" style="181"/>
    <col min="9730" max="9730" width="8.140625" style="181" bestFit="1" customWidth="1"/>
    <col min="9731" max="9731" width="22.42578125" style="181" customWidth="1"/>
    <col min="9732" max="9732" width="10.7109375" style="181" customWidth="1"/>
    <col min="9733" max="9733" width="9.7109375" style="181" customWidth="1"/>
    <col min="9734" max="9734" width="0" style="181" hidden="1" customWidth="1"/>
    <col min="9735" max="9735" width="9.42578125" style="181" customWidth="1"/>
    <col min="9736" max="9737" width="9.140625" style="181"/>
    <col min="9738" max="9738" width="8.5703125" style="181" bestFit="1" customWidth="1"/>
    <col min="9739" max="9742" width="9.140625" style="181"/>
    <col min="9743" max="9743" width="8.140625" style="181" bestFit="1" customWidth="1"/>
    <col min="9744" max="9985" width="9.140625" style="181"/>
    <col min="9986" max="9986" width="8.140625" style="181" bestFit="1" customWidth="1"/>
    <col min="9987" max="9987" width="22.42578125" style="181" customWidth="1"/>
    <col min="9988" max="9988" width="10.7109375" style="181" customWidth="1"/>
    <col min="9989" max="9989" width="9.7109375" style="181" customWidth="1"/>
    <col min="9990" max="9990" width="0" style="181" hidden="1" customWidth="1"/>
    <col min="9991" max="9991" width="9.42578125" style="181" customWidth="1"/>
    <col min="9992" max="9993" width="9.140625" style="181"/>
    <col min="9994" max="9994" width="8.5703125" style="181" bestFit="1" customWidth="1"/>
    <col min="9995" max="9998" width="9.140625" style="181"/>
    <col min="9999" max="9999" width="8.140625" style="181" bestFit="1" customWidth="1"/>
    <col min="10000" max="10241" width="9.140625" style="181"/>
    <col min="10242" max="10242" width="8.140625" style="181" bestFit="1" customWidth="1"/>
    <col min="10243" max="10243" width="22.42578125" style="181" customWidth="1"/>
    <col min="10244" max="10244" width="10.7109375" style="181" customWidth="1"/>
    <col min="10245" max="10245" width="9.7109375" style="181" customWidth="1"/>
    <col min="10246" max="10246" width="0" style="181" hidden="1" customWidth="1"/>
    <col min="10247" max="10247" width="9.42578125" style="181" customWidth="1"/>
    <col min="10248" max="10249" width="9.140625" style="181"/>
    <col min="10250" max="10250" width="8.5703125" style="181" bestFit="1" customWidth="1"/>
    <col min="10251" max="10254" width="9.140625" style="181"/>
    <col min="10255" max="10255" width="8.140625" style="181" bestFit="1" customWidth="1"/>
    <col min="10256" max="10497" width="9.140625" style="181"/>
    <col min="10498" max="10498" width="8.140625" style="181" bestFit="1" customWidth="1"/>
    <col min="10499" max="10499" width="22.42578125" style="181" customWidth="1"/>
    <col min="10500" max="10500" width="10.7109375" style="181" customWidth="1"/>
    <col min="10501" max="10501" width="9.7109375" style="181" customWidth="1"/>
    <col min="10502" max="10502" width="0" style="181" hidden="1" customWidth="1"/>
    <col min="10503" max="10503" width="9.42578125" style="181" customWidth="1"/>
    <col min="10504" max="10505" width="9.140625" style="181"/>
    <col min="10506" max="10506" width="8.5703125" style="181" bestFit="1" customWidth="1"/>
    <col min="10507" max="10510" width="9.140625" style="181"/>
    <col min="10511" max="10511" width="8.140625" style="181" bestFit="1" customWidth="1"/>
    <col min="10512" max="10753" width="9.140625" style="181"/>
    <col min="10754" max="10754" width="8.140625" style="181" bestFit="1" customWidth="1"/>
    <col min="10755" max="10755" width="22.42578125" style="181" customWidth="1"/>
    <col min="10756" max="10756" width="10.7109375" style="181" customWidth="1"/>
    <col min="10757" max="10757" width="9.7109375" style="181" customWidth="1"/>
    <col min="10758" max="10758" width="0" style="181" hidden="1" customWidth="1"/>
    <col min="10759" max="10759" width="9.42578125" style="181" customWidth="1"/>
    <col min="10760" max="10761" width="9.140625" style="181"/>
    <col min="10762" max="10762" width="8.5703125" style="181" bestFit="1" customWidth="1"/>
    <col min="10763" max="10766" width="9.140625" style="181"/>
    <col min="10767" max="10767" width="8.140625" style="181" bestFit="1" customWidth="1"/>
    <col min="10768" max="11009" width="9.140625" style="181"/>
    <col min="11010" max="11010" width="8.140625" style="181" bestFit="1" customWidth="1"/>
    <col min="11011" max="11011" width="22.42578125" style="181" customWidth="1"/>
    <col min="11012" max="11012" width="10.7109375" style="181" customWidth="1"/>
    <col min="11013" max="11013" width="9.7109375" style="181" customWidth="1"/>
    <col min="11014" max="11014" width="0" style="181" hidden="1" customWidth="1"/>
    <col min="11015" max="11015" width="9.42578125" style="181" customWidth="1"/>
    <col min="11016" max="11017" width="9.140625" style="181"/>
    <col min="11018" max="11018" width="8.5703125" style="181" bestFit="1" customWidth="1"/>
    <col min="11019" max="11022" width="9.140625" style="181"/>
    <col min="11023" max="11023" width="8.140625" style="181" bestFit="1" customWidth="1"/>
    <col min="11024" max="11265" width="9.140625" style="181"/>
    <col min="11266" max="11266" width="8.140625" style="181" bestFit="1" customWidth="1"/>
    <col min="11267" max="11267" width="22.42578125" style="181" customWidth="1"/>
    <col min="11268" max="11268" width="10.7109375" style="181" customWidth="1"/>
    <col min="11269" max="11269" width="9.7109375" style="181" customWidth="1"/>
    <col min="11270" max="11270" width="0" style="181" hidden="1" customWidth="1"/>
    <col min="11271" max="11271" width="9.42578125" style="181" customWidth="1"/>
    <col min="11272" max="11273" width="9.140625" style="181"/>
    <col min="11274" max="11274" width="8.5703125" style="181" bestFit="1" customWidth="1"/>
    <col min="11275" max="11278" width="9.140625" style="181"/>
    <col min="11279" max="11279" width="8.140625" style="181" bestFit="1" customWidth="1"/>
    <col min="11280" max="11521" width="9.140625" style="181"/>
    <col min="11522" max="11522" width="8.140625" style="181" bestFit="1" customWidth="1"/>
    <col min="11523" max="11523" width="22.42578125" style="181" customWidth="1"/>
    <col min="11524" max="11524" width="10.7109375" style="181" customWidth="1"/>
    <col min="11525" max="11525" width="9.7109375" style="181" customWidth="1"/>
    <col min="11526" max="11526" width="0" style="181" hidden="1" customWidth="1"/>
    <col min="11527" max="11527" width="9.42578125" style="181" customWidth="1"/>
    <col min="11528" max="11529" width="9.140625" style="181"/>
    <col min="11530" max="11530" width="8.5703125" style="181" bestFit="1" customWidth="1"/>
    <col min="11531" max="11534" width="9.140625" style="181"/>
    <col min="11535" max="11535" width="8.140625" style="181" bestFit="1" customWidth="1"/>
    <col min="11536" max="11777" width="9.140625" style="181"/>
    <col min="11778" max="11778" width="8.140625" style="181" bestFit="1" customWidth="1"/>
    <col min="11779" max="11779" width="22.42578125" style="181" customWidth="1"/>
    <col min="11780" max="11780" width="10.7109375" style="181" customWidth="1"/>
    <col min="11781" max="11781" width="9.7109375" style="181" customWidth="1"/>
    <col min="11782" max="11782" width="0" style="181" hidden="1" customWidth="1"/>
    <col min="11783" max="11783" width="9.42578125" style="181" customWidth="1"/>
    <col min="11784" max="11785" width="9.140625" style="181"/>
    <col min="11786" max="11786" width="8.5703125" style="181" bestFit="1" customWidth="1"/>
    <col min="11787" max="11790" width="9.140625" style="181"/>
    <col min="11791" max="11791" width="8.140625" style="181" bestFit="1" customWidth="1"/>
    <col min="11792" max="12033" width="9.140625" style="181"/>
    <col min="12034" max="12034" width="8.140625" style="181" bestFit="1" customWidth="1"/>
    <col min="12035" max="12035" width="22.42578125" style="181" customWidth="1"/>
    <col min="12036" max="12036" width="10.7109375" style="181" customWidth="1"/>
    <col min="12037" max="12037" width="9.7109375" style="181" customWidth="1"/>
    <col min="12038" max="12038" width="0" style="181" hidden="1" customWidth="1"/>
    <col min="12039" max="12039" width="9.42578125" style="181" customWidth="1"/>
    <col min="12040" max="12041" width="9.140625" style="181"/>
    <col min="12042" max="12042" width="8.5703125" style="181" bestFit="1" customWidth="1"/>
    <col min="12043" max="12046" width="9.140625" style="181"/>
    <col min="12047" max="12047" width="8.140625" style="181" bestFit="1" customWidth="1"/>
    <col min="12048" max="12289" width="9.140625" style="181"/>
    <col min="12290" max="12290" width="8.140625" style="181" bestFit="1" customWidth="1"/>
    <col min="12291" max="12291" width="22.42578125" style="181" customWidth="1"/>
    <col min="12292" max="12292" width="10.7109375" style="181" customWidth="1"/>
    <col min="12293" max="12293" width="9.7109375" style="181" customWidth="1"/>
    <col min="12294" max="12294" width="0" style="181" hidden="1" customWidth="1"/>
    <col min="12295" max="12295" width="9.42578125" style="181" customWidth="1"/>
    <col min="12296" max="12297" width="9.140625" style="181"/>
    <col min="12298" max="12298" width="8.5703125" style="181" bestFit="1" customWidth="1"/>
    <col min="12299" max="12302" width="9.140625" style="181"/>
    <col min="12303" max="12303" width="8.140625" style="181" bestFit="1" customWidth="1"/>
    <col min="12304" max="12545" width="9.140625" style="181"/>
    <col min="12546" max="12546" width="8.140625" style="181" bestFit="1" customWidth="1"/>
    <col min="12547" max="12547" width="22.42578125" style="181" customWidth="1"/>
    <col min="12548" max="12548" width="10.7109375" style="181" customWidth="1"/>
    <col min="12549" max="12549" width="9.7109375" style="181" customWidth="1"/>
    <col min="12550" max="12550" width="0" style="181" hidden="1" customWidth="1"/>
    <col min="12551" max="12551" width="9.42578125" style="181" customWidth="1"/>
    <col min="12552" max="12553" width="9.140625" style="181"/>
    <col min="12554" max="12554" width="8.5703125" style="181" bestFit="1" customWidth="1"/>
    <col min="12555" max="12558" width="9.140625" style="181"/>
    <col min="12559" max="12559" width="8.140625" style="181" bestFit="1" customWidth="1"/>
    <col min="12560" max="12801" width="9.140625" style="181"/>
    <col min="12802" max="12802" width="8.140625" style="181" bestFit="1" customWidth="1"/>
    <col min="12803" max="12803" width="22.42578125" style="181" customWidth="1"/>
    <col min="12804" max="12804" width="10.7109375" style="181" customWidth="1"/>
    <col min="12805" max="12805" width="9.7109375" style="181" customWidth="1"/>
    <col min="12806" max="12806" width="0" style="181" hidden="1" customWidth="1"/>
    <col min="12807" max="12807" width="9.42578125" style="181" customWidth="1"/>
    <col min="12808" max="12809" width="9.140625" style="181"/>
    <col min="12810" max="12810" width="8.5703125" style="181" bestFit="1" customWidth="1"/>
    <col min="12811" max="12814" width="9.140625" style="181"/>
    <col min="12815" max="12815" width="8.140625" style="181" bestFit="1" customWidth="1"/>
    <col min="12816" max="13057" width="9.140625" style="181"/>
    <col min="13058" max="13058" width="8.140625" style="181" bestFit="1" customWidth="1"/>
    <col min="13059" max="13059" width="22.42578125" style="181" customWidth="1"/>
    <col min="13060" max="13060" width="10.7109375" style="181" customWidth="1"/>
    <col min="13061" max="13061" width="9.7109375" style="181" customWidth="1"/>
    <col min="13062" max="13062" width="0" style="181" hidden="1" customWidth="1"/>
    <col min="13063" max="13063" width="9.42578125" style="181" customWidth="1"/>
    <col min="13064" max="13065" width="9.140625" style="181"/>
    <col min="13066" max="13066" width="8.5703125" style="181" bestFit="1" customWidth="1"/>
    <col min="13067" max="13070" width="9.140625" style="181"/>
    <col min="13071" max="13071" width="8.140625" style="181" bestFit="1" customWidth="1"/>
    <col min="13072" max="13313" width="9.140625" style="181"/>
    <col min="13314" max="13314" width="8.140625" style="181" bestFit="1" customWidth="1"/>
    <col min="13315" max="13315" width="22.42578125" style="181" customWidth="1"/>
    <col min="13316" max="13316" width="10.7109375" style="181" customWidth="1"/>
    <col min="13317" max="13317" width="9.7109375" style="181" customWidth="1"/>
    <col min="13318" max="13318" width="0" style="181" hidden="1" customWidth="1"/>
    <col min="13319" max="13319" width="9.42578125" style="181" customWidth="1"/>
    <col min="13320" max="13321" width="9.140625" style="181"/>
    <col min="13322" max="13322" width="8.5703125" style="181" bestFit="1" customWidth="1"/>
    <col min="13323" max="13326" width="9.140625" style="181"/>
    <col min="13327" max="13327" width="8.140625" style="181" bestFit="1" customWidth="1"/>
    <col min="13328" max="13569" width="9.140625" style="181"/>
    <col min="13570" max="13570" width="8.140625" style="181" bestFit="1" customWidth="1"/>
    <col min="13571" max="13571" width="22.42578125" style="181" customWidth="1"/>
    <col min="13572" max="13572" width="10.7109375" style="181" customWidth="1"/>
    <col min="13573" max="13573" width="9.7109375" style="181" customWidth="1"/>
    <col min="13574" max="13574" width="0" style="181" hidden="1" customWidth="1"/>
    <col min="13575" max="13575" width="9.42578125" style="181" customWidth="1"/>
    <col min="13576" max="13577" width="9.140625" style="181"/>
    <col min="13578" max="13578" width="8.5703125" style="181" bestFit="1" customWidth="1"/>
    <col min="13579" max="13582" width="9.140625" style="181"/>
    <col min="13583" max="13583" width="8.140625" style="181" bestFit="1" customWidth="1"/>
    <col min="13584" max="13825" width="9.140625" style="181"/>
    <col min="13826" max="13826" width="8.140625" style="181" bestFit="1" customWidth="1"/>
    <col min="13827" max="13827" width="22.42578125" style="181" customWidth="1"/>
    <col min="13828" max="13828" width="10.7109375" style="181" customWidth="1"/>
    <col min="13829" max="13829" width="9.7109375" style="181" customWidth="1"/>
    <col min="13830" max="13830" width="0" style="181" hidden="1" customWidth="1"/>
    <col min="13831" max="13831" width="9.42578125" style="181" customWidth="1"/>
    <col min="13832" max="13833" width="9.140625" style="181"/>
    <col min="13834" max="13834" width="8.5703125" style="181" bestFit="1" customWidth="1"/>
    <col min="13835" max="13838" width="9.140625" style="181"/>
    <col min="13839" max="13839" width="8.140625" style="181" bestFit="1" customWidth="1"/>
    <col min="13840" max="14081" width="9.140625" style="181"/>
    <col min="14082" max="14082" width="8.140625" style="181" bestFit="1" customWidth="1"/>
    <col min="14083" max="14083" width="22.42578125" style="181" customWidth="1"/>
    <col min="14084" max="14084" width="10.7109375" style="181" customWidth="1"/>
    <col min="14085" max="14085" width="9.7109375" style="181" customWidth="1"/>
    <col min="14086" max="14086" width="0" style="181" hidden="1" customWidth="1"/>
    <col min="14087" max="14087" width="9.42578125" style="181" customWidth="1"/>
    <col min="14088" max="14089" width="9.140625" style="181"/>
    <col min="14090" max="14090" width="8.5703125" style="181" bestFit="1" customWidth="1"/>
    <col min="14091" max="14094" width="9.140625" style="181"/>
    <col min="14095" max="14095" width="8.140625" style="181" bestFit="1" customWidth="1"/>
    <col min="14096" max="14337" width="9.140625" style="181"/>
    <col min="14338" max="14338" width="8.140625" style="181" bestFit="1" customWidth="1"/>
    <col min="14339" max="14339" width="22.42578125" style="181" customWidth="1"/>
    <col min="14340" max="14340" width="10.7109375" style="181" customWidth="1"/>
    <col min="14341" max="14341" width="9.7109375" style="181" customWidth="1"/>
    <col min="14342" max="14342" width="0" style="181" hidden="1" customWidth="1"/>
    <col min="14343" max="14343" width="9.42578125" style="181" customWidth="1"/>
    <col min="14344" max="14345" width="9.140625" style="181"/>
    <col min="14346" max="14346" width="8.5703125" style="181" bestFit="1" customWidth="1"/>
    <col min="14347" max="14350" width="9.140625" style="181"/>
    <col min="14351" max="14351" width="8.140625" style="181" bestFit="1" customWidth="1"/>
    <col min="14352" max="14593" width="9.140625" style="181"/>
    <col min="14594" max="14594" width="8.140625" style="181" bestFit="1" customWidth="1"/>
    <col min="14595" max="14595" width="22.42578125" style="181" customWidth="1"/>
    <col min="14596" max="14596" width="10.7109375" style="181" customWidth="1"/>
    <col min="14597" max="14597" width="9.7109375" style="181" customWidth="1"/>
    <col min="14598" max="14598" width="0" style="181" hidden="1" customWidth="1"/>
    <col min="14599" max="14599" width="9.42578125" style="181" customWidth="1"/>
    <col min="14600" max="14601" width="9.140625" style="181"/>
    <col min="14602" max="14602" width="8.5703125" style="181" bestFit="1" customWidth="1"/>
    <col min="14603" max="14606" width="9.140625" style="181"/>
    <col min="14607" max="14607" width="8.140625" style="181" bestFit="1" customWidth="1"/>
    <col min="14608" max="14849" width="9.140625" style="181"/>
    <col min="14850" max="14850" width="8.140625" style="181" bestFit="1" customWidth="1"/>
    <col min="14851" max="14851" width="22.42578125" style="181" customWidth="1"/>
    <col min="14852" max="14852" width="10.7109375" style="181" customWidth="1"/>
    <col min="14853" max="14853" width="9.7109375" style="181" customWidth="1"/>
    <col min="14854" max="14854" width="0" style="181" hidden="1" customWidth="1"/>
    <col min="14855" max="14855" width="9.42578125" style="181" customWidth="1"/>
    <col min="14856" max="14857" width="9.140625" style="181"/>
    <col min="14858" max="14858" width="8.5703125" style="181" bestFit="1" customWidth="1"/>
    <col min="14859" max="14862" width="9.140625" style="181"/>
    <col min="14863" max="14863" width="8.140625" style="181" bestFit="1" customWidth="1"/>
    <col min="14864" max="15105" width="9.140625" style="181"/>
    <col min="15106" max="15106" width="8.140625" style="181" bestFit="1" customWidth="1"/>
    <col min="15107" max="15107" width="22.42578125" style="181" customWidth="1"/>
    <col min="15108" max="15108" width="10.7109375" style="181" customWidth="1"/>
    <col min="15109" max="15109" width="9.7109375" style="181" customWidth="1"/>
    <col min="15110" max="15110" width="0" style="181" hidden="1" customWidth="1"/>
    <col min="15111" max="15111" width="9.42578125" style="181" customWidth="1"/>
    <col min="15112" max="15113" width="9.140625" style="181"/>
    <col min="15114" max="15114" width="8.5703125" style="181" bestFit="1" customWidth="1"/>
    <col min="15115" max="15118" width="9.140625" style="181"/>
    <col min="15119" max="15119" width="8.140625" style="181" bestFit="1" customWidth="1"/>
    <col min="15120" max="15361" width="9.140625" style="181"/>
    <col min="15362" max="15362" width="8.140625" style="181" bestFit="1" customWidth="1"/>
    <col min="15363" max="15363" width="22.42578125" style="181" customWidth="1"/>
    <col min="15364" max="15364" width="10.7109375" style="181" customWidth="1"/>
    <col min="15365" max="15365" width="9.7109375" style="181" customWidth="1"/>
    <col min="15366" max="15366" width="0" style="181" hidden="1" customWidth="1"/>
    <col min="15367" max="15367" width="9.42578125" style="181" customWidth="1"/>
    <col min="15368" max="15369" width="9.140625" style="181"/>
    <col min="15370" max="15370" width="8.5703125" style="181" bestFit="1" customWidth="1"/>
    <col min="15371" max="15374" width="9.140625" style="181"/>
    <col min="15375" max="15375" width="8.140625" style="181" bestFit="1" customWidth="1"/>
    <col min="15376" max="15617" width="9.140625" style="181"/>
    <col min="15618" max="15618" width="8.140625" style="181" bestFit="1" customWidth="1"/>
    <col min="15619" max="15619" width="22.42578125" style="181" customWidth="1"/>
    <col min="15620" max="15620" width="10.7109375" style="181" customWidth="1"/>
    <col min="15621" max="15621" width="9.7109375" style="181" customWidth="1"/>
    <col min="15622" max="15622" width="0" style="181" hidden="1" customWidth="1"/>
    <col min="15623" max="15623" width="9.42578125" style="181" customWidth="1"/>
    <col min="15624" max="15625" width="9.140625" style="181"/>
    <col min="15626" max="15626" width="8.5703125" style="181" bestFit="1" customWidth="1"/>
    <col min="15627" max="15630" width="9.140625" style="181"/>
    <col min="15631" max="15631" width="8.140625" style="181" bestFit="1" customWidth="1"/>
    <col min="15632" max="15873" width="9.140625" style="181"/>
    <col min="15874" max="15874" width="8.140625" style="181" bestFit="1" customWidth="1"/>
    <col min="15875" max="15875" width="22.42578125" style="181" customWidth="1"/>
    <col min="15876" max="15876" width="10.7109375" style="181" customWidth="1"/>
    <col min="15877" max="15877" width="9.7109375" style="181" customWidth="1"/>
    <col min="15878" max="15878" width="0" style="181" hidden="1" customWidth="1"/>
    <col min="15879" max="15879" width="9.42578125" style="181" customWidth="1"/>
    <col min="15880" max="15881" width="9.140625" style="181"/>
    <col min="15882" max="15882" width="8.5703125" style="181" bestFit="1" customWidth="1"/>
    <col min="15883" max="15886" width="9.140625" style="181"/>
    <col min="15887" max="15887" width="8.140625" style="181" bestFit="1" customWidth="1"/>
    <col min="15888" max="16129" width="9.140625" style="181"/>
    <col min="16130" max="16130" width="8.140625" style="181" bestFit="1" customWidth="1"/>
    <col min="16131" max="16131" width="22.42578125" style="181" customWidth="1"/>
    <col min="16132" max="16132" width="10.7109375" style="181" customWidth="1"/>
    <col min="16133" max="16133" width="9.7109375" style="181" customWidth="1"/>
    <col min="16134" max="16134" width="0" style="181" hidden="1" customWidth="1"/>
    <col min="16135" max="16135" width="9.42578125" style="181" customWidth="1"/>
    <col min="16136" max="16137" width="9.140625" style="181"/>
    <col min="16138" max="16138" width="8.5703125" style="181" bestFit="1" customWidth="1"/>
    <col min="16139" max="16142" width="9.140625" style="181"/>
    <col min="16143" max="16143" width="8.140625" style="181" bestFit="1" customWidth="1"/>
    <col min="16144" max="16384" width="9.140625" style="181"/>
  </cols>
  <sheetData>
    <row r="1" spans="1:28" s="177" customFormat="1" ht="14.25" customHeight="1">
      <c r="A1" s="74" t="s">
        <v>1860</v>
      </c>
      <c r="B1" s="335"/>
      <c r="C1" s="335"/>
      <c r="D1" s="335"/>
      <c r="E1" s="335"/>
      <c r="F1" s="335"/>
      <c r="G1" s="335"/>
      <c r="H1" s="335"/>
      <c r="I1" s="335"/>
      <c r="J1" s="335"/>
      <c r="K1" s="335"/>
      <c r="L1" s="175"/>
      <c r="M1" s="175"/>
      <c r="N1" s="175"/>
      <c r="O1" s="176"/>
    </row>
    <row r="2" spans="1:28" ht="16.5">
      <c r="A2" s="759" t="str">
        <f>'4.1_котельные'!A2</f>
        <v>ПКГО - выработка котельными</v>
      </c>
      <c r="B2" s="178"/>
      <c r="C2" s="179"/>
      <c r="D2" s="180"/>
      <c r="E2" s="179"/>
      <c r="F2" s="179"/>
      <c r="G2" s="179"/>
      <c r="H2" s="179"/>
      <c r="I2" s="179"/>
      <c r="J2" s="179"/>
      <c r="K2" s="179"/>
      <c r="L2" s="179"/>
      <c r="M2" s="179"/>
      <c r="N2" s="442" t="s">
        <v>847</v>
      </c>
      <c r="O2" s="179"/>
    </row>
    <row r="3" spans="1:28">
      <c r="A3" s="179"/>
      <c r="B3" s="179"/>
      <c r="C3" s="179"/>
      <c r="D3" s="179"/>
      <c r="E3" s="179"/>
      <c r="F3" s="179"/>
      <c r="G3" s="179"/>
      <c r="H3" s="179"/>
      <c r="I3" s="179"/>
      <c r="J3" s="179"/>
      <c r="K3" s="179"/>
      <c r="L3" s="179"/>
      <c r="M3" s="179"/>
      <c r="N3" s="179"/>
      <c r="O3" s="179"/>
    </row>
    <row r="4" spans="1:28" ht="16.5">
      <c r="A4" s="1931" t="s">
        <v>413</v>
      </c>
      <c r="B4" s="1931"/>
      <c r="C4" s="1931"/>
      <c r="D4" s="1931"/>
      <c r="E4" s="1931"/>
      <c r="F4" s="1931"/>
      <c r="G4" s="1931"/>
      <c r="H4" s="1931"/>
      <c r="I4" s="1931"/>
      <c r="J4" s="1931"/>
      <c r="K4" s="1931"/>
      <c r="L4" s="1931"/>
      <c r="M4" s="1931"/>
      <c r="N4" s="1931"/>
      <c r="O4" s="1931"/>
    </row>
    <row r="5" spans="1:28" ht="16.5">
      <c r="A5" s="1932"/>
      <c r="B5" s="1932"/>
      <c r="C5" s="1932"/>
      <c r="D5" s="1932"/>
      <c r="E5" s="1932"/>
      <c r="F5" s="1932"/>
      <c r="G5" s="1932"/>
      <c r="H5" s="1932"/>
      <c r="I5" s="1932"/>
      <c r="J5" s="179"/>
      <c r="K5" s="179"/>
      <c r="L5" s="179"/>
      <c r="M5" s="179"/>
      <c r="N5" s="179"/>
      <c r="O5" s="179"/>
      <c r="AA5" s="1412"/>
      <c r="AB5" s="1413"/>
    </row>
    <row r="6" spans="1:28" s="182" customFormat="1" ht="23.25" customHeight="1">
      <c r="A6" s="1930" t="s">
        <v>0</v>
      </c>
      <c r="B6" s="1930" t="s">
        <v>848</v>
      </c>
      <c r="C6" s="1930" t="s">
        <v>849</v>
      </c>
      <c r="D6" s="1930" t="s">
        <v>850</v>
      </c>
      <c r="E6" s="1930"/>
      <c r="F6" s="1933" t="s">
        <v>851</v>
      </c>
      <c r="G6" s="1933" t="s">
        <v>852</v>
      </c>
      <c r="H6" s="1930" t="s">
        <v>417</v>
      </c>
      <c r="I6" s="1930"/>
      <c r="J6" s="1930"/>
      <c r="K6" s="1930"/>
      <c r="L6" s="1930"/>
      <c r="M6" s="1930" t="s">
        <v>853</v>
      </c>
      <c r="N6" s="1930"/>
      <c r="O6" s="1930"/>
    </row>
    <row r="7" spans="1:28" s="182" customFormat="1">
      <c r="A7" s="1930"/>
      <c r="B7" s="1930"/>
      <c r="C7" s="1930"/>
      <c r="D7" s="1930"/>
      <c r="E7" s="1930"/>
      <c r="F7" s="1933"/>
      <c r="G7" s="1933"/>
      <c r="H7" s="1930" t="s">
        <v>854</v>
      </c>
      <c r="I7" s="1930"/>
      <c r="J7" s="1930"/>
      <c r="K7" s="1930" t="s">
        <v>420</v>
      </c>
      <c r="L7" s="1930"/>
      <c r="M7" s="1930" t="s">
        <v>421</v>
      </c>
      <c r="N7" s="1930" t="s">
        <v>855</v>
      </c>
      <c r="O7" s="1930" t="s">
        <v>63</v>
      </c>
    </row>
    <row r="8" spans="1:28" s="182" customFormat="1" ht="25.5" customHeight="1">
      <c r="A8" s="1930"/>
      <c r="B8" s="1930"/>
      <c r="C8" s="1930"/>
      <c r="D8" s="1930"/>
      <c r="E8" s="1930"/>
      <c r="F8" s="1933"/>
      <c r="G8" s="1933"/>
      <c r="H8" s="1930"/>
      <c r="I8" s="1930"/>
      <c r="J8" s="1930"/>
      <c r="K8" s="183" t="s">
        <v>856</v>
      </c>
      <c r="L8" s="183" t="s">
        <v>857</v>
      </c>
      <c r="M8" s="1930"/>
      <c r="N8" s="1930"/>
      <c r="O8" s="1930"/>
    </row>
    <row r="9" spans="1:28" s="182" customFormat="1" ht="26.25" customHeight="1">
      <c r="A9" s="1930"/>
      <c r="B9" s="1930"/>
      <c r="C9" s="1930"/>
      <c r="D9" s="1930"/>
      <c r="E9" s="1930"/>
      <c r="F9" s="1933"/>
      <c r="G9" s="1933"/>
      <c r="H9" s="756" t="s">
        <v>858</v>
      </c>
      <c r="I9" s="756"/>
      <c r="J9" s="756"/>
      <c r="K9" s="756" t="s">
        <v>859</v>
      </c>
      <c r="L9" s="756" t="s">
        <v>860</v>
      </c>
      <c r="M9" s="1930"/>
      <c r="N9" s="1930"/>
      <c r="O9" s="1930"/>
    </row>
    <row r="10" spans="1:28">
      <c r="A10" s="184">
        <v>1</v>
      </c>
      <c r="B10" s="184">
        <v>2</v>
      </c>
      <c r="C10" s="184">
        <v>3</v>
      </c>
      <c r="D10" s="184">
        <v>4</v>
      </c>
      <c r="E10" s="184">
        <v>5</v>
      </c>
      <c r="F10" s="184">
        <v>3</v>
      </c>
      <c r="G10" s="184">
        <v>4</v>
      </c>
      <c r="H10" s="184">
        <v>6</v>
      </c>
      <c r="I10" s="184">
        <v>5</v>
      </c>
      <c r="J10" s="184">
        <v>6</v>
      </c>
      <c r="K10" s="184">
        <v>7</v>
      </c>
      <c r="L10" s="184">
        <v>8</v>
      </c>
      <c r="M10" s="184">
        <v>9</v>
      </c>
      <c r="N10" s="184">
        <v>10</v>
      </c>
      <c r="O10" s="184">
        <v>11</v>
      </c>
    </row>
    <row r="11" spans="1:28" hidden="1">
      <c r="A11" s="757"/>
      <c r="B11" s="757"/>
      <c r="C11" s="757"/>
      <c r="D11" s="757" t="s">
        <v>861</v>
      </c>
      <c r="E11" s="757"/>
      <c r="F11" s="757"/>
      <c r="G11" s="757"/>
      <c r="H11" s="1944"/>
      <c r="I11" s="1944"/>
      <c r="J11" s="1944"/>
      <c r="K11" s="757"/>
      <c r="L11" s="757"/>
      <c r="M11" s="757"/>
      <c r="N11" s="757"/>
      <c r="O11" s="757"/>
    </row>
    <row r="12" spans="1:28" ht="15" hidden="1" customHeight="1">
      <c r="A12" s="1934" t="s">
        <v>862</v>
      </c>
      <c r="B12" s="1935"/>
      <c r="C12" s="1935"/>
      <c r="D12" s="1935"/>
      <c r="E12" s="1935"/>
      <c r="F12" s="1935"/>
      <c r="G12" s="1935"/>
      <c r="H12" s="1935"/>
      <c r="I12" s="1935"/>
      <c r="J12" s="1935"/>
      <c r="K12" s="1935"/>
      <c r="L12" s="1935"/>
      <c r="M12" s="1935"/>
      <c r="N12" s="1935"/>
      <c r="O12" s="1936"/>
    </row>
    <row r="13" spans="1:28" ht="25.5" hidden="1">
      <c r="A13" s="757">
        <v>1</v>
      </c>
      <c r="B13" s="185" t="s">
        <v>863</v>
      </c>
      <c r="C13" s="186">
        <v>277.36700000000002</v>
      </c>
      <c r="D13" s="186">
        <v>29.58</v>
      </c>
      <c r="E13" s="187"/>
      <c r="F13" s="188">
        <v>8203.2999999999993</v>
      </c>
      <c r="G13" s="188"/>
      <c r="H13" s="187"/>
      <c r="I13" s="187"/>
      <c r="J13" s="187">
        <v>5.36</v>
      </c>
      <c r="K13" s="189"/>
      <c r="L13" s="189"/>
      <c r="M13" s="189">
        <v>43360</v>
      </c>
      <c r="N13" s="189"/>
      <c r="O13" s="189">
        <v>43360</v>
      </c>
    </row>
    <row r="14" spans="1:28" hidden="1">
      <c r="A14" s="757" t="s">
        <v>5</v>
      </c>
      <c r="B14" s="190" t="s">
        <v>864</v>
      </c>
      <c r="C14" s="191"/>
      <c r="D14" s="191"/>
      <c r="E14" s="192"/>
      <c r="F14" s="193">
        <v>8203.2999999999993</v>
      </c>
      <c r="G14" s="193"/>
      <c r="H14" s="192"/>
      <c r="I14" s="192"/>
      <c r="J14" s="192">
        <v>5.36</v>
      </c>
      <c r="K14" s="194"/>
      <c r="L14" s="194"/>
      <c r="M14" s="194">
        <v>43360</v>
      </c>
      <c r="N14" s="194"/>
      <c r="O14" s="194">
        <v>43360</v>
      </c>
    </row>
    <row r="15" spans="1:28" hidden="1">
      <c r="A15" s="757" t="s">
        <v>6</v>
      </c>
      <c r="B15" s="190" t="s">
        <v>429</v>
      </c>
      <c r="C15" s="191"/>
      <c r="D15" s="191"/>
      <c r="E15" s="192"/>
      <c r="F15" s="193"/>
      <c r="G15" s="193"/>
      <c r="H15" s="192"/>
      <c r="I15" s="192"/>
      <c r="J15" s="192"/>
      <c r="K15" s="194"/>
      <c r="L15" s="194"/>
      <c r="M15" s="194"/>
      <c r="N15" s="194"/>
      <c r="O15" s="194"/>
    </row>
    <row r="16" spans="1:28" hidden="1">
      <c r="A16" s="757" t="s">
        <v>7</v>
      </c>
      <c r="B16" s="190" t="s">
        <v>432</v>
      </c>
      <c r="C16" s="191"/>
      <c r="D16" s="191"/>
      <c r="E16" s="192"/>
      <c r="F16" s="193"/>
      <c r="G16" s="193"/>
      <c r="H16" s="192"/>
      <c r="I16" s="192"/>
      <c r="J16" s="192"/>
      <c r="K16" s="194"/>
      <c r="L16" s="194"/>
      <c r="M16" s="194"/>
      <c r="N16" s="194"/>
      <c r="O16" s="194"/>
    </row>
    <row r="17" spans="1:15" ht="13.5" hidden="1">
      <c r="A17" s="195" t="s">
        <v>11</v>
      </c>
      <c r="B17" s="1945" t="s">
        <v>865</v>
      </c>
      <c r="C17" s="1945"/>
      <c r="D17" s="1945"/>
      <c r="E17" s="196"/>
      <c r="F17" s="197">
        <f>F18+F19+F20</f>
        <v>7960.4000000000005</v>
      </c>
      <c r="G17" s="197"/>
      <c r="H17" s="198"/>
      <c r="I17" s="198"/>
      <c r="J17" s="198">
        <v>5.36</v>
      </c>
      <c r="K17" s="198"/>
      <c r="L17" s="198"/>
      <c r="M17" s="189">
        <f>M18+M19+M20</f>
        <v>42667</v>
      </c>
      <c r="N17" s="198"/>
      <c r="O17" s="189">
        <f>M17</f>
        <v>42667</v>
      </c>
    </row>
    <row r="18" spans="1:15" hidden="1">
      <c r="A18" s="757" t="s">
        <v>12</v>
      </c>
      <c r="B18" s="190" t="s">
        <v>866</v>
      </c>
      <c r="C18" s="199">
        <v>277.37</v>
      </c>
      <c r="D18" s="200">
        <v>28.7</v>
      </c>
      <c r="E18" s="192"/>
      <c r="F18" s="193">
        <v>7902.1</v>
      </c>
      <c r="G18" s="193"/>
      <c r="H18" s="192"/>
      <c r="I18" s="192"/>
      <c r="J18" s="192">
        <v>5.36</v>
      </c>
      <c r="K18" s="194"/>
      <c r="L18" s="194"/>
      <c r="M18" s="194">
        <v>42355</v>
      </c>
      <c r="N18" s="194"/>
      <c r="O18" s="194">
        <f t="shared" ref="O18:O26" si="0">M18</f>
        <v>42355</v>
      </c>
    </row>
    <row r="19" spans="1:15" ht="17.25" hidden="1" customHeight="1">
      <c r="A19" s="757" t="s">
        <v>18</v>
      </c>
      <c r="B19" s="190"/>
      <c r="C19" s="199">
        <v>277.37</v>
      </c>
      <c r="D19" s="200"/>
      <c r="E19" s="192"/>
      <c r="F19" s="193"/>
      <c r="G19" s="193"/>
      <c r="H19" s="192"/>
      <c r="I19" s="192"/>
      <c r="J19" s="192">
        <v>5.36</v>
      </c>
      <c r="K19" s="194"/>
      <c r="L19" s="194"/>
      <c r="M19" s="194"/>
      <c r="N19" s="194"/>
      <c r="O19" s="194">
        <f t="shared" si="0"/>
        <v>0</v>
      </c>
    </row>
    <row r="20" spans="1:15" hidden="1">
      <c r="A20" s="757" t="s">
        <v>867</v>
      </c>
      <c r="B20" s="190" t="s">
        <v>868</v>
      </c>
      <c r="C20" s="199">
        <v>277.37</v>
      </c>
      <c r="D20" s="200">
        <v>0.2</v>
      </c>
      <c r="E20" s="192"/>
      <c r="F20" s="193">
        <v>58.3</v>
      </c>
      <c r="G20" s="193"/>
      <c r="H20" s="192"/>
      <c r="I20" s="192"/>
      <c r="J20" s="192">
        <v>5.36</v>
      </c>
      <c r="K20" s="194"/>
      <c r="L20" s="194"/>
      <c r="M20" s="194">
        <v>312</v>
      </c>
      <c r="N20" s="194"/>
      <c r="O20" s="194">
        <f t="shared" si="0"/>
        <v>312</v>
      </c>
    </row>
    <row r="21" spans="1:15" ht="25.5" hidden="1">
      <c r="A21" s="757" t="s">
        <v>869</v>
      </c>
      <c r="B21" s="190" t="s">
        <v>870</v>
      </c>
      <c r="C21" s="199">
        <v>277.37</v>
      </c>
      <c r="D21" s="201">
        <v>0.47</v>
      </c>
      <c r="E21" s="192"/>
      <c r="F21" s="193">
        <v>129.30000000000001</v>
      </c>
      <c r="G21" s="193"/>
      <c r="H21" s="192"/>
      <c r="I21" s="192"/>
      <c r="J21" s="192">
        <v>5.36</v>
      </c>
      <c r="K21" s="194"/>
      <c r="L21" s="194"/>
      <c r="M21" s="194">
        <v>693</v>
      </c>
      <c r="N21" s="194"/>
      <c r="O21" s="194">
        <f t="shared" si="0"/>
        <v>693</v>
      </c>
    </row>
    <row r="22" spans="1:15" hidden="1">
      <c r="A22" s="202" t="s">
        <v>869</v>
      </c>
      <c r="B22" s="185" t="s">
        <v>871</v>
      </c>
      <c r="C22" s="203"/>
      <c r="D22" s="203"/>
      <c r="E22" s="187"/>
      <c r="F22" s="188">
        <v>113.6</v>
      </c>
      <c r="G22" s="188"/>
      <c r="H22" s="187"/>
      <c r="I22" s="192"/>
      <c r="J22" s="198">
        <v>5.36</v>
      </c>
      <c r="K22" s="189"/>
      <c r="L22" s="189"/>
      <c r="M22" s="189">
        <v>609</v>
      </c>
      <c r="N22" s="189"/>
      <c r="O22" s="189">
        <f t="shared" si="0"/>
        <v>609</v>
      </c>
    </row>
    <row r="23" spans="1:15" hidden="1">
      <c r="A23" s="757" t="s">
        <v>872</v>
      </c>
      <c r="B23" s="190" t="s">
        <v>873</v>
      </c>
      <c r="C23" s="201"/>
      <c r="D23" s="201"/>
      <c r="E23" s="192"/>
      <c r="F23" s="193"/>
      <c r="G23" s="193"/>
      <c r="H23" s="192"/>
      <c r="I23" s="192"/>
      <c r="J23" s="194"/>
      <c r="K23" s="194"/>
      <c r="L23" s="194"/>
      <c r="M23" s="194"/>
      <c r="N23" s="194"/>
      <c r="O23" s="189"/>
    </row>
    <row r="24" spans="1:15" hidden="1">
      <c r="A24" s="757" t="s">
        <v>874</v>
      </c>
      <c r="B24" s="190" t="s">
        <v>875</v>
      </c>
      <c r="C24" s="201"/>
      <c r="D24" s="201"/>
      <c r="E24" s="192"/>
      <c r="F24" s="193">
        <v>23.8</v>
      </c>
      <c r="G24" s="193"/>
      <c r="H24" s="192"/>
      <c r="I24" s="192"/>
      <c r="J24" s="192">
        <v>5.36</v>
      </c>
      <c r="K24" s="194"/>
      <c r="L24" s="194"/>
      <c r="M24" s="194">
        <v>128</v>
      </c>
      <c r="N24" s="194"/>
      <c r="O24" s="194">
        <f t="shared" si="0"/>
        <v>128</v>
      </c>
    </row>
    <row r="25" spans="1:15" hidden="1">
      <c r="A25" s="757" t="s">
        <v>876</v>
      </c>
      <c r="B25" s="190" t="s">
        <v>877</v>
      </c>
      <c r="C25" s="201"/>
      <c r="D25" s="201"/>
      <c r="E25" s="192"/>
      <c r="F25" s="193">
        <v>68.7</v>
      </c>
      <c r="G25" s="193"/>
      <c r="H25" s="192"/>
      <c r="I25" s="192"/>
      <c r="J25" s="192">
        <v>5.36</v>
      </c>
      <c r="K25" s="194"/>
      <c r="L25" s="194"/>
      <c r="M25" s="194">
        <v>368</v>
      </c>
      <c r="N25" s="194"/>
      <c r="O25" s="194">
        <f t="shared" si="0"/>
        <v>368</v>
      </c>
    </row>
    <row r="26" spans="1:15" hidden="1">
      <c r="A26" s="757" t="s">
        <v>878</v>
      </c>
      <c r="B26" s="190" t="s">
        <v>879</v>
      </c>
      <c r="C26" s="201"/>
      <c r="D26" s="201"/>
      <c r="E26" s="192"/>
      <c r="F26" s="193">
        <v>21.1</v>
      </c>
      <c r="G26" s="193"/>
      <c r="H26" s="192"/>
      <c r="I26" s="192"/>
      <c r="J26" s="192">
        <v>5.36</v>
      </c>
      <c r="K26" s="194"/>
      <c r="L26" s="194"/>
      <c r="M26" s="194">
        <v>113</v>
      </c>
      <c r="N26" s="194"/>
      <c r="O26" s="194">
        <f t="shared" si="0"/>
        <v>113</v>
      </c>
    </row>
    <row r="27" spans="1:15" hidden="1">
      <c r="A27" s="757" t="s">
        <v>880</v>
      </c>
      <c r="B27" s="190" t="s">
        <v>26</v>
      </c>
      <c r="C27" s="201"/>
      <c r="D27" s="201"/>
      <c r="E27" s="192"/>
      <c r="F27" s="193"/>
      <c r="G27" s="193"/>
      <c r="H27" s="192"/>
      <c r="I27" s="192"/>
      <c r="J27" s="194"/>
      <c r="K27" s="194"/>
      <c r="L27" s="194"/>
      <c r="M27" s="194"/>
      <c r="N27" s="194"/>
      <c r="O27" s="194"/>
    </row>
    <row r="28" spans="1:15" ht="15" hidden="1" customHeight="1">
      <c r="A28" s="1934" t="s">
        <v>881</v>
      </c>
      <c r="B28" s="1935"/>
      <c r="C28" s="1935"/>
      <c r="D28" s="1935"/>
      <c r="E28" s="1935"/>
      <c r="F28" s="1935"/>
      <c r="G28" s="1935"/>
      <c r="H28" s="1935"/>
      <c r="I28" s="1935"/>
      <c r="J28" s="1935"/>
      <c r="K28" s="1935"/>
      <c r="L28" s="1935"/>
      <c r="M28" s="1935"/>
      <c r="N28" s="1935"/>
      <c r="O28" s="1936"/>
    </row>
    <row r="29" spans="1:15" ht="25.5" hidden="1">
      <c r="A29" s="757">
        <v>1</v>
      </c>
      <c r="B29" s="185" t="s">
        <v>863</v>
      </c>
      <c r="C29" s="204">
        <f>'[12]7 '!F9</f>
        <v>222.755</v>
      </c>
      <c r="D29" s="186">
        <v>36.15</v>
      </c>
      <c r="E29" s="187"/>
      <c r="F29" s="188">
        <f>F34+F35+F36+F37</f>
        <v>8162.2999999999993</v>
      </c>
      <c r="G29" s="188"/>
      <c r="H29" s="187"/>
      <c r="I29" s="187"/>
      <c r="J29" s="205">
        <v>5.3949999999999996</v>
      </c>
      <c r="K29" s="206"/>
      <c r="L29" s="206"/>
      <c r="M29" s="189">
        <f>M34+M35+M36+M37</f>
        <v>44035.608499999995</v>
      </c>
      <c r="N29" s="189"/>
      <c r="O29" s="189">
        <f>M29</f>
        <v>44035.608499999995</v>
      </c>
    </row>
    <row r="30" spans="1:15" hidden="1">
      <c r="A30" s="207" t="s">
        <v>5</v>
      </c>
      <c r="B30" s="208" t="s">
        <v>864</v>
      </c>
      <c r="C30" s="209"/>
      <c r="D30" s="209"/>
      <c r="E30" s="192"/>
      <c r="F30" s="193">
        <f>F34+F35+F36+F37</f>
        <v>8162.2999999999993</v>
      </c>
      <c r="G30" s="193"/>
      <c r="H30" s="192"/>
      <c r="I30" s="192"/>
      <c r="J30" s="210">
        <v>5.3949999999999996</v>
      </c>
      <c r="K30" s="184"/>
      <c r="L30" s="184"/>
      <c r="M30" s="194">
        <f>M34+M35+M36+M37</f>
        <v>44035.608499999995</v>
      </c>
      <c r="N30" s="194"/>
      <c r="O30" s="211"/>
    </row>
    <row r="31" spans="1:15" hidden="1">
      <c r="A31" s="207" t="s">
        <v>6</v>
      </c>
      <c r="B31" s="208" t="s">
        <v>429</v>
      </c>
      <c r="C31" s="208"/>
      <c r="D31" s="208"/>
      <c r="E31" s="184"/>
      <c r="F31" s="184"/>
      <c r="G31" s="184"/>
      <c r="H31" s="184"/>
      <c r="I31" s="192"/>
      <c r="J31" s="192"/>
      <c r="K31" s="184"/>
      <c r="L31" s="184"/>
      <c r="M31" s="184"/>
      <c r="N31" s="184"/>
      <c r="O31" s="211"/>
    </row>
    <row r="32" spans="1:15" hidden="1">
      <c r="A32" s="207" t="s">
        <v>7</v>
      </c>
      <c r="B32" s="208" t="s">
        <v>432</v>
      </c>
      <c r="C32" s="208"/>
      <c r="D32" s="208"/>
      <c r="E32" s="184"/>
      <c r="F32" s="184"/>
      <c r="G32" s="184"/>
      <c r="H32" s="184"/>
      <c r="I32" s="192"/>
      <c r="J32" s="192"/>
      <c r="K32" s="184"/>
      <c r="L32" s="184"/>
      <c r="M32" s="184"/>
      <c r="N32" s="184"/>
      <c r="O32" s="211"/>
    </row>
    <row r="33" spans="1:15" ht="13.5" hidden="1">
      <c r="A33" s="207" t="s">
        <v>11</v>
      </c>
      <c r="B33" s="212" t="s">
        <v>865</v>
      </c>
      <c r="C33" s="208"/>
      <c r="D33" s="208"/>
      <c r="E33" s="184"/>
      <c r="F33" s="184"/>
      <c r="G33" s="184"/>
      <c r="H33" s="184"/>
      <c r="I33" s="198"/>
      <c r="J33" s="205">
        <v>5.3949999999999996</v>
      </c>
      <c r="K33" s="184"/>
      <c r="L33" s="184"/>
      <c r="M33" s="184"/>
      <c r="N33" s="184"/>
      <c r="O33" s="213">
        <f>SUM(O34:O36)</f>
        <v>43448.092999999993</v>
      </c>
    </row>
    <row r="34" spans="1:15" hidden="1">
      <c r="A34" s="207" t="s">
        <v>12</v>
      </c>
      <c r="B34" s="208" t="s">
        <v>866</v>
      </c>
      <c r="C34" s="214">
        <v>222.755</v>
      </c>
      <c r="D34" s="215">
        <v>36.15</v>
      </c>
      <c r="E34" s="192"/>
      <c r="F34" s="193">
        <v>8053.4</v>
      </c>
      <c r="G34" s="193"/>
      <c r="H34" s="192"/>
      <c r="I34" s="192"/>
      <c r="J34" s="210">
        <v>5.3949999999999996</v>
      </c>
      <c r="K34" s="194"/>
      <c r="L34" s="194"/>
      <c r="M34" s="194">
        <f>F34*J34</f>
        <v>43448.092999999993</v>
      </c>
      <c r="N34" s="194"/>
      <c r="O34" s="211">
        <f t="shared" ref="O34:O39" si="1">M34</f>
        <v>43448.092999999993</v>
      </c>
    </row>
    <row r="35" spans="1:15" hidden="1">
      <c r="A35" s="207" t="s">
        <v>18</v>
      </c>
      <c r="B35" s="208" t="s">
        <v>868</v>
      </c>
      <c r="C35" s="214">
        <v>222.755</v>
      </c>
      <c r="D35" s="215"/>
      <c r="E35" s="192"/>
      <c r="F35" s="193">
        <f>D35*C35</f>
        <v>0</v>
      </c>
      <c r="G35" s="193"/>
      <c r="H35" s="192"/>
      <c r="I35" s="192"/>
      <c r="J35" s="210"/>
      <c r="K35" s="194"/>
      <c r="L35" s="194"/>
      <c r="M35" s="194">
        <f t="shared" ref="M35:M36" si="2">F35*J35</f>
        <v>0</v>
      </c>
      <c r="N35" s="194"/>
      <c r="O35" s="211">
        <f t="shared" si="1"/>
        <v>0</v>
      </c>
    </row>
    <row r="36" spans="1:15" hidden="1">
      <c r="A36" s="207" t="s">
        <v>867</v>
      </c>
      <c r="B36" s="208" t="s">
        <v>882</v>
      </c>
      <c r="C36" s="214">
        <v>222.755</v>
      </c>
      <c r="D36" s="216"/>
      <c r="E36" s="192"/>
      <c r="F36" s="193">
        <f>D36*C36</f>
        <v>0</v>
      </c>
      <c r="G36" s="193"/>
      <c r="H36" s="192"/>
      <c r="I36" s="192"/>
      <c r="J36" s="210"/>
      <c r="K36" s="194"/>
      <c r="L36" s="194"/>
      <c r="M36" s="194">
        <f t="shared" si="2"/>
        <v>0</v>
      </c>
      <c r="N36" s="194"/>
      <c r="O36" s="211">
        <f t="shared" si="1"/>
        <v>0</v>
      </c>
    </row>
    <row r="37" spans="1:15" hidden="1">
      <c r="A37" s="217" t="s">
        <v>869</v>
      </c>
      <c r="B37" s="218" t="s">
        <v>871</v>
      </c>
      <c r="C37" s="219"/>
      <c r="D37" s="219"/>
      <c r="E37" s="187"/>
      <c r="F37" s="188">
        <f>SUM(F38:F41)</f>
        <v>108.9</v>
      </c>
      <c r="G37" s="188"/>
      <c r="H37" s="187"/>
      <c r="I37" s="192"/>
      <c r="J37" s="210">
        <v>5.3949999999999996</v>
      </c>
      <c r="K37" s="189"/>
      <c r="L37" s="189"/>
      <c r="M37" s="189">
        <f>M38+M39+M42+M40+M41</f>
        <v>587.51549999999997</v>
      </c>
      <c r="N37" s="189"/>
      <c r="O37" s="213">
        <f t="shared" si="1"/>
        <v>587.51549999999997</v>
      </c>
    </row>
    <row r="38" spans="1:15" hidden="1">
      <c r="A38" s="207" t="s">
        <v>872</v>
      </c>
      <c r="B38" s="208" t="s">
        <v>873</v>
      </c>
      <c r="C38" s="216"/>
      <c r="D38" s="216"/>
      <c r="E38" s="192"/>
      <c r="F38" s="193"/>
      <c r="G38" s="193"/>
      <c r="H38" s="192"/>
      <c r="I38" s="184"/>
      <c r="J38" s="210"/>
      <c r="K38" s="194"/>
      <c r="L38" s="194"/>
      <c r="M38" s="194"/>
      <c r="N38" s="194"/>
      <c r="O38" s="211"/>
    </row>
    <row r="39" spans="1:15" hidden="1">
      <c r="A39" s="207" t="s">
        <v>874</v>
      </c>
      <c r="B39" s="208" t="s">
        <v>875</v>
      </c>
      <c r="C39" s="216"/>
      <c r="D39" s="216"/>
      <c r="E39" s="192"/>
      <c r="F39" s="193">
        <v>108.9</v>
      </c>
      <c r="G39" s="193"/>
      <c r="H39" s="192"/>
      <c r="I39" s="184"/>
      <c r="J39" s="210">
        <v>5.3949999999999996</v>
      </c>
      <c r="K39" s="194"/>
      <c r="L39" s="194"/>
      <c r="M39" s="194">
        <f t="shared" ref="M39" si="3">F39*J39</f>
        <v>587.51549999999997</v>
      </c>
      <c r="N39" s="194"/>
      <c r="O39" s="211">
        <f t="shared" si="1"/>
        <v>587.51549999999997</v>
      </c>
    </row>
    <row r="40" spans="1:15" hidden="1">
      <c r="A40" s="207" t="s">
        <v>876</v>
      </c>
      <c r="B40" s="208" t="s">
        <v>883</v>
      </c>
      <c r="C40" s="216"/>
      <c r="D40" s="216"/>
      <c r="E40" s="192"/>
      <c r="F40" s="193"/>
      <c r="G40" s="193"/>
      <c r="H40" s="192"/>
      <c r="I40" s="184"/>
      <c r="J40" s="210"/>
      <c r="K40" s="194"/>
      <c r="L40" s="194"/>
      <c r="M40" s="194"/>
      <c r="N40" s="194"/>
      <c r="O40" s="211"/>
    </row>
    <row r="41" spans="1:15" hidden="1">
      <c r="A41" s="207" t="s">
        <v>878</v>
      </c>
      <c r="B41" s="208" t="s">
        <v>884</v>
      </c>
      <c r="C41" s="216"/>
      <c r="D41" s="216"/>
      <c r="E41" s="192"/>
      <c r="F41" s="193"/>
      <c r="G41" s="193"/>
      <c r="H41" s="192"/>
      <c r="I41" s="184"/>
      <c r="J41" s="210"/>
      <c r="K41" s="194"/>
      <c r="L41" s="194"/>
      <c r="M41" s="194"/>
      <c r="N41" s="194"/>
      <c r="O41" s="211"/>
    </row>
    <row r="42" spans="1:15" hidden="1">
      <c r="A42" s="207" t="s">
        <v>880</v>
      </c>
      <c r="B42" s="208" t="s">
        <v>26</v>
      </c>
      <c r="C42" s="216"/>
      <c r="D42" s="216"/>
      <c r="E42" s="192"/>
      <c r="F42" s="193"/>
      <c r="G42" s="193"/>
      <c r="H42" s="192"/>
      <c r="I42" s="184"/>
      <c r="J42" s="194"/>
      <c r="K42" s="194"/>
      <c r="L42" s="194"/>
      <c r="M42" s="194"/>
      <c r="N42" s="194"/>
      <c r="O42" s="211"/>
    </row>
    <row r="43" spans="1:15" hidden="1">
      <c r="A43" s="207"/>
      <c r="B43" s="208"/>
      <c r="C43" s="220"/>
      <c r="D43" s="220"/>
      <c r="E43" s="184"/>
      <c r="F43" s="184"/>
      <c r="G43" s="184"/>
      <c r="H43" s="184"/>
      <c r="I43" s="184"/>
      <c r="J43" s="184"/>
      <c r="K43" s="184"/>
      <c r="L43" s="184"/>
      <c r="M43" s="184"/>
      <c r="N43" s="184"/>
      <c r="O43" s="211"/>
    </row>
    <row r="44" spans="1:15" ht="15" hidden="1" customHeight="1">
      <c r="A44" s="1937" t="s">
        <v>885</v>
      </c>
      <c r="B44" s="1935"/>
      <c r="C44" s="1935"/>
      <c r="D44" s="1935"/>
      <c r="E44" s="1935"/>
      <c r="F44" s="1935"/>
      <c r="G44" s="1935"/>
      <c r="H44" s="1935"/>
      <c r="I44" s="1935"/>
      <c r="J44" s="1935"/>
      <c r="K44" s="1935"/>
      <c r="L44" s="1935"/>
      <c r="M44" s="1935"/>
      <c r="N44" s="1935"/>
      <c r="O44" s="1938"/>
    </row>
    <row r="45" spans="1:15" ht="25.5" hidden="1">
      <c r="A45" s="207">
        <v>1</v>
      </c>
      <c r="B45" s="218" t="s">
        <v>863</v>
      </c>
      <c r="C45" s="221">
        <v>293.51100000000002</v>
      </c>
      <c r="D45" s="222">
        <v>29.4</v>
      </c>
      <c r="E45" s="187"/>
      <c r="F45" s="188">
        <v>8620.4</v>
      </c>
      <c r="G45" s="188"/>
      <c r="H45" s="187"/>
      <c r="I45" s="187"/>
      <c r="J45" s="205">
        <v>5.4180000000000001</v>
      </c>
      <c r="K45" s="189"/>
      <c r="L45" s="189"/>
      <c r="M45" s="189">
        <v>46706</v>
      </c>
      <c r="N45" s="189"/>
      <c r="O45" s="213">
        <v>5694</v>
      </c>
    </row>
    <row r="46" spans="1:15" hidden="1">
      <c r="A46" s="207" t="s">
        <v>5</v>
      </c>
      <c r="B46" s="208" t="s">
        <v>864</v>
      </c>
      <c r="C46" s="209"/>
      <c r="D46" s="209"/>
      <c r="E46" s="192"/>
      <c r="F46" s="193">
        <v>8620.4</v>
      </c>
      <c r="G46" s="193"/>
      <c r="H46" s="192"/>
      <c r="I46" s="192"/>
      <c r="J46" s="192"/>
      <c r="K46" s="194"/>
      <c r="L46" s="194"/>
      <c r="M46" s="194"/>
      <c r="N46" s="194"/>
      <c r="O46" s="211"/>
    </row>
    <row r="47" spans="1:15" hidden="1">
      <c r="A47" s="207" t="s">
        <v>6</v>
      </c>
      <c r="B47" s="208" t="s">
        <v>429</v>
      </c>
      <c r="C47" s="209"/>
      <c r="D47" s="209"/>
      <c r="E47" s="192"/>
      <c r="F47" s="193"/>
      <c r="G47" s="193"/>
      <c r="H47" s="192"/>
      <c r="I47" s="192"/>
      <c r="J47" s="192"/>
      <c r="K47" s="194"/>
      <c r="L47" s="194"/>
      <c r="M47" s="194"/>
      <c r="N47" s="194"/>
      <c r="O47" s="211"/>
    </row>
    <row r="48" spans="1:15" hidden="1">
      <c r="A48" s="207" t="s">
        <v>7</v>
      </c>
      <c r="B48" s="208" t="s">
        <v>432</v>
      </c>
      <c r="C48" s="209"/>
      <c r="D48" s="209"/>
      <c r="E48" s="192"/>
      <c r="F48" s="193"/>
      <c r="G48" s="193"/>
      <c r="H48" s="192"/>
      <c r="I48" s="192"/>
      <c r="J48" s="192"/>
      <c r="K48" s="194"/>
      <c r="L48" s="194"/>
      <c r="M48" s="194"/>
      <c r="N48" s="194"/>
      <c r="O48" s="211"/>
    </row>
    <row r="49" spans="1:15" ht="26.25" hidden="1" customHeight="1">
      <c r="A49" s="223" t="s">
        <v>11</v>
      </c>
      <c r="B49" s="1939" t="s">
        <v>865</v>
      </c>
      <c r="C49" s="1940"/>
      <c r="D49" s="1940"/>
      <c r="E49" s="224"/>
      <c r="F49" s="197">
        <f>F50+F51+F52+F53</f>
        <v>8620.5</v>
      </c>
      <c r="G49" s="197"/>
      <c r="H49" s="198"/>
      <c r="I49" s="198"/>
      <c r="J49" s="198"/>
      <c r="K49" s="198"/>
      <c r="L49" s="198"/>
      <c r="M49" s="189">
        <f>M50+M51+M52+M53</f>
        <v>46705.260704091335</v>
      </c>
      <c r="N49" s="198"/>
      <c r="O49" s="213">
        <f t="shared" ref="O49:O59" si="4">M49</f>
        <v>46705.260704091335</v>
      </c>
    </row>
    <row r="50" spans="1:15" ht="15.75" hidden="1" customHeight="1">
      <c r="A50" s="207" t="s">
        <v>12</v>
      </c>
      <c r="B50" s="208" t="s">
        <v>866</v>
      </c>
      <c r="C50" s="225">
        <v>293.51100000000002</v>
      </c>
      <c r="D50" s="215">
        <v>13.2</v>
      </c>
      <c r="E50" s="192"/>
      <c r="F50" s="193">
        <v>3878.7</v>
      </c>
      <c r="G50" s="193"/>
      <c r="H50" s="192"/>
      <c r="I50" s="210"/>
      <c r="J50" s="210">
        <v>5.4176974310180777</v>
      </c>
      <c r="K50" s="194"/>
      <c r="L50" s="194"/>
      <c r="M50" s="194">
        <f>F50*J50+1</f>
        <v>21014.623025689816</v>
      </c>
      <c r="N50" s="194"/>
      <c r="O50" s="211">
        <f>M50</f>
        <v>21014.623025689816</v>
      </c>
    </row>
    <row r="51" spans="1:15" ht="15.75" hidden="1" customHeight="1">
      <c r="A51" s="207" t="s">
        <v>18</v>
      </c>
      <c r="B51" s="208"/>
      <c r="C51" s="225">
        <v>293.51100000000002</v>
      </c>
      <c r="D51" s="215"/>
      <c r="E51" s="192"/>
      <c r="F51" s="193"/>
      <c r="G51" s="193"/>
      <c r="H51" s="192"/>
      <c r="I51" s="210"/>
      <c r="J51" s="210">
        <v>5.4176974310180777</v>
      </c>
      <c r="K51" s="194"/>
      <c r="L51" s="194"/>
      <c r="M51" s="194">
        <f t="shared" ref="M51:M59" si="5">F51*J51</f>
        <v>0</v>
      </c>
      <c r="N51" s="194"/>
      <c r="O51" s="211">
        <f t="shared" si="4"/>
        <v>0</v>
      </c>
    </row>
    <row r="52" spans="1:15" ht="15" hidden="1" customHeight="1">
      <c r="A52" s="207" t="s">
        <v>867</v>
      </c>
      <c r="B52" s="208" t="s">
        <v>868</v>
      </c>
      <c r="C52" s="225">
        <v>293.51100000000002</v>
      </c>
      <c r="D52" s="215">
        <v>15.7</v>
      </c>
      <c r="E52" s="192"/>
      <c r="F52" s="193">
        <v>4603.8</v>
      </c>
      <c r="G52" s="193"/>
      <c r="H52" s="192"/>
      <c r="I52" s="210"/>
      <c r="J52" s="210">
        <v>5.4176974310180777</v>
      </c>
      <c r="K52" s="194"/>
      <c r="L52" s="194"/>
      <c r="M52" s="194">
        <f>F52*J52+2</f>
        <v>24943.995432921027</v>
      </c>
      <c r="N52" s="194"/>
      <c r="O52" s="211">
        <f t="shared" si="4"/>
        <v>24943.995432921027</v>
      </c>
    </row>
    <row r="53" spans="1:15" ht="25.5" hidden="1">
      <c r="A53" s="207" t="s">
        <v>869</v>
      </c>
      <c r="B53" s="208" t="s">
        <v>870</v>
      </c>
      <c r="C53" s="225">
        <v>293.51100000000002</v>
      </c>
      <c r="D53" s="215">
        <v>0.5</v>
      </c>
      <c r="E53" s="192"/>
      <c r="F53" s="193">
        <v>138</v>
      </c>
      <c r="G53" s="193"/>
      <c r="H53" s="192"/>
      <c r="I53" s="210"/>
      <c r="J53" s="210">
        <v>5.4176974310180803</v>
      </c>
      <c r="K53" s="194"/>
      <c r="L53" s="194"/>
      <c r="M53" s="194">
        <f>F53*J53-1</f>
        <v>746.64224548049503</v>
      </c>
      <c r="N53" s="194"/>
      <c r="O53" s="211">
        <f t="shared" si="4"/>
        <v>746.64224548049503</v>
      </c>
    </row>
    <row r="54" spans="1:15" hidden="1">
      <c r="A54" s="217" t="s">
        <v>869</v>
      </c>
      <c r="B54" s="218" t="s">
        <v>871</v>
      </c>
      <c r="C54" s="219"/>
      <c r="D54" s="219"/>
      <c r="E54" s="187"/>
      <c r="F54" s="188">
        <f>SUM(F55:F58)</f>
        <v>0</v>
      </c>
      <c r="G54" s="188"/>
      <c r="H54" s="187"/>
      <c r="I54" s="192"/>
      <c r="J54" s="189"/>
      <c r="K54" s="189"/>
      <c r="L54" s="189"/>
      <c r="M54" s="194">
        <f t="shared" si="5"/>
        <v>0</v>
      </c>
      <c r="N54" s="189"/>
      <c r="O54" s="213">
        <f t="shared" si="4"/>
        <v>0</v>
      </c>
    </row>
    <row r="55" spans="1:15" hidden="1">
      <c r="A55" s="207" t="s">
        <v>872</v>
      </c>
      <c r="B55" s="208" t="s">
        <v>873</v>
      </c>
      <c r="C55" s="216"/>
      <c r="D55" s="216"/>
      <c r="E55" s="192"/>
      <c r="F55" s="193"/>
      <c r="G55" s="193"/>
      <c r="H55" s="192"/>
      <c r="I55" s="192"/>
      <c r="J55" s="194"/>
      <c r="K55" s="194"/>
      <c r="L55" s="194"/>
      <c r="M55" s="194">
        <f t="shared" si="5"/>
        <v>0</v>
      </c>
      <c r="N55" s="194"/>
      <c r="O55" s="211">
        <f t="shared" si="4"/>
        <v>0</v>
      </c>
    </row>
    <row r="56" spans="1:15" hidden="1">
      <c r="A56" s="207" t="s">
        <v>874</v>
      </c>
      <c r="B56" s="208" t="s">
        <v>875</v>
      </c>
      <c r="C56" s="216"/>
      <c r="D56" s="216"/>
      <c r="E56" s="192"/>
      <c r="F56" s="193"/>
      <c r="G56" s="193"/>
      <c r="H56" s="192"/>
      <c r="I56" s="192"/>
      <c r="J56" s="194"/>
      <c r="K56" s="194"/>
      <c r="L56" s="194"/>
      <c r="M56" s="194">
        <f t="shared" si="5"/>
        <v>0</v>
      </c>
      <c r="N56" s="194"/>
      <c r="O56" s="211">
        <f t="shared" si="4"/>
        <v>0</v>
      </c>
    </row>
    <row r="57" spans="1:15" hidden="1">
      <c r="A57" s="207" t="s">
        <v>876</v>
      </c>
      <c r="B57" s="208" t="s">
        <v>883</v>
      </c>
      <c r="C57" s="216"/>
      <c r="D57" s="216"/>
      <c r="E57" s="192"/>
      <c r="F57" s="193"/>
      <c r="G57" s="193"/>
      <c r="H57" s="192"/>
      <c r="I57" s="192"/>
      <c r="J57" s="194"/>
      <c r="K57" s="194"/>
      <c r="L57" s="194"/>
      <c r="M57" s="194">
        <f t="shared" si="5"/>
        <v>0</v>
      </c>
      <c r="N57" s="194"/>
      <c r="O57" s="211">
        <f t="shared" si="4"/>
        <v>0</v>
      </c>
    </row>
    <row r="58" spans="1:15" hidden="1">
      <c r="A58" s="207" t="s">
        <v>878</v>
      </c>
      <c r="B58" s="208" t="s">
        <v>884</v>
      </c>
      <c r="C58" s="216"/>
      <c r="D58" s="216"/>
      <c r="E58" s="192"/>
      <c r="F58" s="193"/>
      <c r="G58" s="193"/>
      <c r="H58" s="192"/>
      <c r="I58" s="192"/>
      <c r="J58" s="194"/>
      <c r="K58" s="194"/>
      <c r="L58" s="194"/>
      <c r="M58" s="194">
        <f t="shared" si="5"/>
        <v>0</v>
      </c>
      <c r="N58" s="194"/>
      <c r="O58" s="211">
        <f t="shared" si="4"/>
        <v>0</v>
      </c>
    </row>
    <row r="59" spans="1:15" hidden="1">
      <c r="A59" s="207" t="s">
        <v>880</v>
      </c>
      <c r="B59" s="208" t="s">
        <v>26</v>
      </c>
      <c r="C59" s="216"/>
      <c r="D59" s="216"/>
      <c r="E59" s="192"/>
      <c r="F59" s="193"/>
      <c r="G59" s="193"/>
      <c r="H59" s="192"/>
      <c r="I59" s="192"/>
      <c r="J59" s="194"/>
      <c r="K59" s="194"/>
      <c r="L59" s="194"/>
      <c r="M59" s="194">
        <f t="shared" si="5"/>
        <v>0</v>
      </c>
      <c r="N59" s="194"/>
      <c r="O59" s="211">
        <f t="shared" si="4"/>
        <v>0</v>
      </c>
    </row>
    <row r="60" spans="1:15" hidden="1">
      <c r="A60" s="207"/>
      <c r="B60" s="208"/>
      <c r="C60" s="216"/>
      <c r="D60" s="216"/>
      <c r="E60" s="192"/>
      <c r="F60" s="192"/>
      <c r="G60" s="192"/>
      <c r="H60" s="192"/>
      <c r="I60" s="192"/>
      <c r="J60" s="194"/>
      <c r="K60" s="194"/>
      <c r="L60" s="194"/>
      <c r="M60" s="194"/>
      <c r="N60" s="194"/>
      <c r="O60" s="211"/>
    </row>
    <row r="61" spans="1:15" hidden="1">
      <c r="A61" s="1941" t="s">
        <v>886</v>
      </c>
      <c r="B61" s="1942"/>
      <c r="C61" s="1942"/>
      <c r="D61" s="1942"/>
      <c r="E61" s="1942"/>
      <c r="F61" s="1942"/>
      <c r="G61" s="1942"/>
      <c r="H61" s="1942"/>
      <c r="I61" s="1942"/>
      <c r="J61" s="1942"/>
      <c r="K61" s="1942"/>
      <c r="L61" s="1942"/>
      <c r="M61" s="1942"/>
      <c r="N61" s="1942"/>
      <c r="O61" s="1943"/>
    </row>
    <row r="62" spans="1:15" ht="25.5" hidden="1">
      <c r="A62" s="207">
        <v>1</v>
      </c>
      <c r="B62" s="218" t="s">
        <v>863</v>
      </c>
      <c r="C62" s="222">
        <f>'[12]7 '!AA9</f>
        <v>297.77000000000004</v>
      </c>
      <c r="D62" s="222">
        <f>F62/C62</f>
        <v>32.473016086241053</v>
      </c>
      <c r="E62" s="187"/>
      <c r="F62" s="188">
        <f>F63+F64</f>
        <v>9669.49</v>
      </c>
      <c r="G62" s="188"/>
      <c r="H62" s="187"/>
      <c r="I62" s="226">
        <f>I63+I64</f>
        <v>4.3390000000000004</v>
      </c>
      <c r="J62" s="226">
        <f>J63+J64</f>
        <v>5.4140857852650832</v>
      </c>
      <c r="K62" s="206"/>
      <c r="L62" s="206"/>
      <c r="M62" s="189">
        <f>M63+M64</f>
        <v>51215.415961331106</v>
      </c>
      <c r="N62" s="189"/>
      <c r="O62" s="213">
        <f>M62</f>
        <v>51215.415961331106</v>
      </c>
    </row>
    <row r="63" spans="1:15" hidden="1">
      <c r="A63" s="207" t="s">
        <v>5</v>
      </c>
      <c r="B63" s="208" t="s">
        <v>864</v>
      </c>
      <c r="C63" s="209"/>
      <c r="D63" s="209"/>
      <c r="E63" s="192"/>
      <c r="F63" s="193">
        <v>8612.7999999999993</v>
      </c>
      <c r="G63" s="193"/>
      <c r="H63" s="192"/>
      <c r="I63" s="227"/>
      <c r="J63" s="227">
        <f>J67</f>
        <v>5.4140857852650832</v>
      </c>
      <c r="K63" s="184"/>
      <c r="L63" s="184"/>
      <c r="M63" s="194">
        <f>F63*J63</f>
        <v>46630.438051331104</v>
      </c>
      <c r="N63" s="194"/>
      <c r="O63" s="211">
        <f>M63</f>
        <v>46630.438051331104</v>
      </c>
    </row>
    <row r="64" spans="1:15" hidden="1">
      <c r="A64" s="207" t="s">
        <v>6</v>
      </c>
      <c r="B64" s="228" t="s">
        <v>887</v>
      </c>
      <c r="C64" s="208"/>
      <c r="D64" s="208"/>
      <c r="E64" s="184"/>
      <c r="F64" s="184">
        <v>1056.69</v>
      </c>
      <c r="G64" s="184"/>
      <c r="H64" s="184"/>
      <c r="I64" s="184">
        <v>4.3390000000000004</v>
      </c>
      <c r="J64" s="184"/>
      <c r="K64" s="184"/>
      <c r="L64" s="184"/>
      <c r="M64" s="194">
        <f>F64*I64</f>
        <v>4584.9779100000005</v>
      </c>
      <c r="N64" s="184"/>
      <c r="O64" s="211">
        <f>M64</f>
        <v>4584.9779100000005</v>
      </c>
    </row>
    <row r="65" spans="1:25" hidden="1">
      <c r="A65" s="207" t="s">
        <v>7</v>
      </c>
      <c r="B65" s="208" t="s">
        <v>432</v>
      </c>
      <c r="C65" s="208"/>
      <c r="D65" s="208"/>
      <c r="E65" s="184"/>
      <c r="F65" s="184"/>
      <c r="G65" s="184"/>
      <c r="H65" s="184"/>
      <c r="I65" s="184"/>
      <c r="J65" s="184"/>
      <c r="K65" s="184"/>
      <c r="L65" s="184"/>
      <c r="M65" s="184"/>
      <c r="N65" s="184"/>
      <c r="O65" s="211"/>
      <c r="Q65" s="1923" t="s">
        <v>767</v>
      </c>
      <c r="R65" s="1926"/>
      <c r="S65" s="1927"/>
      <c r="T65" s="1920" t="s">
        <v>766</v>
      </c>
      <c r="U65" s="1921"/>
      <c r="V65" s="1922"/>
      <c r="W65" s="1920" t="s">
        <v>1051</v>
      </c>
      <c r="X65" s="1921"/>
      <c r="Y65" s="1922"/>
    </row>
    <row r="66" spans="1:25" ht="13.5" hidden="1">
      <c r="A66" s="207" t="s">
        <v>11</v>
      </c>
      <c r="B66" s="212" t="s">
        <v>865</v>
      </c>
      <c r="C66" s="208"/>
      <c r="D66" s="208"/>
      <c r="E66" s="184"/>
      <c r="F66" s="184"/>
      <c r="G66" s="184"/>
      <c r="H66" s="184"/>
      <c r="I66" s="184"/>
      <c r="J66" s="229"/>
      <c r="K66" s="184"/>
      <c r="L66" s="184"/>
      <c r="M66" s="184"/>
      <c r="N66" s="184"/>
      <c r="O66" s="211"/>
      <c r="P66" s="443" t="s">
        <v>1052</v>
      </c>
      <c r="Q66" s="444" t="s">
        <v>1053</v>
      </c>
      <c r="R66" s="758" t="s">
        <v>417</v>
      </c>
      <c r="S66" s="446" t="s">
        <v>1054</v>
      </c>
      <c r="T66" s="444" t="s">
        <v>1053</v>
      </c>
      <c r="U66" s="758" t="s">
        <v>417</v>
      </c>
      <c r="V66" s="446" t="s">
        <v>1054</v>
      </c>
      <c r="W66" s="758" t="s">
        <v>1053</v>
      </c>
      <c r="X66" s="758" t="s">
        <v>417</v>
      </c>
      <c r="Y66" s="446" t="s">
        <v>1054</v>
      </c>
    </row>
    <row r="67" spans="1:25" ht="14.25" hidden="1" customHeight="1" thickBot="1">
      <c r="A67" s="207" t="s">
        <v>12</v>
      </c>
      <c r="B67" s="208" t="s">
        <v>866</v>
      </c>
      <c r="C67" s="225">
        <f>'[12]7 '!AA9</f>
        <v>297.77000000000004</v>
      </c>
      <c r="D67" s="215">
        <f>F67/C67</f>
        <v>31.953121536756555</v>
      </c>
      <c r="E67" s="192"/>
      <c r="F67" s="193">
        <f>W69</f>
        <v>9514.6810000000005</v>
      </c>
      <c r="G67" s="193"/>
      <c r="H67" s="192"/>
      <c r="I67" s="227">
        <f>X68</f>
        <v>4.338999990536486</v>
      </c>
      <c r="J67" s="210">
        <f>X67</f>
        <v>5.4140857852650832</v>
      </c>
      <c r="K67" s="194"/>
      <c r="L67" s="194"/>
      <c r="M67" s="194">
        <f>Y69</f>
        <v>50377.266745000001</v>
      </c>
      <c r="N67" s="194"/>
      <c r="O67" s="211">
        <f t="shared" ref="O67:O75" si="6">M67</f>
        <v>50377.266745000001</v>
      </c>
      <c r="P67" s="447" t="s">
        <v>864</v>
      </c>
      <c r="Q67" s="448">
        <v>5412.1909999999998</v>
      </c>
      <c r="R67" s="449">
        <v>5.3949999999999996</v>
      </c>
      <c r="S67" s="450">
        <f>Q67*R67</f>
        <v>29198.770444999998</v>
      </c>
      <c r="T67" s="448">
        <v>3045.8</v>
      </c>
      <c r="U67" s="449">
        <v>5.4480000000000004</v>
      </c>
      <c r="V67" s="230">
        <f>T67*U67</f>
        <v>16593.518400000001</v>
      </c>
      <c r="W67" s="451">
        <f>Q67+T67</f>
        <v>8457.991</v>
      </c>
      <c r="X67" s="452">
        <f>Y67/W67</f>
        <v>5.4140857852650832</v>
      </c>
      <c r="Y67" s="453">
        <f>S67+V67</f>
        <v>45792.288845000003</v>
      </c>
    </row>
    <row r="68" spans="1:25" ht="13.5" hidden="1" thickBot="1">
      <c r="A68" s="207" t="s">
        <v>18</v>
      </c>
      <c r="B68" s="208" t="s">
        <v>868</v>
      </c>
      <c r="C68" s="225">
        <f>'[12]7 '!AA9</f>
        <v>297.77000000000004</v>
      </c>
      <c r="D68" s="215">
        <f t="shared" ref="D68" si="7">F68/C68</f>
        <v>0</v>
      </c>
      <c r="E68" s="192"/>
      <c r="F68" s="193"/>
      <c r="G68" s="193"/>
      <c r="H68" s="192"/>
      <c r="I68" s="184"/>
      <c r="J68" s="194"/>
      <c r="K68" s="194"/>
      <c r="L68" s="194"/>
      <c r="M68" s="194">
        <f>F68*I68</f>
        <v>0</v>
      </c>
      <c r="N68" s="194"/>
      <c r="O68" s="211">
        <f t="shared" si="6"/>
        <v>0</v>
      </c>
      <c r="P68" s="228" t="s">
        <v>887</v>
      </c>
      <c r="Q68" s="454"/>
      <c r="R68" s="446"/>
      <c r="S68" s="230">
        <f>Q68*R68</f>
        <v>0</v>
      </c>
      <c r="T68" s="454"/>
      <c r="U68" s="446"/>
      <c r="V68" s="450">
        <f>T68*U68</f>
        <v>0</v>
      </c>
      <c r="W68" s="448">
        <v>1056.69</v>
      </c>
      <c r="X68" s="455">
        <f>Y68/W68</f>
        <v>4.338999990536486</v>
      </c>
      <c r="Y68" s="456">
        <v>4584.9778999999999</v>
      </c>
    </row>
    <row r="69" spans="1:25" ht="25.5" hidden="1">
      <c r="A69" s="207" t="s">
        <v>867</v>
      </c>
      <c r="B69" s="208" t="s">
        <v>870</v>
      </c>
      <c r="C69" s="225">
        <f>'[12]7 '!AA9</f>
        <v>297.77000000000004</v>
      </c>
      <c r="D69" s="215">
        <f>F69/C69</f>
        <v>0</v>
      </c>
      <c r="E69" s="192"/>
      <c r="F69" s="193"/>
      <c r="G69" s="193"/>
      <c r="H69" s="192"/>
      <c r="I69" s="184"/>
      <c r="J69" s="194"/>
      <c r="K69" s="194"/>
      <c r="L69" s="194"/>
      <c r="M69" s="194">
        <f>F69*I69</f>
        <v>0</v>
      </c>
      <c r="N69" s="194"/>
      <c r="O69" s="211">
        <f t="shared" si="6"/>
        <v>0</v>
      </c>
      <c r="P69" s="457" t="s">
        <v>435</v>
      </c>
      <c r="Q69" s="446"/>
      <c r="R69" s="446"/>
      <c r="S69" s="446"/>
      <c r="T69" s="446"/>
      <c r="U69" s="446"/>
      <c r="V69" s="446"/>
      <c r="W69" s="458">
        <f>W67+W68</f>
        <v>9514.6810000000005</v>
      </c>
      <c r="X69" s="446"/>
      <c r="Y69" s="459">
        <f>Y67+Y68</f>
        <v>50377.266745000001</v>
      </c>
    </row>
    <row r="70" spans="1:25" hidden="1">
      <c r="A70" s="217" t="s">
        <v>869</v>
      </c>
      <c r="B70" s="218" t="s">
        <v>871</v>
      </c>
      <c r="C70" s="219"/>
      <c r="D70" s="219"/>
      <c r="E70" s="187"/>
      <c r="F70" s="188">
        <f>SUM(F71:F74)</f>
        <v>154.78</v>
      </c>
      <c r="G70" s="188"/>
      <c r="H70" s="187"/>
      <c r="I70" s="184"/>
      <c r="J70" s="189"/>
      <c r="K70" s="189"/>
      <c r="L70" s="189"/>
      <c r="M70" s="189">
        <f>M71+M72+M75+M73+M74</f>
        <v>837.99219784332956</v>
      </c>
      <c r="N70" s="189"/>
      <c r="O70" s="213">
        <f>M70</f>
        <v>837.99219784332956</v>
      </c>
    </row>
    <row r="71" spans="1:25" hidden="1">
      <c r="A71" s="207" t="s">
        <v>872</v>
      </c>
      <c r="B71" s="208" t="s">
        <v>873</v>
      </c>
      <c r="C71" s="216"/>
      <c r="D71" s="216"/>
      <c r="E71" s="192"/>
      <c r="F71" s="193">
        <v>154.78</v>
      </c>
      <c r="G71" s="193"/>
      <c r="H71" s="192"/>
      <c r="I71" s="227"/>
      <c r="J71" s="227">
        <f>J67</f>
        <v>5.4140857852650832</v>
      </c>
      <c r="K71" s="194"/>
      <c r="L71" s="194"/>
      <c r="M71" s="194">
        <f>F71*J71</f>
        <v>837.99219784332956</v>
      </c>
      <c r="N71" s="194"/>
      <c r="O71" s="211">
        <f t="shared" si="6"/>
        <v>837.99219784332956</v>
      </c>
    </row>
    <row r="72" spans="1:25" hidden="1">
      <c r="A72" s="207" t="s">
        <v>874</v>
      </c>
      <c r="B72" s="208" t="s">
        <v>875</v>
      </c>
      <c r="C72" s="216"/>
      <c r="D72" s="216"/>
      <c r="E72" s="192"/>
      <c r="F72" s="193"/>
      <c r="G72" s="193"/>
      <c r="H72" s="192"/>
      <c r="I72" s="227"/>
      <c r="J72" s="194"/>
      <c r="K72" s="194"/>
      <c r="L72" s="194"/>
      <c r="M72" s="194">
        <f>F72*I72</f>
        <v>0</v>
      </c>
      <c r="N72" s="194"/>
      <c r="O72" s="211">
        <f t="shared" si="6"/>
        <v>0</v>
      </c>
    </row>
    <row r="73" spans="1:25" hidden="1">
      <c r="A73" s="207" t="s">
        <v>876</v>
      </c>
      <c r="B73" s="208" t="s">
        <v>883</v>
      </c>
      <c r="C73" s="216"/>
      <c r="D73" s="216"/>
      <c r="E73" s="192"/>
      <c r="F73" s="193"/>
      <c r="G73" s="193"/>
      <c r="H73" s="192"/>
      <c r="I73" s="184"/>
      <c r="J73" s="194"/>
      <c r="K73" s="194"/>
      <c r="L73" s="194"/>
      <c r="M73" s="194">
        <f>F73*I73</f>
        <v>0</v>
      </c>
      <c r="N73" s="194"/>
      <c r="O73" s="211">
        <f t="shared" si="6"/>
        <v>0</v>
      </c>
    </row>
    <row r="74" spans="1:25" hidden="1">
      <c r="A74" s="207" t="s">
        <v>878</v>
      </c>
      <c r="B74" s="208" t="s">
        <v>884</v>
      </c>
      <c r="C74" s="216"/>
      <c r="D74" s="216"/>
      <c r="E74" s="192"/>
      <c r="F74" s="193"/>
      <c r="G74" s="193"/>
      <c r="H74" s="192"/>
      <c r="I74" s="184"/>
      <c r="J74" s="194"/>
      <c r="K74" s="194"/>
      <c r="L74" s="194"/>
      <c r="M74" s="194">
        <f>F74*I74</f>
        <v>0</v>
      </c>
      <c r="N74" s="194"/>
      <c r="O74" s="211">
        <f t="shared" si="6"/>
        <v>0</v>
      </c>
    </row>
    <row r="75" spans="1:25" hidden="1">
      <c r="A75" s="207" t="s">
        <v>880</v>
      </c>
      <c r="B75" s="208" t="s">
        <v>26</v>
      </c>
      <c r="C75" s="216"/>
      <c r="D75" s="216"/>
      <c r="E75" s="192"/>
      <c r="F75" s="193"/>
      <c r="G75" s="193"/>
      <c r="H75" s="192"/>
      <c r="I75" s="184"/>
      <c r="J75" s="194"/>
      <c r="K75" s="194"/>
      <c r="L75" s="194"/>
      <c r="M75" s="194">
        <f>F75*I75</f>
        <v>0</v>
      </c>
      <c r="N75" s="194"/>
      <c r="O75" s="211">
        <f t="shared" si="6"/>
        <v>0</v>
      </c>
    </row>
    <row r="76" spans="1:25" hidden="1">
      <c r="A76" s="207"/>
      <c r="B76" s="208"/>
      <c r="C76" s="220"/>
      <c r="D76" s="220"/>
      <c r="E76" s="184"/>
      <c r="F76" s="184"/>
      <c r="G76" s="184"/>
      <c r="H76" s="184"/>
      <c r="I76" s="184"/>
      <c r="J76" s="184"/>
      <c r="K76" s="184"/>
      <c r="L76" s="184"/>
      <c r="M76" s="184"/>
      <c r="N76" s="184"/>
      <c r="O76" s="211"/>
    </row>
    <row r="77" spans="1:25" hidden="1">
      <c r="A77" s="1941" t="s">
        <v>888</v>
      </c>
      <c r="B77" s="1942"/>
      <c r="C77" s="1942"/>
      <c r="D77" s="1942"/>
      <c r="E77" s="1942"/>
      <c r="F77" s="1942"/>
      <c r="G77" s="1942"/>
      <c r="H77" s="1942"/>
      <c r="I77" s="1942"/>
      <c r="J77" s="1942"/>
      <c r="K77" s="1942"/>
      <c r="L77" s="1942"/>
      <c r="M77" s="1942"/>
      <c r="N77" s="1942"/>
      <c r="O77" s="1943"/>
    </row>
    <row r="78" spans="1:25" ht="25.5" hidden="1">
      <c r="A78" s="207">
        <v>1</v>
      </c>
      <c r="B78" s="218" t="s">
        <v>863</v>
      </c>
      <c r="C78" s="222" t="e">
        <f>'[12]7 '!#REF!</f>
        <v>#REF!</v>
      </c>
      <c r="D78" s="222" t="e">
        <f>F78/C78</f>
        <v>#REF!</v>
      </c>
      <c r="E78" s="187"/>
      <c r="F78" s="188">
        <f>F79+F80</f>
        <v>0</v>
      </c>
      <c r="G78" s="188"/>
      <c r="H78" s="187"/>
      <c r="I78" s="187"/>
      <c r="J78" s="187"/>
      <c r="K78" s="189"/>
      <c r="L78" s="189"/>
      <c r="M78" s="189">
        <f>M79+M80</f>
        <v>109431</v>
      </c>
      <c r="N78" s="189"/>
      <c r="O78" s="1561">
        <f>M78</f>
        <v>109431</v>
      </c>
    </row>
    <row r="79" spans="1:25" hidden="1">
      <c r="A79" s="207" t="s">
        <v>5</v>
      </c>
      <c r="B79" s="208" t="s">
        <v>864</v>
      </c>
      <c r="C79" s="209"/>
      <c r="D79" s="209"/>
      <c r="E79" s="192"/>
      <c r="F79" s="193"/>
      <c r="G79" s="193"/>
      <c r="H79" s="192"/>
      <c r="I79" s="229"/>
      <c r="J79" s="192">
        <f>X83</f>
        <v>0</v>
      </c>
      <c r="K79" s="194"/>
      <c r="L79" s="194"/>
      <c r="M79" s="194">
        <f>M84+M85+M87+M89+M91</f>
        <v>109431</v>
      </c>
      <c r="N79" s="194"/>
      <c r="O79" s="1562">
        <f t="shared" ref="O79" si="8">M79</f>
        <v>109431</v>
      </c>
    </row>
    <row r="80" spans="1:25" hidden="1">
      <c r="A80" s="207" t="s">
        <v>6</v>
      </c>
      <c r="B80" s="228" t="s">
        <v>887</v>
      </c>
      <c r="C80" s="208"/>
      <c r="D80" s="231"/>
      <c r="E80" s="184"/>
      <c r="F80" s="193"/>
      <c r="G80" s="193"/>
      <c r="H80" s="184"/>
      <c r="I80" s="229"/>
      <c r="J80" s="192"/>
      <c r="K80" s="184"/>
      <c r="L80" s="184"/>
      <c r="M80" s="194"/>
      <c r="N80" s="184"/>
      <c r="O80" s="211"/>
    </row>
    <row r="81" spans="1:41" hidden="1">
      <c r="A81" s="207" t="s">
        <v>7</v>
      </c>
      <c r="B81" s="208" t="s">
        <v>432</v>
      </c>
      <c r="C81" s="208"/>
      <c r="D81" s="231"/>
      <c r="E81" s="184"/>
      <c r="F81" s="184"/>
      <c r="G81" s="184"/>
      <c r="H81" s="184"/>
      <c r="I81" s="192"/>
      <c r="J81" s="192"/>
      <c r="K81" s="184"/>
      <c r="L81" s="184"/>
      <c r="M81" s="184"/>
      <c r="N81" s="184"/>
      <c r="O81" s="211"/>
    </row>
    <row r="82" spans="1:41" ht="13.5" hidden="1">
      <c r="A82" s="207" t="s">
        <v>11</v>
      </c>
      <c r="B82" s="212" t="s">
        <v>865</v>
      </c>
      <c r="C82" s="208"/>
      <c r="D82" s="231"/>
      <c r="E82" s="184">
        <f>SUM(E83:E89)</f>
        <v>0</v>
      </c>
      <c r="F82" s="184"/>
      <c r="G82" s="184"/>
      <c r="H82" s="184"/>
      <c r="I82" s="192"/>
      <c r="J82" s="229"/>
      <c r="K82" s="184"/>
      <c r="L82" s="184"/>
      <c r="M82" s="184"/>
      <c r="N82" s="184"/>
      <c r="O82" s="211"/>
    </row>
    <row r="83" spans="1:41" hidden="1">
      <c r="A83" s="460" t="s">
        <v>12</v>
      </c>
      <c r="B83" s="461" t="s">
        <v>866</v>
      </c>
      <c r="C83" s="462" t="e">
        <f>'[12]7 '!#REF!</f>
        <v>#REF!</v>
      </c>
      <c r="D83" s="463" t="e">
        <f>F83/C83</f>
        <v>#REF!</v>
      </c>
      <c r="E83" s="464"/>
      <c r="F83" s="465">
        <f>F84+F85+F86+F87</f>
        <v>0</v>
      </c>
      <c r="G83" s="465"/>
      <c r="H83" s="464"/>
      <c r="I83" s="466"/>
      <c r="J83" s="467">
        <f>X83</f>
        <v>0</v>
      </c>
      <c r="K83" s="468"/>
      <c r="L83" s="468"/>
      <c r="M83" s="468">
        <f>M84+M85+M86+M87+1</f>
        <v>40931</v>
      </c>
      <c r="N83" s="468"/>
      <c r="O83" s="469">
        <f t="shared" ref="O83:O91" si="9">M83</f>
        <v>40931</v>
      </c>
    </row>
    <row r="84" spans="1:41" hidden="1">
      <c r="A84" s="207"/>
      <c r="B84" s="479" t="s">
        <v>1055</v>
      </c>
      <c r="C84" s="225"/>
      <c r="D84" s="215"/>
      <c r="E84" s="192"/>
      <c r="F84" s="193"/>
      <c r="G84" s="193"/>
      <c r="H84" s="192"/>
      <c r="I84" s="229"/>
      <c r="J84" s="210"/>
      <c r="K84" s="194"/>
      <c r="L84" s="194"/>
      <c r="M84" s="194">
        <v>28806</v>
      </c>
      <c r="N84" s="194"/>
      <c r="O84" s="211">
        <f t="shared" si="9"/>
        <v>28806</v>
      </c>
    </row>
    <row r="85" spans="1:41" hidden="1">
      <c r="A85" s="207"/>
      <c r="B85" s="479" t="s">
        <v>1056</v>
      </c>
      <c r="C85" s="225"/>
      <c r="D85" s="215"/>
      <c r="E85" s="192"/>
      <c r="F85" s="193"/>
      <c r="G85" s="193"/>
      <c r="H85" s="192"/>
      <c r="I85" s="229"/>
      <c r="J85" s="210"/>
      <c r="K85" s="194"/>
      <c r="L85" s="194"/>
      <c r="M85" s="194">
        <v>10935</v>
      </c>
      <c r="N85" s="194"/>
      <c r="O85" s="211">
        <f t="shared" si="9"/>
        <v>10935</v>
      </c>
    </row>
    <row r="86" spans="1:41" hidden="1">
      <c r="A86" s="481"/>
      <c r="B86" s="482" t="s">
        <v>1057</v>
      </c>
      <c r="C86" s="483"/>
      <c r="D86" s="484"/>
      <c r="E86" s="485"/>
      <c r="F86" s="486"/>
      <c r="G86" s="486"/>
      <c r="H86" s="485"/>
      <c r="I86" s="485"/>
      <c r="J86" s="488"/>
      <c r="K86" s="489"/>
      <c r="L86" s="489"/>
      <c r="M86" s="489"/>
      <c r="N86" s="503"/>
      <c r="O86" s="490">
        <f t="shared" si="9"/>
        <v>0</v>
      </c>
    </row>
    <row r="87" spans="1:41" hidden="1">
      <c r="A87" s="207"/>
      <c r="B87" s="479" t="s">
        <v>1058</v>
      </c>
      <c r="C87" s="225"/>
      <c r="D87" s="215"/>
      <c r="E87" s="192"/>
      <c r="F87" s="193"/>
      <c r="G87" s="193"/>
      <c r="H87" s="192"/>
      <c r="I87" s="229"/>
      <c r="J87" s="210"/>
      <c r="K87" s="194"/>
      <c r="L87" s="194"/>
      <c r="M87" s="194">
        <v>1189</v>
      </c>
      <c r="N87" s="504"/>
      <c r="O87" s="211">
        <f t="shared" si="9"/>
        <v>1189</v>
      </c>
    </row>
    <row r="88" spans="1:41" hidden="1">
      <c r="A88" s="460" t="s">
        <v>18</v>
      </c>
      <c r="B88" s="461" t="s">
        <v>868</v>
      </c>
      <c r="C88" s="462" t="e">
        <f>'[12]7 '!#REF!</f>
        <v>#REF!</v>
      </c>
      <c r="D88" s="463" t="e">
        <f>F88/C88</f>
        <v>#REF!</v>
      </c>
      <c r="E88" s="464"/>
      <c r="F88" s="465"/>
      <c r="G88" s="465"/>
      <c r="H88" s="464"/>
      <c r="I88" s="466"/>
      <c r="J88" s="464"/>
      <c r="K88" s="468"/>
      <c r="L88" s="468"/>
      <c r="M88" s="468">
        <f>M89+M90+M91</f>
        <v>68501</v>
      </c>
      <c r="N88" s="505"/>
      <c r="O88" s="469">
        <f t="shared" si="9"/>
        <v>68501</v>
      </c>
    </row>
    <row r="89" spans="1:41" hidden="1">
      <c r="A89" s="207"/>
      <c r="B89" s="479" t="s">
        <v>1554</v>
      </c>
      <c r="C89" s="225" t="e">
        <f>'[12]7 '!#REF!</f>
        <v>#REF!</v>
      </c>
      <c r="D89" s="215" t="e">
        <f>F89/C89</f>
        <v>#REF!</v>
      </c>
      <c r="E89" s="192"/>
      <c r="F89" s="193"/>
      <c r="G89" s="193"/>
      <c r="H89" s="192"/>
      <c r="I89" s="229"/>
      <c r="J89" s="184"/>
      <c r="K89" s="194"/>
      <c r="L89" s="194"/>
      <c r="M89" s="194">
        <v>68501</v>
      </c>
      <c r="N89" s="504"/>
      <c r="O89" s="211">
        <f t="shared" si="9"/>
        <v>68501</v>
      </c>
    </row>
    <row r="90" spans="1:41" hidden="1">
      <c r="A90" s="506"/>
      <c r="B90" s="482" t="s">
        <v>1057</v>
      </c>
      <c r="C90" s="507"/>
      <c r="D90" s="508"/>
      <c r="E90" s="509"/>
      <c r="F90" s="510"/>
      <c r="G90" s="510"/>
      <c r="H90" s="509"/>
      <c r="I90" s="485"/>
      <c r="J90" s="509"/>
      <c r="K90" s="511"/>
      <c r="L90" s="511"/>
      <c r="M90" s="489"/>
      <c r="N90" s="512"/>
      <c r="O90" s="490">
        <f t="shared" si="9"/>
        <v>0</v>
      </c>
    </row>
    <row r="91" spans="1:41" ht="13.5" hidden="1" thickBot="1">
      <c r="A91" s="232"/>
      <c r="B91" s="514" t="s">
        <v>1058</v>
      </c>
      <c r="C91" s="515"/>
      <c r="D91" s="516"/>
      <c r="E91" s="235"/>
      <c r="F91" s="236"/>
      <c r="G91" s="236"/>
      <c r="H91" s="235"/>
      <c r="I91" s="517"/>
      <c r="J91" s="235"/>
      <c r="K91" s="237"/>
      <c r="L91" s="237"/>
      <c r="M91" s="237"/>
      <c r="N91" s="518"/>
      <c r="O91" s="238">
        <f t="shared" si="9"/>
        <v>0</v>
      </c>
    </row>
    <row r="92" spans="1:41" hidden="1">
      <c r="A92" s="1941" t="s">
        <v>1154</v>
      </c>
      <c r="B92" s="1942"/>
      <c r="C92" s="1942"/>
      <c r="D92" s="1942"/>
      <c r="E92" s="1942"/>
      <c r="F92" s="1942"/>
      <c r="G92" s="1942"/>
      <c r="H92" s="1942"/>
      <c r="I92" s="1942"/>
      <c r="J92" s="1942"/>
      <c r="K92" s="1942"/>
      <c r="L92" s="1942"/>
      <c r="M92" s="1942"/>
      <c r="N92" s="1942"/>
      <c r="O92" s="1943"/>
      <c r="AB92" s="1923" t="s">
        <v>767</v>
      </c>
      <c r="AC92" s="1928"/>
      <c r="AD92" s="1929"/>
      <c r="AE92" s="1923" t="s">
        <v>1277</v>
      </c>
      <c r="AF92" s="1924"/>
      <c r="AG92" s="1925"/>
      <c r="AH92" s="1923" t="s">
        <v>1278</v>
      </c>
      <c r="AI92" s="1924"/>
      <c r="AJ92" s="1925"/>
      <c r="AK92" s="1923" t="s">
        <v>1051</v>
      </c>
      <c r="AL92" s="1924"/>
      <c r="AM92" s="1925"/>
    </row>
    <row r="93" spans="1:41" ht="26.25" hidden="1" thickBot="1">
      <c r="A93" s="207">
        <v>1</v>
      </c>
      <c r="B93" s="218" t="s">
        <v>863</v>
      </c>
      <c r="C93" s="222" t="e">
        <f>'[12]7 '!#REF!</f>
        <v>#REF!</v>
      </c>
      <c r="D93" s="222" t="e">
        <f>F93/C93</f>
        <v>#REF!</v>
      </c>
      <c r="E93" s="187"/>
      <c r="F93" s="188">
        <f>F94+F95+F96</f>
        <v>24.410620222415293</v>
      </c>
      <c r="G93" s="188"/>
      <c r="H93" s="187"/>
      <c r="I93" s="187"/>
      <c r="J93" s="187"/>
      <c r="K93" s="189"/>
      <c r="L93" s="189"/>
      <c r="M93" s="189">
        <f>M94+M95+M96</f>
        <v>130497.68708799999</v>
      </c>
      <c r="N93" s="189"/>
      <c r="O93" s="1563">
        <f>M93</f>
        <v>130497.68708799999</v>
      </c>
      <c r="AA93" s="443" t="s">
        <v>1285</v>
      </c>
      <c r="AB93" s="942" t="s">
        <v>1519</v>
      </c>
      <c r="AC93" s="875" t="s">
        <v>417</v>
      </c>
      <c r="AD93" s="446" t="s">
        <v>1054</v>
      </c>
      <c r="AE93" s="942" t="s">
        <v>1519</v>
      </c>
      <c r="AF93" s="875" t="s">
        <v>417</v>
      </c>
      <c r="AG93" s="446" t="s">
        <v>1054</v>
      </c>
      <c r="AH93" s="942" t="s">
        <v>1519</v>
      </c>
      <c r="AI93" s="875" t="s">
        <v>417</v>
      </c>
      <c r="AJ93" s="446" t="s">
        <v>1054</v>
      </c>
      <c r="AK93" s="942" t="s">
        <v>1519</v>
      </c>
      <c r="AL93" s="875" t="s">
        <v>417</v>
      </c>
      <c r="AM93" s="446" t="s">
        <v>1054</v>
      </c>
      <c r="AN93" s="181" t="s">
        <v>1282</v>
      </c>
    </row>
    <row r="94" spans="1:41" ht="13.5" hidden="1" thickBot="1">
      <c r="A94" s="207" t="s">
        <v>5</v>
      </c>
      <c r="B94" s="208" t="s">
        <v>864</v>
      </c>
      <c r="C94" s="209"/>
      <c r="D94" s="209"/>
      <c r="E94" s="192"/>
      <c r="F94" s="210">
        <f>AK94/1000</f>
        <v>21.799006000000002</v>
      </c>
      <c r="G94" s="193"/>
      <c r="H94" s="192"/>
      <c r="I94" s="229">
        <f>AL94*1000</f>
        <v>5410.7740365776308</v>
      </c>
      <c r="J94" s="192">
        <f>X98</f>
        <v>5.3924651823909073</v>
      </c>
      <c r="K94" s="194"/>
      <c r="L94" s="194"/>
      <c r="M94" s="194">
        <f>AM94</f>
        <v>117949.495688</v>
      </c>
      <c r="N94" s="194"/>
      <c r="O94" s="1564">
        <f t="shared" ref="O94:O96" si="10">M94</f>
        <v>117949.495688</v>
      </c>
      <c r="AA94" s="447" t="s">
        <v>864</v>
      </c>
      <c r="AB94" s="448">
        <f>AB99+AB100+AB102+AB104+AB105+AB106+AB107</f>
        <v>13336.005999999999</v>
      </c>
      <c r="AC94" s="933">
        <f>AD94/AB94</f>
        <v>5.4480000000000004</v>
      </c>
      <c r="AD94" s="450">
        <f>AD99+AD100+AD102+AD104+AD105+AD106+AD107</f>
        <v>72654.560687999998</v>
      </c>
      <c r="AE94" s="448">
        <f>AE99+AE100+AE102+AE104+AE105+AE106+AE107</f>
        <v>1435</v>
      </c>
      <c r="AF94" s="933">
        <f>AG94/AE94</f>
        <v>5.2889999999999997</v>
      </c>
      <c r="AG94" s="450">
        <f>AG99+AG100+AG102+AG104+AG105+AG106+AG107</f>
        <v>7589.7149999999992</v>
      </c>
      <c r="AH94" s="448">
        <f>AH99+AH100+AH102+AH104+AH105+AH106+AH107</f>
        <v>7028</v>
      </c>
      <c r="AI94" s="933">
        <f>AJ94/AH94</f>
        <v>5.3650000000000002</v>
      </c>
      <c r="AJ94" s="450">
        <f>AJ99+AJ100+AJ102+AJ104+AJ105+AJ106+AJ107</f>
        <v>37705.22</v>
      </c>
      <c r="AK94" s="448">
        <f>AK99+AK100+AK102+AK104+AK105+AK106+AK107</f>
        <v>21799.006000000001</v>
      </c>
      <c r="AL94" s="933">
        <f>AM94/AK94</f>
        <v>5.4107740365776307</v>
      </c>
      <c r="AM94" s="230">
        <f>AM99+AM100+AM102+AM104+AM105+AM106+AM107</f>
        <v>117949.495688</v>
      </c>
    </row>
    <row r="95" spans="1:41" ht="13.5" hidden="1" thickBot="1">
      <c r="A95" s="207" t="s">
        <v>6</v>
      </c>
      <c r="B95" s="228" t="s">
        <v>887</v>
      </c>
      <c r="C95" s="208"/>
      <c r="D95" s="231"/>
      <c r="E95" s="184"/>
      <c r="F95" s="1566">
        <f>(AK95+AK96)/1000</f>
        <v>2.611614222415291</v>
      </c>
      <c r="G95" s="193"/>
      <c r="H95" s="184"/>
      <c r="I95" s="229">
        <f>M95/F95</f>
        <v>4804.7645369288484</v>
      </c>
      <c r="J95" s="192"/>
      <c r="K95" s="184"/>
      <c r="L95" s="184"/>
      <c r="M95" s="194">
        <f>AM95+AM96</f>
        <v>12548.1914</v>
      </c>
      <c r="N95" s="184"/>
      <c r="O95" s="1564">
        <f t="shared" si="10"/>
        <v>12548.1914</v>
      </c>
      <c r="AA95" s="228" t="s">
        <v>1515</v>
      </c>
      <c r="AB95" s="448">
        <f>AD95/AC95</f>
        <v>984.14422241529098</v>
      </c>
      <c r="AC95" s="449">
        <v>4.6040000000000001</v>
      </c>
      <c r="AD95" s="450">
        <v>4531</v>
      </c>
      <c r="AE95" s="448">
        <v>219</v>
      </c>
      <c r="AF95" s="449">
        <v>4.4880000000000004</v>
      </c>
      <c r="AG95" s="230">
        <f>AE95*AF95</f>
        <v>982.87200000000007</v>
      </c>
      <c r="AH95" s="448">
        <v>679.21</v>
      </c>
      <c r="AI95" s="449">
        <v>4.55</v>
      </c>
      <c r="AJ95" s="230">
        <f>AH95*AI95</f>
        <v>3090.4054999999998</v>
      </c>
      <c r="AK95" s="451">
        <f t="shared" ref="AK95:AK96" si="11">AB95+AE95+AH95</f>
        <v>1882.3542224152911</v>
      </c>
      <c r="AL95" s="480">
        <f t="shared" ref="AL95:AL99" si="12">AM95/AK95</f>
        <v>4.5710193105735737</v>
      </c>
      <c r="AM95" s="453">
        <f t="shared" ref="AM95:AM96" si="13">AD95+AG95+AJ95</f>
        <v>8604.2775000000001</v>
      </c>
    </row>
    <row r="96" spans="1:41" ht="13.5" hidden="1" thickBot="1">
      <c r="A96" s="207" t="s">
        <v>7</v>
      </c>
      <c r="B96" s="208" t="s">
        <v>1279</v>
      </c>
      <c r="C96" s="208"/>
      <c r="D96" s="231"/>
      <c r="E96" s="184"/>
      <c r="F96" s="193"/>
      <c r="G96" s="184"/>
      <c r="H96" s="184"/>
      <c r="I96" s="229"/>
      <c r="J96" s="192"/>
      <c r="K96" s="184"/>
      <c r="L96" s="184"/>
      <c r="M96" s="194"/>
      <c r="N96" s="184"/>
      <c r="O96" s="211">
        <f t="shared" si="10"/>
        <v>0</v>
      </c>
      <c r="Q96" s="1923" t="s">
        <v>767</v>
      </c>
      <c r="R96" s="1926"/>
      <c r="S96" s="1927"/>
      <c r="T96" s="1920" t="s">
        <v>766</v>
      </c>
      <c r="U96" s="1921"/>
      <c r="V96" s="1922"/>
      <c r="W96" s="1920" t="s">
        <v>1051</v>
      </c>
      <c r="X96" s="1921"/>
      <c r="Y96" s="1922"/>
      <c r="AA96" s="228" t="s">
        <v>1516</v>
      </c>
      <c r="AB96" s="448">
        <v>430</v>
      </c>
      <c r="AC96" s="449">
        <v>5.4480000000000004</v>
      </c>
      <c r="AD96" s="450">
        <f>AB96*AC96</f>
        <v>2342.6400000000003</v>
      </c>
      <c r="AE96" s="448">
        <v>56</v>
      </c>
      <c r="AF96" s="449">
        <v>5.2889999999999997</v>
      </c>
      <c r="AG96" s="230">
        <f>AE96*AF96</f>
        <v>296.18399999999997</v>
      </c>
      <c r="AH96" s="448">
        <v>243.26</v>
      </c>
      <c r="AI96" s="449">
        <v>5.3650000000000002</v>
      </c>
      <c r="AJ96" s="230">
        <f>AH96*AI96</f>
        <v>1305.0898999999999</v>
      </c>
      <c r="AK96" s="767">
        <f t="shared" si="11"/>
        <v>729.26</v>
      </c>
      <c r="AL96" s="452">
        <f t="shared" si="12"/>
        <v>5.4081039684063308</v>
      </c>
      <c r="AM96" s="230">
        <f t="shared" si="13"/>
        <v>3943.9139000000005</v>
      </c>
      <c r="AN96" s="776">
        <f>AK97-AN98</f>
        <v>0</v>
      </c>
      <c r="AO96" s="777" t="s">
        <v>1283</v>
      </c>
    </row>
    <row r="97" spans="1:41" ht="14.25" hidden="1" thickBot="1">
      <c r="A97" s="207" t="s">
        <v>11</v>
      </c>
      <c r="B97" s="212" t="s">
        <v>865</v>
      </c>
      <c r="C97" s="208"/>
      <c r="D97" s="231"/>
      <c r="E97" s="184">
        <f>SUM(E98:E104)</f>
        <v>0</v>
      </c>
      <c r="F97" s="184"/>
      <c r="G97" s="184"/>
      <c r="H97" s="184"/>
      <c r="I97" s="192"/>
      <c r="J97" s="229"/>
      <c r="K97" s="184"/>
      <c r="L97" s="184"/>
      <c r="M97" s="184"/>
      <c r="N97" s="184"/>
      <c r="O97" s="211"/>
      <c r="P97" s="443" t="s">
        <v>1052</v>
      </c>
      <c r="Q97" s="444" t="s">
        <v>1053</v>
      </c>
      <c r="R97" s="758" t="s">
        <v>417</v>
      </c>
      <c r="S97" s="446" t="s">
        <v>1054</v>
      </c>
      <c r="T97" s="444" t="s">
        <v>1053</v>
      </c>
      <c r="U97" s="758" t="s">
        <v>417</v>
      </c>
      <c r="V97" s="446" t="s">
        <v>1054</v>
      </c>
      <c r="W97" s="758" t="s">
        <v>1053</v>
      </c>
      <c r="X97" s="758" t="s">
        <v>417</v>
      </c>
      <c r="Y97" s="446" t="s">
        <v>1054</v>
      </c>
      <c r="AA97" s="457" t="s">
        <v>435</v>
      </c>
      <c r="AB97" s="767">
        <f>AB94+AB95+AB96</f>
        <v>14750.15022241529</v>
      </c>
      <c r="AC97" s="452">
        <f>AD97/AB97</f>
        <v>5.3916875075037378</v>
      </c>
      <c r="AD97" s="230">
        <f>AD94+AD95+AD96</f>
        <v>79528.200687999997</v>
      </c>
      <c r="AE97" s="767">
        <f>AE94+AE95+AE96</f>
        <v>1710</v>
      </c>
      <c r="AF97" s="452">
        <f>AG97/AE97</f>
        <v>5.1864157894736831</v>
      </c>
      <c r="AG97" s="230">
        <f>AG94+AG95+AG96</f>
        <v>8868.7709999999988</v>
      </c>
      <c r="AH97" s="767">
        <f>AH94+AH95+AH96</f>
        <v>7950.47</v>
      </c>
      <c r="AI97" s="452">
        <f>AJ97/AH97</f>
        <v>5.2953744118272255</v>
      </c>
      <c r="AJ97" s="230">
        <f>AJ94+AJ95+AJ96</f>
        <v>42100.715400000001</v>
      </c>
      <c r="AK97" s="458">
        <f>AK94+AK95+AK96</f>
        <v>24410.620222415291</v>
      </c>
      <c r="AL97" s="912">
        <f t="shared" si="12"/>
        <v>5.3459390174842509</v>
      </c>
      <c r="AM97" s="459">
        <f>AM94+AM95+AM96</f>
        <v>130497.68708799999</v>
      </c>
      <c r="AN97" s="778">
        <f>AM97-AN99</f>
        <v>0</v>
      </c>
      <c r="AO97" s="777" t="s">
        <v>1284</v>
      </c>
    </row>
    <row r="98" spans="1:41" s="478" customFormat="1" ht="13.5" hidden="1" customHeight="1" thickBot="1">
      <c r="A98" s="460" t="s">
        <v>12</v>
      </c>
      <c r="B98" s="461" t="s">
        <v>866</v>
      </c>
      <c r="C98" s="462" t="e">
        <f>'[12]7 '!#REF!</f>
        <v>#REF!</v>
      </c>
      <c r="D98" s="463" t="e">
        <f>F98/C98</f>
        <v>#REF!</v>
      </c>
      <c r="E98" s="464"/>
      <c r="F98" s="465">
        <f t="shared" ref="F98:F105" si="14">AK98/1000</f>
        <v>24.41062022241529</v>
      </c>
      <c r="G98" s="465"/>
      <c r="H98" s="464"/>
      <c r="I98" s="466"/>
      <c r="J98" s="467">
        <f>X98</f>
        <v>5.3924651823909073</v>
      </c>
      <c r="K98" s="468"/>
      <c r="L98" s="468"/>
      <c r="M98" s="468">
        <f>M99+M100+M101+M102</f>
        <v>130497.68708799999</v>
      </c>
      <c r="N98" s="468"/>
      <c r="O98" s="469">
        <f t="shared" ref="O98:O106" si="15">M98</f>
        <v>130497.68708799999</v>
      </c>
      <c r="P98" s="470" t="s">
        <v>864</v>
      </c>
      <c r="Q98" s="471">
        <f>2154.36+3586.5</f>
        <v>5740.8600000000006</v>
      </c>
      <c r="R98" s="472">
        <v>5.4480000000000004</v>
      </c>
      <c r="S98" s="473">
        <f>Q98*R98</f>
        <v>31276.205280000006</v>
      </c>
      <c r="T98" s="471">
        <v>3081.4</v>
      </c>
      <c r="U98" s="472">
        <v>5.2889999999999997</v>
      </c>
      <c r="V98" s="474">
        <f>T98*U98</f>
        <v>16297.524599999999</v>
      </c>
      <c r="W98" s="475">
        <f>Q98+T98</f>
        <v>8822.26</v>
      </c>
      <c r="X98" s="476">
        <f>Y98/W98</f>
        <v>5.3924651823909073</v>
      </c>
      <c r="Y98" s="477">
        <f>S98+V98</f>
        <v>47573.729880000006</v>
      </c>
      <c r="AA98" s="768" t="s">
        <v>1280</v>
      </c>
      <c r="AB98" s="1408">
        <f>AB99+AB100+AB101+AB102</f>
        <v>14750.15022241529</v>
      </c>
      <c r="AC98" s="911">
        <f>AD98/AB98</f>
        <v>5.3916875075037378</v>
      </c>
      <c r="AD98" s="775">
        <f>AD99+AD100+AD101+AD102</f>
        <v>79528.200687999997</v>
      </c>
      <c r="AE98" s="774">
        <f>AE99+AE100+AE101+AE102</f>
        <v>1710</v>
      </c>
      <c r="AF98" s="911">
        <f>AG98/AE98</f>
        <v>5.1864157894736831</v>
      </c>
      <c r="AG98" s="775">
        <f>AG99+AG100+AG101+AG102</f>
        <v>8868.7709999999988</v>
      </c>
      <c r="AH98" s="774">
        <f>AH99+AH100+AH101+AH102</f>
        <v>7950.47</v>
      </c>
      <c r="AI98" s="911">
        <f>AJ98/AH98</f>
        <v>5.2953744118272255</v>
      </c>
      <c r="AJ98" s="775">
        <f>AJ99+AJ100+AJ101+AJ102</f>
        <v>42100.715400000001</v>
      </c>
      <c r="AK98" s="774">
        <f>AK99+AK100+AK101+AK102</f>
        <v>24410.620222415291</v>
      </c>
      <c r="AL98" s="774">
        <f t="shared" si="12"/>
        <v>5.3459390174842509</v>
      </c>
      <c r="AM98" s="775">
        <f>AM99+AM100+AM101+AM102</f>
        <v>130497.68708799999</v>
      </c>
      <c r="AN98" s="779">
        <f>AK98+AK103</f>
        <v>24410.620222415291</v>
      </c>
      <c r="AO98" s="181" t="s">
        <v>1283</v>
      </c>
    </row>
    <row r="99" spans="1:41" ht="13.5" hidden="1" customHeight="1" thickBot="1">
      <c r="A99" s="207"/>
      <c r="B99" s="479" t="s">
        <v>1055</v>
      </c>
      <c r="C99" s="225"/>
      <c r="D99" s="215"/>
      <c r="E99" s="192"/>
      <c r="F99" s="193">
        <f t="shared" si="14"/>
        <v>19.748000000000001</v>
      </c>
      <c r="G99" s="193"/>
      <c r="H99" s="192"/>
      <c r="I99" s="229">
        <f>AL99*1000</f>
        <v>5410.808638849503</v>
      </c>
      <c r="J99" s="210"/>
      <c r="K99" s="194"/>
      <c r="L99" s="194"/>
      <c r="M99" s="194">
        <f t="shared" ref="M99:M105" si="16">AM99</f>
        <v>106852.64899999999</v>
      </c>
      <c r="N99" s="194"/>
      <c r="O99" s="211">
        <f t="shared" si="15"/>
        <v>106852.64899999999</v>
      </c>
      <c r="P99" s="447"/>
      <c r="Q99" s="448"/>
      <c r="R99" s="449"/>
      <c r="S99" s="450"/>
      <c r="T99" s="448"/>
      <c r="U99" s="449"/>
      <c r="V99" s="230"/>
      <c r="W99" s="451"/>
      <c r="X99" s="480"/>
      <c r="Y99" s="453"/>
      <c r="AA99" s="479" t="s">
        <v>1055</v>
      </c>
      <c r="AB99" s="446">
        <v>12095</v>
      </c>
      <c r="AC99" s="446">
        <v>5.4480000000000004</v>
      </c>
      <c r="AD99" s="450">
        <f>AB99*AC99</f>
        <v>65893.56</v>
      </c>
      <c r="AE99" s="446">
        <v>1306</v>
      </c>
      <c r="AF99" s="446">
        <v>5.2889999999999997</v>
      </c>
      <c r="AG99" s="450">
        <f>AE99*AF99</f>
        <v>6907.4339999999993</v>
      </c>
      <c r="AH99" s="446">
        <v>6347</v>
      </c>
      <c r="AI99" s="446">
        <v>5.3650000000000002</v>
      </c>
      <c r="AJ99" s="450">
        <f>AH99*AI99</f>
        <v>34051.654999999999</v>
      </c>
      <c r="AK99" s="767">
        <f t="shared" ref="AK99:AK102" si="17">AB99+AE99+AH99</f>
        <v>19748</v>
      </c>
      <c r="AL99" s="452">
        <f t="shared" si="12"/>
        <v>5.4108086388495034</v>
      </c>
      <c r="AM99" s="230">
        <f t="shared" ref="AM99:AM102" si="18">AD99+AG99+AJ99</f>
        <v>106852.64899999999</v>
      </c>
      <c r="AN99" s="608">
        <f>AM98+AM103</f>
        <v>130497.68708799999</v>
      </c>
      <c r="AO99" s="181" t="s">
        <v>1284</v>
      </c>
    </row>
    <row r="100" spans="1:41" ht="13.5" hidden="1" customHeight="1" thickBot="1">
      <c r="A100" s="207"/>
      <c r="B100" s="479" t="s">
        <v>1056</v>
      </c>
      <c r="C100" s="225"/>
      <c r="D100" s="215"/>
      <c r="E100" s="192"/>
      <c r="F100" s="193">
        <f t="shared" si="14"/>
        <v>1.7563199999999999</v>
      </c>
      <c r="G100" s="193"/>
      <c r="H100" s="192"/>
      <c r="I100" s="229">
        <f>AL100*1000</f>
        <v>5412.5451853876284</v>
      </c>
      <c r="J100" s="210"/>
      <c r="K100" s="194"/>
      <c r="L100" s="194"/>
      <c r="M100" s="194">
        <f t="shared" si="16"/>
        <v>9506.1613600000001</v>
      </c>
      <c r="N100" s="194"/>
      <c r="O100" s="211">
        <f t="shared" si="15"/>
        <v>9506.1613600000001</v>
      </c>
      <c r="P100" s="447"/>
      <c r="Q100" s="448"/>
      <c r="R100" s="449"/>
      <c r="S100" s="450"/>
      <c r="T100" s="448"/>
      <c r="U100" s="449"/>
      <c r="V100" s="230"/>
      <c r="W100" s="451"/>
      <c r="X100" s="480"/>
      <c r="Y100" s="453"/>
      <c r="AA100" s="479" t="s">
        <v>1056</v>
      </c>
      <c r="AB100" s="446">
        <v>1090.32</v>
      </c>
      <c r="AC100" s="446">
        <v>5.4480000000000004</v>
      </c>
      <c r="AD100" s="450">
        <f t="shared" ref="AD100:AD107" si="19">AB100*AC100</f>
        <v>5940.0633600000001</v>
      </c>
      <c r="AE100" s="446">
        <v>92</v>
      </c>
      <c r="AF100" s="446">
        <v>5.2889999999999997</v>
      </c>
      <c r="AG100" s="450">
        <f t="shared" ref="AG100:AG102" si="20">AE100*AF100</f>
        <v>486.58799999999997</v>
      </c>
      <c r="AH100" s="446">
        <v>574</v>
      </c>
      <c r="AI100" s="446">
        <v>5.3650000000000002</v>
      </c>
      <c r="AJ100" s="450">
        <f t="shared" ref="AJ100:AJ102" si="21">AH100*AI100</f>
        <v>3079.51</v>
      </c>
      <c r="AK100" s="767">
        <f t="shared" si="17"/>
        <v>1756.32</v>
      </c>
      <c r="AL100" s="452">
        <f t="shared" ref="AL100:AL107" si="22">AM100/AK100</f>
        <v>5.4125451853876285</v>
      </c>
      <c r="AM100" s="230">
        <f t="shared" si="18"/>
        <v>9506.1613600000001</v>
      </c>
    </row>
    <row r="101" spans="1:41" s="499" customFormat="1" ht="13.5" hidden="1" customHeight="1" thickBot="1">
      <c r="A101" s="481"/>
      <c r="B101" s="482" t="s">
        <v>1057</v>
      </c>
      <c r="C101" s="483"/>
      <c r="D101" s="484"/>
      <c r="E101" s="485"/>
      <c r="F101" s="486">
        <f t="shared" si="14"/>
        <v>2.611614222415291</v>
      </c>
      <c r="G101" s="486"/>
      <c r="H101" s="485"/>
      <c r="I101" s="487">
        <f>AL101*1000</f>
        <v>4804.7645369288484</v>
      </c>
      <c r="J101" s="488"/>
      <c r="K101" s="489"/>
      <c r="L101" s="489"/>
      <c r="M101" s="489">
        <f t="shared" si="16"/>
        <v>12548.1914</v>
      </c>
      <c r="N101" s="503"/>
      <c r="O101" s="490">
        <f t="shared" si="15"/>
        <v>12548.1914</v>
      </c>
      <c r="P101" s="491"/>
      <c r="Q101" s="492"/>
      <c r="R101" s="493"/>
      <c r="S101" s="494"/>
      <c r="T101" s="492"/>
      <c r="U101" s="493"/>
      <c r="V101" s="495"/>
      <c r="W101" s="496"/>
      <c r="X101" s="497"/>
      <c r="Y101" s="498"/>
      <c r="AA101" s="482" t="s">
        <v>1057</v>
      </c>
      <c r="AB101" s="767">
        <f>AB95+AB96</f>
        <v>1414.1442224152911</v>
      </c>
      <c r="AC101" s="452">
        <f>AD101/AB101</f>
        <v>4.8606357760739209</v>
      </c>
      <c r="AD101" s="450">
        <f>AD95+AD96</f>
        <v>6873.64</v>
      </c>
      <c r="AE101" s="767">
        <f>AE95+AE96</f>
        <v>275</v>
      </c>
      <c r="AF101" s="452">
        <f>AG101/AE101</f>
        <v>4.6511127272727277</v>
      </c>
      <c r="AG101" s="450">
        <f>AG95+AG96</f>
        <v>1279.056</v>
      </c>
      <c r="AH101" s="767">
        <f>AH95+AH96</f>
        <v>922.47</v>
      </c>
      <c r="AI101" s="452">
        <f>AJ101/AH101</f>
        <v>4.764919617982156</v>
      </c>
      <c r="AJ101" s="450">
        <f>AJ95+AJ96</f>
        <v>4395.4953999999998</v>
      </c>
      <c r="AK101" s="767">
        <f t="shared" si="17"/>
        <v>2611.6142224152909</v>
      </c>
      <c r="AL101" s="452">
        <f t="shared" si="22"/>
        <v>4.8047645369288485</v>
      </c>
      <c r="AM101" s="230">
        <f>AD101+AG101+AJ101</f>
        <v>12548.1914</v>
      </c>
    </row>
    <row r="102" spans="1:41" ht="13.5" hidden="1" customHeight="1" thickBot="1">
      <c r="A102" s="207"/>
      <c r="B102" s="479" t="s">
        <v>1058</v>
      </c>
      <c r="C102" s="225"/>
      <c r="D102" s="215"/>
      <c r="E102" s="192"/>
      <c r="F102" s="193">
        <f t="shared" si="14"/>
        <v>0.29468600000000006</v>
      </c>
      <c r="G102" s="193"/>
      <c r="H102" s="192"/>
      <c r="I102" s="229">
        <f>AL102*1000</f>
        <v>5397.8992147574018</v>
      </c>
      <c r="J102" s="210"/>
      <c r="K102" s="194"/>
      <c r="L102" s="194"/>
      <c r="M102" s="194">
        <f t="shared" si="16"/>
        <v>1590.685328</v>
      </c>
      <c r="N102" s="504"/>
      <c r="O102" s="211">
        <f t="shared" si="15"/>
        <v>1590.685328</v>
      </c>
      <c r="P102" s="447"/>
      <c r="Q102" s="448"/>
      <c r="R102" s="449"/>
      <c r="S102" s="450"/>
      <c r="T102" s="448"/>
      <c r="U102" s="449"/>
      <c r="V102" s="230"/>
      <c r="W102" s="451"/>
      <c r="X102" s="480"/>
      <c r="Y102" s="453"/>
      <c r="AA102" s="479" t="s">
        <v>1058</v>
      </c>
      <c r="AB102" s="446">
        <v>150.68600000000001</v>
      </c>
      <c r="AC102" s="446">
        <v>5.4480000000000004</v>
      </c>
      <c r="AD102" s="450">
        <f t="shared" si="19"/>
        <v>820.93732800000009</v>
      </c>
      <c r="AE102" s="446">
        <v>37</v>
      </c>
      <c r="AF102" s="446">
        <v>5.2889999999999997</v>
      </c>
      <c r="AG102" s="450">
        <f t="shared" si="20"/>
        <v>195.69299999999998</v>
      </c>
      <c r="AH102" s="446">
        <v>107</v>
      </c>
      <c r="AI102" s="446">
        <v>5.3650000000000002</v>
      </c>
      <c r="AJ102" s="450">
        <f t="shared" si="21"/>
        <v>574.05500000000006</v>
      </c>
      <c r="AK102" s="767">
        <f t="shared" si="17"/>
        <v>294.68600000000004</v>
      </c>
      <c r="AL102" s="452">
        <f t="shared" si="22"/>
        <v>5.3978992147574019</v>
      </c>
      <c r="AM102" s="230">
        <f t="shared" si="18"/>
        <v>1590.685328</v>
      </c>
    </row>
    <row r="103" spans="1:41" s="478" customFormat="1" ht="13.5" hidden="1" thickBot="1">
      <c r="A103" s="460" t="s">
        <v>18</v>
      </c>
      <c r="B103" s="461" t="s">
        <v>868</v>
      </c>
      <c r="C103" s="462" t="e">
        <f>'[12]7 '!#REF!</f>
        <v>#REF!</v>
      </c>
      <c r="D103" s="463" t="e">
        <f>F103/C103</f>
        <v>#REF!</v>
      </c>
      <c r="E103" s="464"/>
      <c r="F103" s="465">
        <f t="shared" si="14"/>
        <v>0</v>
      </c>
      <c r="G103" s="465"/>
      <c r="H103" s="464"/>
      <c r="I103" s="466"/>
      <c r="J103" s="464"/>
      <c r="K103" s="468"/>
      <c r="L103" s="468"/>
      <c r="M103" s="468">
        <f>M104+M105+M106</f>
        <v>0</v>
      </c>
      <c r="N103" s="505"/>
      <c r="O103" s="469">
        <f t="shared" si="15"/>
        <v>0</v>
      </c>
      <c r="P103" s="500" t="s">
        <v>887</v>
      </c>
      <c r="Q103" s="471">
        <f>249.71+452.5</f>
        <v>702.21</v>
      </c>
      <c r="R103" s="472">
        <v>4.6040000000000001</v>
      </c>
      <c r="S103" s="473">
        <f>Q103*R103</f>
        <v>3232.9748400000003</v>
      </c>
      <c r="T103" s="471">
        <v>419</v>
      </c>
      <c r="U103" s="472">
        <v>4.4880000000000004</v>
      </c>
      <c r="V103" s="474">
        <f>T103*U103</f>
        <v>1880.4720000000002</v>
      </c>
      <c r="W103" s="501">
        <f>Q103+T103</f>
        <v>1121.21</v>
      </c>
      <c r="X103" s="502">
        <f>Y103/W103</f>
        <v>4.5606504044737388</v>
      </c>
      <c r="Y103" s="474">
        <f>S103+V103</f>
        <v>5113.4468400000005</v>
      </c>
      <c r="AA103" s="768" t="s">
        <v>1281</v>
      </c>
      <c r="AB103" s="922">
        <f>AB104+AB105+AB106+AB107</f>
        <v>0</v>
      </c>
      <c r="AC103" s="911" t="e">
        <f>AD103/AB103</f>
        <v>#DIV/0!</v>
      </c>
      <c r="AD103" s="775">
        <f>AD104+AD105+AD106+AD107</f>
        <v>0</v>
      </c>
      <c r="AE103" s="922">
        <f>AE104+AE105+AE106+AE107</f>
        <v>0</v>
      </c>
      <c r="AF103" s="911" t="e">
        <f>AG103/AE103</f>
        <v>#DIV/0!</v>
      </c>
      <c r="AG103" s="775">
        <f>AG104+AG105+AG106+AG107</f>
        <v>0</v>
      </c>
      <c r="AH103" s="922">
        <f>AH104+AH105+AH106+AH107</f>
        <v>0</v>
      </c>
      <c r="AI103" s="911" t="e">
        <f>AJ103/AH103</f>
        <v>#DIV/0!</v>
      </c>
      <c r="AJ103" s="775">
        <f>AJ104+AJ105+AJ106+AJ107</f>
        <v>0</v>
      </c>
      <c r="AK103" s="922">
        <f>AK104+AK105+AK106+AK107</f>
        <v>0</v>
      </c>
      <c r="AL103" s="911" t="e">
        <f>AM103/AK103</f>
        <v>#DIV/0!</v>
      </c>
      <c r="AM103" s="775">
        <f>AM104+AM105+AM106+AM107</f>
        <v>0</v>
      </c>
    </row>
    <row r="104" spans="1:41" hidden="1">
      <c r="A104" s="207"/>
      <c r="B104" s="479" t="s">
        <v>1554</v>
      </c>
      <c r="C104" s="225" t="e">
        <f>'[12]7 '!#REF!</f>
        <v>#REF!</v>
      </c>
      <c r="D104" s="215" t="e">
        <f>F104/C104</f>
        <v>#REF!</v>
      </c>
      <c r="E104" s="192"/>
      <c r="F104" s="193">
        <f t="shared" si="14"/>
        <v>0</v>
      </c>
      <c r="G104" s="193"/>
      <c r="H104" s="192"/>
      <c r="I104" s="229" t="e">
        <f>AL104*1000</f>
        <v>#DIV/0!</v>
      </c>
      <c r="J104" s="184"/>
      <c r="K104" s="194"/>
      <c r="L104" s="194"/>
      <c r="M104" s="194">
        <f t="shared" si="16"/>
        <v>0</v>
      </c>
      <c r="N104" s="504"/>
      <c r="O104" s="211">
        <f t="shared" si="15"/>
        <v>0</v>
      </c>
      <c r="P104" s="457" t="s">
        <v>435</v>
      </c>
      <c r="Q104" s="446"/>
      <c r="R104" s="446"/>
      <c r="S104" s="446"/>
      <c r="T104" s="446"/>
      <c r="U104" s="446"/>
      <c r="V104" s="446"/>
      <c r="W104" s="458">
        <f>W98+W103</f>
        <v>9943.4700000000012</v>
      </c>
      <c r="X104" s="454"/>
      <c r="Y104" s="459">
        <f>Y98+Y103</f>
        <v>52687.176720000003</v>
      </c>
      <c r="AA104" s="479" t="s">
        <v>1554</v>
      </c>
      <c r="AB104" s="446"/>
      <c r="AC104" s="446"/>
      <c r="AD104" s="450">
        <f t="shared" si="19"/>
        <v>0</v>
      </c>
      <c r="AE104" s="446"/>
      <c r="AF104" s="446"/>
      <c r="AG104" s="450">
        <f t="shared" ref="AG104:AG107" si="23">AE104*AF104</f>
        <v>0</v>
      </c>
      <c r="AH104" s="446"/>
      <c r="AI104" s="446"/>
      <c r="AJ104" s="450">
        <f t="shared" ref="AJ104:AJ107" si="24">AH104*AI104</f>
        <v>0</v>
      </c>
      <c r="AK104" s="767">
        <f t="shared" ref="AK104:AK107" si="25">AB104+AE104+AH104</f>
        <v>0</v>
      </c>
      <c r="AL104" s="452" t="e">
        <f t="shared" si="22"/>
        <v>#DIV/0!</v>
      </c>
      <c r="AM104" s="230">
        <f t="shared" ref="AM104:AM107" si="26">AD104+AG104+AJ104</f>
        <v>0</v>
      </c>
    </row>
    <row r="105" spans="1:41" hidden="1">
      <c r="A105" s="506"/>
      <c r="B105" s="482" t="s">
        <v>1057</v>
      </c>
      <c r="C105" s="507"/>
      <c r="D105" s="508"/>
      <c r="E105" s="509"/>
      <c r="F105" s="486">
        <f t="shared" si="14"/>
        <v>0</v>
      </c>
      <c r="G105" s="510"/>
      <c r="H105" s="509"/>
      <c r="I105" s="487" t="e">
        <f>AL105*1000</f>
        <v>#DIV/0!</v>
      </c>
      <c r="J105" s="509"/>
      <c r="K105" s="511"/>
      <c r="L105" s="511"/>
      <c r="M105" s="489">
        <f t="shared" si="16"/>
        <v>0</v>
      </c>
      <c r="N105" s="512"/>
      <c r="O105" s="490">
        <f t="shared" si="15"/>
        <v>0</v>
      </c>
      <c r="AA105" s="482" t="s">
        <v>1057</v>
      </c>
      <c r="AB105" s="446"/>
      <c r="AC105" s="446"/>
      <c r="AD105" s="450">
        <f t="shared" si="19"/>
        <v>0</v>
      </c>
      <c r="AE105" s="446"/>
      <c r="AF105" s="446"/>
      <c r="AG105" s="450">
        <f t="shared" si="23"/>
        <v>0</v>
      </c>
      <c r="AH105" s="446"/>
      <c r="AI105" s="446"/>
      <c r="AJ105" s="450">
        <f t="shared" si="24"/>
        <v>0</v>
      </c>
      <c r="AK105" s="767">
        <f t="shared" si="25"/>
        <v>0</v>
      </c>
      <c r="AL105" s="452" t="e">
        <f t="shared" si="22"/>
        <v>#DIV/0!</v>
      </c>
      <c r="AM105" s="230">
        <f t="shared" si="26"/>
        <v>0</v>
      </c>
    </row>
    <row r="106" spans="1:41" hidden="1">
      <c r="A106" s="207"/>
      <c r="B106" s="923" t="s">
        <v>1058</v>
      </c>
      <c r="C106" s="225"/>
      <c r="D106" s="215"/>
      <c r="E106" s="192"/>
      <c r="F106" s="192">
        <f>(AK106+AK107)/1000</f>
        <v>0</v>
      </c>
      <c r="G106" s="193"/>
      <c r="H106" s="192"/>
      <c r="I106" s="229" t="e">
        <f>M106/F106</f>
        <v>#DIV/0!</v>
      </c>
      <c r="J106" s="192"/>
      <c r="K106" s="194"/>
      <c r="L106" s="194"/>
      <c r="M106" s="194">
        <f>AM106+AM107</f>
        <v>0</v>
      </c>
      <c r="N106" s="504"/>
      <c r="O106" s="211">
        <f t="shared" si="15"/>
        <v>0</v>
      </c>
      <c r="P106" s="941"/>
      <c r="Q106" s="941"/>
      <c r="R106" s="941"/>
      <c r="S106" s="941"/>
      <c r="T106" s="941"/>
      <c r="U106" s="941"/>
      <c r="V106" s="941"/>
      <c r="W106" s="941"/>
      <c r="X106" s="941"/>
      <c r="Y106" s="941"/>
      <c r="Z106" s="941"/>
      <c r="AA106" s="923" t="s">
        <v>1517</v>
      </c>
      <c r="AB106" s="446"/>
      <c r="AC106" s="446"/>
      <c r="AD106" s="230">
        <f t="shared" si="19"/>
        <v>0</v>
      </c>
      <c r="AE106" s="446"/>
      <c r="AF106" s="446"/>
      <c r="AG106" s="230">
        <f t="shared" si="23"/>
        <v>0</v>
      </c>
      <c r="AH106" s="446"/>
      <c r="AI106" s="446"/>
      <c r="AJ106" s="230">
        <f t="shared" si="24"/>
        <v>0</v>
      </c>
      <c r="AK106" s="767">
        <f t="shared" si="25"/>
        <v>0</v>
      </c>
      <c r="AL106" s="452" t="e">
        <f t="shared" si="22"/>
        <v>#DIV/0!</v>
      </c>
      <c r="AM106" s="230">
        <f t="shared" si="26"/>
        <v>0</v>
      </c>
    </row>
    <row r="107" spans="1:41" ht="13.5" hidden="1" thickBot="1">
      <c r="A107" s="934"/>
      <c r="B107" s="927"/>
      <c r="C107" s="935"/>
      <c r="D107" s="936"/>
      <c r="E107" s="937"/>
      <c r="F107" s="938"/>
      <c r="G107" s="938"/>
      <c r="H107" s="937"/>
      <c r="I107" s="939"/>
      <c r="J107" s="937"/>
      <c r="K107" s="940"/>
      <c r="L107" s="940"/>
      <c r="M107" s="940"/>
      <c r="N107" s="940"/>
      <c r="O107" s="940"/>
      <c r="AA107" s="927" t="s">
        <v>1518</v>
      </c>
      <c r="AB107" s="928"/>
      <c r="AC107" s="928"/>
      <c r="AD107" s="929">
        <f t="shared" si="19"/>
        <v>0</v>
      </c>
      <c r="AE107" s="928"/>
      <c r="AF107" s="928"/>
      <c r="AG107" s="929">
        <f t="shared" si="23"/>
        <v>0</v>
      </c>
      <c r="AH107" s="928"/>
      <c r="AI107" s="928"/>
      <c r="AJ107" s="929">
        <f t="shared" si="24"/>
        <v>0</v>
      </c>
      <c r="AK107" s="930">
        <f t="shared" si="25"/>
        <v>0</v>
      </c>
      <c r="AL107" s="931" t="e">
        <f t="shared" si="22"/>
        <v>#DIV/0!</v>
      </c>
      <c r="AM107" s="929">
        <f t="shared" si="26"/>
        <v>0</v>
      </c>
    </row>
    <row r="108" spans="1:41">
      <c r="A108" s="1941" t="s">
        <v>1155</v>
      </c>
      <c r="B108" s="1942"/>
      <c r="C108" s="1942"/>
      <c r="D108" s="1942"/>
      <c r="E108" s="1942"/>
      <c r="F108" s="1946"/>
      <c r="G108" s="1942"/>
      <c r="H108" s="1942"/>
      <c r="I108" s="1946"/>
      <c r="J108" s="1942"/>
      <c r="K108" s="1942"/>
      <c r="L108" s="1942"/>
      <c r="M108" s="1946"/>
      <c r="N108" s="1942"/>
      <c r="O108" s="1943"/>
      <c r="AB108" s="1923" t="s">
        <v>767</v>
      </c>
      <c r="AC108" s="1928"/>
      <c r="AD108" s="1929"/>
      <c r="AE108" s="1923" t="s">
        <v>766</v>
      </c>
      <c r="AF108" s="1924"/>
      <c r="AG108" s="1925"/>
      <c r="AH108" s="1923"/>
      <c r="AI108" s="1924"/>
      <c r="AJ108" s="1925"/>
      <c r="AK108" s="1923" t="s">
        <v>1051</v>
      </c>
      <c r="AL108" s="1924"/>
      <c r="AM108" s="1925"/>
    </row>
    <row r="109" spans="1:41" ht="26.25" thickBot="1">
      <c r="A109" s="207">
        <v>1</v>
      </c>
      <c r="B109" s="218" t="s">
        <v>863</v>
      </c>
      <c r="C109" s="222" t="e">
        <v>#REF!</v>
      </c>
      <c r="D109" s="222" t="e">
        <v>#REF!</v>
      </c>
      <c r="E109" s="187"/>
      <c r="F109" s="188">
        <v>20.509699999999999</v>
      </c>
      <c r="G109" s="188"/>
      <c r="H109" s="187"/>
      <c r="I109" s="187"/>
      <c r="J109" s="187"/>
      <c r="K109" s="189"/>
      <c r="L109" s="189"/>
      <c r="M109" s="189">
        <v>114878.51239999999</v>
      </c>
      <c r="N109" s="189"/>
      <c r="O109" s="213">
        <v>114878.51239999999</v>
      </c>
      <c r="AA109" s="443" t="s">
        <v>1285</v>
      </c>
      <c r="AB109" s="942" t="s">
        <v>1519</v>
      </c>
      <c r="AC109" s="1802" t="s">
        <v>417</v>
      </c>
      <c r="AD109" s="446" t="s">
        <v>1054</v>
      </c>
      <c r="AE109" s="942" t="s">
        <v>1519</v>
      </c>
      <c r="AF109" s="1802" t="s">
        <v>417</v>
      </c>
      <c r="AG109" s="446" t="s">
        <v>1054</v>
      </c>
      <c r="AH109" s="942" t="s">
        <v>1519</v>
      </c>
      <c r="AI109" s="1802" t="s">
        <v>417</v>
      </c>
      <c r="AJ109" s="446" t="s">
        <v>1054</v>
      </c>
      <c r="AK109" s="942" t="s">
        <v>1519</v>
      </c>
      <c r="AL109" s="1802" t="s">
        <v>417</v>
      </c>
      <c r="AM109" s="446" t="s">
        <v>1054</v>
      </c>
      <c r="AN109" s="181" t="s">
        <v>1282</v>
      </c>
    </row>
    <row r="110" spans="1:41" s="499" customFormat="1" ht="13.5" thickBot="1">
      <c r="A110" s="207" t="s">
        <v>5</v>
      </c>
      <c r="B110" s="208" t="s">
        <v>1870</v>
      </c>
      <c r="C110" s="209"/>
      <c r="D110" s="209"/>
      <c r="E110" s="192"/>
      <c r="F110" s="210">
        <v>20.509699999999999</v>
      </c>
      <c r="G110" s="193"/>
      <c r="H110" s="192"/>
      <c r="I110" s="229">
        <v>5601.1795589404046</v>
      </c>
      <c r="J110" s="192">
        <v>5.3924651823909073</v>
      </c>
      <c r="K110" s="194"/>
      <c r="L110" s="194"/>
      <c r="M110" s="194">
        <v>114878.51239999999</v>
      </c>
      <c r="N110" s="194"/>
      <c r="O110" s="211">
        <v>114878.51239999999</v>
      </c>
      <c r="P110" s="181"/>
      <c r="Q110" s="181"/>
      <c r="R110" s="181"/>
      <c r="S110" s="181"/>
      <c r="T110" s="181"/>
      <c r="U110" s="181"/>
      <c r="V110" s="181"/>
      <c r="W110" s="181"/>
      <c r="X110" s="181"/>
      <c r="Y110" s="181"/>
      <c r="Z110" s="181"/>
      <c r="AA110" s="447" t="s">
        <v>864</v>
      </c>
      <c r="AB110" s="1409">
        <v>12143.6</v>
      </c>
      <c r="AC110" s="933">
        <v>5.3650000000000002</v>
      </c>
      <c r="AD110" s="450">
        <v>65150.414000000004</v>
      </c>
      <c r="AE110" s="1409">
        <v>8366.1</v>
      </c>
      <c r="AF110" s="933">
        <v>5.9439999999999991</v>
      </c>
      <c r="AG110" s="450">
        <v>49728.098399999995</v>
      </c>
      <c r="AH110" s="448">
        <v>0</v>
      </c>
      <c r="AI110" s="933" t="e">
        <v>#DIV/0!</v>
      </c>
      <c r="AJ110" s="450">
        <v>0</v>
      </c>
      <c r="AK110" s="448">
        <v>20509.699999999997</v>
      </c>
      <c r="AL110" s="933">
        <v>5.6011795589404043</v>
      </c>
      <c r="AM110" s="230">
        <v>114878.51239999999</v>
      </c>
      <c r="AN110" s="181"/>
      <c r="AO110" s="181"/>
    </row>
    <row r="111" spans="1:41" ht="13.5" thickBot="1">
      <c r="A111" s="207" t="s">
        <v>6</v>
      </c>
      <c r="B111" s="228" t="s">
        <v>887</v>
      </c>
      <c r="C111" s="208"/>
      <c r="D111" s="231"/>
      <c r="E111" s="184"/>
      <c r="F111" s="193">
        <v>0</v>
      </c>
      <c r="G111" s="193"/>
      <c r="H111" s="184"/>
      <c r="I111" s="229" t="e">
        <v>#DIV/0!</v>
      </c>
      <c r="J111" s="192"/>
      <c r="K111" s="184"/>
      <c r="L111" s="184"/>
      <c r="M111" s="194">
        <v>0</v>
      </c>
      <c r="N111" s="184"/>
      <c r="O111" s="211">
        <v>0</v>
      </c>
      <c r="AA111" s="228" t="s">
        <v>1515</v>
      </c>
      <c r="AB111" s="448"/>
      <c r="AC111" s="449"/>
      <c r="AD111" s="450">
        <v>0</v>
      </c>
      <c r="AE111" s="448"/>
      <c r="AF111" s="449"/>
      <c r="AG111" s="230">
        <v>0</v>
      </c>
      <c r="AH111" s="448"/>
      <c r="AI111" s="449"/>
      <c r="AJ111" s="230">
        <v>0</v>
      </c>
      <c r="AK111" s="451">
        <v>0</v>
      </c>
      <c r="AL111" s="480" t="e">
        <v>#DIV/0!</v>
      </c>
      <c r="AM111" s="453">
        <v>0</v>
      </c>
    </row>
    <row r="112" spans="1:41" ht="13.5" thickBot="1">
      <c r="A112" s="207" t="s">
        <v>7</v>
      </c>
      <c r="B112" s="208" t="s">
        <v>432</v>
      </c>
      <c r="C112" s="208"/>
      <c r="D112" s="231"/>
      <c r="E112" s="184"/>
      <c r="F112" s="193"/>
      <c r="G112" s="184"/>
      <c r="H112" s="184"/>
      <c r="I112" s="229"/>
      <c r="J112" s="192"/>
      <c r="K112" s="184"/>
      <c r="L112" s="184"/>
      <c r="M112" s="194"/>
      <c r="N112" s="184"/>
      <c r="O112" s="211">
        <v>0</v>
      </c>
      <c r="Q112" s="1799" t="s">
        <v>767</v>
      </c>
      <c r="R112" s="1800"/>
      <c r="S112" s="1801"/>
      <c r="T112" s="1802" t="s">
        <v>766</v>
      </c>
      <c r="U112" s="1803"/>
      <c r="V112" s="1804"/>
      <c r="W112" s="1802" t="s">
        <v>1051</v>
      </c>
      <c r="X112" s="1803"/>
      <c r="Y112" s="1804"/>
      <c r="AA112" s="228" t="s">
        <v>1516</v>
      </c>
      <c r="AB112" s="448"/>
      <c r="AC112" s="449"/>
      <c r="AD112" s="450">
        <v>0</v>
      </c>
      <c r="AE112" s="448"/>
      <c r="AF112" s="449"/>
      <c r="AG112" s="230">
        <v>0</v>
      </c>
      <c r="AH112" s="448"/>
      <c r="AI112" s="449"/>
      <c r="AJ112" s="230">
        <v>0</v>
      </c>
      <c r="AK112" s="767">
        <v>0</v>
      </c>
      <c r="AL112" s="452" t="e">
        <v>#DIV/0!</v>
      </c>
      <c r="AM112" s="230">
        <v>0</v>
      </c>
      <c r="AN112" s="776">
        <v>0</v>
      </c>
      <c r="AO112" s="777" t="s">
        <v>1283</v>
      </c>
    </row>
    <row r="113" spans="1:41" ht="14.25" thickBot="1">
      <c r="A113" s="207" t="s">
        <v>11</v>
      </c>
      <c r="B113" s="212" t="s">
        <v>865</v>
      </c>
      <c r="C113" s="208"/>
      <c r="D113" s="231"/>
      <c r="E113" s="184">
        <v>0</v>
      </c>
      <c r="F113" s="184"/>
      <c r="G113" s="184"/>
      <c r="H113" s="184"/>
      <c r="I113" s="192"/>
      <c r="J113" s="229"/>
      <c r="K113" s="184"/>
      <c r="L113" s="184"/>
      <c r="M113" s="184"/>
      <c r="N113" s="184"/>
      <c r="O113" s="211"/>
      <c r="P113" s="443" t="s">
        <v>1052</v>
      </c>
      <c r="Q113" s="444" t="s">
        <v>1053</v>
      </c>
      <c r="R113" s="1802" t="s">
        <v>417</v>
      </c>
      <c r="S113" s="446" t="s">
        <v>1054</v>
      </c>
      <c r="T113" s="444" t="s">
        <v>1053</v>
      </c>
      <c r="U113" s="1802" t="s">
        <v>417</v>
      </c>
      <c r="V113" s="446" t="s">
        <v>1054</v>
      </c>
      <c r="W113" s="1802" t="s">
        <v>1053</v>
      </c>
      <c r="X113" s="1802" t="s">
        <v>417</v>
      </c>
      <c r="Y113" s="446" t="s">
        <v>1054</v>
      </c>
      <c r="AA113" s="457" t="s">
        <v>435</v>
      </c>
      <c r="AB113" s="1410">
        <v>12143.6</v>
      </c>
      <c r="AC113" s="446">
        <v>5.3650000000000002</v>
      </c>
      <c r="AD113" s="230">
        <v>65150.414000000004</v>
      </c>
      <c r="AE113" s="1410">
        <v>8366.1</v>
      </c>
      <c r="AF113" s="446">
        <v>5.9439999999999991</v>
      </c>
      <c r="AG113" s="230">
        <v>49728.098399999995</v>
      </c>
      <c r="AH113" s="767">
        <v>0</v>
      </c>
      <c r="AI113" s="446" t="e">
        <v>#DIV/0!</v>
      </c>
      <c r="AJ113" s="230">
        <v>0</v>
      </c>
      <c r="AK113" s="458">
        <v>20509.699999999997</v>
      </c>
      <c r="AL113" s="454">
        <v>5.6011795589404043</v>
      </c>
      <c r="AM113" s="459">
        <v>114878.51239999999</v>
      </c>
      <c r="AN113" s="778">
        <v>0</v>
      </c>
      <c r="AO113" s="777" t="s">
        <v>1284</v>
      </c>
    </row>
    <row r="114" spans="1:41" ht="13.5" thickBot="1">
      <c r="A114" s="460" t="s">
        <v>12</v>
      </c>
      <c r="B114" s="461" t="s">
        <v>866</v>
      </c>
      <c r="C114" s="462" t="e">
        <v>#REF!</v>
      </c>
      <c r="D114" s="463" t="e">
        <v>#REF!</v>
      </c>
      <c r="E114" s="464"/>
      <c r="F114" s="465">
        <v>16.457599999999999</v>
      </c>
      <c r="G114" s="465"/>
      <c r="H114" s="464"/>
      <c r="I114" s="466"/>
      <c r="J114" s="467">
        <v>5.3924651823909073</v>
      </c>
      <c r="K114" s="468"/>
      <c r="L114" s="468"/>
      <c r="M114" s="468">
        <v>92186.251399999994</v>
      </c>
      <c r="N114" s="468"/>
      <c r="O114" s="469">
        <v>92186.251399999994</v>
      </c>
      <c r="P114" s="470" t="s">
        <v>864</v>
      </c>
      <c r="Q114" s="471">
        <v>5740.8600000000006</v>
      </c>
      <c r="R114" s="472">
        <v>5.4480000000000004</v>
      </c>
      <c r="S114" s="473">
        <v>31276.205280000006</v>
      </c>
      <c r="T114" s="471">
        <v>3081.4</v>
      </c>
      <c r="U114" s="472">
        <v>5.2889999999999997</v>
      </c>
      <c r="V114" s="474">
        <v>16297.524599999999</v>
      </c>
      <c r="W114" s="475">
        <v>8822.26</v>
      </c>
      <c r="X114" s="476">
        <v>5.3924651823909073</v>
      </c>
      <c r="Y114" s="477">
        <v>47573.729880000006</v>
      </c>
      <c r="Z114" s="478"/>
      <c r="AA114" s="768" t="s">
        <v>1280</v>
      </c>
      <c r="AB114" s="774">
        <v>9737</v>
      </c>
      <c r="AC114" s="774">
        <v>5.3650000000000002</v>
      </c>
      <c r="AD114" s="775">
        <v>52239.005000000005</v>
      </c>
      <c r="AE114" s="774">
        <v>6720.6</v>
      </c>
      <c r="AF114" s="774">
        <v>5.9439999999999991</v>
      </c>
      <c r="AG114" s="775">
        <v>39947.246399999996</v>
      </c>
      <c r="AH114" s="774">
        <v>0</v>
      </c>
      <c r="AI114" s="774" t="e">
        <v>#DIV/0!</v>
      </c>
      <c r="AJ114" s="775">
        <v>0</v>
      </c>
      <c r="AK114" s="774">
        <v>16457.599999999999</v>
      </c>
      <c r="AL114" s="774">
        <v>5.6014395416099552</v>
      </c>
      <c r="AM114" s="775">
        <v>92186.251399999994</v>
      </c>
      <c r="AN114" s="779">
        <v>20509.699999999997</v>
      </c>
      <c r="AO114" s="181" t="s">
        <v>1283</v>
      </c>
    </row>
    <row r="115" spans="1:41" ht="13.5" thickBot="1">
      <c r="A115" s="207"/>
      <c r="B115" s="479" t="s">
        <v>1055</v>
      </c>
      <c r="C115" s="225"/>
      <c r="D115" s="215"/>
      <c r="E115" s="192"/>
      <c r="F115" s="193">
        <v>14.537600000000001</v>
      </c>
      <c r="G115" s="193"/>
      <c r="H115" s="192"/>
      <c r="I115" s="229">
        <v>5604.3887161567245</v>
      </c>
      <c r="J115" s="210"/>
      <c r="K115" s="194"/>
      <c r="L115" s="194"/>
      <c r="M115" s="194">
        <v>81474.361399999994</v>
      </c>
      <c r="N115" s="194"/>
      <c r="O115" s="211">
        <v>81474.361399999994</v>
      </c>
      <c r="P115" s="447"/>
      <c r="Q115" s="448"/>
      <c r="R115" s="449"/>
      <c r="S115" s="450"/>
      <c r="T115" s="448"/>
      <c r="U115" s="449"/>
      <c r="V115" s="230"/>
      <c r="W115" s="451"/>
      <c r="X115" s="480"/>
      <c r="Y115" s="453"/>
      <c r="AA115" s="479" t="s">
        <v>1055</v>
      </c>
      <c r="AB115" s="446">
        <v>8527</v>
      </c>
      <c r="AC115" s="446">
        <v>5.3650000000000002</v>
      </c>
      <c r="AD115" s="450">
        <v>45747.355000000003</v>
      </c>
      <c r="AE115" s="446">
        <v>6010.6</v>
      </c>
      <c r="AF115" s="446">
        <v>5.944</v>
      </c>
      <c r="AG115" s="450">
        <v>35727.006399999998</v>
      </c>
      <c r="AH115" s="446"/>
      <c r="AI115" s="446"/>
      <c r="AJ115" s="450">
        <v>0</v>
      </c>
      <c r="AK115" s="767">
        <v>14537.6</v>
      </c>
      <c r="AL115" s="452">
        <v>5.6043887161567243</v>
      </c>
      <c r="AM115" s="230">
        <v>81474.361399999994</v>
      </c>
      <c r="AN115" s="608">
        <v>114878.51239999999</v>
      </c>
      <c r="AO115" s="181" t="s">
        <v>1284</v>
      </c>
    </row>
    <row r="116" spans="1:41" ht="13.5" thickBot="1">
      <c r="A116" s="207"/>
      <c r="B116" s="479" t="s">
        <v>1056</v>
      </c>
      <c r="C116" s="225"/>
      <c r="D116" s="215"/>
      <c r="E116" s="192"/>
      <c r="F116" s="193">
        <v>1.92</v>
      </c>
      <c r="G116" s="193"/>
      <c r="H116" s="192"/>
      <c r="I116" s="229">
        <v>5579.109375</v>
      </c>
      <c r="J116" s="210"/>
      <c r="K116" s="194"/>
      <c r="L116" s="194"/>
      <c r="M116" s="194">
        <v>10711.89</v>
      </c>
      <c r="N116" s="194"/>
      <c r="O116" s="211">
        <v>10711.89</v>
      </c>
      <c r="P116" s="447"/>
      <c r="Q116" s="448"/>
      <c r="R116" s="449"/>
      <c r="S116" s="450"/>
      <c r="T116" s="448"/>
      <c r="U116" s="449"/>
      <c r="V116" s="230"/>
      <c r="W116" s="451"/>
      <c r="X116" s="480"/>
      <c r="Y116" s="453"/>
      <c r="AA116" s="479" t="s">
        <v>1056</v>
      </c>
      <c r="AB116" s="446">
        <v>1210</v>
      </c>
      <c r="AC116" s="446">
        <v>5.3650000000000002</v>
      </c>
      <c r="AD116" s="450">
        <v>6491.6500000000005</v>
      </c>
      <c r="AE116" s="446">
        <v>710</v>
      </c>
      <c r="AF116" s="446">
        <v>5.944</v>
      </c>
      <c r="AG116" s="450">
        <v>4220.24</v>
      </c>
      <c r="AH116" s="446"/>
      <c r="AI116" s="446"/>
      <c r="AJ116" s="450">
        <v>0</v>
      </c>
      <c r="AK116" s="767">
        <v>1920</v>
      </c>
      <c r="AL116" s="452">
        <v>5.5791093749999998</v>
      </c>
      <c r="AM116" s="230">
        <v>10711.89</v>
      </c>
    </row>
    <row r="117" spans="1:41" ht="13.5" thickBot="1">
      <c r="A117" s="481"/>
      <c r="B117" s="482" t="s">
        <v>1057</v>
      </c>
      <c r="C117" s="483"/>
      <c r="D117" s="484"/>
      <c r="E117" s="485"/>
      <c r="F117" s="486">
        <v>0</v>
      </c>
      <c r="G117" s="486"/>
      <c r="H117" s="485"/>
      <c r="I117" s="487" t="e">
        <v>#DIV/0!</v>
      </c>
      <c r="J117" s="488"/>
      <c r="K117" s="489"/>
      <c r="L117" s="489"/>
      <c r="M117" s="489">
        <v>0</v>
      </c>
      <c r="N117" s="503"/>
      <c r="O117" s="490">
        <v>0</v>
      </c>
      <c r="P117" s="491"/>
      <c r="Q117" s="492"/>
      <c r="R117" s="493"/>
      <c r="S117" s="494"/>
      <c r="T117" s="492"/>
      <c r="U117" s="493"/>
      <c r="V117" s="495"/>
      <c r="W117" s="496"/>
      <c r="X117" s="497"/>
      <c r="Y117" s="498"/>
      <c r="Z117" s="499"/>
      <c r="AA117" s="482" t="s">
        <v>1057</v>
      </c>
      <c r="AB117" s="767">
        <v>0</v>
      </c>
      <c r="AC117" s="452" t="e">
        <v>#DIV/0!</v>
      </c>
      <c r="AD117" s="450">
        <v>0</v>
      </c>
      <c r="AE117" s="767">
        <v>0</v>
      </c>
      <c r="AF117" s="452" t="e">
        <v>#DIV/0!</v>
      </c>
      <c r="AG117" s="450">
        <v>0</v>
      </c>
      <c r="AH117" s="767">
        <v>0</v>
      </c>
      <c r="AI117" s="452" t="e">
        <v>#DIV/0!</v>
      </c>
      <c r="AJ117" s="450">
        <v>0</v>
      </c>
      <c r="AK117" s="767">
        <v>0</v>
      </c>
      <c r="AL117" s="452" t="e">
        <v>#DIV/0!</v>
      </c>
      <c r="AM117" s="230">
        <v>0</v>
      </c>
      <c r="AN117" s="499"/>
      <c r="AO117" s="499"/>
    </row>
    <row r="118" spans="1:41" ht="13.5" thickBot="1">
      <c r="A118" s="207"/>
      <c r="B118" s="479" t="s">
        <v>1058</v>
      </c>
      <c r="C118" s="225"/>
      <c r="D118" s="215"/>
      <c r="E118" s="192"/>
      <c r="F118" s="193">
        <v>0</v>
      </c>
      <c r="G118" s="193"/>
      <c r="H118" s="192"/>
      <c r="I118" s="229" t="e">
        <v>#DIV/0!</v>
      </c>
      <c r="J118" s="210"/>
      <c r="K118" s="194"/>
      <c r="L118" s="194"/>
      <c r="M118" s="194">
        <v>0</v>
      </c>
      <c r="N118" s="504"/>
      <c r="O118" s="211">
        <v>0</v>
      </c>
      <c r="P118" s="447"/>
      <c r="Q118" s="448"/>
      <c r="R118" s="449"/>
      <c r="S118" s="450"/>
      <c r="T118" s="448"/>
      <c r="U118" s="449"/>
      <c r="V118" s="230"/>
      <c r="W118" s="451"/>
      <c r="X118" s="480"/>
      <c r="Y118" s="453"/>
      <c r="AA118" s="479" t="s">
        <v>1058</v>
      </c>
      <c r="AB118" s="446"/>
      <c r="AC118" s="446"/>
      <c r="AD118" s="450">
        <v>0</v>
      </c>
      <c r="AE118" s="446"/>
      <c r="AF118" s="446"/>
      <c r="AG118" s="450">
        <v>0</v>
      </c>
      <c r="AH118" s="446"/>
      <c r="AI118" s="446"/>
      <c r="AJ118" s="450">
        <v>0</v>
      </c>
      <c r="AK118" s="767">
        <v>0</v>
      </c>
      <c r="AL118" s="452" t="e">
        <v>#DIV/0!</v>
      </c>
      <c r="AM118" s="230">
        <v>0</v>
      </c>
    </row>
    <row r="119" spans="1:41" ht="13.5" thickBot="1">
      <c r="A119" s="460" t="s">
        <v>18</v>
      </c>
      <c r="B119" s="461" t="s">
        <v>868</v>
      </c>
      <c r="C119" s="462" t="e">
        <v>#REF!</v>
      </c>
      <c r="D119" s="463" t="e">
        <v>#REF!</v>
      </c>
      <c r="E119" s="464"/>
      <c r="F119" s="465">
        <v>4.0521000000000003</v>
      </c>
      <c r="G119" s="465"/>
      <c r="H119" s="464"/>
      <c r="I119" s="466"/>
      <c r="J119" s="464"/>
      <c r="K119" s="468"/>
      <c r="L119" s="468"/>
      <c r="M119" s="468">
        <v>22692.260999999999</v>
      </c>
      <c r="N119" s="505"/>
      <c r="O119" s="469">
        <v>22692.260999999999</v>
      </c>
      <c r="P119" s="500" t="s">
        <v>887</v>
      </c>
      <c r="Q119" s="471">
        <v>702.21</v>
      </c>
      <c r="R119" s="472">
        <v>4.6040000000000001</v>
      </c>
      <c r="S119" s="473">
        <v>3232.9748400000003</v>
      </c>
      <c r="T119" s="471">
        <v>419</v>
      </c>
      <c r="U119" s="472">
        <v>4.4880000000000004</v>
      </c>
      <c r="V119" s="474">
        <v>1880.4720000000002</v>
      </c>
      <c r="W119" s="501">
        <v>1121.21</v>
      </c>
      <c r="X119" s="502">
        <v>4.5606504044737388</v>
      </c>
      <c r="Y119" s="474">
        <v>5113.4468400000005</v>
      </c>
      <c r="Z119" s="478"/>
      <c r="AA119" s="768" t="s">
        <v>1281</v>
      </c>
      <c r="AB119" s="1411">
        <v>2406.6</v>
      </c>
      <c r="AC119" s="911">
        <v>5.3650000000000002</v>
      </c>
      <c r="AD119" s="775">
        <v>12911.409</v>
      </c>
      <c r="AE119" s="1411">
        <v>1645.5</v>
      </c>
      <c r="AF119" s="911">
        <v>5.9440000000000008</v>
      </c>
      <c r="AG119" s="775">
        <v>9780.8520000000008</v>
      </c>
      <c r="AH119" s="922">
        <v>0</v>
      </c>
      <c r="AI119" s="911" t="e">
        <v>#DIV/0!</v>
      </c>
      <c r="AJ119" s="775">
        <v>0</v>
      </c>
      <c r="AK119" s="922">
        <v>4052.1</v>
      </c>
      <c r="AL119" s="911">
        <v>5.6001236395942842</v>
      </c>
      <c r="AM119" s="775">
        <v>22692.260999999999</v>
      </c>
      <c r="AN119" s="478"/>
      <c r="AO119" s="478"/>
    </row>
    <row r="120" spans="1:41">
      <c r="A120" s="207"/>
      <c r="B120" s="479" t="s">
        <v>1554</v>
      </c>
      <c r="C120" s="225" t="e">
        <v>#REF!</v>
      </c>
      <c r="D120" s="215" t="e">
        <v>#REF!</v>
      </c>
      <c r="E120" s="192"/>
      <c r="F120" s="193">
        <v>3.7405999999999997</v>
      </c>
      <c r="G120" s="193"/>
      <c r="H120" s="192"/>
      <c r="I120" s="229">
        <v>5597.5689728920488</v>
      </c>
      <c r="J120" s="184"/>
      <c r="K120" s="194"/>
      <c r="L120" s="194"/>
      <c r="M120" s="194">
        <v>20938.266499999998</v>
      </c>
      <c r="N120" s="504"/>
      <c r="O120" s="211">
        <v>20938.266499999998</v>
      </c>
      <c r="P120" s="457" t="s">
        <v>435</v>
      </c>
      <c r="Q120" s="446"/>
      <c r="R120" s="446"/>
      <c r="S120" s="446"/>
      <c r="T120" s="446"/>
      <c r="U120" s="446"/>
      <c r="V120" s="446"/>
      <c r="W120" s="458">
        <v>9943.4700000000012</v>
      </c>
      <c r="X120" s="454"/>
      <c r="Y120" s="459">
        <v>52687.176720000003</v>
      </c>
      <c r="AA120" s="479" t="s">
        <v>1554</v>
      </c>
      <c r="AB120" s="446">
        <v>2238.1</v>
      </c>
      <c r="AC120" s="446">
        <v>5.3650000000000002</v>
      </c>
      <c r="AD120" s="450">
        <v>12007.406499999999</v>
      </c>
      <c r="AE120" s="446">
        <v>1502.5</v>
      </c>
      <c r="AF120" s="446">
        <v>5.944</v>
      </c>
      <c r="AG120" s="450">
        <v>8930.86</v>
      </c>
      <c r="AH120" s="446"/>
      <c r="AI120" s="446"/>
      <c r="AJ120" s="450">
        <v>0</v>
      </c>
      <c r="AK120" s="767">
        <v>3740.6</v>
      </c>
      <c r="AL120" s="452">
        <v>5.5975689728920486</v>
      </c>
      <c r="AM120" s="230">
        <v>20938.266499999998</v>
      </c>
    </row>
    <row r="121" spans="1:41">
      <c r="A121" s="506"/>
      <c r="B121" s="482" t="s">
        <v>1057</v>
      </c>
      <c r="C121" s="507"/>
      <c r="D121" s="508"/>
      <c r="E121" s="509"/>
      <c r="F121" s="486">
        <v>0</v>
      </c>
      <c r="G121" s="510"/>
      <c r="H121" s="509"/>
      <c r="I121" s="487" t="e">
        <v>#DIV/0!</v>
      </c>
      <c r="J121" s="509"/>
      <c r="K121" s="511"/>
      <c r="L121" s="511"/>
      <c r="M121" s="489">
        <v>0</v>
      </c>
      <c r="N121" s="512"/>
      <c r="O121" s="490">
        <v>0</v>
      </c>
      <c r="AA121" s="482" t="s">
        <v>1057</v>
      </c>
      <c r="AB121" s="446"/>
      <c r="AC121" s="446"/>
      <c r="AD121" s="450">
        <v>0</v>
      </c>
      <c r="AE121" s="446"/>
      <c r="AF121" s="446"/>
      <c r="AG121" s="450">
        <v>0</v>
      </c>
      <c r="AH121" s="446"/>
      <c r="AI121" s="446"/>
      <c r="AJ121" s="450">
        <v>0</v>
      </c>
      <c r="AK121" s="767">
        <v>0</v>
      </c>
      <c r="AL121" s="452" t="e">
        <v>#DIV/0!</v>
      </c>
      <c r="AM121" s="230">
        <v>0</v>
      </c>
    </row>
    <row r="122" spans="1:41">
      <c r="A122" s="207"/>
      <c r="B122" s="923" t="s">
        <v>1058</v>
      </c>
      <c r="C122" s="225"/>
      <c r="D122" s="215"/>
      <c r="E122" s="192"/>
      <c r="F122" s="192">
        <v>0.3115</v>
      </c>
      <c r="G122" s="193"/>
      <c r="H122" s="192"/>
      <c r="I122" s="229">
        <v>5630.8009630818624</v>
      </c>
      <c r="J122" s="192"/>
      <c r="K122" s="194"/>
      <c r="L122" s="194"/>
      <c r="M122" s="194">
        <v>1753.9945</v>
      </c>
      <c r="N122" s="504"/>
      <c r="O122" s="211">
        <v>1753.9945</v>
      </c>
      <c r="P122" s="941"/>
      <c r="Q122" s="941"/>
      <c r="R122" s="941"/>
      <c r="S122" s="941"/>
      <c r="T122" s="941"/>
      <c r="U122" s="941"/>
      <c r="V122" s="941"/>
      <c r="W122" s="941"/>
      <c r="X122" s="941"/>
      <c r="Y122" s="941"/>
      <c r="Z122" s="941"/>
      <c r="AA122" s="923" t="s">
        <v>1517</v>
      </c>
      <c r="AB122" s="446"/>
      <c r="AC122" s="446"/>
      <c r="AD122" s="230">
        <v>0</v>
      </c>
      <c r="AE122" s="446"/>
      <c r="AF122" s="446"/>
      <c r="AG122" s="230">
        <v>0</v>
      </c>
      <c r="AH122" s="446"/>
      <c r="AI122" s="446"/>
      <c r="AJ122" s="230">
        <v>0</v>
      </c>
      <c r="AK122" s="767">
        <v>0</v>
      </c>
      <c r="AL122" s="452" t="e">
        <v>#DIV/0!</v>
      </c>
      <c r="AM122" s="230">
        <v>0</v>
      </c>
    </row>
    <row r="123" spans="1:41" ht="13.5" thickBot="1">
      <c r="A123" s="934"/>
      <c r="B123" s="927"/>
      <c r="C123" s="935"/>
      <c r="D123" s="936"/>
      <c r="E123" s="937"/>
      <c r="F123" s="938"/>
      <c r="G123" s="938"/>
      <c r="H123" s="937"/>
      <c r="I123" s="939"/>
      <c r="J123" s="937"/>
      <c r="K123" s="940"/>
      <c r="L123" s="940"/>
      <c r="M123" s="940"/>
      <c r="N123" s="940"/>
      <c r="O123" s="940"/>
      <c r="AA123" s="927" t="s">
        <v>1518</v>
      </c>
      <c r="AB123" s="928">
        <v>168.5</v>
      </c>
      <c r="AC123" s="928">
        <v>5.3650000000000002</v>
      </c>
      <c r="AD123" s="929">
        <v>904.00250000000005</v>
      </c>
      <c r="AE123" s="928">
        <v>143</v>
      </c>
      <c r="AF123" s="928">
        <v>5.944</v>
      </c>
      <c r="AG123" s="929">
        <v>849.99199999999996</v>
      </c>
      <c r="AH123" s="928"/>
      <c r="AI123" s="928"/>
      <c r="AJ123" s="929">
        <v>0</v>
      </c>
      <c r="AK123" s="930">
        <v>311.5</v>
      </c>
      <c r="AL123" s="931">
        <v>5.6308009630818621</v>
      </c>
      <c r="AM123" s="929">
        <v>1753.9945</v>
      </c>
    </row>
    <row r="124" spans="1:41">
      <c r="A124" s="1795" t="s">
        <v>1699</v>
      </c>
      <c r="B124" s="1796"/>
      <c r="C124" s="1796"/>
      <c r="D124" s="1796"/>
      <c r="E124" s="1796"/>
      <c r="F124" s="1796"/>
      <c r="G124" s="1796"/>
      <c r="H124" s="1796"/>
      <c r="I124" s="1796"/>
      <c r="J124" s="1796"/>
      <c r="K124" s="1796"/>
      <c r="L124" s="1796"/>
      <c r="M124" s="1796"/>
      <c r="N124" s="1796"/>
      <c r="O124" s="1798"/>
      <c r="AB124" s="1799" t="s">
        <v>767</v>
      </c>
      <c r="AC124" s="1806"/>
      <c r="AD124" s="1807"/>
      <c r="AE124" s="1799" t="s">
        <v>766</v>
      </c>
      <c r="AF124" s="1808"/>
      <c r="AG124" s="1809"/>
      <c r="AH124" s="1799"/>
      <c r="AI124" s="1808"/>
      <c r="AJ124" s="1809"/>
      <c r="AK124" s="1799" t="s">
        <v>1051</v>
      </c>
      <c r="AL124" s="1808"/>
      <c r="AM124" s="1809"/>
    </row>
    <row r="125" spans="1:41" ht="24.75" customHeight="1" thickBot="1">
      <c r="A125" s="207">
        <v>1</v>
      </c>
      <c r="B125" s="218" t="s">
        <v>863</v>
      </c>
      <c r="C125" s="222" t="e">
        <v>#REF!</v>
      </c>
      <c r="D125" s="222" t="e">
        <v>#REF!</v>
      </c>
      <c r="E125" s="187"/>
      <c r="F125" s="188">
        <v>21.406524999999998</v>
      </c>
      <c r="G125" s="188"/>
      <c r="H125" s="187"/>
      <c r="I125" s="187"/>
      <c r="J125" s="187"/>
      <c r="K125" s="189"/>
      <c r="L125" s="189"/>
      <c r="M125" s="189">
        <v>118307.45407200002</v>
      </c>
      <c r="N125" s="189"/>
      <c r="O125" s="213">
        <v>118307.45407200002</v>
      </c>
      <c r="AA125" s="443" t="s">
        <v>1285</v>
      </c>
      <c r="AB125" s="942" t="s">
        <v>1519</v>
      </c>
      <c r="AC125" s="1802" t="s">
        <v>417</v>
      </c>
      <c r="AD125" s="446" t="s">
        <v>1054</v>
      </c>
      <c r="AE125" s="942" t="s">
        <v>1519</v>
      </c>
      <c r="AF125" s="1802" t="s">
        <v>417</v>
      </c>
      <c r="AG125" s="446" t="s">
        <v>1054</v>
      </c>
      <c r="AH125" s="942" t="s">
        <v>1519</v>
      </c>
      <c r="AI125" s="1802" t="s">
        <v>417</v>
      </c>
      <c r="AJ125" s="446" t="s">
        <v>1054</v>
      </c>
      <c r="AK125" s="942" t="s">
        <v>1519</v>
      </c>
      <c r="AL125" s="1802" t="s">
        <v>417</v>
      </c>
      <c r="AM125" s="446" t="s">
        <v>1054</v>
      </c>
      <c r="AN125" s="181" t="s">
        <v>1282</v>
      </c>
    </row>
    <row r="126" spans="1:41" ht="13.5" thickBot="1">
      <c r="A126" s="207" t="s">
        <v>5</v>
      </c>
      <c r="B126" s="208" t="s">
        <v>1870</v>
      </c>
      <c r="C126" s="209"/>
      <c r="D126" s="209"/>
      <c r="E126" s="192"/>
      <c r="F126" s="210">
        <v>18.824317999999998</v>
      </c>
      <c r="G126" s="193"/>
      <c r="H126" s="192"/>
      <c r="I126" s="229">
        <v>5593.8073510020395</v>
      </c>
      <c r="J126" s="192">
        <v>5.3924651823909073</v>
      </c>
      <c r="K126" s="194"/>
      <c r="L126" s="194"/>
      <c r="M126" s="194">
        <v>105299.60840600001</v>
      </c>
      <c r="N126" s="194"/>
      <c r="O126" s="211">
        <v>105299.60840600001</v>
      </c>
      <c r="AA126" s="447" t="s">
        <v>864</v>
      </c>
      <c r="AB126" s="456">
        <v>11499.245999999999</v>
      </c>
      <c r="AC126" s="933">
        <v>5.3650000000000011</v>
      </c>
      <c r="AD126" s="450">
        <v>61693.454790000003</v>
      </c>
      <c r="AE126" s="456">
        <v>7325.0720000000001</v>
      </c>
      <c r="AF126" s="933">
        <v>5.9530000000000003</v>
      </c>
      <c r="AG126" s="450">
        <v>43606.153616000003</v>
      </c>
      <c r="AH126" s="448">
        <v>0</v>
      </c>
      <c r="AI126" s="933" t="e">
        <v>#DIV/0!</v>
      </c>
      <c r="AJ126" s="450">
        <v>0</v>
      </c>
      <c r="AK126" s="456">
        <v>18824.317999999999</v>
      </c>
      <c r="AL126" s="933">
        <v>5.5938073510020399</v>
      </c>
      <c r="AM126" s="230">
        <v>105299.60840600001</v>
      </c>
    </row>
    <row r="127" spans="1:41" ht="13.5" thickBot="1">
      <c r="A127" s="207" t="s">
        <v>6</v>
      </c>
      <c r="B127" s="228" t="s">
        <v>887</v>
      </c>
      <c r="C127" s="208"/>
      <c r="D127" s="231"/>
      <c r="E127" s="184"/>
      <c r="F127" s="193">
        <v>2.5822069999999999</v>
      </c>
      <c r="G127" s="193"/>
      <c r="H127" s="184"/>
      <c r="I127" s="229">
        <v>5037.4914427851836</v>
      </c>
      <c r="J127" s="192"/>
      <c r="K127" s="184"/>
      <c r="L127" s="184"/>
      <c r="M127" s="194">
        <v>13007.845666000001</v>
      </c>
      <c r="N127" s="184"/>
      <c r="O127" s="211">
        <v>13007.845666000001</v>
      </c>
      <c r="AA127" s="228" t="s">
        <v>1515</v>
      </c>
      <c r="AB127" s="456">
        <v>1037.925</v>
      </c>
      <c r="AC127" s="449">
        <v>4.55</v>
      </c>
      <c r="AD127" s="450">
        <v>4722.5587499999992</v>
      </c>
      <c r="AE127" s="456">
        <v>794.28200000000004</v>
      </c>
      <c r="AF127" s="449">
        <v>5.1379999999999999</v>
      </c>
      <c r="AG127" s="230">
        <v>4081.0209159999999</v>
      </c>
      <c r="AH127" s="448"/>
      <c r="AI127" s="449"/>
      <c r="AJ127" s="230">
        <v>0</v>
      </c>
      <c r="AK127" s="453">
        <v>1832.2069999999999</v>
      </c>
      <c r="AL127" s="480">
        <v>4.8049045036941784</v>
      </c>
      <c r="AM127" s="453">
        <v>8803.5796659999996</v>
      </c>
    </row>
    <row r="128" spans="1:41" ht="13.5" thickBot="1">
      <c r="A128" s="207" t="s">
        <v>7</v>
      </c>
      <c r="B128" s="208" t="s">
        <v>432</v>
      </c>
      <c r="C128" s="208"/>
      <c r="D128" s="231"/>
      <c r="E128" s="184"/>
      <c r="F128" s="193"/>
      <c r="G128" s="184"/>
      <c r="H128" s="184"/>
      <c r="I128" s="229"/>
      <c r="J128" s="192"/>
      <c r="K128" s="184"/>
      <c r="L128" s="184"/>
      <c r="M128" s="194"/>
      <c r="N128" s="184"/>
      <c r="O128" s="211">
        <v>0</v>
      </c>
      <c r="Q128" s="1799" t="s">
        <v>767</v>
      </c>
      <c r="R128" s="1800"/>
      <c r="S128" s="1801"/>
      <c r="T128" s="1802" t="s">
        <v>766</v>
      </c>
      <c r="U128" s="1803"/>
      <c r="V128" s="1804"/>
      <c r="W128" s="1802" t="s">
        <v>1051</v>
      </c>
      <c r="X128" s="1803"/>
      <c r="Y128" s="1804"/>
      <c r="AA128" s="228" t="s">
        <v>1516</v>
      </c>
      <c r="AB128" s="456">
        <v>443</v>
      </c>
      <c r="AC128" s="449">
        <v>5.3650000000000002</v>
      </c>
      <c r="AD128" s="450">
        <v>2376.6950000000002</v>
      </c>
      <c r="AE128" s="456">
        <v>307</v>
      </c>
      <c r="AF128" s="933">
        <v>5.9530000000000003</v>
      </c>
      <c r="AG128" s="230">
        <v>1827.5710000000001</v>
      </c>
      <c r="AH128" s="448"/>
      <c r="AI128" s="449"/>
      <c r="AJ128" s="230">
        <v>0</v>
      </c>
      <c r="AK128" s="230">
        <v>750</v>
      </c>
      <c r="AL128" s="452">
        <v>5.6056880000000007</v>
      </c>
      <c r="AM128" s="230">
        <v>4204.2660000000005</v>
      </c>
      <c r="AN128" s="776">
        <v>0</v>
      </c>
      <c r="AO128" s="777" t="s">
        <v>1283</v>
      </c>
    </row>
    <row r="129" spans="1:41" ht="14.25" thickBot="1">
      <c r="A129" s="207" t="s">
        <v>11</v>
      </c>
      <c r="B129" s="212" t="s">
        <v>865</v>
      </c>
      <c r="C129" s="208"/>
      <c r="D129" s="231"/>
      <c r="E129" s="184">
        <v>0</v>
      </c>
      <c r="F129" s="184"/>
      <c r="G129" s="184"/>
      <c r="H129" s="184"/>
      <c r="I129" s="192"/>
      <c r="J129" s="229"/>
      <c r="K129" s="184"/>
      <c r="L129" s="184"/>
      <c r="M129" s="184"/>
      <c r="N129" s="184"/>
      <c r="O129" s="211"/>
      <c r="P129" s="443" t="s">
        <v>1052</v>
      </c>
      <c r="Q129" s="444" t="s">
        <v>1053</v>
      </c>
      <c r="R129" s="1802" t="s">
        <v>417</v>
      </c>
      <c r="S129" s="446" t="s">
        <v>1054</v>
      </c>
      <c r="T129" s="444" t="s">
        <v>1053</v>
      </c>
      <c r="U129" s="1802" t="s">
        <v>417</v>
      </c>
      <c r="V129" s="446" t="s">
        <v>1054</v>
      </c>
      <c r="W129" s="1802" t="s">
        <v>1053</v>
      </c>
      <c r="X129" s="1802" t="s">
        <v>417</v>
      </c>
      <c r="Y129" s="446" t="s">
        <v>1054</v>
      </c>
      <c r="AA129" s="457" t="s">
        <v>435</v>
      </c>
      <c r="AB129" s="230">
        <v>12980.170999999998</v>
      </c>
      <c r="AC129" s="452">
        <v>5.2998306832783646</v>
      </c>
      <c r="AD129" s="230">
        <v>68792.708540000007</v>
      </c>
      <c r="AE129" s="230">
        <v>8426.3539999999994</v>
      </c>
      <c r="AF129" s="452">
        <v>5.8761767582990236</v>
      </c>
      <c r="AG129" s="230">
        <v>49514.745532000008</v>
      </c>
      <c r="AH129" s="767">
        <v>0</v>
      </c>
      <c r="AI129" s="446" t="e">
        <v>#DIV/0!</v>
      </c>
      <c r="AJ129" s="230">
        <v>0</v>
      </c>
      <c r="AK129" s="459">
        <v>21406.524999999998</v>
      </c>
      <c r="AL129" s="912">
        <v>5.5267005771371132</v>
      </c>
      <c r="AM129" s="459">
        <v>118307.45407200002</v>
      </c>
      <c r="AN129" s="778">
        <v>0</v>
      </c>
      <c r="AO129" s="777" t="s">
        <v>1284</v>
      </c>
    </row>
    <row r="130" spans="1:41" ht="13.5" thickBot="1">
      <c r="A130" s="460" t="s">
        <v>12</v>
      </c>
      <c r="B130" s="461" t="s">
        <v>866</v>
      </c>
      <c r="C130" s="462" t="e">
        <v>#REF!</v>
      </c>
      <c r="D130" s="463" t="e">
        <v>#REF!</v>
      </c>
      <c r="E130" s="464"/>
      <c r="F130" s="465">
        <v>20.901207000000003</v>
      </c>
      <c r="G130" s="465"/>
      <c r="H130" s="464"/>
      <c r="I130" s="466"/>
      <c r="J130" s="467">
        <v>5.3924651823909073</v>
      </c>
      <c r="K130" s="468"/>
      <c r="L130" s="468"/>
      <c r="M130" s="468">
        <v>115435.26866600002</v>
      </c>
      <c r="N130" s="468"/>
      <c r="O130" s="469">
        <v>115435.26866600002</v>
      </c>
      <c r="P130" s="470" t="s">
        <v>864</v>
      </c>
      <c r="Q130" s="471">
        <v>5740.8600000000006</v>
      </c>
      <c r="R130" s="472">
        <v>5.4480000000000004</v>
      </c>
      <c r="S130" s="473">
        <v>31276.205280000006</v>
      </c>
      <c r="T130" s="471">
        <v>3081.4</v>
      </c>
      <c r="U130" s="472">
        <v>5.2889999999999997</v>
      </c>
      <c r="V130" s="474">
        <v>16297.524599999999</v>
      </c>
      <c r="W130" s="475">
        <v>8822.26</v>
      </c>
      <c r="X130" s="476">
        <v>5.3924651823909073</v>
      </c>
      <c r="Y130" s="477">
        <v>47573.729880000006</v>
      </c>
      <c r="Z130" s="478"/>
      <c r="AA130" s="768" t="s">
        <v>1280</v>
      </c>
      <c r="AB130" s="230">
        <v>12748.924999999999</v>
      </c>
      <c r="AC130" s="911">
        <v>5.2986486115496021</v>
      </c>
      <c r="AD130" s="775">
        <v>67552.07375000001</v>
      </c>
      <c r="AE130" s="230">
        <v>8152.2820000000002</v>
      </c>
      <c r="AF130" s="911">
        <v>5.8735940336705719</v>
      </c>
      <c r="AG130" s="775">
        <v>47883.194916</v>
      </c>
      <c r="AH130" s="774">
        <v>0</v>
      </c>
      <c r="AI130" s="774" t="e">
        <v>#DIV/0!</v>
      </c>
      <c r="AJ130" s="775">
        <v>0</v>
      </c>
      <c r="AK130" s="775">
        <v>20901.207000000002</v>
      </c>
      <c r="AL130" s="911">
        <v>5.5228996423986425</v>
      </c>
      <c r="AM130" s="775">
        <v>115435.26866600002</v>
      </c>
      <c r="AN130" s="779">
        <v>21406.525000000001</v>
      </c>
      <c r="AO130" s="181" t="s">
        <v>1283</v>
      </c>
    </row>
    <row r="131" spans="1:41" ht="13.5" thickBot="1">
      <c r="A131" s="207"/>
      <c r="B131" s="479" t="s">
        <v>1055</v>
      </c>
      <c r="C131" s="225"/>
      <c r="D131" s="215"/>
      <c r="E131" s="192"/>
      <c r="F131" s="193">
        <v>16.507000000000001</v>
      </c>
      <c r="G131" s="193"/>
      <c r="H131" s="192"/>
      <c r="I131" s="229">
        <v>5591.7648876234325</v>
      </c>
      <c r="J131" s="210"/>
      <c r="K131" s="194"/>
      <c r="L131" s="194"/>
      <c r="M131" s="194">
        <v>92303.263000000006</v>
      </c>
      <c r="N131" s="194"/>
      <c r="O131" s="211">
        <v>92303.263000000006</v>
      </c>
      <c r="P131" s="447"/>
      <c r="Q131" s="448"/>
      <c r="R131" s="449"/>
      <c r="S131" s="450"/>
      <c r="T131" s="448"/>
      <c r="U131" s="449"/>
      <c r="V131" s="230"/>
      <c r="W131" s="451"/>
      <c r="X131" s="480"/>
      <c r="Y131" s="453"/>
      <c r="AA131" s="479" t="s">
        <v>1055</v>
      </c>
      <c r="AB131" s="230">
        <v>10141</v>
      </c>
      <c r="AC131" s="446">
        <v>5.3650000000000002</v>
      </c>
      <c r="AD131" s="450">
        <v>54406.465000000004</v>
      </c>
      <c r="AE131" s="230">
        <v>6366</v>
      </c>
      <c r="AF131" s="933">
        <v>5.9530000000000003</v>
      </c>
      <c r="AG131" s="450">
        <v>37896.798000000003</v>
      </c>
      <c r="AH131" s="446"/>
      <c r="AI131" s="446"/>
      <c r="AJ131" s="450">
        <v>0</v>
      </c>
      <c r="AK131" s="230">
        <v>16507</v>
      </c>
      <c r="AL131" s="452">
        <v>5.5917648876234329</v>
      </c>
      <c r="AM131" s="230">
        <v>92303.263000000006</v>
      </c>
      <c r="AN131" s="608">
        <v>118307.45407200002</v>
      </c>
      <c r="AO131" s="181" t="s">
        <v>1284</v>
      </c>
    </row>
    <row r="132" spans="1:41" ht="13.5" thickBot="1">
      <c r="A132" s="207"/>
      <c r="B132" s="479" t="s">
        <v>1056</v>
      </c>
      <c r="C132" s="225"/>
      <c r="D132" s="215"/>
      <c r="E132" s="192"/>
      <c r="F132" s="193">
        <v>1.8120000000000001</v>
      </c>
      <c r="G132" s="193"/>
      <c r="H132" s="192"/>
      <c r="I132" s="229">
        <v>5587.28476821192</v>
      </c>
      <c r="J132" s="210"/>
      <c r="K132" s="194"/>
      <c r="L132" s="194"/>
      <c r="M132" s="194">
        <v>10124.16</v>
      </c>
      <c r="N132" s="194"/>
      <c r="O132" s="211">
        <v>10124.16</v>
      </c>
      <c r="P132" s="447"/>
      <c r="Q132" s="448"/>
      <c r="R132" s="449"/>
      <c r="S132" s="450"/>
      <c r="T132" s="448"/>
      <c r="U132" s="449"/>
      <c r="V132" s="230"/>
      <c r="W132" s="451"/>
      <c r="X132" s="480"/>
      <c r="Y132" s="453"/>
      <c r="AA132" s="479" t="s">
        <v>1056</v>
      </c>
      <c r="AB132" s="230">
        <v>1127</v>
      </c>
      <c r="AC132" s="446">
        <v>5.3650000000000002</v>
      </c>
      <c r="AD132" s="450">
        <v>6046.3550000000005</v>
      </c>
      <c r="AE132" s="230">
        <v>685</v>
      </c>
      <c r="AF132" s="933">
        <v>5.9530000000000003</v>
      </c>
      <c r="AG132" s="450">
        <v>4077.8050000000003</v>
      </c>
      <c r="AH132" s="446"/>
      <c r="AI132" s="446"/>
      <c r="AJ132" s="450">
        <v>0</v>
      </c>
      <c r="AK132" s="230">
        <v>1812</v>
      </c>
      <c r="AL132" s="452">
        <v>5.5872847682119202</v>
      </c>
      <c r="AM132" s="230">
        <v>10124.16</v>
      </c>
    </row>
    <row r="133" spans="1:41" ht="13.5" thickBot="1">
      <c r="A133" s="481"/>
      <c r="B133" s="482" t="s">
        <v>1057</v>
      </c>
      <c r="C133" s="483"/>
      <c r="D133" s="484"/>
      <c r="E133" s="485"/>
      <c r="F133" s="486">
        <v>2.5822070000000004</v>
      </c>
      <c r="G133" s="486"/>
      <c r="H133" s="485"/>
      <c r="I133" s="487">
        <v>5037.4914427851827</v>
      </c>
      <c r="J133" s="488"/>
      <c r="K133" s="489"/>
      <c r="L133" s="489"/>
      <c r="M133" s="489">
        <v>13007.845666000001</v>
      </c>
      <c r="N133" s="503"/>
      <c r="O133" s="490">
        <v>13007.845666000001</v>
      </c>
      <c r="P133" s="491"/>
      <c r="Q133" s="492"/>
      <c r="R133" s="493"/>
      <c r="S133" s="494"/>
      <c r="T133" s="492"/>
      <c r="U133" s="493"/>
      <c r="V133" s="495"/>
      <c r="W133" s="496"/>
      <c r="X133" s="497"/>
      <c r="Y133" s="498"/>
      <c r="Z133" s="499"/>
      <c r="AA133" s="482" t="s">
        <v>1057</v>
      </c>
      <c r="AB133" s="230">
        <v>1480.925</v>
      </c>
      <c r="AC133" s="452">
        <v>4.7937969512298055</v>
      </c>
      <c r="AD133" s="450">
        <v>7099.2537499999999</v>
      </c>
      <c r="AE133" s="230">
        <v>1101.2820000000002</v>
      </c>
      <c r="AF133" s="452">
        <v>5.3651943062721443</v>
      </c>
      <c r="AG133" s="450">
        <v>5908.5919160000003</v>
      </c>
      <c r="AH133" s="767">
        <v>0</v>
      </c>
      <c r="AI133" s="452" t="e">
        <v>#DIV/0!</v>
      </c>
      <c r="AJ133" s="450">
        <v>0</v>
      </c>
      <c r="AK133" s="230">
        <v>2582.2070000000003</v>
      </c>
      <c r="AL133" s="452">
        <v>5.0374914427851829</v>
      </c>
      <c r="AM133" s="230">
        <v>13007.845666000001</v>
      </c>
      <c r="AN133" s="499"/>
      <c r="AO133" s="499"/>
    </row>
    <row r="134" spans="1:41" ht="13.5" thickBot="1">
      <c r="A134" s="207"/>
      <c r="B134" s="479" t="s">
        <v>1058</v>
      </c>
      <c r="C134" s="225"/>
      <c r="D134" s="215"/>
      <c r="E134" s="192"/>
      <c r="F134" s="193">
        <v>0</v>
      </c>
      <c r="G134" s="193"/>
      <c r="H134" s="192"/>
      <c r="I134" s="229" t="e">
        <v>#DIV/0!</v>
      </c>
      <c r="J134" s="210"/>
      <c r="K134" s="194"/>
      <c r="L134" s="194"/>
      <c r="M134" s="194">
        <v>0</v>
      </c>
      <c r="N134" s="504"/>
      <c r="O134" s="211">
        <v>0</v>
      </c>
      <c r="P134" s="447"/>
      <c r="Q134" s="448"/>
      <c r="R134" s="449"/>
      <c r="S134" s="450"/>
      <c r="T134" s="448"/>
      <c r="U134" s="449"/>
      <c r="V134" s="230"/>
      <c r="W134" s="451"/>
      <c r="X134" s="480"/>
      <c r="Y134" s="453"/>
      <c r="AA134" s="479" t="s">
        <v>1058</v>
      </c>
      <c r="AB134" s="446"/>
      <c r="AC134" s="446">
        <v>5.3650000000000002</v>
      </c>
      <c r="AD134" s="450">
        <v>0</v>
      </c>
      <c r="AE134" s="446"/>
      <c r="AF134" s="933">
        <v>5.9530000000000003</v>
      </c>
      <c r="AG134" s="450">
        <v>0</v>
      </c>
      <c r="AH134" s="446"/>
      <c r="AI134" s="446"/>
      <c r="AJ134" s="450">
        <v>0</v>
      </c>
      <c r="AK134" s="230">
        <v>0</v>
      </c>
      <c r="AL134" s="452" t="e">
        <v>#DIV/0!</v>
      </c>
      <c r="AM134" s="230">
        <v>0</v>
      </c>
    </row>
    <row r="135" spans="1:41" ht="13.5" thickBot="1">
      <c r="A135" s="460" t="s">
        <v>18</v>
      </c>
      <c r="B135" s="461" t="s">
        <v>868</v>
      </c>
      <c r="C135" s="462" t="e">
        <v>#REF!</v>
      </c>
      <c r="D135" s="463" t="e">
        <v>#REF!</v>
      </c>
      <c r="E135" s="464"/>
      <c r="F135" s="465">
        <v>0.50531799999999993</v>
      </c>
      <c r="G135" s="465"/>
      <c r="H135" s="464"/>
      <c r="I135" s="466"/>
      <c r="J135" s="464"/>
      <c r="K135" s="468"/>
      <c r="L135" s="468"/>
      <c r="M135" s="468">
        <v>2872.1854060000001</v>
      </c>
      <c r="N135" s="505"/>
      <c r="O135" s="469">
        <v>2872.1854060000001</v>
      </c>
      <c r="P135" s="500" t="s">
        <v>887</v>
      </c>
      <c r="Q135" s="471">
        <v>702.21</v>
      </c>
      <c r="R135" s="472">
        <v>4.6040000000000001</v>
      </c>
      <c r="S135" s="473">
        <v>3232.9748400000003</v>
      </c>
      <c r="T135" s="471">
        <v>419</v>
      </c>
      <c r="U135" s="472">
        <v>4.4880000000000004</v>
      </c>
      <c r="V135" s="474">
        <v>1880.4720000000002</v>
      </c>
      <c r="W135" s="501">
        <v>1121.21</v>
      </c>
      <c r="X135" s="502">
        <v>4.5606504044737388</v>
      </c>
      <c r="Y135" s="474">
        <v>5113.4468400000005</v>
      </c>
      <c r="Z135" s="478"/>
      <c r="AA135" s="768" t="s">
        <v>1281</v>
      </c>
      <c r="AB135" s="775">
        <v>231.24600000000001</v>
      </c>
      <c r="AC135" s="911">
        <v>5.3650000000000002</v>
      </c>
      <c r="AD135" s="775">
        <v>1240.6347900000001</v>
      </c>
      <c r="AE135" s="775">
        <v>274.072</v>
      </c>
      <c r="AF135" s="911">
        <v>5.9530000000000003</v>
      </c>
      <c r="AG135" s="775">
        <v>1631.550616</v>
      </c>
      <c r="AH135" s="922">
        <v>0</v>
      </c>
      <c r="AI135" s="911" t="e">
        <v>#DIV/0!</v>
      </c>
      <c r="AJ135" s="775">
        <v>0</v>
      </c>
      <c r="AK135" s="775">
        <v>505.31799999999998</v>
      </c>
      <c r="AL135" s="911">
        <v>5.6839166742526492</v>
      </c>
      <c r="AM135" s="775">
        <v>2872.1854060000001</v>
      </c>
      <c r="AN135" s="478"/>
      <c r="AO135" s="478"/>
    </row>
    <row r="136" spans="1:41">
      <c r="A136" s="207"/>
      <c r="B136" s="479" t="s">
        <v>1554</v>
      </c>
      <c r="C136" s="225" t="e">
        <v>#REF!</v>
      </c>
      <c r="D136" s="215" t="e">
        <v>#REF!</v>
      </c>
      <c r="E136" s="192"/>
      <c r="F136" s="193">
        <v>0</v>
      </c>
      <c r="G136" s="193"/>
      <c r="H136" s="192"/>
      <c r="I136" s="229" t="e">
        <v>#DIV/0!</v>
      </c>
      <c r="J136" s="184"/>
      <c r="K136" s="194"/>
      <c r="L136" s="194"/>
      <c r="M136" s="194">
        <v>0</v>
      </c>
      <c r="N136" s="504"/>
      <c r="O136" s="211">
        <v>0</v>
      </c>
      <c r="P136" s="457" t="s">
        <v>435</v>
      </c>
      <c r="Q136" s="446"/>
      <c r="R136" s="446"/>
      <c r="S136" s="446"/>
      <c r="T136" s="446"/>
      <c r="U136" s="446"/>
      <c r="V136" s="446"/>
      <c r="W136" s="458">
        <v>9943.4700000000012</v>
      </c>
      <c r="X136" s="454"/>
      <c r="Y136" s="459">
        <v>52687.176720000003</v>
      </c>
      <c r="AA136" s="479" t="s">
        <v>1554</v>
      </c>
      <c r="AB136" s="1417"/>
      <c r="AC136" s="446">
        <v>5.3650000000000002</v>
      </c>
      <c r="AD136" s="450">
        <v>0</v>
      </c>
      <c r="AE136" s="1417"/>
      <c r="AF136" s="933">
        <v>5.9530000000000003</v>
      </c>
      <c r="AG136" s="450">
        <v>0</v>
      </c>
      <c r="AH136" s="446"/>
      <c r="AI136" s="446"/>
      <c r="AJ136" s="450">
        <v>0</v>
      </c>
      <c r="AK136" s="230">
        <v>0</v>
      </c>
      <c r="AL136" s="452" t="e">
        <v>#DIV/0!</v>
      </c>
      <c r="AM136" s="230">
        <v>0</v>
      </c>
    </row>
    <row r="137" spans="1:41">
      <c r="A137" s="506"/>
      <c r="B137" s="482" t="s">
        <v>1057</v>
      </c>
      <c r="C137" s="507"/>
      <c r="D137" s="508"/>
      <c r="E137" s="509"/>
      <c r="F137" s="486">
        <v>0</v>
      </c>
      <c r="G137" s="510"/>
      <c r="H137" s="509"/>
      <c r="I137" s="487" t="e">
        <v>#DIV/0!</v>
      </c>
      <c r="J137" s="509"/>
      <c r="K137" s="511"/>
      <c r="L137" s="511"/>
      <c r="M137" s="489">
        <v>0</v>
      </c>
      <c r="N137" s="512"/>
      <c r="O137" s="490">
        <v>0</v>
      </c>
      <c r="AA137" s="482" t="s">
        <v>1057</v>
      </c>
      <c r="AB137" s="446"/>
      <c r="AC137" s="446"/>
      <c r="AD137" s="450">
        <v>0</v>
      </c>
      <c r="AE137" s="446"/>
      <c r="AF137" s="446"/>
      <c r="AG137" s="450">
        <v>0</v>
      </c>
      <c r="AH137" s="446"/>
      <c r="AI137" s="446"/>
      <c r="AJ137" s="450">
        <v>0</v>
      </c>
      <c r="AK137" s="230">
        <v>0</v>
      </c>
      <c r="AL137" s="452" t="e">
        <v>#DIV/0!</v>
      </c>
      <c r="AM137" s="230">
        <v>0</v>
      </c>
    </row>
    <row r="138" spans="1:41">
      <c r="A138" s="207"/>
      <c r="B138" s="923" t="s">
        <v>1058</v>
      </c>
      <c r="C138" s="225"/>
      <c r="D138" s="215"/>
      <c r="E138" s="192"/>
      <c r="F138" s="192">
        <v>0.50531799999999993</v>
      </c>
      <c r="G138" s="193"/>
      <c r="H138" s="192"/>
      <c r="I138" s="229">
        <v>5683.9166742526495</v>
      </c>
      <c r="J138" s="192"/>
      <c r="K138" s="194"/>
      <c r="L138" s="194"/>
      <c r="M138" s="194">
        <v>2872.1854060000001</v>
      </c>
      <c r="N138" s="504"/>
      <c r="O138" s="211">
        <v>2872.1854060000001</v>
      </c>
      <c r="P138" s="941"/>
      <c r="Q138" s="941"/>
      <c r="R138" s="941"/>
      <c r="S138" s="941"/>
      <c r="T138" s="941"/>
      <c r="U138" s="941"/>
      <c r="V138" s="941"/>
      <c r="W138" s="941"/>
      <c r="X138" s="941"/>
      <c r="Y138" s="941"/>
      <c r="Z138" s="941"/>
      <c r="AA138" s="923" t="s">
        <v>1058</v>
      </c>
      <c r="AB138" s="446"/>
      <c r="AC138" s="446"/>
      <c r="AD138" s="230">
        <v>0</v>
      </c>
      <c r="AE138" s="446"/>
      <c r="AF138" s="446"/>
      <c r="AG138" s="230">
        <v>0</v>
      </c>
      <c r="AH138" s="446"/>
      <c r="AI138" s="446"/>
      <c r="AJ138" s="230">
        <v>0</v>
      </c>
      <c r="AK138" s="230">
        <v>0</v>
      </c>
      <c r="AL138" s="452" t="e">
        <v>#DIV/0!</v>
      </c>
      <c r="AM138" s="230">
        <v>0</v>
      </c>
    </row>
    <row r="139" spans="1:41" ht="13.5" thickBot="1">
      <c r="A139" s="934"/>
      <c r="B139" s="927"/>
      <c r="C139" s="935"/>
      <c r="D139" s="936"/>
      <c r="E139" s="937"/>
      <c r="F139" s="938"/>
      <c r="G139" s="938"/>
      <c r="H139" s="937"/>
      <c r="I139" s="939"/>
      <c r="J139" s="937"/>
      <c r="K139" s="940"/>
      <c r="L139" s="940"/>
      <c r="M139" s="940"/>
      <c r="N139" s="940"/>
      <c r="O139" s="940"/>
      <c r="AA139" s="927" t="s">
        <v>1518</v>
      </c>
      <c r="AB139" s="1425">
        <v>231.24600000000001</v>
      </c>
      <c r="AC139" s="1418">
        <v>5.3650000000000002</v>
      </c>
      <c r="AD139" s="1420">
        <v>1240.6347900000001</v>
      </c>
      <c r="AE139" s="1425">
        <v>274.072</v>
      </c>
      <c r="AF139" s="1419">
        <v>5.9530000000000003</v>
      </c>
      <c r="AG139" s="1420">
        <v>1631.550616</v>
      </c>
      <c r="AH139" s="1418"/>
      <c r="AI139" s="1418"/>
      <c r="AJ139" s="1420">
        <v>0</v>
      </c>
      <c r="AK139" s="1424">
        <v>505.31799999999998</v>
      </c>
      <c r="AL139" s="1423">
        <v>5.6839166742526492</v>
      </c>
      <c r="AM139" s="1424">
        <v>2872.1854060000001</v>
      </c>
    </row>
    <row r="140" spans="1:41">
      <c r="A140" s="1795" t="s">
        <v>1700</v>
      </c>
      <c r="B140" s="1796"/>
      <c r="C140" s="1796"/>
      <c r="D140" s="1796"/>
      <c r="E140" s="1796"/>
      <c r="F140" s="1797"/>
      <c r="G140" s="1796"/>
      <c r="H140" s="1796"/>
      <c r="I140" s="1797"/>
      <c r="J140" s="1796"/>
      <c r="K140" s="1796"/>
      <c r="L140" s="1796"/>
      <c r="M140" s="1797"/>
      <c r="N140" s="1796"/>
      <c r="O140" s="1798"/>
      <c r="AB140" s="1810" t="s">
        <v>767</v>
      </c>
      <c r="AC140" s="1811"/>
      <c r="AD140" s="1812"/>
      <c r="AE140" s="1810" t="s">
        <v>766</v>
      </c>
      <c r="AF140" s="1813"/>
      <c r="AG140" s="1814"/>
      <c r="AH140" s="1810"/>
      <c r="AI140" s="1813"/>
      <c r="AJ140" s="1814"/>
      <c r="AK140" s="1810" t="s">
        <v>1051</v>
      </c>
      <c r="AL140" s="1813"/>
      <c r="AM140" s="1814"/>
    </row>
    <row r="141" spans="1:41" ht="26.25" thickBot="1">
      <c r="A141" s="207">
        <v>1</v>
      </c>
      <c r="B141" s="218" t="s">
        <v>863</v>
      </c>
      <c r="C141" s="222" t="e">
        <v>#REF!</v>
      </c>
      <c r="D141" s="222" t="e">
        <v>#REF!</v>
      </c>
      <c r="E141" s="187"/>
      <c r="F141" s="188">
        <v>24.364999999999998</v>
      </c>
      <c r="G141" s="188"/>
      <c r="H141" s="187"/>
      <c r="I141" s="187">
        <v>6086.0129283808747</v>
      </c>
      <c r="J141" s="187"/>
      <c r="K141" s="189"/>
      <c r="L141" s="189"/>
      <c r="M141" s="189">
        <v>148285.70500000002</v>
      </c>
      <c r="N141" s="189"/>
      <c r="O141" s="213">
        <v>148285.70500000002</v>
      </c>
      <c r="AA141" s="443" t="s">
        <v>1285</v>
      </c>
      <c r="AB141" s="942" t="s">
        <v>1519</v>
      </c>
      <c r="AC141" s="1802" t="s">
        <v>417</v>
      </c>
      <c r="AD141" s="446" t="s">
        <v>1054</v>
      </c>
      <c r="AE141" s="942" t="s">
        <v>1519</v>
      </c>
      <c r="AF141" s="1802" t="s">
        <v>417</v>
      </c>
      <c r="AG141" s="446" t="s">
        <v>1054</v>
      </c>
      <c r="AH141" s="942" t="s">
        <v>1519</v>
      </c>
      <c r="AI141" s="1802" t="s">
        <v>417</v>
      </c>
      <c r="AJ141" s="446" t="s">
        <v>1054</v>
      </c>
      <c r="AK141" s="942" t="s">
        <v>1519</v>
      </c>
      <c r="AL141" s="1802" t="s">
        <v>417</v>
      </c>
      <c r="AM141" s="446" t="s">
        <v>1054</v>
      </c>
    </row>
    <row r="142" spans="1:41" ht="13.5" thickBot="1">
      <c r="A142" s="207" t="s">
        <v>5</v>
      </c>
      <c r="B142" s="208" t="s">
        <v>1870</v>
      </c>
      <c r="C142" s="209"/>
      <c r="D142" s="209"/>
      <c r="E142" s="192"/>
      <c r="F142" s="193">
        <v>21.677</v>
      </c>
      <c r="G142" s="193"/>
      <c r="H142" s="192"/>
      <c r="I142" s="229">
        <v>6150.5706970521751</v>
      </c>
      <c r="J142" s="192">
        <v>5.3924651823909073</v>
      </c>
      <c r="K142" s="194"/>
      <c r="L142" s="194"/>
      <c r="M142" s="194">
        <v>133325.921</v>
      </c>
      <c r="N142" s="194"/>
      <c r="O142" s="211">
        <v>133325.921</v>
      </c>
      <c r="AA142" s="447" t="s">
        <v>864</v>
      </c>
      <c r="AB142" s="448">
        <v>0</v>
      </c>
      <c r="AC142" s="933" t="e">
        <v>#DIV/0!</v>
      </c>
      <c r="AD142" s="450">
        <v>0</v>
      </c>
      <c r="AE142" s="448">
        <v>0</v>
      </c>
      <c r="AF142" s="933" t="e">
        <v>#DIV/0!</v>
      </c>
      <c r="AG142" s="450">
        <v>0</v>
      </c>
      <c r="AH142" s="448">
        <v>0</v>
      </c>
      <c r="AI142" s="933" t="e">
        <v>#DIV/0!</v>
      </c>
      <c r="AJ142" s="450">
        <v>0</v>
      </c>
      <c r="AK142" s="448">
        <v>0</v>
      </c>
      <c r="AL142" s="933" t="e">
        <v>#DIV/0!</v>
      </c>
      <c r="AM142" s="230">
        <v>0</v>
      </c>
    </row>
    <row r="143" spans="1:41" ht="13.5" thickBot="1">
      <c r="A143" s="207" t="s">
        <v>6</v>
      </c>
      <c r="B143" s="228" t="s">
        <v>887</v>
      </c>
      <c r="C143" s="208"/>
      <c r="D143" s="231"/>
      <c r="E143" s="184"/>
      <c r="F143" s="193">
        <v>2.6880000000000002</v>
      </c>
      <c r="G143" s="193"/>
      <c r="H143" s="184"/>
      <c r="I143" s="229">
        <v>5565.3958333333339</v>
      </c>
      <c r="J143" s="192"/>
      <c r="K143" s="184"/>
      <c r="L143" s="184"/>
      <c r="M143" s="194">
        <v>14959.784000000001</v>
      </c>
      <c r="N143" s="184"/>
      <c r="O143" s="211">
        <v>14959.784000000001</v>
      </c>
      <c r="AA143" s="228" t="s">
        <v>1515</v>
      </c>
      <c r="AB143" s="448"/>
      <c r="AC143" s="449"/>
      <c r="AD143" s="450">
        <v>0</v>
      </c>
      <c r="AE143" s="448"/>
      <c r="AF143" s="449"/>
      <c r="AG143" s="230">
        <v>0</v>
      </c>
      <c r="AH143" s="448"/>
      <c r="AI143" s="449"/>
      <c r="AJ143" s="230">
        <v>0</v>
      </c>
      <c r="AK143" s="451">
        <v>0</v>
      </c>
      <c r="AL143" s="480" t="e">
        <v>#DIV/0!</v>
      </c>
      <c r="AM143" s="453">
        <v>0</v>
      </c>
    </row>
    <row r="144" spans="1:41" ht="13.5" thickBot="1">
      <c r="A144" s="207" t="s">
        <v>7</v>
      </c>
      <c r="B144" s="208" t="s">
        <v>432</v>
      </c>
      <c r="C144" s="208"/>
      <c r="D144" s="231"/>
      <c r="E144" s="184"/>
      <c r="F144" s="193"/>
      <c r="G144" s="184"/>
      <c r="H144" s="184"/>
      <c r="I144" s="229"/>
      <c r="J144" s="192"/>
      <c r="K144" s="184"/>
      <c r="L144" s="184"/>
      <c r="M144" s="194"/>
      <c r="N144" s="184"/>
      <c r="O144" s="211">
        <v>0</v>
      </c>
      <c r="Q144" s="1799" t="s">
        <v>767</v>
      </c>
      <c r="R144" s="1800"/>
      <c r="S144" s="1801"/>
      <c r="T144" s="1802" t="s">
        <v>766</v>
      </c>
      <c r="U144" s="1803"/>
      <c r="V144" s="1804"/>
      <c r="W144" s="1802" t="s">
        <v>1051</v>
      </c>
      <c r="X144" s="1803"/>
      <c r="Y144" s="1804"/>
      <c r="AA144" s="228" t="s">
        <v>1516</v>
      </c>
      <c r="AB144" s="448"/>
      <c r="AC144" s="449"/>
      <c r="AD144" s="450">
        <v>0</v>
      </c>
      <c r="AE144" s="448"/>
      <c r="AF144" s="449"/>
      <c r="AG144" s="230">
        <v>0</v>
      </c>
      <c r="AH144" s="448"/>
      <c r="AI144" s="449"/>
      <c r="AJ144" s="230">
        <v>0</v>
      </c>
      <c r="AK144" s="767">
        <v>0</v>
      </c>
      <c r="AL144" s="452" t="e">
        <v>#DIV/0!</v>
      </c>
      <c r="AM144" s="230">
        <v>0</v>
      </c>
    </row>
    <row r="145" spans="1:39" ht="14.25" thickBot="1">
      <c r="A145" s="207" t="s">
        <v>11</v>
      </c>
      <c r="B145" s="212" t="s">
        <v>865</v>
      </c>
      <c r="C145" s="208"/>
      <c r="D145" s="231"/>
      <c r="E145" s="184">
        <v>0</v>
      </c>
      <c r="F145" s="184"/>
      <c r="G145" s="184"/>
      <c r="H145" s="184"/>
      <c r="I145" s="192"/>
      <c r="J145" s="229"/>
      <c r="K145" s="184"/>
      <c r="L145" s="184"/>
      <c r="M145" s="184"/>
      <c r="N145" s="184"/>
      <c r="O145" s="211"/>
      <c r="P145" s="443" t="s">
        <v>1052</v>
      </c>
      <c r="Q145" s="444" t="s">
        <v>1053</v>
      </c>
      <c r="R145" s="1802" t="s">
        <v>417</v>
      </c>
      <c r="S145" s="446" t="s">
        <v>1054</v>
      </c>
      <c r="T145" s="444" t="s">
        <v>1053</v>
      </c>
      <c r="U145" s="1802" t="s">
        <v>417</v>
      </c>
      <c r="V145" s="446" t="s">
        <v>1054</v>
      </c>
      <c r="W145" s="1802" t="s">
        <v>1053</v>
      </c>
      <c r="X145" s="1802" t="s">
        <v>417</v>
      </c>
      <c r="Y145" s="446" t="s">
        <v>1054</v>
      </c>
      <c r="AA145" s="457" t="s">
        <v>435</v>
      </c>
      <c r="AB145" s="767">
        <v>0</v>
      </c>
      <c r="AC145" s="452" t="e">
        <v>#DIV/0!</v>
      </c>
      <c r="AD145" s="230">
        <v>0</v>
      </c>
      <c r="AE145" s="767">
        <v>0</v>
      </c>
      <c r="AF145" s="452" t="e">
        <v>#DIV/0!</v>
      </c>
      <c r="AG145" s="230">
        <v>0</v>
      </c>
      <c r="AH145" s="767">
        <v>0</v>
      </c>
      <c r="AI145" s="446" t="e">
        <v>#DIV/0!</v>
      </c>
      <c r="AJ145" s="230">
        <v>0</v>
      </c>
      <c r="AK145" s="458">
        <v>0</v>
      </c>
      <c r="AL145" s="912" t="e">
        <v>#DIV/0!</v>
      </c>
      <c r="AM145" s="459">
        <v>0</v>
      </c>
    </row>
    <row r="146" spans="1:39" ht="13.5" thickBot="1">
      <c r="A146" s="460" t="s">
        <v>12</v>
      </c>
      <c r="B146" s="461" t="s">
        <v>866</v>
      </c>
      <c r="C146" s="462" t="e">
        <v>#REF!</v>
      </c>
      <c r="D146" s="463" t="e">
        <v>#REF!</v>
      </c>
      <c r="E146" s="464"/>
      <c r="F146" s="467">
        <v>24.364999999999998</v>
      </c>
      <c r="G146" s="465"/>
      <c r="H146" s="464"/>
      <c r="I146" s="466">
        <v>6053.4219577262456</v>
      </c>
      <c r="J146" s="467">
        <v>5.3924651823909073</v>
      </c>
      <c r="K146" s="468"/>
      <c r="L146" s="468"/>
      <c r="M146" s="468">
        <v>148285.70499999999</v>
      </c>
      <c r="N146" s="468"/>
      <c r="O146" s="469">
        <v>148285.70499999999</v>
      </c>
      <c r="P146" s="470" t="s">
        <v>864</v>
      </c>
      <c r="Q146" s="471">
        <v>5740.8600000000006</v>
      </c>
      <c r="R146" s="472">
        <v>5.4480000000000004</v>
      </c>
      <c r="S146" s="473">
        <v>31276.205280000006</v>
      </c>
      <c r="T146" s="471">
        <v>3081.4</v>
      </c>
      <c r="U146" s="472">
        <v>5.2889999999999997</v>
      </c>
      <c r="V146" s="474">
        <v>16297.524599999999</v>
      </c>
      <c r="W146" s="475">
        <v>8822.26</v>
      </c>
      <c r="X146" s="476">
        <v>5.3924651823909073</v>
      </c>
      <c r="Y146" s="477">
        <v>47573.729880000006</v>
      </c>
      <c r="Z146" s="478"/>
      <c r="AA146" s="768" t="s">
        <v>1280</v>
      </c>
      <c r="AB146" s="774">
        <v>0</v>
      </c>
      <c r="AC146" s="911" t="e">
        <v>#DIV/0!</v>
      </c>
      <c r="AD146" s="775">
        <v>0</v>
      </c>
      <c r="AE146" s="774">
        <v>0</v>
      </c>
      <c r="AF146" s="911" t="e">
        <v>#DIV/0!</v>
      </c>
      <c r="AG146" s="775">
        <v>0</v>
      </c>
      <c r="AH146" s="774">
        <v>0</v>
      </c>
      <c r="AI146" s="774" t="e">
        <v>#DIV/0!</v>
      </c>
      <c r="AJ146" s="775">
        <v>0</v>
      </c>
      <c r="AK146" s="774">
        <v>0</v>
      </c>
      <c r="AL146" s="911" t="e">
        <v>#DIV/0!</v>
      </c>
      <c r="AM146" s="775">
        <v>0</v>
      </c>
    </row>
    <row r="147" spans="1:39" ht="13.5" thickBot="1">
      <c r="A147" s="207"/>
      <c r="B147" s="479" t="s">
        <v>1055</v>
      </c>
      <c r="C147" s="225"/>
      <c r="D147" s="215"/>
      <c r="E147" s="192"/>
      <c r="F147" s="210">
        <v>19.463999999999999</v>
      </c>
      <c r="G147" s="193"/>
      <c r="H147" s="192"/>
      <c r="I147" s="229">
        <v>6150.4506781750933</v>
      </c>
      <c r="J147" s="210"/>
      <c r="K147" s="194"/>
      <c r="L147" s="194"/>
      <c r="M147" s="194">
        <v>119712.372</v>
      </c>
      <c r="N147" s="194"/>
      <c r="O147" s="211">
        <v>119712.372</v>
      </c>
      <c r="P147" s="447"/>
      <c r="Q147" s="448"/>
      <c r="R147" s="449"/>
      <c r="S147" s="450"/>
      <c r="T147" s="448"/>
      <c r="U147" s="449"/>
      <c r="V147" s="230"/>
      <c r="W147" s="451"/>
      <c r="X147" s="480"/>
      <c r="Y147" s="453"/>
      <c r="AA147" s="479" t="s">
        <v>1055</v>
      </c>
      <c r="AB147" s="446"/>
      <c r="AC147" s="446"/>
      <c r="AD147" s="450">
        <v>0</v>
      </c>
      <c r="AE147" s="446"/>
      <c r="AF147" s="446"/>
      <c r="AG147" s="450">
        <v>0</v>
      </c>
      <c r="AH147" s="446"/>
      <c r="AI147" s="446"/>
      <c r="AJ147" s="450">
        <v>0</v>
      </c>
      <c r="AK147" s="767">
        <v>0</v>
      </c>
      <c r="AL147" s="452" t="e">
        <v>#DIV/0!</v>
      </c>
      <c r="AM147" s="230">
        <v>0</v>
      </c>
    </row>
    <row r="148" spans="1:39" ht="13.5" thickBot="1">
      <c r="A148" s="207"/>
      <c r="B148" s="479" t="s">
        <v>1056</v>
      </c>
      <c r="C148" s="225"/>
      <c r="D148" s="215"/>
      <c r="E148" s="192"/>
      <c r="F148" s="210">
        <v>1.7959999999999998</v>
      </c>
      <c r="G148" s="193"/>
      <c r="H148" s="192"/>
      <c r="I148" s="229">
        <v>6143.9994432071271</v>
      </c>
      <c r="J148" s="210"/>
      <c r="K148" s="194"/>
      <c r="L148" s="194"/>
      <c r="M148" s="194">
        <v>11034.623</v>
      </c>
      <c r="N148" s="194"/>
      <c r="O148" s="211">
        <v>11034.623</v>
      </c>
      <c r="P148" s="447"/>
      <c r="Q148" s="448"/>
      <c r="R148" s="449"/>
      <c r="S148" s="450"/>
      <c r="T148" s="448"/>
      <c r="U148" s="449"/>
      <c r="V148" s="230"/>
      <c r="W148" s="451"/>
      <c r="X148" s="480"/>
      <c r="Y148" s="453"/>
      <c r="AA148" s="479" t="s">
        <v>1056</v>
      </c>
      <c r="AB148" s="446"/>
      <c r="AC148" s="446"/>
      <c r="AD148" s="450">
        <v>0</v>
      </c>
      <c r="AE148" s="446"/>
      <c r="AF148" s="446"/>
      <c r="AG148" s="450">
        <v>0</v>
      </c>
      <c r="AH148" s="446"/>
      <c r="AI148" s="446"/>
      <c r="AJ148" s="450">
        <v>0</v>
      </c>
      <c r="AK148" s="767">
        <v>0</v>
      </c>
      <c r="AL148" s="452" t="e">
        <v>#DIV/0!</v>
      </c>
      <c r="AM148" s="230">
        <v>0</v>
      </c>
    </row>
    <row r="149" spans="1:39" ht="13.5" thickBot="1">
      <c r="A149" s="481"/>
      <c r="B149" s="482" t="s">
        <v>1057</v>
      </c>
      <c r="C149" s="483"/>
      <c r="D149" s="484"/>
      <c r="E149" s="485"/>
      <c r="F149" s="488">
        <v>2.6880000000000002</v>
      </c>
      <c r="G149" s="486"/>
      <c r="H149" s="485"/>
      <c r="I149" s="487">
        <v>5565.395833333333</v>
      </c>
      <c r="J149" s="488"/>
      <c r="K149" s="489"/>
      <c r="L149" s="489"/>
      <c r="M149" s="489">
        <v>14959.784</v>
      </c>
      <c r="N149" s="503"/>
      <c r="O149" s="490">
        <v>14959.784</v>
      </c>
      <c r="P149" s="491"/>
      <c r="Q149" s="492"/>
      <c r="R149" s="493"/>
      <c r="S149" s="494"/>
      <c r="T149" s="492"/>
      <c r="U149" s="493"/>
      <c r="V149" s="495"/>
      <c r="W149" s="496"/>
      <c r="X149" s="497"/>
      <c r="Y149" s="498"/>
      <c r="Z149" s="499"/>
      <c r="AA149" s="482" t="s">
        <v>1057</v>
      </c>
      <c r="AB149" s="767">
        <v>0</v>
      </c>
      <c r="AC149" s="452" t="e">
        <v>#DIV/0!</v>
      </c>
      <c r="AD149" s="450">
        <v>0</v>
      </c>
      <c r="AE149" s="767">
        <v>0</v>
      </c>
      <c r="AF149" s="452" t="e">
        <v>#DIV/0!</v>
      </c>
      <c r="AG149" s="450">
        <v>0</v>
      </c>
      <c r="AH149" s="767">
        <v>0</v>
      </c>
      <c r="AI149" s="452" t="e">
        <v>#DIV/0!</v>
      </c>
      <c r="AJ149" s="450">
        <v>0</v>
      </c>
      <c r="AK149" s="767">
        <v>0</v>
      </c>
      <c r="AL149" s="452" t="e">
        <v>#DIV/0!</v>
      </c>
      <c r="AM149" s="230">
        <v>0</v>
      </c>
    </row>
    <row r="150" spans="1:39" ht="13.5" thickBot="1">
      <c r="A150" s="207"/>
      <c r="B150" s="479" t="s">
        <v>1058</v>
      </c>
      <c r="C150" s="225"/>
      <c r="D150" s="215"/>
      <c r="E150" s="192"/>
      <c r="F150" s="210">
        <v>0.41700000000000004</v>
      </c>
      <c r="G150" s="193"/>
      <c r="H150" s="192"/>
      <c r="I150" s="229">
        <v>6184.4748201438852</v>
      </c>
      <c r="J150" s="210"/>
      <c r="K150" s="194"/>
      <c r="L150" s="194"/>
      <c r="M150" s="194">
        <v>2578.9260000000004</v>
      </c>
      <c r="N150" s="504"/>
      <c r="O150" s="211">
        <v>2578.9260000000004</v>
      </c>
      <c r="P150" s="447"/>
      <c r="Q150" s="448"/>
      <c r="R150" s="449"/>
      <c r="S150" s="450"/>
      <c r="T150" s="448"/>
      <c r="U150" s="449"/>
      <c r="V150" s="230"/>
      <c r="W150" s="451"/>
      <c r="X150" s="480"/>
      <c r="Y150" s="453"/>
      <c r="AA150" s="479" t="s">
        <v>1058</v>
      </c>
      <c r="AB150" s="446"/>
      <c r="AC150" s="446"/>
      <c r="AD150" s="450">
        <v>0</v>
      </c>
      <c r="AE150" s="446"/>
      <c r="AF150" s="446"/>
      <c r="AG150" s="450">
        <v>0</v>
      </c>
      <c r="AH150" s="446"/>
      <c r="AI150" s="446"/>
      <c r="AJ150" s="450">
        <v>0</v>
      </c>
      <c r="AK150" s="767">
        <v>0</v>
      </c>
      <c r="AL150" s="452" t="e">
        <v>#DIV/0!</v>
      </c>
      <c r="AM150" s="230">
        <v>0</v>
      </c>
    </row>
    <row r="151" spans="1:39" ht="13.5" thickBot="1">
      <c r="A151" s="460" t="s">
        <v>18</v>
      </c>
      <c r="B151" s="461" t="s">
        <v>868</v>
      </c>
      <c r="C151" s="462" t="e">
        <v>#REF!</v>
      </c>
      <c r="D151" s="463" t="e">
        <v>#REF!</v>
      </c>
      <c r="E151" s="464"/>
      <c r="F151" s="465">
        <v>0</v>
      </c>
      <c r="G151" s="465"/>
      <c r="H151" s="464"/>
      <c r="I151" s="466"/>
      <c r="J151" s="464"/>
      <c r="K151" s="468"/>
      <c r="L151" s="468"/>
      <c r="M151" s="468">
        <v>0</v>
      </c>
      <c r="N151" s="505"/>
      <c r="O151" s="469">
        <v>0</v>
      </c>
      <c r="P151" s="500" t="s">
        <v>887</v>
      </c>
      <c r="Q151" s="471">
        <v>702.21</v>
      </c>
      <c r="R151" s="472">
        <v>4.6040000000000001</v>
      </c>
      <c r="S151" s="473">
        <v>3232.9748400000003</v>
      </c>
      <c r="T151" s="471">
        <v>419</v>
      </c>
      <c r="U151" s="472">
        <v>4.4880000000000004</v>
      </c>
      <c r="V151" s="474">
        <v>1880.4720000000002</v>
      </c>
      <c r="W151" s="501">
        <v>1121.21</v>
      </c>
      <c r="X151" s="502">
        <v>4.5606504044737388</v>
      </c>
      <c r="Y151" s="474">
        <v>5113.4468400000005</v>
      </c>
      <c r="Z151" s="478"/>
      <c r="AA151" s="768" t="s">
        <v>1281</v>
      </c>
      <c r="AB151" s="922">
        <v>0</v>
      </c>
      <c r="AC151" s="911" t="e">
        <v>#DIV/0!</v>
      </c>
      <c r="AD151" s="775">
        <v>0</v>
      </c>
      <c r="AE151" s="922">
        <v>0</v>
      </c>
      <c r="AF151" s="911" t="e">
        <v>#DIV/0!</v>
      </c>
      <c r="AG151" s="775">
        <v>0</v>
      </c>
      <c r="AH151" s="922">
        <v>0</v>
      </c>
      <c r="AI151" s="911" t="e">
        <v>#DIV/0!</v>
      </c>
      <c r="AJ151" s="775">
        <v>0</v>
      </c>
      <c r="AK151" s="922">
        <v>0</v>
      </c>
      <c r="AL151" s="911" t="e">
        <v>#DIV/0!</v>
      </c>
      <c r="AM151" s="775">
        <v>0</v>
      </c>
    </row>
    <row r="152" spans="1:39">
      <c r="A152" s="207"/>
      <c r="B152" s="479" t="s">
        <v>1554</v>
      </c>
      <c r="C152" s="225" t="e">
        <v>#REF!</v>
      </c>
      <c r="D152" s="215" t="e">
        <v>#REF!</v>
      </c>
      <c r="E152" s="192"/>
      <c r="F152" s="193">
        <v>0</v>
      </c>
      <c r="G152" s="193"/>
      <c r="H152" s="192"/>
      <c r="I152" s="229" t="e">
        <v>#DIV/0!</v>
      </c>
      <c r="J152" s="184"/>
      <c r="K152" s="194"/>
      <c r="L152" s="194"/>
      <c r="M152" s="194">
        <v>0</v>
      </c>
      <c r="N152" s="504"/>
      <c r="O152" s="211">
        <v>0</v>
      </c>
      <c r="P152" s="457" t="s">
        <v>435</v>
      </c>
      <c r="Q152" s="446"/>
      <c r="R152" s="446"/>
      <c r="S152" s="446"/>
      <c r="T152" s="446"/>
      <c r="U152" s="446"/>
      <c r="V152" s="446"/>
      <c r="W152" s="458">
        <v>9943.4700000000012</v>
      </c>
      <c r="X152" s="454"/>
      <c r="Y152" s="459">
        <v>52687.176720000003</v>
      </c>
      <c r="AA152" s="479" t="s">
        <v>1554</v>
      </c>
      <c r="AB152" s="446"/>
      <c r="AC152" s="446"/>
      <c r="AD152" s="450">
        <v>0</v>
      </c>
      <c r="AE152" s="446"/>
      <c r="AF152" s="446"/>
      <c r="AG152" s="450">
        <v>0</v>
      </c>
      <c r="AH152" s="446"/>
      <c r="AI152" s="446"/>
      <c r="AJ152" s="450">
        <v>0</v>
      </c>
      <c r="AK152" s="767">
        <v>0</v>
      </c>
      <c r="AL152" s="452" t="e">
        <v>#DIV/0!</v>
      </c>
      <c r="AM152" s="230">
        <v>0</v>
      </c>
    </row>
    <row r="153" spans="1:39">
      <c r="A153" s="506"/>
      <c r="B153" s="482" t="s">
        <v>1057</v>
      </c>
      <c r="C153" s="507"/>
      <c r="D153" s="508"/>
      <c r="E153" s="509"/>
      <c r="F153" s="486">
        <v>0</v>
      </c>
      <c r="G153" s="510"/>
      <c r="H153" s="509"/>
      <c r="I153" s="487" t="e">
        <v>#DIV/0!</v>
      </c>
      <c r="J153" s="509"/>
      <c r="K153" s="511"/>
      <c r="L153" s="511"/>
      <c r="M153" s="489">
        <v>0</v>
      </c>
      <c r="N153" s="512"/>
      <c r="O153" s="490">
        <v>0</v>
      </c>
      <c r="AA153" s="482" t="s">
        <v>1057</v>
      </c>
      <c r="AB153" s="446"/>
      <c r="AC153" s="446"/>
      <c r="AD153" s="450">
        <v>0</v>
      </c>
      <c r="AE153" s="446"/>
      <c r="AF153" s="446"/>
      <c r="AG153" s="450">
        <v>0</v>
      </c>
      <c r="AH153" s="446"/>
      <c r="AI153" s="446"/>
      <c r="AJ153" s="450">
        <v>0</v>
      </c>
      <c r="AK153" s="767">
        <v>0</v>
      </c>
      <c r="AL153" s="452" t="e">
        <v>#DIV/0!</v>
      </c>
      <c r="AM153" s="230">
        <v>0</v>
      </c>
    </row>
    <row r="154" spans="1:39">
      <c r="A154" s="207"/>
      <c r="B154" s="923" t="s">
        <v>1058</v>
      </c>
      <c r="C154" s="225"/>
      <c r="D154" s="215"/>
      <c r="E154" s="192"/>
      <c r="F154" s="192">
        <v>0</v>
      </c>
      <c r="G154" s="193"/>
      <c r="H154" s="192"/>
      <c r="I154" s="229" t="e">
        <v>#DIV/0!</v>
      </c>
      <c r="J154" s="192"/>
      <c r="K154" s="194"/>
      <c r="L154" s="194"/>
      <c r="M154" s="194">
        <v>0</v>
      </c>
      <c r="N154" s="504"/>
      <c r="O154" s="211">
        <v>0</v>
      </c>
      <c r="P154" s="941"/>
      <c r="Q154" s="941"/>
      <c r="R154" s="941"/>
      <c r="S154" s="941"/>
      <c r="T154" s="941"/>
      <c r="U154" s="941"/>
      <c r="V154" s="941"/>
      <c r="W154" s="941"/>
      <c r="X154" s="941"/>
      <c r="Y154" s="941"/>
      <c r="Z154" s="941"/>
      <c r="AA154" s="923" t="s">
        <v>1058</v>
      </c>
      <c r="AB154" s="446"/>
      <c r="AC154" s="446"/>
      <c r="AD154" s="230">
        <v>0</v>
      </c>
      <c r="AE154" s="446"/>
      <c r="AF154" s="446"/>
      <c r="AG154" s="230">
        <v>0</v>
      </c>
      <c r="AH154" s="446"/>
      <c r="AI154" s="446"/>
      <c r="AJ154" s="230">
        <v>0</v>
      </c>
      <c r="AK154" s="767">
        <v>0</v>
      </c>
      <c r="AL154" s="452" t="e">
        <v>#DIV/0!</v>
      </c>
      <c r="AM154" s="230">
        <v>0</v>
      </c>
    </row>
    <row r="155" spans="1:39" ht="13.5" thickBot="1">
      <c r="A155" s="934"/>
      <c r="B155" s="927"/>
      <c r="C155" s="935"/>
      <c r="D155" s="936"/>
      <c r="E155" s="937"/>
      <c r="F155" s="938"/>
      <c r="G155" s="938"/>
      <c r="H155" s="937"/>
      <c r="I155" s="939"/>
      <c r="J155" s="937"/>
      <c r="K155" s="940"/>
      <c r="L155" s="940"/>
      <c r="M155" s="940"/>
      <c r="N155" s="940"/>
      <c r="O155" s="940"/>
      <c r="AA155" s="927" t="s">
        <v>1518</v>
      </c>
      <c r="AB155" s="928"/>
      <c r="AC155" s="928"/>
      <c r="AD155" s="929">
        <v>0</v>
      </c>
      <c r="AE155" s="928"/>
      <c r="AF155" s="928"/>
      <c r="AG155" s="929">
        <v>0</v>
      </c>
      <c r="AH155" s="928"/>
      <c r="AI155" s="928"/>
      <c r="AJ155" s="929">
        <v>0</v>
      </c>
      <c r="AK155" s="930">
        <v>0</v>
      </c>
      <c r="AL155" s="931" t="e">
        <v>#DIV/0!</v>
      </c>
      <c r="AM155" s="929">
        <v>0</v>
      </c>
    </row>
    <row r="156" spans="1:39">
      <c r="A156" s="1795" t="s">
        <v>1836</v>
      </c>
      <c r="B156" s="1796"/>
      <c r="C156" s="1796"/>
      <c r="D156" s="1796"/>
      <c r="E156" s="1796"/>
      <c r="F156" s="1796"/>
      <c r="G156" s="1796"/>
      <c r="H156" s="1796"/>
      <c r="I156" s="1796"/>
      <c r="J156" s="1796"/>
      <c r="K156" s="1796"/>
      <c r="L156" s="1796"/>
      <c r="M156" s="1796"/>
      <c r="N156" s="1796"/>
      <c r="O156" s="1798"/>
      <c r="AB156" s="1799" t="s">
        <v>767</v>
      </c>
      <c r="AC156" s="1806"/>
      <c r="AD156" s="1807"/>
      <c r="AE156" s="1799" t="s">
        <v>766</v>
      </c>
      <c r="AF156" s="1808"/>
      <c r="AG156" s="1809"/>
      <c r="AH156" s="1799"/>
      <c r="AI156" s="1808"/>
      <c r="AJ156" s="1809"/>
      <c r="AK156" s="1799" t="s">
        <v>1051</v>
      </c>
      <c r="AL156" s="1808"/>
      <c r="AM156" s="1809"/>
    </row>
    <row r="157" spans="1:39" ht="26.25" thickBot="1">
      <c r="A157" s="207">
        <v>1</v>
      </c>
      <c r="B157" s="218" t="s">
        <v>863</v>
      </c>
      <c r="C157" s="222" t="e">
        <v>#REF!</v>
      </c>
      <c r="D157" s="222" t="e">
        <v>#REF!</v>
      </c>
      <c r="E157" s="187"/>
      <c r="F157" s="188">
        <v>21.146181276375</v>
      </c>
      <c r="G157" s="188"/>
      <c r="H157" s="187"/>
      <c r="I157" s="187"/>
      <c r="J157" s="187"/>
      <c r="K157" s="189"/>
      <c r="L157" s="189"/>
      <c r="M157" s="189">
        <v>128386.53009556013</v>
      </c>
      <c r="N157" s="189"/>
      <c r="O157" s="213">
        <v>128386.53009556013</v>
      </c>
      <c r="AA157" s="443" t="s">
        <v>1285</v>
      </c>
      <c r="AB157" s="942" t="s">
        <v>1519</v>
      </c>
      <c r="AC157" s="1802" t="s">
        <v>417</v>
      </c>
      <c r="AD157" s="446" t="s">
        <v>1054</v>
      </c>
      <c r="AE157" s="942" t="s">
        <v>1519</v>
      </c>
      <c r="AF157" s="1802" t="s">
        <v>417</v>
      </c>
      <c r="AG157" s="446" t="s">
        <v>1054</v>
      </c>
      <c r="AH157" s="942" t="s">
        <v>1519</v>
      </c>
      <c r="AI157" s="1802" t="s">
        <v>417</v>
      </c>
      <c r="AJ157" s="446" t="s">
        <v>1054</v>
      </c>
      <c r="AK157" s="942" t="s">
        <v>1519</v>
      </c>
      <c r="AL157" s="1802" t="s">
        <v>417</v>
      </c>
      <c r="AM157" s="446" t="s">
        <v>1054</v>
      </c>
    </row>
    <row r="158" spans="1:39" ht="13.5" thickBot="1">
      <c r="A158" s="207" t="s">
        <v>5</v>
      </c>
      <c r="B158" s="208" t="s">
        <v>1870</v>
      </c>
      <c r="C158" s="209"/>
      <c r="D158" s="209"/>
      <c r="E158" s="192"/>
      <c r="F158" s="193">
        <v>18.662612276375</v>
      </c>
      <c r="G158" s="193"/>
      <c r="H158" s="192"/>
      <c r="I158" s="229">
        <v>6139.2791373370919</v>
      </c>
      <c r="J158" s="192">
        <v>5.3924651823909073</v>
      </c>
      <c r="K158" s="194"/>
      <c r="L158" s="194"/>
      <c r="M158" s="194">
        <v>114574.98619656013</v>
      </c>
      <c r="N158" s="194"/>
      <c r="O158" s="211">
        <v>114574.98619656013</v>
      </c>
      <c r="AA158" s="447" t="s">
        <v>864</v>
      </c>
      <c r="AB158" s="456">
        <v>11033.657999999999</v>
      </c>
      <c r="AC158" s="933">
        <v>5.9375732426181784</v>
      </c>
      <c r="AD158" s="450">
        <v>65513.152509</v>
      </c>
      <c r="AE158" s="456">
        <v>7628.9542763749996</v>
      </c>
      <c r="AF158" s="933">
        <v>6.4310037667275832</v>
      </c>
      <c r="AG158" s="450">
        <v>49061.833687560124</v>
      </c>
      <c r="AH158" s="448">
        <v>0</v>
      </c>
      <c r="AI158" s="933" t="e">
        <v>#DIV/0!</v>
      </c>
      <c r="AJ158" s="450">
        <v>0</v>
      </c>
      <c r="AK158" s="456">
        <v>18662.612276374999</v>
      </c>
      <c r="AL158" s="933">
        <v>6.1392791373370921</v>
      </c>
      <c r="AM158" s="230">
        <v>114574.98619656013</v>
      </c>
    </row>
    <row r="159" spans="1:39" ht="13.5" thickBot="1">
      <c r="A159" s="207" t="s">
        <v>6</v>
      </c>
      <c r="B159" s="228" t="s">
        <v>887</v>
      </c>
      <c r="C159" s="208"/>
      <c r="D159" s="231"/>
      <c r="E159" s="184"/>
      <c r="F159" s="193">
        <v>2.4835690000000001</v>
      </c>
      <c r="G159" s="193"/>
      <c r="H159" s="184"/>
      <c r="I159" s="229">
        <v>5561.1677787087856</v>
      </c>
      <c r="J159" s="192"/>
      <c r="K159" s="184"/>
      <c r="L159" s="184"/>
      <c r="M159" s="194">
        <v>13811.543899</v>
      </c>
      <c r="N159" s="184"/>
      <c r="O159" s="211">
        <v>13811.543899</v>
      </c>
      <c r="AA159" s="228" t="s">
        <v>1515</v>
      </c>
      <c r="AB159" s="456">
        <v>1032</v>
      </c>
      <c r="AC159" s="449">
        <v>5.1379999999999999</v>
      </c>
      <c r="AD159" s="450">
        <v>5302.4160000000002</v>
      </c>
      <c r="AE159" s="456">
        <v>730.56899999999996</v>
      </c>
      <c r="AF159" s="449">
        <v>5.5709999999999997</v>
      </c>
      <c r="AG159" s="230">
        <v>4069.9998989999995</v>
      </c>
      <c r="AH159" s="448"/>
      <c r="AI159" s="449"/>
      <c r="AJ159" s="230">
        <v>0</v>
      </c>
      <c r="AK159" s="453">
        <v>1762.569</v>
      </c>
      <c r="AL159" s="480">
        <v>5.3174746061005269</v>
      </c>
      <c r="AM159" s="453">
        <v>9372.4158989999996</v>
      </c>
    </row>
    <row r="160" spans="1:39" ht="13.5" thickBot="1">
      <c r="A160" s="207" t="s">
        <v>7</v>
      </c>
      <c r="B160" s="208" t="s">
        <v>432</v>
      </c>
      <c r="C160" s="208"/>
      <c r="D160" s="231"/>
      <c r="E160" s="184"/>
      <c r="F160" s="193"/>
      <c r="G160" s="184"/>
      <c r="H160" s="184"/>
      <c r="I160" s="229"/>
      <c r="J160" s="192"/>
      <c r="K160" s="184"/>
      <c r="L160" s="184"/>
      <c r="M160" s="194"/>
      <c r="N160" s="184"/>
      <c r="O160" s="211">
        <v>0</v>
      </c>
      <c r="Q160" s="1799" t="s">
        <v>767</v>
      </c>
      <c r="R160" s="1800"/>
      <c r="S160" s="1801"/>
      <c r="T160" s="1802" t="s">
        <v>766</v>
      </c>
      <c r="U160" s="1803"/>
      <c r="V160" s="1804"/>
      <c r="W160" s="1802" t="s">
        <v>1051</v>
      </c>
      <c r="X160" s="1803"/>
      <c r="Y160" s="1804"/>
      <c r="AA160" s="228" t="s">
        <v>1516</v>
      </c>
      <c r="AB160" s="456">
        <v>424</v>
      </c>
      <c r="AC160" s="933">
        <v>5.9530000000000003</v>
      </c>
      <c r="AD160" s="450">
        <v>2524.0720000000001</v>
      </c>
      <c r="AE160" s="456">
        <v>297</v>
      </c>
      <c r="AF160" s="449">
        <v>6.4480000000000004</v>
      </c>
      <c r="AG160" s="230">
        <v>1915.056</v>
      </c>
      <c r="AH160" s="448"/>
      <c r="AI160" s="449"/>
      <c r="AJ160" s="230">
        <v>0</v>
      </c>
      <c r="AK160" s="230">
        <v>721</v>
      </c>
      <c r="AL160" s="452">
        <v>6.1569042995839123</v>
      </c>
      <c r="AM160" s="230">
        <v>4439.1280000000006</v>
      </c>
    </row>
    <row r="161" spans="1:39" ht="14.25" thickBot="1">
      <c r="A161" s="207" t="s">
        <v>11</v>
      </c>
      <c r="B161" s="212" t="s">
        <v>865</v>
      </c>
      <c r="C161" s="208"/>
      <c r="D161" s="231"/>
      <c r="E161" s="184">
        <v>0</v>
      </c>
      <c r="F161" s="184"/>
      <c r="G161" s="184"/>
      <c r="H161" s="184"/>
      <c r="I161" s="192"/>
      <c r="J161" s="229"/>
      <c r="K161" s="184"/>
      <c r="L161" s="184"/>
      <c r="M161" s="184"/>
      <c r="N161" s="184"/>
      <c r="O161" s="211"/>
      <c r="P161" s="443" t="s">
        <v>1052</v>
      </c>
      <c r="Q161" s="444" t="s">
        <v>1053</v>
      </c>
      <c r="R161" s="1802" t="s">
        <v>417</v>
      </c>
      <c r="S161" s="446" t="s">
        <v>1054</v>
      </c>
      <c r="T161" s="444" t="s">
        <v>1053</v>
      </c>
      <c r="U161" s="1802" t="s">
        <v>417</v>
      </c>
      <c r="V161" s="446" t="s">
        <v>1054</v>
      </c>
      <c r="W161" s="1802" t="s">
        <v>1053</v>
      </c>
      <c r="X161" s="1802" t="s">
        <v>417</v>
      </c>
      <c r="Y161" s="446" t="s">
        <v>1054</v>
      </c>
      <c r="AA161" s="457" t="s">
        <v>435</v>
      </c>
      <c r="AB161" s="230">
        <v>12489.657999999999</v>
      </c>
      <c r="AC161" s="452">
        <v>5.872029523066205</v>
      </c>
      <c r="AD161" s="230">
        <v>73339.640509000004</v>
      </c>
      <c r="AE161" s="230">
        <v>8656.5232763749991</v>
      </c>
      <c r="AF161" s="452">
        <v>6.3590067084774855</v>
      </c>
      <c r="AG161" s="230">
        <v>55046.889586560123</v>
      </c>
      <c r="AH161" s="767">
        <v>0</v>
      </c>
      <c r="AI161" s="446" t="e">
        <v>#DIV/0!</v>
      </c>
      <c r="AJ161" s="230">
        <v>0</v>
      </c>
      <c r="AK161" s="459">
        <v>21146.181276374999</v>
      </c>
      <c r="AL161" s="912">
        <v>6.0713813249580211</v>
      </c>
      <c r="AM161" s="459">
        <v>128386.53009556013</v>
      </c>
    </row>
    <row r="162" spans="1:39" ht="13.5" thickBot="1">
      <c r="A162" s="460" t="s">
        <v>12</v>
      </c>
      <c r="B162" s="461" t="s">
        <v>866</v>
      </c>
      <c r="C162" s="462" t="e">
        <v>#REF!</v>
      </c>
      <c r="D162" s="463" t="e">
        <v>#REF!</v>
      </c>
      <c r="E162" s="464"/>
      <c r="F162" s="465">
        <v>19.828956723625002</v>
      </c>
      <c r="G162" s="465"/>
      <c r="H162" s="464"/>
      <c r="I162" s="466"/>
      <c r="J162" s="467">
        <v>5.3924651823909073</v>
      </c>
      <c r="K162" s="468"/>
      <c r="L162" s="468"/>
      <c r="M162" s="468">
        <v>120865.21670243988</v>
      </c>
      <c r="N162" s="468"/>
      <c r="O162" s="469">
        <v>120865.21670243988</v>
      </c>
      <c r="P162" s="470" t="s">
        <v>864</v>
      </c>
      <c r="Q162" s="471">
        <v>5740.8600000000006</v>
      </c>
      <c r="R162" s="472">
        <v>5.4480000000000004</v>
      </c>
      <c r="S162" s="473">
        <v>31276.205280000006</v>
      </c>
      <c r="T162" s="471">
        <v>3081.4</v>
      </c>
      <c r="U162" s="472">
        <v>5.2889999999999997</v>
      </c>
      <c r="V162" s="474">
        <v>16297.524599999999</v>
      </c>
      <c r="W162" s="475">
        <v>8822.26</v>
      </c>
      <c r="X162" s="476">
        <v>5.3924651823909073</v>
      </c>
      <c r="Y162" s="477">
        <v>47573.729880000006</v>
      </c>
      <c r="Z162" s="478"/>
      <c r="AA162" s="768" t="s">
        <v>1280</v>
      </c>
      <c r="AB162" s="230">
        <v>11737.342000000001</v>
      </c>
      <c r="AC162" s="911">
        <v>5.8958434107994799</v>
      </c>
      <c r="AD162" s="775">
        <v>69201.530490999998</v>
      </c>
      <c r="AE162" s="230">
        <v>8091.6147236249999</v>
      </c>
      <c r="AF162" s="911">
        <v>6.3848425779094464</v>
      </c>
      <c r="AG162" s="775">
        <v>51663.686211439875</v>
      </c>
      <c r="AH162" s="774">
        <v>0</v>
      </c>
      <c r="AI162" s="774" t="e">
        <v>#DIV/0!</v>
      </c>
      <c r="AJ162" s="775">
        <v>0</v>
      </c>
      <c r="AK162" s="775">
        <v>19828.956723625</v>
      </c>
      <c r="AL162" s="911">
        <v>6.0953896055679166</v>
      </c>
      <c r="AM162" s="775">
        <v>120865.21670243988</v>
      </c>
    </row>
    <row r="163" spans="1:39" ht="13.5" thickBot="1">
      <c r="A163" s="207"/>
      <c r="B163" s="479" t="s">
        <v>1055</v>
      </c>
      <c r="C163" s="225"/>
      <c r="D163" s="215"/>
      <c r="E163" s="192"/>
      <c r="F163" s="193">
        <v>16.016999999999999</v>
      </c>
      <c r="G163" s="193"/>
      <c r="H163" s="192"/>
      <c r="I163" s="229">
        <v>6154.8692639070987</v>
      </c>
      <c r="J163" s="210"/>
      <c r="K163" s="194"/>
      <c r="L163" s="194"/>
      <c r="M163" s="194">
        <v>98582.540999999997</v>
      </c>
      <c r="N163" s="194"/>
      <c r="O163" s="211">
        <v>98582.540999999997</v>
      </c>
      <c r="P163" s="447"/>
      <c r="Q163" s="448"/>
      <c r="R163" s="449"/>
      <c r="S163" s="450"/>
      <c r="T163" s="448"/>
      <c r="U163" s="449"/>
      <c r="V163" s="230"/>
      <c r="W163" s="451"/>
      <c r="X163" s="480"/>
      <c r="Y163" s="453"/>
      <c r="AA163" s="479" t="s">
        <v>1055</v>
      </c>
      <c r="AB163" s="230">
        <v>9485</v>
      </c>
      <c r="AC163" s="933">
        <v>5.9530000000000003</v>
      </c>
      <c r="AD163" s="450">
        <v>56464.205000000002</v>
      </c>
      <c r="AE163" s="230">
        <v>6532</v>
      </c>
      <c r="AF163" s="449">
        <v>6.4480000000000004</v>
      </c>
      <c r="AG163" s="450">
        <v>42118.336000000003</v>
      </c>
      <c r="AH163" s="446"/>
      <c r="AI163" s="446"/>
      <c r="AJ163" s="450">
        <v>0</v>
      </c>
      <c r="AK163" s="230">
        <v>16017</v>
      </c>
      <c r="AL163" s="452">
        <v>6.1548692639070985</v>
      </c>
      <c r="AM163" s="230">
        <v>98582.540999999997</v>
      </c>
    </row>
    <row r="164" spans="1:39" ht="13.5" thickBot="1">
      <c r="A164" s="207"/>
      <c r="B164" s="479" t="s">
        <v>1056</v>
      </c>
      <c r="C164" s="225"/>
      <c r="D164" s="215"/>
      <c r="E164" s="192"/>
      <c r="F164" s="193">
        <v>1.831</v>
      </c>
      <c r="G164" s="193"/>
      <c r="H164" s="192"/>
      <c r="I164" s="229">
        <v>6153.0546149645006</v>
      </c>
      <c r="J164" s="210"/>
      <c r="K164" s="194"/>
      <c r="L164" s="194"/>
      <c r="M164" s="194">
        <v>11266.243</v>
      </c>
      <c r="N164" s="194"/>
      <c r="O164" s="211">
        <v>11266.243</v>
      </c>
      <c r="P164" s="447"/>
      <c r="Q164" s="448"/>
      <c r="R164" s="449"/>
      <c r="S164" s="450"/>
      <c r="T164" s="448"/>
      <c r="U164" s="449"/>
      <c r="V164" s="230"/>
      <c r="W164" s="451"/>
      <c r="X164" s="480"/>
      <c r="Y164" s="453"/>
      <c r="AA164" s="479" t="s">
        <v>1056</v>
      </c>
      <c r="AB164" s="230">
        <v>1091</v>
      </c>
      <c r="AC164" s="933">
        <v>5.9530000000000003</v>
      </c>
      <c r="AD164" s="450">
        <v>6494.723</v>
      </c>
      <c r="AE164" s="230">
        <v>740</v>
      </c>
      <c r="AF164" s="449">
        <v>6.4480000000000004</v>
      </c>
      <c r="AG164" s="450">
        <v>4771.5200000000004</v>
      </c>
      <c r="AH164" s="446"/>
      <c r="AI164" s="446"/>
      <c r="AJ164" s="450">
        <v>0</v>
      </c>
      <c r="AK164" s="230">
        <v>1831</v>
      </c>
      <c r="AL164" s="452">
        <v>6.1530546149645007</v>
      </c>
      <c r="AM164" s="230">
        <v>11266.243</v>
      </c>
    </row>
    <row r="165" spans="1:39" ht="13.5" thickBot="1">
      <c r="A165" s="481"/>
      <c r="B165" s="482" t="s">
        <v>1057</v>
      </c>
      <c r="C165" s="483"/>
      <c r="D165" s="484"/>
      <c r="E165" s="485"/>
      <c r="F165" s="486">
        <v>1.9809567236250001</v>
      </c>
      <c r="G165" s="486"/>
      <c r="H165" s="485"/>
      <c r="I165" s="487">
        <v>5561.1677787087856</v>
      </c>
      <c r="J165" s="488"/>
      <c r="K165" s="489"/>
      <c r="L165" s="489"/>
      <c r="M165" s="489">
        <v>11016.432702439875</v>
      </c>
      <c r="N165" s="503"/>
      <c r="O165" s="490">
        <v>11016.432702439875</v>
      </c>
      <c r="P165" s="491"/>
      <c r="Q165" s="492"/>
      <c r="R165" s="493"/>
      <c r="S165" s="494"/>
      <c r="T165" s="492"/>
      <c r="U165" s="493"/>
      <c r="V165" s="495"/>
      <c r="W165" s="496"/>
      <c r="X165" s="497"/>
      <c r="Y165" s="498"/>
      <c r="Z165" s="499"/>
      <c r="AA165" s="482" t="s">
        <v>1057</v>
      </c>
      <c r="AB165" s="230">
        <v>1161.3420000000001</v>
      </c>
      <c r="AC165" s="452">
        <v>5.3753351648351648</v>
      </c>
      <c r="AD165" s="450">
        <v>6242.6024910000006</v>
      </c>
      <c r="AE165" s="230">
        <v>819.61472362500001</v>
      </c>
      <c r="AF165" s="452">
        <v>5.824480788151452</v>
      </c>
      <c r="AG165" s="450">
        <v>4773.8302114398748</v>
      </c>
      <c r="AH165" s="767">
        <v>0</v>
      </c>
      <c r="AI165" s="452" t="e">
        <v>#DIV/0!</v>
      </c>
      <c r="AJ165" s="450">
        <v>0</v>
      </c>
      <c r="AK165" s="230">
        <v>1980.956723625</v>
      </c>
      <c r="AL165" s="452">
        <v>5.5611677787087856</v>
      </c>
      <c r="AM165" s="230">
        <v>11016.432702439875</v>
      </c>
    </row>
    <row r="166" spans="1:39" ht="13.5" thickBot="1">
      <c r="A166" s="207"/>
      <c r="B166" s="479" t="s">
        <v>1058</v>
      </c>
      <c r="C166" s="225"/>
      <c r="D166" s="215"/>
      <c r="E166" s="192"/>
      <c r="F166" s="193">
        <v>0</v>
      </c>
      <c r="G166" s="193"/>
      <c r="H166" s="192"/>
      <c r="I166" s="229" t="e">
        <v>#DIV/0!</v>
      </c>
      <c r="J166" s="210"/>
      <c r="K166" s="194"/>
      <c r="L166" s="194"/>
      <c r="M166" s="194">
        <v>0</v>
      </c>
      <c r="N166" s="504"/>
      <c r="O166" s="211">
        <v>0</v>
      </c>
      <c r="P166" s="447"/>
      <c r="Q166" s="448"/>
      <c r="R166" s="449"/>
      <c r="S166" s="450"/>
      <c r="T166" s="448"/>
      <c r="U166" s="449"/>
      <c r="V166" s="230"/>
      <c r="W166" s="451"/>
      <c r="X166" s="480"/>
      <c r="Y166" s="453"/>
      <c r="AA166" s="479" t="s">
        <v>1058</v>
      </c>
      <c r="AB166" s="446"/>
      <c r="AC166" s="933">
        <v>5.9530000000000003</v>
      </c>
      <c r="AD166" s="450">
        <v>0</v>
      </c>
      <c r="AE166" s="446"/>
      <c r="AF166" s="449">
        <v>6.4480000000000004</v>
      </c>
      <c r="AG166" s="450">
        <v>0</v>
      </c>
      <c r="AH166" s="446"/>
      <c r="AI166" s="446"/>
      <c r="AJ166" s="450">
        <v>0</v>
      </c>
      <c r="AK166" s="230">
        <v>0</v>
      </c>
      <c r="AL166" s="452" t="e">
        <v>#DIV/0!</v>
      </c>
      <c r="AM166" s="230">
        <v>0</v>
      </c>
    </row>
    <row r="167" spans="1:39" ht="13.5" thickBot="1">
      <c r="A167" s="460" t="s">
        <v>18</v>
      </c>
      <c r="B167" s="461" t="s">
        <v>868</v>
      </c>
      <c r="C167" s="462" t="e">
        <v>#REF!</v>
      </c>
      <c r="D167" s="463" t="e">
        <v>#REF!</v>
      </c>
      <c r="E167" s="464"/>
      <c r="F167" s="465">
        <v>0.81461227637499989</v>
      </c>
      <c r="G167" s="465"/>
      <c r="H167" s="464"/>
      <c r="I167" s="466"/>
      <c r="J167" s="464"/>
      <c r="K167" s="468"/>
      <c r="L167" s="468"/>
      <c r="M167" s="468">
        <v>4726.2021965601243</v>
      </c>
      <c r="N167" s="505"/>
      <c r="O167" s="469">
        <v>4726.2021965601243</v>
      </c>
      <c r="P167" s="500" t="s">
        <v>887</v>
      </c>
      <c r="Q167" s="471">
        <v>702.21</v>
      </c>
      <c r="R167" s="472">
        <v>4.6040000000000001</v>
      </c>
      <c r="S167" s="473">
        <v>3232.9748400000003</v>
      </c>
      <c r="T167" s="471">
        <v>419</v>
      </c>
      <c r="U167" s="472">
        <v>4.4880000000000004</v>
      </c>
      <c r="V167" s="474">
        <v>1880.4720000000002</v>
      </c>
      <c r="W167" s="501">
        <v>1121.21</v>
      </c>
      <c r="X167" s="502">
        <v>4.5606504044737388</v>
      </c>
      <c r="Y167" s="474">
        <v>5113.4468400000005</v>
      </c>
      <c r="Z167" s="478"/>
      <c r="AA167" s="768" t="s">
        <v>1281</v>
      </c>
      <c r="AB167" s="775">
        <v>457.6579999999999</v>
      </c>
      <c r="AC167" s="911">
        <v>5.5810769373637088</v>
      </c>
      <c r="AD167" s="775">
        <v>2554.2245089999997</v>
      </c>
      <c r="AE167" s="775">
        <v>356.95427637499995</v>
      </c>
      <c r="AF167" s="911">
        <v>6.0847504325129407</v>
      </c>
      <c r="AG167" s="775">
        <v>2171.9776875601247</v>
      </c>
      <c r="AH167" s="922">
        <v>0</v>
      </c>
      <c r="AI167" s="911" t="e">
        <v>#DIV/0!</v>
      </c>
      <c r="AJ167" s="775">
        <v>0</v>
      </c>
      <c r="AK167" s="775">
        <v>814.61227637499985</v>
      </c>
      <c r="AL167" s="911">
        <v>5.8017812076090749</v>
      </c>
      <c r="AM167" s="775">
        <v>4726.2021965601243</v>
      </c>
    </row>
    <row r="168" spans="1:39">
      <c r="A168" s="207"/>
      <c r="B168" s="479" t="s">
        <v>1554</v>
      </c>
      <c r="C168" s="225" t="e">
        <v>#REF!</v>
      </c>
      <c r="D168" s="215" t="e">
        <v>#REF!</v>
      </c>
      <c r="E168" s="192"/>
      <c r="F168" s="193">
        <v>0</v>
      </c>
      <c r="G168" s="193"/>
      <c r="H168" s="192"/>
      <c r="I168" s="229" t="e">
        <v>#DIV/0!</v>
      </c>
      <c r="J168" s="184"/>
      <c r="K168" s="194"/>
      <c r="L168" s="194"/>
      <c r="M168" s="194">
        <v>0</v>
      </c>
      <c r="N168" s="504"/>
      <c r="O168" s="211">
        <v>0</v>
      </c>
      <c r="P168" s="457" t="s">
        <v>435</v>
      </c>
      <c r="Q168" s="446"/>
      <c r="R168" s="446"/>
      <c r="S168" s="446"/>
      <c r="T168" s="446"/>
      <c r="U168" s="446"/>
      <c r="V168" s="446"/>
      <c r="W168" s="458">
        <v>9943.4700000000012</v>
      </c>
      <c r="X168" s="454"/>
      <c r="Y168" s="459">
        <v>52687.176720000003</v>
      </c>
      <c r="AA168" s="479" t="s">
        <v>1554</v>
      </c>
      <c r="AB168" s="446"/>
      <c r="AC168" s="446"/>
      <c r="AD168" s="450">
        <v>0</v>
      </c>
      <c r="AE168" s="446"/>
      <c r="AF168" s="446"/>
      <c r="AG168" s="450">
        <v>0</v>
      </c>
      <c r="AH168" s="446"/>
      <c r="AI168" s="446"/>
      <c r="AJ168" s="450">
        <v>0</v>
      </c>
      <c r="AK168" s="230">
        <v>0</v>
      </c>
      <c r="AL168" s="452" t="e">
        <v>#DIV/0!</v>
      </c>
      <c r="AM168" s="230">
        <v>0</v>
      </c>
    </row>
    <row r="169" spans="1:39">
      <c r="A169" s="506"/>
      <c r="B169" s="482" t="s">
        <v>1057</v>
      </c>
      <c r="C169" s="507"/>
      <c r="D169" s="508"/>
      <c r="E169" s="509"/>
      <c r="F169" s="486">
        <v>0.50261227637499983</v>
      </c>
      <c r="G169" s="510"/>
      <c r="H169" s="509"/>
      <c r="I169" s="487">
        <v>5561.1677787087856</v>
      </c>
      <c r="J169" s="509"/>
      <c r="K169" s="511"/>
      <c r="L169" s="511"/>
      <c r="M169" s="489">
        <v>2795.111196560124</v>
      </c>
      <c r="N169" s="512"/>
      <c r="O169" s="490">
        <v>2795.111196560124</v>
      </c>
      <c r="AA169" s="482" t="s">
        <v>1057</v>
      </c>
      <c r="AB169" s="230">
        <v>294.6579999999999</v>
      </c>
      <c r="AC169" s="452">
        <v>5.3753351648351648</v>
      </c>
      <c r="AD169" s="450">
        <v>1583.8855089999995</v>
      </c>
      <c r="AE169" s="230">
        <v>207.95427637499995</v>
      </c>
      <c r="AF169" s="452">
        <v>5.824480788151452</v>
      </c>
      <c r="AG169" s="450">
        <v>1211.2256875601245</v>
      </c>
      <c r="AH169" s="446"/>
      <c r="AI169" s="446"/>
      <c r="AJ169" s="450">
        <v>0</v>
      </c>
      <c r="AK169" s="230">
        <v>502.61227637499985</v>
      </c>
      <c r="AL169" s="452">
        <v>5.5611677787087856</v>
      </c>
      <c r="AM169" s="230">
        <v>2795.111196560124</v>
      </c>
    </row>
    <row r="170" spans="1:39">
      <c r="A170" s="207"/>
      <c r="B170" s="923" t="s">
        <v>1058</v>
      </c>
      <c r="C170" s="225"/>
      <c r="D170" s="215"/>
      <c r="E170" s="192"/>
      <c r="F170" s="192">
        <v>0.312</v>
      </c>
      <c r="G170" s="193"/>
      <c r="H170" s="192"/>
      <c r="I170" s="229">
        <v>6189.3942307692314</v>
      </c>
      <c r="J170" s="192"/>
      <c r="K170" s="194"/>
      <c r="L170" s="194"/>
      <c r="M170" s="194">
        <v>1931.0910000000001</v>
      </c>
      <c r="N170" s="504"/>
      <c r="O170" s="211">
        <v>1931.0910000000001</v>
      </c>
      <c r="P170" s="941"/>
      <c r="Q170" s="941"/>
      <c r="R170" s="941"/>
      <c r="S170" s="941"/>
      <c r="T170" s="941"/>
      <c r="U170" s="941"/>
      <c r="V170" s="941"/>
      <c r="W170" s="941"/>
      <c r="X170" s="941"/>
      <c r="Y170" s="941"/>
      <c r="Z170" s="941"/>
      <c r="AA170" s="923" t="s">
        <v>1058</v>
      </c>
      <c r="AB170" s="446"/>
      <c r="AC170" s="446"/>
      <c r="AD170" s="230">
        <v>0</v>
      </c>
      <c r="AE170" s="446"/>
      <c r="AF170" s="446"/>
      <c r="AG170" s="230">
        <v>0</v>
      </c>
      <c r="AH170" s="446"/>
      <c r="AI170" s="446"/>
      <c r="AJ170" s="230">
        <v>0</v>
      </c>
      <c r="AK170" s="230">
        <v>0</v>
      </c>
      <c r="AL170" s="452" t="e">
        <v>#DIV/0!</v>
      </c>
      <c r="AM170" s="230">
        <v>0</v>
      </c>
    </row>
    <row r="171" spans="1:39" ht="13.5" thickBot="1">
      <c r="A171" s="934"/>
      <c r="B171" s="927"/>
      <c r="C171" s="935"/>
      <c r="D171" s="936"/>
      <c r="E171" s="937"/>
      <c r="F171" s="938"/>
      <c r="G171" s="938"/>
      <c r="H171" s="937"/>
      <c r="I171" s="939"/>
      <c r="J171" s="937"/>
      <c r="K171" s="940"/>
      <c r="L171" s="940"/>
      <c r="M171" s="940"/>
      <c r="N171" s="940"/>
      <c r="O171" s="940"/>
      <c r="AA171" s="927" t="s">
        <v>1518</v>
      </c>
      <c r="AB171" s="1418">
        <v>163</v>
      </c>
      <c r="AC171" s="1419">
        <v>5.9530000000000003</v>
      </c>
      <c r="AD171" s="1420">
        <v>970.33900000000006</v>
      </c>
      <c r="AE171" s="1418">
        <v>149</v>
      </c>
      <c r="AF171" s="1421">
        <v>6.4480000000000004</v>
      </c>
      <c r="AG171" s="1420">
        <v>960.75200000000007</v>
      </c>
      <c r="AH171" s="1418"/>
      <c r="AI171" s="1418"/>
      <c r="AJ171" s="1420">
        <v>0</v>
      </c>
      <c r="AK171" s="1424">
        <v>312</v>
      </c>
      <c r="AL171" s="1423">
        <v>6.1893942307692313</v>
      </c>
      <c r="AM171" s="1424">
        <v>1931.0910000000001</v>
      </c>
    </row>
    <row r="172" spans="1:39">
      <c r="A172" s="1795" t="s">
        <v>1835</v>
      </c>
      <c r="B172" s="1796"/>
      <c r="C172" s="1796"/>
      <c r="D172" s="1796"/>
      <c r="E172" s="1796"/>
      <c r="F172" s="1796"/>
      <c r="G172" s="1796"/>
      <c r="H172" s="1796"/>
      <c r="I172" s="1796"/>
      <c r="J172" s="1796"/>
      <c r="K172" s="1796"/>
      <c r="L172" s="1796"/>
      <c r="M172" s="1796"/>
      <c r="N172" s="1796"/>
      <c r="O172" s="1798"/>
      <c r="AB172" s="1799" t="s">
        <v>767</v>
      </c>
      <c r="AC172" s="1806"/>
      <c r="AD172" s="1807"/>
      <c r="AE172" s="1799" t="s">
        <v>766</v>
      </c>
      <c r="AF172" s="1808"/>
      <c r="AG172" s="1809"/>
      <c r="AH172" s="1799"/>
      <c r="AI172" s="1808"/>
      <c r="AJ172" s="1809"/>
      <c r="AK172" s="1799" t="s">
        <v>1051</v>
      </c>
      <c r="AL172" s="1808"/>
      <c r="AM172" s="1809"/>
    </row>
    <row r="173" spans="1:39" ht="26.25" thickBot="1">
      <c r="A173" s="207">
        <v>1</v>
      </c>
      <c r="B173" s="218" t="s">
        <v>863</v>
      </c>
      <c r="C173" s="222" t="e">
        <v>#REF!</v>
      </c>
      <c r="D173" s="222" t="e">
        <v>#REF!</v>
      </c>
      <c r="E173" s="187"/>
      <c r="F173" s="188">
        <v>21.832999999999998</v>
      </c>
      <c r="G173" s="188"/>
      <c r="H173" s="187"/>
      <c r="I173" s="187"/>
      <c r="J173" s="187"/>
      <c r="K173" s="189"/>
      <c r="L173" s="189"/>
      <c r="M173" s="189">
        <v>143255.87299999999</v>
      </c>
      <c r="N173" s="189"/>
      <c r="O173" s="213">
        <v>143255.87299999999</v>
      </c>
      <c r="AA173" s="443" t="s">
        <v>1285</v>
      </c>
      <c r="AB173" s="942" t="s">
        <v>1519</v>
      </c>
      <c r="AC173" s="1802" t="s">
        <v>417</v>
      </c>
      <c r="AD173" s="446" t="s">
        <v>1054</v>
      </c>
      <c r="AE173" s="942" t="s">
        <v>1519</v>
      </c>
      <c r="AF173" s="1802" t="s">
        <v>417</v>
      </c>
      <c r="AG173" s="446" t="s">
        <v>1054</v>
      </c>
      <c r="AH173" s="942" t="s">
        <v>1519</v>
      </c>
      <c r="AI173" s="1802" t="s">
        <v>417</v>
      </c>
      <c r="AJ173" s="446" t="s">
        <v>1054</v>
      </c>
      <c r="AK173" s="942" t="s">
        <v>1519</v>
      </c>
      <c r="AL173" s="1802" t="s">
        <v>417</v>
      </c>
      <c r="AM173" s="446" t="s">
        <v>1054</v>
      </c>
    </row>
    <row r="174" spans="1:39" ht="13.5" thickBot="1">
      <c r="A174" s="207" t="s">
        <v>5</v>
      </c>
      <c r="B174" s="208" t="s">
        <v>1870</v>
      </c>
      <c r="C174" s="209"/>
      <c r="D174" s="209"/>
      <c r="E174" s="192"/>
      <c r="F174" s="193">
        <v>19.209</v>
      </c>
      <c r="G174" s="193"/>
      <c r="H174" s="192"/>
      <c r="I174" s="229">
        <v>6637.3906502160444</v>
      </c>
      <c r="J174" s="192">
        <v>5.3924651823909073</v>
      </c>
      <c r="K174" s="194"/>
      <c r="L174" s="194"/>
      <c r="M174" s="194">
        <v>127497.637</v>
      </c>
      <c r="N174" s="194"/>
      <c r="O174" s="211">
        <v>127497.637</v>
      </c>
      <c r="AA174" s="447" t="s">
        <v>864</v>
      </c>
      <c r="AB174" s="456">
        <v>11614</v>
      </c>
      <c r="AC174" s="933">
        <v>6.4480000000000004</v>
      </c>
      <c r="AD174" s="450">
        <v>74887.072</v>
      </c>
      <c r="AE174" s="456">
        <v>7595</v>
      </c>
      <c r="AF174" s="933">
        <v>6.9269999999999996</v>
      </c>
      <c r="AG174" s="450">
        <v>52610.564999999995</v>
      </c>
      <c r="AH174" s="448">
        <v>0</v>
      </c>
      <c r="AI174" s="933" t="e">
        <v>#DIV/0!</v>
      </c>
      <c r="AJ174" s="450">
        <v>0</v>
      </c>
      <c r="AK174" s="456">
        <v>19209</v>
      </c>
      <c r="AL174" s="933">
        <v>6.6373906502160445</v>
      </c>
      <c r="AM174" s="230">
        <v>127497.637</v>
      </c>
    </row>
    <row r="175" spans="1:39" ht="13.5" thickBot="1">
      <c r="A175" s="207" t="s">
        <v>6</v>
      </c>
      <c r="B175" s="228" t="s">
        <v>887</v>
      </c>
      <c r="C175" s="208"/>
      <c r="D175" s="231"/>
      <c r="E175" s="184"/>
      <c r="F175" s="193">
        <v>2.6240000000000001</v>
      </c>
      <c r="G175" s="193"/>
      <c r="H175" s="184"/>
      <c r="I175" s="229">
        <v>6005.4253048780492</v>
      </c>
      <c r="J175" s="192"/>
      <c r="K175" s="184"/>
      <c r="L175" s="184"/>
      <c r="M175" s="194">
        <v>15758.236000000001</v>
      </c>
      <c r="N175" s="184"/>
      <c r="O175" s="211">
        <v>15758.236000000001</v>
      </c>
      <c r="AA175" s="228" t="s">
        <v>1515</v>
      </c>
      <c r="AB175" s="456">
        <v>1064</v>
      </c>
      <c r="AC175" s="449">
        <v>5.5709999999999997</v>
      </c>
      <c r="AD175" s="450">
        <v>5927.5439999999999</v>
      </c>
      <c r="AE175" s="456">
        <v>808</v>
      </c>
      <c r="AF175" s="449">
        <v>5.9829999999999997</v>
      </c>
      <c r="AG175" s="230">
        <v>4834.2640000000001</v>
      </c>
      <c r="AH175" s="448"/>
      <c r="AI175" s="449"/>
      <c r="AJ175" s="230">
        <v>0</v>
      </c>
      <c r="AK175" s="453">
        <v>1872</v>
      </c>
      <c r="AL175" s="480">
        <v>5.7488290598290606</v>
      </c>
      <c r="AM175" s="453">
        <v>10761.808000000001</v>
      </c>
    </row>
    <row r="176" spans="1:39" ht="13.5" thickBot="1">
      <c r="A176" s="207" t="s">
        <v>7</v>
      </c>
      <c r="B176" s="208" t="s">
        <v>432</v>
      </c>
      <c r="C176" s="208"/>
      <c r="D176" s="231"/>
      <c r="E176" s="184"/>
      <c r="F176" s="193"/>
      <c r="G176" s="184"/>
      <c r="H176" s="184"/>
      <c r="I176" s="229"/>
      <c r="J176" s="192"/>
      <c r="K176" s="184"/>
      <c r="L176" s="184"/>
      <c r="M176" s="194"/>
      <c r="N176" s="184"/>
      <c r="O176" s="211">
        <v>0</v>
      </c>
      <c r="Q176" s="1799" t="s">
        <v>767</v>
      </c>
      <c r="R176" s="1800"/>
      <c r="S176" s="1801"/>
      <c r="T176" s="1802" t="s">
        <v>766</v>
      </c>
      <c r="U176" s="1803"/>
      <c r="V176" s="1804"/>
      <c r="W176" s="1802" t="s">
        <v>1051</v>
      </c>
      <c r="X176" s="1803"/>
      <c r="Y176" s="1804"/>
      <c r="AA176" s="228" t="s">
        <v>1516</v>
      </c>
      <c r="AB176" s="456">
        <v>444</v>
      </c>
      <c r="AC176" s="933">
        <v>6.4480000000000004</v>
      </c>
      <c r="AD176" s="450">
        <v>2862.9120000000003</v>
      </c>
      <c r="AE176" s="456">
        <v>308</v>
      </c>
      <c r="AF176" s="449">
        <v>6.9269999999999996</v>
      </c>
      <c r="AG176" s="230">
        <v>2133.5160000000001</v>
      </c>
      <c r="AH176" s="448"/>
      <c r="AI176" s="449"/>
      <c r="AJ176" s="230">
        <v>0</v>
      </c>
      <c r="AK176" s="230">
        <v>752</v>
      </c>
      <c r="AL176" s="452">
        <v>6.644186170212766</v>
      </c>
      <c r="AM176" s="230">
        <v>4996.4279999999999</v>
      </c>
    </row>
    <row r="177" spans="1:39" ht="14.25" thickBot="1">
      <c r="A177" s="207" t="s">
        <v>11</v>
      </c>
      <c r="B177" s="212" t="s">
        <v>865</v>
      </c>
      <c r="C177" s="208"/>
      <c r="D177" s="231"/>
      <c r="E177" s="184">
        <v>0</v>
      </c>
      <c r="F177" s="184"/>
      <c r="G177" s="184"/>
      <c r="H177" s="184"/>
      <c r="I177" s="192"/>
      <c r="J177" s="229"/>
      <c r="K177" s="184"/>
      <c r="L177" s="184"/>
      <c r="M177" s="184"/>
      <c r="N177" s="184"/>
      <c r="O177" s="211"/>
      <c r="P177" s="443" t="s">
        <v>1052</v>
      </c>
      <c r="Q177" s="444" t="s">
        <v>1053</v>
      </c>
      <c r="R177" s="1802" t="s">
        <v>417</v>
      </c>
      <c r="S177" s="446" t="s">
        <v>1054</v>
      </c>
      <c r="T177" s="444" t="s">
        <v>1053</v>
      </c>
      <c r="U177" s="1802" t="s">
        <v>417</v>
      </c>
      <c r="V177" s="446" t="s">
        <v>1054</v>
      </c>
      <c r="W177" s="1802" t="s">
        <v>1053</v>
      </c>
      <c r="X177" s="1802" t="s">
        <v>417</v>
      </c>
      <c r="Y177" s="446" t="s">
        <v>1054</v>
      </c>
      <c r="AA177" s="457" t="s">
        <v>435</v>
      </c>
      <c r="AB177" s="230">
        <v>13122</v>
      </c>
      <c r="AC177" s="452">
        <v>6.3768882792257271</v>
      </c>
      <c r="AD177" s="230">
        <v>83677.527999999991</v>
      </c>
      <c r="AE177" s="230">
        <v>8711</v>
      </c>
      <c r="AF177" s="452">
        <v>6.8394380668120771</v>
      </c>
      <c r="AG177" s="230">
        <v>59578.345000000001</v>
      </c>
      <c r="AH177" s="767">
        <v>0</v>
      </c>
      <c r="AI177" s="446" t="e">
        <v>#DIV/0!</v>
      </c>
      <c r="AJ177" s="230">
        <v>0</v>
      </c>
      <c r="AK177" s="459">
        <v>21833</v>
      </c>
      <c r="AL177" s="912">
        <v>6.5614378692804483</v>
      </c>
      <c r="AM177" s="459">
        <v>143255.87300000002</v>
      </c>
    </row>
    <row r="178" spans="1:39" ht="13.5" thickBot="1">
      <c r="A178" s="460" t="s">
        <v>12</v>
      </c>
      <c r="B178" s="461" t="s">
        <v>866</v>
      </c>
      <c r="C178" s="462" t="e">
        <v>#REF!</v>
      </c>
      <c r="D178" s="463" t="e">
        <v>#REF!</v>
      </c>
      <c r="E178" s="464"/>
      <c r="F178" s="465">
        <v>21.402000000000001</v>
      </c>
      <c r="G178" s="465"/>
      <c r="H178" s="464"/>
      <c r="I178" s="466"/>
      <c r="J178" s="467">
        <v>5.3924651823909073</v>
      </c>
      <c r="K178" s="468"/>
      <c r="L178" s="468"/>
      <c r="M178" s="468">
        <v>140379.06899999999</v>
      </c>
      <c r="N178" s="468"/>
      <c r="O178" s="469">
        <v>140379.06899999999</v>
      </c>
      <c r="P178" s="470" t="s">
        <v>864</v>
      </c>
      <c r="Q178" s="471">
        <v>5740.8600000000006</v>
      </c>
      <c r="R178" s="472">
        <v>5.4480000000000004</v>
      </c>
      <c r="S178" s="473">
        <v>31276.205280000006</v>
      </c>
      <c r="T178" s="471">
        <v>3081.4</v>
      </c>
      <c r="U178" s="472">
        <v>5.2889999999999997</v>
      </c>
      <c r="V178" s="474">
        <v>16297.524599999999</v>
      </c>
      <c r="W178" s="475">
        <v>8822.26</v>
      </c>
      <c r="X178" s="476">
        <v>5.3924651823909073</v>
      </c>
      <c r="Y178" s="477">
        <v>47573.729880000006</v>
      </c>
      <c r="Z178" s="478"/>
      <c r="AA178" s="768" t="s">
        <v>1280</v>
      </c>
      <c r="AB178" s="230">
        <v>12895</v>
      </c>
      <c r="AC178" s="911">
        <v>6.3756364482357508</v>
      </c>
      <c r="AD178" s="775">
        <v>82213.832000000009</v>
      </c>
      <c r="AE178" s="230">
        <v>8507</v>
      </c>
      <c r="AF178" s="911">
        <v>6.8373383096273646</v>
      </c>
      <c r="AG178" s="775">
        <v>58165.236999999994</v>
      </c>
      <c r="AH178" s="774">
        <v>0</v>
      </c>
      <c r="AI178" s="774" t="e">
        <v>#DIV/0!</v>
      </c>
      <c r="AJ178" s="775">
        <v>0</v>
      </c>
      <c r="AK178" s="775">
        <v>21402</v>
      </c>
      <c r="AL178" s="911">
        <v>6.559156574151948</v>
      </c>
      <c r="AM178" s="775">
        <v>140379.06899999999</v>
      </c>
    </row>
    <row r="179" spans="1:39" ht="13.5" thickBot="1">
      <c r="A179" s="207"/>
      <c r="B179" s="479" t="s">
        <v>1055</v>
      </c>
      <c r="C179" s="225"/>
      <c r="D179" s="215"/>
      <c r="E179" s="192"/>
      <c r="F179" s="193">
        <v>16.905000000000001</v>
      </c>
      <c r="G179" s="193"/>
      <c r="H179" s="192"/>
      <c r="I179" s="229">
        <v>6637.9282460810409</v>
      </c>
      <c r="J179" s="210"/>
      <c r="K179" s="194"/>
      <c r="L179" s="194"/>
      <c r="M179" s="194">
        <v>112214.177</v>
      </c>
      <c r="N179" s="194"/>
      <c r="O179" s="211">
        <v>112214.177</v>
      </c>
      <c r="P179" s="447"/>
      <c r="Q179" s="448"/>
      <c r="R179" s="449"/>
      <c r="S179" s="450"/>
      <c r="T179" s="448"/>
      <c r="U179" s="449"/>
      <c r="V179" s="230"/>
      <c r="W179" s="451"/>
      <c r="X179" s="480"/>
      <c r="Y179" s="453"/>
      <c r="AA179" s="479" t="s">
        <v>1055</v>
      </c>
      <c r="AB179" s="230">
        <v>10202</v>
      </c>
      <c r="AC179" s="933">
        <v>6.4480000000000004</v>
      </c>
      <c r="AD179" s="450">
        <v>65782.495999999999</v>
      </c>
      <c r="AE179" s="230">
        <v>6703</v>
      </c>
      <c r="AF179" s="449">
        <v>6.9269999999999996</v>
      </c>
      <c r="AG179" s="450">
        <v>46431.680999999997</v>
      </c>
      <c r="AH179" s="446"/>
      <c r="AI179" s="446"/>
      <c r="AJ179" s="450">
        <v>0</v>
      </c>
      <c r="AK179" s="230">
        <v>16905</v>
      </c>
      <c r="AL179" s="452">
        <v>6.6379282460810405</v>
      </c>
      <c r="AM179" s="230">
        <v>112214.177</v>
      </c>
    </row>
    <row r="180" spans="1:39" ht="13.5" thickBot="1">
      <c r="A180" s="207"/>
      <c r="B180" s="479" t="s">
        <v>1056</v>
      </c>
      <c r="C180" s="225"/>
      <c r="D180" s="215"/>
      <c r="E180" s="192"/>
      <c r="F180" s="193">
        <v>1.873</v>
      </c>
      <c r="G180" s="193"/>
      <c r="H180" s="192"/>
      <c r="I180" s="229">
        <v>6623.94874532835</v>
      </c>
      <c r="J180" s="210"/>
      <c r="K180" s="194"/>
      <c r="L180" s="194"/>
      <c r="M180" s="194">
        <v>12406.655999999999</v>
      </c>
      <c r="N180" s="194"/>
      <c r="O180" s="211">
        <v>12406.655999999999</v>
      </c>
      <c r="P180" s="447"/>
      <c r="Q180" s="448"/>
      <c r="R180" s="449"/>
      <c r="S180" s="450"/>
      <c r="T180" s="448"/>
      <c r="U180" s="449"/>
      <c r="V180" s="230"/>
      <c r="W180" s="451"/>
      <c r="X180" s="480"/>
      <c r="Y180" s="453"/>
      <c r="AA180" s="479" t="s">
        <v>1056</v>
      </c>
      <c r="AB180" s="230">
        <v>1185</v>
      </c>
      <c r="AC180" s="933">
        <v>6.4480000000000004</v>
      </c>
      <c r="AD180" s="450">
        <v>7640.88</v>
      </c>
      <c r="AE180" s="230">
        <v>688</v>
      </c>
      <c r="AF180" s="449">
        <v>6.9269999999999996</v>
      </c>
      <c r="AG180" s="450">
        <v>4765.7759999999998</v>
      </c>
      <c r="AH180" s="446"/>
      <c r="AI180" s="446"/>
      <c r="AJ180" s="450">
        <v>0</v>
      </c>
      <c r="AK180" s="230">
        <v>1873</v>
      </c>
      <c r="AL180" s="452">
        <v>6.6239487453283497</v>
      </c>
      <c r="AM180" s="230">
        <v>12406.655999999999</v>
      </c>
    </row>
    <row r="181" spans="1:39" ht="13.5" thickBot="1">
      <c r="A181" s="481"/>
      <c r="B181" s="482" t="s">
        <v>1057</v>
      </c>
      <c r="C181" s="483"/>
      <c r="D181" s="484"/>
      <c r="E181" s="485"/>
      <c r="F181" s="486">
        <v>2.6240000000000001</v>
      </c>
      <c r="G181" s="486"/>
      <c r="H181" s="485"/>
      <c r="I181" s="487">
        <v>6005.4253048780492</v>
      </c>
      <c r="J181" s="488"/>
      <c r="K181" s="489"/>
      <c r="L181" s="489"/>
      <c r="M181" s="489">
        <v>15758.236000000001</v>
      </c>
      <c r="N181" s="503"/>
      <c r="O181" s="490">
        <v>15758.236000000001</v>
      </c>
      <c r="P181" s="491"/>
      <c r="Q181" s="492"/>
      <c r="R181" s="493"/>
      <c r="S181" s="494"/>
      <c r="T181" s="492"/>
      <c r="U181" s="493"/>
      <c r="V181" s="495"/>
      <c r="W181" s="496"/>
      <c r="X181" s="497"/>
      <c r="Y181" s="498"/>
      <c r="Z181" s="499"/>
      <c r="AA181" s="482" t="s">
        <v>1057</v>
      </c>
      <c r="AB181" s="230">
        <v>1508</v>
      </c>
      <c r="AC181" s="452">
        <v>5.8292148541114059</v>
      </c>
      <c r="AD181" s="450">
        <v>8790.4560000000001</v>
      </c>
      <c r="AE181" s="230">
        <v>1116</v>
      </c>
      <c r="AF181" s="452">
        <v>6.2435304659498216</v>
      </c>
      <c r="AG181" s="450">
        <v>6967.7800000000007</v>
      </c>
      <c r="AH181" s="767">
        <v>0</v>
      </c>
      <c r="AI181" s="452" t="e">
        <v>#DIV/0!</v>
      </c>
      <c r="AJ181" s="450">
        <v>0</v>
      </c>
      <c r="AK181" s="230">
        <v>2624</v>
      </c>
      <c r="AL181" s="452">
        <v>6.0054253048780488</v>
      </c>
      <c r="AM181" s="230">
        <v>15758.236000000001</v>
      </c>
    </row>
    <row r="182" spans="1:39" ht="13.5" thickBot="1">
      <c r="A182" s="207"/>
      <c r="B182" s="479" t="s">
        <v>1058</v>
      </c>
      <c r="C182" s="225"/>
      <c r="D182" s="215"/>
      <c r="E182" s="192"/>
      <c r="F182" s="193">
        <v>0</v>
      </c>
      <c r="G182" s="193"/>
      <c r="H182" s="192"/>
      <c r="I182" s="229" t="e">
        <v>#DIV/0!</v>
      </c>
      <c r="J182" s="210"/>
      <c r="K182" s="194"/>
      <c r="L182" s="194"/>
      <c r="M182" s="194">
        <v>0</v>
      </c>
      <c r="N182" s="504"/>
      <c r="O182" s="211">
        <v>0</v>
      </c>
      <c r="P182" s="447"/>
      <c r="Q182" s="448"/>
      <c r="R182" s="449"/>
      <c r="S182" s="450"/>
      <c r="T182" s="448"/>
      <c r="U182" s="449"/>
      <c r="V182" s="230"/>
      <c r="W182" s="451"/>
      <c r="X182" s="480"/>
      <c r="Y182" s="453"/>
      <c r="AA182" s="479" t="s">
        <v>1058</v>
      </c>
      <c r="AB182" s="446"/>
      <c r="AC182" s="933">
        <v>5.9530000000000003</v>
      </c>
      <c r="AD182" s="450">
        <v>0</v>
      </c>
      <c r="AE182" s="446"/>
      <c r="AF182" s="449">
        <v>6.4480000000000004</v>
      </c>
      <c r="AG182" s="450">
        <v>0</v>
      </c>
      <c r="AH182" s="446"/>
      <c r="AI182" s="446"/>
      <c r="AJ182" s="450">
        <v>0</v>
      </c>
      <c r="AK182" s="230">
        <v>0</v>
      </c>
      <c r="AL182" s="452" t="e">
        <v>#DIV/0!</v>
      </c>
      <c r="AM182" s="230">
        <v>0</v>
      </c>
    </row>
    <row r="183" spans="1:39" ht="13.5" thickBot="1">
      <c r="A183" s="460" t="s">
        <v>18</v>
      </c>
      <c r="B183" s="461" t="s">
        <v>868</v>
      </c>
      <c r="C183" s="462" t="e">
        <v>#REF!</v>
      </c>
      <c r="D183" s="463" t="e">
        <v>#REF!</v>
      </c>
      <c r="E183" s="464"/>
      <c r="F183" s="465">
        <v>0.43099999999999999</v>
      </c>
      <c r="G183" s="465"/>
      <c r="H183" s="464"/>
      <c r="I183" s="466"/>
      <c r="J183" s="464"/>
      <c r="K183" s="468"/>
      <c r="L183" s="468"/>
      <c r="M183" s="468">
        <v>2876.8040000000001</v>
      </c>
      <c r="N183" s="505"/>
      <c r="O183" s="469">
        <v>2876.8040000000001</v>
      </c>
      <c r="P183" s="500" t="s">
        <v>887</v>
      </c>
      <c r="Q183" s="471">
        <v>702.21</v>
      </c>
      <c r="R183" s="472">
        <v>4.6040000000000001</v>
      </c>
      <c r="S183" s="473">
        <v>3232.9748400000003</v>
      </c>
      <c r="T183" s="471">
        <v>419</v>
      </c>
      <c r="U183" s="472">
        <v>4.4880000000000004</v>
      </c>
      <c r="V183" s="474">
        <v>1880.4720000000002</v>
      </c>
      <c r="W183" s="501">
        <v>1121.21</v>
      </c>
      <c r="X183" s="502">
        <v>4.5606504044737388</v>
      </c>
      <c r="Y183" s="474">
        <v>5113.4468400000005</v>
      </c>
      <c r="Z183" s="478"/>
      <c r="AA183" s="768" t="s">
        <v>1281</v>
      </c>
      <c r="AB183" s="775">
        <v>227</v>
      </c>
      <c r="AC183" s="911">
        <v>6.4480000000000004</v>
      </c>
      <c r="AD183" s="775">
        <v>1463.6960000000001</v>
      </c>
      <c r="AE183" s="775">
        <v>204</v>
      </c>
      <c r="AF183" s="911">
        <v>6.9269999999999996</v>
      </c>
      <c r="AG183" s="775">
        <v>1413.1079999999999</v>
      </c>
      <c r="AH183" s="922">
        <v>0</v>
      </c>
      <c r="AI183" s="911" t="e">
        <v>#DIV/0!</v>
      </c>
      <c r="AJ183" s="775">
        <v>0</v>
      </c>
      <c r="AK183" s="775">
        <v>431</v>
      </c>
      <c r="AL183" s="911">
        <v>6.6747192575406036</v>
      </c>
      <c r="AM183" s="775">
        <v>2876.8040000000001</v>
      </c>
    </row>
    <row r="184" spans="1:39">
      <c r="A184" s="207"/>
      <c r="B184" s="479" t="s">
        <v>1554</v>
      </c>
      <c r="C184" s="225" t="e">
        <v>#REF!</v>
      </c>
      <c r="D184" s="215" t="e">
        <v>#REF!</v>
      </c>
      <c r="E184" s="192"/>
      <c r="F184" s="193">
        <v>0</v>
      </c>
      <c r="G184" s="193"/>
      <c r="H184" s="192"/>
      <c r="I184" s="229" t="e">
        <v>#DIV/0!</v>
      </c>
      <c r="J184" s="184"/>
      <c r="K184" s="194"/>
      <c r="L184" s="194"/>
      <c r="M184" s="194">
        <v>0</v>
      </c>
      <c r="N184" s="504"/>
      <c r="O184" s="211">
        <v>0</v>
      </c>
      <c r="P184" s="457" t="s">
        <v>435</v>
      </c>
      <c r="Q184" s="446"/>
      <c r="R184" s="446"/>
      <c r="S184" s="446"/>
      <c r="T184" s="446"/>
      <c r="U184" s="446"/>
      <c r="V184" s="446"/>
      <c r="W184" s="458">
        <v>9943.4700000000012</v>
      </c>
      <c r="X184" s="454"/>
      <c r="Y184" s="459">
        <v>52687.176720000003</v>
      </c>
      <c r="AA184" s="479" t="s">
        <v>1554</v>
      </c>
      <c r="AB184" s="446"/>
      <c r="AC184" s="446"/>
      <c r="AD184" s="450">
        <v>0</v>
      </c>
      <c r="AE184" s="446"/>
      <c r="AF184" s="446"/>
      <c r="AG184" s="450">
        <v>0</v>
      </c>
      <c r="AH184" s="446"/>
      <c r="AI184" s="446"/>
      <c r="AJ184" s="450">
        <v>0</v>
      </c>
      <c r="AK184" s="230">
        <v>0</v>
      </c>
      <c r="AL184" s="452" t="e">
        <v>#DIV/0!</v>
      </c>
      <c r="AM184" s="230">
        <v>0</v>
      </c>
    </row>
    <row r="185" spans="1:39">
      <c r="A185" s="506"/>
      <c r="B185" s="482" t="s">
        <v>1057</v>
      </c>
      <c r="C185" s="507"/>
      <c r="D185" s="508"/>
      <c r="E185" s="509"/>
      <c r="F185" s="486">
        <v>0</v>
      </c>
      <c r="G185" s="510"/>
      <c r="H185" s="509"/>
      <c r="I185" s="487" t="e">
        <v>#DIV/0!</v>
      </c>
      <c r="J185" s="509"/>
      <c r="K185" s="511"/>
      <c r="L185" s="511"/>
      <c r="M185" s="489">
        <v>0</v>
      </c>
      <c r="N185" s="512"/>
      <c r="O185" s="490">
        <v>0</v>
      </c>
      <c r="AA185" s="482" t="s">
        <v>1057</v>
      </c>
      <c r="AB185" s="446"/>
      <c r="AC185" s="446"/>
      <c r="AD185" s="450">
        <v>0</v>
      </c>
      <c r="AE185" s="446"/>
      <c r="AF185" s="446"/>
      <c r="AG185" s="450">
        <v>0</v>
      </c>
      <c r="AH185" s="446"/>
      <c r="AI185" s="446"/>
      <c r="AJ185" s="450">
        <v>0</v>
      </c>
      <c r="AK185" s="230">
        <v>0</v>
      </c>
      <c r="AL185" s="452" t="e">
        <v>#DIV/0!</v>
      </c>
      <c r="AM185" s="230">
        <v>0</v>
      </c>
    </row>
    <row r="186" spans="1:39">
      <c r="A186" s="207"/>
      <c r="B186" s="923" t="s">
        <v>1058</v>
      </c>
      <c r="C186" s="225"/>
      <c r="D186" s="215"/>
      <c r="E186" s="192"/>
      <c r="F186" s="192">
        <v>0.43099999999999999</v>
      </c>
      <c r="G186" s="193"/>
      <c r="H186" s="192"/>
      <c r="I186" s="229">
        <v>6674.7192575406034</v>
      </c>
      <c r="J186" s="192"/>
      <c r="K186" s="194"/>
      <c r="L186" s="194"/>
      <c r="M186" s="194">
        <v>2876.8040000000001</v>
      </c>
      <c r="N186" s="504"/>
      <c r="O186" s="211">
        <v>2876.8040000000001</v>
      </c>
      <c r="P186" s="941"/>
      <c r="Q186" s="941"/>
      <c r="R186" s="941"/>
      <c r="S186" s="941"/>
      <c r="T186" s="941"/>
      <c r="U186" s="941"/>
      <c r="V186" s="941"/>
      <c r="W186" s="941"/>
      <c r="X186" s="941"/>
      <c r="Y186" s="941"/>
      <c r="Z186" s="941"/>
      <c r="AA186" s="923" t="s">
        <v>1058</v>
      </c>
      <c r="AB186" s="446"/>
      <c r="AC186" s="446"/>
      <c r="AD186" s="230">
        <v>0</v>
      </c>
      <c r="AE186" s="446"/>
      <c r="AF186" s="446"/>
      <c r="AG186" s="230">
        <v>0</v>
      </c>
      <c r="AH186" s="446"/>
      <c r="AI186" s="446"/>
      <c r="AJ186" s="230">
        <v>0</v>
      </c>
      <c r="AK186" s="230">
        <v>0</v>
      </c>
      <c r="AL186" s="452" t="e">
        <v>#DIV/0!</v>
      </c>
      <c r="AM186" s="230">
        <v>0</v>
      </c>
    </row>
    <row r="187" spans="1:39" ht="13.5" thickBot="1">
      <c r="A187" s="934"/>
      <c r="B187" s="927"/>
      <c r="C187" s="935"/>
      <c r="D187" s="936"/>
      <c r="E187" s="937"/>
      <c r="F187" s="938"/>
      <c r="G187" s="938"/>
      <c r="H187" s="937"/>
      <c r="I187" s="939"/>
      <c r="J187" s="937"/>
      <c r="K187" s="940"/>
      <c r="L187" s="940"/>
      <c r="M187" s="940"/>
      <c r="N187" s="940"/>
      <c r="O187" s="940"/>
      <c r="AA187" s="927" t="s">
        <v>1518</v>
      </c>
      <c r="AB187" s="1418">
        <v>227</v>
      </c>
      <c r="AC187" s="1419">
        <v>6.4480000000000004</v>
      </c>
      <c r="AD187" s="1420">
        <v>1463.6960000000001</v>
      </c>
      <c r="AE187" s="1418">
        <v>204</v>
      </c>
      <c r="AF187" s="1421">
        <v>6.9269999999999996</v>
      </c>
      <c r="AG187" s="1420">
        <v>1413.1079999999999</v>
      </c>
      <c r="AH187" s="1418"/>
      <c r="AI187" s="1418"/>
      <c r="AJ187" s="1420">
        <v>0</v>
      </c>
      <c r="AK187" s="1424">
        <v>431</v>
      </c>
      <c r="AL187" s="1423">
        <v>6.6747192575406036</v>
      </c>
      <c r="AM187" s="1424">
        <v>2876.8040000000001</v>
      </c>
    </row>
    <row r="188" spans="1:39">
      <c r="A188" s="1805" t="s">
        <v>1861</v>
      </c>
      <c r="B188" s="1805"/>
      <c r="C188" s="1805"/>
      <c r="D188" s="1805"/>
      <c r="E188" s="1805"/>
      <c r="F188" s="1805"/>
      <c r="G188" s="1805"/>
      <c r="H188" s="1805"/>
      <c r="I188" s="1805"/>
      <c r="J188" s="1805"/>
      <c r="K188" s="1805"/>
      <c r="L188" s="1805"/>
      <c r="M188" s="1805"/>
      <c r="N188" s="1805"/>
      <c r="O188" s="1805"/>
      <c r="AB188" s="1799" t="s">
        <v>767</v>
      </c>
      <c r="AC188" s="1806"/>
      <c r="AD188" s="1807"/>
      <c r="AE188" s="1799" t="s">
        <v>766</v>
      </c>
      <c r="AF188" s="1808"/>
      <c r="AG188" s="1809"/>
      <c r="AH188" s="1799"/>
      <c r="AI188" s="1808"/>
      <c r="AJ188" s="1809"/>
      <c r="AK188" s="1799" t="s">
        <v>1051</v>
      </c>
      <c r="AL188" s="1808"/>
      <c r="AM188" s="1809"/>
    </row>
    <row r="189" spans="1:39" ht="26.25" thickBot="1">
      <c r="A189" s="207">
        <v>1</v>
      </c>
      <c r="B189" s="218" t="s">
        <v>863</v>
      </c>
      <c r="C189" s="222" t="e">
        <v>#REF!</v>
      </c>
      <c r="D189" s="222" t="e">
        <v>#REF!</v>
      </c>
      <c r="E189" s="187"/>
      <c r="F189" s="188">
        <v>21.382999999999999</v>
      </c>
      <c r="G189" s="188"/>
      <c r="H189" s="187"/>
      <c r="I189" s="187"/>
      <c r="J189" s="187"/>
      <c r="K189" s="189"/>
      <c r="L189" s="189"/>
      <c r="M189" s="189">
        <v>140308.62900000002</v>
      </c>
      <c r="N189" s="189"/>
      <c r="O189" s="213">
        <v>140308.62900000002</v>
      </c>
      <c r="AA189" s="443" t="s">
        <v>1285</v>
      </c>
      <c r="AB189" s="942" t="s">
        <v>1519</v>
      </c>
      <c r="AC189" s="1802" t="s">
        <v>417</v>
      </c>
      <c r="AD189" s="446" t="s">
        <v>1054</v>
      </c>
      <c r="AE189" s="942" t="s">
        <v>1519</v>
      </c>
      <c r="AF189" s="1802" t="s">
        <v>417</v>
      </c>
      <c r="AG189" s="446" t="s">
        <v>1054</v>
      </c>
      <c r="AH189" s="942" t="s">
        <v>1519</v>
      </c>
      <c r="AI189" s="1802" t="s">
        <v>417</v>
      </c>
      <c r="AJ189" s="446" t="s">
        <v>1054</v>
      </c>
      <c r="AK189" s="942" t="s">
        <v>1519</v>
      </c>
      <c r="AL189" s="1802" t="s">
        <v>417</v>
      </c>
      <c r="AM189" s="446" t="s">
        <v>1054</v>
      </c>
    </row>
    <row r="190" spans="1:39" ht="13.5" thickBot="1">
      <c r="A190" s="207" t="s">
        <v>5</v>
      </c>
      <c r="B190" s="208" t="s">
        <v>1870</v>
      </c>
      <c r="C190" s="209"/>
      <c r="D190" s="209"/>
      <c r="E190" s="192"/>
      <c r="F190" s="193">
        <v>18.696999999999999</v>
      </c>
      <c r="G190" s="193"/>
      <c r="H190" s="192"/>
      <c r="I190" s="229">
        <v>6641.0910306466276</v>
      </c>
      <c r="J190" s="192">
        <v>5.3924651823909073</v>
      </c>
      <c r="K190" s="194"/>
      <c r="L190" s="194"/>
      <c r="M190" s="194">
        <v>124168.47900000001</v>
      </c>
      <c r="N190" s="194"/>
      <c r="O190" s="211">
        <v>124168.47900000001</v>
      </c>
      <c r="AA190" s="447" t="s">
        <v>864</v>
      </c>
      <c r="AB190" s="456">
        <v>11160</v>
      </c>
      <c r="AC190" s="933">
        <v>6.4480000000000004</v>
      </c>
      <c r="AD190" s="450">
        <v>71959.680000000008</v>
      </c>
      <c r="AE190" s="456">
        <v>7537</v>
      </c>
      <c r="AF190" s="933">
        <v>6.9269999999999996</v>
      </c>
      <c r="AG190" s="450">
        <v>52208.798999999999</v>
      </c>
      <c r="AH190" s="448">
        <v>0</v>
      </c>
      <c r="AI190" s="933" t="e">
        <v>#DIV/0!</v>
      </c>
      <c r="AJ190" s="450">
        <v>0</v>
      </c>
      <c r="AK190" s="456">
        <v>18697</v>
      </c>
      <c r="AL190" s="933">
        <v>6.6410910306466278</v>
      </c>
      <c r="AM190" s="230">
        <v>124168.47900000001</v>
      </c>
    </row>
    <row r="191" spans="1:39" ht="13.5" thickBot="1">
      <c r="A191" s="207" t="s">
        <v>6</v>
      </c>
      <c r="B191" s="228" t="s">
        <v>887</v>
      </c>
      <c r="C191" s="208"/>
      <c r="D191" s="231"/>
      <c r="E191" s="184"/>
      <c r="F191" s="193">
        <v>2.6859999999999999</v>
      </c>
      <c r="G191" s="193"/>
      <c r="H191" s="184"/>
      <c r="I191" s="229">
        <v>6008.9910647803426</v>
      </c>
      <c r="J191" s="192"/>
      <c r="K191" s="184"/>
      <c r="L191" s="184"/>
      <c r="M191" s="194">
        <v>16140.15</v>
      </c>
      <c r="N191" s="184"/>
      <c r="O191" s="211">
        <v>16140.15</v>
      </c>
      <c r="AA191" s="228" t="s">
        <v>1515</v>
      </c>
      <c r="AB191" s="456">
        <v>1058</v>
      </c>
      <c r="AC191" s="449">
        <v>5.5709999999999997</v>
      </c>
      <c r="AD191" s="450">
        <v>5894.1179999999995</v>
      </c>
      <c r="AE191" s="456">
        <v>867</v>
      </c>
      <c r="AF191" s="449">
        <v>5.9829999999999997</v>
      </c>
      <c r="AG191" s="230">
        <v>5187.2609999999995</v>
      </c>
      <c r="AH191" s="448"/>
      <c r="AI191" s="449"/>
      <c r="AJ191" s="230">
        <v>0</v>
      </c>
      <c r="AK191" s="453">
        <v>1925</v>
      </c>
      <c r="AL191" s="480">
        <v>5.7565605194805194</v>
      </c>
      <c r="AM191" s="453">
        <v>11081.378999999999</v>
      </c>
    </row>
    <row r="192" spans="1:39" ht="13.5" thickBot="1">
      <c r="A192" s="207" t="s">
        <v>7</v>
      </c>
      <c r="B192" s="208" t="s">
        <v>432</v>
      </c>
      <c r="C192" s="208"/>
      <c r="D192" s="231"/>
      <c r="E192" s="184"/>
      <c r="F192" s="193"/>
      <c r="G192" s="184"/>
      <c r="H192" s="184"/>
      <c r="I192" s="229"/>
      <c r="J192" s="192"/>
      <c r="K192" s="184"/>
      <c r="L192" s="184"/>
      <c r="M192" s="194"/>
      <c r="N192" s="184"/>
      <c r="O192" s="211">
        <v>0</v>
      </c>
      <c r="Q192" s="1799" t="s">
        <v>767</v>
      </c>
      <c r="R192" s="1800"/>
      <c r="S192" s="1801"/>
      <c r="T192" s="1802" t="s">
        <v>766</v>
      </c>
      <c r="U192" s="1803"/>
      <c r="V192" s="1804"/>
      <c r="W192" s="1802" t="s">
        <v>1051</v>
      </c>
      <c r="X192" s="1803"/>
      <c r="Y192" s="1804"/>
      <c r="AA192" s="228" t="s">
        <v>1516</v>
      </c>
      <c r="AB192" s="456">
        <v>444</v>
      </c>
      <c r="AC192" s="933">
        <v>6.4480000000000004</v>
      </c>
      <c r="AD192" s="450">
        <v>2862.9120000000003</v>
      </c>
      <c r="AE192" s="456">
        <v>317</v>
      </c>
      <c r="AF192" s="449">
        <v>6.9269999999999996</v>
      </c>
      <c r="AG192" s="230">
        <v>2195.8589999999999</v>
      </c>
      <c r="AH192" s="448"/>
      <c r="AI192" s="449"/>
      <c r="AJ192" s="230">
        <v>0</v>
      </c>
      <c r="AK192" s="230">
        <v>761</v>
      </c>
      <c r="AL192" s="452">
        <v>6.6475308804204998</v>
      </c>
      <c r="AM192" s="230">
        <v>5058.7710000000006</v>
      </c>
    </row>
    <row r="193" spans="1:41" ht="14.25" thickBot="1">
      <c r="A193" s="207" t="s">
        <v>11</v>
      </c>
      <c r="B193" s="212" t="s">
        <v>865</v>
      </c>
      <c r="C193" s="208"/>
      <c r="D193" s="231"/>
      <c r="E193" s="184">
        <v>0</v>
      </c>
      <c r="F193" s="184"/>
      <c r="G193" s="184"/>
      <c r="H193" s="184"/>
      <c r="I193" s="192"/>
      <c r="J193" s="229"/>
      <c r="K193" s="184"/>
      <c r="L193" s="184"/>
      <c r="M193" s="184"/>
      <c r="N193" s="184"/>
      <c r="O193" s="211"/>
      <c r="P193" s="443" t="s">
        <v>1052</v>
      </c>
      <c r="Q193" s="444" t="s">
        <v>1053</v>
      </c>
      <c r="R193" s="1802" t="s">
        <v>417</v>
      </c>
      <c r="S193" s="446" t="s">
        <v>1054</v>
      </c>
      <c r="T193" s="444" t="s">
        <v>1053</v>
      </c>
      <c r="U193" s="1802" t="s">
        <v>417</v>
      </c>
      <c r="V193" s="446" t="s">
        <v>1054</v>
      </c>
      <c r="W193" s="1802" t="s">
        <v>1053</v>
      </c>
      <c r="X193" s="1802" t="s">
        <v>417</v>
      </c>
      <c r="Y193" s="446" t="s">
        <v>1054</v>
      </c>
      <c r="AA193" s="457" t="s">
        <v>435</v>
      </c>
      <c r="AB193" s="230">
        <v>12662</v>
      </c>
      <c r="AC193" s="452">
        <v>6.3747204233138532</v>
      </c>
      <c r="AD193" s="230">
        <v>80716.710000000006</v>
      </c>
      <c r="AE193" s="230">
        <v>8721</v>
      </c>
      <c r="AF193" s="452">
        <v>6.8331520467836251</v>
      </c>
      <c r="AG193" s="230">
        <v>59591.918999999994</v>
      </c>
      <c r="AH193" s="767">
        <v>0</v>
      </c>
      <c r="AI193" s="446" t="e">
        <v>#DIV/0!</v>
      </c>
      <c r="AJ193" s="230">
        <v>0</v>
      </c>
      <c r="AK193" s="459">
        <v>21383</v>
      </c>
      <c r="AL193" s="912">
        <v>6.5616905485666193</v>
      </c>
      <c r="AM193" s="459">
        <v>140308.62900000002</v>
      </c>
    </row>
    <row r="194" spans="1:41" ht="13.5" thickBot="1">
      <c r="A194" s="460" t="s">
        <v>12</v>
      </c>
      <c r="B194" s="461" t="s">
        <v>866</v>
      </c>
      <c r="C194" s="462" t="e">
        <v>#REF!</v>
      </c>
      <c r="D194" s="463" t="e">
        <v>#REF!</v>
      </c>
      <c r="E194" s="464"/>
      <c r="F194" s="465">
        <v>20.95</v>
      </c>
      <c r="G194" s="465"/>
      <c r="H194" s="464"/>
      <c r="I194" s="466"/>
      <c r="J194" s="467">
        <v>5.3924651823909073</v>
      </c>
      <c r="K194" s="468"/>
      <c r="L194" s="468"/>
      <c r="M194" s="468">
        <v>137418.45000000001</v>
      </c>
      <c r="N194" s="468"/>
      <c r="O194" s="469">
        <v>137418.45000000001</v>
      </c>
      <c r="P194" s="470" t="s">
        <v>864</v>
      </c>
      <c r="Q194" s="471">
        <v>5740.8600000000006</v>
      </c>
      <c r="R194" s="472">
        <v>5.4480000000000004</v>
      </c>
      <c r="S194" s="473">
        <v>31276.205280000006</v>
      </c>
      <c r="T194" s="471">
        <v>3081.4</v>
      </c>
      <c r="U194" s="472">
        <v>5.2889999999999997</v>
      </c>
      <c r="V194" s="474">
        <v>16297.524599999999</v>
      </c>
      <c r="W194" s="475">
        <v>8822.26</v>
      </c>
      <c r="X194" s="476">
        <v>5.3924651823909073</v>
      </c>
      <c r="Y194" s="477">
        <v>47573.729880000006</v>
      </c>
      <c r="Z194" s="478"/>
      <c r="AA194" s="768" t="s">
        <v>1280</v>
      </c>
      <c r="AB194" s="230">
        <v>12434</v>
      </c>
      <c r="AC194" s="911">
        <v>6.3733767090236455</v>
      </c>
      <c r="AD194" s="775">
        <v>79246.566000000006</v>
      </c>
      <c r="AE194" s="230">
        <v>8516</v>
      </c>
      <c r="AF194" s="911">
        <v>6.8308929074682938</v>
      </c>
      <c r="AG194" s="775">
        <v>58171.883999999991</v>
      </c>
      <c r="AH194" s="774">
        <v>0</v>
      </c>
      <c r="AI194" s="774" t="e">
        <v>#DIV/0!</v>
      </c>
      <c r="AJ194" s="775">
        <v>0</v>
      </c>
      <c r="AK194" s="775">
        <v>20950</v>
      </c>
      <c r="AL194" s="911">
        <v>6.559353221957041</v>
      </c>
      <c r="AM194" s="775">
        <v>137418.45000000001</v>
      </c>
    </row>
    <row r="195" spans="1:41" ht="13.5" thickBot="1">
      <c r="A195" s="207"/>
      <c r="B195" s="479" t="s">
        <v>1055</v>
      </c>
      <c r="C195" s="225"/>
      <c r="D195" s="215"/>
      <c r="E195" s="192"/>
      <c r="F195" s="193">
        <v>16.390999999999998</v>
      </c>
      <c r="G195" s="193"/>
      <c r="H195" s="192"/>
      <c r="I195" s="229">
        <v>6642.1599658349096</v>
      </c>
      <c r="J195" s="210"/>
      <c r="K195" s="194"/>
      <c r="L195" s="194"/>
      <c r="M195" s="194">
        <v>108871.644</v>
      </c>
      <c r="N195" s="194"/>
      <c r="O195" s="211">
        <v>108871.644</v>
      </c>
      <c r="P195" s="447"/>
      <c r="Q195" s="448"/>
      <c r="R195" s="449"/>
      <c r="S195" s="450"/>
      <c r="T195" s="448"/>
      <c r="U195" s="449"/>
      <c r="V195" s="230"/>
      <c r="W195" s="451"/>
      <c r="X195" s="480"/>
      <c r="Y195" s="453"/>
      <c r="AA195" s="479" t="s">
        <v>1055</v>
      </c>
      <c r="AB195" s="230">
        <v>9747</v>
      </c>
      <c r="AC195" s="933">
        <v>6.4480000000000004</v>
      </c>
      <c r="AD195" s="450">
        <v>62848.656000000003</v>
      </c>
      <c r="AE195" s="230">
        <v>6644</v>
      </c>
      <c r="AF195" s="449">
        <v>6.9269999999999996</v>
      </c>
      <c r="AG195" s="450">
        <v>46022.987999999998</v>
      </c>
      <c r="AH195" s="446"/>
      <c r="AI195" s="446"/>
      <c r="AJ195" s="450">
        <v>0</v>
      </c>
      <c r="AK195" s="230">
        <v>16391</v>
      </c>
      <c r="AL195" s="452">
        <v>6.6421599658349093</v>
      </c>
      <c r="AM195" s="230">
        <v>108871.644</v>
      </c>
    </row>
    <row r="196" spans="1:41" ht="13.5" thickBot="1">
      <c r="A196" s="207"/>
      <c r="B196" s="479" t="s">
        <v>1056</v>
      </c>
      <c r="C196" s="225"/>
      <c r="D196" s="215"/>
      <c r="E196" s="192"/>
      <c r="F196" s="193">
        <v>1.873</v>
      </c>
      <c r="G196" s="193"/>
      <c r="H196" s="192"/>
      <c r="I196" s="229">
        <v>6623.94874532835</v>
      </c>
      <c r="J196" s="210"/>
      <c r="K196" s="194"/>
      <c r="L196" s="194"/>
      <c r="M196" s="194">
        <v>12406.655999999999</v>
      </c>
      <c r="N196" s="194"/>
      <c r="O196" s="211">
        <v>12406.655999999999</v>
      </c>
      <c r="P196" s="447"/>
      <c r="Q196" s="448"/>
      <c r="R196" s="449"/>
      <c r="S196" s="450"/>
      <c r="T196" s="448"/>
      <c r="U196" s="449"/>
      <c r="V196" s="230"/>
      <c r="W196" s="451"/>
      <c r="X196" s="480"/>
      <c r="Y196" s="453"/>
      <c r="AA196" s="479" t="s">
        <v>1056</v>
      </c>
      <c r="AB196" s="230">
        <v>1185</v>
      </c>
      <c r="AC196" s="933">
        <v>6.4480000000000004</v>
      </c>
      <c r="AD196" s="450">
        <v>7640.88</v>
      </c>
      <c r="AE196" s="230">
        <v>688</v>
      </c>
      <c r="AF196" s="449">
        <v>6.9269999999999996</v>
      </c>
      <c r="AG196" s="450">
        <v>4765.7759999999998</v>
      </c>
      <c r="AH196" s="446"/>
      <c r="AI196" s="446"/>
      <c r="AJ196" s="450">
        <v>0</v>
      </c>
      <c r="AK196" s="230">
        <v>1873</v>
      </c>
      <c r="AL196" s="452">
        <v>6.6239487453283497</v>
      </c>
      <c r="AM196" s="230">
        <v>12406.655999999999</v>
      </c>
    </row>
    <row r="197" spans="1:41" ht="13.5" thickBot="1">
      <c r="A197" s="481"/>
      <c r="B197" s="482" t="s">
        <v>1057</v>
      </c>
      <c r="C197" s="483"/>
      <c r="D197" s="484"/>
      <c r="E197" s="485"/>
      <c r="F197" s="486">
        <v>2.6859999999999999</v>
      </c>
      <c r="G197" s="486"/>
      <c r="H197" s="485"/>
      <c r="I197" s="487">
        <v>6008.9910647803417</v>
      </c>
      <c r="J197" s="488"/>
      <c r="K197" s="489"/>
      <c r="L197" s="489"/>
      <c r="M197" s="489">
        <v>16140.149999999998</v>
      </c>
      <c r="N197" s="503"/>
      <c r="O197" s="490">
        <v>16140.149999999998</v>
      </c>
      <c r="P197" s="491"/>
      <c r="Q197" s="492"/>
      <c r="R197" s="493"/>
      <c r="S197" s="494"/>
      <c r="T197" s="492"/>
      <c r="U197" s="493"/>
      <c r="V197" s="495"/>
      <c r="W197" s="496"/>
      <c r="X197" s="497"/>
      <c r="Y197" s="498"/>
      <c r="Z197" s="499"/>
      <c r="AA197" s="482" t="s">
        <v>1057</v>
      </c>
      <c r="AB197" s="230">
        <v>1502</v>
      </c>
      <c r="AC197" s="452">
        <v>5.8302463382157113</v>
      </c>
      <c r="AD197" s="450">
        <v>8757.0299999999988</v>
      </c>
      <c r="AE197" s="230">
        <v>1184</v>
      </c>
      <c r="AF197" s="452">
        <v>6.2357432432432427</v>
      </c>
      <c r="AG197" s="450">
        <v>7383.119999999999</v>
      </c>
      <c r="AH197" s="767">
        <v>0</v>
      </c>
      <c r="AI197" s="452" t="e">
        <v>#DIV/0!</v>
      </c>
      <c r="AJ197" s="450">
        <v>0</v>
      </c>
      <c r="AK197" s="230">
        <v>2686</v>
      </c>
      <c r="AL197" s="452">
        <v>6.008991064780342</v>
      </c>
      <c r="AM197" s="230">
        <v>16140.149999999998</v>
      </c>
    </row>
    <row r="198" spans="1:41" ht="13.5" thickBot="1">
      <c r="A198" s="207"/>
      <c r="B198" s="479" t="s">
        <v>1058</v>
      </c>
      <c r="C198" s="225"/>
      <c r="D198" s="215"/>
      <c r="E198" s="192"/>
      <c r="F198" s="193">
        <v>0</v>
      </c>
      <c r="G198" s="193"/>
      <c r="H198" s="192"/>
      <c r="I198" s="229" t="e">
        <v>#DIV/0!</v>
      </c>
      <c r="J198" s="210"/>
      <c r="K198" s="194"/>
      <c r="L198" s="194"/>
      <c r="M198" s="194">
        <v>0</v>
      </c>
      <c r="N198" s="504"/>
      <c r="O198" s="211">
        <v>0</v>
      </c>
      <c r="P198" s="447"/>
      <c r="Q198" s="448"/>
      <c r="R198" s="449"/>
      <c r="S198" s="450"/>
      <c r="T198" s="448"/>
      <c r="U198" s="449"/>
      <c r="V198" s="230"/>
      <c r="W198" s="451"/>
      <c r="X198" s="480"/>
      <c r="Y198" s="453"/>
      <c r="AA198" s="479" t="s">
        <v>1058</v>
      </c>
      <c r="AB198" s="446"/>
      <c r="AC198" s="933">
        <v>5.9530000000000003</v>
      </c>
      <c r="AD198" s="450">
        <v>0</v>
      </c>
      <c r="AE198" s="446"/>
      <c r="AF198" s="449">
        <v>6.4480000000000004</v>
      </c>
      <c r="AG198" s="450">
        <v>0</v>
      </c>
      <c r="AH198" s="446"/>
      <c r="AI198" s="446"/>
      <c r="AJ198" s="450">
        <v>0</v>
      </c>
      <c r="AK198" s="230">
        <v>0</v>
      </c>
      <c r="AL198" s="452" t="e">
        <v>#DIV/0!</v>
      </c>
      <c r="AM198" s="230">
        <v>0</v>
      </c>
    </row>
    <row r="199" spans="1:41" ht="13.5" thickBot="1">
      <c r="A199" s="460" t="s">
        <v>18</v>
      </c>
      <c r="B199" s="461" t="s">
        <v>868</v>
      </c>
      <c r="C199" s="462" t="e">
        <v>#REF!</v>
      </c>
      <c r="D199" s="463" t="e">
        <v>#REF!</v>
      </c>
      <c r="E199" s="464"/>
      <c r="F199" s="465">
        <v>0.433</v>
      </c>
      <c r="G199" s="465"/>
      <c r="H199" s="464"/>
      <c r="I199" s="466"/>
      <c r="J199" s="464"/>
      <c r="K199" s="468"/>
      <c r="L199" s="468"/>
      <c r="M199" s="468">
        <v>2890.1790000000001</v>
      </c>
      <c r="N199" s="505"/>
      <c r="O199" s="469">
        <v>2890.1790000000001</v>
      </c>
      <c r="P199" s="500" t="s">
        <v>887</v>
      </c>
      <c r="Q199" s="471">
        <v>702.21</v>
      </c>
      <c r="R199" s="472">
        <v>4.6040000000000001</v>
      </c>
      <c r="S199" s="473">
        <v>3232.9748400000003</v>
      </c>
      <c r="T199" s="471">
        <v>419</v>
      </c>
      <c r="U199" s="472">
        <v>4.4880000000000004</v>
      </c>
      <c r="V199" s="474">
        <v>1880.4720000000002</v>
      </c>
      <c r="W199" s="501">
        <v>1121.21</v>
      </c>
      <c r="X199" s="502">
        <v>4.5606504044737388</v>
      </c>
      <c r="Y199" s="474">
        <v>5113.4468400000005</v>
      </c>
      <c r="Z199" s="478"/>
      <c r="AA199" s="768" t="s">
        <v>1281</v>
      </c>
      <c r="AB199" s="775">
        <v>228</v>
      </c>
      <c r="AC199" s="911">
        <v>6.4480000000000004</v>
      </c>
      <c r="AD199" s="775">
        <v>1470.144</v>
      </c>
      <c r="AE199" s="775">
        <v>205</v>
      </c>
      <c r="AF199" s="911">
        <v>6.9269999999999996</v>
      </c>
      <c r="AG199" s="775">
        <v>1420.0349999999999</v>
      </c>
      <c r="AH199" s="922">
        <v>0</v>
      </c>
      <c r="AI199" s="911" t="e">
        <v>#DIV/0!</v>
      </c>
      <c r="AJ199" s="775">
        <v>0</v>
      </c>
      <c r="AK199" s="775">
        <v>433</v>
      </c>
      <c r="AL199" s="911">
        <v>6.6747782909930722</v>
      </c>
      <c r="AM199" s="775">
        <v>2890.1790000000001</v>
      </c>
    </row>
    <row r="200" spans="1:41">
      <c r="A200" s="207"/>
      <c r="B200" s="479" t="s">
        <v>1554</v>
      </c>
      <c r="C200" s="225" t="e">
        <v>#REF!</v>
      </c>
      <c r="D200" s="215" t="e">
        <v>#REF!</v>
      </c>
      <c r="E200" s="192"/>
      <c r="F200" s="193">
        <v>0</v>
      </c>
      <c r="G200" s="193"/>
      <c r="H200" s="192"/>
      <c r="I200" s="229" t="e">
        <v>#DIV/0!</v>
      </c>
      <c r="J200" s="184"/>
      <c r="K200" s="194"/>
      <c r="L200" s="194"/>
      <c r="M200" s="194">
        <v>0</v>
      </c>
      <c r="N200" s="504"/>
      <c r="O200" s="211">
        <v>0</v>
      </c>
      <c r="P200" s="457" t="s">
        <v>435</v>
      </c>
      <c r="Q200" s="446"/>
      <c r="R200" s="446"/>
      <c r="S200" s="446"/>
      <c r="T200" s="446"/>
      <c r="U200" s="446"/>
      <c r="V200" s="446"/>
      <c r="W200" s="458">
        <v>9943.4700000000012</v>
      </c>
      <c r="X200" s="454"/>
      <c r="Y200" s="459">
        <v>52687.176720000003</v>
      </c>
      <c r="AA200" s="479" t="s">
        <v>1554</v>
      </c>
      <c r="AB200" s="446"/>
      <c r="AC200" s="446"/>
      <c r="AD200" s="450">
        <v>0</v>
      </c>
      <c r="AE200" s="446"/>
      <c r="AF200" s="446"/>
      <c r="AG200" s="450">
        <v>0</v>
      </c>
      <c r="AH200" s="446"/>
      <c r="AI200" s="446"/>
      <c r="AJ200" s="450">
        <v>0</v>
      </c>
      <c r="AK200" s="230">
        <v>0</v>
      </c>
      <c r="AL200" s="452" t="e">
        <v>#DIV/0!</v>
      </c>
      <c r="AM200" s="230">
        <v>0</v>
      </c>
    </row>
    <row r="201" spans="1:41">
      <c r="A201" s="506"/>
      <c r="B201" s="482" t="s">
        <v>1057</v>
      </c>
      <c r="C201" s="507"/>
      <c r="D201" s="508"/>
      <c r="E201" s="509"/>
      <c r="F201" s="486">
        <v>0</v>
      </c>
      <c r="G201" s="510"/>
      <c r="H201" s="509"/>
      <c r="I201" s="487" t="e">
        <v>#DIV/0!</v>
      </c>
      <c r="J201" s="509"/>
      <c r="K201" s="511"/>
      <c r="L201" s="511"/>
      <c r="M201" s="489">
        <v>0</v>
      </c>
      <c r="N201" s="512"/>
      <c r="O201" s="490">
        <v>0</v>
      </c>
      <c r="AA201" s="482" t="s">
        <v>1057</v>
      </c>
      <c r="AB201" s="446"/>
      <c r="AC201" s="446"/>
      <c r="AD201" s="450">
        <v>0</v>
      </c>
      <c r="AE201" s="446"/>
      <c r="AF201" s="446"/>
      <c r="AG201" s="450">
        <v>0</v>
      </c>
      <c r="AH201" s="446"/>
      <c r="AI201" s="446"/>
      <c r="AJ201" s="450">
        <v>0</v>
      </c>
      <c r="AK201" s="230">
        <v>0</v>
      </c>
      <c r="AL201" s="452" t="e">
        <v>#DIV/0!</v>
      </c>
      <c r="AM201" s="230">
        <v>0</v>
      </c>
    </row>
    <row r="202" spans="1:41">
      <c r="A202" s="207"/>
      <c r="B202" s="923" t="s">
        <v>1058</v>
      </c>
      <c r="C202" s="225"/>
      <c r="D202" s="215"/>
      <c r="E202" s="192"/>
      <c r="F202" s="192">
        <v>0.433</v>
      </c>
      <c r="G202" s="193"/>
      <c r="H202" s="192"/>
      <c r="I202" s="229">
        <v>6674.778290993072</v>
      </c>
      <c r="J202" s="192"/>
      <c r="K202" s="194"/>
      <c r="L202" s="194"/>
      <c r="M202" s="194">
        <v>2890.1790000000001</v>
      </c>
      <c r="N202" s="504"/>
      <c r="O202" s="211">
        <v>2890.1790000000001</v>
      </c>
      <c r="P202" s="941"/>
      <c r="Q202" s="941"/>
      <c r="R202" s="941"/>
      <c r="S202" s="941"/>
      <c r="T202" s="941"/>
      <c r="U202" s="941"/>
      <c r="V202" s="941"/>
      <c r="W202" s="941"/>
      <c r="X202" s="941"/>
      <c r="Y202" s="941"/>
      <c r="Z202" s="941"/>
      <c r="AA202" s="923" t="s">
        <v>1058</v>
      </c>
      <c r="AB202" s="446"/>
      <c r="AC202" s="446"/>
      <c r="AD202" s="230">
        <v>0</v>
      </c>
      <c r="AE202" s="446"/>
      <c r="AF202" s="446"/>
      <c r="AG202" s="230">
        <v>0</v>
      </c>
      <c r="AH202" s="446"/>
      <c r="AI202" s="446"/>
      <c r="AJ202" s="230">
        <v>0</v>
      </c>
      <c r="AK202" s="230">
        <v>0</v>
      </c>
      <c r="AL202" s="452" t="e">
        <v>#DIV/0!</v>
      </c>
      <c r="AM202" s="230">
        <v>0</v>
      </c>
    </row>
    <row r="203" spans="1:41" ht="13.5" thickBot="1">
      <c r="A203" s="934"/>
      <c r="B203" s="927"/>
      <c r="C203" s="935"/>
      <c r="D203" s="936"/>
      <c r="E203" s="937"/>
      <c r="F203" s="938"/>
      <c r="G203" s="938"/>
      <c r="H203" s="937"/>
      <c r="I203" s="939"/>
      <c r="J203" s="937"/>
      <c r="K203" s="940"/>
      <c r="L203" s="940"/>
      <c r="M203" s="940"/>
      <c r="N203" s="940"/>
      <c r="O203" s="940"/>
      <c r="AA203" s="927" t="s">
        <v>1518</v>
      </c>
      <c r="AB203" s="1418">
        <v>228</v>
      </c>
      <c r="AC203" s="1419">
        <v>6.4480000000000004</v>
      </c>
      <c r="AD203" s="1420">
        <v>1470.144</v>
      </c>
      <c r="AE203" s="1418">
        <v>205</v>
      </c>
      <c r="AF203" s="1421">
        <v>6.9269999999999996</v>
      </c>
      <c r="AG203" s="1420">
        <v>1420.0349999999999</v>
      </c>
      <c r="AH203" s="1418"/>
      <c r="AI203" s="1418"/>
      <c r="AJ203" s="1420">
        <v>0</v>
      </c>
      <c r="AK203" s="1424">
        <v>433</v>
      </c>
      <c r="AL203" s="1423">
        <v>6.6747782909930722</v>
      </c>
      <c r="AM203" s="1424">
        <v>2890.1790000000001</v>
      </c>
    </row>
    <row r="204" spans="1:41">
      <c r="A204" s="1805" t="s">
        <v>1866</v>
      </c>
      <c r="B204" s="1805"/>
      <c r="C204" s="1805"/>
      <c r="D204" s="1805"/>
      <c r="E204" s="1805"/>
      <c r="F204" s="1805"/>
      <c r="G204" s="1805"/>
      <c r="H204" s="1805"/>
      <c r="I204" s="1805"/>
      <c r="J204" s="1805"/>
      <c r="K204" s="1805"/>
      <c r="L204" s="1805"/>
      <c r="M204" s="1805"/>
      <c r="N204" s="1805"/>
      <c r="O204" s="1805"/>
      <c r="AB204" s="1810" t="s">
        <v>767</v>
      </c>
      <c r="AC204" s="1811"/>
      <c r="AD204" s="1812"/>
      <c r="AE204" s="1810" t="s">
        <v>766</v>
      </c>
      <c r="AF204" s="1813"/>
      <c r="AG204" s="1814"/>
      <c r="AH204" s="1810"/>
      <c r="AI204" s="1813"/>
      <c r="AJ204" s="1814"/>
      <c r="AK204" s="1810" t="s">
        <v>1051</v>
      </c>
      <c r="AL204" s="1813"/>
      <c r="AM204" s="1814"/>
    </row>
    <row r="205" spans="1:41" ht="24.75" customHeight="1" thickBot="1">
      <c r="A205" s="207">
        <v>1</v>
      </c>
      <c r="B205" s="218" t="s">
        <v>863</v>
      </c>
      <c r="C205" s="222">
        <v>279.42200000000003</v>
      </c>
      <c r="D205" s="222">
        <v>7.8305931530087108E-2</v>
      </c>
      <c r="E205" s="187"/>
      <c r="F205" s="188">
        <v>21.880400000000002</v>
      </c>
      <c r="G205" s="188"/>
      <c r="H205" s="187"/>
      <c r="I205" s="187"/>
      <c r="J205" s="187"/>
      <c r="K205" s="189"/>
      <c r="L205" s="189"/>
      <c r="M205" s="189">
        <v>155650.99657199997</v>
      </c>
      <c r="N205" s="189"/>
      <c r="O205" s="213">
        <v>155650.99657199997</v>
      </c>
      <c r="AA205" s="443" t="s">
        <v>1285</v>
      </c>
      <c r="AB205" s="942" t="s">
        <v>1519</v>
      </c>
      <c r="AC205" s="1802" t="s">
        <v>417</v>
      </c>
      <c r="AD205" s="446" t="s">
        <v>1054</v>
      </c>
      <c r="AE205" s="942" t="s">
        <v>1519</v>
      </c>
      <c r="AF205" s="1802" t="s">
        <v>417</v>
      </c>
      <c r="AG205" s="446" t="s">
        <v>1054</v>
      </c>
      <c r="AH205" s="942" t="s">
        <v>1519</v>
      </c>
      <c r="AI205" s="1802" t="s">
        <v>417</v>
      </c>
      <c r="AJ205" s="446" t="s">
        <v>1054</v>
      </c>
      <c r="AK205" s="942" t="s">
        <v>1519</v>
      </c>
      <c r="AL205" s="1802" t="s">
        <v>417</v>
      </c>
      <c r="AM205" s="446" t="s">
        <v>1054</v>
      </c>
      <c r="AN205" s="181" t="s">
        <v>1282</v>
      </c>
    </row>
    <row r="206" spans="1:41" ht="14.25" customHeight="1" thickBot="1">
      <c r="A206" s="207" t="s">
        <v>5</v>
      </c>
      <c r="B206" s="208" t="s">
        <v>1870</v>
      </c>
      <c r="C206" s="209"/>
      <c r="D206" s="209"/>
      <c r="E206" s="192"/>
      <c r="F206" s="193">
        <v>19.1234</v>
      </c>
      <c r="G206" s="193"/>
      <c r="H206" s="192"/>
      <c r="I206" s="229">
        <v>7199.7325589591792</v>
      </c>
      <c r="J206" s="192">
        <v>5.3924651823909073</v>
      </c>
      <c r="K206" s="194"/>
      <c r="L206" s="194"/>
      <c r="M206" s="194">
        <v>137683.36561799998</v>
      </c>
      <c r="N206" s="194"/>
      <c r="O206" s="211">
        <v>137683.36561799998</v>
      </c>
      <c r="AA206" s="447" t="s">
        <v>864</v>
      </c>
      <c r="AB206" s="456">
        <v>11440.4</v>
      </c>
      <c r="AC206" s="933">
        <v>6.9270000000000005</v>
      </c>
      <c r="AD206" s="450">
        <v>79247.650800000003</v>
      </c>
      <c r="AE206" s="456">
        <v>7683</v>
      </c>
      <c r="AF206" s="933">
        <v>7.6058459999999979</v>
      </c>
      <c r="AG206" s="450">
        <v>58435.714817999986</v>
      </c>
      <c r="AH206" s="448">
        <v>0</v>
      </c>
      <c r="AI206" s="933" t="e">
        <v>#DIV/0!</v>
      </c>
      <c r="AJ206" s="450">
        <v>0</v>
      </c>
      <c r="AK206" s="448">
        <v>19123.400000000001</v>
      </c>
      <c r="AL206" s="933">
        <v>7.1997325589591794</v>
      </c>
      <c r="AM206" s="230">
        <v>137683.36561799998</v>
      </c>
    </row>
    <row r="207" spans="1:41" ht="15" customHeight="1" thickBot="1">
      <c r="A207" s="207" t="s">
        <v>6</v>
      </c>
      <c r="B207" s="228" t="s">
        <v>887</v>
      </c>
      <c r="C207" s="208"/>
      <c r="D207" s="231"/>
      <c r="E207" s="184"/>
      <c r="F207" s="193">
        <v>2.7570000000000001</v>
      </c>
      <c r="G207" s="193"/>
      <c r="H207" s="184"/>
      <c r="I207" s="229">
        <v>6517.0950141458088</v>
      </c>
      <c r="J207" s="192"/>
      <c r="K207" s="184"/>
      <c r="L207" s="184"/>
      <c r="M207" s="194">
        <v>17967.630953999997</v>
      </c>
      <c r="N207" s="184"/>
      <c r="O207" s="211">
        <v>17967.630953999997</v>
      </c>
      <c r="AA207" s="228" t="s">
        <v>1515</v>
      </c>
      <c r="AB207" s="456">
        <v>1089</v>
      </c>
      <c r="AC207" s="449">
        <v>5.9829999999999997</v>
      </c>
      <c r="AD207" s="450">
        <v>6515.4869999999992</v>
      </c>
      <c r="AE207" s="456">
        <v>889</v>
      </c>
      <c r="AF207" s="933">
        <v>6.5693339999999987</v>
      </c>
      <c r="AG207" s="230">
        <v>5840.1379259999985</v>
      </c>
      <c r="AH207" s="448"/>
      <c r="AI207" s="449"/>
      <c r="AJ207" s="230">
        <v>0</v>
      </c>
      <c r="AK207" s="451">
        <v>1978</v>
      </c>
      <c r="AL207" s="480">
        <v>6.2465242295247707</v>
      </c>
      <c r="AM207" s="453">
        <v>12355.624925999997</v>
      </c>
    </row>
    <row r="208" spans="1:41" ht="14.25" customHeight="1" thickBot="1">
      <c r="A208" s="207" t="s">
        <v>7</v>
      </c>
      <c r="B208" s="208" t="s">
        <v>432</v>
      </c>
      <c r="C208" s="208"/>
      <c r="D208" s="231"/>
      <c r="E208" s="184"/>
      <c r="F208" s="193"/>
      <c r="G208" s="184"/>
      <c r="H208" s="184"/>
      <c r="I208" s="229"/>
      <c r="J208" s="192"/>
      <c r="K208" s="184"/>
      <c r="L208" s="184"/>
      <c r="M208" s="194"/>
      <c r="N208" s="184"/>
      <c r="O208" s="211">
        <v>0</v>
      </c>
      <c r="Q208" s="1799" t="s">
        <v>767</v>
      </c>
      <c r="R208" s="1800"/>
      <c r="S208" s="1801"/>
      <c r="T208" s="1802" t="s">
        <v>766</v>
      </c>
      <c r="U208" s="1803"/>
      <c r="V208" s="1804"/>
      <c r="W208" s="1802" t="s">
        <v>1051</v>
      </c>
      <c r="X208" s="1803"/>
      <c r="Y208" s="1804"/>
      <c r="AA208" s="228" t="s">
        <v>1516</v>
      </c>
      <c r="AB208" s="456">
        <v>461</v>
      </c>
      <c r="AC208" s="449">
        <v>6.9269999999999996</v>
      </c>
      <c r="AD208" s="450">
        <v>3193.3469999999998</v>
      </c>
      <c r="AE208" s="456">
        <v>318</v>
      </c>
      <c r="AF208" s="933">
        <v>7.6058459999999988</v>
      </c>
      <c r="AG208" s="230">
        <v>2418.6590279999996</v>
      </c>
      <c r="AH208" s="448"/>
      <c r="AI208" s="449"/>
      <c r="AJ208" s="230">
        <v>0</v>
      </c>
      <c r="AK208" s="767">
        <v>779</v>
      </c>
      <c r="AL208" s="452">
        <v>7.2041155686777918</v>
      </c>
      <c r="AM208" s="230">
        <v>5612.0060279999998</v>
      </c>
      <c r="AN208" s="776">
        <v>0</v>
      </c>
      <c r="AO208" s="777" t="s">
        <v>1283</v>
      </c>
    </row>
    <row r="209" spans="1:41" ht="14.25" customHeight="1" thickBot="1">
      <c r="A209" s="207" t="s">
        <v>11</v>
      </c>
      <c r="B209" s="212" t="s">
        <v>865</v>
      </c>
      <c r="C209" s="208"/>
      <c r="D209" s="231"/>
      <c r="E209" s="184">
        <v>0</v>
      </c>
      <c r="F209" s="184"/>
      <c r="G209" s="184"/>
      <c r="H209" s="184"/>
      <c r="I209" s="192"/>
      <c r="J209" s="229"/>
      <c r="K209" s="184"/>
      <c r="L209" s="184"/>
      <c r="M209" s="184"/>
      <c r="N209" s="184"/>
      <c r="O209" s="211"/>
      <c r="P209" s="443" t="s">
        <v>1052</v>
      </c>
      <c r="Q209" s="444" t="s">
        <v>1053</v>
      </c>
      <c r="R209" s="1802" t="s">
        <v>417</v>
      </c>
      <c r="S209" s="446" t="s">
        <v>1054</v>
      </c>
      <c r="T209" s="444" t="s">
        <v>1053</v>
      </c>
      <c r="U209" s="1802" t="s">
        <v>417</v>
      </c>
      <c r="V209" s="446" t="s">
        <v>1054</v>
      </c>
      <c r="W209" s="1802" t="s">
        <v>1053</v>
      </c>
      <c r="X209" s="1802" t="s">
        <v>417</v>
      </c>
      <c r="Y209" s="446" t="s">
        <v>1054</v>
      </c>
      <c r="AA209" s="457" t="s">
        <v>435</v>
      </c>
      <c r="AB209" s="230">
        <v>12990.4</v>
      </c>
      <c r="AC209" s="452">
        <v>6.8478634068234996</v>
      </c>
      <c r="AD209" s="230">
        <v>88956.484799999991</v>
      </c>
      <c r="AE209" s="230">
        <v>8890</v>
      </c>
      <c r="AF209" s="452">
        <v>7.5021947999999981</v>
      </c>
      <c r="AG209" s="230">
        <v>66694.511771999983</v>
      </c>
      <c r="AH209" s="767">
        <v>0</v>
      </c>
      <c r="AI209" s="446" t="e">
        <v>#DIV/0!</v>
      </c>
      <c r="AJ209" s="230">
        <v>0</v>
      </c>
      <c r="AK209" s="458">
        <v>21880.400000000001</v>
      </c>
      <c r="AL209" s="454">
        <v>7.1137180568910976</v>
      </c>
      <c r="AM209" s="459">
        <v>155650.99657199997</v>
      </c>
      <c r="AN209" s="778">
        <v>0</v>
      </c>
      <c r="AO209" s="777" t="s">
        <v>1284</v>
      </c>
    </row>
    <row r="210" spans="1:41" s="478" customFormat="1" ht="13.5" customHeight="1" thickBot="1">
      <c r="A210" s="460" t="s">
        <v>12</v>
      </c>
      <c r="B210" s="461" t="s">
        <v>866</v>
      </c>
      <c r="C210" s="462">
        <v>279.42200000000003</v>
      </c>
      <c r="D210" s="463">
        <v>7.6830027700037926E-2</v>
      </c>
      <c r="E210" s="464"/>
      <c r="F210" s="465">
        <v>21.468</v>
      </c>
      <c r="G210" s="465"/>
      <c r="H210" s="464"/>
      <c r="I210" s="466"/>
      <c r="J210" s="467">
        <v>5.3924651823909073</v>
      </c>
      <c r="K210" s="468"/>
      <c r="L210" s="468"/>
      <c r="M210" s="468">
        <v>152658.53257199997</v>
      </c>
      <c r="N210" s="468"/>
      <c r="O210" s="469">
        <v>152658.53257199997</v>
      </c>
      <c r="P210" s="470" t="s">
        <v>864</v>
      </c>
      <c r="Q210" s="471">
        <v>5740.8600000000006</v>
      </c>
      <c r="R210" s="472">
        <v>5.4480000000000004</v>
      </c>
      <c r="S210" s="473">
        <v>31276.205280000006</v>
      </c>
      <c r="T210" s="471">
        <v>3081.4</v>
      </c>
      <c r="U210" s="472">
        <v>5.2889999999999997</v>
      </c>
      <c r="V210" s="474">
        <v>16297.524599999999</v>
      </c>
      <c r="W210" s="475">
        <v>8822.26</v>
      </c>
      <c r="X210" s="476">
        <v>5.3924651823909073</v>
      </c>
      <c r="Y210" s="477">
        <v>47573.729880000006</v>
      </c>
      <c r="AA210" s="768" t="s">
        <v>1280</v>
      </c>
      <c r="AB210" s="230">
        <v>12778</v>
      </c>
      <c r="AC210" s="911">
        <v>6.8465479730787289</v>
      </c>
      <c r="AD210" s="775">
        <v>87485.19</v>
      </c>
      <c r="AE210" s="230">
        <v>8690</v>
      </c>
      <c r="AF210" s="911">
        <v>7.4998092718066731</v>
      </c>
      <c r="AG210" s="775">
        <v>65173.342571999987</v>
      </c>
      <c r="AH210" s="774">
        <v>0</v>
      </c>
      <c r="AI210" s="774" t="e">
        <v>#DIV/0!</v>
      </c>
      <c r="AJ210" s="775">
        <v>0</v>
      </c>
      <c r="AK210" s="774">
        <v>21468</v>
      </c>
      <c r="AL210" s="774">
        <v>7.1109806489659011</v>
      </c>
      <c r="AM210" s="775">
        <v>152658.53257199997</v>
      </c>
      <c r="AN210" s="779">
        <v>21880.400000000001</v>
      </c>
      <c r="AO210" s="181" t="s">
        <v>1283</v>
      </c>
    </row>
    <row r="211" spans="1:41" ht="13.5" customHeight="1" thickBot="1">
      <c r="A211" s="207"/>
      <c r="B211" s="479" t="s">
        <v>1055</v>
      </c>
      <c r="C211" s="225"/>
      <c r="D211" s="215"/>
      <c r="E211" s="192"/>
      <c r="F211" s="193">
        <v>16.831</v>
      </c>
      <c r="G211" s="193"/>
      <c r="H211" s="192"/>
      <c r="I211" s="229">
        <v>7200.7405859426053</v>
      </c>
      <c r="J211" s="210"/>
      <c r="K211" s="194"/>
      <c r="L211" s="194"/>
      <c r="M211" s="194">
        <v>121195.66480199998</v>
      </c>
      <c r="N211" s="194"/>
      <c r="O211" s="211">
        <v>121195.66480199998</v>
      </c>
      <c r="P211" s="447"/>
      <c r="Q211" s="448"/>
      <c r="R211" s="449"/>
      <c r="S211" s="450"/>
      <c r="T211" s="448"/>
      <c r="U211" s="449"/>
      <c r="V211" s="230"/>
      <c r="W211" s="451"/>
      <c r="X211" s="480"/>
      <c r="Y211" s="453"/>
      <c r="AA211" s="479" t="s">
        <v>1055</v>
      </c>
      <c r="AB211" s="230">
        <v>10044</v>
      </c>
      <c r="AC211" s="449">
        <v>6.9269999999999996</v>
      </c>
      <c r="AD211" s="450">
        <v>69574.788</v>
      </c>
      <c r="AE211" s="230">
        <v>6787</v>
      </c>
      <c r="AF211" s="933">
        <v>7.6058459999999988</v>
      </c>
      <c r="AG211" s="450">
        <v>51620.876801999992</v>
      </c>
      <c r="AH211" s="446"/>
      <c r="AI211" s="446"/>
      <c r="AJ211" s="450">
        <v>0</v>
      </c>
      <c r="AK211" s="767">
        <v>16831</v>
      </c>
      <c r="AL211" s="452">
        <v>7.2007405859426052</v>
      </c>
      <c r="AM211" s="230">
        <v>121195.66480199998</v>
      </c>
      <c r="AN211" s="608">
        <v>155650.99657199997</v>
      </c>
      <c r="AO211" s="181" t="s">
        <v>1284</v>
      </c>
    </row>
    <row r="212" spans="1:41" ht="13.5" customHeight="1" thickBot="1">
      <c r="A212" s="207"/>
      <c r="B212" s="479" t="s">
        <v>1056</v>
      </c>
      <c r="C212" s="225"/>
      <c r="D212" s="215"/>
      <c r="E212" s="192"/>
      <c r="F212" s="193">
        <v>1.88</v>
      </c>
      <c r="G212" s="193"/>
      <c r="H212" s="192"/>
      <c r="I212" s="229">
        <v>7178.3174553191484</v>
      </c>
      <c r="J212" s="210"/>
      <c r="K212" s="194"/>
      <c r="L212" s="194"/>
      <c r="M212" s="194">
        <v>13495.236815999999</v>
      </c>
      <c r="N212" s="194"/>
      <c r="O212" s="211">
        <v>13495.236815999999</v>
      </c>
      <c r="P212" s="447"/>
      <c r="Q212" s="448"/>
      <c r="R212" s="449"/>
      <c r="S212" s="450"/>
      <c r="T212" s="448"/>
      <c r="U212" s="449"/>
      <c r="V212" s="230"/>
      <c r="W212" s="451"/>
      <c r="X212" s="480"/>
      <c r="Y212" s="453"/>
      <c r="AA212" s="479" t="s">
        <v>1056</v>
      </c>
      <c r="AB212" s="230">
        <v>1184</v>
      </c>
      <c r="AC212" s="449">
        <v>6.9269999999999996</v>
      </c>
      <c r="AD212" s="450">
        <v>8201.5679999999993</v>
      </c>
      <c r="AE212" s="230">
        <v>696</v>
      </c>
      <c r="AF212" s="933">
        <v>7.6058459999999988</v>
      </c>
      <c r="AG212" s="450">
        <v>5293.6688159999994</v>
      </c>
      <c r="AH212" s="446"/>
      <c r="AI212" s="446"/>
      <c r="AJ212" s="450">
        <v>0</v>
      </c>
      <c r="AK212" s="767">
        <v>1880</v>
      </c>
      <c r="AL212" s="452">
        <v>7.1783174553191484</v>
      </c>
      <c r="AM212" s="230">
        <v>13495.236815999999</v>
      </c>
    </row>
    <row r="213" spans="1:41" s="499" customFormat="1" ht="13.5" customHeight="1" thickBot="1">
      <c r="A213" s="481"/>
      <c r="B213" s="482" t="s">
        <v>1057</v>
      </c>
      <c r="C213" s="483"/>
      <c r="D213" s="484"/>
      <c r="E213" s="485"/>
      <c r="F213" s="486">
        <v>2.7570000000000001</v>
      </c>
      <c r="G213" s="486"/>
      <c r="H213" s="485"/>
      <c r="I213" s="487">
        <v>6517.0950141458088</v>
      </c>
      <c r="J213" s="488"/>
      <c r="K213" s="489"/>
      <c r="L213" s="489"/>
      <c r="M213" s="489">
        <v>17967.630953999997</v>
      </c>
      <c r="N213" s="503"/>
      <c r="O213" s="490">
        <v>17967.630953999997</v>
      </c>
      <c r="P213" s="491"/>
      <c r="Q213" s="492"/>
      <c r="R213" s="493"/>
      <c r="S213" s="494"/>
      <c r="T213" s="492"/>
      <c r="U213" s="493"/>
      <c r="V213" s="495"/>
      <c r="W213" s="496"/>
      <c r="X213" s="497"/>
      <c r="Y213" s="498"/>
      <c r="AA213" s="482" t="s">
        <v>1057</v>
      </c>
      <c r="AB213" s="230">
        <v>1550</v>
      </c>
      <c r="AC213" s="452">
        <v>6.2637638709677415</v>
      </c>
      <c r="AD213" s="450">
        <v>9708.8339999999989</v>
      </c>
      <c r="AE213" s="230">
        <v>1207</v>
      </c>
      <c r="AF213" s="452">
        <v>6.8424166975973471</v>
      </c>
      <c r="AG213" s="450">
        <v>8258.7969539999976</v>
      </c>
      <c r="AH213" s="767">
        <v>0</v>
      </c>
      <c r="AI213" s="452" t="e">
        <v>#DIV/0!</v>
      </c>
      <c r="AJ213" s="450">
        <v>0</v>
      </c>
      <c r="AK213" s="767">
        <v>2757</v>
      </c>
      <c r="AL213" s="452">
        <v>6.5170950141458093</v>
      </c>
      <c r="AM213" s="230">
        <v>17967.630953999997</v>
      </c>
    </row>
    <row r="214" spans="1:41" ht="13.5" customHeight="1" thickBot="1">
      <c r="A214" s="207"/>
      <c r="B214" s="479" t="s">
        <v>1058</v>
      </c>
      <c r="C214" s="225"/>
      <c r="D214" s="215"/>
      <c r="E214" s="192"/>
      <c r="F214" s="193">
        <v>0</v>
      </c>
      <c r="G214" s="193"/>
      <c r="H214" s="192"/>
      <c r="I214" s="229" t="e">
        <v>#DIV/0!</v>
      </c>
      <c r="J214" s="210"/>
      <c r="K214" s="194"/>
      <c r="L214" s="194"/>
      <c r="M214" s="194">
        <v>0</v>
      </c>
      <c r="N214" s="504"/>
      <c r="O214" s="211">
        <v>0</v>
      </c>
      <c r="P214" s="447"/>
      <c r="Q214" s="448"/>
      <c r="R214" s="449"/>
      <c r="S214" s="450"/>
      <c r="T214" s="448"/>
      <c r="U214" s="449"/>
      <c r="V214" s="230"/>
      <c r="W214" s="451"/>
      <c r="X214" s="480"/>
      <c r="Y214" s="453"/>
      <c r="AA214" s="479" t="s">
        <v>1058</v>
      </c>
      <c r="AB214" s="446"/>
      <c r="AC214" s="449">
        <v>6.4480000000000004</v>
      </c>
      <c r="AD214" s="450">
        <v>0</v>
      </c>
      <c r="AE214" s="446"/>
      <c r="AF214" s="933">
        <v>7.079904</v>
      </c>
      <c r="AG214" s="450">
        <v>0</v>
      </c>
      <c r="AH214" s="446"/>
      <c r="AI214" s="446"/>
      <c r="AJ214" s="450">
        <v>0</v>
      </c>
      <c r="AK214" s="767">
        <v>0</v>
      </c>
      <c r="AL214" s="452" t="e">
        <v>#DIV/0!</v>
      </c>
      <c r="AM214" s="230">
        <v>0</v>
      </c>
    </row>
    <row r="215" spans="1:41" s="478" customFormat="1" ht="13.5" thickBot="1">
      <c r="A215" s="460" t="s">
        <v>18</v>
      </c>
      <c r="B215" s="461" t="s">
        <v>868</v>
      </c>
      <c r="C215" s="462">
        <v>279.42200000000003</v>
      </c>
      <c r="D215" s="463">
        <v>1.4759038300491728E-3</v>
      </c>
      <c r="E215" s="464"/>
      <c r="F215" s="465">
        <v>0.41239999999999999</v>
      </c>
      <c r="G215" s="465"/>
      <c r="H215" s="464"/>
      <c r="I215" s="466"/>
      <c r="J215" s="464"/>
      <c r="K215" s="468"/>
      <c r="L215" s="468"/>
      <c r="M215" s="468">
        <v>2992.4639999999999</v>
      </c>
      <c r="N215" s="505"/>
      <c r="O215" s="469">
        <v>2992.4639999999999</v>
      </c>
      <c r="P215" s="500" t="s">
        <v>887</v>
      </c>
      <c r="Q215" s="471">
        <v>702.21</v>
      </c>
      <c r="R215" s="472">
        <v>4.6040000000000001</v>
      </c>
      <c r="S215" s="473">
        <v>3232.9748400000003</v>
      </c>
      <c r="T215" s="471">
        <v>419</v>
      </c>
      <c r="U215" s="472">
        <v>4.4880000000000004</v>
      </c>
      <c r="V215" s="474">
        <v>1880.4720000000002</v>
      </c>
      <c r="W215" s="501">
        <v>1121.21</v>
      </c>
      <c r="X215" s="502">
        <v>4.5606504044737388</v>
      </c>
      <c r="Y215" s="474">
        <v>5113.4468400000005</v>
      </c>
      <c r="AA215" s="768" t="s">
        <v>1281</v>
      </c>
      <c r="AB215" s="1411">
        <v>212.4</v>
      </c>
      <c r="AC215" s="911">
        <v>6.9269999999999996</v>
      </c>
      <c r="AD215" s="775">
        <v>1471.2947999999999</v>
      </c>
      <c r="AE215" s="775">
        <v>200</v>
      </c>
      <c r="AF215" s="911">
        <v>7.6058459999999988</v>
      </c>
      <c r="AG215" s="775">
        <v>1521.1691999999998</v>
      </c>
      <c r="AH215" s="922">
        <v>0</v>
      </c>
      <c r="AI215" s="911" t="e">
        <v>#DIV/0!</v>
      </c>
      <c r="AJ215" s="775">
        <v>0</v>
      </c>
      <c r="AK215" s="1411">
        <v>412.4</v>
      </c>
      <c r="AL215" s="911">
        <v>7.2562172647914647</v>
      </c>
      <c r="AM215" s="775">
        <v>2992.4639999999999</v>
      </c>
    </row>
    <row r="216" spans="1:41">
      <c r="A216" s="207"/>
      <c r="B216" s="479" t="s">
        <v>1554</v>
      </c>
      <c r="C216" s="225">
        <v>279.42200000000003</v>
      </c>
      <c r="D216" s="215">
        <v>0</v>
      </c>
      <c r="E216" s="192"/>
      <c r="F216" s="193">
        <v>0</v>
      </c>
      <c r="G216" s="193"/>
      <c r="H216" s="192"/>
      <c r="I216" s="229" t="e">
        <v>#DIV/0!</v>
      </c>
      <c r="J216" s="184"/>
      <c r="K216" s="194"/>
      <c r="L216" s="194"/>
      <c r="M216" s="194">
        <v>0</v>
      </c>
      <c r="N216" s="504"/>
      <c r="O216" s="211">
        <v>0</v>
      </c>
      <c r="P216" s="457" t="s">
        <v>435</v>
      </c>
      <c r="Q216" s="446"/>
      <c r="R216" s="446"/>
      <c r="S216" s="446"/>
      <c r="T216" s="446"/>
      <c r="U216" s="446"/>
      <c r="V216" s="446"/>
      <c r="W216" s="458">
        <v>9943.4700000000012</v>
      </c>
      <c r="X216" s="454"/>
      <c r="Y216" s="459">
        <v>52687.176720000003</v>
      </c>
      <c r="AA216" s="479" t="s">
        <v>1554</v>
      </c>
      <c r="AB216" s="446"/>
      <c r="AC216" s="446"/>
      <c r="AD216" s="450">
        <v>0</v>
      </c>
      <c r="AE216" s="446"/>
      <c r="AF216" s="446"/>
      <c r="AG216" s="450">
        <v>0</v>
      </c>
      <c r="AH216" s="446"/>
      <c r="AI216" s="446"/>
      <c r="AJ216" s="450">
        <v>0</v>
      </c>
      <c r="AK216" s="767">
        <v>0</v>
      </c>
      <c r="AL216" s="452" t="e">
        <v>#DIV/0!</v>
      </c>
      <c r="AM216" s="230">
        <v>0</v>
      </c>
    </row>
    <row r="217" spans="1:41" s="499" customFormat="1">
      <c r="A217" s="506"/>
      <c r="B217" s="482" t="s">
        <v>1057</v>
      </c>
      <c r="C217" s="507"/>
      <c r="D217" s="508"/>
      <c r="E217" s="509"/>
      <c r="F217" s="486">
        <v>0</v>
      </c>
      <c r="G217" s="510"/>
      <c r="H217" s="509"/>
      <c r="I217" s="487" t="e">
        <v>#DIV/0!</v>
      </c>
      <c r="J217" s="509"/>
      <c r="K217" s="511"/>
      <c r="L217" s="511"/>
      <c r="M217" s="489">
        <v>0</v>
      </c>
      <c r="N217" s="512"/>
      <c r="O217" s="490">
        <v>0</v>
      </c>
      <c r="P217" s="181"/>
      <c r="Q217" s="181"/>
      <c r="R217" s="181"/>
      <c r="S217" s="181"/>
      <c r="T217" s="181"/>
      <c r="U217" s="181"/>
      <c r="V217" s="181"/>
      <c r="W217" s="181"/>
      <c r="X217" s="181"/>
      <c r="Y217" s="181"/>
      <c r="Z217" s="181"/>
      <c r="AA217" s="482" t="s">
        <v>1057</v>
      </c>
      <c r="AB217" s="446"/>
      <c r="AC217" s="446"/>
      <c r="AD217" s="450">
        <v>0</v>
      </c>
      <c r="AE217" s="446"/>
      <c r="AF217" s="446"/>
      <c r="AG217" s="450">
        <v>0</v>
      </c>
      <c r="AH217" s="446"/>
      <c r="AI217" s="446"/>
      <c r="AJ217" s="450">
        <v>0</v>
      </c>
      <c r="AK217" s="767">
        <v>0</v>
      </c>
      <c r="AL217" s="452" t="e">
        <v>#DIV/0!</v>
      </c>
      <c r="AM217" s="230">
        <v>0</v>
      </c>
      <c r="AN217" s="181"/>
      <c r="AO217" s="181"/>
    </row>
    <row r="218" spans="1:41">
      <c r="A218" s="207"/>
      <c r="B218" s="923" t="s">
        <v>1058</v>
      </c>
      <c r="C218" s="225"/>
      <c r="D218" s="215"/>
      <c r="E218" s="192"/>
      <c r="F218" s="192">
        <v>0.41239999999999999</v>
      </c>
      <c r="G218" s="193"/>
      <c r="H218" s="192"/>
      <c r="I218" s="229">
        <v>7256.2172647914649</v>
      </c>
      <c r="J218" s="192"/>
      <c r="K218" s="194"/>
      <c r="L218" s="194"/>
      <c r="M218" s="194">
        <v>2992.4639999999999</v>
      </c>
      <c r="N218" s="504"/>
      <c r="O218" s="211">
        <v>2992.4639999999999</v>
      </c>
      <c r="P218" s="941"/>
      <c r="Q218" s="941"/>
      <c r="R218" s="941"/>
      <c r="S218" s="941"/>
      <c r="T218" s="941"/>
      <c r="U218" s="941"/>
      <c r="V218" s="941"/>
      <c r="W218" s="941"/>
      <c r="X218" s="941"/>
      <c r="Y218" s="941"/>
      <c r="Z218" s="941"/>
      <c r="AA218" s="923" t="s">
        <v>1058</v>
      </c>
      <c r="AB218" s="446"/>
      <c r="AC218" s="446"/>
      <c r="AD218" s="230">
        <v>0</v>
      </c>
      <c r="AE218" s="446"/>
      <c r="AF218" s="446"/>
      <c r="AG218" s="230">
        <v>0</v>
      </c>
      <c r="AH218" s="446"/>
      <c r="AI218" s="446"/>
      <c r="AJ218" s="230">
        <v>0</v>
      </c>
      <c r="AK218" s="767">
        <v>0</v>
      </c>
      <c r="AL218" s="452" t="e">
        <v>#DIV/0!</v>
      </c>
      <c r="AM218" s="230">
        <v>0</v>
      </c>
    </row>
    <row r="219" spans="1:41" ht="13.5" thickBot="1">
      <c r="A219" s="934"/>
      <c r="B219" s="927"/>
      <c r="C219" s="935"/>
      <c r="D219" s="936"/>
      <c r="E219" s="937"/>
      <c r="F219" s="938"/>
      <c r="G219" s="938"/>
      <c r="H219" s="937"/>
      <c r="I219" s="939"/>
      <c r="J219" s="937"/>
      <c r="K219" s="940"/>
      <c r="L219" s="940"/>
      <c r="M219" s="940"/>
      <c r="N219" s="940"/>
      <c r="O219" s="940"/>
      <c r="AA219" s="927" t="s">
        <v>1518</v>
      </c>
      <c r="AB219" s="1418">
        <v>212.4</v>
      </c>
      <c r="AC219" s="1421">
        <v>6.9269999999999996</v>
      </c>
      <c r="AD219" s="1420">
        <v>1471.2947999999999</v>
      </c>
      <c r="AE219" s="1418">
        <v>200</v>
      </c>
      <c r="AF219" s="1419">
        <v>7.6058459999999988</v>
      </c>
      <c r="AG219" s="1420">
        <v>1521.1691999999998</v>
      </c>
      <c r="AH219" s="1418"/>
      <c r="AI219" s="1418"/>
      <c r="AJ219" s="1420">
        <v>0</v>
      </c>
      <c r="AK219" s="1422">
        <v>412.4</v>
      </c>
      <c r="AL219" s="1423">
        <v>7.2562172647914647</v>
      </c>
      <c r="AM219" s="1424">
        <v>2992.4639999999999</v>
      </c>
    </row>
    <row r="220" spans="1:41" ht="12.75" hidden="1" customHeight="1">
      <c r="A220" s="522" t="s">
        <v>869</v>
      </c>
      <c r="B220" s="523" t="s">
        <v>871</v>
      </c>
      <c r="C220" s="524"/>
      <c r="D220" s="524"/>
      <c r="E220" s="525"/>
      <c r="F220" s="526">
        <v>164</v>
      </c>
      <c r="G220" s="526"/>
      <c r="H220" s="525"/>
      <c r="I220" s="527"/>
      <c r="J220" s="527">
        <v>5.3757713414634152</v>
      </c>
      <c r="K220" s="528"/>
      <c r="L220" s="528"/>
      <c r="M220" s="528">
        <v>881.62650000000008</v>
      </c>
      <c r="N220" s="528"/>
      <c r="O220" s="529">
        <v>881.62650000000008</v>
      </c>
    </row>
    <row r="221" spans="1:41" ht="12.75" hidden="1" customHeight="1">
      <c r="A221" s="207" t="s">
        <v>872</v>
      </c>
      <c r="B221" s="208" t="s">
        <v>873</v>
      </c>
      <c r="C221" s="216"/>
      <c r="D221" s="216"/>
      <c r="E221" s="192"/>
      <c r="F221" s="193"/>
      <c r="G221" s="193"/>
      <c r="H221" s="192"/>
      <c r="I221" s="192"/>
      <c r="J221" s="192"/>
      <c r="K221" s="194"/>
      <c r="L221" s="194"/>
      <c r="M221" s="194">
        <v>0</v>
      </c>
      <c r="N221" s="194"/>
      <c r="O221" s="211">
        <v>0</v>
      </c>
    </row>
    <row r="222" spans="1:41" ht="12.75" hidden="1" customHeight="1">
      <c r="A222" s="207" t="s">
        <v>874</v>
      </c>
      <c r="B222" s="208" t="s">
        <v>875</v>
      </c>
      <c r="C222" s="216"/>
      <c r="D222" s="216"/>
      <c r="E222" s="192"/>
      <c r="F222" s="193">
        <v>164</v>
      </c>
      <c r="G222" s="193"/>
      <c r="H222" s="192"/>
      <c r="I222" s="192"/>
      <c r="J222" s="210">
        <v>5.3757713414634152</v>
      </c>
      <c r="K222" s="194"/>
      <c r="L222" s="194"/>
      <c r="M222" s="194">
        <v>881.62650000000008</v>
      </c>
      <c r="N222" s="194"/>
      <c r="O222" s="211">
        <v>881.62650000000008</v>
      </c>
    </row>
    <row r="223" spans="1:41" ht="12.75" hidden="1" customHeight="1">
      <c r="A223" s="207" t="s">
        <v>876</v>
      </c>
      <c r="B223" s="208" t="s">
        <v>883</v>
      </c>
      <c r="C223" s="216"/>
      <c r="D223" s="216"/>
      <c r="E223" s="192"/>
      <c r="F223" s="193"/>
      <c r="G223" s="193"/>
      <c r="H223" s="192"/>
      <c r="I223" s="192"/>
      <c r="J223" s="192"/>
      <c r="K223" s="194"/>
      <c r="L223" s="194"/>
      <c r="M223" s="194">
        <v>0</v>
      </c>
      <c r="N223" s="194"/>
      <c r="O223" s="211">
        <v>0</v>
      </c>
    </row>
    <row r="224" spans="1:41" ht="13.5" hidden="1" customHeight="1" thickBot="1">
      <c r="A224" s="232" t="s">
        <v>878</v>
      </c>
      <c r="B224" s="233" t="s">
        <v>884</v>
      </c>
      <c r="C224" s="234"/>
      <c r="D224" s="234"/>
      <c r="E224" s="235"/>
      <c r="F224" s="236"/>
      <c r="G224" s="236"/>
      <c r="H224" s="235"/>
      <c r="I224" s="235"/>
      <c r="J224" s="235"/>
      <c r="K224" s="237"/>
      <c r="L224" s="237"/>
      <c r="M224" s="237">
        <v>0</v>
      </c>
      <c r="N224" s="237"/>
      <c r="O224" s="238">
        <v>0</v>
      </c>
    </row>
    <row r="225" spans="1:41">
      <c r="A225" s="1795" t="s">
        <v>1837</v>
      </c>
      <c r="B225" s="1796"/>
      <c r="C225" s="1796"/>
      <c r="D225" s="1796"/>
      <c r="E225" s="1796"/>
      <c r="F225" s="1796"/>
      <c r="G225" s="1796"/>
      <c r="H225" s="1796"/>
      <c r="I225" s="1796"/>
      <c r="J225" s="1796"/>
      <c r="K225" s="1796"/>
      <c r="L225" s="1796"/>
      <c r="M225" s="1796"/>
      <c r="N225" s="1796"/>
      <c r="O225" s="1798"/>
      <c r="AA225" s="519"/>
      <c r="AB225" s="519"/>
      <c r="AC225" s="519"/>
      <c r="AD225" s="519"/>
      <c r="AE225" s="519"/>
      <c r="AF225" s="519"/>
      <c r="AG225" s="519"/>
      <c r="AH225" s="519"/>
      <c r="AI225" s="519"/>
      <c r="AJ225" s="519"/>
      <c r="AK225" s="519"/>
      <c r="AL225" s="519"/>
      <c r="AM225" s="519"/>
      <c r="AN225" s="519"/>
      <c r="AO225" s="519"/>
    </row>
    <row r="226" spans="1:41" ht="25.5">
      <c r="A226" s="207">
        <v>1</v>
      </c>
      <c r="B226" s="218" t="s">
        <v>863</v>
      </c>
      <c r="C226" s="222" t="e">
        <v>#REF!</v>
      </c>
      <c r="D226" s="222" t="e">
        <v>#REF!</v>
      </c>
      <c r="E226" s="187"/>
      <c r="F226" s="188">
        <v>12.990400000000001</v>
      </c>
      <c r="G226" s="188"/>
      <c r="H226" s="187"/>
      <c r="I226" s="187"/>
      <c r="J226" s="187"/>
      <c r="K226" s="189"/>
      <c r="L226" s="189"/>
      <c r="M226" s="189">
        <v>88956.484800000006</v>
      </c>
      <c r="N226" s="189"/>
      <c r="O226" s="213">
        <v>88956.484800000006</v>
      </c>
      <c r="AA226" s="780"/>
      <c r="AB226" s="781"/>
      <c r="AC226" s="781"/>
      <c r="AD226" s="519"/>
      <c r="AE226" s="781"/>
      <c r="AF226" s="781"/>
      <c r="AG226" s="519"/>
      <c r="AH226" s="781"/>
      <c r="AI226" s="781"/>
      <c r="AJ226" s="519"/>
      <c r="AK226" s="781"/>
      <c r="AL226" s="781"/>
      <c r="AM226" s="519"/>
      <c r="AN226" s="519"/>
      <c r="AO226" s="519"/>
    </row>
    <row r="227" spans="1:41" s="239" customFormat="1" ht="15.75">
      <c r="A227" s="207" t="s">
        <v>5</v>
      </c>
      <c r="B227" s="208" t="s">
        <v>1870</v>
      </c>
      <c r="C227" s="209"/>
      <c r="D227" s="209"/>
      <c r="E227" s="192"/>
      <c r="F227" s="193">
        <v>11.4404</v>
      </c>
      <c r="G227" s="193"/>
      <c r="H227" s="192"/>
      <c r="I227" s="229">
        <v>6927.0000000000009</v>
      </c>
      <c r="J227" s="192">
        <v>5.3924651823909073</v>
      </c>
      <c r="K227" s="194"/>
      <c r="L227" s="194"/>
      <c r="M227" s="194">
        <v>79247.650800000003</v>
      </c>
      <c r="N227" s="194"/>
      <c r="O227" s="211">
        <v>79247.650800000003</v>
      </c>
      <c r="P227" s="181"/>
      <c r="Q227" s="181"/>
      <c r="R227" s="181"/>
      <c r="S227" s="181"/>
      <c r="T227" s="181"/>
      <c r="U227" s="181"/>
      <c r="V227" s="181"/>
      <c r="W227" s="181"/>
      <c r="X227" s="181"/>
      <c r="Y227" s="181"/>
      <c r="Z227" s="181"/>
      <c r="AA227" s="782"/>
      <c r="AB227" s="520"/>
      <c r="AC227" s="519"/>
      <c r="AD227" s="521"/>
      <c r="AE227" s="520"/>
      <c r="AF227" s="519"/>
      <c r="AG227" s="521"/>
      <c r="AH227" s="520"/>
      <c r="AI227" s="519"/>
      <c r="AJ227" s="521"/>
      <c r="AK227" s="520"/>
      <c r="AL227" s="783"/>
      <c r="AM227" s="521"/>
      <c r="AN227" s="519"/>
      <c r="AO227" s="519"/>
    </row>
    <row r="228" spans="1:41">
      <c r="A228" s="207" t="s">
        <v>6</v>
      </c>
      <c r="B228" s="228" t="s">
        <v>887</v>
      </c>
      <c r="C228" s="208"/>
      <c r="D228" s="231"/>
      <c r="E228" s="184"/>
      <c r="F228" s="193">
        <v>1.55</v>
      </c>
      <c r="G228" s="193"/>
      <c r="H228" s="184"/>
      <c r="I228" s="229">
        <v>6263.7638709677412</v>
      </c>
      <c r="J228" s="192"/>
      <c r="K228" s="184"/>
      <c r="L228" s="184"/>
      <c r="M228" s="194">
        <v>9708.8339999999989</v>
      </c>
      <c r="N228" s="184"/>
      <c r="O228" s="211">
        <v>9708.8339999999989</v>
      </c>
      <c r="AA228" s="784"/>
      <c r="AB228" s="520"/>
      <c r="AC228" s="519"/>
      <c r="AD228" s="521"/>
      <c r="AE228" s="520"/>
      <c r="AF228" s="519"/>
      <c r="AG228" s="521"/>
      <c r="AH228" s="520"/>
      <c r="AI228" s="519"/>
      <c r="AJ228" s="521"/>
      <c r="AK228" s="520"/>
      <c r="AL228" s="783"/>
      <c r="AM228" s="521"/>
      <c r="AN228" s="519"/>
      <c r="AO228" s="519"/>
    </row>
    <row r="229" spans="1:41">
      <c r="A229" s="207" t="s">
        <v>7</v>
      </c>
      <c r="B229" s="208" t="s">
        <v>432</v>
      </c>
      <c r="C229" s="208"/>
      <c r="D229" s="231"/>
      <c r="E229" s="184"/>
      <c r="F229" s="193"/>
      <c r="G229" s="184"/>
      <c r="H229" s="184"/>
      <c r="I229" s="229"/>
      <c r="J229" s="192"/>
      <c r="K229" s="184"/>
      <c r="L229" s="184"/>
      <c r="M229" s="194"/>
      <c r="N229" s="184"/>
      <c r="O229" s="211">
        <v>0</v>
      </c>
      <c r="Q229" s="1799" t="s">
        <v>767</v>
      </c>
      <c r="R229" s="1800"/>
      <c r="S229" s="1801"/>
      <c r="T229" s="1802" t="s">
        <v>766</v>
      </c>
      <c r="U229" s="1803"/>
      <c r="V229" s="1804"/>
      <c r="W229" s="1802" t="s">
        <v>1051</v>
      </c>
      <c r="X229" s="1803"/>
      <c r="Y229" s="1804"/>
      <c r="AA229" s="784"/>
      <c r="AB229" s="520"/>
      <c r="AC229" s="519"/>
      <c r="AD229" s="521"/>
      <c r="AE229" s="520"/>
      <c r="AF229" s="519"/>
      <c r="AG229" s="521"/>
      <c r="AH229" s="520"/>
      <c r="AI229" s="519"/>
      <c r="AJ229" s="521"/>
      <c r="AK229" s="520"/>
      <c r="AL229" s="783"/>
      <c r="AM229" s="521"/>
      <c r="AN229" s="785"/>
      <c r="AO229" s="786"/>
    </row>
    <row r="230" spans="1:41" ht="14.25" thickBot="1">
      <c r="A230" s="207" t="s">
        <v>11</v>
      </c>
      <c r="B230" s="212" t="s">
        <v>865</v>
      </c>
      <c r="C230" s="208"/>
      <c r="D230" s="231"/>
      <c r="E230" s="184">
        <v>0</v>
      </c>
      <c r="F230" s="184"/>
      <c r="G230" s="184"/>
      <c r="H230" s="184"/>
      <c r="I230" s="192"/>
      <c r="J230" s="229"/>
      <c r="K230" s="184"/>
      <c r="L230" s="184"/>
      <c r="M230" s="184"/>
      <c r="N230" s="184"/>
      <c r="O230" s="211"/>
      <c r="P230" s="443" t="s">
        <v>1052</v>
      </c>
      <c r="Q230" s="444" t="s">
        <v>1053</v>
      </c>
      <c r="R230" s="1802" t="s">
        <v>417</v>
      </c>
      <c r="S230" s="446" t="s">
        <v>1054</v>
      </c>
      <c r="T230" s="444" t="s">
        <v>1053</v>
      </c>
      <c r="U230" s="1802" t="s">
        <v>417</v>
      </c>
      <c r="V230" s="446" t="s">
        <v>1054</v>
      </c>
      <c r="W230" s="1802" t="s">
        <v>1053</v>
      </c>
      <c r="X230" s="1802" t="s">
        <v>417</v>
      </c>
      <c r="Y230" s="446" t="s">
        <v>1054</v>
      </c>
      <c r="AA230" s="787"/>
      <c r="AB230" s="520"/>
      <c r="AC230" s="519"/>
      <c r="AD230" s="521"/>
      <c r="AE230" s="520"/>
      <c r="AF230" s="519"/>
      <c r="AG230" s="521"/>
      <c r="AH230" s="520"/>
      <c r="AI230" s="519"/>
      <c r="AJ230" s="521"/>
      <c r="AK230" s="520"/>
      <c r="AL230" s="519"/>
      <c r="AM230" s="521"/>
      <c r="AN230" s="788"/>
      <c r="AO230" s="786"/>
    </row>
    <row r="231" spans="1:41" ht="13.5" thickBot="1">
      <c r="A231" s="460" t="s">
        <v>12</v>
      </c>
      <c r="B231" s="461" t="s">
        <v>866</v>
      </c>
      <c r="C231" s="462" t="e">
        <v>#REF!</v>
      </c>
      <c r="D231" s="463" t="e">
        <v>#REF!</v>
      </c>
      <c r="E231" s="464"/>
      <c r="F231" s="465">
        <v>12.778</v>
      </c>
      <c r="G231" s="465"/>
      <c r="H231" s="464"/>
      <c r="I231" s="466"/>
      <c r="J231" s="467">
        <v>5.3924651823909073</v>
      </c>
      <c r="K231" s="468"/>
      <c r="L231" s="468"/>
      <c r="M231" s="468">
        <v>87485.19</v>
      </c>
      <c r="N231" s="468"/>
      <c r="O231" s="469">
        <v>87485.19</v>
      </c>
      <c r="P231" s="470" t="s">
        <v>864</v>
      </c>
      <c r="Q231" s="471">
        <v>5740.8600000000006</v>
      </c>
      <c r="R231" s="472">
        <v>5.4480000000000004</v>
      </c>
      <c r="S231" s="473">
        <v>31276.205280000006</v>
      </c>
      <c r="T231" s="471">
        <v>3081.4</v>
      </c>
      <c r="U231" s="472">
        <v>5.2889999999999997</v>
      </c>
      <c r="V231" s="474">
        <v>16297.524599999999</v>
      </c>
      <c r="W231" s="475">
        <v>8822.26</v>
      </c>
      <c r="X231" s="476">
        <v>5.3924651823909073</v>
      </c>
      <c r="Y231" s="477">
        <v>47573.729880000006</v>
      </c>
      <c r="Z231" s="478"/>
      <c r="AA231" s="789"/>
      <c r="AB231" s="789"/>
      <c r="AC231" s="789"/>
      <c r="AD231" s="790"/>
      <c r="AE231" s="789"/>
      <c r="AF231" s="789"/>
      <c r="AG231" s="790"/>
      <c r="AH231" s="789"/>
      <c r="AI231" s="789"/>
      <c r="AJ231" s="790"/>
      <c r="AK231" s="789"/>
      <c r="AL231" s="789"/>
      <c r="AM231" s="790"/>
      <c r="AN231" s="791"/>
      <c r="AO231" s="519"/>
    </row>
    <row r="232" spans="1:41" ht="13.5" thickBot="1">
      <c r="A232" s="207"/>
      <c r="B232" s="479" t="s">
        <v>1059</v>
      </c>
      <c r="C232" s="225"/>
      <c r="D232" s="215"/>
      <c r="E232" s="192"/>
      <c r="F232" s="193">
        <v>10.044</v>
      </c>
      <c r="G232" s="193"/>
      <c r="H232" s="192"/>
      <c r="I232" s="229">
        <v>6927</v>
      </c>
      <c r="J232" s="210"/>
      <c r="K232" s="194"/>
      <c r="L232" s="194"/>
      <c r="M232" s="194">
        <v>69574.788</v>
      </c>
      <c r="N232" s="194"/>
      <c r="O232" s="211">
        <v>69574.788</v>
      </c>
      <c r="P232" s="447"/>
      <c r="Q232" s="448"/>
      <c r="R232" s="449"/>
      <c r="S232" s="450"/>
      <c r="T232" s="448"/>
      <c r="U232" s="449"/>
      <c r="V232" s="230"/>
      <c r="W232" s="451"/>
      <c r="X232" s="480"/>
      <c r="Y232" s="453"/>
      <c r="AA232" s="792"/>
      <c r="AB232" s="519"/>
      <c r="AC232" s="519"/>
      <c r="AD232" s="521"/>
      <c r="AE232" s="519"/>
      <c r="AF232" s="519"/>
      <c r="AG232" s="521"/>
      <c r="AH232" s="519"/>
      <c r="AI232" s="519"/>
      <c r="AJ232" s="521"/>
      <c r="AK232" s="520"/>
      <c r="AL232" s="783"/>
      <c r="AM232" s="521"/>
      <c r="AN232" s="521"/>
      <c r="AO232" s="519"/>
    </row>
    <row r="233" spans="1:41" ht="13.5" thickBot="1">
      <c r="A233" s="207"/>
      <c r="B233" s="479" t="s">
        <v>1056</v>
      </c>
      <c r="C233" s="225"/>
      <c r="D233" s="215"/>
      <c r="E233" s="192"/>
      <c r="F233" s="193">
        <v>1.1839999999999999</v>
      </c>
      <c r="G233" s="193"/>
      <c r="H233" s="192"/>
      <c r="I233" s="229">
        <v>6927</v>
      </c>
      <c r="J233" s="210"/>
      <c r="K233" s="194"/>
      <c r="L233" s="194"/>
      <c r="M233" s="194">
        <v>8201.5679999999993</v>
      </c>
      <c r="N233" s="194"/>
      <c r="O233" s="211">
        <v>8201.5679999999993</v>
      </c>
      <c r="P233" s="447"/>
      <c r="Q233" s="448"/>
      <c r="R233" s="449"/>
      <c r="S233" s="450"/>
      <c r="T233" s="448"/>
      <c r="U233" s="449"/>
      <c r="V233" s="230"/>
      <c r="W233" s="451"/>
      <c r="X233" s="480"/>
      <c r="Y233" s="453"/>
      <c r="AA233" s="792"/>
      <c r="AB233" s="519"/>
      <c r="AC233" s="519"/>
      <c r="AD233" s="521"/>
      <c r="AE233" s="519"/>
      <c r="AF233" s="519"/>
      <c r="AG233" s="521"/>
      <c r="AH233" s="519"/>
      <c r="AI233" s="519"/>
      <c r="AJ233" s="521"/>
      <c r="AK233" s="520"/>
      <c r="AL233" s="783"/>
      <c r="AM233" s="521"/>
      <c r="AN233" s="519"/>
      <c r="AO233" s="519"/>
    </row>
    <row r="234" spans="1:41" ht="13.5" thickBot="1">
      <c r="A234" s="481"/>
      <c r="B234" s="482" t="s">
        <v>1057</v>
      </c>
      <c r="C234" s="483"/>
      <c r="D234" s="484"/>
      <c r="E234" s="485"/>
      <c r="F234" s="486">
        <v>1.55</v>
      </c>
      <c r="G234" s="486"/>
      <c r="H234" s="485"/>
      <c r="I234" s="487">
        <v>6263.7638709677412</v>
      </c>
      <c r="J234" s="488"/>
      <c r="K234" s="489"/>
      <c r="L234" s="489"/>
      <c r="M234" s="489">
        <v>9708.8339999999989</v>
      </c>
      <c r="N234" s="503"/>
      <c r="O234" s="490">
        <v>9708.8339999999989</v>
      </c>
      <c r="P234" s="491"/>
      <c r="Q234" s="492"/>
      <c r="R234" s="493"/>
      <c r="S234" s="494"/>
      <c r="T234" s="492"/>
      <c r="U234" s="493"/>
      <c r="V234" s="495"/>
      <c r="W234" s="496"/>
      <c r="X234" s="497"/>
      <c r="Y234" s="498"/>
      <c r="Z234" s="499"/>
      <c r="AA234" s="793"/>
      <c r="AB234" s="519"/>
      <c r="AC234" s="519"/>
      <c r="AD234" s="521"/>
      <c r="AE234" s="519"/>
      <c r="AF234" s="519"/>
      <c r="AG234" s="521"/>
      <c r="AH234" s="519"/>
      <c r="AI234" s="519"/>
      <c r="AJ234" s="521"/>
      <c r="AK234" s="520"/>
      <c r="AL234" s="783"/>
      <c r="AM234" s="521"/>
      <c r="AN234" s="513"/>
      <c r="AO234" s="513"/>
    </row>
    <row r="235" spans="1:41" ht="13.5" thickBot="1">
      <c r="A235" s="207"/>
      <c r="B235" s="479" t="s">
        <v>1058</v>
      </c>
      <c r="C235" s="225"/>
      <c r="D235" s="215"/>
      <c r="E235" s="192"/>
      <c r="F235" s="193">
        <v>0</v>
      </c>
      <c r="G235" s="193"/>
      <c r="H235" s="192"/>
      <c r="I235" s="229">
        <v>6448</v>
      </c>
      <c r="J235" s="210"/>
      <c r="K235" s="194"/>
      <c r="L235" s="194"/>
      <c r="M235" s="194">
        <v>0</v>
      </c>
      <c r="N235" s="504"/>
      <c r="O235" s="211">
        <v>0</v>
      </c>
      <c r="P235" s="447"/>
      <c r="Q235" s="448"/>
      <c r="R235" s="449"/>
      <c r="S235" s="450"/>
      <c r="T235" s="448"/>
      <c r="U235" s="449"/>
      <c r="V235" s="230"/>
      <c r="W235" s="451"/>
      <c r="X235" s="480"/>
      <c r="Y235" s="453"/>
      <c r="AA235" s="792"/>
      <c r="AB235" s="519"/>
      <c r="AC235" s="519"/>
      <c r="AD235" s="521"/>
      <c r="AE235" s="519"/>
      <c r="AF235" s="519"/>
      <c r="AG235" s="521"/>
      <c r="AH235" s="519"/>
      <c r="AI235" s="519"/>
      <c r="AJ235" s="521"/>
      <c r="AK235" s="520"/>
      <c r="AL235" s="783"/>
      <c r="AM235" s="521"/>
      <c r="AN235" s="519"/>
      <c r="AO235" s="519"/>
    </row>
    <row r="236" spans="1:41" ht="13.5" thickBot="1">
      <c r="A236" s="460" t="s">
        <v>18</v>
      </c>
      <c r="B236" s="461" t="s">
        <v>868</v>
      </c>
      <c r="C236" s="462" t="e">
        <v>#REF!</v>
      </c>
      <c r="D236" s="463" t="e">
        <v>#REF!</v>
      </c>
      <c r="E236" s="464"/>
      <c r="F236" s="465">
        <v>0.21240000000000001</v>
      </c>
      <c r="G236" s="465"/>
      <c r="H236" s="464"/>
      <c r="I236" s="466"/>
      <c r="J236" s="464"/>
      <c r="K236" s="468"/>
      <c r="L236" s="468"/>
      <c r="M236" s="468">
        <v>1471.2947999999999</v>
      </c>
      <c r="N236" s="505"/>
      <c r="O236" s="469">
        <v>1471.2947999999999</v>
      </c>
      <c r="P236" s="500" t="s">
        <v>887</v>
      </c>
      <c r="Q236" s="471">
        <v>702.21</v>
      </c>
      <c r="R236" s="472">
        <v>4.6040000000000001</v>
      </c>
      <c r="S236" s="473">
        <v>3232.9748400000003</v>
      </c>
      <c r="T236" s="471">
        <v>419</v>
      </c>
      <c r="U236" s="472">
        <v>4.4880000000000004</v>
      </c>
      <c r="V236" s="474">
        <v>1880.4720000000002</v>
      </c>
      <c r="W236" s="501">
        <v>1121.21</v>
      </c>
      <c r="X236" s="502">
        <v>4.5606504044737388</v>
      </c>
      <c r="Y236" s="474">
        <v>5113.4468400000005</v>
      </c>
      <c r="Z236" s="478"/>
      <c r="AA236" s="789"/>
      <c r="AB236" s="789"/>
      <c r="AC236" s="789"/>
      <c r="AD236" s="790"/>
      <c r="AE236" s="789"/>
      <c r="AF236" s="789"/>
      <c r="AG236" s="790"/>
      <c r="AH236" s="789"/>
      <c r="AI236" s="789"/>
      <c r="AJ236" s="790"/>
      <c r="AK236" s="789"/>
      <c r="AL236" s="789"/>
      <c r="AM236" s="790"/>
      <c r="AN236" s="794"/>
      <c r="AO236" s="794"/>
    </row>
    <row r="237" spans="1:41">
      <c r="A237" s="207"/>
      <c r="B237" s="479" t="s">
        <v>1554</v>
      </c>
      <c r="C237" s="225" t="e">
        <v>#REF!</v>
      </c>
      <c r="D237" s="215" t="e">
        <v>#REF!</v>
      </c>
      <c r="E237" s="192"/>
      <c r="F237" s="193">
        <v>0</v>
      </c>
      <c r="G237" s="193"/>
      <c r="H237" s="192"/>
      <c r="I237" s="229">
        <v>0</v>
      </c>
      <c r="J237" s="184"/>
      <c r="K237" s="194"/>
      <c r="L237" s="194"/>
      <c r="M237" s="194">
        <v>0</v>
      </c>
      <c r="N237" s="504"/>
      <c r="O237" s="211">
        <v>0</v>
      </c>
      <c r="P237" s="457" t="s">
        <v>435</v>
      </c>
      <c r="Q237" s="446"/>
      <c r="R237" s="446"/>
      <c r="S237" s="446"/>
      <c r="T237" s="446"/>
      <c r="U237" s="446"/>
      <c r="V237" s="446"/>
      <c r="W237" s="458">
        <v>9943.4700000000012</v>
      </c>
      <c r="X237" s="454"/>
      <c r="Y237" s="459">
        <v>52687.176720000003</v>
      </c>
      <c r="AA237" s="792"/>
      <c r="AB237" s="519"/>
      <c r="AC237" s="519"/>
      <c r="AD237" s="521"/>
      <c r="AE237" s="519"/>
      <c r="AF237" s="519"/>
      <c r="AG237" s="521"/>
      <c r="AH237" s="519"/>
      <c r="AI237" s="519"/>
      <c r="AJ237" s="521"/>
      <c r="AK237" s="520"/>
      <c r="AL237" s="783"/>
      <c r="AM237" s="521"/>
      <c r="AN237" s="519"/>
      <c r="AO237" s="519"/>
    </row>
    <row r="238" spans="1:41">
      <c r="A238" s="506"/>
      <c r="B238" s="482" t="s">
        <v>1057</v>
      </c>
      <c r="C238" s="507"/>
      <c r="D238" s="508"/>
      <c r="E238" s="509"/>
      <c r="F238" s="486">
        <v>0</v>
      </c>
      <c r="G238" s="510"/>
      <c r="H238" s="509"/>
      <c r="I238" s="487">
        <v>0</v>
      </c>
      <c r="J238" s="509"/>
      <c r="K238" s="511"/>
      <c r="L238" s="511"/>
      <c r="M238" s="489">
        <v>0</v>
      </c>
      <c r="N238" s="512"/>
      <c r="O238" s="490">
        <v>0</v>
      </c>
      <c r="AA238" s="793"/>
      <c r="AB238" s="519"/>
      <c r="AC238" s="519"/>
      <c r="AD238" s="521"/>
      <c r="AE238" s="519"/>
      <c r="AF238" s="519"/>
      <c r="AG238" s="521"/>
      <c r="AH238" s="519"/>
      <c r="AI238" s="519"/>
      <c r="AJ238" s="521"/>
      <c r="AK238" s="520"/>
      <c r="AL238" s="783"/>
      <c r="AM238" s="521"/>
      <c r="AN238" s="519"/>
      <c r="AO238" s="519"/>
    </row>
    <row r="239" spans="1:41" ht="13.5" thickBot="1">
      <c r="A239" s="232"/>
      <c r="B239" s="514" t="s">
        <v>1058</v>
      </c>
      <c r="C239" s="515"/>
      <c r="D239" s="516"/>
      <c r="E239" s="235"/>
      <c r="F239" s="943">
        <v>0.21240000000000001</v>
      </c>
      <c r="G239" s="236"/>
      <c r="H239" s="235"/>
      <c r="I239" s="517">
        <v>6926.9999999999991</v>
      </c>
      <c r="J239" s="235"/>
      <c r="K239" s="237"/>
      <c r="L239" s="237"/>
      <c r="M239" s="237">
        <v>1471.2947999999999</v>
      </c>
      <c r="N239" s="518"/>
      <c r="O239" s="238">
        <v>1471.2947999999999</v>
      </c>
      <c r="AA239" s="795"/>
      <c r="AB239" s="519"/>
      <c r="AC239" s="519"/>
      <c r="AD239" s="521"/>
      <c r="AE239" s="519"/>
      <c r="AF239" s="519"/>
      <c r="AG239" s="521"/>
      <c r="AH239" s="519"/>
      <c r="AI239" s="519"/>
      <c r="AJ239" s="521"/>
      <c r="AK239" s="520"/>
      <c r="AL239" s="783"/>
      <c r="AM239" s="521"/>
      <c r="AN239" s="519"/>
      <c r="AO239" s="519"/>
    </row>
    <row r="240" spans="1:41">
      <c r="A240" s="1795" t="s">
        <v>1838</v>
      </c>
      <c r="B240" s="1796"/>
      <c r="C240" s="1796"/>
      <c r="D240" s="1796"/>
      <c r="E240" s="1796"/>
      <c r="F240" s="1797"/>
      <c r="G240" s="1796"/>
      <c r="H240" s="1796"/>
      <c r="I240" s="1797"/>
      <c r="J240" s="1796"/>
      <c r="K240" s="1796"/>
      <c r="L240" s="1796"/>
      <c r="M240" s="1797"/>
      <c r="N240" s="1796"/>
      <c r="O240" s="1798"/>
      <c r="AA240" s="519"/>
      <c r="AB240" s="519"/>
      <c r="AC240" s="519"/>
      <c r="AD240" s="519"/>
      <c r="AE240" s="519"/>
      <c r="AF240" s="519"/>
      <c r="AG240" s="519"/>
      <c r="AH240" s="519"/>
      <c r="AI240" s="519"/>
      <c r="AJ240" s="519"/>
      <c r="AK240" s="519"/>
      <c r="AL240" s="519"/>
      <c r="AM240" s="519"/>
      <c r="AN240" s="519"/>
      <c r="AO240" s="519"/>
    </row>
    <row r="241" spans="1:41" ht="25.5">
      <c r="A241" s="207">
        <v>1</v>
      </c>
      <c r="B241" s="218" t="s">
        <v>863</v>
      </c>
      <c r="C241" s="222" t="e">
        <v>#REF!</v>
      </c>
      <c r="D241" s="222" t="e">
        <v>#REF!</v>
      </c>
      <c r="E241" s="187"/>
      <c r="F241" s="188">
        <v>8.89</v>
      </c>
      <c r="G241" s="188"/>
      <c r="H241" s="187"/>
      <c r="I241" s="187"/>
      <c r="J241" s="187"/>
      <c r="K241" s="189"/>
      <c r="L241" s="189"/>
      <c r="M241" s="189">
        <v>66694.511771999983</v>
      </c>
      <c r="N241" s="189"/>
      <c r="O241" s="213">
        <v>66694.511771999983</v>
      </c>
      <c r="AA241" s="780"/>
      <c r="AB241" s="781"/>
      <c r="AC241" s="781"/>
      <c r="AD241" s="519"/>
      <c r="AE241" s="781"/>
      <c r="AF241" s="781"/>
      <c r="AG241" s="519"/>
      <c r="AH241" s="781"/>
      <c r="AI241" s="781"/>
      <c r="AJ241" s="519"/>
      <c r="AK241" s="781"/>
      <c r="AL241" s="781"/>
      <c r="AM241" s="519"/>
      <c r="AN241" s="519"/>
      <c r="AO241" s="519"/>
    </row>
    <row r="242" spans="1:41">
      <c r="A242" s="207" t="s">
        <v>5</v>
      </c>
      <c r="B242" s="208" t="s">
        <v>1870</v>
      </c>
      <c r="C242" s="209"/>
      <c r="D242" s="209"/>
      <c r="E242" s="192"/>
      <c r="F242" s="193">
        <v>7.6829999999999998</v>
      </c>
      <c r="G242" s="193"/>
      <c r="H242" s="192"/>
      <c r="I242" s="229">
        <v>7605.8459999999977</v>
      </c>
      <c r="J242" s="192">
        <v>5.3924651823909073</v>
      </c>
      <c r="K242" s="194"/>
      <c r="L242" s="194"/>
      <c r="M242" s="194">
        <v>58435.714817999986</v>
      </c>
      <c r="N242" s="194"/>
      <c r="O242" s="211">
        <v>58435.714817999986</v>
      </c>
      <c r="AA242" s="782"/>
      <c r="AB242" s="520"/>
      <c r="AC242" s="519"/>
      <c r="AD242" s="521"/>
      <c r="AE242" s="520"/>
      <c r="AF242" s="519"/>
      <c r="AG242" s="521"/>
      <c r="AH242" s="520"/>
      <c r="AI242" s="519"/>
      <c r="AJ242" s="521"/>
      <c r="AK242" s="520"/>
      <c r="AL242" s="783"/>
      <c r="AM242" s="521"/>
      <c r="AN242" s="519"/>
      <c r="AO242" s="519"/>
    </row>
    <row r="243" spans="1:41">
      <c r="A243" s="207" t="s">
        <v>6</v>
      </c>
      <c r="B243" s="228" t="s">
        <v>887</v>
      </c>
      <c r="C243" s="208"/>
      <c r="D243" s="231"/>
      <c r="E243" s="184"/>
      <c r="F243" s="193">
        <v>1.2070000000000001</v>
      </c>
      <c r="G243" s="193"/>
      <c r="H243" s="192"/>
      <c r="I243" s="229">
        <v>6842.4166975973467</v>
      </c>
      <c r="J243" s="192">
        <v>0</v>
      </c>
      <c r="K243" s="194"/>
      <c r="L243" s="194"/>
      <c r="M243" s="194">
        <v>8258.7969539999976</v>
      </c>
      <c r="N243" s="184"/>
      <c r="O243" s="211">
        <v>8258.7969539999976</v>
      </c>
      <c r="AA243" s="784"/>
      <c r="AB243" s="520"/>
      <c r="AC243" s="519"/>
      <c r="AD243" s="521"/>
      <c r="AE243" s="520"/>
      <c r="AF243" s="519"/>
      <c r="AG243" s="521"/>
      <c r="AH243" s="520"/>
      <c r="AI243" s="519"/>
      <c r="AJ243" s="521"/>
      <c r="AK243" s="520"/>
      <c r="AL243" s="783"/>
      <c r="AM243" s="521"/>
      <c r="AN243" s="519"/>
      <c r="AO243" s="519"/>
    </row>
    <row r="244" spans="1:41">
      <c r="A244" s="207" t="s">
        <v>7</v>
      </c>
      <c r="B244" s="208" t="s">
        <v>432</v>
      </c>
      <c r="C244" s="208"/>
      <c r="D244" s="231"/>
      <c r="E244" s="184"/>
      <c r="F244" s="193"/>
      <c r="G244" s="193"/>
      <c r="H244" s="192"/>
      <c r="I244" s="229"/>
      <c r="J244" s="192">
        <v>0</v>
      </c>
      <c r="K244" s="194"/>
      <c r="L244" s="194"/>
      <c r="M244" s="194"/>
      <c r="N244" s="184"/>
      <c r="O244" s="211">
        <v>0</v>
      </c>
      <c r="Q244" s="1799" t="s">
        <v>767</v>
      </c>
      <c r="R244" s="1800"/>
      <c r="S244" s="1801"/>
      <c r="T244" s="1802" t="s">
        <v>766</v>
      </c>
      <c r="U244" s="1803"/>
      <c r="V244" s="1804"/>
      <c r="W244" s="1802" t="s">
        <v>1051</v>
      </c>
      <c r="X244" s="1803"/>
      <c r="Y244" s="1804"/>
      <c r="AA244" s="784"/>
      <c r="AB244" s="520"/>
      <c r="AC244" s="519"/>
      <c r="AD244" s="521"/>
      <c r="AE244" s="520"/>
      <c r="AF244" s="519"/>
      <c r="AG244" s="521"/>
      <c r="AH244" s="520"/>
      <c r="AI244" s="519"/>
      <c r="AJ244" s="521"/>
      <c r="AK244" s="520"/>
      <c r="AL244" s="783"/>
      <c r="AM244" s="521"/>
      <c r="AN244" s="785"/>
      <c r="AO244" s="786"/>
    </row>
    <row r="245" spans="1:41" ht="14.25" thickBot="1">
      <c r="A245" s="207" t="s">
        <v>11</v>
      </c>
      <c r="B245" s="212" t="s">
        <v>865</v>
      </c>
      <c r="C245" s="208"/>
      <c r="D245" s="231"/>
      <c r="E245" s="184">
        <v>0</v>
      </c>
      <c r="F245" s="184"/>
      <c r="G245" s="184"/>
      <c r="H245" s="184"/>
      <c r="I245" s="192"/>
      <c r="J245" s="229"/>
      <c r="K245" s="184"/>
      <c r="L245" s="184"/>
      <c r="M245" s="184"/>
      <c r="N245" s="184"/>
      <c r="O245" s="211"/>
      <c r="P245" s="443" t="s">
        <v>1052</v>
      </c>
      <c r="Q245" s="444" t="s">
        <v>1053</v>
      </c>
      <c r="R245" s="1802" t="s">
        <v>417</v>
      </c>
      <c r="S245" s="446" t="s">
        <v>1054</v>
      </c>
      <c r="T245" s="444" t="s">
        <v>1053</v>
      </c>
      <c r="U245" s="1802" t="s">
        <v>417</v>
      </c>
      <c r="V245" s="446" t="s">
        <v>1054</v>
      </c>
      <c r="W245" s="1802" t="s">
        <v>1053</v>
      </c>
      <c r="X245" s="1802" t="s">
        <v>417</v>
      </c>
      <c r="Y245" s="446" t="s">
        <v>1054</v>
      </c>
      <c r="AA245" s="787"/>
      <c r="AB245" s="520"/>
      <c r="AC245" s="519"/>
      <c r="AD245" s="521"/>
      <c r="AE245" s="520"/>
      <c r="AF245" s="519"/>
      <c r="AG245" s="521"/>
      <c r="AH245" s="520"/>
      <c r="AI245" s="519"/>
      <c r="AJ245" s="521"/>
      <c r="AK245" s="520"/>
      <c r="AL245" s="519"/>
      <c r="AM245" s="521"/>
      <c r="AN245" s="788"/>
      <c r="AO245" s="786"/>
    </row>
    <row r="246" spans="1:41" ht="13.5" thickBot="1">
      <c r="A246" s="460" t="s">
        <v>12</v>
      </c>
      <c r="B246" s="461" t="s">
        <v>866</v>
      </c>
      <c r="C246" s="462" t="e">
        <v>#REF!</v>
      </c>
      <c r="D246" s="463" t="e">
        <v>#REF!</v>
      </c>
      <c r="E246" s="464"/>
      <c r="F246" s="465">
        <v>8.69</v>
      </c>
      <c r="G246" s="465"/>
      <c r="H246" s="464"/>
      <c r="I246" s="466"/>
      <c r="J246" s="467">
        <v>5.3924651823909073</v>
      </c>
      <c r="K246" s="468"/>
      <c r="L246" s="468"/>
      <c r="M246" s="468">
        <v>65173.342571999987</v>
      </c>
      <c r="N246" s="468"/>
      <c r="O246" s="469">
        <v>65173.342571999987</v>
      </c>
      <c r="P246" s="470" t="s">
        <v>864</v>
      </c>
      <c r="Q246" s="471">
        <v>5740.8600000000006</v>
      </c>
      <c r="R246" s="472">
        <v>5.4480000000000004</v>
      </c>
      <c r="S246" s="473">
        <v>31276.205280000006</v>
      </c>
      <c r="T246" s="471">
        <v>3081.4</v>
      </c>
      <c r="U246" s="472">
        <v>5.2889999999999997</v>
      </c>
      <c r="V246" s="474">
        <v>16297.524599999999</v>
      </c>
      <c r="W246" s="475">
        <v>8822.26</v>
      </c>
      <c r="X246" s="476">
        <v>5.3924651823909073</v>
      </c>
      <c r="Y246" s="477">
        <v>47573.729880000006</v>
      </c>
      <c r="Z246" s="478"/>
      <c r="AA246" s="789"/>
      <c r="AB246" s="789"/>
      <c r="AC246" s="789"/>
      <c r="AD246" s="790"/>
      <c r="AE246" s="789"/>
      <c r="AF246" s="789"/>
      <c r="AG246" s="790"/>
      <c r="AH246" s="789"/>
      <c r="AI246" s="789"/>
      <c r="AJ246" s="790"/>
      <c r="AK246" s="789"/>
      <c r="AL246" s="789"/>
      <c r="AM246" s="790"/>
      <c r="AN246" s="791"/>
      <c r="AO246" s="519"/>
    </row>
    <row r="247" spans="1:41" ht="13.5" thickBot="1">
      <c r="A247" s="207"/>
      <c r="B247" s="479" t="s">
        <v>1055</v>
      </c>
      <c r="C247" s="225"/>
      <c r="D247" s="215"/>
      <c r="E247" s="192"/>
      <c r="F247" s="193">
        <v>6.7869999999999999</v>
      </c>
      <c r="G247" s="193"/>
      <c r="H247" s="192"/>
      <c r="I247" s="229">
        <v>7605.8459999999986</v>
      </c>
      <c r="J247" s="210"/>
      <c r="K247" s="194"/>
      <c r="L247" s="194"/>
      <c r="M247" s="194">
        <v>51620.876801999992</v>
      </c>
      <c r="N247" s="194"/>
      <c r="O247" s="211">
        <v>51620.876801999992</v>
      </c>
      <c r="P247" s="447"/>
      <c r="Q247" s="448"/>
      <c r="R247" s="449"/>
      <c r="S247" s="450"/>
      <c r="T247" s="448"/>
      <c r="U247" s="449"/>
      <c r="V247" s="230"/>
      <c r="W247" s="451"/>
      <c r="X247" s="480"/>
      <c r="Y247" s="453"/>
      <c r="AA247" s="792"/>
      <c r="AB247" s="519"/>
      <c r="AC247" s="519"/>
      <c r="AD247" s="521"/>
      <c r="AE247" s="519"/>
      <c r="AF247" s="519"/>
      <c r="AG247" s="521"/>
      <c r="AH247" s="519"/>
      <c r="AI247" s="519"/>
      <c r="AJ247" s="521"/>
      <c r="AK247" s="520"/>
      <c r="AL247" s="783"/>
      <c r="AM247" s="521"/>
      <c r="AN247" s="521"/>
      <c r="AO247" s="519"/>
    </row>
    <row r="248" spans="1:41" ht="13.5" thickBot="1">
      <c r="A248" s="207"/>
      <c r="B248" s="479" t="s">
        <v>1056</v>
      </c>
      <c r="C248" s="225"/>
      <c r="D248" s="215"/>
      <c r="E248" s="192"/>
      <c r="F248" s="193">
        <v>0.69599999999999995</v>
      </c>
      <c r="G248" s="193"/>
      <c r="H248" s="192"/>
      <c r="I248" s="229">
        <v>7605.8459999999986</v>
      </c>
      <c r="J248" s="210"/>
      <c r="K248" s="194"/>
      <c r="L248" s="194"/>
      <c r="M248" s="194">
        <v>5293.6688159999994</v>
      </c>
      <c r="N248" s="194"/>
      <c r="O248" s="211">
        <v>5293.6688159999994</v>
      </c>
      <c r="P248" s="447"/>
      <c r="Q248" s="448"/>
      <c r="R248" s="449"/>
      <c r="S248" s="450"/>
      <c r="T248" s="448"/>
      <c r="U248" s="449"/>
      <c r="V248" s="230"/>
      <c r="W248" s="451"/>
      <c r="X248" s="480"/>
      <c r="Y248" s="453"/>
      <c r="AA248" s="792"/>
      <c r="AB248" s="519"/>
      <c r="AC248" s="519"/>
      <c r="AD248" s="521"/>
      <c r="AE248" s="519"/>
      <c r="AF248" s="519"/>
      <c r="AG248" s="521"/>
      <c r="AH248" s="519"/>
      <c r="AI248" s="519"/>
      <c r="AJ248" s="521"/>
      <c r="AK248" s="520"/>
      <c r="AL248" s="783"/>
      <c r="AM248" s="521"/>
      <c r="AN248" s="519"/>
      <c r="AO248" s="519"/>
    </row>
    <row r="249" spans="1:41" ht="13.5" thickBot="1">
      <c r="A249" s="481"/>
      <c r="B249" s="482" t="s">
        <v>1057</v>
      </c>
      <c r="C249" s="483"/>
      <c r="D249" s="484"/>
      <c r="E249" s="485"/>
      <c r="F249" s="486">
        <v>1.2070000000000001</v>
      </c>
      <c r="G249" s="486"/>
      <c r="H249" s="485"/>
      <c r="I249" s="487">
        <v>6842.4166975973467</v>
      </c>
      <c r="J249" s="488"/>
      <c r="K249" s="489"/>
      <c r="L249" s="489"/>
      <c r="M249" s="489">
        <v>8258.7969539999976</v>
      </c>
      <c r="N249" s="503"/>
      <c r="O249" s="490">
        <v>8258.7969539999976</v>
      </c>
      <c r="P249" s="491"/>
      <c r="Q249" s="492"/>
      <c r="R249" s="493"/>
      <c r="S249" s="494"/>
      <c r="T249" s="492"/>
      <c r="U249" s="493"/>
      <c r="V249" s="495"/>
      <c r="W249" s="496"/>
      <c r="X249" s="497"/>
      <c r="Y249" s="498"/>
      <c r="Z249" s="499"/>
      <c r="AA249" s="793"/>
      <c r="AB249" s="519"/>
      <c r="AC249" s="519"/>
      <c r="AD249" s="521"/>
      <c r="AE249" s="519"/>
      <c r="AF249" s="519"/>
      <c r="AG249" s="521"/>
      <c r="AH249" s="519"/>
      <c r="AI249" s="519"/>
      <c r="AJ249" s="521"/>
      <c r="AK249" s="520"/>
      <c r="AL249" s="783"/>
      <c r="AM249" s="521"/>
      <c r="AN249" s="513"/>
      <c r="AO249" s="513"/>
    </row>
    <row r="250" spans="1:41" ht="13.5" thickBot="1">
      <c r="A250" s="207"/>
      <c r="B250" s="479" t="s">
        <v>1058</v>
      </c>
      <c r="C250" s="225"/>
      <c r="D250" s="215"/>
      <c r="E250" s="192"/>
      <c r="F250" s="193">
        <v>0</v>
      </c>
      <c r="G250" s="193"/>
      <c r="H250" s="192"/>
      <c r="I250" s="229">
        <v>7079.9039999999995</v>
      </c>
      <c r="J250" s="210"/>
      <c r="K250" s="194"/>
      <c r="L250" s="194"/>
      <c r="M250" s="194">
        <v>0</v>
      </c>
      <c r="N250" s="504"/>
      <c r="O250" s="211">
        <v>0</v>
      </c>
      <c r="P250" s="447"/>
      <c r="Q250" s="448"/>
      <c r="R250" s="449"/>
      <c r="S250" s="450"/>
      <c r="T250" s="448"/>
      <c r="U250" s="449"/>
      <c r="V250" s="230"/>
      <c r="W250" s="451"/>
      <c r="X250" s="480"/>
      <c r="Y250" s="453"/>
      <c r="AA250" s="792"/>
      <c r="AB250" s="519"/>
      <c r="AC250" s="519"/>
      <c r="AD250" s="521"/>
      <c r="AE250" s="519"/>
      <c r="AF250" s="519"/>
      <c r="AG250" s="521"/>
      <c r="AH250" s="519"/>
      <c r="AI250" s="519"/>
      <c r="AJ250" s="521"/>
      <c r="AK250" s="520"/>
      <c r="AL250" s="783"/>
      <c r="AM250" s="521"/>
      <c r="AN250" s="519"/>
      <c r="AO250" s="519"/>
    </row>
    <row r="251" spans="1:41" ht="13.5" thickBot="1">
      <c r="A251" s="460" t="s">
        <v>18</v>
      </c>
      <c r="B251" s="461" t="s">
        <v>868</v>
      </c>
      <c r="C251" s="462" t="e">
        <v>#REF!</v>
      </c>
      <c r="D251" s="463" t="e">
        <v>#REF!</v>
      </c>
      <c r="E251" s="464"/>
      <c r="F251" s="465">
        <v>0.2</v>
      </c>
      <c r="G251" s="465"/>
      <c r="H251" s="464"/>
      <c r="I251" s="466"/>
      <c r="J251" s="464"/>
      <c r="K251" s="468"/>
      <c r="L251" s="468"/>
      <c r="M251" s="468">
        <v>1521.1691999999998</v>
      </c>
      <c r="N251" s="505"/>
      <c r="O251" s="469">
        <v>1521.1691999999998</v>
      </c>
      <c r="P251" s="500" t="s">
        <v>887</v>
      </c>
      <c r="Q251" s="471">
        <v>702.21</v>
      </c>
      <c r="R251" s="472">
        <v>4.6040000000000001</v>
      </c>
      <c r="S251" s="473">
        <v>3232.9748400000003</v>
      </c>
      <c r="T251" s="471">
        <v>419</v>
      </c>
      <c r="U251" s="472">
        <v>4.4880000000000004</v>
      </c>
      <c r="V251" s="474">
        <v>1880.4720000000002</v>
      </c>
      <c r="W251" s="501">
        <v>1121.21</v>
      </c>
      <c r="X251" s="502">
        <v>4.5606504044737388</v>
      </c>
      <c r="Y251" s="474">
        <v>5113.4468400000005</v>
      </c>
      <c r="Z251" s="478"/>
      <c r="AA251" s="789"/>
      <c r="AB251" s="789"/>
      <c r="AC251" s="789"/>
      <c r="AD251" s="790"/>
      <c r="AE251" s="789"/>
      <c r="AF251" s="789"/>
      <c r="AG251" s="790"/>
      <c r="AH251" s="789"/>
      <c r="AI251" s="789"/>
      <c r="AJ251" s="790"/>
      <c r="AK251" s="789"/>
      <c r="AL251" s="789"/>
      <c r="AM251" s="790"/>
      <c r="AN251" s="794"/>
      <c r="AO251" s="794"/>
    </row>
    <row r="252" spans="1:41">
      <c r="A252" s="207"/>
      <c r="B252" s="479" t="s">
        <v>1554</v>
      </c>
      <c r="C252" s="225" t="e">
        <v>#REF!</v>
      </c>
      <c r="D252" s="215" t="e">
        <v>#REF!</v>
      </c>
      <c r="E252" s="192"/>
      <c r="F252" s="193">
        <v>0</v>
      </c>
      <c r="G252" s="193"/>
      <c r="H252" s="192"/>
      <c r="I252" s="229">
        <v>0</v>
      </c>
      <c r="J252" s="184"/>
      <c r="K252" s="194"/>
      <c r="L252" s="194"/>
      <c r="M252" s="194">
        <v>0</v>
      </c>
      <c r="N252" s="504"/>
      <c r="O252" s="211">
        <v>0</v>
      </c>
      <c r="P252" s="457" t="s">
        <v>435</v>
      </c>
      <c r="Q252" s="446"/>
      <c r="R252" s="446"/>
      <c r="S252" s="446"/>
      <c r="T252" s="446"/>
      <c r="U252" s="446"/>
      <c r="V252" s="446"/>
      <c r="W252" s="458">
        <v>9943.4700000000012</v>
      </c>
      <c r="X252" s="454"/>
      <c r="Y252" s="459">
        <v>52687.176720000003</v>
      </c>
      <c r="AA252" s="792"/>
      <c r="AB252" s="519"/>
      <c r="AC252" s="519"/>
      <c r="AD252" s="521"/>
      <c r="AE252" s="519"/>
      <c r="AF252" s="519"/>
      <c r="AG252" s="521"/>
      <c r="AH252" s="519"/>
      <c r="AI252" s="519"/>
      <c r="AJ252" s="521"/>
      <c r="AK252" s="520"/>
      <c r="AL252" s="783"/>
      <c r="AM252" s="521"/>
      <c r="AN252" s="519"/>
      <c r="AO252" s="519"/>
    </row>
    <row r="253" spans="1:41">
      <c r="A253" s="506"/>
      <c r="B253" s="482" t="s">
        <v>1057</v>
      </c>
      <c r="C253" s="507"/>
      <c r="D253" s="508"/>
      <c r="E253" s="509"/>
      <c r="F253" s="486">
        <v>0</v>
      </c>
      <c r="G253" s="510"/>
      <c r="H253" s="509"/>
      <c r="I253" s="487">
        <v>0</v>
      </c>
      <c r="J253" s="509"/>
      <c r="K253" s="511"/>
      <c r="L253" s="511"/>
      <c r="M253" s="489">
        <v>0</v>
      </c>
      <c r="N253" s="512"/>
      <c r="O253" s="490">
        <v>0</v>
      </c>
      <c r="AA253" s="793"/>
      <c r="AB253" s="519"/>
      <c r="AC253" s="519"/>
      <c r="AD253" s="521"/>
      <c r="AE253" s="519"/>
      <c r="AF253" s="519"/>
      <c r="AG253" s="521"/>
      <c r="AH253" s="519"/>
      <c r="AI253" s="519"/>
      <c r="AJ253" s="521"/>
      <c r="AK253" s="520"/>
      <c r="AL253" s="783"/>
      <c r="AM253" s="521"/>
      <c r="AN253" s="519"/>
      <c r="AO253" s="519"/>
    </row>
    <row r="254" spans="1:41" ht="13.5" thickBot="1">
      <c r="A254" s="232"/>
      <c r="B254" s="514" t="s">
        <v>1058</v>
      </c>
      <c r="C254" s="515"/>
      <c r="D254" s="516"/>
      <c r="E254" s="235"/>
      <c r="F254" s="943">
        <v>0.2</v>
      </c>
      <c r="G254" s="236"/>
      <c r="H254" s="235"/>
      <c r="I254" s="517">
        <v>0</v>
      </c>
      <c r="J254" s="235"/>
      <c r="K254" s="237"/>
      <c r="L254" s="237"/>
      <c r="M254" s="237">
        <v>1521.1691999999998</v>
      </c>
      <c r="N254" s="518"/>
      <c r="O254" s="238">
        <v>1521.1691999999998</v>
      </c>
      <c r="AA254" s="795"/>
      <c r="AB254" s="519"/>
      <c r="AC254" s="519"/>
      <c r="AD254" s="521"/>
      <c r="AE254" s="519"/>
      <c r="AF254" s="519"/>
      <c r="AG254" s="521"/>
      <c r="AH254" s="519"/>
      <c r="AI254" s="519"/>
      <c r="AJ254" s="521"/>
      <c r="AK254" s="520"/>
      <c r="AL254" s="783"/>
      <c r="AM254" s="521"/>
      <c r="AN254" s="519"/>
      <c r="AO254" s="519"/>
    </row>
    <row r="255" spans="1:41">
      <c r="A255" s="1805" t="s">
        <v>1867</v>
      </c>
      <c r="B255" s="1805"/>
      <c r="C255" s="1805"/>
      <c r="D255" s="1805"/>
      <c r="E255" s="1805"/>
      <c r="F255" s="1805"/>
      <c r="G255" s="1805"/>
      <c r="H255" s="1805"/>
      <c r="I255" s="1805"/>
      <c r="J255" s="1805"/>
      <c r="K255" s="1805"/>
      <c r="L255" s="1805"/>
      <c r="M255" s="1805"/>
      <c r="N255" s="1805"/>
      <c r="O255" s="1805"/>
      <c r="AB255" s="1810" t="s">
        <v>767</v>
      </c>
      <c r="AC255" s="1811"/>
      <c r="AD255" s="1812"/>
      <c r="AE255" s="1810" t="s">
        <v>766</v>
      </c>
      <c r="AF255" s="1813"/>
      <c r="AG255" s="1814"/>
      <c r="AH255" s="1810"/>
      <c r="AI255" s="1813"/>
      <c r="AJ255" s="1814"/>
      <c r="AK255" s="1810" t="s">
        <v>1051</v>
      </c>
      <c r="AL255" s="1813"/>
      <c r="AM255" s="1814"/>
      <c r="AN255" s="519"/>
      <c r="AO255" s="519"/>
    </row>
    <row r="256" spans="1:41" ht="26.25" thickBot="1">
      <c r="A256" s="207">
        <v>1</v>
      </c>
      <c r="B256" s="218" t="s">
        <v>863</v>
      </c>
      <c r="C256" s="222" t="e">
        <v>#REF!</v>
      </c>
      <c r="D256" s="222" t="e">
        <v>#REF!</v>
      </c>
      <c r="E256" s="187"/>
      <c r="F256" s="188">
        <v>21.880400000000002</v>
      </c>
      <c r="G256" s="188"/>
      <c r="H256" s="187"/>
      <c r="I256" s="187"/>
      <c r="J256" s="187"/>
      <c r="K256" s="189"/>
      <c r="L256" s="189"/>
      <c r="M256" s="189">
        <v>169904.37655947596</v>
      </c>
      <c r="N256" s="189"/>
      <c r="O256" s="213">
        <v>169904.37655947596</v>
      </c>
      <c r="AA256" s="443" t="s">
        <v>1285</v>
      </c>
      <c r="AB256" s="942" t="s">
        <v>1519</v>
      </c>
      <c r="AC256" s="1802" t="s">
        <v>417</v>
      </c>
      <c r="AD256" s="446" t="s">
        <v>1054</v>
      </c>
      <c r="AE256" s="942" t="s">
        <v>1519</v>
      </c>
      <c r="AF256" s="1802" t="s">
        <v>417</v>
      </c>
      <c r="AG256" s="446" t="s">
        <v>1054</v>
      </c>
      <c r="AH256" s="942" t="s">
        <v>1519</v>
      </c>
      <c r="AI256" s="1802" t="s">
        <v>417</v>
      </c>
      <c r="AJ256" s="446" t="s">
        <v>1054</v>
      </c>
      <c r="AK256" s="942" t="s">
        <v>1519</v>
      </c>
      <c r="AL256" s="1802" t="s">
        <v>417</v>
      </c>
      <c r="AM256" s="446" t="s">
        <v>1054</v>
      </c>
    </row>
    <row r="257" spans="1:39" ht="13.5" thickBot="1">
      <c r="A257" s="207" t="s">
        <v>5</v>
      </c>
      <c r="B257" s="208" t="s">
        <v>1870</v>
      </c>
      <c r="C257" s="209"/>
      <c r="D257" s="209"/>
      <c r="E257" s="192"/>
      <c r="F257" s="193">
        <v>19.1234</v>
      </c>
      <c r="G257" s="193"/>
      <c r="H257" s="192"/>
      <c r="I257" s="229">
        <v>7859.4705819202627</v>
      </c>
      <c r="J257" s="192">
        <v>5.3924651823909073</v>
      </c>
      <c r="K257" s="194"/>
      <c r="L257" s="194"/>
      <c r="M257" s="194">
        <v>150299.79972629398</v>
      </c>
      <c r="N257" s="194"/>
      <c r="O257" s="211">
        <v>150299.79972629398</v>
      </c>
      <c r="AA257" s="447" t="s">
        <v>864</v>
      </c>
      <c r="AB257" s="456">
        <v>11440.4</v>
      </c>
      <c r="AC257" s="933">
        <v>7.6058459999999997</v>
      </c>
      <c r="AD257" s="450">
        <v>87013.920578399993</v>
      </c>
      <c r="AE257" s="456">
        <v>7683</v>
      </c>
      <c r="AF257" s="933">
        <v>8.2371312179999983</v>
      </c>
      <c r="AG257" s="450">
        <v>63285.879147893982</v>
      </c>
      <c r="AH257" s="448">
        <v>0</v>
      </c>
      <c r="AI257" s="933" t="e">
        <v>#DIV/0!</v>
      </c>
      <c r="AJ257" s="450">
        <v>0</v>
      </c>
      <c r="AK257" s="448">
        <v>19123.400000000001</v>
      </c>
      <c r="AL257" s="933">
        <v>7.859470581920263</v>
      </c>
      <c r="AM257" s="230">
        <v>150299.79972629398</v>
      </c>
    </row>
    <row r="258" spans="1:39" ht="13.5" thickBot="1">
      <c r="A258" s="207" t="s">
        <v>6</v>
      </c>
      <c r="B258" s="228" t="s">
        <v>887</v>
      </c>
      <c r="C258" s="208"/>
      <c r="D258" s="231"/>
      <c r="E258" s="184"/>
      <c r="F258" s="193">
        <v>2.7570000000000001</v>
      </c>
      <c r="G258" s="193"/>
      <c r="H258" s="184"/>
      <c r="I258" s="229">
        <v>7110.8367186006499</v>
      </c>
      <c r="J258" s="192"/>
      <c r="K258" s="184"/>
      <c r="L258" s="184"/>
      <c r="M258" s="194">
        <v>19604.576833181993</v>
      </c>
      <c r="N258" s="184"/>
      <c r="O258" s="211">
        <v>19604.576833181993</v>
      </c>
      <c r="AA258" s="228" t="s">
        <v>1515</v>
      </c>
      <c r="AB258" s="456">
        <v>1089</v>
      </c>
      <c r="AC258" s="933">
        <v>6.5693339999999987</v>
      </c>
      <c r="AD258" s="450">
        <v>7154.0047259999983</v>
      </c>
      <c r="AE258" s="456">
        <v>889</v>
      </c>
      <c r="AF258" s="933">
        <v>7.1145887219999988</v>
      </c>
      <c r="AG258" s="230">
        <v>6324.8693738579987</v>
      </c>
      <c r="AH258" s="448"/>
      <c r="AI258" s="449"/>
      <c r="AJ258" s="230">
        <v>0</v>
      </c>
      <c r="AK258" s="451">
        <v>1978</v>
      </c>
      <c r="AL258" s="480">
        <v>6.8143953993215352</v>
      </c>
      <c r="AM258" s="453">
        <v>13478.874099857996</v>
      </c>
    </row>
    <row r="259" spans="1:39" ht="13.5" thickBot="1">
      <c r="A259" s="207" t="s">
        <v>7</v>
      </c>
      <c r="B259" s="208" t="s">
        <v>432</v>
      </c>
      <c r="C259" s="208"/>
      <c r="D259" s="231"/>
      <c r="E259" s="184"/>
      <c r="F259" s="193"/>
      <c r="G259" s="184"/>
      <c r="H259" s="184"/>
      <c r="I259" s="229"/>
      <c r="J259" s="192"/>
      <c r="K259" s="184"/>
      <c r="L259" s="184"/>
      <c r="M259" s="194"/>
      <c r="N259" s="184"/>
      <c r="O259" s="211">
        <v>0</v>
      </c>
      <c r="Q259" s="1799" t="s">
        <v>767</v>
      </c>
      <c r="R259" s="1800"/>
      <c r="S259" s="1801"/>
      <c r="T259" s="1802" t="s">
        <v>766</v>
      </c>
      <c r="U259" s="1803"/>
      <c r="V259" s="1804"/>
      <c r="W259" s="1802" t="s">
        <v>1051</v>
      </c>
      <c r="X259" s="1803"/>
      <c r="Y259" s="1804"/>
      <c r="AA259" s="228" t="s">
        <v>1516</v>
      </c>
      <c r="AB259" s="456">
        <v>461</v>
      </c>
      <c r="AC259" s="933">
        <v>7.6058459999999988</v>
      </c>
      <c r="AD259" s="450">
        <v>3506.2950059999994</v>
      </c>
      <c r="AE259" s="456">
        <v>318</v>
      </c>
      <c r="AF259" s="933">
        <v>8.2371312179999983</v>
      </c>
      <c r="AG259" s="230">
        <v>2619.4077273239996</v>
      </c>
      <c r="AH259" s="448"/>
      <c r="AI259" s="449"/>
      <c r="AJ259" s="230">
        <v>0</v>
      </c>
      <c r="AK259" s="767">
        <v>779</v>
      </c>
      <c r="AL259" s="452">
        <v>7.8635465126110375</v>
      </c>
      <c r="AM259" s="230">
        <v>6125.7027333239985</v>
      </c>
    </row>
    <row r="260" spans="1:39" ht="14.25" thickBot="1">
      <c r="A260" s="207" t="s">
        <v>11</v>
      </c>
      <c r="B260" s="212" t="s">
        <v>865</v>
      </c>
      <c r="C260" s="208"/>
      <c r="D260" s="231"/>
      <c r="E260" s="184">
        <v>0</v>
      </c>
      <c r="F260" s="184"/>
      <c r="G260" s="184"/>
      <c r="H260" s="184"/>
      <c r="I260" s="192"/>
      <c r="J260" s="229"/>
      <c r="K260" s="184"/>
      <c r="L260" s="184"/>
      <c r="M260" s="184"/>
      <c r="N260" s="184"/>
      <c r="O260" s="211"/>
      <c r="P260" s="443" t="s">
        <v>1052</v>
      </c>
      <c r="Q260" s="444" t="s">
        <v>1053</v>
      </c>
      <c r="R260" s="1802" t="s">
        <v>417</v>
      </c>
      <c r="S260" s="446" t="s">
        <v>1054</v>
      </c>
      <c r="T260" s="444" t="s">
        <v>1053</v>
      </c>
      <c r="U260" s="1802" t="s">
        <v>417</v>
      </c>
      <c r="V260" s="446" t="s">
        <v>1054</v>
      </c>
      <c r="W260" s="1802" t="s">
        <v>1053</v>
      </c>
      <c r="X260" s="1802" t="s">
        <v>417</v>
      </c>
      <c r="Y260" s="446" t="s">
        <v>1054</v>
      </c>
      <c r="AA260" s="457" t="s">
        <v>435</v>
      </c>
      <c r="AB260" s="230">
        <v>12990.4</v>
      </c>
      <c r="AC260" s="452">
        <v>7.5189540206922034</v>
      </c>
      <c r="AD260" s="230">
        <v>97674.220310399993</v>
      </c>
      <c r="AE260" s="230">
        <v>8890</v>
      </c>
      <c r="AF260" s="452">
        <v>8.1248769683999988</v>
      </c>
      <c r="AG260" s="230">
        <v>72230.156249075982</v>
      </c>
      <c r="AH260" s="767">
        <v>0</v>
      </c>
      <c r="AI260" s="446" t="e">
        <v>#DIV/0!</v>
      </c>
      <c r="AJ260" s="230">
        <v>0</v>
      </c>
      <c r="AK260" s="458">
        <v>21880.400000000001</v>
      </c>
      <c r="AL260" s="454">
        <v>7.7651403337907876</v>
      </c>
      <c r="AM260" s="459">
        <v>169904.37655947596</v>
      </c>
    </row>
    <row r="261" spans="1:39" ht="13.5" thickBot="1">
      <c r="A261" s="460" t="s">
        <v>12</v>
      </c>
      <c r="B261" s="461" t="s">
        <v>866</v>
      </c>
      <c r="C261" s="462" t="e">
        <v>#REF!</v>
      </c>
      <c r="D261" s="463" t="e">
        <v>#REF!</v>
      </c>
      <c r="E261" s="464"/>
      <c r="F261" s="465">
        <v>21.468</v>
      </c>
      <c r="G261" s="465"/>
      <c r="H261" s="464"/>
      <c r="I261" s="466"/>
      <c r="J261" s="467">
        <v>5.3924651823909073</v>
      </c>
      <c r="K261" s="468"/>
      <c r="L261" s="468"/>
      <c r="M261" s="468">
        <v>166641.46862547597</v>
      </c>
      <c r="N261" s="468"/>
      <c r="O261" s="469">
        <v>166641.46862547597</v>
      </c>
      <c r="P261" s="470" t="s">
        <v>864</v>
      </c>
      <c r="Q261" s="471">
        <v>5740.8600000000006</v>
      </c>
      <c r="R261" s="472">
        <v>5.4480000000000004</v>
      </c>
      <c r="S261" s="473">
        <v>31276.205280000006</v>
      </c>
      <c r="T261" s="471">
        <v>3081.4</v>
      </c>
      <c r="U261" s="472">
        <v>5.2889999999999997</v>
      </c>
      <c r="V261" s="474">
        <v>16297.524599999999</v>
      </c>
      <c r="W261" s="475">
        <v>8822.26</v>
      </c>
      <c r="X261" s="476">
        <v>5.3924651823909073</v>
      </c>
      <c r="Y261" s="477">
        <v>47573.729880000006</v>
      </c>
      <c r="Z261" s="478"/>
      <c r="AA261" s="768" t="s">
        <v>1280</v>
      </c>
      <c r="AB261" s="230">
        <v>12778</v>
      </c>
      <c r="AC261" s="911">
        <v>7.5175096744404435</v>
      </c>
      <c r="AD261" s="775">
        <v>96058.738619999989</v>
      </c>
      <c r="AE261" s="230">
        <v>8690</v>
      </c>
      <c r="AF261" s="911">
        <v>8.1222934413666259</v>
      </c>
      <c r="AG261" s="775">
        <v>70582.730005475983</v>
      </c>
      <c r="AH261" s="774">
        <v>0</v>
      </c>
      <c r="AI261" s="774" t="e">
        <v>#DIV/0!</v>
      </c>
      <c r="AJ261" s="775">
        <v>0</v>
      </c>
      <c r="AK261" s="774">
        <v>21468</v>
      </c>
      <c r="AL261" s="774">
        <v>7.7623192018574612</v>
      </c>
      <c r="AM261" s="775">
        <v>166641.46862547597</v>
      </c>
    </row>
    <row r="262" spans="1:39" ht="13.5" thickBot="1">
      <c r="A262" s="207"/>
      <c r="B262" s="479" t="s">
        <v>1055</v>
      </c>
      <c r="C262" s="225"/>
      <c r="D262" s="215"/>
      <c r="E262" s="192"/>
      <c r="F262" s="193">
        <v>16.831</v>
      </c>
      <c r="G262" s="193"/>
      <c r="H262" s="192"/>
      <c r="I262" s="229">
        <v>7860.4079852989116</v>
      </c>
      <c r="J262" s="210"/>
      <c r="K262" s="194"/>
      <c r="L262" s="194"/>
      <c r="M262" s="194">
        <v>132298.52680056597</v>
      </c>
      <c r="N262" s="194"/>
      <c r="O262" s="211">
        <v>132298.52680056597</v>
      </c>
      <c r="P262" s="447"/>
      <c r="Q262" s="448"/>
      <c r="R262" s="449"/>
      <c r="S262" s="450"/>
      <c r="T262" s="448"/>
      <c r="U262" s="449"/>
      <c r="V262" s="230"/>
      <c r="W262" s="451"/>
      <c r="X262" s="480"/>
      <c r="Y262" s="453"/>
      <c r="AA262" s="479" t="s">
        <v>1055</v>
      </c>
      <c r="AB262" s="230">
        <v>10044</v>
      </c>
      <c r="AC262" s="933">
        <v>7.6058459999999988</v>
      </c>
      <c r="AD262" s="450">
        <v>76393.117223999987</v>
      </c>
      <c r="AE262" s="230">
        <v>6787</v>
      </c>
      <c r="AF262" s="933">
        <v>8.2371312179999983</v>
      </c>
      <c r="AG262" s="450">
        <v>55905.409576565988</v>
      </c>
      <c r="AH262" s="446"/>
      <c r="AI262" s="446"/>
      <c r="AJ262" s="450">
        <v>0</v>
      </c>
      <c r="AK262" s="767">
        <v>16831</v>
      </c>
      <c r="AL262" s="452">
        <v>7.8604079852989113</v>
      </c>
      <c r="AM262" s="230">
        <v>132298.52680056597</v>
      </c>
    </row>
    <row r="263" spans="1:39" ht="13.5" thickBot="1">
      <c r="A263" s="207"/>
      <c r="B263" s="479" t="s">
        <v>1056</v>
      </c>
      <c r="C263" s="225"/>
      <c r="D263" s="215"/>
      <c r="E263" s="192"/>
      <c r="F263" s="193">
        <v>1.88</v>
      </c>
      <c r="G263" s="193"/>
      <c r="H263" s="192"/>
      <c r="I263" s="229">
        <v>7839.5558466638286</v>
      </c>
      <c r="J263" s="210"/>
      <c r="K263" s="194"/>
      <c r="L263" s="194"/>
      <c r="M263" s="194">
        <v>14738.364991727998</v>
      </c>
      <c r="N263" s="194"/>
      <c r="O263" s="211">
        <v>14738.364991727998</v>
      </c>
      <c r="P263" s="447"/>
      <c r="Q263" s="448"/>
      <c r="R263" s="449"/>
      <c r="S263" s="450"/>
      <c r="T263" s="448"/>
      <c r="U263" s="449"/>
      <c r="V263" s="230"/>
      <c r="W263" s="451"/>
      <c r="X263" s="480"/>
      <c r="Y263" s="453"/>
      <c r="AA263" s="479" t="s">
        <v>1056</v>
      </c>
      <c r="AB263" s="230">
        <v>1184</v>
      </c>
      <c r="AC263" s="933">
        <v>7.6058459999999988</v>
      </c>
      <c r="AD263" s="450">
        <v>9005.3216639999991</v>
      </c>
      <c r="AE263" s="230">
        <v>696</v>
      </c>
      <c r="AF263" s="933">
        <v>8.2371312179999983</v>
      </c>
      <c r="AG263" s="450">
        <v>5733.043327727999</v>
      </c>
      <c r="AH263" s="446"/>
      <c r="AI263" s="446"/>
      <c r="AJ263" s="450">
        <v>0</v>
      </c>
      <c r="AK263" s="767">
        <v>1880</v>
      </c>
      <c r="AL263" s="452">
        <v>7.8395558466638287</v>
      </c>
      <c r="AM263" s="230">
        <v>14738.364991727998</v>
      </c>
    </row>
    <row r="264" spans="1:39" ht="13.5" thickBot="1">
      <c r="A264" s="481"/>
      <c r="B264" s="482" t="s">
        <v>1057</v>
      </c>
      <c r="C264" s="483"/>
      <c r="D264" s="484"/>
      <c r="E264" s="485"/>
      <c r="F264" s="486">
        <v>2.7570000000000001</v>
      </c>
      <c r="G264" s="486"/>
      <c r="H264" s="485"/>
      <c r="I264" s="487">
        <v>7110.8367186006517</v>
      </c>
      <c r="J264" s="488"/>
      <c r="K264" s="489"/>
      <c r="L264" s="489"/>
      <c r="M264" s="489">
        <v>19604.576833181996</v>
      </c>
      <c r="N264" s="503"/>
      <c r="O264" s="490">
        <v>19604.576833181996</v>
      </c>
      <c r="P264" s="491"/>
      <c r="Q264" s="492"/>
      <c r="R264" s="493"/>
      <c r="S264" s="494"/>
      <c r="T264" s="492"/>
      <c r="U264" s="493"/>
      <c r="V264" s="495"/>
      <c r="W264" s="496"/>
      <c r="X264" s="497"/>
      <c r="Y264" s="498"/>
      <c r="Z264" s="499"/>
      <c r="AA264" s="482" t="s">
        <v>1057</v>
      </c>
      <c r="AB264" s="230">
        <v>1550</v>
      </c>
      <c r="AC264" s="452">
        <v>6.8776127303225794</v>
      </c>
      <c r="AD264" s="450">
        <v>10660.299731999998</v>
      </c>
      <c r="AE264" s="230">
        <v>1207</v>
      </c>
      <c r="AF264" s="452">
        <v>7.4103372834979275</v>
      </c>
      <c r="AG264" s="450">
        <v>8944.2771011819987</v>
      </c>
      <c r="AH264" s="767">
        <v>0</v>
      </c>
      <c r="AI264" s="452" t="e">
        <v>#DIV/0!</v>
      </c>
      <c r="AJ264" s="450">
        <v>0</v>
      </c>
      <c r="AK264" s="767">
        <v>2757</v>
      </c>
      <c r="AL264" s="452">
        <v>7.1108367186006518</v>
      </c>
      <c r="AM264" s="230">
        <v>19604.576833181996</v>
      </c>
    </row>
    <row r="265" spans="1:39" ht="13.5" thickBot="1">
      <c r="A265" s="207"/>
      <c r="B265" s="479" t="s">
        <v>1058</v>
      </c>
      <c r="C265" s="225"/>
      <c r="D265" s="215"/>
      <c r="E265" s="192"/>
      <c r="F265" s="193">
        <v>0</v>
      </c>
      <c r="G265" s="193"/>
      <c r="H265" s="192"/>
      <c r="I265" s="229" t="e">
        <v>#DIV/0!</v>
      </c>
      <c r="J265" s="210"/>
      <c r="K265" s="194"/>
      <c r="L265" s="194"/>
      <c r="M265" s="194">
        <v>0</v>
      </c>
      <c r="N265" s="504"/>
      <c r="O265" s="211">
        <v>0</v>
      </c>
      <c r="P265" s="447"/>
      <c r="Q265" s="448"/>
      <c r="R265" s="449"/>
      <c r="S265" s="450"/>
      <c r="T265" s="448"/>
      <c r="U265" s="449"/>
      <c r="V265" s="230"/>
      <c r="W265" s="451"/>
      <c r="X265" s="480"/>
      <c r="Y265" s="453"/>
      <c r="AA265" s="479" t="s">
        <v>1058</v>
      </c>
      <c r="AB265" s="446"/>
      <c r="AC265" s="933">
        <v>7.079904</v>
      </c>
      <c r="AD265" s="450">
        <v>0</v>
      </c>
      <c r="AE265" s="446"/>
      <c r="AF265" s="933">
        <v>7.6675360319999992</v>
      </c>
      <c r="AG265" s="450">
        <v>0</v>
      </c>
      <c r="AH265" s="446"/>
      <c r="AI265" s="446"/>
      <c r="AJ265" s="450">
        <v>0</v>
      </c>
      <c r="AK265" s="767">
        <v>0</v>
      </c>
      <c r="AL265" s="452" t="e">
        <v>#DIV/0!</v>
      </c>
      <c r="AM265" s="230">
        <v>0</v>
      </c>
    </row>
    <row r="266" spans="1:39" ht="13.5" thickBot="1">
      <c r="A266" s="460" t="s">
        <v>18</v>
      </c>
      <c r="B266" s="461" t="s">
        <v>868</v>
      </c>
      <c r="C266" s="462" t="e">
        <v>#REF!</v>
      </c>
      <c r="D266" s="463" t="e">
        <v>#REF!</v>
      </c>
      <c r="E266" s="464"/>
      <c r="F266" s="465">
        <v>0.41239999999999999</v>
      </c>
      <c r="G266" s="465"/>
      <c r="H266" s="464"/>
      <c r="I266" s="466"/>
      <c r="J266" s="464"/>
      <c r="K266" s="468"/>
      <c r="L266" s="468"/>
      <c r="M266" s="468">
        <v>3262.9079339999994</v>
      </c>
      <c r="N266" s="505"/>
      <c r="O266" s="469">
        <v>3262.9079339999994</v>
      </c>
      <c r="P266" s="500" t="s">
        <v>887</v>
      </c>
      <c r="Q266" s="471">
        <v>702.21</v>
      </c>
      <c r="R266" s="472">
        <v>4.6040000000000001</v>
      </c>
      <c r="S266" s="473">
        <v>3232.9748400000003</v>
      </c>
      <c r="T266" s="471">
        <v>419</v>
      </c>
      <c r="U266" s="472">
        <v>4.4880000000000004</v>
      </c>
      <c r="V266" s="474">
        <v>1880.4720000000002</v>
      </c>
      <c r="W266" s="501">
        <v>1121.21</v>
      </c>
      <c r="X266" s="502">
        <v>4.5606504044737388</v>
      </c>
      <c r="Y266" s="474">
        <v>5113.4468400000005</v>
      </c>
      <c r="Z266" s="478"/>
      <c r="AA266" s="768" t="s">
        <v>1281</v>
      </c>
      <c r="AB266" s="775">
        <v>212.4</v>
      </c>
      <c r="AC266" s="911">
        <v>7.6058459999999988</v>
      </c>
      <c r="AD266" s="775">
        <v>1615.4816903999997</v>
      </c>
      <c r="AE266" s="775">
        <v>200</v>
      </c>
      <c r="AF266" s="911">
        <v>8.2371312179999983</v>
      </c>
      <c r="AG266" s="775">
        <v>1647.4262435999997</v>
      </c>
      <c r="AH266" s="922">
        <v>0</v>
      </c>
      <c r="AI266" s="911" t="e">
        <v>#DIV/0!</v>
      </c>
      <c r="AJ266" s="775">
        <v>0</v>
      </c>
      <c r="AK266" s="922">
        <v>412.4</v>
      </c>
      <c r="AL266" s="911">
        <v>7.911997900096992</v>
      </c>
      <c r="AM266" s="775">
        <v>3262.9079339999994</v>
      </c>
    </row>
    <row r="267" spans="1:39">
      <c r="A267" s="207"/>
      <c r="B267" s="479" t="s">
        <v>1554</v>
      </c>
      <c r="C267" s="225" t="e">
        <v>#REF!</v>
      </c>
      <c r="D267" s="215" t="e">
        <v>#REF!</v>
      </c>
      <c r="E267" s="192"/>
      <c r="F267" s="193">
        <v>0</v>
      </c>
      <c r="G267" s="193"/>
      <c r="H267" s="192"/>
      <c r="I267" s="229" t="e">
        <v>#DIV/0!</v>
      </c>
      <c r="J267" s="184"/>
      <c r="K267" s="194"/>
      <c r="L267" s="194"/>
      <c r="M267" s="194">
        <v>0</v>
      </c>
      <c r="N267" s="504"/>
      <c r="O267" s="211">
        <v>0</v>
      </c>
      <c r="P267" s="457" t="s">
        <v>435</v>
      </c>
      <c r="Q267" s="446"/>
      <c r="R267" s="446"/>
      <c r="S267" s="446"/>
      <c r="T267" s="446"/>
      <c r="U267" s="446"/>
      <c r="V267" s="446"/>
      <c r="W267" s="458">
        <v>9943.4700000000012</v>
      </c>
      <c r="X267" s="454"/>
      <c r="Y267" s="459">
        <v>52687.176720000003</v>
      </c>
      <c r="AA267" s="479" t="s">
        <v>1554</v>
      </c>
      <c r="AB267" s="446"/>
      <c r="AC267" s="446"/>
      <c r="AD267" s="450">
        <v>0</v>
      </c>
      <c r="AE267" s="446"/>
      <c r="AF267" s="446"/>
      <c r="AG267" s="450">
        <v>0</v>
      </c>
      <c r="AH267" s="446"/>
      <c r="AI267" s="446"/>
      <c r="AJ267" s="450">
        <v>0</v>
      </c>
      <c r="AK267" s="767">
        <v>0</v>
      </c>
      <c r="AL267" s="452" t="e">
        <v>#DIV/0!</v>
      </c>
      <c r="AM267" s="230">
        <v>0</v>
      </c>
    </row>
    <row r="268" spans="1:39">
      <c r="A268" s="506"/>
      <c r="B268" s="482" t="s">
        <v>1057</v>
      </c>
      <c r="C268" s="507"/>
      <c r="D268" s="508"/>
      <c r="E268" s="509"/>
      <c r="F268" s="486">
        <v>0</v>
      </c>
      <c r="G268" s="510"/>
      <c r="H268" s="509"/>
      <c r="I268" s="487" t="e">
        <v>#DIV/0!</v>
      </c>
      <c r="J268" s="509"/>
      <c r="K268" s="511"/>
      <c r="L268" s="511"/>
      <c r="M268" s="489">
        <v>0</v>
      </c>
      <c r="N268" s="512"/>
      <c r="O268" s="490">
        <v>0</v>
      </c>
      <c r="AA268" s="482" t="s">
        <v>1057</v>
      </c>
      <c r="AB268" s="446"/>
      <c r="AC268" s="446"/>
      <c r="AD268" s="450">
        <v>0</v>
      </c>
      <c r="AE268" s="446"/>
      <c r="AF268" s="446"/>
      <c r="AG268" s="450">
        <v>0</v>
      </c>
      <c r="AH268" s="446"/>
      <c r="AI268" s="446"/>
      <c r="AJ268" s="450">
        <v>0</v>
      </c>
      <c r="AK268" s="767">
        <v>0</v>
      </c>
      <c r="AL268" s="452" t="e">
        <v>#DIV/0!</v>
      </c>
      <c r="AM268" s="230">
        <v>0</v>
      </c>
    </row>
    <row r="269" spans="1:39">
      <c r="A269" s="207"/>
      <c r="B269" s="923" t="s">
        <v>1058</v>
      </c>
      <c r="C269" s="225"/>
      <c r="D269" s="215"/>
      <c r="E269" s="192"/>
      <c r="F269" s="192">
        <v>0.41239999999999999</v>
      </c>
      <c r="G269" s="193"/>
      <c r="H269" s="192"/>
      <c r="I269" s="229">
        <v>7911.9979000969915</v>
      </c>
      <c r="J269" s="192"/>
      <c r="K269" s="194"/>
      <c r="L269" s="194"/>
      <c r="M269" s="194">
        <v>3262.9079339999994</v>
      </c>
      <c r="N269" s="504"/>
      <c r="O269" s="211">
        <v>3262.9079339999994</v>
      </c>
      <c r="P269" s="941"/>
      <c r="Q269" s="941"/>
      <c r="R269" s="941"/>
      <c r="S269" s="941"/>
      <c r="T269" s="941"/>
      <c r="U269" s="941"/>
      <c r="V269" s="941"/>
      <c r="W269" s="941"/>
      <c r="X269" s="941"/>
      <c r="Y269" s="941"/>
      <c r="Z269" s="941"/>
      <c r="AA269" s="923" t="s">
        <v>1058</v>
      </c>
      <c r="AB269" s="446"/>
      <c r="AC269" s="446"/>
      <c r="AD269" s="230">
        <v>0</v>
      </c>
      <c r="AE269" s="446"/>
      <c r="AF269" s="446"/>
      <c r="AG269" s="230">
        <v>0</v>
      </c>
      <c r="AH269" s="446"/>
      <c r="AI269" s="446"/>
      <c r="AJ269" s="230">
        <v>0</v>
      </c>
      <c r="AK269" s="767">
        <v>0</v>
      </c>
      <c r="AL269" s="452" t="e">
        <v>#DIV/0!</v>
      </c>
      <c r="AM269" s="230">
        <v>0</v>
      </c>
    </row>
    <row r="270" spans="1:39" ht="13.5" thickBot="1">
      <c r="A270" s="934"/>
      <c r="B270" s="927"/>
      <c r="C270" s="935"/>
      <c r="D270" s="936"/>
      <c r="E270" s="937"/>
      <c r="F270" s="938"/>
      <c r="G270" s="938"/>
      <c r="H270" s="937"/>
      <c r="I270" s="939"/>
      <c r="J270" s="937"/>
      <c r="K270" s="940"/>
      <c r="L270" s="940"/>
      <c r="M270" s="940"/>
      <c r="N270" s="940"/>
      <c r="O270" s="940"/>
      <c r="AA270" s="927" t="s">
        <v>1518</v>
      </c>
      <c r="AB270" s="1418">
        <v>212.4</v>
      </c>
      <c r="AC270" s="1419">
        <v>7.6058459999999988</v>
      </c>
      <c r="AD270" s="1420">
        <v>1615.4816903999997</v>
      </c>
      <c r="AE270" s="1418">
        <v>200</v>
      </c>
      <c r="AF270" s="1419">
        <v>8.2371312179999983</v>
      </c>
      <c r="AG270" s="1420">
        <v>1647.4262435999997</v>
      </c>
      <c r="AH270" s="1418"/>
      <c r="AI270" s="1418"/>
      <c r="AJ270" s="1420">
        <v>0</v>
      </c>
      <c r="AK270" s="1422">
        <v>412.4</v>
      </c>
      <c r="AL270" s="1423">
        <v>7.911997900096992</v>
      </c>
      <c r="AM270" s="1424">
        <v>3262.9079339999994</v>
      </c>
    </row>
    <row r="271" spans="1:39">
      <c r="A271" s="522" t="s">
        <v>869</v>
      </c>
      <c r="B271" s="523" t="s">
        <v>871</v>
      </c>
      <c r="C271" s="524"/>
      <c r="D271" s="524"/>
      <c r="E271" s="525"/>
      <c r="F271" s="526">
        <v>164</v>
      </c>
      <c r="G271" s="526"/>
      <c r="H271" s="525"/>
      <c r="I271" s="527"/>
      <c r="J271" s="527">
        <v>5.3757713414634152</v>
      </c>
      <c r="K271" s="528"/>
      <c r="L271" s="528"/>
      <c r="M271" s="528">
        <v>881.62650000000008</v>
      </c>
      <c r="N271" s="528"/>
      <c r="O271" s="529">
        <v>881.62650000000008</v>
      </c>
    </row>
    <row r="272" spans="1:39">
      <c r="A272" s="207" t="s">
        <v>872</v>
      </c>
      <c r="B272" s="208" t="s">
        <v>873</v>
      </c>
      <c r="C272" s="216"/>
      <c r="D272" s="216"/>
      <c r="E272" s="192"/>
      <c r="F272" s="193"/>
      <c r="G272" s="193"/>
      <c r="H272" s="192"/>
      <c r="I272" s="192"/>
      <c r="J272" s="192"/>
      <c r="K272" s="194"/>
      <c r="L272" s="194"/>
      <c r="M272" s="194">
        <v>0</v>
      </c>
      <c r="N272" s="194"/>
      <c r="O272" s="211">
        <v>0</v>
      </c>
    </row>
    <row r="273" spans="1:39">
      <c r="A273" s="207" t="s">
        <v>874</v>
      </c>
      <c r="B273" s="208" t="s">
        <v>875</v>
      </c>
      <c r="C273" s="216"/>
      <c r="D273" s="216"/>
      <c r="E273" s="192"/>
      <c r="F273" s="193">
        <v>164</v>
      </c>
      <c r="G273" s="193"/>
      <c r="H273" s="192"/>
      <c r="I273" s="192"/>
      <c r="J273" s="210">
        <v>5.3757713414634152</v>
      </c>
      <c r="K273" s="194"/>
      <c r="L273" s="194"/>
      <c r="M273" s="194">
        <v>881.62650000000008</v>
      </c>
      <c r="N273" s="194"/>
      <c r="O273" s="211">
        <v>881.62650000000008</v>
      </c>
    </row>
    <row r="274" spans="1:39">
      <c r="A274" s="207" t="s">
        <v>876</v>
      </c>
      <c r="B274" s="208" t="s">
        <v>883</v>
      </c>
      <c r="C274" s="216"/>
      <c r="D274" s="216"/>
      <c r="E274" s="192"/>
      <c r="F274" s="193"/>
      <c r="G274" s="193"/>
      <c r="H274" s="192"/>
      <c r="I274" s="192"/>
      <c r="J274" s="192"/>
      <c r="K274" s="194"/>
      <c r="L274" s="194"/>
      <c r="M274" s="194">
        <v>0</v>
      </c>
      <c r="N274" s="194"/>
      <c r="O274" s="211">
        <v>0</v>
      </c>
    </row>
    <row r="275" spans="1:39" ht="13.5" thickBot="1">
      <c r="A275" s="232" t="s">
        <v>878</v>
      </c>
      <c r="B275" s="233" t="s">
        <v>884</v>
      </c>
      <c r="C275" s="234"/>
      <c r="D275" s="234"/>
      <c r="E275" s="235"/>
      <c r="F275" s="236"/>
      <c r="G275" s="236"/>
      <c r="H275" s="235"/>
      <c r="I275" s="235"/>
      <c r="J275" s="235"/>
      <c r="K275" s="237"/>
      <c r="L275" s="237"/>
      <c r="M275" s="237">
        <v>0</v>
      </c>
      <c r="N275" s="237"/>
      <c r="O275" s="238">
        <v>0</v>
      </c>
    </row>
    <row r="276" spans="1:39">
      <c r="A276" s="1795" t="s">
        <v>1871</v>
      </c>
      <c r="B276" s="1796"/>
      <c r="C276" s="1796"/>
      <c r="D276" s="1796"/>
      <c r="E276" s="1796"/>
      <c r="F276" s="1796"/>
      <c r="G276" s="1796"/>
      <c r="H276" s="1796"/>
      <c r="I276" s="1796"/>
      <c r="J276" s="1796"/>
      <c r="K276" s="1796"/>
      <c r="L276" s="1796"/>
      <c r="M276" s="1796"/>
      <c r="N276" s="1796"/>
      <c r="O276" s="1798"/>
      <c r="AA276" s="519"/>
      <c r="AB276" s="519"/>
      <c r="AC276" s="519"/>
      <c r="AD276" s="519"/>
      <c r="AE276" s="519"/>
      <c r="AF276" s="519"/>
      <c r="AG276" s="519"/>
      <c r="AH276" s="519"/>
      <c r="AI276" s="519"/>
      <c r="AJ276" s="519"/>
      <c r="AK276" s="519"/>
      <c r="AL276" s="519"/>
      <c r="AM276" s="519"/>
    </row>
    <row r="277" spans="1:39" ht="25.5">
      <c r="A277" s="207">
        <v>1</v>
      </c>
      <c r="B277" s="218" t="s">
        <v>863</v>
      </c>
      <c r="C277" s="222" t="e">
        <v>#REF!</v>
      </c>
      <c r="D277" s="222" t="e">
        <v>#REF!</v>
      </c>
      <c r="E277" s="187"/>
      <c r="F277" s="188">
        <v>12.990400000000001</v>
      </c>
      <c r="G277" s="188"/>
      <c r="H277" s="187"/>
      <c r="I277" s="187"/>
      <c r="J277" s="187"/>
      <c r="K277" s="189"/>
      <c r="L277" s="189"/>
      <c r="M277" s="189">
        <v>97674.220310399993</v>
      </c>
      <c r="N277" s="189"/>
      <c r="O277" s="213">
        <v>97674.220310399993</v>
      </c>
      <c r="AA277" s="780"/>
      <c r="AB277" s="781"/>
      <c r="AC277" s="781"/>
      <c r="AD277" s="519"/>
      <c r="AE277" s="781"/>
      <c r="AF277" s="781"/>
      <c r="AG277" s="519"/>
      <c r="AH277" s="781"/>
      <c r="AI277" s="781"/>
      <c r="AJ277" s="519"/>
      <c r="AK277" s="781"/>
      <c r="AL277" s="781"/>
      <c r="AM277" s="519"/>
    </row>
    <row r="278" spans="1:39">
      <c r="A278" s="207" t="s">
        <v>5</v>
      </c>
      <c r="B278" s="208" t="s">
        <v>1870</v>
      </c>
      <c r="C278" s="209"/>
      <c r="D278" s="209"/>
      <c r="E278" s="192"/>
      <c r="F278" s="193">
        <v>11.4404</v>
      </c>
      <c r="G278" s="193"/>
      <c r="H278" s="192"/>
      <c r="I278" s="229">
        <v>7605.8459999999995</v>
      </c>
      <c r="J278" s="192">
        <v>5.3924651823909073</v>
      </c>
      <c r="K278" s="194"/>
      <c r="L278" s="194"/>
      <c r="M278" s="194">
        <v>87013.920578399993</v>
      </c>
      <c r="N278" s="194"/>
      <c r="O278" s="211">
        <v>87013.920578399993</v>
      </c>
      <c r="AA278" s="782"/>
      <c r="AB278" s="520"/>
      <c r="AC278" s="519"/>
      <c r="AD278" s="521"/>
      <c r="AE278" s="520"/>
      <c r="AF278" s="519"/>
      <c r="AG278" s="521"/>
      <c r="AH278" s="520"/>
      <c r="AI278" s="519"/>
      <c r="AJ278" s="521"/>
      <c r="AK278" s="520"/>
      <c r="AL278" s="783"/>
      <c r="AM278" s="521"/>
    </row>
    <row r="279" spans="1:39">
      <c r="A279" s="207" t="s">
        <v>6</v>
      </c>
      <c r="B279" s="228" t="s">
        <v>887</v>
      </c>
      <c r="C279" s="208"/>
      <c r="D279" s="231"/>
      <c r="E279" s="184"/>
      <c r="F279" s="193">
        <v>1.55</v>
      </c>
      <c r="G279" s="193"/>
      <c r="H279" s="184"/>
      <c r="I279" s="229">
        <v>6877.6127303225785</v>
      </c>
      <c r="J279" s="192"/>
      <c r="K279" s="184"/>
      <c r="L279" s="184"/>
      <c r="M279" s="194">
        <v>10660.299731999998</v>
      </c>
      <c r="N279" s="184"/>
      <c r="O279" s="211">
        <v>10660.299731999998</v>
      </c>
      <c r="AA279" s="784"/>
      <c r="AB279" s="520"/>
      <c r="AC279" s="519"/>
      <c r="AD279" s="521"/>
      <c r="AE279" s="520"/>
      <c r="AF279" s="519"/>
      <c r="AG279" s="521"/>
      <c r="AH279" s="520"/>
      <c r="AI279" s="519"/>
      <c r="AJ279" s="521"/>
      <c r="AK279" s="520"/>
      <c r="AL279" s="783"/>
      <c r="AM279" s="521"/>
    </row>
    <row r="280" spans="1:39">
      <c r="A280" s="207" t="s">
        <v>7</v>
      </c>
      <c r="B280" s="208" t="s">
        <v>432</v>
      </c>
      <c r="C280" s="208"/>
      <c r="D280" s="231"/>
      <c r="E280" s="184"/>
      <c r="F280" s="193"/>
      <c r="G280" s="184"/>
      <c r="H280" s="184"/>
      <c r="I280" s="229"/>
      <c r="J280" s="192"/>
      <c r="K280" s="184"/>
      <c r="L280" s="184"/>
      <c r="M280" s="194"/>
      <c r="N280" s="184"/>
      <c r="O280" s="211">
        <v>0</v>
      </c>
      <c r="Q280" s="1799" t="s">
        <v>767</v>
      </c>
      <c r="R280" s="1800"/>
      <c r="S280" s="1801"/>
      <c r="T280" s="1802" t="s">
        <v>766</v>
      </c>
      <c r="U280" s="1803"/>
      <c r="V280" s="1804"/>
      <c r="W280" s="1802" t="s">
        <v>1051</v>
      </c>
      <c r="X280" s="1803"/>
      <c r="Y280" s="1804"/>
      <c r="AA280" s="784"/>
      <c r="AB280" s="520"/>
      <c r="AC280" s="519"/>
      <c r="AD280" s="521"/>
      <c r="AE280" s="520"/>
      <c r="AF280" s="519"/>
      <c r="AG280" s="521"/>
      <c r="AH280" s="520"/>
      <c r="AI280" s="519"/>
      <c r="AJ280" s="521"/>
      <c r="AK280" s="520"/>
      <c r="AL280" s="783"/>
      <c r="AM280" s="521"/>
    </row>
    <row r="281" spans="1:39" ht="14.25" thickBot="1">
      <c r="A281" s="207" t="s">
        <v>11</v>
      </c>
      <c r="B281" s="212" t="s">
        <v>865</v>
      </c>
      <c r="C281" s="208"/>
      <c r="D281" s="231"/>
      <c r="E281" s="184">
        <v>0</v>
      </c>
      <c r="F281" s="184"/>
      <c r="G281" s="184"/>
      <c r="H281" s="184"/>
      <c r="I281" s="192"/>
      <c r="J281" s="229"/>
      <c r="K281" s="184"/>
      <c r="L281" s="184"/>
      <c r="M281" s="184"/>
      <c r="N281" s="184"/>
      <c r="O281" s="211"/>
      <c r="P281" s="443" t="s">
        <v>1052</v>
      </c>
      <c r="Q281" s="444" t="s">
        <v>1053</v>
      </c>
      <c r="R281" s="1802" t="s">
        <v>417</v>
      </c>
      <c r="S281" s="446" t="s">
        <v>1054</v>
      </c>
      <c r="T281" s="444" t="s">
        <v>1053</v>
      </c>
      <c r="U281" s="1802" t="s">
        <v>417</v>
      </c>
      <c r="V281" s="446" t="s">
        <v>1054</v>
      </c>
      <c r="W281" s="1802" t="s">
        <v>1053</v>
      </c>
      <c r="X281" s="1802" t="s">
        <v>417</v>
      </c>
      <c r="Y281" s="446" t="s">
        <v>1054</v>
      </c>
      <c r="AA281" s="787"/>
      <c r="AB281" s="520"/>
      <c r="AC281" s="519"/>
      <c r="AD281" s="521"/>
      <c r="AE281" s="520"/>
      <c r="AF281" s="519"/>
      <c r="AG281" s="521"/>
      <c r="AH281" s="520"/>
      <c r="AI281" s="519"/>
      <c r="AJ281" s="521"/>
      <c r="AK281" s="520"/>
      <c r="AL281" s="519"/>
      <c r="AM281" s="521"/>
    </row>
    <row r="282" spans="1:39" ht="13.5" thickBot="1">
      <c r="A282" s="460" t="s">
        <v>12</v>
      </c>
      <c r="B282" s="461" t="s">
        <v>866</v>
      </c>
      <c r="C282" s="462" t="e">
        <v>#REF!</v>
      </c>
      <c r="D282" s="463" t="e">
        <v>#REF!</v>
      </c>
      <c r="E282" s="464"/>
      <c r="F282" s="465">
        <v>12.778</v>
      </c>
      <c r="G282" s="465"/>
      <c r="H282" s="464"/>
      <c r="I282" s="466"/>
      <c r="J282" s="467">
        <v>5.3924651823909073</v>
      </c>
      <c r="K282" s="468"/>
      <c r="L282" s="468"/>
      <c r="M282" s="468">
        <v>96058.738619999989</v>
      </c>
      <c r="N282" s="468"/>
      <c r="O282" s="469">
        <v>96058.738619999989</v>
      </c>
      <c r="P282" s="470" t="s">
        <v>864</v>
      </c>
      <c r="Q282" s="471">
        <v>5740.8600000000006</v>
      </c>
      <c r="R282" s="472">
        <v>5.4480000000000004</v>
      </c>
      <c r="S282" s="473">
        <v>31276.205280000006</v>
      </c>
      <c r="T282" s="471">
        <v>3081.4</v>
      </c>
      <c r="U282" s="472">
        <v>5.2889999999999997</v>
      </c>
      <c r="V282" s="474">
        <v>16297.524599999999</v>
      </c>
      <c r="W282" s="475">
        <v>8822.26</v>
      </c>
      <c r="X282" s="476">
        <v>5.3924651823909073</v>
      </c>
      <c r="Y282" s="477">
        <v>47573.729880000006</v>
      </c>
      <c r="Z282" s="478"/>
      <c r="AA282" s="789"/>
      <c r="AB282" s="789"/>
      <c r="AC282" s="789"/>
      <c r="AD282" s="790"/>
      <c r="AE282" s="789"/>
      <c r="AF282" s="789"/>
      <c r="AG282" s="790"/>
      <c r="AH282" s="789"/>
      <c r="AI282" s="789"/>
      <c r="AJ282" s="790"/>
      <c r="AK282" s="789"/>
      <c r="AL282" s="789"/>
      <c r="AM282" s="790"/>
    </row>
    <row r="283" spans="1:39" ht="13.5" thickBot="1">
      <c r="A283" s="207"/>
      <c r="B283" s="479" t="s">
        <v>1059</v>
      </c>
      <c r="C283" s="225"/>
      <c r="D283" s="215"/>
      <c r="E283" s="192"/>
      <c r="F283" s="193">
        <v>10.044</v>
      </c>
      <c r="G283" s="193"/>
      <c r="H283" s="192"/>
      <c r="I283" s="229">
        <v>7605.8459999999986</v>
      </c>
      <c r="J283" s="210"/>
      <c r="K283" s="194"/>
      <c r="L283" s="194"/>
      <c r="M283" s="194">
        <v>76393.117223999987</v>
      </c>
      <c r="N283" s="194"/>
      <c r="O283" s="211">
        <v>76393.117223999987</v>
      </c>
      <c r="P283" s="447"/>
      <c r="Q283" s="448"/>
      <c r="R283" s="449"/>
      <c r="S283" s="450"/>
      <c r="T283" s="448"/>
      <c r="U283" s="449"/>
      <c r="V283" s="230"/>
      <c r="W283" s="451"/>
      <c r="X283" s="480"/>
      <c r="Y283" s="453"/>
      <c r="AA283" s="792"/>
      <c r="AB283" s="519"/>
      <c r="AC283" s="519"/>
      <c r="AD283" s="521"/>
      <c r="AE283" s="519"/>
      <c r="AF283" s="519"/>
      <c r="AG283" s="521"/>
      <c r="AH283" s="519"/>
      <c r="AI283" s="519"/>
      <c r="AJ283" s="521"/>
      <c r="AK283" s="520"/>
      <c r="AL283" s="783"/>
      <c r="AM283" s="521"/>
    </row>
    <row r="284" spans="1:39" ht="13.5" thickBot="1">
      <c r="A284" s="207"/>
      <c r="B284" s="479" t="s">
        <v>1056</v>
      </c>
      <c r="C284" s="225"/>
      <c r="D284" s="215"/>
      <c r="E284" s="192"/>
      <c r="F284" s="193">
        <v>1.1839999999999999</v>
      </c>
      <c r="G284" s="193"/>
      <c r="H284" s="192"/>
      <c r="I284" s="229">
        <v>7605.8459999999986</v>
      </c>
      <c r="J284" s="210"/>
      <c r="K284" s="194"/>
      <c r="L284" s="194"/>
      <c r="M284" s="194">
        <v>9005.3216639999991</v>
      </c>
      <c r="N284" s="194"/>
      <c r="O284" s="211">
        <v>9005.3216639999991</v>
      </c>
      <c r="P284" s="447"/>
      <c r="Q284" s="448"/>
      <c r="R284" s="449"/>
      <c r="S284" s="450"/>
      <c r="T284" s="448"/>
      <c r="U284" s="449"/>
      <c r="V284" s="230"/>
      <c r="W284" s="451"/>
      <c r="X284" s="480"/>
      <c r="Y284" s="453"/>
      <c r="AA284" s="792"/>
      <c r="AB284" s="519"/>
      <c r="AC284" s="519"/>
      <c r="AD284" s="521"/>
      <c r="AE284" s="519"/>
      <c r="AF284" s="519"/>
      <c r="AG284" s="521"/>
      <c r="AH284" s="519"/>
      <c r="AI284" s="519"/>
      <c r="AJ284" s="521"/>
      <c r="AK284" s="520"/>
      <c r="AL284" s="783"/>
      <c r="AM284" s="521"/>
    </row>
    <row r="285" spans="1:39" ht="13.5" thickBot="1">
      <c r="A285" s="481"/>
      <c r="B285" s="482" t="s">
        <v>1057</v>
      </c>
      <c r="C285" s="483"/>
      <c r="D285" s="484"/>
      <c r="E285" s="485"/>
      <c r="F285" s="486">
        <v>1.55</v>
      </c>
      <c r="G285" s="486"/>
      <c r="H285" s="485"/>
      <c r="I285" s="487">
        <v>6877.6127303225794</v>
      </c>
      <c r="J285" s="488"/>
      <c r="K285" s="489"/>
      <c r="L285" s="489"/>
      <c r="M285" s="489">
        <v>10660.299731999998</v>
      </c>
      <c r="N285" s="503"/>
      <c r="O285" s="490">
        <v>10660.299731999998</v>
      </c>
      <c r="P285" s="491"/>
      <c r="Q285" s="492"/>
      <c r="R285" s="493"/>
      <c r="S285" s="494"/>
      <c r="T285" s="492"/>
      <c r="U285" s="493"/>
      <c r="V285" s="495"/>
      <c r="W285" s="496"/>
      <c r="X285" s="497"/>
      <c r="Y285" s="498"/>
      <c r="Z285" s="499"/>
      <c r="AA285" s="793"/>
      <c r="AB285" s="519"/>
      <c r="AC285" s="519"/>
      <c r="AD285" s="521"/>
      <c r="AE285" s="519"/>
      <c r="AF285" s="519"/>
      <c r="AG285" s="521"/>
      <c r="AH285" s="519"/>
      <c r="AI285" s="519"/>
      <c r="AJ285" s="521"/>
      <c r="AK285" s="520"/>
      <c r="AL285" s="783"/>
      <c r="AM285" s="521"/>
    </row>
    <row r="286" spans="1:39" ht="13.5" thickBot="1">
      <c r="A286" s="207"/>
      <c r="B286" s="479" t="s">
        <v>1058</v>
      </c>
      <c r="C286" s="225"/>
      <c r="D286" s="215"/>
      <c r="E286" s="192"/>
      <c r="F286" s="193">
        <v>0</v>
      </c>
      <c r="G286" s="193"/>
      <c r="H286" s="192"/>
      <c r="I286" s="229">
        <v>7079.9039999999995</v>
      </c>
      <c r="J286" s="210"/>
      <c r="K286" s="194"/>
      <c r="L286" s="194"/>
      <c r="M286" s="194">
        <v>0</v>
      </c>
      <c r="N286" s="504"/>
      <c r="O286" s="211">
        <v>0</v>
      </c>
      <c r="P286" s="447"/>
      <c r="Q286" s="448"/>
      <c r="R286" s="449"/>
      <c r="S286" s="450"/>
      <c r="T286" s="448"/>
      <c r="U286" s="449"/>
      <c r="V286" s="230"/>
      <c r="W286" s="451"/>
      <c r="X286" s="480"/>
      <c r="Y286" s="453"/>
      <c r="AA286" s="792"/>
      <c r="AB286" s="519"/>
      <c r="AC286" s="519"/>
      <c r="AD286" s="521"/>
      <c r="AE286" s="519"/>
      <c r="AF286" s="519"/>
      <c r="AG286" s="521"/>
      <c r="AH286" s="519"/>
      <c r="AI286" s="519"/>
      <c r="AJ286" s="521"/>
      <c r="AK286" s="520"/>
      <c r="AL286" s="783"/>
      <c r="AM286" s="521"/>
    </row>
    <row r="287" spans="1:39" ht="13.5" thickBot="1">
      <c r="A287" s="460" t="s">
        <v>18</v>
      </c>
      <c r="B287" s="461" t="s">
        <v>868</v>
      </c>
      <c r="C287" s="462" t="e">
        <v>#REF!</v>
      </c>
      <c r="D287" s="463" t="e">
        <v>#REF!</v>
      </c>
      <c r="E287" s="464"/>
      <c r="F287" s="465">
        <v>0.21240000000000001</v>
      </c>
      <c r="G287" s="465"/>
      <c r="H287" s="464"/>
      <c r="I287" s="466"/>
      <c r="J287" s="464"/>
      <c r="K287" s="468"/>
      <c r="L287" s="468"/>
      <c r="M287" s="468">
        <v>1615.4816903999997</v>
      </c>
      <c r="N287" s="505"/>
      <c r="O287" s="469">
        <v>1615.4816903999997</v>
      </c>
      <c r="P287" s="500" t="s">
        <v>887</v>
      </c>
      <c r="Q287" s="471">
        <v>702.21</v>
      </c>
      <c r="R287" s="472">
        <v>4.6040000000000001</v>
      </c>
      <c r="S287" s="473">
        <v>3232.9748400000003</v>
      </c>
      <c r="T287" s="471">
        <v>419</v>
      </c>
      <c r="U287" s="472">
        <v>4.4880000000000004</v>
      </c>
      <c r="V287" s="474">
        <v>1880.4720000000002</v>
      </c>
      <c r="W287" s="501">
        <v>1121.21</v>
      </c>
      <c r="X287" s="502">
        <v>4.5606504044737388</v>
      </c>
      <c r="Y287" s="474">
        <v>5113.4468400000005</v>
      </c>
      <c r="Z287" s="478"/>
      <c r="AA287" s="789"/>
      <c r="AB287" s="789"/>
      <c r="AC287" s="789"/>
      <c r="AD287" s="790"/>
      <c r="AE287" s="789"/>
      <c r="AF287" s="789"/>
      <c r="AG287" s="790"/>
      <c r="AH287" s="789"/>
      <c r="AI287" s="789"/>
      <c r="AJ287" s="790"/>
      <c r="AK287" s="789"/>
      <c r="AL287" s="789"/>
      <c r="AM287" s="790"/>
    </row>
    <row r="288" spans="1:39">
      <c r="A288" s="207"/>
      <c r="B288" s="479" t="s">
        <v>1554</v>
      </c>
      <c r="C288" s="225" t="e">
        <v>#REF!</v>
      </c>
      <c r="D288" s="215" t="e">
        <v>#REF!</v>
      </c>
      <c r="E288" s="192"/>
      <c r="F288" s="193">
        <v>0</v>
      </c>
      <c r="G288" s="193"/>
      <c r="H288" s="192"/>
      <c r="I288" s="229">
        <v>0</v>
      </c>
      <c r="J288" s="184"/>
      <c r="K288" s="194"/>
      <c r="L288" s="194"/>
      <c r="M288" s="194">
        <v>0</v>
      </c>
      <c r="N288" s="504"/>
      <c r="O288" s="211">
        <v>0</v>
      </c>
      <c r="P288" s="457" t="s">
        <v>435</v>
      </c>
      <c r="Q288" s="446"/>
      <c r="R288" s="446"/>
      <c r="S288" s="446"/>
      <c r="T288" s="446"/>
      <c r="U288" s="446"/>
      <c r="V288" s="446"/>
      <c r="W288" s="458">
        <v>9943.4700000000012</v>
      </c>
      <c r="X288" s="454"/>
      <c r="Y288" s="459">
        <v>52687.176720000003</v>
      </c>
      <c r="AA288" s="792"/>
      <c r="AB288" s="519"/>
      <c r="AC288" s="519"/>
      <c r="AD288" s="521"/>
      <c r="AE288" s="519"/>
      <c r="AF288" s="519"/>
      <c r="AG288" s="521"/>
      <c r="AH288" s="519"/>
      <c r="AI288" s="519"/>
      <c r="AJ288" s="521"/>
      <c r="AK288" s="520"/>
      <c r="AL288" s="783"/>
      <c r="AM288" s="521"/>
    </row>
    <row r="289" spans="1:39">
      <c r="A289" s="506"/>
      <c r="B289" s="482" t="s">
        <v>1057</v>
      </c>
      <c r="C289" s="507"/>
      <c r="D289" s="508"/>
      <c r="E289" s="509"/>
      <c r="F289" s="486">
        <v>0</v>
      </c>
      <c r="G289" s="510"/>
      <c r="H289" s="509"/>
      <c r="I289" s="487">
        <v>0</v>
      </c>
      <c r="J289" s="509"/>
      <c r="K289" s="511"/>
      <c r="L289" s="511"/>
      <c r="M289" s="489">
        <v>0</v>
      </c>
      <c r="N289" s="512"/>
      <c r="O289" s="490">
        <v>0</v>
      </c>
      <c r="AA289" s="793"/>
      <c r="AB289" s="519"/>
      <c r="AC289" s="519"/>
      <c r="AD289" s="521"/>
      <c r="AE289" s="519"/>
      <c r="AF289" s="519"/>
      <c r="AG289" s="521"/>
      <c r="AH289" s="519"/>
      <c r="AI289" s="519"/>
      <c r="AJ289" s="521"/>
      <c r="AK289" s="520"/>
      <c r="AL289" s="783"/>
      <c r="AM289" s="521"/>
    </row>
    <row r="290" spans="1:39" ht="13.5" thickBot="1">
      <c r="A290" s="232"/>
      <c r="B290" s="514" t="s">
        <v>1058</v>
      </c>
      <c r="C290" s="515"/>
      <c r="D290" s="516"/>
      <c r="E290" s="235"/>
      <c r="F290" s="943">
        <v>0.21240000000000001</v>
      </c>
      <c r="G290" s="236"/>
      <c r="H290" s="235"/>
      <c r="I290" s="517">
        <v>7605.8459999999986</v>
      </c>
      <c r="J290" s="235"/>
      <c r="K290" s="237"/>
      <c r="L290" s="237"/>
      <c r="M290" s="237">
        <v>1615.4816903999997</v>
      </c>
      <c r="N290" s="518"/>
      <c r="O290" s="238">
        <v>1615.4816903999997</v>
      </c>
      <c r="AA290" s="795"/>
      <c r="AB290" s="519"/>
      <c r="AC290" s="519"/>
      <c r="AD290" s="521"/>
      <c r="AE290" s="519"/>
      <c r="AF290" s="519"/>
      <c r="AG290" s="521"/>
      <c r="AH290" s="519"/>
      <c r="AI290" s="519"/>
      <c r="AJ290" s="521"/>
      <c r="AK290" s="520"/>
      <c r="AL290" s="783"/>
      <c r="AM290" s="521"/>
    </row>
    <row r="291" spans="1:39">
      <c r="A291" s="1795" t="s">
        <v>1872</v>
      </c>
      <c r="B291" s="1796"/>
      <c r="C291" s="1796"/>
      <c r="D291" s="1796"/>
      <c r="E291" s="1796"/>
      <c r="F291" s="1797"/>
      <c r="G291" s="1796"/>
      <c r="H291" s="1796"/>
      <c r="I291" s="1797"/>
      <c r="J291" s="1796"/>
      <c r="K291" s="1796"/>
      <c r="L291" s="1796"/>
      <c r="M291" s="1797"/>
      <c r="N291" s="1796"/>
      <c r="O291" s="1798"/>
      <c r="AA291" s="519"/>
      <c r="AB291" s="519"/>
      <c r="AC291" s="519"/>
      <c r="AD291" s="519"/>
      <c r="AE291" s="519"/>
      <c r="AF291" s="519"/>
      <c r="AG291" s="519"/>
      <c r="AH291" s="519"/>
      <c r="AI291" s="519"/>
      <c r="AJ291" s="519"/>
      <c r="AK291" s="519"/>
      <c r="AL291" s="519"/>
      <c r="AM291" s="519"/>
    </row>
    <row r="292" spans="1:39" ht="25.5">
      <c r="A292" s="207">
        <v>1</v>
      </c>
      <c r="B292" s="218" t="s">
        <v>863</v>
      </c>
      <c r="C292" s="222" t="e">
        <v>#REF!</v>
      </c>
      <c r="D292" s="222" t="e">
        <v>#REF!</v>
      </c>
      <c r="E292" s="187"/>
      <c r="F292" s="188">
        <v>8.89</v>
      </c>
      <c r="G292" s="188"/>
      <c r="H292" s="187"/>
      <c r="I292" s="187"/>
      <c r="J292" s="187"/>
      <c r="K292" s="189"/>
      <c r="L292" s="189"/>
      <c r="M292" s="189">
        <v>72230.156249075982</v>
      </c>
      <c r="N292" s="189"/>
      <c r="O292" s="213">
        <v>72230.156249075982</v>
      </c>
      <c r="AA292" s="780"/>
      <c r="AB292" s="781"/>
      <c r="AC292" s="781"/>
      <c r="AD292" s="519"/>
      <c r="AE292" s="781"/>
      <c r="AF292" s="781"/>
      <c r="AG292" s="519"/>
      <c r="AH292" s="781"/>
      <c r="AI292" s="781"/>
      <c r="AJ292" s="519"/>
      <c r="AK292" s="781"/>
      <c r="AL292" s="781"/>
      <c r="AM292" s="519"/>
    </row>
    <row r="293" spans="1:39">
      <c r="A293" s="207" t="s">
        <v>5</v>
      </c>
      <c r="B293" s="208" t="s">
        <v>1870</v>
      </c>
      <c r="C293" s="209"/>
      <c r="D293" s="209"/>
      <c r="E293" s="192"/>
      <c r="F293" s="193">
        <v>7.6829999999999998</v>
      </c>
      <c r="G293" s="193"/>
      <c r="H293" s="192"/>
      <c r="I293" s="229">
        <v>8237.1312179999986</v>
      </c>
      <c r="J293" s="192">
        <v>5.3924651823909073</v>
      </c>
      <c r="K293" s="194"/>
      <c r="L293" s="194"/>
      <c r="M293" s="194">
        <v>63285.879147893982</v>
      </c>
      <c r="N293" s="194"/>
      <c r="O293" s="211">
        <v>63285.879147893982</v>
      </c>
      <c r="AA293" s="782"/>
      <c r="AB293" s="520"/>
      <c r="AC293" s="519"/>
      <c r="AD293" s="521"/>
      <c r="AE293" s="520"/>
      <c r="AF293" s="519"/>
      <c r="AG293" s="521"/>
      <c r="AH293" s="520"/>
      <c r="AI293" s="519"/>
      <c r="AJ293" s="521"/>
      <c r="AK293" s="520"/>
      <c r="AL293" s="783"/>
      <c r="AM293" s="521"/>
    </row>
    <row r="294" spans="1:39">
      <c r="A294" s="207" t="s">
        <v>6</v>
      </c>
      <c r="B294" s="228" t="s">
        <v>887</v>
      </c>
      <c r="C294" s="208"/>
      <c r="D294" s="231"/>
      <c r="E294" s="184"/>
      <c r="F294" s="193">
        <v>1.2070000000000001</v>
      </c>
      <c r="G294" s="193"/>
      <c r="H294" s="192"/>
      <c r="I294" s="229">
        <v>7410.3372834979273</v>
      </c>
      <c r="J294" s="192">
        <v>0</v>
      </c>
      <c r="K294" s="194"/>
      <c r="L294" s="194"/>
      <c r="M294" s="194">
        <v>8944.2771011819987</v>
      </c>
      <c r="N294" s="184"/>
      <c r="O294" s="211">
        <v>8944.2771011819987</v>
      </c>
      <c r="AA294" s="784"/>
      <c r="AB294" s="520"/>
      <c r="AC294" s="519"/>
      <c r="AD294" s="521"/>
      <c r="AE294" s="520"/>
      <c r="AF294" s="519"/>
      <c r="AG294" s="521"/>
      <c r="AH294" s="520"/>
      <c r="AI294" s="519"/>
      <c r="AJ294" s="521"/>
      <c r="AK294" s="520"/>
      <c r="AL294" s="783"/>
      <c r="AM294" s="521"/>
    </row>
    <row r="295" spans="1:39">
      <c r="A295" s="207" t="s">
        <v>7</v>
      </c>
      <c r="B295" s="208" t="s">
        <v>432</v>
      </c>
      <c r="C295" s="208"/>
      <c r="D295" s="231"/>
      <c r="E295" s="184"/>
      <c r="F295" s="193"/>
      <c r="G295" s="193"/>
      <c r="H295" s="192"/>
      <c r="I295" s="229"/>
      <c r="J295" s="192">
        <v>0</v>
      </c>
      <c r="K295" s="194"/>
      <c r="L295" s="194"/>
      <c r="M295" s="194"/>
      <c r="N295" s="184"/>
      <c r="O295" s="211">
        <v>0</v>
      </c>
      <c r="Q295" s="1799" t="s">
        <v>767</v>
      </c>
      <c r="R295" s="1800"/>
      <c r="S295" s="1801"/>
      <c r="T295" s="1802" t="s">
        <v>766</v>
      </c>
      <c r="U295" s="1803"/>
      <c r="V295" s="1804"/>
      <c r="W295" s="1802" t="s">
        <v>1051</v>
      </c>
      <c r="X295" s="1803"/>
      <c r="Y295" s="1804"/>
      <c r="AA295" s="784"/>
      <c r="AB295" s="520"/>
      <c r="AC295" s="519"/>
      <c r="AD295" s="521"/>
      <c r="AE295" s="520"/>
      <c r="AF295" s="519"/>
      <c r="AG295" s="521"/>
      <c r="AH295" s="520"/>
      <c r="AI295" s="519"/>
      <c r="AJ295" s="521"/>
      <c r="AK295" s="520"/>
      <c r="AL295" s="783"/>
      <c r="AM295" s="521"/>
    </row>
    <row r="296" spans="1:39" ht="14.25" thickBot="1">
      <c r="A296" s="207" t="s">
        <v>11</v>
      </c>
      <c r="B296" s="212" t="s">
        <v>865</v>
      </c>
      <c r="C296" s="208"/>
      <c r="D296" s="231"/>
      <c r="E296" s="184">
        <v>0</v>
      </c>
      <c r="F296" s="184"/>
      <c r="G296" s="184"/>
      <c r="H296" s="184"/>
      <c r="I296" s="192"/>
      <c r="J296" s="229"/>
      <c r="K296" s="184"/>
      <c r="L296" s="184"/>
      <c r="M296" s="184"/>
      <c r="N296" s="184"/>
      <c r="O296" s="211"/>
      <c r="P296" s="443" t="s">
        <v>1052</v>
      </c>
      <c r="Q296" s="444" t="s">
        <v>1053</v>
      </c>
      <c r="R296" s="1802" t="s">
        <v>417</v>
      </c>
      <c r="S296" s="446" t="s">
        <v>1054</v>
      </c>
      <c r="T296" s="444" t="s">
        <v>1053</v>
      </c>
      <c r="U296" s="1802" t="s">
        <v>417</v>
      </c>
      <c r="V296" s="446" t="s">
        <v>1054</v>
      </c>
      <c r="W296" s="1802" t="s">
        <v>1053</v>
      </c>
      <c r="X296" s="1802" t="s">
        <v>417</v>
      </c>
      <c r="Y296" s="446" t="s">
        <v>1054</v>
      </c>
      <c r="AA296" s="787"/>
      <c r="AB296" s="520"/>
      <c r="AC296" s="519"/>
      <c r="AD296" s="521"/>
      <c r="AE296" s="520"/>
      <c r="AF296" s="519"/>
      <c r="AG296" s="521"/>
      <c r="AH296" s="520"/>
      <c r="AI296" s="519"/>
      <c r="AJ296" s="521"/>
      <c r="AK296" s="520"/>
      <c r="AL296" s="519"/>
      <c r="AM296" s="521"/>
    </row>
    <row r="297" spans="1:39" ht="13.5" thickBot="1">
      <c r="A297" s="460" t="s">
        <v>12</v>
      </c>
      <c r="B297" s="461" t="s">
        <v>866</v>
      </c>
      <c r="C297" s="462" t="e">
        <v>#REF!</v>
      </c>
      <c r="D297" s="463" t="e">
        <v>#REF!</v>
      </c>
      <c r="E297" s="464"/>
      <c r="F297" s="465">
        <v>8.69</v>
      </c>
      <c r="G297" s="465"/>
      <c r="H297" s="464"/>
      <c r="I297" s="466"/>
      <c r="J297" s="467">
        <v>5.3924651823909073</v>
      </c>
      <c r="K297" s="468"/>
      <c r="L297" s="468"/>
      <c r="M297" s="468">
        <v>70582.730005475983</v>
      </c>
      <c r="N297" s="468"/>
      <c r="O297" s="469">
        <v>70582.730005475983</v>
      </c>
      <c r="P297" s="470" t="s">
        <v>864</v>
      </c>
      <c r="Q297" s="471">
        <v>5740.8600000000006</v>
      </c>
      <c r="R297" s="472">
        <v>5.4480000000000004</v>
      </c>
      <c r="S297" s="473">
        <v>31276.205280000006</v>
      </c>
      <c r="T297" s="471">
        <v>3081.4</v>
      </c>
      <c r="U297" s="472">
        <v>5.2889999999999997</v>
      </c>
      <c r="V297" s="474">
        <v>16297.524599999999</v>
      </c>
      <c r="W297" s="475">
        <v>8822.26</v>
      </c>
      <c r="X297" s="476">
        <v>5.3924651823909073</v>
      </c>
      <c r="Y297" s="477">
        <v>47573.729880000006</v>
      </c>
      <c r="Z297" s="478"/>
      <c r="AA297" s="789"/>
      <c r="AB297" s="789"/>
      <c r="AC297" s="789"/>
      <c r="AD297" s="790"/>
      <c r="AE297" s="789"/>
      <c r="AF297" s="789"/>
      <c r="AG297" s="790"/>
      <c r="AH297" s="789"/>
      <c r="AI297" s="789"/>
      <c r="AJ297" s="790"/>
      <c r="AK297" s="789"/>
      <c r="AL297" s="789"/>
      <c r="AM297" s="790"/>
    </row>
    <row r="298" spans="1:39" ht="13.5" thickBot="1">
      <c r="A298" s="207"/>
      <c r="B298" s="479" t="s">
        <v>1055</v>
      </c>
      <c r="C298" s="225"/>
      <c r="D298" s="215"/>
      <c r="E298" s="192"/>
      <c r="F298" s="193">
        <v>6.7869999999999999</v>
      </c>
      <c r="G298" s="193"/>
      <c r="H298" s="192"/>
      <c r="I298" s="229">
        <v>8237.1312179999986</v>
      </c>
      <c r="J298" s="210"/>
      <c r="K298" s="194"/>
      <c r="L298" s="194"/>
      <c r="M298" s="194">
        <v>55905.409576565988</v>
      </c>
      <c r="N298" s="194"/>
      <c r="O298" s="211">
        <v>55905.409576565988</v>
      </c>
      <c r="P298" s="447"/>
      <c r="Q298" s="448"/>
      <c r="R298" s="449"/>
      <c r="S298" s="450"/>
      <c r="T298" s="448"/>
      <c r="U298" s="449"/>
      <c r="V298" s="230"/>
      <c r="W298" s="451"/>
      <c r="X298" s="480"/>
      <c r="Y298" s="453"/>
      <c r="AA298" s="792"/>
      <c r="AB298" s="519"/>
      <c r="AC298" s="519"/>
      <c r="AD298" s="521"/>
      <c r="AE298" s="519"/>
      <c r="AF298" s="519"/>
      <c r="AG298" s="521"/>
      <c r="AH298" s="519"/>
      <c r="AI298" s="519"/>
      <c r="AJ298" s="521"/>
      <c r="AK298" s="520"/>
      <c r="AL298" s="783"/>
      <c r="AM298" s="521"/>
    </row>
    <row r="299" spans="1:39" ht="13.5" thickBot="1">
      <c r="A299" s="207"/>
      <c r="B299" s="479" t="s">
        <v>1056</v>
      </c>
      <c r="C299" s="225"/>
      <c r="D299" s="215"/>
      <c r="E299" s="192"/>
      <c r="F299" s="193">
        <v>0.69599999999999995</v>
      </c>
      <c r="G299" s="193"/>
      <c r="H299" s="192"/>
      <c r="I299" s="229">
        <v>8237.1312179999986</v>
      </c>
      <c r="J299" s="210"/>
      <c r="K299" s="194"/>
      <c r="L299" s="194"/>
      <c r="M299" s="194">
        <v>5733.043327727999</v>
      </c>
      <c r="N299" s="194"/>
      <c r="O299" s="211">
        <v>5733.043327727999</v>
      </c>
      <c r="P299" s="447"/>
      <c r="Q299" s="448"/>
      <c r="R299" s="449"/>
      <c r="S299" s="450"/>
      <c r="T299" s="448"/>
      <c r="U299" s="449"/>
      <c r="V299" s="230"/>
      <c r="W299" s="451"/>
      <c r="X299" s="480"/>
      <c r="Y299" s="453"/>
      <c r="AA299" s="792"/>
      <c r="AB299" s="519"/>
      <c r="AC299" s="519"/>
      <c r="AD299" s="521"/>
      <c r="AE299" s="519"/>
      <c r="AF299" s="519"/>
      <c r="AG299" s="521"/>
      <c r="AH299" s="519"/>
      <c r="AI299" s="519"/>
      <c r="AJ299" s="521"/>
      <c r="AK299" s="520"/>
      <c r="AL299" s="783"/>
      <c r="AM299" s="521"/>
    </row>
    <row r="300" spans="1:39" ht="13.5" thickBot="1">
      <c r="A300" s="481"/>
      <c r="B300" s="482" t="s">
        <v>1057</v>
      </c>
      <c r="C300" s="483"/>
      <c r="D300" s="484"/>
      <c r="E300" s="485"/>
      <c r="F300" s="486">
        <v>1.2070000000000001</v>
      </c>
      <c r="G300" s="486"/>
      <c r="H300" s="485"/>
      <c r="I300" s="487">
        <v>7410.3372834979273</v>
      </c>
      <c r="J300" s="488"/>
      <c r="K300" s="489"/>
      <c r="L300" s="489"/>
      <c r="M300" s="489">
        <v>8944.2771011819987</v>
      </c>
      <c r="N300" s="503"/>
      <c r="O300" s="490">
        <v>8944.2771011819987</v>
      </c>
      <c r="P300" s="491"/>
      <c r="Q300" s="492"/>
      <c r="R300" s="493"/>
      <c r="S300" s="494"/>
      <c r="T300" s="492"/>
      <c r="U300" s="493"/>
      <c r="V300" s="495"/>
      <c r="W300" s="496"/>
      <c r="X300" s="497"/>
      <c r="Y300" s="498"/>
      <c r="Z300" s="499"/>
      <c r="AA300" s="793"/>
      <c r="AB300" s="519"/>
      <c r="AC300" s="519"/>
      <c r="AD300" s="521"/>
      <c r="AE300" s="519"/>
      <c r="AF300" s="519"/>
      <c r="AG300" s="521"/>
      <c r="AH300" s="519"/>
      <c r="AI300" s="519"/>
      <c r="AJ300" s="521"/>
      <c r="AK300" s="520"/>
      <c r="AL300" s="783"/>
      <c r="AM300" s="521"/>
    </row>
    <row r="301" spans="1:39" ht="13.5" thickBot="1">
      <c r="A301" s="207"/>
      <c r="B301" s="479" t="s">
        <v>1058</v>
      </c>
      <c r="C301" s="225"/>
      <c r="D301" s="215"/>
      <c r="E301" s="192"/>
      <c r="F301" s="193">
        <v>0</v>
      </c>
      <c r="G301" s="193"/>
      <c r="H301" s="192"/>
      <c r="I301" s="229">
        <v>7667.5360319999991</v>
      </c>
      <c r="J301" s="210"/>
      <c r="K301" s="194"/>
      <c r="L301" s="194"/>
      <c r="M301" s="194">
        <v>0</v>
      </c>
      <c r="N301" s="504"/>
      <c r="O301" s="211">
        <v>0</v>
      </c>
      <c r="P301" s="447"/>
      <c r="Q301" s="448"/>
      <c r="R301" s="449"/>
      <c r="S301" s="450"/>
      <c r="T301" s="448"/>
      <c r="U301" s="449"/>
      <c r="V301" s="230"/>
      <c r="W301" s="451"/>
      <c r="X301" s="480"/>
      <c r="Y301" s="453"/>
      <c r="AA301" s="792"/>
      <c r="AB301" s="519"/>
      <c r="AC301" s="519"/>
      <c r="AD301" s="521"/>
      <c r="AE301" s="519"/>
      <c r="AF301" s="519"/>
      <c r="AG301" s="521"/>
      <c r="AH301" s="519"/>
      <c r="AI301" s="519"/>
      <c r="AJ301" s="521"/>
      <c r="AK301" s="520"/>
      <c r="AL301" s="783"/>
      <c r="AM301" s="521"/>
    </row>
    <row r="302" spans="1:39" ht="13.5" thickBot="1">
      <c r="A302" s="460" t="s">
        <v>18</v>
      </c>
      <c r="B302" s="461" t="s">
        <v>868</v>
      </c>
      <c r="C302" s="462" t="e">
        <v>#REF!</v>
      </c>
      <c r="D302" s="463" t="e">
        <v>#REF!</v>
      </c>
      <c r="E302" s="464"/>
      <c r="F302" s="465">
        <v>0.2</v>
      </c>
      <c r="G302" s="465"/>
      <c r="H302" s="464"/>
      <c r="I302" s="466"/>
      <c r="J302" s="464"/>
      <c r="K302" s="468"/>
      <c r="L302" s="468"/>
      <c r="M302" s="468">
        <v>1647.4262435999997</v>
      </c>
      <c r="N302" s="505"/>
      <c r="O302" s="469">
        <v>1647.4262435999997</v>
      </c>
      <c r="P302" s="500" t="s">
        <v>887</v>
      </c>
      <c r="Q302" s="471">
        <v>702.21</v>
      </c>
      <c r="R302" s="472">
        <v>4.6040000000000001</v>
      </c>
      <c r="S302" s="473">
        <v>3232.9748400000003</v>
      </c>
      <c r="T302" s="471">
        <v>419</v>
      </c>
      <c r="U302" s="472">
        <v>4.4880000000000004</v>
      </c>
      <c r="V302" s="474">
        <v>1880.4720000000002</v>
      </c>
      <c r="W302" s="501">
        <v>1121.21</v>
      </c>
      <c r="X302" s="502">
        <v>4.5606504044737388</v>
      </c>
      <c r="Y302" s="474">
        <v>5113.4468400000005</v>
      </c>
      <c r="Z302" s="478"/>
      <c r="AA302" s="789"/>
      <c r="AB302" s="789"/>
      <c r="AC302" s="789"/>
      <c r="AD302" s="790"/>
      <c r="AE302" s="789"/>
      <c r="AF302" s="789"/>
      <c r="AG302" s="790"/>
      <c r="AH302" s="789"/>
      <c r="AI302" s="789"/>
      <c r="AJ302" s="790"/>
      <c r="AK302" s="789"/>
      <c r="AL302" s="789"/>
      <c r="AM302" s="790"/>
    </row>
    <row r="303" spans="1:39">
      <c r="A303" s="207"/>
      <c r="B303" s="479" t="s">
        <v>1554</v>
      </c>
      <c r="C303" s="225" t="e">
        <v>#REF!</v>
      </c>
      <c r="D303" s="215" t="e">
        <v>#REF!</v>
      </c>
      <c r="E303" s="192"/>
      <c r="F303" s="193">
        <v>0</v>
      </c>
      <c r="G303" s="193"/>
      <c r="H303" s="192"/>
      <c r="I303" s="229">
        <v>0</v>
      </c>
      <c r="J303" s="184"/>
      <c r="K303" s="194"/>
      <c r="L303" s="194"/>
      <c r="M303" s="194">
        <v>0</v>
      </c>
      <c r="N303" s="504"/>
      <c r="O303" s="211">
        <v>0</v>
      </c>
      <c r="P303" s="457" t="s">
        <v>435</v>
      </c>
      <c r="Q303" s="446"/>
      <c r="R303" s="446"/>
      <c r="S303" s="446"/>
      <c r="T303" s="446"/>
      <c r="U303" s="446"/>
      <c r="V303" s="446"/>
      <c r="W303" s="458">
        <v>9943.4700000000012</v>
      </c>
      <c r="X303" s="454"/>
      <c r="Y303" s="459">
        <v>52687.176720000003</v>
      </c>
      <c r="AA303" s="792"/>
      <c r="AB303" s="519"/>
      <c r="AC303" s="519"/>
      <c r="AD303" s="521"/>
      <c r="AE303" s="519"/>
      <c r="AF303" s="519"/>
      <c r="AG303" s="521"/>
      <c r="AH303" s="519"/>
      <c r="AI303" s="519"/>
      <c r="AJ303" s="521"/>
      <c r="AK303" s="520"/>
      <c r="AL303" s="783"/>
      <c r="AM303" s="521"/>
    </row>
    <row r="304" spans="1:39">
      <c r="A304" s="506"/>
      <c r="B304" s="482" t="s">
        <v>1057</v>
      </c>
      <c r="C304" s="507"/>
      <c r="D304" s="508"/>
      <c r="E304" s="509"/>
      <c r="F304" s="486">
        <v>0</v>
      </c>
      <c r="G304" s="510"/>
      <c r="H304" s="509"/>
      <c r="I304" s="487">
        <v>0</v>
      </c>
      <c r="J304" s="509"/>
      <c r="K304" s="511"/>
      <c r="L304" s="511"/>
      <c r="M304" s="489">
        <v>0</v>
      </c>
      <c r="N304" s="512"/>
      <c r="O304" s="490">
        <v>0</v>
      </c>
      <c r="AA304" s="793"/>
      <c r="AB304" s="519"/>
      <c r="AC304" s="519"/>
      <c r="AD304" s="521"/>
      <c r="AE304" s="519"/>
      <c r="AF304" s="519"/>
      <c r="AG304" s="521"/>
      <c r="AH304" s="519"/>
      <c r="AI304" s="519"/>
      <c r="AJ304" s="521"/>
      <c r="AK304" s="520"/>
      <c r="AL304" s="783"/>
      <c r="AM304" s="521"/>
    </row>
    <row r="305" spans="1:39" ht="13.5" thickBot="1">
      <c r="A305" s="232"/>
      <c r="B305" s="514" t="s">
        <v>1058</v>
      </c>
      <c r="C305" s="515"/>
      <c r="D305" s="516"/>
      <c r="E305" s="235"/>
      <c r="F305" s="943">
        <v>0.2</v>
      </c>
      <c r="G305" s="236"/>
      <c r="H305" s="235"/>
      <c r="I305" s="517">
        <v>0</v>
      </c>
      <c r="J305" s="235"/>
      <c r="K305" s="237"/>
      <c r="L305" s="237"/>
      <c r="M305" s="237">
        <v>1647.4262435999997</v>
      </c>
      <c r="N305" s="518"/>
      <c r="O305" s="238">
        <v>1647.4262435999997</v>
      </c>
      <c r="AA305" s="795"/>
      <c r="AB305" s="519"/>
      <c r="AC305" s="519"/>
      <c r="AD305" s="521"/>
      <c r="AE305" s="519"/>
      <c r="AF305" s="519"/>
      <c r="AG305" s="521"/>
      <c r="AH305" s="519"/>
      <c r="AI305" s="519"/>
      <c r="AJ305" s="521"/>
      <c r="AK305" s="520"/>
      <c r="AL305" s="783"/>
      <c r="AM305" s="521"/>
    </row>
  </sheetData>
  <mergeCells count="40">
    <mergeCell ref="AE108:AG108"/>
    <mergeCell ref="A108:O108"/>
    <mergeCell ref="AB108:AD108"/>
    <mergeCell ref="AK92:AM92"/>
    <mergeCell ref="Q96:S96"/>
    <mergeCell ref="T96:V96"/>
    <mergeCell ref="W96:Y96"/>
    <mergeCell ref="AH108:AJ108"/>
    <mergeCell ref="AK108:AM108"/>
    <mergeCell ref="A77:O77"/>
    <mergeCell ref="AB92:AD92"/>
    <mergeCell ref="A92:O92"/>
    <mergeCell ref="AE92:AG92"/>
    <mergeCell ref="AH92:AJ92"/>
    <mergeCell ref="A28:O28"/>
    <mergeCell ref="A44:O44"/>
    <mergeCell ref="Q65:S65"/>
    <mergeCell ref="T65:V65"/>
    <mergeCell ref="W65:Y65"/>
    <mergeCell ref="B49:D49"/>
    <mergeCell ref="A61:O61"/>
    <mergeCell ref="H11:J11"/>
    <mergeCell ref="A12:O12"/>
    <mergeCell ref="B17:D17"/>
    <mergeCell ref="N7:N9"/>
    <mergeCell ref="O7:O9"/>
    <mergeCell ref="A4:O4"/>
    <mergeCell ref="A5:I5"/>
    <mergeCell ref="A6:A9"/>
    <mergeCell ref="B6:B9"/>
    <mergeCell ref="C6:C9"/>
    <mergeCell ref="D6:D9"/>
    <mergeCell ref="E6:E9"/>
    <mergeCell ref="F6:F9"/>
    <mergeCell ref="G6:G9"/>
    <mergeCell ref="H6:L6"/>
    <mergeCell ref="M6:O6"/>
    <mergeCell ref="H7:J8"/>
    <mergeCell ref="K7:L7"/>
    <mergeCell ref="M7:M9"/>
  </mergeCells>
  <printOptions horizontalCentered="1"/>
  <pageMargins left="0.9055118110236221" right="0.39370078740157483" top="0.6692913385826772" bottom="0.39370078740157483" header="0.31496062992125984" footer="0.31496062992125984"/>
  <pageSetup paperSize="9" scale="60" orientation="portrait" r:id="rId1"/>
  <rowBreaks count="2" manualBreakCount="2">
    <brk id="171" max="14" man="1"/>
    <brk id="254" max="14" man="1"/>
  </rowBreaks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66FF"/>
  </sheetPr>
  <dimension ref="A1:AX31"/>
  <sheetViews>
    <sheetView showGridLines="0" view="pageBreakPreview" zoomScaleNormal="100" zoomScaleSheetLayoutView="100" workbookViewId="0">
      <pane xSplit="2" ySplit="8" topLeftCell="AE9" activePane="bottomRight" state="frozen"/>
      <selection pane="topRight" activeCell="C1" sqref="C1"/>
      <selection pane="bottomLeft" activeCell="A9" sqref="A9"/>
      <selection pane="bottomRight" activeCell="AS2" sqref="AS2"/>
    </sheetView>
  </sheetViews>
  <sheetFormatPr defaultColWidth="8" defaultRowHeight="12.75"/>
  <cols>
    <col min="1" max="1" width="5.42578125" style="242" customWidth="1"/>
    <col min="2" max="2" width="36.140625" style="242" customWidth="1"/>
    <col min="3" max="3" width="10.42578125" style="242" hidden="1" customWidth="1"/>
    <col min="4" max="4" width="11.85546875" style="242" hidden="1" customWidth="1"/>
    <col min="5" max="5" width="12.28515625" style="242" hidden="1" customWidth="1"/>
    <col min="6" max="6" width="9.85546875" style="242" hidden="1" customWidth="1"/>
    <col min="7" max="7" width="13.42578125" style="242" hidden="1" customWidth="1"/>
    <col min="8" max="8" width="11.7109375" style="242" hidden="1" customWidth="1"/>
    <col min="9" max="11" width="11.7109375" style="242" customWidth="1"/>
    <col min="12" max="12" width="10.85546875" style="242" customWidth="1"/>
    <col min="13" max="13" width="13.5703125" style="242" customWidth="1"/>
    <col min="14" max="17" width="12" style="242" customWidth="1"/>
    <col min="18" max="18" width="12" style="181" customWidth="1"/>
    <col min="19" max="20" width="12" style="242" customWidth="1"/>
    <col min="21" max="21" width="12" style="181" customWidth="1"/>
    <col min="22" max="23" width="12" style="242" customWidth="1"/>
    <col min="24" max="24" width="12" style="181" customWidth="1"/>
    <col min="25" max="26" width="12" style="242" customWidth="1"/>
    <col min="27" max="27" width="10.5703125" style="181" customWidth="1"/>
    <col min="28" max="28" width="13.140625" style="242" customWidth="1"/>
    <col min="29" max="29" width="11.5703125" style="242" customWidth="1"/>
    <col min="30" max="30" width="10.85546875" style="181" customWidth="1"/>
    <col min="31" max="31" width="13.28515625" style="242" customWidth="1"/>
    <col min="32" max="32" width="11.85546875" style="242" customWidth="1"/>
    <col min="33" max="33" width="11.140625" style="181" customWidth="1"/>
    <col min="34" max="34" width="13.28515625" style="242" customWidth="1"/>
    <col min="35" max="35" width="11.85546875" style="242" customWidth="1"/>
    <col min="36" max="36" width="10.7109375" style="181" customWidth="1"/>
    <col min="37" max="37" width="12.28515625" style="242" customWidth="1"/>
    <col min="38" max="38" width="12" style="242" customWidth="1"/>
    <col min="39" max="39" width="11.28515625" style="181" customWidth="1"/>
    <col min="40" max="40" width="11.85546875" style="242" customWidth="1"/>
    <col min="41" max="41" width="11.5703125" style="242" customWidth="1"/>
    <col min="42" max="42" width="10.42578125" style="181" customWidth="1"/>
    <col min="43" max="43" width="12.140625" style="242" customWidth="1"/>
    <col min="44" max="44" width="12.28515625" style="242" customWidth="1"/>
    <col min="45" max="16384" width="8" style="242"/>
  </cols>
  <sheetData>
    <row r="1" spans="1:50" ht="17.25" customHeight="1">
      <c r="A1" s="74" t="s">
        <v>1860</v>
      </c>
      <c r="Y1" s="333" t="s">
        <v>889</v>
      </c>
      <c r="AH1" s="128"/>
      <c r="AI1" s="333"/>
      <c r="AQ1" s="333" t="s">
        <v>889</v>
      </c>
    </row>
    <row r="2" spans="1:50" ht="18.75" customHeight="1">
      <c r="A2" s="105" t="str">
        <f>'4.1_КТЭЦ'!A2</f>
        <v>ПКГО - Комбинированная выработка КТЭЦ</v>
      </c>
    </row>
    <row r="3" spans="1:50" ht="18.75" customHeight="1">
      <c r="A3" s="1958" t="s">
        <v>438</v>
      </c>
      <c r="B3" s="1949"/>
      <c r="C3" s="1949"/>
      <c r="D3" s="1949"/>
      <c r="E3" s="1949"/>
      <c r="F3" s="1949"/>
      <c r="G3" s="1949"/>
      <c r="H3" s="1949"/>
      <c r="I3" s="1949"/>
      <c r="J3" s="1949"/>
      <c r="K3" s="1949"/>
      <c r="L3" s="1949"/>
      <c r="M3" s="1949"/>
      <c r="N3" s="1949"/>
      <c r="O3" s="1949"/>
      <c r="P3" s="1949"/>
      <c r="Q3" s="1949"/>
      <c r="R3" s="1949"/>
      <c r="S3" s="1949"/>
      <c r="T3" s="1949"/>
      <c r="U3" s="1949"/>
      <c r="V3" s="1949"/>
      <c r="W3" s="1949"/>
      <c r="X3" s="1949"/>
      <c r="Y3" s="1949"/>
      <c r="Z3" s="1949"/>
      <c r="AA3" s="1949"/>
      <c r="AB3" s="1949"/>
      <c r="AC3" s="1949"/>
      <c r="AD3" s="1949"/>
      <c r="AE3" s="1949"/>
      <c r="AF3" s="1949"/>
      <c r="AG3" s="1949"/>
      <c r="AH3" s="1949"/>
      <c r="AI3" s="1949"/>
      <c r="AJ3" s="1949"/>
      <c r="AK3" s="1949"/>
      <c r="AL3" s="1949"/>
      <c r="AM3" s="1949"/>
      <c r="AN3" s="1949"/>
      <c r="AO3" s="1949"/>
      <c r="AP3" s="1949"/>
      <c r="AQ3" s="1949"/>
      <c r="AR3" s="1949"/>
      <c r="AS3" s="1949"/>
      <c r="AT3" s="1949"/>
      <c r="AU3" s="1949"/>
      <c r="AV3" s="1949"/>
      <c r="AW3" s="1949"/>
      <c r="AX3" s="1949"/>
    </row>
    <row r="4" spans="1:50" ht="15.75">
      <c r="A4" s="169"/>
    </row>
    <row r="5" spans="1:50" s="383" customFormat="1" ht="26.25" customHeight="1">
      <c r="A5" s="1959" t="s">
        <v>789</v>
      </c>
      <c r="B5" s="1959" t="s">
        <v>440</v>
      </c>
      <c r="C5" s="1952" t="s">
        <v>1720</v>
      </c>
      <c r="D5" s="1953"/>
      <c r="E5" s="1954"/>
      <c r="F5" s="1952" t="s">
        <v>1132</v>
      </c>
      <c r="G5" s="1953"/>
      <c r="H5" s="1954"/>
      <c r="I5" s="1952" t="s">
        <v>1719</v>
      </c>
      <c r="J5" s="1953"/>
      <c r="K5" s="1954"/>
      <c r="L5" s="1952" t="s">
        <v>1690</v>
      </c>
      <c r="M5" s="1953"/>
      <c r="N5" s="1954"/>
      <c r="O5" s="1952" t="s">
        <v>1701</v>
      </c>
      <c r="P5" s="1953"/>
      <c r="Q5" s="1954"/>
      <c r="R5" s="1952" t="s">
        <v>1827</v>
      </c>
      <c r="S5" s="1953"/>
      <c r="T5" s="1954"/>
      <c r="U5" s="1952" t="s">
        <v>1839</v>
      </c>
      <c r="V5" s="1953"/>
      <c r="W5" s="1954"/>
      <c r="X5" s="1955" t="s">
        <v>1861</v>
      </c>
      <c r="Y5" s="1956"/>
      <c r="Z5" s="1957"/>
      <c r="AA5" s="1950" t="s">
        <v>1866</v>
      </c>
      <c r="AB5" s="1951"/>
      <c r="AC5" s="1951"/>
      <c r="AD5" s="1952" t="s">
        <v>1840</v>
      </c>
      <c r="AE5" s="1953"/>
      <c r="AF5" s="1954"/>
      <c r="AG5" s="1952" t="s">
        <v>1841</v>
      </c>
      <c r="AH5" s="1953"/>
      <c r="AI5" s="1954"/>
      <c r="AJ5" s="1950" t="s">
        <v>1867</v>
      </c>
      <c r="AK5" s="1951"/>
      <c r="AL5" s="1951"/>
      <c r="AM5" s="1952" t="s">
        <v>1868</v>
      </c>
      <c r="AN5" s="1953"/>
      <c r="AO5" s="1954"/>
      <c r="AP5" s="1952" t="s">
        <v>1869</v>
      </c>
      <c r="AQ5" s="1953"/>
      <c r="AR5" s="1954"/>
    </row>
    <row r="6" spans="1:50" s="245" customFormat="1" ht="42" customHeight="1">
      <c r="A6" s="1960"/>
      <c r="B6" s="1960"/>
      <c r="C6" s="244" t="s">
        <v>441</v>
      </c>
      <c r="D6" s="243" t="s">
        <v>442</v>
      </c>
      <c r="E6" s="591" t="s">
        <v>443</v>
      </c>
      <c r="F6" s="244" t="s">
        <v>441</v>
      </c>
      <c r="G6" s="243" t="s">
        <v>442</v>
      </c>
      <c r="H6" s="591" t="s">
        <v>443</v>
      </c>
      <c r="I6" s="244" t="s">
        <v>441</v>
      </c>
      <c r="J6" s="243" t="s">
        <v>442</v>
      </c>
      <c r="K6" s="591" t="s">
        <v>443</v>
      </c>
      <c r="L6" s="244" t="s">
        <v>441</v>
      </c>
      <c r="M6" s="243" t="s">
        <v>442</v>
      </c>
      <c r="N6" s="591" t="s">
        <v>443</v>
      </c>
      <c r="O6" s="244" t="s">
        <v>441</v>
      </c>
      <c r="P6" s="243" t="s">
        <v>442</v>
      </c>
      <c r="Q6" s="591" t="s">
        <v>443</v>
      </c>
      <c r="R6" s="1667" t="s">
        <v>441</v>
      </c>
      <c r="S6" s="243" t="s">
        <v>442</v>
      </c>
      <c r="T6" s="591" t="s">
        <v>443</v>
      </c>
      <c r="U6" s="1662" t="s">
        <v>441</v>
      </c>
      <c r="V6" s="243" t="s">
        <v>442</v>
      </c>
      <c r="W6" s="591" t="s">
        <v>443</v>
      </c>
      <c r="X6" s="1667" t="s">
        <v>441</v>
      </c>
      <c r="Y6" s="243" t="s">
        <v>442</v>
      </c>
      <c r="Z6" s="591" t="s">
        <v>443</v>
      </c>
      <c r="AA6" s="1667" t="s">
        <v>441</v>
      </c>
      <c r="AB6" s="243" t="s">
        <v>442</v>
      </c>
      <c r="AC6" s="591" t="s">
        <v>443</v>
      </c>
      <c r="AD6" s="1667" t="s">
        <v>441</v>
      </c>
      <c r="AE6" s="243" t="s">
        <v>442</v>
      </c>
      <c r="AF6" s="591" t="s">
        <v>443</v>
      </c>
      <c r="AG6" s="1667" t="s">
        <v>441</v>
      </c>
      <c r="AH6" s="243" t="s">
        <v>442</v>
      </c>
      <c r="AI6" s="591" t="s">
        <v>443</v>
      </c>
      <c r="AJ6" s="1667" t="s">
        <v>441</v>
      </c>
      <c r="AK6" s="243" t="s">
        <v>442</v>
      </c>
      <c r="AL6" s="591" t="s">
        <v>443</v>
      </c>
      <c r="AM6" s="1667" t="s">
        <v>441</v>
      </c>
      <c r="AN6" s="243" t="s">
        <v>442</v>
      </c>
      <c r="AO6" s="591" t="s">
        <v>443</v>
      </c>
      <c r="AP6" s="1667" t="s">
        <v>441</v>
      </c>
      <c r="AQ6" s="243" t="s">
        <v>442</v>
      </c>
      <c r="AR6" s="591" t="s">
        <v>443</v>
      </c>
    </row>
    <row r="7" spans="1:50" s="245" customFormat="1" ht="15.75">
      <c r="A7" s="1960"/>
      <c r="B7" s="1960"/>
      <c r="C7" s="243" t="s">
        <v>890</v>
      </c>
      <c r="D7" s="243" t="s">
        <v>891</v>
      </c>
      <c r="E7" s="590" t="s">
        <v>892</v>
      </c>
      <c r="F7" s="243" t="s">
        <v>890</v>
      </c>
      <c r="G7" s="243" t="s">
        <v>891</v>
      </c>
      <c r="H7" s="590" t="s">
        <v>892</v>
      </c>
      <c r="I7" s="243" t="s">
        <v>890</v>
      </c>
      <c r="J7" s="243" t="s">
        <v>891</v>
      </c>
      <c r="K7" s="590" t="s">
        <v>892</v>
      </c>
      <c r="L7" s="243" t="s">
        <v>890</v>
      </c>
      <c r="M7" s="243" t="s">
        <v>891</v>
      </c>
      <c r="N7" s="590" t="s">
        <v>892</v>
      </c>
      <c r="O7" s="243" t="s">
        <v>890</v>
      </c>
      <c r="P7" s="243" t="s">
        <v>891</v>
      </c>
      <c r="Q7" s="590" t="s">
        <v>892</v>
      </c>
      <c r="R7" s="1638" t="s">
        <v>890</v>
      </c>
      <c r="S7" s="243" t="s">
        <v>891</v>
      </c>
      <c r="T7" s="590" t="s">
        <v>892</v>
      </c>
      <c r="U7" s="1638" t="s">
        <v>890</v>
      </c>
      <c r="V7" s="243" t="s">
        <v>891</v>
      </c>
      <c r="W7" s="590" t="s">
        <v>892</v>
      </c>
      <c r="X7" s="1638" t="s">
        <v>890</v>
      </c>
      <c r="Y7" s="243" t="s">
        <v>891</v>
      </c>
      <c r="Z7" s="590" t="s">
        <v>892</v>
      </c>
      <c r="AA7" s="1638" t="s">
        <v>890</v>
      </c>
      <c r="AB7" s="243" t="s">
        <v>891</v>
      </c>
      <c r="AC7" s="590" t="s">
        <v>892</v>
      </c>
      <c r="AD7" s="1638" t="s">
        <v>890</v>
      </c>
      <c r="AE7" s="243" t="s">
        <v>891</v>
      </c>
      <c r="AF7" s="590" t="s">
        <v>892</v>
      </c>
      <c r="AG7" s="1638" t="s">
        <v>890</v>
      </c>
      <c r="AH7" s="243" t="s">
        <v>891</v>
      </c>
      <c r="AI7" s="590" t="s">
        <v>892</v>
      </c>
      <c r="AJ7" s="1638" t="s">
        <v>890</v>
      </c>
      <c r="AK7" s="243" t="s">
        <v>891</v>
      </c>
      <c r="AL7" s="590" t="s">
        <v>892</v>
      </c>
      <c r="AM7" s="1638" t="s">
        <v>890</v>
      </c>
      <c r="AN7" s="243" t="s">
        <v>891</v>
      </c>
      <c r="AO7" s="590" t="s">
        <v>892</v>
      </c>
      <c r="AP7" s="1638" t="s">
        <v>890</v>
      </c>
      <c r="AQ7" s="243" t="s">
        <v>891</v>
      </c>
      <c r="AR7" s="590" t="s">
        <v>892</v>
      </c>
    </row>
    <row r="8" spans="1:50" s="245" customFormat="1">
      <c r="A8" s="246">
        <v>1</v>
      </c>
      <c r="B8" s="246">
        <v>2</v>
      </c>
      <c r="C8" s="246">
        <v>3</v>
      </c>
      <c r="D8" s="246">
        <v>4</v>
      </c>
      <c r="E8" s="592">
        <v>5</v>
      </c>
      <c r="F8" s="246">
        <v>3</v>
      </c>
      <c r="G8" s="246">
        <v>4</v>
      </c>
      <c r="H8" s="592">
        <v>5</v>
      </c>
      <c r="I8" s="246">
        <v>3</v>
      </c>
      <c r="J8" s="246">
        <v>4</v>
      </c>
      <c r="K8" s="592">
        <v>5</v>
      </c>
      <c r="L8" s="246">
        <v>6</v>
      </c>
      <c r="M8" s="246">
        <v>7</v>
      </c>
      <c r="N8" s="592">
        <v>8</v>
      </c>
      <c r="O8" s="246">
        <v>9</v>
      </c>
      <c r="P8" s="246">
        <v>10</v>
      </c>
      <c r="Q8" s="592">
        <v>11</v>
      </c>
      <c r="R8" s="1670">
        <v>12</v>
      </c>
      <c r="S8" s="246">
        <v>13</v>
      </c>
      <c r="T8" s="592">
        <v>14</v>
      </c>
      <c r="U8" s="1670">
        <v>15</v>
      </c>
      <c r="V8" s="592">
        <v>16</v>
      </c>
      <c r="W8" s="592">
        <v>17</v>
      </c>
      <c r="X8" s="1670">
        <v>18</v>
      </c>
      <c r="Y8" s="592">
        <v>19</v>
      </c>
      <c r="Z8" s="592">
        <v>20</v>
      </c>
      <c r="AA8" s="1670">
        <v>21</v>
      </c>
      <c r="AB8" s="246">
        <v>22</v>
      </c>
      <c r="AC8" s="592">
        <v>23</v>
      </c>
      <c r="AD8" s="1670">
        <v>24</v>
      </c>
      <c r="AE8" s="246">
        <v>25</v>
      </c>
      <c r="AF8" s="592">
        <v>26</v>
      </c>
      <c r="AG8" s="1670">
        <v>27</v>
      </c>
      <c r="AH8" s="246">
        <v>28</v>
      </c>
      <c r="AI8" s="592">
        <v>29</v>
      </c>
      <c r="AJ8" s="1670">
        <v>30</v>
      </c>
      <c r="AK8" s="246">
        <v>31</v>
      </c>
      <c r="AL8" s="592">
        <v>32</v>
      </c>
      <c r="AM8" s="1670">
        <v>33</v>
      </c>
      <c r="AN8" s="246">
        <v>34</v>
      </c>
      <c r="AO8" s="592">
        <v>35</v>
      </c>
      <c r="AP8" s="1670">
        <v>36</v>
      </c>
      <c r="AQ8" s="246">
        <v>37</v>
      </c>
      <c r="AR8" s="592">
        <v>38</v>
      </c>
    </row>
    <row r="9" spans="1:50">
      <c r="A9" s="900" t="s">
        <v>89</v>
      </c>
      <c r="B9" s="901" t="s">
        <v>1156</v>
      </c>
      <c r="C9" s="889">
        <f>C11+C12+C13+C14+C16+C20+C21</f>
        <v>0</v>
      </c>
      <c r="D9" s="890" t="e">
        <f>E9/C9</f>
        <v>#DIV/0!</v>
      </c>
      <c r="E9" s="889">
        <f>E11+E12+E13+E14+E16+E20+E21</f>
        <v>0</v>
      </c>
      <c r="F9" s="889">
        <f>F11+F12+F13+F14+F16+F20+F21</f>
        <v>4066705</v>
      </c>
      <c r="G9" s="890">
        <f>H9/F9</f>
        <v>3.08997973887951E-2</v>
      </c>
      <c r="H9" s="889">
        <f>H11+H12+H13+H14+H16+H20+H21</f>
        <v>125660.36053999998</v>
      </c>
      <c r="I9" s="889">
        <f>I11+I12+I13+I14+I16+I20+I21</f>
        <v>0</v>
      </c>
      <c r="J9" s="890" t="e">
        <f>K9/I9</f>
        <v>#DIV/0!</v>
      </c>
      <c r="K9" s="889">
        <f>K11+K12+K13+K14+K16+K20+K21</f>
        <v>0</v>
      </c>
      <c r="L9" s="889">
        <v>3782603</v>
      </c>
      <c r="M9" s="902">
        <v>3.6209456821136132E-2</v>
      </c>
      <c r="N9" s="889">
        <v>136966</v>
      </c>
      <c r="O9" s="889">
        <v>335092</v>
      </c>
      <c r="P9" s="902">
        <v>4.0003313478089601E-2</v>
      </c>
      <c r="Q9" s="889">
        <v>13404.79032</v>
      </c>
      <c r="R9" s="1675">
        <v>3630772.3923269175</v>
      </c>
      <c r="S9" s="902">
        <v>4.0459532839472206E-2</v>
      </c>
      <c r="T9" s="889">
        <v>146899.35483999999</v>
      </c>
      <c r="U9" s="889">
        <v>307678</v>
      </c>
      <c r="V9" s="902">
        <v>4.1983587099568814E-2</v>
      </c>
      <c r="W9" s="889">
        <v>12917.426111621135</v>
      </c>
      <c r="X9" s="889">
        <v>3370673</v>
      </c>
      <c r="Y9" s="902">
        <v>4.2328054441946761E-2</v>
      </c>
      <c r="Z9" s="889">
        <v>142674.03025000001</v>
      </c>
      <c r="AA9" s="889">
        <v>3357454</v>
      </c>
      <c r="AB9" s="902">
        <v>4.4697878523944037E-2</v>
      </c>
      <c r="AC9" s="889">
        <v>150071.07104173</v>
      </c>
      <c r="AD9" s="889">
        <v>1873855</v>
      </c>
      <c r="AE9" s="1389">
        <v>4.2970000000000001E-2</v>
      </c>
      <c r="AF9" s="889">
        <v>80519.549350000001</v>
      </c>
      <c r="AG9" s="889">
        <v>1483599</v>
      </c>
      <c r="AH9" s="902">
        <v>4.6880270000000009E-2</v>
      </c>
      <c r="AI9" s="889">
        <v>69551.521691730013</v>
      </c>
      <c r="AJ9" s="889">
        <v>3357454</v>
      </c>
      <c r="AK9" s="902">
        <v>4.7812469957505856E-2</v>
      </c>
      <c r="AL9" s="889">
        <v>160528.16850870787</v>
      </c>
      <c r="AM9" s="889">
        <v>1873855</v>
      </c>
      <c r="AN9" s="1389">
        <v>4.6880270000000009E-2</v>
      </c>
      <c r="AO9" s="889">
        <v>87846.828340850014</v>
      </c>
      <c r="AP9" s="889">
        <v>1483599</v>
      </c>
      <c r="AQ9" s="902">
        <v>4.898988214999999E-2</v>
      </c>
      <c r="AR9" s="889">
        <v>72681.340167857838</v>
      </c>
    </row>
    <row r="10" spans="1:50">
      <c r="A10" s="597"/>
      <c r="B10" s="247"/>
      <c r="C10" s="248"/>
      <c r="D10" s="599"/>
      <c r="E10" s="598"/>
      <c r="F10" s="891"/>
      <c r="G10" s="892"/>
      <c r="H10" s="605"/>
      <c r="I10" s="248"/>
      <c r="J10" s="599"/>
      <c r="K10" s="598"/>
      <c r="L10" s="891"/>
      <c r="M10" s="903"/>
      <c r="N10" s="605"/>
      <c r="O10" s="891"/>
      <c r="P10" s="903"/>
      <c r="Q10" s="605"/>
      <c r="R10" s="230"/>
      <c r="S10" s="903"/>
      <c r="T10" s="605"/>
      <c r="U10" s="230"/>
      <c r="V10" s="903"/>
      <c r="W10" s="605"/>
      <c r="X10" s="230"/>
      <c r="Y10" s="903"/>
      <c r="Z10" s="605"/>
      <c r="AA10" s="230"/>
      <c r="AB10" s="903"/>
      <c r="AC10" s="605"/>
      <c r="AD10" s="230"/>
      <c r="AE10" s="903"/>
      <c r="AF10" s="605"/>
      <c r="AG10" s="230"/>
      <c r="AH10" s="903"/>
      <c r="AI10" s="605"/>
      <c r="AJ10" s="230"/>
      <c r="AK10" s="903"/>
      <c r="AL10" s="605"/>
      <c r="AM10" s="230"/>
      <c r="AN10" s="903"/>
      <c r="AO10" s="605"/>
      <c r="AP10" s="230"/>
      <c r="AQ10" s="903"/>
      <c r="AR10" s="605"/>
    </row>
    <row r="11" spans="1:50">
      <c r="A11" s="597" t="s">
        <v>893</v>
      </c>
      <c r="B11" s="247" t="s">
        <v>894</v>
      </c>
      <c r="C11" s="248"/>
      <c r="D11" s="599"/>
      <c r="E11" s="598"/>
      <c r="F11" s="891">
        <v>290206</v>
      </c>
      <c r="G11" s="892">
        <f>H11/F11</f>
        <v>2.8707194199982081E-2</v>
      </c>
      <c r="H11" s="605">
        <v>8331</v>
      </c>
      <c r="I11" s="248"/>
      <c r="J11" s="599"/>
      <c r="K11" s="598"/>
      <c r="L11" s="891">
        <v>263821</v>
      </c>
      <c r="M11" s="903">
        <v>3.6615735669260595E-2</v>
      </c>
      <c r="N11" s="898">
        <v>9660</v>
      </c>
      <c r="O11" s="891"/>
      <c r="P11" s="903" t="e">
        <v>#DIV/0!</v>
      </c>
      <c r="Q11" s="605"/>
      <c r="R11" s="230">
        <v>284622</v>
      </c>
      <c r="S11" s="903">
        <v>4.0545003548566168E-2</v>
      </c>
      <c r="T11" s="898">
        <v>11540</v>
      </c>
      <c r="U11" s="230"/>
      <c r="V11" s="903" t="e">
        <v>#DIV/0!</v>
      </c>
      <c r="W11" s="898"/>
      <c r="X11" s="230">
        <v>295052</v>
      </c>
      <c r="Y11" s="903">
        <v>4.2427139758415465E-2</v>
      </c>
      <c r="Z11" s="898">
        <v>12518.212439999999</v>
      </c>
      <c r="AA11" s="230">
        <v>295052</v>
      </c>
      <c r="AB11" s="903">
        <v>4.5034417724468909E-2</v>
      </c>
      <c r="AC11" s="605">
        <v>13287.49501844</v>
      </c>
      <c r="AD11" s="230">
        <v>139280</v>
      </c>
      <c r="AE11" s="604">
        <v>4.2970000000000001E-2</v>
      </c>
      <c r="AF11" s="605">
        <v>5984.8616000000002</v>
      </c>
      <c r="AG11" s="230">
        <v>155772</v>
      </c>
      <c r="AH11" s="903">
        <v>4.6880270000000002E-2</v>
      </c>
      <c r="AI11" s="605">
        <v>7302.6334184400002</v>
      </c>
      <c r="AJ11" s="230">
        <v>295052</v>
      </c>
      <c r="AK11" s="903">
        <v>4.7994034705305499E-2</v>
      </c>
      <c r="AL11" s="605">
        <v>14160.735927869799</v>
      </c>
      <c r="AM11" s="230">
        <v>139280</v>
      </c>
      <c r="AN11" s="607">
        <v>4.6880270000000002E-2</v>
      </c>
      <c r="AO11" s="605">
        <v>6529.4840056000003</v>
      </c>
      <c r="AP11" s="230">
        <v>155772</v>
      </c>
      <c r="AQ11" s="903">
        <v>4.8989882149999997E-2</v>
      </c>
      <c r="AR11" s="605">
        <v>7631.2519222697993</v>
      </c>
    </row>
    <row r="12" spans="1:50">
      <c r="A12" s="597"/>
      <c r="B12" s="797" t="s">
        <v>1288</v>
      </c>
      <c r="C12" s="248"/>
      <c r="D12" s="599"/>
      <c r="E12" s="598"/>
      <c r="F12" s="891">
        <f>(4622+5045)+(4813+5527)+(5500+5500)+(7200+5400)</f>
        <v>43607</v>
      </c>
      <c r="G12" s="892">
        <f>H12/F12</f>
        <v>3.1326325819249198E-2</v>
      </c>
      <c r="H12" s="605">
        <f>((4622+5045+5500+5500)*28.07+(4813+5527+7200+5400)*34.26)/1000</f>
        <v>1366.0470899999998</v>
      </c>
      <c r="I12" s="248"/>
      <c r="J12" s="599"/>
      <c r="K12" s="598"/>
      <c r="L12" s="891">
        <v>47455</v>
      </c>
      <c r="M12" s="903">
        <v>3.6181645769676536E-2</v>
      </c>
      <c r="N12" s="898">
        <v>1717</v>
      </c>
      <c r="O12" s="891"/>
      <c r="P12" s="903" t="e">
        <v>#DIV/0!</v>
      </c>
      <c r="Q12" s="605"/>
      <c r="R12" s="230">
        <v>39121</v>
      </c>
      <c r="S12" s="903">
        <v>4.0182897676439767E-2</v>
      </c>
      <c r="T12" s="898">
        <v>1571.9951400000002</v>
      </c>
      <c r="U12" s="230"/>
      <c r="V12" s="903" t="e">
        <v>#DIV/0!</v>
      </c>
      <c r="W12" s="898"/>
      <c r="X12" s="230">
        <v>39282</v>
      </c>
      <c r="Y12" s="903">
        <v>4.2447022554859729E-2</v>
      </c>
      <c r="Z12" s="898">
        <v>1667.4039399999999</v>
      </c>
      <c r="AA12" s="230">
        <v>39282</v>
      </c>
      <c r="AB12" s="903">
        <v>4.5102023900514231E-2</v>
      </c>
      <c r="AC12" s="605">
        <v>1771.6977028599999</v>
      </c>
      <c r="AD12" s="230">
        <v>17864</v>
      </c>
      <c r="AE12" s="604">
        <v>4.2970000000000001E-2</v>
      </c>
      <c r="AF12" s="605">
        <v>767.61608000000001</v>
      </c>
      <c r="AG12" s="230">
        <v>21418</v>
      </c>
      <c r="AH12" s="903">
        <v>4.6880270000000002E-2</v>
      </c>
      <c r="AI12" s="605">
        <v>1004.08162286</v>
      </c>
      <c r="AJ12" s="230">
        <v>39282</v>
      </c>
      <c r="AK12" s="903">
        <v>4.8030508608744464E-2</v>
      </c>
      <c r="AL12" s="605">
        <v>1886.7344391687</v>
      </c>
      <c r="AM12" s="230">
        <v>17864</v>
      </c>
      <c r="AN12" s="607">
        <v>4.6880270000000002E-2</v>
      </c>
      <c r="AO12" s="605">
        <v>837.46914328000003</v>
      </c>
      <c r="AP12" s="230">
        <v>21418</v>
      </c>
      <c r="AQ12" s="903">
        <v>4.8989882149999997E-2</v>
      </c>
      <c r="AR12" s="605">
        <v>1049.2652958886999</v>
      </c>
    </row>
    <row r="13" spans="1:50">
      <c r="A13" s="600" t="s">
        <v>895</v>
      </c>
      <c r="B13" s="887" t="s">
        <v>1157</v>
      </c>
      <c r="C13" s="602"/>
      <c r="D13" s="896" t="e">
        <f>E13/C13</f>
        <v>#DIV/0!</v>
      </c>
      <c r="E13" s="605"/>
      <c r="F13" s="602">
        <v>172564</v>
      </c>
      <c r="G13" s="896">
        <f>H13/F13</f>
        <v>2.7682483020792285E-2</v>
      </c>
      <c r="H13" s="605">
        <v>4777</v>
      </c>
      <c r="I13" s="602"/>
      <c r="J13" s="896" t="e">
        <f>K13/I13</f>
        <v>#DIV/0!</v>
      </c>
      <c r="K13" s="605"/>
      <c r="L13" s="891">
        <v>162705</v>
      </c>
      <c r="M13" s="603">
        <v>3.6022248855290248E-2</v>
      </c>
      <c r="N13" s="898">
        <v>5861</v>
      </c>
      <c r="O13" s="602">
        <v>189550</v>
      </c>
      <c r="P13" s="603">
        <v>3.9949004695331046E-2</v>
      </c>
      <c r="Q13" s="605">
        <v>7572.3338400000002</v>
      </c>
      <c r="R13" s="602">
        <v>163503</v>
      </c>
      <c r="S13" s="603">
        <v>4.1210253022880311E-2</v>
      </c>
      <c r="T13" s="898">
        <v>6738</v>
      </c>
      <c r="U13" s="230">
        <v>162705</v>
      </c>
      <c r="V13" s="603">
        <v>4.2312620779929096E-2</v>
      </c>
      <c r="W13" s="898">
        <v>6884.4749639983638</v>
      </c>
      <c r="X13" s="230">
        <v>180947</v>
      </c>
      <c r="Y13" s="603">
        <v>4.2266470513465271E-2</v>
      </c>
      <c r="Z13" s="898">
        <v>7647.9910399999999</v>
      </c>
      <c r="AA13" s="230">
        <v>173090</v>
      </c>
      <c r="AB13" s="603">
        <v>4.4488112796810912E-2</v>
      </c>
      <c r="AC13" s="605">
        <v>7700.4474440000004</v>
      </c>
      <c r="AD13" s="230">
        <v>105890</v>
      </c>
      <c r="AE13" s="1388">
        <v>4.2970000000000001E-2</v>
      </c>
      <c r="AF13" s="605">
        <v>4550.0933000000005</v>
      </c>
      <c r="AG13" s="230">
        <v>67200</v>
      </c>
      <c r="AH13" s="603">
        <v>4.6880270000000002E-2</v>
      </c>
      <c r="AI13" s="605">
        <v>3150.3541439999999</v>
      </c>
      <c r="AJ13" s="230">
        <v>173090</v>
      </c>
      <c r="AK13" s="603">
        <v>4.7699300195158584E-2</v>
      </c>
      <c r="AL13" s="605">
        <v>8256.2718707799995</v>
      </c>
      <c r="AM13" s="230">
        <v>105890</v>
      </c>
      <c r="AN13" s="603">
        <v>4.6880270000000002E-2</v>
      </c>
      <c r="AO13" s="605">
        <v>4964.1517903000004</v>
      </c>
      <c r="AP13" s="230">
        <v>67200</v>
      </c>
      <c r="AQ13" s="603">
        <v>4.8989882149999997E-2</v>
      </c>
      <c r="AR13" s="605">
        <v>3292.1200804799996</v>
      </c>
    </row>
    <row r="14" spans="1:50">
      <c r="A14" s="796"/>
      <c r="B14" s="797" t="s">
        <v>1288</v>
      </c>
      <c r="C14" s="230"/>
      <c r="D14" s="607"/>
      <c r="E14" s="605"/>
      <c r="F14" s="230">
        <f>(5863+3223+3500+2900)+(918+4767+1600+3500)</f>
        <v>26271</v>
      </c>
      <c r="G14" s="767">
        <f t="shared" ref="G14" si="0">H14/F14</f>
        <v>3.0611172776064861E-2</v>
      </c>
      <c r="H14" s="605">
        <f>((5863+3223+3500+2900)*28.07+(918+4767+1600+3500)*34.26)/1000</f>
        <v>804.18611999999996</v>
      </c>
      <c r="I14" s="230"/>
      <c r="J14" s="607"/>
      <c r="K14" s="605"/>
      <c r="L14" s="891">
        <v>27019</v>
      </c>
      <c r="M14" s="607">
        <v>3.5900662496761541E-2</v>
      </c>
      <c r="N14" s="898">
        <v>970</v>
      </c>
      <c r="O14" s="230"/>
      <c r="P14" s="607" t="e">
        <v>#DIV/0!</v>
      </c>
      <c r="Q14" s="605"/>
      <c r="R14" s="230">
        <v>21303</v>
      </c>
      <c r="S14" s="607">
        <v>3.9775893536121668E-2</v>
      </c>
      <c r="T14" s="898">
        <v>847.3458599999999</v>
      </c>
      <c r="U14" s="230">
        <v>27019</v>
      </c>
      <c r="V14" s="607">
        <v>4.2287009705804603E-2</v>
      </c>
      <c r="W14" s="898">
        <v>1142.5527152411346</v>
      </c>
      <c r="X14" s="230">
        <v>21542</v>
      </c>
      <c r="Y14" s="607">
        <v>4.2303072602358188E-2</v>
      </c>
      <c r="Z14" s="898">
        <v>911.29279000000008</v>
      </c>
      <c r="AA14" s="230">
        <v>21542</v>
      </c>
      <c r="AB14" s="607">
        <v>4.4612560265063592E-2</v>
      </c>
      <c r="AC14" s="605">
        <v>961.04377322999994</v>
      </c>
      <c r="AD14" s="230">
        <v>12493</v>
      </c>
      <c r="AE14" s="604">
        <v>4.2970000000000001E-2</v>
      </c>
      <c r="AF14" s="605">
        <v>536.82420999999999</v>
      </c>
      <c r="AG14" s="230">
        <v>9049</v>
      </c>
      <c r="AH14" s="903">
        <v>4.6880270000000002E-2</v>
      </c>
      <c r="AI14" s="605">
        <v>424.21956323000001</v>
      </c>
      <c r="AJ14" s="230">
        <v>21542</v>
      </c>
      <c r="AK14" s="607">
        <v>4.7766440288058216E-2</v>
      </c>
      <c r="AL14" s="605">
        <v>1028.98465668535</v>
      </c>
      <c r="AM14" s="230">
        <v>12493</v>
      </c>
      <c r="AN14" s="607">
        <v>4.6880270000000002E-2</v>
      </c>
      <c r="AO14" s="605">
        <v>585.67521311000007</v>
      </c>
      <c r="AP14" s="230">
        <v>9049</v>
      </c>
      <c r="AQ14" s="903">
        <v>4.8989882149999997E-2</v>
      </c>
      <c r="AR14" s="605">
        <v>443.30944357534997</v>
      </c>
    </row>
    <row r="15" spans="1:50" s="181" customFormat="1">
      <c r="A15" s="796"/>
      <c r="B15" s="797"/>
      <c r="C15" s="230"/>
      <c r="D15" s="607"/>
      <c r="E15" s="605"/>
      <c r="F15" s="893"/>
      <c r="G15" s="893"/>
      <c r="H15" s="897"/>
      <c r="I15" s="230"/>
      <c r="J15" s="607"/>
      <c r="K15" s="605"/>
      <c r="L15" s="893"/>
      <c r="M15" s="893"/>
      <c r="N15" s="898"/>
      <c r="O15" s="893"/>
      <c r="P15" s="893"/>
      <c r="Q15" s="897"/>
      <c r="R15" s="196"/>
      <c r="S15" s="893"/>
      <c r="T15" s="897"/>
      <c r="U15" s="196"/>
      <c r="V15" s="893"/>
      <c r="W15" s="897"/>
      <c r="X15" s="196"/>
      <c r="Y15" s="893"/>
      <c r="Z15" s="897"/>
      <c r="AA15" s="196"/>
      <c r="AB15" s="905"/>
      <c r="AC15" s="598"/>
      <c r="AD15" s="196"/>
      <c r="AE15" s="903"/>
      <c r="AF15" s="605"/>
      <c r="AH15" s="903"/>
      <c r="AI15" s="605"/>
      <c r="AK15" s="905"/>
      <c r="AL15" s="598"/>
      <c r="AN15" s="903"/>
      <c r="AO15" s="605"/>
      <c r="AQ15" s="903"/>
      <c r="AR15" s="605"/>
    </row>
    <row r="16" spans="1:50" s="181" customFormat="1">
      <c r="A16" s="600" t="s">
        <v>896</v>
      </c>
      <c r="B16" s="601" t="s">
        <v>1158</v>
      </c>
      <c r="C16" s="602"/>
      <c r="D16" s="603"/>
      <c r="E16" s="605">
        <f t="shared" ref="E16" si="1">C16*D16</f>
        <v>0</v>
      </c>
      <c r="F16" s="895">
        <f>F17+F18+F19</f>
        <v>135501</v>
      </c>
      <c r="G16" s="896">
        <f>H16/F16</f>
        <v>4.4375232802709941E-2</v>
      </c>
      <c r="H16" s="898">
        <f>H17+H18+H19</f>
        <v>6012.8884199999993</v>
      </c>
      <c r="I16" s="602"/>
      <c r="J16" s="603"/>
      <c r="K16" s="605">
        <f t="shared" ref="K16" si="2">I16*J16</f>
        <v>0</v>
      </c>
      <c r="L16" s="895">
        <v>136737</v>
      </c>
      <c r="M16" s="603">
        <v>3.6420281269883059E-2</v>
      </c>
      <c r="N16" s="898">
        <v>4980</v>
      </c>
      <c r="O16" s="895">
        <v>145542</v>
      </c>
      <c r="P16" s="603">
        <v>4.0074043781176565E-2</v>
      </c>
      <c r="Q16" s="898">
        <v>5832.4564799999998</v>
      </c>
      <c r="R16" s="895">
        <v>308601.3923269175</v>
      </c>
      <c r="S16" s="603">
        <v>4.025909846459344E-2</v>
      </c>
      <c r="T16" s="898">
        <v>12424.013840000001</v>
      </c>
      <c r="U16" s="1671">
        <v>136737</v>
      </c>
      <c r="V16" s="603">
        <v>0.10004194304977769</v>
      </c>
      <c r="W16" s="898">
        <v>5795.7298867027712</v>
      </c>
      <c r="X16" s="1671">
        <v>248732</v>
      </c>
      <c r="Y16" s="603">
        <v>4.2366439702169398E-2</v>
      </c>
      <c r="Z16" s="605">
        <v>10537.889279999999</v>
      </c>
      <c r="AA16" s="1671">
        <v>243370</v>
      </c>
      <c r="AB16" s="904">
        <v>4.4829294261412668E-2</v>
      </c>
      <c r="AC16" s="898">
        <v>10910.105344400001</v>
      </c>
      <c r="AD16" s="1671">
        <v>127650</v>
      </c>
      <c r="AE16" s="1388">
        <v>4.2970000000000001E-2</v>
      </c>
      <c r="AF16" s="898">
        <v>5485.1205</v>
      </c>
      <c r="AG16" s="1671">
        <v>115720</v>
      </c>
      <c r="AH16" s="603">
        <v>4.6880270000000002E-2</v>
      </c>
      <c r="AI16" s="898">
        <v>5424.9848443999999</v>
      </c>
      <c r="AJ16" s="1671">
        <v>243370</v>
      </c>
      <c r="AK16" s="904">
        <v>4.7883369469934677E-2</v>
      </c>
      <c r="AL16" s="898">
        <v>11653.375627898002</v>
      </c>
      <c r="AM16" s="1671">
        <v>127650</v>
      </c>
      <c r="AN16" s="603">
        <v>4.6880270000000002E-2</v>
      </c>
      <c r="AO16" s="898">
        <v>5984.2664654999999</v>
      </c>
      <c r="AP16" s="1671">
        <v>115720</v>
      </c>
      <c r="AQ16" s="603">
        <v>4.8989882150000004E-2</v>
      </c>
      <c r="AR16" s="898">
        <v>5669.1091623980001</v>
      </c>
    </row>
    <row r="17" spans="1:44" s="181" customFormat="1">
      <c r="A17" s="796"/>
      <c r="B17" s="797" t="s">
        <v>1503</v>
      </c>
      <c r="C17" s="230"/>
      <c r="D17" s="607"/>
      <c r="E17" s="605"/>
      <c r="F17" s="891">
        <f>(18455+18577)+(14940+19857)</f>
        <v>71829</v>
      </c>
      <c r="G17" s="892">
        <f>H17/F17</f>
        <v>5.5924487324061314E-2</v>
      </c>
      <c r="H17" s="899">
        <v>4017</v>
      </c>
      <c r="I17" s="230"/>
      <c r="J17" s="607"/>
      <c r="K17" s="605"/>
      <c r="L17" s="891">
        <v>73050</v>
      </c>
      <c r="M17" s="903">
        <v>3.6317590691307321E-2</v>
      </c>
      <c r="N17" s="898">
        <v>2653</v>
      </c>
      <c r="O17" s="891">
        <v>74864</v>
      </c>
      <c r="P17" s="903">
        <v>4.0138328168412049E-2</v>
      </c>
      <c r="Q17" s="898">
        <v>3004.9157999999998</v>
      </c>
      <c r="R17" s="230">
        <v>73171</v>
      </c>
      <c r="S17" s="903">
        <v>4.0179852673873528E-2</v>
      </c>
      <c r="T17" s="898">
        <v>2940</v>
      </c>
      <c r="U17" s="230">
        <v>73050</v>
      </c>
      <c r="V17" s="903">
        <v>4.2426021259467969E-2</v>
      </c>
      <c r="W17" s="898">
        <v>3099.2208530041353</v>
      </c>
      <c r="X17" s="230">
        <v>79158</v>
      </c>
      <c r="Y17" s="903">
        <v>4.2428225321508882E-2</v>
      </c>
      <c r="Z17" s="605">
        <v>3358.5334600000001</v>
      </c>
      <c r="AA17" s="230">
        <v>79158</v>
      </c>
      <c r="AB17" s="903">
        <v>4.5038108893857856E-2</v>
      </c>
      <c r="AC17" s="605">
        <v>3565.1266238200001</v>
      </c>
      <c r="AD17" s="230">
        <v>37292</v>
      </c>
      <c r="AE17" s="604">
        <v>4.2970000000000001E-2</v>
      </c>
      <c r="AF17" s="605">
        <v>1602.43724</v>
      </c>
      <c r="AG17" s="230">
        <v>41866</v>
      </c>
      <c r="AH17" s="903">
        <v>4.6880270000000002E-2</v>
      </c>
      <c r="AI17" s="605">
        <v>1962.6893838200001</v>
      </c>
      <c r="AJ17" s="230">
        <v>79158</v>
      </c>
      <c r="AK17" s="903">
        <v>4.7996026111471989E-2</v>
      </c>
      <c r="AL17" s="605">
        <v>3799.2694349318999</v>
      </c>
      <c r="AM17" s="230">
        <v>37292</v>
      </c>
      <c r="AN17" s="607">
        <v>4.6880270000000002E-2</v>
      </c>
      <c r="AO17" s="605">
        <v>1748.2590288400002</v>
      </c>
      <c r="AP17" s="230">
        <v>41866</v>
      </c>
      <c r="AQ17" s="903">
        <v>4.8989882149999997E-2</v>
      </c>
      <c r="AR17" s="605">
        <v>2051.0104060918998</v>
      </c>
    </row>
    <row r="18" spans="1:44">
      <c r="A18" s="796"/>
      <c r="B18" s="797" t="s">
        <v>1504</v>
      </c>
      <c r="C18" s="230"/>
      <c r="D18" s="607"/>
      <c r="E18" s="605"/>
      <c r="F18" s="891">
        <f>(12726+14212)+(15898+15097)</f>
        <v>57933</v>
      </c>
      <c r="G18" s="892">
        <f>H18/F18</f>
        <v>3.1381740286192665E-2</v>
      </c>
      <c r="H18" s="605">
        <f>((12726+14212)*28.07+(15898+15097)*34.26)/1000</f>
        <v>1818.0383599999998</v>
      </c>
      <c r="I18" s="230"/>
      <c r="J18" s="607"/>
      <c r="K18" s="605"/>
      <c r="L18" s="891">
        <v>57933</v>
      </c>
      <c r="M18" s="903">
        <v>3.6542212555883517E-2</v>
      </c>
      <c r="N18" s="898">
        <v>2117</v>
      </c>
      <c r="O18" s="891">
        <v>70678</v>
      </c>
      <c r="P18" s="903">
        <v>4.0005952064291576E-2</v>
      </c>
      <c r="Q18" s="898">
        <v>2827.5406800000001</v>
      </c>
      <c r="R18" s="230">
        <v>229892.39232691747</v>
      </c>
      <c r="S18" s="903">
        <v>4.0283334764861095E-2</v>
      </c>
      <c r="T18" s="898">
        <v>9260.8322000000007</v>
      </c>
      <c r="U18" s="230">
        <v>57933</v>
      </c>
      <c r="V18" s="903">
        <v>4.2333372612736016E-2</v>
      </c>
      <c r="W18" s="898">
        <v>2452.4992755736357</v>
      </c>
      <c r="X18" s="230">
        <v>164216</v>
      </c>
      <c r="Y18" s="903">
        <v>4.2333897184196424E-2</v>
      </c>
      <c r="Z18" s="605">
        <v>6951.90326</v>
      </c>
      <c r="AA18" s="230">
        <v>158854</v>
      </c>
      <c r="AB18" s="903">
        <v>4.4715583282636882E-2</v>
      </c>
      <c r="AC18" s="605">
        <v>7103.2492667799997</v>
      </c>
      <c r="AD18" s="230">
        <v>87940</v>
      </c>
      <c r="AE18" s="604">
        <v>4.2970000000000001E-2</v>
      </c>
      <c r="AF18" s="605">
        <v>3778.7818000000002</v>
      </c>
      <c r="AG18" s="230">
        <v>70914</v>
      </c>
      <c r="AH18" s="903">
        <v>4.6880270000000002E-2</v>
      </c>
      <c r="AI18" s="605">
        <v>3324.46746678</v>
      </c>
      <c r="AJ18" s="230">
        <v>158854</v>
      </c>
      <c r="AK18" s="903">
        <v>4.7822021772099543E-2</v>
      </c>
      <c r="AL18" s="605">
        <v>7596.7194465851007</v>
      </c>
      <c r="AM18" s="230">
        <v>87940</v>
      </c>
      <c r="AN18" s="607">
        <v>4.6880270000000002E-2</v>
      </c>
      <c r="AO18" s="605">
        <v>4122.6509438000003</v>
      </c>
      <c r="AP18" s="230">
        <v>70914</v>
      </c>
      <c r="AQ18" s="903">
        <v>4.8989882149999997E-2</v>
      </c>
      <c r="AR18" s="605">
        <v>3474.0685027851</v>
      </c>
    </row>
    <row r="19" spans="1:44">
      <c r="A19" s="796"/>
      <c r="B19" s="797" t="s">
        <v>1288</v>
      </c>
      <c r="C19" s="230"/>
      <c r="D19" s="607"/>
      <c r="E19" s="605">
        <f>C19*D19</f>
        <v>0</v>
      </c>
      <c r="F19" s="891">
        <f>(1591+1441)+(1282+1425)</f>
        <v>5739</v>
      </c>
      <c r="G19" s="892">
        <f>H19/F19</f>
        <v>3.0989729918104197E-2</v>
      </c>
      <c r="H19" s="605">
        <f>((1591+1441)*28.07+(1282+1425)*34.26)/1000</f>
        <v>177.85005999999998</v>
      </c>
      <c r="I19" s="230"/>
      <c r="J19" s="607"/>
      <c r="K19" s="605">
        <f>I19*J19</f>
        <v>0</v>
      </c>
      <c r="L19" s="230">
        <v>5754</v>
      </c>
      <c r="M19" s="903">
        <v>3.6496350364963501E-2</v>
      </c>
      <c r="N19" s="898">
        <v>210</v>
      </c>
      <c r="O19" s="891"/>
      <c r="P19" s="903" t="e">
        <v>#DIV/0!</v>
      </c>
      <c r="Q19" s="605"/>
      <c r="R19" s="230">
        <v>5538</v>
      </c>
      <c r="S19" s="903">
        <v>4.0300043336944744E-2</v>
      </c>
      <c r="T19" s="898">
        <v>223.18163999999999</v>
      </c>
      <c r="U19" s="230">
        <v>5754</v>
      </c>
      <c r="V19" s="903">
        <v>4.2406979166666671E-2</v>
      </c>
      <c r="W19" s="898">
        <v>244.00975812500002</v>
      </c>
      <c r="X19" s="230">
        <v>5358</v>
      </c>
      <c r="Y19" s="903">
        <v>4.2451019036954085E-2</v>
      </c>
      <c r="Z19" s="605">
        <v>227.45256000000001</v>
      </c>
      <c r="AA19" s="230">
        <v>5358</v>
      </c>
      <c r="AB19" s="903">
        <v>4.5115612877939526E-2</v>
      </c>
      <c r="AC19" s="605">
        <v>241.72945379999999</v>
      </c>
      <c r="AD19" s="230">
        <v>2418</v>
      </c>
      <c r="AE19" s="604">
        <v>4.2970000000000001E-2</v>
      </c>
      <c r="AF19" s="605">
        <v>103.90146</v>
      </c>
      <c r="AG19" s="230">
        <v>2940</v>
      </c>
      <c r="AH19" s="903">
        <v>4.6880270000000002E-2</v>
      </c>
      <c r="AI19" s="605">
        <v>137.8279938</v>
      </c>
      <c r="AJ19" s="230">
        <v>5358</v>
      </c>
      <c r="AK19" s="903">
        <v>4.8037839936730116E-2</v>
      </c>
      <c r="AL19" s="605">
        <v>257.38674638099997</v>
      </c>
      <c r="AM19" s="230">
        <v>2418</v>
      </c>
      <c r="AN19" s="607">
        <v>4.6880270000000002E-2</v>
      </c>
      <c r="AO19" s="605">
        <v>113.35649286</v>
      </c>
      <c r="AP19" s="230">
        <v>2940</v>
      </c>
      <c r="AQ19" s="903">
        <v>4.8989882149999997E-2</v>
      </c>
      <c r="AR19" s="605">
        <v>144.03025352099999</v>
      </c>
    </row>
    <row r="20" spans="1:44" s="249" customFormat="1" ht="27">
      <c r="A20" s="597" t="s">
        <v>897</v>
      </c>
      <c r="B20" s="799" t="s">
        <v>1508</v>
      </c>
      <c r="C20" s="248"/>
      <c r="D20" s="599"/>
      <c r="E20" s="605">
        <f t="shared" ref="E20" si="3">C20*D20</f>
        <v>0</v>
      </c>
      <c r="F20" s="230">
        <f>(11967)+(3454+4342)</f>
        <v>19763</v>
      </c>
      <c r="G20" s="767">
        <f>H20/F20</f>
        <v>3.0598474421899505E-2</v>
      </c>
      <c r="H20" s="605">
        <f>((11967*28.07+(3454+4392)*34.26)/1000)</f>
        <v>604.71764999999994</v>
      </c>
      <c r="I20" s="248"/>
      <c r="J20" s="599"/>
      <c r="K20" s="605">
        <f t="shared" ref="K20" si="4">I20*J20</f>
        <v>0</v>
      </c>
      <c r="L20" s="230">
        <v>22145</v>
      </c>
      <c r="M20" s="607">
        <v>3.6486791600812828E-2</v>
      </c>
      <c r="N20" s="898">
        <v>808</v>
      </c>
      <c r="O20" s="230"/>
      <c r="P20" s="607" t="e">
        <v>#DIV/0!</v>
      </c>
      <c r="Q20" s="605"/>
      <c r="R20" s="230">
        <v>20508</v>
      </c>
      <c r="S20" s="607">
        <v>3.9399258825824068E-2</v>
      </c>
      <c r="T20" s="898">
        <v>808</v>
      </c>
      <c r="U20" s="230"/>
      <c r="V20" s="607"/>
      <c r="W20" s="898"/>
      <c r="X20" s="230">
        <v>19040</v>
      </c>
      <c r="Y20" s="607">
        <v>4.2279033613445385E-2</v>
      </c>
      <c r="Z20" s="605">
        <v>804.9928000000001</v>
      </c>
      <c r="AA20" s="230">
        <v>19040</v>
      </c>
      <c r="AB20" s="607">
        <v>4.4530822058823527E-2</v>
      </c>
      <c r="AC20" s="605">
        <v>847.86685199999999</v>
      </c>
      <c r="AD20" s="230">
        <v>11440</v>
      </c>
      <c r="AE20" s="604">
        <v>4.2970000000000001E-2</v>
      </c>
      <c r="AF20" s="605">
        <v>491.57679999999999</v>
      </c>
      <c r="AG20" s="800">
        <v>7600</v>
      </c>
      <c r="AH20" s="903">
        <v>4.6880270000000002E-2</v>
      </c>
      <c r="AI20" s="605">
        <v>356.290052</v>
      </c>
      <c r="AJ20" s="800">
        <v>19040</v>
      </c>
      <c r="AK20" s="607">
        <v>4.772234207668067E-2</v>
      </c>
      <c r="AL20" s="605">
        <v>908.63339313999995</v>
      </c>
      <c r="AM20" s="800">
        <v>11440</v>
      </c>
      <c r="AN20" s="607">
        <v>4.6880270000000002E-2</v>
      </c>
      <c r="AO20" s="605">
        <v>536.31028879999997</v>
      </c>
      <c r="AP20" s="800">
        <v>7600</v>
      </c>
      <c r="AQ20" s="903">
        <v>4.8989882149999997E-2</v>
      </c>
      <c r="AR20" s="605">
        <v>372.32310433999999</v>
      </c>
    </row>
    <row r="21" spans="1:44">
      <c r="A21" s="597" t="s">
        <v>1036</v>
      </c>
      <c r="B21" s="800" t="s">
        <v>1159</v>
      </c>
      <c r="C21" s="800">
        <f t="shared" ref="C21" si="5">C22</f>
        <v>0</v>
      </c>
      <c r="D21" s="801">
        <f t="shared" ref="D21" si="6">D22</f>
        <v>0</v>
      </c>
      <c r="E21" s="605">
        <f t="shared" ref="E21" si="7">E22</f>
        <v>0</v>
      </c>
      <c r="F21" s="800">
        <f>F23+F22</f>
        <v>3378793</v>
      </c>
      <c r="G21" s="801">
        <f>G23</f>
        <v>3.0383382196457694E-2</v>
      </c>
      <c r="H21" s="899">
        <f>H23+H22</f>
        <v>103764.52125999998</v>
      </c>
      <c r="I21" s="800">
        <f t="shared" ref="I21:K21" si="8">I22</f>
        <v>0</v>
      </c>
      <c r="J21" s="801">
        <f t="shared" si="8"/>
        <v>0</v>
      </c>
      <c r="K21" s="605">
        <f t="shared" si="8"/>
        <v>0</v>
      </c>
      <c r="L21" s="800">
        <v>3122721</v>
      </c>
      <c r="M21" s="607">
        <v>3.6176783004309383E-2</v>
      </c>
      <c r="N21" s="899">
        <v>112970</v>
      </c>
      <c r="O21" s="800">
        <v>0</v>
      </c>
      <c r="P21" s="607" t="e">
        <v>#DIV/0!</v>
      </c>
      <c r="Q21" s="899">
        <v>0</v>
      </c>
      <c r="R21" s="800">
        <v>2793114</v>
      </c>
      <c r="S21" s="607">
        <v>4.0445896587106719E-2</v>
      </c>
      <c r="T21" s="899">
        <v>112970</v>
      </c>
      <c r="U21" s="800"/>
      <c r="V21" s="607"/>
      <c r="W21" s="899"/>
      <c r="X21" s="800">
        <v>2566078</v>
      </c>
      <c r="Y21" s="607">
        <v>4.2316035584265173E-2</v>
      </c>
      <c r="Z21" s="899">
        <v>108586.24796000001</v>
      </c>
      <c r="AA21" s="230">
        <v>2566078</v>
      </c>
      <c r="AB21" s="607">
        <v>4.4696637447030056E-2</v>
      </c>
      <c r="AC21" s="605">
        <v>114592.4149068</v>
      </c>
      <c r="AD21" s="800">
        <v>1459238</v>
      </c>
      <c r="AE21" s="604">
        <v>4.2970000000000001E-2</v>
      </c>
      <c r="AF21" s="605">
        <v>62703.456859999998</v>
      </c>
      <c r="AG21" s="800">
        <v>1106840</v>
      </c>
      <c r="AH21" s="607">
        <v>4.6880270000000009E-2</v>
      </c>
      <c r="AI21" s="605">
        <v>51888.958046800006</v>
      </c>
      <c r="AJ21" s="800">
        <v>2566078</v>
      </c>
      <c r="AK21" s="607">
        <v>4.7830220169911432E-2</v>
      </c>
      <c r="AL21" s="605">
        <v>122633.432593166</v>
      </c>
      <c r="AM21" s="800">
        <v>1459238</v>
      </c>
      <c r="AN21" s="607">
        <v>4.6880270000000002E-2</v>
      </c>
      <c r="AO21" s="605">
        <v>68409.471434260005</v>
      </c>
      <c r="AP21" s="800">
        <v>1106840</v>
      </c>
      <c r="AQ21" s="607">
        <v>4.8989882149999997E-2</v>
      </c>
      <c r="AR21" s="605">
        <v>54223.961158905993</v>
      </c>
    </row>
    <row r="22" spans="1:44" ht="25.5">
      <c r="A22" s="606"/>
      <c r="B22" s="802" t="s">
        <v>1290</v>
      </c>
      <c r="C22" s="230"/>
      <c r="D22" s="604"/>
      <c r="E22" s="605">
        <f>C22*D22</f>
        <v>0</v>
      </c>
      <c r="F22" s="894">
        <f>(611968+563325)+(451135+536469-1109)</f>
        <v>2161788</v>
      </c>
      <c r="G22" s="892">
        <f>H22/F22</f>
        <v>3.089470068757898E-2</v>
      </c>
      <c r="H22" s="899">
        <f>((611968+563325)*28.07+(451135+536469-1109)*34.26)/1000</f>
        <v>66787.793209999989</v>
      </c>
      <c r="I22" s="230"/>
      <c r="J22" s="604"/>
      <c r="K22" s="605">
        <f>I22*J22</f>
        <v>0</v>
      </c>
      <c r="L22" s="894">
        <v>1942527</v>
      </c>
      <c r="M22" s="903">
        <v>3.6413908275148815E-2</v>
      </c>
      <c r="N22" s="898">
        <v>70735</v>
      </c>
      <c r="O22" s="894"/>
      <c r="P22" s="903" t="e">
        <v>#DIV/0!</v>
      </c>
      <c r="Q22" s="899"/>
      <c r="R22" s="800">
        <v>1879335</v>
      </c>
      <c r="S22" s="903">
        <v>3.7638313552400181E-2</v>
      </c>
      <c r="T22" s="898">
        <v>70735</v>
      </c>
      <c r="U22" s="800"/>
      <c r="V22" s="903"/>
      <c r="W22" s="898"/>
      <c r="X22" s="800">
        <v>1802300</v>
      </c>
      <c r="Y22" s="903">
        <v>4.236236253675859E-2</v>
      </c>
      <c r="Z22" s="605">
        <v>76349.686000000002</v>
      </c>
      <c r="AA22" s="230">
        <v>1802300</v>
      </c>
      <c r="AB22" s="903">
        <v>4.4754159962270432E-2</v>
      </c>
      <c r="AC22" s="605">
        <v>80768.560499999992</v>
      </c>
      <c r="AD22" s="800">
        <v>952300</v>
      </c>
      <c r="AE22" s="604">
        <v>4.2970000000000001E-2</v>
      </c>
      <c r="AF22" s="605">
        <v>40920.330999999998</v>
      </c>
      <c r="AG22" s="800">
        <v>850000</v>
      </c>
      <c r="AH22" s="903">
        <v>4.6880270000000002E-2</v>
      </c>
      <c r="AI22" s="605">
        <v>39848.229500000001</v>
      </c>
      <c r="AJ22" s="800">
        <v>1802300</v>
      </c>
      <c r="AK22" s="903">
        <v>4.7815204432391949E-2</v>
      </c>
      <c r="AL22" s="605">
        <v>86285.480948500001</v>
      </c>
      <c r="AM22" s="800">
        <v>952300</v>
      </c>
      <c r="AN22" s="607">
        <v>4.6880270000000002E-2</v>
      </c>
      <c r="AO22" s="605">
        <v>44644.081121000003</v>
      </c>
      <c r="AP22" s="800">
        <v>850000</v>
      </c>
      <c r="AQ22" s="903">
        <v>4.8989882149999997E-2</v>
      </c>
      <c r="AR22" s="605">
        <v>41641.399827499998</v>
      </c>
    </row>
    <row r="23" spans="1:44" ht="25.5">
      <c r="A23" s="606"/>
      <c r="B23" s="802" t="s">
        <v>1507</v>
      </c>
      <c r="C23" s="230"/>
      <c r="D23" s="604"/>
      <c r="E23" s="605">
        <f>C23*D23</f>
        <v>0</v>
      </c>
      <c r="F23" s="891">
        <f>(436205+325970)+(27726+427104)</f>
        <v>1217005</v>
      </c>
      <c r="G23" s="892">
        <f>H23/F23</f>
        <v>3.0383382196457694E-2</v>
      </c>
      <c r="H23" s="605">
        <f>((436205+325970)*28.07+(27726+427104)*34.26)/1000</f>
        <v>36976.728049999998</v>
      </c>
      <c r="I23" s="230"/>
      <c r="J23" s="604"/>
      <c r="K23" s="605">
        <f>I23*J23</f>
        <v>0</v>
      </c>
      <c r="L23" s="894">
        <v>1180194</v>
      </c>
      <c r="M23" s="903">
        <v>3.5786489339888185E-2</v>
      </c>
      <c r="N23" s="898">
        <v>42235</v>
      </c>
      <c r="O23" s="891"/>
      <c r="P23" s="903" t="e">
        <v>#DIV/0!</v>
      </c>
      <c r="Q23" s="605"/>
      <c r="R23" s="800">
        <v>913779</v>
      </c>
      <c r="S23" s="903">
        <v>4.6220147322273766E-2</v>
      </c>
      <c r="T23" s="898">
        <v>42235</v>
      </c>
      <c r="U23" s="230"/>
      <c r="V23" s="903"/>
      <c r="W23" s="898"/>
      <c r="X23" s="230">
        <v>763778</v>
      </c>
      <c r="Y23" s="903">
        <v>4.2206717082712515E-2</v>
      </c>
      <c r="Z23" s="605">
        <v>32236.561959999999</v>
      </c>
      <c r="AA23" s="230">
        <v>763778</v>
      </c>
      <c r="AB23" s="903">
        <v>4.4504928875668065E-2</v>
      </c>
      <c r="AC23" s="605">
        <v>33823.854406800005</v>
      </c>
      <c r="AD23" s="230">
        <v>506938</v>
      </c>
      <c r="AE23" s="604">
        <v>4.2970000000000001E-2</v>
      </c>
      <c r="AF23" s="605">
        <v>21783.12586</v>
      </c>
      <c r="AG23" s="230">
        <v>256840</v>
      </c>
      <c r="AH23" s="903">
        <v>4.6880270000000002E-2</v>
      </c>
      <c r="AI23" s="605">
        <v>12040.728546800001</v>
      </c>
      <c r="AJ23" s="230">
        <v>763778</v>
      </c>
      <c r="AK23" s="903">
        <v>4.7809681353306849E-2</v>
      </c>
      <c r="AL23" s="605">
        <v>36347.951644665998</v>
      </c>
      <c r="AM23" s="230">
        <v>506938</v>
      </c>
      <c r="AN23" s="607">
        <v>4.6880270000000002E-2</v>
      </c>
      <c r="AO23" s="605">
        <v>23765.390313260003</v>
      </c>
      <c r="AP23" s="230">
        <v>256840</v>
      </c>
      <c r="AQ23" s="903">
        <v>4.8989882149999997E-2</v>
      </c>
      <c r="AR23" s="605">
        <v>12582.561331405999</v>
      </c>
    </row>
    <row r="24" spans="1:44">
      <c r="A24" s="597" t="s">
        <v>1035</v>
      </c>
      <c r="B24" s="888" t="s">
        <v>1509</v>
      </c>
      <c r="C24" s="230"/>
      <c r="D24" s="604"/>
      <c r="E24" s="605">
        <f>C24*D24</f>
        <v>0</v>
      </c>
      <c r="F24" s="230">
        <f>(1952+2147)+(2046+2662)</f>
        <v>8807</v>
      </c>
      <c r="G24" s="767">
        <f>H24/F24</f>
        <v>1.7701755421823548E-2</v>
      </c>
      <c r="H24" s="605">
        <f>((1952+2147)*17.52+(2046+2662)*17.86)/1000</f>
        <v>155.89935999999997</v>
      </c>
      <c r="I24" s="230"/>
      <c r="J24" s="604"/>
      <c r="K24" s="605">
        <f>I24*J24</f>
        <v>0</v>
      </c>
      <c r="L24" s="230">
        <v>8236</v>
      </c>
      <c r="M24" s="607">
        <v>1.942690626517727E-2</v>
      </c>
      <c r="N24" s="898">
        <v>160</v>
      </c>
      <c r="O24" s="230"/>
      <c r="P24" s="607" t="e">
        <v>#DIV/0!</v>
      </c>
      <c r="Q24" s="605"/>
      <c r="R24" s="230">
        <v>8116</v>
      </c>
      <c r="S24" s="607">
        <v>2.4442816658452441E-2</v>
      </c>
      <c r="T24" s="898">
        <v>198.37790000000001</v>
      </c>
      <c r="U24" s="230">
        <v>8236</v>
      </c>
      <c r="V24" s="607">
        <v>2.8802970000000001E-2</v>
      </c>
      <c r="W24" s="898">
        <v>237.22126091999999</v>
      </c>
      <c r="X24" s="230">
        <v>7966</v>
      </c>
      <c r="Y24" s="607">
        <v>2.9381704745166961E-2</v>
      </c>
      <c r="Z24" s="605">
        <v>234.05466000000001</v>
      </c>
      <c r="AA24" s="230">
        <v>7966</v>
      </c>
      <c r="AB24" s="607">
        <v>3.2550224956063266E-2</v>
      </c>
      <c r="AC24" s="605">
        <v>259.29509199999995</v>
      </c>
      <c r="AD24" s="230">
        <v>3766</v>
      </c>
      <c r="AE24" s="604">
        <v>3.1059999999999997E-2</v>
      </c>
      <c r="AF24" s="605">
        <v>116.97196</v>
      </c>
      <c r="AG24" s="230">
        <v>4200</v>
      </c>
      <c r="AH24" s="903">
        <v>3.3886459999999993E-2</v>
      </c>
      <c r="AI24" s="605">
        <v>142.32313199999996</v>
      </c>
      <c r="AJ24" s="230">
        <v>7966</v>
      </c>
      <c r="AK24" s="607">
        <v>3.4690444551845341E-2</v>
      </c>
      <c r="AL24" s="605">
        <v>276.34408129999997</v>
      </c>
      <c r="AM24" s="230">
        <v>3766</v>
      </c>
      <c r="AN24" s="607">
        <v>3.3886459999999993E-2</v>
      </c>
      <c r="AO24" s="605">
        <v>127.61640835999998</v>
      </c>
      <c r="AP24" s="230">
        <v>4200</v>
      </c>
      <c r="AQ24" s="903">
        <v>3.541135069999999E-2</v>
      </c>
      <c r="AR24" s="605">
        <v>148.72767293999996</v>
      </c>
    </row>
    <row r="25" spans="1:44">
      <c r="X25" s="1758"/>
    </row>
    <row r="26" spans="1:44">
      <c r="X26" s="181">
        <f>Z26/Y26</f>
        <v>5357.9672691908609</v>
      </c>
      <c r="Y26" s="242">
        <v>4.236681349385709E-2</v>
      </c>
      <c r="Z26" s="242">
        <v>227</v>
      </c>
    </row>
    <row r="27" spans="1:44">
      <c r="N27" s="242">
        <f>202/M13</f>
        <v>5607.6454529943694</v>
      </c>
    </row>
    <row r="28" spans="1:44">
      <c r="T28" s="1680"/>
    </row>
    <row r="31" spans="1:44">
      <c r="T31" s="1680"/>
    </row>
  </sheetData>
  <mergeCells count="18">
    <mergeCell ref="B5:B7"/>
    <mergeCell ref="C5:E5"/>
    <mergeCell ref="AA3:AX3"/>
    <mergeCell ref="AJ5:AL5"/>
    <mergeCell ref="AM5:AO5"/>
    <mergeCell ref="AP5:AR5"/>
    <mergeCell ref="F5:H5"/>
    <mergeCell ref="L5:N5"/>
    <mergeCell ref="AA5:AC5"/>
    <mergeCell ref="AD5:AF5"/>
    <mergeCell ref="AG5:AI5"/>
    <mergeCell ref="I5:K5"/>
    <mergeCell ref="O5:Q5"/>
    <mergeCell ref="R5:T5"/>
    <mergeCell ref="U5:W5"/>
    <mergeCell ref="X5:Z5"/>
    <mergeCell ref="A3:Z3"/>
    <mergeCell ref="A5:A7"/>
  </mergeCells>
  <pageMargins left="0.23622047244094491" right="0.23622047244094491" top="0.6692913385826772" bottom="0.23622047244094491" header="0.23622047244094491" footer="0.15748031496062992"/>
  <pageSetup paperSize="9" scale="55" orientation="landscape" r:id="rId1"/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FF"/>
  </sheetPr>
  <dimension ref="A1:AR22"/>
  <sheetViews>
    <sheetView showGridLines="0" view="pageBreakPreview" zoomScaleNormal="100" zoomScaleSheetLayoutView="100" workbookViewId="0">
      <pane xSplit="2" ySplit="8" topLeftCell="AE9" activePane="bottomRight" state="frozen"/>
      <selection activeCell="A2" sqref="A2"/>
      <selection pane="topRight" activeCell="A2" sqref="A2"/>
      <selection pane="bottomLeft" activeCell="A2" sqref="A2"/>
      <selection pane="bottomRight" activeCell="AS2" sqref="AS2"/>
    </sheetView>
  </sheetViews>
  <sheetFormatPr defaultColWidth="8" defaultRowHeight="12.75"/>
  <cols>
    <col min="1" max="1" width="5.85546875" style="242" customWidth="1"/>
    <col min="2" max="2" width="36.140625" style="242" customWidth="1"/>
    <col min="3" max="3" width="10.42578125" style="242" hidden="1" customWidth="1"/>
    <col min="4" max="4" width="11.85546875" style="242" hidden="1" customWidth="1"/>
    <col min="5" max="5" width="12.28515625" style="242" hidden="1" customWidth="1"/>
    <col min="6" max="6" width="9.85546875" style="242" hidden="1" customWidth="1"/>
    <col min="7" max="7" width="13.42578125" style="242" hidden="1" customWidth="1"/>
    <col min="8" max="8" width="11.7109375" style="242" hidden="1" customWidth="1"/>
    <col min="9" max="11" width="11.7109375" style="242" customWidth="1"/>
    <col min="12" max="12" width="10.85546875" style="242" customWidth="1"/>
    <col min="13" max="13" width="13.5703125" style="242" customWidth="1"/>
    <col min="14" max="17" width="12" style="242" customWidth="1"/>
    <col min="18" max="18" width="12" style="181" customWidth="1"/>
    <col min="19" max="20" width="12" style="242" customWidth="1"/>
    <col min="21" max="21" width="12" style="181" customWidth="1"/>
    <col min="22" max="23" width="12" style="242" customWidth="1"/>
    <col min="24" max="24" width="12" style="181" customWidth="1"/>
    <col min="25" max="26" width="12" style="242" customWidth="1"/>
    <col min="27" max="27" width="10.5703125" style="181" customWidth="1"/>
    <col min="28" max="28" width="13.140625" style="242" customWidth="1"/>
    <col min="29" max="29" width="11.5703125" style="242" customWidth="1"/>
    <col min="30" max="30" width="10.85546875" style="181" customWidth="1"/>
    <col min="31" max="31" width="13.28515625" style="242" customWidth="1"/>
    <col min="32" max="32" width="11.85546875" style="242" customWidth="1"/>
    <col min="33" max="33" width="9.85546875" style="181" customWidth="1"/>
    <col min="34" max="34" width="13.28515625" style="242" customWidth="1"/>
    <col min="35" max="35" width="11.85546875" style="242" customWidth="1"/>
    <col min="36" max="36" width="11" style="181" customWidth="1"/>
    <col min="37" max="38" width="11.5703125" style="242" customWidth="1"/>
    <col min="39" max="39" width="10.85546875" style="181" customWidth="1"/>
    <col min="40" max="40" width="12.140625" style="242" customWidth="1"/>
    <col min="41" max="41" width="11.85546875" style="242" customWidth="1"/>
    <col min="42" max="42" width="10.85546875" style="181" customWidth="1"/>
    <col min="43" max="44" width="11.5703125" style="242" customWidth="1"/>
    <col min="45" max="16384" width="8" style="242"/>
  </cols>
  <sheetData>
    <row r="1" spans="1:44" ht="17.25" customHeight="1">
      <c r="A1" s="74" t="s">
        <v>1860</v>
      </c>
      <c r="AH1" s="128"/>
      <c r="AI1" s="333" t="s">
        <v>889</v>
      </c>
    </row>
    <row r="2" spans="1:44" ht="18.75" customHeight="1">
      <c r="A2" s="1961" t="str">
        <f>'4.1_котельные'!A2</f>
        <v>ПКГО - выработка котельными</v>
      </c>
      <c r="B2" s="1962"/>
    </row>
    <row r="3" spans="1:44" ht="39" customHeight="1">
      <c r="A3" s="1958" t="s">
        <v>438</v>
      </c>
      <c r="B3" s="1958"/>
      <c r="C3" s="1958"/>
      <c r="D3" s="1958"/>
      <c r="E3" s="1958"/>
      <c r="F3" s="1958"/>
      <c r="G3" s="1958"/>
      <c r="H3" s="1958"/>
      <c r="I3" s="1958"/>
      <c r="J3" s="1958"/>
      <c r="K3" s="1958"/>
      <c r="L3" s="1958"/>
      <c r="M3" s="1958"/>
      <c r="N3" s="1958"/>
      <c r="O3" s="1958"/>
      <c r="P3" s="1958"/>
      <c r="Q3" s="1958"/>
      <c r="R3" s="1958"/>
      <c r="S3" s="1958"/>
      <c r="T3" s="1958"/>
      <c r="U3" s="1958"/>
      <c r="V3" s="1958"/>
      <c r="W3" s="1958"/>
      <c r="X3" s="1958"/>
      <c r="Y3" s="1958"/>
      <c r="Z3" s="1958"/>
      <c r="AA3" s="1958"/>
      <c r="AB3" s="1958"/>
      <c r="AC3" s="1958"/>
      <c r="AD3" s="1958"/>
      <c r="AE3" s="1958"/>
      <c r="AF3" s="1958"/>
      <c r="AG3" s="1958"/>
      <c r="AH3" s="1958"/>
      <c r="AI3" s="1958"/>
    </row>
    <row r="4" spans="1:44" ht="15.75">
      <c r="A4" s="169"/>
    </row>
    <row r="5" spans="1:44" s="383" customFormat="1" ht="27" customHeight="1">
      <c r="A5" s="1959" t="s">
        <v>789</v>
      </c>
      <c r="B5" s="1959" t="s">
        <v>440</v>
      </c>
      <c r="C5" s="1952" t="s">
        <v>1720</v>
      </c>
      <c r="D5" s="1953"/>
      <c r="E5" s="1954"/>
      <c r="F5" s="1952" t="s">
        <v>1132</v>
      </c>
      <c r="G5" s="1953"/>
      <c r="H5" s="1954"/>
      <c r="I5" s="1952" t="s">
        <v>1719</v>
      </c>
      <c r="J5" s="1953"/>
      <c r="K5" s="1954"/>
      <c r="L5" s="1952" t="s">
        <v>1690</v>
      </c>
      <c r="M5" s="1953"/>
      <c r="N5" s="1954"/>
      <c r="O5" s="1952" t="s">
        <v>1701</v>
      </c>
      <c r="P5" s="1953"/>
      <c r="Q5" s="1954"/>
      <c r="R5" s="1952" t="s">
        <v>1827</v>
      </c>
      <c r="S5" s="1953"/>
      <c r="T5" s="1954"/>
      <c r="U5" s="1952" t="s">
        <v>1839</v>
      </c>
      <c r="V5" s="1953"/>
      <c r="W5" s="1954"/>
      <c r="X5" s="1955" t="s">
        <v>1861</v>
      </c>
      <c r="Y5" s="1956"/>
      <c r="Z5" s="1957"/>
      <c r="AA5" s="1950" t="s">
        <v>1866</v>
      </c>
      <c r="AB5" s="1951"/>
      <c r="AC5" s="1951"/>
      <c r="AD5" s="1952" t="s">
        <v>1840</v>
      </c>
      <c r="AE5" s="1953"/>
      <c r="AF5" s="1954"/>
      <c r="AG5" s="1952" t="s">
        <v>1841</v>
      </c>
      <c r="AH5" s="1953"/>
      <c r="AI5" s="1954"/>
      <c r="AJ5" s="1950" t="s">
        <v>1867</v>
      </c>
      <c r="AK5" s="1951"/>
      <c r="AL5" s="1951"/>
      <c r="AM5" s="1952" t="s">
        <v>1868</v>
      </c>
      <c r="AN5" s="1953"/>
      <c r="AO5" s="1954"/>
      <c r="AP5" s="1952" t="s">
        <v>1869</v>
      </c>
      <c r="AQ5" s="1953"/>
      <c r="AR5" s="1954"/>
    </row>
    <row r="6" spans="1:44" s="245" customFormat="1" ht="42" customHeight="1">
      <c r="A6" s="1960"/>
      <c r="B6" s="1960"/>
      <c r="C6" s="244" t="s">
        <v>441</v>
      </c>
      <c r="D6" s="243" t="s">
        <v>442</v>
      </c>
      <c r="E6" s="591" t="s">
        <v>443</v>
      </c>
      <c r="F6" s="244" t="s">
        <v>441</v>
      </c>
      <c r="G6" s="243" t="s">
        <v>442</v>
      </c>
      <c r="H6" s="591" t="s">
        <v>443</v>
      </c>
      <c r="I6" s="244" t="s">
        <v>441</v>
      </c>
      <c r="J6" s="243" t="s">
        <v>442</v>
      </c>
      <c r="K6" s="591" t="s">
        <v>443</v>
      </c>
      <c r="L6" s="244" t="s">
        <v>441</v>
      </c>
      <c r="M6" s="243" t="s">
        <v>442</v>
      </c>
      <c r="N6" s="591" t="s">
        <v>443</v>
      </c>
      <c r="O6" s="244" t="s">
        <v>441</v>
      </c>
      <c r="P6" s="243" t="s">
        <v>442</v>
      </c>
      <c r="Q6" s="591" t="s">
        <v>443</v>
      </c>
      <c r="R6" s="1686" t="s">
        <v>441</v>
      </c>
      <c r="S6" s="243" t="s">
        <v>442</v>
      </c>
      <c r="T6" s="591" t="s">
        <v>443</v>
      </c>
      <c r="U6" s="1662" t="s">
        <v>441</v>
      </c>
      <c r="V6" s="243" t="s">
        <v>442</v>
      </c>
      <c r="W6" s="591" t="s">
        <v>443</v>
      </c>
      <c r="X6" s="1686" t="s">
        <v>441</v>
      </c>
      <c r="Y6" s="243" t="s">
        <v>442</v>
      </c>
      <c r="Z6" s="591" t="s">
        <v>443</v>
      </c>
      <c r="AA6" s="1686" t="s">
        <v>441</v>
      </c>
      <c r="AB6" s="243" t="s">
        <v>442</v>
      </c>
      <c r="AC6" s="591" t="s">
        <v>443</v>
      </c>
      <c r="AD6" s="1686" t="s">
        <v>441</v>
      </c>
      <c r="AE6" s="243" t="s">
        <v>442</v>
      </c>
      <c r="AF6" s="591" t="s">
        <v>443</v>
      </c>
      <c r="AG6" s="1686" t="s">
        <v>441</v>
      </c>
      <c r="AH6" s="243" t="s">
        <v>442</v>
      </c>
      <c r="AI6" s="591" t="s">
        <v>443</v>
      </c>
      <c r="AJ6" s="1686" t="s">
        <v>441</v>
      </c>
      <c r="AK6" s="243" t="s">
        <v>442</v>
      </c>
      <c r="AL6" s="591" t="s">
        <v>443</v>
      </c>
      <c r="AM6" s="1686" t="s">
        <v>441</v>
      </c>
      <c r="AN6" s="243" t="s">
        <v>442</v>
      </c>
      <c r="AO6" s="591" t="s">
        <v>443</v>
      </c>
      <c r="AP6" s="1686" t="s">
        <v>441</v>
      </c>
      <c r="AQ6" s="243" t="s">
        <v>442</v>
      </c>
      <c r="AR6" s="591" t="s">
        <v>443</v>
      </c>
    </row>
    <row r="7" spans="1:44" s="245" customFormat="1" ht="15.75">
      <c r="A7" s="1960"/>
      <c r="B7" s="1960"/>
      <c r="C7" s="243" t="s">
        <v>890</v>
      </c>
      <c r="D7" s="243" t="s">
        <v>891</v>
      </c>
      <c r="E7" s="590" t="s">
        <v>892</v>
      </c>
      <c r="F7" s="243" t="s">
        <v>890</v>
      </c>
      <c r="G7" s="243" t="s">
        <v>891</v>
      </c>
      <c r="H7" s="590" t="s">
        <v>892</v>
      </c>
      <c r="I7" s="243" t="s">
        <v>890</v>
      </c>
      <c r="J7" s="243" t="s">
        <v>891</v>
      </c>
      <c r="K7" s="590" t="s">
        <v>892</v>
      </c>
      <c r="L7" s="243" t="s">
        <v>890</v>
      </c>
      <c r="M7" s="243" t="s">
        <v>891</v>
      </c>
      <c r="N7" s="590" t="s">
        <v>892</v>
      </c>
      <c r="O7" s="243" t="s">
        <v>890</v>
      </c>
      <c r="P7" s="243" t="s">
        <v>891</v>
      </c>
      <c r="Q7" s="590" t="s">
        <v>892</v>
      </c>
      <c r="R7" s="1638" t="s">
        <v>890</v>
      </c>
      <c r="S7" s="243" t="s">
        <v>891</v>
      </c>
      <c r="T7" s="590" t="s">
        <v>892</v>
      </c>
      <c r="U7" s="1638" t="s">
        <v>890</v>
      </c>
      <c r="V7" s="243" t="s">
        <v>891</v>
      </c>
      <c r="W7" s="590" t="s">
        <v>892</v>
      </c>
      <c r="X7" s="1638" t="s">
        <v>890</v>
      </c>
      <c r="Y7" s="243" t="s">
        <v>891</v>
      </c>
      <c r="Z7" s="590" t="s">
        <v>892</v>
      </c>
      <c r="AA7" s="1638" t="s">
        <v>890</v>
      </c>
      <c r="AB7" s="243" t="s">
        <v>891</v>
      </c>
      <c r="AC7" s="590" t="s">
        <v>892</v>
      </c>
      <c r="AD7" s="1638" t="s">
        <v>890</v>
      </c>
      <c r="AE7" s="243" t="s">
        <v>891</v>
      </c>
      <c r="AF7" s="590" t="s">
        <v>892</v>
      </c>
      <c r="AG7" s="1638" t="s">
        <v>890</v>
      </c>
      <c r="AH7" s="243" t="s">
        <v>891</v>
      </c>
      <c r="AI7" s="590" t="s">
        <v>892</v>
      </c>
      <c r="AJ7" s="1638" t="s">
        <v>890</v>
      </c>
      <c r="AK7" s="243" t="s">
        <v>891</v>
      </c>
      <c r="AL7" s="590" t="s">
        <v>892</v>
      </c>
      <c r="AM7" s="1638" t="s">
        <v>890</v>
      </c>
      <c r="AN7" s="243" t="s">
        <v>891</v>
      </c>
      <c r="AO7" s="590" t="s">
        <v>892</v>
      </c>
      <c r="AP7" s="1638" t="s">
        <v>890</v>
      </c>
      <c r="AQ7" s="243" t="s">
        <v>891</v>
      </c>
      <c r="AR7" s="590" t="s">
        <v>892</v>
      </c>
    </row>
    <row r="8" spans="1:44" s="245" customFormat="1">
      <c r="A8" s="246">
        <v>1</v>
      </c>
      <c r="B8" s="246">
        <v>2</v>
      </c>
      <c r="C8" s="246">
        <v>3</v>
      </c>
      <c r="D8" s="246">
        <v>4</v>
      </c>
      <c r="E8" s="592">
        <v>5</v>
      </c>
      <c r="F8" s="246">
        <v>3</v>
      </c>
      <c r="G8" s="246">
        <v>4</v>
      </c>
      <c r="H8" s="592">
        <v>5</v>
      </c>
      <c r="I8" s="246">
        <v>3</v>
      </c>
      <c r="J8" s="246">
        <v>4</v>
      </c>
      <c r="K8" s="592">
        <v>5</v>
      </c>
      <c r="L8" s="246">
        <v>6</v>
      </c>
      <c r="M8" s="246">
        <v>7</v>
      </c>
      <c r="N8" s="592">
        <v>8</v>
      </c>
      <c r="O8" s="246">
        <v>9</v>
      </c>
      <c r="P8" s="246">
        <v>10</v>
      </c>
      <c r="Q8" s="592">
        <v>11</v>
      </c>
      <c r="R8" s="1670">
        <v>12</v>
      </c>
      <c r="S8" s="246">
        <v>13</v>
      </c>
      <c r="T8" s="592">
        <v>14</v>
      </c>
      <c r="U8" s="1670">
        <v>15</v>
      </c>
      <c r="V8" s="592">
        <v>16</v>
      </c>
      <c r="W8" s="592">
        <v>17</v>
      </c>
      <c r="X8" s="1670">
        <v>18</v>
      </c>
      <c r="Y8" s="592">
        <v>19</v>
      </c>
      <c r="Z8" s="592">
        <v>20</v>
      </c>
      <c r="AA8" s="1670">
        <v>21</v>
      </c>
      <c r="AB8" s="246">
        <v>22</v>
      </c>
      <c r="AC8" s="592">
        <v>23</v>
      </c>
      <c r="AD8" s="1670">
        <v>24</v>
      </c>
      <c r="AE8" s="246">
        <v>25</v>
      </c>
      <c r="AF8" s="592">
        <v>26</v>
      </c>
      <c r="AG8" s="1670">
        <v>27</v>
      </c>
      <c r="AH8" s="246">
        <v>28</v>
      </c>
      <c r="AI8" s="592">
        <v>29</v>
      </c>
      <c r="AJ8" s="1670">
        <v>30</v>
      </c>
      <c r="AK8" s="246">
        <v>31</v>
      </c>
      <c r="AL8" s="592">
        <v>32</v>
      </c>
      <c r="AM8" s="1670">
        <v>33</v>
      </c>
      <c r="AN8" s="246">
        <v>34</v>
      </c>
      <c r="AO8" s="592">
        <v>35</v>
      </c>
      <c r="AP8" s="1670">
        <v>36</v>
      </c>
      <c r="AQ8" s="246">
        <v>37</v>
      </c>
      <c r="AR8" s="592">
        <v>38</v>
      </c>
    </row>
    <row r="9" spans="1:44">
      <c r="A9" s="593" t="s">
        <v>89</v>
      </c>
      <c r="B9" s="594" t="s">
        <v>1156</v>
      </c>
      <c r="C9" s="595">
        <f>C10+C11+C16+C18+C19</f>
        <v>0</v>
      </c>
      <c r="D9" s="596" t="e">
        <f>E9/C9</f>
        <v>#DIV/0!</v>
      </c>
      <c r="E9" s="595">
        <f>E10+E11+E16+E18+E19</f>
        <v>0</v>
      </c>
      <c r="F9" s="595">
        <f>F10+F11+F16+F18+F19</f>
        <v>2165260.7000000002</v>
      </c>
      <c r="G9" s="596">
        <f>H9/F9</f>
        <v>3.0603917965618507E-2</v>
      </c>
      <c r="H9" s="595">
        <f>H10+H11+H16+H18+H19</f>
        <v>66265.460836977712</v>
      </c>
      <c r="I9" s="595">
        <f>I10+I11+I16+I18+I19</f>
        <v>0</v>
      </c>
      <c r="J9" s="596" t="e">
        <f>K9/I9</f>
        <v>#DIV/0!</v>
      </c>
      <c r="K9" s="595">
        <f>K10+K11+K16+K18+K19</f>
        <v>0</v>
      </c>
      <c r="L9" s="595">
        <v>2189006.7999999998</v>
      </c>
      <c r="M9" s="1096">
        <v>3.5864807546509225E-2</v>
      </c>
      <c r="N9" s="595">
        <v>78508.3076</v>
      </c>
      <c r="O9" s="595">
        <v>655647.91400000046</v>
      </c>
      <c r="P9" s="1096">
        <v>3.9369234755896744E-2</v>
      </c>
      <c r="Q9" s="595">
        <v>25812.356643480016</v>
      </c>
      <c r="R9" s="595">
        <v>1936385</v>
      </c>
      <c r="S9" s="1096">
        <v>3.9938795745680739E-2</v>
      </c>
      <c r="T9" s="595">
        <v>77336.884999999995</v>
      </c>
      <c r="U9" s="595">
        <v>686931.99999999988</v>
      </c>
      <c r="V9" s="1096">
        <v>4.1184171926625296E-2</v>
      </c>
      <c r="W9" s="595">
        <v>28290.725589900565</v>
      </c>
      <c r="X9" s="595">
        <v>2060890</v>
      </c>
      <c r="Y9" s="1096">
        <v>4.236681349385709E-2</v>
      </c>
      <c r="Z9" s="595">
        <v>87313.342261355137</v>
      </c>
      <c r="AA9" s="595">
        <v>2060890</v>
      </c>
      <c r="AB9" s="1096">
        <v>4.4864259586021575E-2</v>
      </c>
      <c r="AC9" s="595">
        <v>92274.823838236</v>
      </c>
      <c r="AD9" s="595">
        <v>1109963.2</v>
      </c>
      <c r="AE9" s="1096">
        <v>4.2969999999999994E-2</v>
      </c>
      <c r="AF9" s="595">
        <v>47695.118703999993</v>
      </c>
      <c r="AG9" s="595">
        <v>950926.8</v>
      </c>
      <c r="AH9" s="1096">
        <v>4.6880269999999995E-2</v>
      </c>
      <c r="AI9" s="595">
        <v>44579.705134235999</v>
      </c>
      <c r="AJ9" s="595">
        <v>2060890</v>
      </c>
      <c r="AK9" s="1096">
        <v>4.7943677960172855E-2</v>
      </c>
      <c r="AL9" s="595">
        <v>98621.166371340631</v>
      </c>
      <c r="AM9" s="595">
        <v>1109963.2</v>
      </c>
      <c r="AN9" s="1096">
        <v>4.6880270000000002E-2</v>
      </c>
      <c r="AO9" s="595">
        <v>52035.374506063999</v>
      </c>
      <c r="AP9" s="595">
        <v>950926.8</v>
      </c>
      <c r="AQ9" s="1096">
        <v>4.8989882149999997E-2</v>
      </c>
      <c r="AR9" s="595">
        <v>46585.791865276617</v>
      </c>
    </row>
    <row r="10" spans="1:44">
      <c r="A10" s="597" t="s">
        <v>893</v>
      </c>
      <c r="B10" s="247" t="s">
        <v>894</v>
      </c>
      <c r="C10" s="248"/>
      <c r="D10" s="599"/>
      <c r="E10" s="598"/>
      <c r="F10" s="248"/>
      <c r="G10" s="599"/>
      <c r="H10" s="598"/>
      <c r="I10" s="248"/>
      <c r="J10" s="599"/>
      <c r="K10" s="598"/>
      <c r="L10" s="248"/>
      <c r="M10" s="599"/>
      <c r="N10" s="598"/>
      <c r="O10" s="248"/>
      <c r="P10" s="599"/>
      <c r="Q10" s="598"/>
      <c r="R10" s="230"/>
      <c r="S10" s="599"/>
      <c r="T10" s="598"/>
      <c r="U10" s="230"/>
      <c r="V10" s="599"/>
      <c r="W10" s="598"/>
      <c r="X10" s="230"/>
      <c r="Y10" s="599"/>
      <c r="Z10" s="598"/>
      <c r="AA10" s="230"/>
      <c r="AB10" s="599"/>
      <c r="AC10" s="598"/>
      <c r="AD10" s="230"/>
      <c r="AE10" s="599"/>
      <c r="AF10" s="598"/>
      <c r="AG10" s="230"/>
      <c r="AH10" s="599"/>
      <c r="AI10" s="598"/>
      <c r="AJ10" s="230"/>
      <c r="AK10" s="599"/>
      <c r="AL10" s="598"/>
      <c r="AM10" s="230"/>
      <c r="AN10" s="599"/>
      <c r="AO10" s="598"/>
      <c r="AP10" s="230"/>
      <c r="AQ10" s="599"/>
      <c r="AR10" s="598"/>
    </row>
    <row r="11" spans="1:44">
      <c r="A11" s="600" t="s">
        <v>895</v>
      </c>
      <c r="B11" s="601" t="s">
        <v>1157</v>
      </c>
      <c r="C11" s="602">
        <f>C12</f>
        <v>0</v>
      </c>
      <c r="D11" s="603" t="e">
        <f>E11/C11</f>
        <v>#DIV/0!</v>
      </c>
      <c r="E11" s="605">
        <f>E12</f>
        <v>0</v>
      </c>
      <c r="F11" s="602">
        <f>F12</f>
        <v>317390.70000000019</v>
      </c>
      <c r="G11" s="603">
        <f>H11/F11</f>
        <v>3.0603917930067261E-2</v>
      </c>
      <c r="H11" s="605">
        <f>H12</f>
        <v>9713.398934566605</v>
      </c>
      <c r="I11" s="602">
        <f>I12</f>
        <v>0</v>
      </c>
      <c r="J11" s="603" t="e">
        <f>K11/I11</f>
        <v>#DIV/0!</v>
      </c>
      <c r="K11" s="605">
        <f>K12</f>
        <v>0</v>
      </c>
      <c r="L11" s="602">
        <v>507274.86999999988</v>
      </c>
      <c r="M11" s="603">
        <v>3.5864807546509225E-2</v>
      </c>
      <c r="N11" s="605">
        <v>18193.315585730481</v>
      </c>
      <c r="O11" s="602">
        <v>529624.91400000046</v>
      </c>
      <c r="P11" s="603">
        <v>3.9279489175012637E-2</v>
      </c>
      <c r="Q11" s="605">
        <v>20803.396076280016</v>
      </c>
      <c r="R11" s="230">
        <v>408958.22</v>
      </c>
      <c r="S11" s="603">
        <v>3.9938795745680739E-2</v>
      </c>
      <c r="T11" s="605">
        <v>16333.298817097166</v>
      </c>
      <c r="U11" s="230">
        <v>560908.99999999988</v>
      </c>
      <c r="V11" s="603">
        <v>4.0948300907136331E-2</v>
      </c>
      <c r="W11" s="605">
        <v>22968.270513520929</v>
      </c>
      <c r="X11" s="230">
        <v>461507.19999999995</v>
      </c>
      <c r="Y11" s="603">
        <v>4.236681349385709E-2</v>
      </c>
      <c r="Z11" s="605">
        <v>19552.589468472201</v>
      </c>
      <c r="AA11" s="230">
        <v>461507.19999999995</v>
      </c>
      <c r="AB11" s="603">
        <v>4.4954278130794063E-2</v>
      </c>
      <c r="AC11" s="605">
        <v>20746.723028164</v>
      </c>
      <c r="AD11" s="230">
        <v>227314</v>
      </c>
      <c r="AE11" s="1388">
        <v>4.2970000000000001E-2</v>
      </c>
      <c r="AF11" s="605">
        <v>9767.6825800000006</v>
      </c>
      <c r="AG11" s="230">
        <v>234193.19999999995</v>
      </c>
      <c r="AH11" s="603">
        <v>4.6880270000000002E-2</v>
      </c>
      <c r="AI11" s="605">
        <v>10979.040448163998</v>
      </c>
      <c r="AJ11" s="230">
        <v>461507.19999999995</v>
      </c>
      <c r="AK11" s="603">
        <v>4.7950798954190486E-2</v>
      </c>
      <c r="AL11" s="605">
        <v>22129.638963111378</v>
      </c>
      <c r="AM11" s="230">
        <v>227314</v>
      </c>
      <c r="AN11" s="603">
        <v>4.6880270000000002E-2</v>
      </c>
      <c r="AO11" s="605">
        <v>10656.54169478</v>
      </c>
      <c r="AP11" s="230">
        <v>234193.19999999995</v>
      </c>
      <c r="AQ11" s="603">
        <v>4.8989882149999997E-2</v>
      </c>
      <c r="AR11" s="605">
        <v>11473.097268331378</v>
      </c>
    </row>
    <row r="12" spans="1:44">
      <c r="A12" s="796"/>
      <c r="B12" s="797" t="s">
        <v>1286</v>
      </c>
      <c r="C12" s="230">
        <f>C13+C14</f>
        <v>0</v>
      </c>
      <c r="D12" s="607" t="e">
        <f>E12/C12</f>
        <v>#DIV/0!</v>
      </c>
      <c r="E12" s="605">
        <f>E13+E14</f>
        <v>0</v>
      </c>
      <c r="F12" s="230">
        <f>F13+F14</f>
        <v>317390.70000000019</v>
      </c>
      <c r="G12" s="607">
        <f>H12/F12</f>
        <v>3.0603917930067261E-2</v>
      </c>
      <c r="H12" s="605">
        <f>H13+H14</f>
        <v>9713.398934566605</v>
      </c>
      <c r="I12" s="230">
        <f>I13+I14</f>
        <v>0</v>
      </c>
      <c r="J12" s="607" t="e">
        <f>K12/I12</f>
        <v>#DIV/0!</v>
      </c>
      <c r="K12" s="605">
        <f>K13+K14</f>
        <v>0</v>
      </c>
      <c r="L12" s="230">
        <v>507274.86999999988</v>
      </c>
      <c r="M12" s="607">
        <v>3.5864807546509225E-2</v>
      </c>
      <c r="N12" s="605">
        <v>18193.315585730481</v>
      </c>
      <c r="O12" s="230"/>
      <c r="P12" s="607" t="e">
        <v>#DIV/0!</v>
      </c>
      <c r="Q12" s="605"/>
      <c r="R12" s="230">
        <v>408958.22</v>
      </c>
      <c r="S12" s="607">
        <v>3.9938795745680739E-2</v>
      </c>
      <c r="T12" s="605">
        <v>16333.298817097166</v>
      </c>
      <c r="U12" s="230">
        <v>507274.86999999988</v>
      </c>
      <c r="V12" s="607">
        <v>4.2234001844106209E-2</v>
      </c>
      <c r="W12" s="605">
        <v>21424.247795048734</v>
      </c>
      <c r="X12" s="230">
        <v>461507.19999999995</v>
      </c>
      <c r="Y12" s="607">
        <v>4.236681349385709E-2</v>
      </c>
      <c r="Z12" s="605">
        <v>19552.589468472201</v>
      </c>
      <c r="AA12" s="230">
        <v>461507.19999999995</v>
      </c>
      <c r="AB12" s="607">
        <v>4.4954278130794063E-2</v>
      </c>
      <c r="AC12" s="605">
        <v>20746.723028164</v>
      </c>
      <c r="AD12" s="230">
        <v>227314</v>
      </c>
      <c r="AE12" s="604">
        <v>4.2970000000000001E-2</v>
      </c>
      <c r="AF12" s="605">
        <v>9767.6825800000006</v>
      </c>
      <c r="AG12" s="230">
        <v>234193.19999999995</v>
      </c>
      <c r="AH12" s="607">
        <v>4.6880270000000002E-2</v>
      </c>
      <c r="AI12" s="605">
        <v>10979.040448163998</v>
      </c>
      <c r="AJ12" s="230">
        <v>461507.19999999995</v>
      </c>
      <c r="AK12" s="607">
        <v>4.7950798954190486E-2</v>
      </c>
      <c r="AL12" s="605">
        <v>22129.638963111378</v>
      </c>
      <c r="AM12" s="230">
        <v>227314</v>
      </c>
      <c r="AN12" s="607">
        <v>4.6880270000000002E-2</v>
      </c>
      <c r="AO12" s="605">
        <v>10656.54169478</v>
      </c>
      <c r="AP12" s="230">
        <v>234193.19999999995</v>
      </c>
      <c r="AQ12" s="607">
        <v>4.8989882149999997E-2</v>
      </c>
      <c r="AR12" s="605">
        <v>11473.097268331378</v>
      </c>
    </row>
    <row r="13" spans="1:44" hidden="1">
      <c r="A13" s="796"/>
      <c r="B13" s="797" t="s">
        <v>1287</v>
      </c>
      <c r="C13" s="230"/>
      <c r="D13" s="607"/>
      <c r="E13" s="605"/>
      <c r="F13" s="230"/>
      <c r="G13" s="607"/>
      <c r="H13" s="605"/>
      <c r="I13" s="230"/>
      <c r="J13" s="607"/>
      <c r="K13" s="605"/>
      <c r="L13" s="230"/>
      <c r="M13" s="607"/>
      <c r="N13" s="605"/>
      <c r="O13" s="230"/>
      <c r="P13" s="607"/>
      <c r="Q13" s="605"/>
      <c r="R13" s="230"/>
      <c r="S13" s="607" t="e">
        <v>#DIV/0!</v>
      </c>
      <c r="T13" s="605"/>
      <c r="U13" s="230"/>
      <c r="V13" s="607"/>
      <c r="W13" s="605"/>
      <c r="X13" s="230"/>
      <c r="Y13" s="607"/>
      <c r="Z13" s="605"/>
      <c r="AA13" s="230"/>
      <c r="AB13" s="607"/>
      <c r="AC13" s="605"/>
      <c r="AD13" s="230"/>
      <c r="AE13" s="607"/>
      <c r="AF13" s="605"/>
      <c r="AG13" s="230"/>
      <c r="AH13" s="607"/>
      <c r="AI13" s="605"/>
      <c r="AJ13" s="230"/>
      <c r="AK13" s="607"/>
      <c r="AL13" s="605"/>
      <c r="AM13" s="230"/>
      <c r="AN13" s="607"/>
      <c r="AO13" s="605"/>
      <c r="AP13" s="230"/>
      <c r="AQ13" s="607"/>
      <c r="AR13" s="605"/>
    </row>
    <row r="14" spans="1:44">
      <c r="A14" s="796"/>
      <c r="B14" s="797" t="s">
        <v>1288</v>
      </c>
      <c r="C14" s="230"/>
      <c r="D14" s="607"/>
      <c r="E14" s="605">
        <f>C14*D14</f>
        <v>0</v>
      </c>
      <c r="F14" s="230">
        <v>317390.70000000019</v>
      </c>
      <c r="G14" s="607">
        <v>3.0603917930067264E-2</v>
      </c>
      <c r="H14" s="605">
        <f>F14*G14</f>
        <v>9713.398934566605</v>
      </c>
      <c r="I14" s="230"/>
      <c r="J14" s="607"/>
      <c r="K14" s="605">
        <f>I14*J14</f>
        <v>0</v>
      </c>
      <c r="L14" s="230">
        <v>507274.86999999988</v>
      </c>
      <c r="M14" s="607">
        <v>3.5864807546509225E-2</v>
      </c>
      <c r="N14" s="605">
        <v>18193.315585730481</v>
      </c>
      <c r="O14" s="230"/>
      <c r="P14" s="607"/>
      <c r="Q14" s="605"/>
      <c r="R14" s="230">
        <v>408958.22</v>
      </c>
      <c r="S14" s="607">
        <v>3.9938795745680739E-2</v>
      </c>
      <c r="T14" s="605">
        <v>16333.298817097166</v>
      </c>
      <c r="U14" s="230">
        <v>507274.86999999988</v>
      </c>
      <c r="V14" s="607">
        <v>4.2234001844106209E-2</v>
      </c>
      <c r="W14" s="605">
        <v>21424.247795048734</v>
      </c>
      <c r="X14" s="230">
        <v>461507.19999999995</v>
      </c>
      <c r="Y14" s="607">
        <v>4.236681349385709E-2</v>
      </c>
      <c r="Z14" s="605">
        <v>19552.589468472201</v>
      </c>
      <c r="AA14" s="230">
        <v>461507.19999999995</v>
      </c>
      <c r="AB14" s="607">
        <v>4.4954278130794063E-2</v>
      </c>
      <c r="AC14" s="605">
        <v>20746.723028164</v>
      </c>
      <c r="AD14" s="230">
        <v>227314</v>
      </c>
      <c r="AE14" s="604">
        <v>4.2970000000000001E-2</v>
      </c>
      <c r="AF14" s="605">
        <v>9767.6825800000006</v>
      </c>
      <c r="AG14" s="230">
        <v>234193.19999999995</v>
      </c>
      <c r="AH14" s="903">
        <v>4.6880270000000002E-2</v>
      </c>
      <c r="AI14" s="605">
        <v>10979.040448163998</v>
      </c>
      <c r="AJ14" s="230">
        <v>461507.19999999995</v>
      </c>
      <c r="AK14" s="607">
        <v>4.7950798954190486E-2</v>
      </c>
      <c r="AL14" s="605">
        <v>22129.638963111378</v>
      </c>
      <c r="AM14" s="230">
        <v>227314</v>
      </c>
      <c r="AN14" s="607">
        <v>4.6880270000000002E-2</v>
      </c>
      <c r="AO14" s="605">
        <v>10656.54169478</v>
      </c>
      <c r="AP14" s="230">
        <v>234193.19999999995</v>
      </c>
      <c r="AQ14" s="903">
        <v>4.8989882149999997E-2</v>
      </c>
      <c r="AR14" s="605">
        <v>11473.097268331378</v>
      </c>
    </row>
    <row r="15" spans="1:44">
      <c r="A15" s="606"/>
      <c r="B15" s="798" t="s">
        <v>1722</v>
      </c>
      <c r="C15" s="230"/>
      <c r="D15" s="607"/>
      <c r="E15" s="605">
        <f>C15*D15</f>
        <v>0</v>
      </c>
      <c r="F15" s="230">
        <v>55914.58</v>
      </c>
      <c r="G15" s="607">
        <v>1.7916324865535967E-2</v>
      </c>
      <c r="H15" s="605">
        <f>F15*G15</f>
        <v>1001.7837800000001</v>
      </c>
      <c r="I15" s="230"/>
      <c r="J15" s="607"/>
      <c r="K15" s="605">
        <f>I15*J15</f>
        <v>0</v>
      </c>
      <c r="L15" s="230">
        <v>53634.13</v>
      </c>
      <c r="M15" s="607">
        <v>1.9809999999999998E-2</v>
      </c>
      <c r="N15" s="605">
        <v>1041.92579</v>
      </c>
      <c r="O15" s="230"/>
      <c r="P15" s="607"/>
      <c r="Q15" s="605"/>
      <c r="R15" s="230">
        <v>50560.13</v>
      </c>
      <c r="S15" s="607">
        <v>2.4040294002408619E-2</v>
      </c>
      <c r="T15" s="605">
        <v>1215.4803899999999</v>
      </c>
      <c r="U15" s="230">
        <v>53634.13</v>
      </c>
      <c r="V15" s="607">
        <v>2.8788063094753215E-2</v>
      </c>
      <c r="W15" s="605">
        <v>1544.0227184721962</v>
      </c>
      <c r="X15" s="230">
        <v>53634.13</v>
      </c>
      <c r="Y15" s="607">
        <v>2.9381704745166961E-2</v>
      </c>
      <c r="Z15" s="605">
        <v>1575.8621719239015</v>
      </c>
      <c r="AA15" s="230">
        <v>53634.13</v>
      </c>
      <c r="AB15" s="607">
        <v>3.2359772679817864E-2</v>
      </c>
      <c r="AC15" s="605">
        <v>1735.5882546797998</v>
      </c>
      <c r="AD15" s="230">
        <v>28970</v>
      </c>
      <c r="AE15" s="604">
        <v>3.1059999999999997E-2</v>
      </c>
      <c r="AF15" s="605">
        <v>899.80819999999994</v>
      </c>
      <c r="AG15" s="230">
        <v>24664.129999999997</v>
      </c>
      <c r="AH15" s="903">
        <v>3.3886459999999993E-2</v>
      </c>
      <c r="AI15" s="605">
        <v>835.78005467979972</v>
      </c>
      <c r="AJ15" s="230">
        <v>53634.13</v>
      </c>
      <c r="AK15" s="607">
        <v>3.4587694502369863E-2</v>
      </c>
      <c r="AL15" s="605">
        <v>1855.0809033403905</v>
      </c>
      <c r="AM15" s="230">
        <v>28970</v>
      </c>
      <c r="AN15" s="607">
        <v>3.3886459999999993E-2</v>
      </c>
      <c r="AO15" s="605">
        <v>981.69074619999981</v>
      </c>
      <c r="AP15" s="230">
        <v>24664.129999999997</v>
      </c>
      <c r="AQ15" s="903">
        <v>3.541135069999999E-2</v>
      </c>
      <c r="AR15" s="605">
        <v>873.39015714039067</v>
      </c>
    </row>
    <row r="16" spans="1:44">
      <c r="A16" s="600" t="s">
        <v>896</v>
      </c>
      <c r="B16" s="601" t="s">
        <v>1158</v>
      </c>
      <c r="C16" s="602">
        <f>C17</f>
        <v>0</v>
      </c>
      <c r="D16" s="896">
        <f t="shared" ref="D16:AR16" si="0">D17</f>
        <v>0</v>
      </c>
      <c r="E16" s="605">
        <f t="shared" si="0"/>
        <v>0</v>
      </c>
      <c r="F16" s="602">
        <f t="shared" si="0"/>
        <v>126023</v>
      </c>
      <c r="G16" s="603">
        <f t="shared" si="0"/>
        <v>3.0603917930067264E-2</v>
      </c>
      <c r="H16" s="605">
        <f t="shared" si="0"/>
        <v>3856.7975493008666</v>
      </c>
      <c r="I16" s="602">
        <f t="shared" si="0"/>
        <v>0</v>
      </c>
      <c r="J16" s="896">
        <f t="shared" si="0"/>
        <v>0</v>
      </c>
      <c r="K16" s="605">
        <f t="shared" si="0"/>
        <v>0</v>
      </c>
      <c r="L16" s="602">
        <v>126023</v>
      </c>
      <c r="M16" s="603">
        <v>3.5864807546509225E-2</v>
      </c>
      <c r="N16" s="605">
        <v>4519.7906414337322</v>
      </c>
      <c r="O16" s="602">
        <v>126023</v>
      </c>
      <c r="P16" s="607">
        <v>3.9746400000000001E-2</v>
      </c>
      <c r="Q16" s="605">
        <v>5008.9605671999998</v>
      </c>
      <c r="R16" s="230">
        <v>84414</v>
      </c>
      <c r="S16" s="603">
        <v>3.9971844674677924E-2</v>
      </c>
      <c r="T16" s="605">
        <v>3371.3935040758938</v>
      </c>
      <c r="U16" s="230">
        <v>126022.99999999999</v>
      </c>
      <c r="V16" s="603">
        <v>4.223399757488424E-2</v>
      </c>
      <c r="W16" s="605">
        <v>5322.455076379636</v>
      </c>
      <c r="X16" s="230">
        <v>84414</v>
      </c>
      <c r="Y16" s="603">
        <v>4.236681349385709E-2</v>
      </c>
      <c r="Z16" s="605">
        <v>3576.3521942704524</v>
      </c>
      <c r="AA16" s="230">
        <v>84414</v>
      </c>
      <c r="AB16" s="603">
        <v>4.4416810090956473E-2</v>
      </c>
      <c r="AC16" s="605">
        <v>3749.4006070179998</v>
      </c>
      <c r="AD16" s="230">
        <v>53180.6</v>
      </c>
      <c r="AE16" s="1388">
        <v>4.2970000000000001E-2</v>
      </c>
      <c r="AF16" s="605">
        <v>2285.1703819999998</v>
      </c>
      <c r="AG16" s="230">
        <v>31233.4</v>
      </c>
      <c r="AH16" s="603">
        <v>4.6880270000000002E-2</v>
      </c>
      <c r="AI16" s="605">
        <v>1464.2302250180001</v>
      </c>
      <c r="AJ16" s="230">
        <v>84414</v>
      </c>
      <c r="AK16" s="603">
        <v>4.7660831993577013E-2</v>
      </c>
      <c r="AL16" s="605">
        <v>4023.2414719058097</v>
      </c>
      <c r="AM16" s="230">
        <v>53180.6</v>
      </c>
      <c r="AN16" s="603">
        <v>4.6880270000000002E-2</v>
      </c>
      <c r="AO16" s="605">
        <v>2493.1208867619998</v>
      </c>
      <c r="AP16" s="230">
        <v>31233.4</v>
      </c>
      <c r="AQ16" s="603">
        <v>4.8989882149999997E-2</v>
      </c>
      <c r="AR16" s="605">
        <v>1530.1205851438099</v>
      </c>
    </row>
    <row r="17" spans="1:44" s="181" customFormat="1">
      <c r="A17" s="796"/>
      <c r="B17" s="797" t="s">
        <v>1287</v>
      </c>
      <c r="C17" s="230"/>
      <c r="D17" s="607"/>
      <c r="E17" s="605">
        <f>C17*D17</f>
        <v>0</v>
      </c>
      <c r="F17" s="230">
        <v>126023</v>
      </c>
      <c r="G17" s="607">
        <v>3.0603917930067264E-2</v>
      </c>
      <c r="H17" s="605">
        <f>F17*G17</f>
        <v>3856.7975493008666</v>
      </c>
      <c r="I17" s="230"/>
      <c r="J17" s="607"/>
      <c r="K17" s="605">
        <f>I17*J17</f>
        <v>0</v>
      </c>
      <c r="L17" s="230">
        <v>126023</v>
      </c>
      <c r="M17" s="607">
        <v>3.5864807546509225E-2</v>
      </c>
      <c r="N17" s="605">
        <v>4519.7906414337322</v>
      </c>
      <c r="O17" s="230"/>
      <c r="P17" s="607"/>
      <c r="Q17" s="605">
        <v>0</v>
      </c>
      <c r="R17" s="230">
        <v>84414</v>
      </c>
      <c r="S17" s="607">
        <v>3.9971844674677924E-2</v>
      </c>
      <c r="T17" s="605">
        <v>3371.3935040758938</v>
      </c>
      <c r="U17" s="230">
        <v>126022.99999999999</v>
      </c>
      <c r="V17" s="607">
        <v>4.223399757488424E-2</v>
      </c>
      <c r="W17" s="605">
        <v>5322.455076379636</v>
      </c>
      <c r="X17" s="230">
        <v>84414</v>
      </c>
      <c r="Y17" s="607">
        <v>4.236681349385709E-2</v>
      </c>
      <c r="Z17" s="605">
        <v>3576.3521942704524</v>
      </c>
      <c r="AA17" s="230">
        <v>84414</v>
      </c>
      <c r="AB17" s="607">
        <v>4.4416810090956473E-2</v>
      </c>
      <c r="AC17" s="605">
        <v>3749.4006070179998</v>
      </c>
      <c r="AD17" s="230">
        <v>53180.6</v>
      </c>
      <c r="AE17" s="604">
        <v>4.2970000000000001E-2</v>
      </c>
      <c r="AF17" s="605">
        <v>2285.1703819999998</v>
      </c>
      <c r="AG17" s="230">
        <v>31233.4</v>
      </c>
      <c r="AH17" s="903">
        <v>4.6880270000000002E-2</v>
      </c>
      <c r="AI17" s="605">
        <v>1464.2302250180001</v>
      </c>
      <c r="AJ17" s="230">
        <v>84414</v>
      </c>
      <c r="AK17" s="607">
        <v>4.7660831993577013E-2</v>
      </c>
      <c r="AL17" s="605">
        <v>4023.2414719058097</v>
      </c>
      <c r="AM17" s="230">
        <v>53180.6</v>
      </c>
      <c r="AN17" s="607">
        <v>4.6880270000000002E-2</v>
      </c>
      <c r="AO17" s="605">
        <v>2493.1208867619998</v>
      </c>
      <c r="AP17" s="230">
        <v>31233.4</v>
      </c>
      <c r="AQ17" s="903">
        <v>4.8989882149999997E-2</v>
      </c>
      <c r="AR17" s="605">
        <v>1530.1205851438099</v>
      </c>
    </row>
    <row r="18" spans="1:44" ht="25.5">
      <c r="A18" s="597" t="s">
        <v>897</v>
      </c>
      <c r="B18" s="799" t="s">
        <v>1289</v>
      </c>
      <c r="C18" s="248"/>
      <c r="D18" s="599"/>
      <c r="E18" s="605">
        <f t="shared" ref="E18" si="1">C18*D18</f>
        <v>0</v>
      </c>
      <c r="F18" s="248">
        <v>964225</v>
      </c>
      <c r="G18" s="599">
        <v>3.0603917930067264E-2</v>
      </c>
      <c r="H18" s="605">
        <f t="shared" ref="H18" si="2">F18*G18</f>
        <v>29509.062766119107</v>
      </c>
      <c r="I18" s="248"/>
      <c r="J18" s="599"/>
      <c r="K18" s="605">
        <f t="shared" ref="K18" si="3">I18*J18</f>
        <v>0</v>
      </c>
      <c r="L18" s="230">
        <v>902255.23</v>
      </c>
      <c r="M18" s="607">
        <v>3.5864807546509225E-2</v>
      </c>
      <c r="N18" s="605">
        <v>32359.210181781415</v>
      </c>
      <c r="O18" s="248"/>
      <c r="P18" s="607"/>
      <c r="Q18" s="605">
        <v>0</v>
      </c>
      <c r="R18" s="230">
        <v>807653.35000000009</v>
      </c>
      <c r="S18" s="607">
        <v>3.9971844674677924E-2</v>
      </c>
      <c r="T18" s="605">
        <v>32256.702178964799</v>
      </c>
      <c r="U18" s="230"/>
      <c r="V18" s="607">
        <v>0</v>
      </c>
      <c r="W18" s="605">
        <v>0</v>
      </c>
      <c r="X18" s="230">
        <v>861750.8</v>
      </c>
      <c r="Y18" s="607">
        <v>4.236681349385709E-2</v>
      </c>
      <c r="Z18" s="605">
        <v>36509.635421782143</v>
      </c>
      <c r="AA18" s="230">
        <v>861750.8</v>
      </c>
      <c r="AB18" s="607">
        <v>4.4654366303789918E-2</v>
      </c>
      <c r="AC18" s="605">
        <v>38472.318377784002</v>
      </c>
      <c r="AD18" s="230">
        <v>492751.6</v>
      </c>
      <c r="AE18" s="604">
        <v>4.2970000000000001E-2</v>
      </c>
      <c r="AF18" s="605">
        <v>21173.536251999998</v>
      </c>
      <c r="AG18" s="230">
        <v>368999.2</v>
      </c>
      <c r="AH18" s="903">
        <v>4.6880270000000002E-2</v>
      </c>
      <c r="AI18" s="605">
        <v>17298.782125784001</v>
      </c>
      <c r="AJ18" s="230">
        <v>861750.8</v>
      </c>
      <c r="AK18" s="607">
        <v>4.7793599820709513E-2</v>
      </c>
      <c r="AL18" s="605">
        <v>41177.555372376279</v>
      </c>
      <c r="AM18" s="230">
        <v>492751.6</v>
      </c>
      <c r="AN18" s="607">
        <v>4.6880270000000002E-2</v>
      </c>
      <c r="AO18" s="605">
        <v>23100.328050931999</v>
      </c>
      <c r="AP18" s="230">
        <v>368999.2</v>
      </c>
      <c r="AQ18" s="903">
        <v>4.8989882149999997E-2</v>
      </c>
      <c r="AR18" s="605">
        <v>18077.227321444279</v>
      </c>
    </row>
    <row r="19" spans="1:44" s="249" customFormat="1" ht="18.75" customHeight="1">
      <c r="A19" s="597" t="s">
        <v>1036</v>
      </c>
      <c r="B19" s="800" t="s">
        <v>1159</v>
      </c>
      <c r="C19" s="800">
        <f t="shared" ref="C19:AR19" si="4">C20</f>
        <v>0</v>
      </c>
      <c r="D19" s="801">
        <f t="shared" si="4"/>
        <v>0</v>
      </c>
      <c r="E19" s="605">
        <f t="shared" si="4"/>
        <v>0</v>
      </c>
      <c r="F19" s="800">
        <f t="shared" si="4"/>
        <v>757622</v>
      </c>
      <c r="G19" s="1095">
        <f t="shared" si="4"/>
        <v>3.0603918031671649E-2</v>
      </c>
      <c r="H19" s="605">
        <f t="shared" si="4"/>
        <v>23186.201586991137</v>
      </c>
      <c r="I19" s="800">
        <f t="shared" si="4"/>
        <v>0</v>
      </c>
      <c r="J19" s="801">
        <f t="shared" si="4"/>
        <v>0</v>
      </c>
      <c r="K19" s="605">
        <f t="shared" si="4"/>
        <v>0</v>
      </c>
      <c r="L19" s="800">
        <v>653453.69999999995</v>
      </c>
      <c r="M19" s="1095">
        <v>3.5864807546509225E-2</v>
      </c>
      <c r="N19" s="605">
        <v>23435.991191054374</v>
      </c>
      <c r="O19" s="800">
        <v>0</v>
      </c>
      <c r="P19" s="1095"/>
      <c r="Q19" s="605">
        <v>0</v>
      </c>
      <c r="R19" s="800">
        <v>635359.42999999993</v>
      </c>
      <c r="S19" s="1095">
        <v>3.9971844674677924E-2</v>
      </c>
      <c r="T19" s="605">
        <v>25375.490499862135</v>
      </c>
      <c r="U19" s="800"/>
      <c r="V19" s="607">
        <v>0</v>
      </c>
      <c r="W19" s="605">
        <v>0</v>
      </c>
      <c r="X19" s="800">
        <v>653218</v>
      </c>
      <c r="Y19" s="607">
        <v>4.236681349385709E-2</v>
      </c>
      <c r="Z19" s="605">
        <v>27674.76517683034</v>
      </c>
      <c r="AA19" s="800">
        <v>653218</v>
      </c>
      <c r="AB19" s="1095">
        <v>4.4874626855460203E-2</v>
      </c>
      <c r="AC19" s="605">
        <v>29306.38182527</v>
      </c>
      <c r="AD19" s="800">
        <v>336717</v>
      </c>
      <c r="AE19" s="604">
        <v>4.2970000000000001E-2</v>
      </c>
      <c r="AF19" s="605">
        <v>14468.72949</v>
      </c>
      <c r="AG19" s="800">
        <v>316501</v>
      </c>
      <c r="AH19" s="903">
        <v>4.6880270000000002E-2</v>
      </c>
      <c r="AI19" s="605">
        <v>14837.652335270001</v>
      </c>
      <c r="AJ19" s="800">
        <v>653218</v>
      </c>
      <c r="AK19" s="1095">
        <v>4.7912431598558451E-2</v>
      </c>
      <c r="AL19" s="605">
        <v>31290.730563947152</v>
      </c>
      <c r="AM19" s="800">
        <v>336717</v>
      </c>
      <c r="AN19" s="607">
        <v>4.6880270000000002E-2</v>
      </c>
      <c r="AO19" s="605">
        <v>15785.383873590001</v>
      </c>
      <c r="AP19" s="800">
        <v>316501</v>
      </c>
      <c r="AQ19" s="903">
        <v>4.8989882149999997E-2</v>
      </c>
      <c r="AR19" s="605">
        <v>15505.34669035715</v>
      </c>
    </row>
    <row r="20" spans="1:44" ht="25.5">
      <c r="A20" s="606"/>
      <c r="B20" s="802" t="s">
        <v>1290</v>
      </c>
      <c r="C20" s="230"/>
      <c r="D20" s="604"/>
      <c r="E20" s="605">
        <f>C20*D20</f>
        <v>0</v>
      </c>
      <c r="F20" s="230">
        <v>757622</v>
      </c>
      <c r="G20" s="604">
        <v>3.0603918031671649E-2</v>
      </c>
      <c r="H20" s="605">
        <f>F20*G20</f>
        <v>23186.201586991137</v>
      </c>
      <c r="I20" s="230"/>
      <c r="J20" s="604"/>
      <c r="K20" s="605">
        <f>I20*J20</f>
        <v>0</v>
      </c>
      <c r="L20" s="230">
        <v>653453.69999999995</v>
      </c>
      <c r="M20" s="607">
        <v>3.5864807546509225E-2</v>
      </c>
      <c r="N20" s="605">
        <v>23435.991191054374</v>
      </c>
      <c r="O20" s="230"/>
      <c r="P20" s="607"/>
      <c r="Q20" s="605">
        <v>0</v>
      </c>
      <c r="R20" s="230">
        <v>635359.42999999993</v>
      </c>
      <c r="S20" s="607">
        <v>3.9971844674677924E-2</v>
      </c>
      <c r="T20" s="605">
        <v>25375.490499862135</v>
      </c>
      <c r="U20" s="230"/>
      <c r="V20" s="607">
        <v>0</v>
      </c>
      <c r="W20" s="605">
        <v>0</v>
      </c>
      <c r="X20" s="230">
        <v>653218</v>
      </c>
      <c r="Y20" s="607">
        <v>4.236681349385709E-2</v>
      </c>
      <c r="Z20" s="605">
        <v>27674.76517683034</v>
      </c>
      <c r="AA20" s="230">
        <v>653218</v>
      </c>
      <c r="AB20" s="607">
        <v>4.4874626855460203E-2</v>
      </c>
      <c r="AC20" s="605">
        <v>29306.38182527</v>
      </c>
      <c r="AD20" s="800">
        <v>336717</v>
      </c>
      <c r="AE20" s="604">
        <v>4.2970000000000001E-2</v>
      </c>
      <c r="AF20" s="605">
        <v>14468.72949</v>
      </c>
      <c r="AG20" s="800">
        <v>316501</v>
      </c>
      <c r="AH20" s="903">
        <v>4.6880270000000002E-2</v>
      </c>
      <c r="AI20" s="605">
        <v>14837.652335270001</v>
      </c>
      <c r="AJ20" s="230">
        <v>653218</v>
      </c>
      <c r="AK20" s="607">
        <v>4.7912431598558451E-2</v>
      </c>
      <c r="AL20" s="605">
        <v>31290.730563947152</v>
      </c>
      <c r="AM20" s="800">
        <v>336717</v>
      </c>
      <c r="AN20" s="607">
        <v>4.6880270000000002E-2</v>
      </c>
      <c r="AO20" s="605">
        <v>15785.383873590001</v>
      </c>
      <c r="AP20" s="800">
        <v>316501</v>
      </c>
      <c r="AQ20" s="903">
        <v>4.8989882149999997E-2</v>
      </c>
      <c r="AR20" s="605">
        <v>15505.34669035715</v>
      </c>
    </row>
    <row r="22" spans="1:44">
      <c r="R22" s="181">
        <f>T22/S22</f>
        <v>315207.30069487542</v>
      </c>
      <c r="S22" s="242">
        <v>3.9938795745680739E-2</v>
      </c>
      <c r="T22" s="242">
        <v>12589</v>
      </c>
    </row>
  </sheetData>
  <mergeCells count="18">
    <mergeCell ref="A2:B2"/>
    <mergeCell ref="A3:AI3"/>
    <mergeCell ref="A5:A7"/>
    <mergeCell ref="B5:B7"/>
    <mergeCell ref="C5:E5"/>
    <mergeCell ref="F5:H5"/>
    <mergeCell ref="I5:K5"/>
    <mergeCell ref="L5:N5"/>
    <mergeCell ref="AA5:AC5"/>
    <mergeCell ref="AD5:AF5"/>
    <mergeCell ref="AG5:AI5"/>
    <mergeCell ref="O5:Q5"/>
    <mergeCell ref="R5:T5"/>
    <mergeCell ref="U5:W5"/>
    <mergeCell ref="X5:Z5"/>
    <mergeCell ref="AJ5:AL5"/>
    <mergeCell ref="AM5:AO5"/>
    <mergeCell ref="AP5:AR5"/>
  </mergeCells>
  <pageMargins left="0.23622047244094491" right="0.23622047244094491" top="0.31496062992125984" bottom="0.23622047244094491" header="0.23622047244094491" footer="0.15748031496062992"/>
  <pageSetup paperSize="9" scale="55" orientation="landscape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R78"/>
  <sheetViews>
    <sheetView view="pageBreakPreview" zoomScaleNormal="100" zoomScaleSheetLayoutView="100" workbookViewId="0">
      <pane xSplit="2" ySplit="5" topLeftCell="C6" activePane="bottomRight" state="frozen"/>
      <selection activeCell="J47" sqref="J47"/>
      <selection pane="topRight" activeCell="J47" sqref="J47"/>
      <selection pane="bottomLeft" activeCell="J47" sqref="J47"/>
      <selection pane="bottomRight" activeCell="M66" sqref="M66"/>
    </sheetView>
  </sheetViews>
  <sheetFormatPr defaultColWidth="2.85546875" defaultRowHeight="15"/>
  <cols>
    <col min="1" max="1" width="6.42578125" style="1" customWidth="1"/>
    <col min="2" max="2" width="36.42578125" style="1" customWidth="1"/>
    <col min="3" max="3" width="11.140625" style="21" customWidth="1"/>
    <col min="4" max="4" width="12.140625" style="1" hidden="1" customWidth="1"/>
    <col min="5" max="5" width="13.140625" style="1" hidden="1" customWidth="1"/>
    <col min="6" max="6" width="13" style="1" customWidth="1"/>
    <col min="7" max="11" width="12.28515625" style="1" customWidth="1"/>
    <col min="12" max="12" width="16" style="1" customWidth="1"/>
    <col min="13" max="13" width="12.5703125" style="1" customWidth="1"/>
    <col min="14" max="14" width="12.7109375" style="1" customWidth="1"/>
    <col min="15" max="15" width="12.85546875" style="1" customWidth="1"/>
    <col min="16" max="16" width="12.28515625" style="1" customWidth="1"/>
    <col min="17" max="93" width="11.140625" style="1" customWidth="1"/>
    <col min="94" max="16384" width="2.85546875" style="1"/>
  </cols>
  <sheetData>
    <row r="1" spans="1:18" s="5" customFormat="1" ht="18" customHeight="1">
      <c r="A1" s="74" t="s">
        <v>1860</v>
      </c>
      <c r="C1" s="20"/>
      <c r="M1" s="6"/>
      <c r="N1" s="6"/>
      <c r="O1" s="6" t="s">
        <v>1060</v>
      </c>
      <c r="R1" s="6"/>
    </row>
    <row r="2" spans="1:18" s="5" customFormat="1" ht="15.75" customHeight="1">
      <c r="A2" s="105" t="str">
        <f>'4.1 (свод)'!A2</f>
        <v>КТЭЦ + котельные СВОД</v>
      </c>
      <c r="C2" s="20"/>
    </row>
    <row r="3" spans="1:18" ht="18.75">
      <c r="A3" s="1877" t="s">
        <v>1162</v>
      </c>
      <c r="B3" s="1877"/>
      <c r="C3" s="1877"/>
      <c r="D3" s="1877"/>
      <c r="E3" s="1877"/>
      <c r="F3" s="1877"/>
      <c r="G3" s="1877"/>
      <c r="H3" s="1877"/>
      <c r="I3" s="1877"/>
      <c r="J3" s="1877"/>
      <c r="K3" s="1877"/>
      <c r="L3" s="1877"/>
      <c r="M3" s="1877"/>
      <c r="N3" s="1877"/>
      <c r="O3" s="1877"/>
    </row>
    <row r="4" spans="1:18" ht="12.75" customHeight="1"/>
    <row r="5" spans="1:18" s="3" customFormat="1" ht="60" customHeight="1">
      <c r="A5" s="542" t="s">
        <v>451</v>
      </c>
      <c r="B5" s="542" t="s">
        <v>1</v>
      </c>
      <c r="C5" s="542" t="s">
        <v>2</v>
      </c>
      <c r="D5" s="540" t="s">
        <v>1129</v>
      </c>
      <c r="E5" s="540" t="s">
        <v>1130</v>
      </c>
      <c r="F5" s="540" t="s">
        <v>1131</v>
      </c>
      <c r="G5" s="1284" t="s">
        <v>1695</v>
      </c>
      <c r="H5" s="1284" t="s">
        <v>1696</v>
      </c>
      <c r="I5" s="1661" t="s">
        <v>1882</v>
      </c>
      <c r="J5" s="1576" t="s">
        <v>1828</v>
      </c>
      <c r="K5" s="1576" t="s">
        <v>1833</v>
      </c>
      <c r="L5" s="1631" t="s">
        <v>1861</v>
      </c>
      <c r="M5" s="1631" t="s">
        <v>1862</v>
      </c>
      <c r="N5" s="1631" t="s">
        <v>763</v>
      </c>
      <c r="O5" s="1631" t="s">
        <v>764</v>
      </c>
      <c r="P5" s="1631" t="s">
        <v>1863</v>
      </c>
      <c r="Q5" s="1631" t="s">
        <v>763</v>
      </c>
      <c r="R5" s="1631" t="s">
        <v>764</v>
      </c>
    </row>
    <row r="6" spans="1:18" s="2" customFormat="1">
      <c r="A6" s="13">
        <v>1</v>
      </c>
      <c r="B6" s="13">
        <v>2</v>
      </c>
      <c r="C6" s="13">
        <v>3</v>
      </c>
      <c r="D6" s="13">
        <v>4</v>
      </c>
      <c r="E6" s="13">
        <v>5</v>
      </c>
      <c r="F6" s="13">
        <v>4</v>
      </c>
      <c r="G6" s="13">
        <v>5</v>
      </c>
      <c r="H6" s="13">
        <v>6</v>
      </c>
      <c r="I6" s="13"/>
      <c r="J6" s="13">
        <v>7</v>
      </c>
      <c r="K6" s="13">
        <v>8</v>
      </c>
      <c r="L6" s="13">
        <v>9</v>
      </c>
      <c r="M6" s="13">
        <v>10</v>
      </c>
      <c r="N6" s="13">
        <v>11</v>
      </c>
      <c r="O6" s="13">
        <v>12</v>
      </c>
      <c r="P6" s="13">
        <v>13</v>
      </c>
      <c r="Q6" s="13">
        <v>14</v>
      </c>
      <c r="R6" s="13">
        <v>15</v>
      </c>
    </row>
    <row r="7" spans="1:18" s="36" customFormat="1" ht="15" customHeight="1">
      <c r="A7" s="60" t="s">
        <v>4</v>
      </c>
      <c r="B7" s="61" t="s">
        <v>452</v>
      </c>
      <c r="C7" s="8" t="s">
        <v>453</v>
      </c>
      <c r="D7" s="254"/>
      <c r="E7" s="254"/>
      <c r="F7" s="254"/>
      <c r="G7" s="254"/>
      <c r="H7" s="254"/>
      <c r="I7" s="254"/>
      <c r="J7" s="254"/>
      <c r="K7" s="254"/>
      <c r="L7" s="254"/>
      <c r="M7" s="254"/>
      <c r="N7" s="254"/>
      <c r="O7" s="254"/>
      <c r="P7" s="254"/>
      <c r="Q7" s="254"/>
      <c r="R7" s="254"/>
    </row>
    <row r="8" spans="1:18" s="36" customFormat="1" ht="15" customHeight="1">
      <c r="A8" s="60" t="s">
        <v>5</v>
      </c>
      <c r="B8" s="61" t="s">
        <v>454</v>
      </c>
      <c r="C8" s="8" t="s">
        <v>453</v>
      </c>
      <c r="D8" s="255">
        <f>'4.9_пр-во (свод)'!D8+'4.9_транзит (свод)'!D8+'4.9_сбыт (свод)'!D8</f>
        <v>0</v>
      </c>
      <c r="E8" s="255">
        <f>'4.9_пр-во (свод)'!E8+'4.9_транзит (свод)'!E8+'4.9_сбыт (свод)'!E8</f>
        <v>2303.15</v>
      </c>
      <c r="F8" s="255">
        <v>2342.2620970563539</v>
      </c>
      <c r="G8" s="255">
        <v>2303.15</v>
      </c>
      <c r="H8" s="255">
        <v>0</v>
      </c>
      <c r="I8" s="255"/>
      <c r="J8" s="255">
        <v>2303.15</v>
      </c>
      <c r="K8" s="255"/>
      <c r="L8" s="255">
        <v>2486.35</v>
      </c>
      <c r="M8" s="255">
        <v>2486.35</v>
      </c>
      <c r="N8" s="255">
        <v>2486.35</v>
      </c>
      <c r="O8" s="255">
        <v>2486.35</v>
      </c>
      <c r="P8" s="255">
        <v>2669.55</v>
      </c>
      <c r="Q8" s="255">
        <v>2669.55</v>
      </c>
      <c r="R8" s="255">
        <v>2669.55</v>
      </c>
    </row>
    <row r="9" spans="1:18" s="36" customFormat="1" ht="15" customHeight="1">
      <c r="A9" s="60"/>
      <c r="B9" s="61" t="s">
        <v>455</v>
      </c>
      <c r="C9" s="8" t="s">
        <v>453</v>
      </c>
      <c r="D9" s="255"/>
      <c r="E9" s="255"/>
      <c r="F9" s="255"/>
      <c r="G9" s="255"/>
      <c r="H9" s="255"/>
      <c r="I9" s="255"/>
      <c r="J9" s="255"/>
      <c r="K9" s="255"/>
      <c r="L9" s="255"/>
      <c r="M9" s="255"/>
      <c r="N9" s="255"/>
      <c r="O9" s="255"/>
      <c r="P9" s="255"/>
      <c r="Q9" s="255"/>
      <c r="R9" s="255"/>
    </row>
    <row r="10" spans="1:18" s="36" customFormat="1" ht="15" customHeight="1">
      <c r="A10" s="60" t="s">
        <v>11</v>
      </c>
      <c r="B10" s="61" t="s">
        <v>456</v>
      </c>
      <c r="C10" s="8" t="s">
        <v>453</v>
      </c>
      <c r="D10" s="255">
        <f>'4.9_пр-во (свод)'!D10+'4.9_транзит (свод)'!D10+'4.9_сбыт (свод)'!D10</f>
        <v>0</v>
      </c>
      <c r="E10" s="255">
        <f>'4.9_пр-во (свод)'!E10+'4.9_транзит (свод)'!E10+'4.9_сбыт (свод)'!E10</f>
        <v>2024.85</v>
      </c>
      <c r="F10" s="255">
        <v>1967.2326197751445</v>
      </c>
      <c r="G10" s="255">
        <v>2024.85</v>
      </c>
      <c r="H10" s="255">
        <v>0</v>
      </c>
      <c r="I10" s="255"/>
      <c r="J10" s="255">
        <v>2024.85</v>
      </c>
      <c r="K10" s="255"/>
      <c r="L10" s="255">
        <v>2208.0499999999997</v>
      </c>
      <c r="M10" s="255">
        <v>2208.0499999999997</v>
      </c>
      <c r="N10" s="255">
        <v>2208.0499999999997</v>
      </c>
      <c r="O10" s="255">
        <v>2208.0499999999997</v>
      </c>
      <c r="P10" s="255">
        <v>2391.25</v>
      </c>
      <c r="Q10" s="255">
        <v>2391.25</v>
      </c>
      <c r="R10" s="255">
        <v>2391.25</v>
      </c>
    </row>
    <row r="11" spans="1:18" s="36" customFormat="1" ht="15" customHeight="1">
      <c r="A11" s="60"/>
      <c r="B11" s="61" t="s">
        <v>457</v>
      </c>
      <c r="C11" s="8" t="s">
        <v>453</v>
      </c>
      <c r="D11" s="255"/>
      <c r="E11" s="255"/>
      <c r="F11" s="255"/>
      <c r="G11" s="255"/>
      <c r="H11" s="255"/>
      <c r="I11" s="255"/>
      <c r="J11" s="255"/>
      <c r="K11" s="255"/>
      <c r="L11" s="255"/>
      <c r="M11" s="255"/>
      <c r="N11" s="255"/>
      <c r="O11" s="255"/>
      <c r="P11" s="255"/>
      <c r="Q11" s="255"/>
      <c r="R11" s="255"/>
    </row>
    <row r="12" spans="1:18" s="36" customFormat="1" ht="15" customHeight="1">
      <c r="A12" s="60" t="s">
        <v>445</v>
      </c>
      <c r="B12" s="61" t="s">
        <v>458</v>
      </c>
      <c r="C12" s="8" t="s">
        <v>453</v>
      </c>
      <c r="D12" s="255">
        <f>'4.9_пр-во (свод)'!D12+'4.9_транзит (свод)'!D12+'4.9_сбыт (свод)'!D12</f>
        <v>0</v>
      </c>
      <c r="E12" s="255">
        <f>'4.9_пр-во (свод)'!E12+'4.9_транзит (свод)'!E12+'4.9_сбыт (свод)'!E12</f>
        <v>2045.7</v>
      </c>
      <c r="F12" s="255">
        <v>0</v>
      </c>
      <c r="G12" s="255">
        <v>2132.1</v>
      </c>
      <c r="H12" s="255">
        <v>0</v>
      </c>
      <c r="I12" s="255"/>
      <c r="J12" s="255">
        <v>2132.1</v>
      </c>
      <c r="K12" s="255"/>
      <c r="L12" s="255">
        <v>0</v>
      </c>
      <c r="M12" s="255">
        <v>0</v>
      </c>
      <c r="N12" s="255">
        <v>0</v>
      </c>
      <c r="O12" s="255">
        <v>0</v>
      </c>
      <c r="P12" s="255">
        <v>0</v>
      </c>
      <c r="Q12" s="255">
        <v>0</v>
      </c>
      <c r="R12" s="255">
        <v>0</v>
      </c>
    </row>
    <row r="13" spans="1:18" s="36" customFormat="1" ht="15" customHeight="1">
      <c r="A13" s="60"/>
      <c r="B13" s="61" t="s">
        <v>459</v>
      </c>
      <c r="C13" s="8" t="s">
        <v>138</v>
      </c>
      <c r="D13" s="255" t="e">
        <f>D12/D8*100</f>
        <v>#DIV/0!</v>
      </c>
      <c r="E13" s="255">
        <f t="shared" ref="E13:G13" si="0">E12/E8*100</f>
        <v>88.821830970627175</v>
      </c>
      <c r="F13" s="255">
        <v>0</v>
      </c>
      <c r="G13" s="255">
        <v>92.573214944749566</v>
      </c>
      <c r="H13" s="255" t="e">
        <v>#DIV/0!</v>
      </c>
      <c r="I13" s="255"/>
      <c r="J13" s="255">
        <v>92.573214944749566</v>
      </c>
      <c r="K13" s="255"/>
      <c r="L13" s="255">
        <v>0</v>
      </c>
      <c r="M13" s="255">
        <v>0</v>
      </c>
      <c r="N13" s="255">
        <v>0</v>
      </c>
      <c r="O13" s="255">
        <v>0</v>
      </c>
      <c r="P13" s="255">
        <v>0</v>
      </c>
      <c r="Q13" s="255">
        <v>0</v>
      </c>
      <c r="R13" s="255">
        <v>0</v>
      </c>
    </row>
    <row r="14" spans="1:18" s="36" customFormat="1" ht="15" customHeight="1">
      <c r="A14" s="60" t="s">
        <v>446</v>
      </c>
      <c r="B14" s="61" t="s">
        <v>460</v>
      </c>
      <c r="C14" s="8" t="s">
        <v>453</v>
      </c>
      <c r="D14" s="255">
        <f>'4.9_пр-во (свод)'!D14+'4.9_транзит (свод)'!D14+'4.9_сбыт (свод)'!D14</f>
        <v>0</v>
      </c>
      <c r="E14" s="255">
        <f>'4.9_пр-во (свод)'!E14+'4.9_транзит (свод)'!E14+'4.9_сбыт (свод)'!E14</f>
        <v>0</v>
      </c>
      <c r="F14" s="255">
        <v>0</v>
      </c>
      <c r="G14" s="255">
        <v>0</v>
      </c>
      <c r="H14" s="255">
        <v>0</v>
      </c>
      <c r="I14" s="255"/>
      <c r="J14" s="255">
        <v>0</v>
      </c>
      <c r="K14" s="255"/>
      <c r="L14" s="255">
        <v>0</v>
      </c>
      <c r="M14" s="255">
        <v>0</v>
      </c>
      <c r="N14" s="255">
        <v>0</v>
      </c>
      <c r="O14" s="255">
        <v>0</v>
      </c>
      <c r="P14" s="255">
        <v>0</v>
      </c>
      <c r="Q14" s="255">
        <v>0</v>
      </c>
      <c r="R14" s="255">
        <v>0</v>
      </c>
    </row>
    <row r="15" spans="1:18" s="36" customFormat="1" ht="15" customHeight="1">
      <c r="A15" s="60" t="s">
        <v>461</v>
      </c>
      <c r="B15" s="61" t="s">
        <v>462</v>
      </c>
      <c r="C15" s="8" t="s">
        <v>453</v>
      </c>
      <c r="D15" s="948">
        <f>'4.9_пр-во (свод)'!D15+'4.9_транзит (свод)'!D15+'4.9_сбыт (свод)'!D15</f>
        <v>1928.7999999999997</v>
      </c>
      <c r="E15" s="254">
        <f>'4.9_пр-во (свод)'!E15+'4.9_транзит (свод)'!E15+'4.9_сбыт (свод)'!E15</f>
        <v>2045.7</v>
      </c>
      <c r="F15" s="254">
        <v>2019.375</v>
      </c>
      <c r="G15" s="254">
        <v>2046.6</v>
      </c>
      <c r="H15" s="254">
        <v>1999.7</v>
      </c>
      <c r="I15" s="254">
        <v>15.8</v>
      </c>
      <c r="J15" s="254">
        <v>2039.7000000000003</v>
      </c>
      <c r="K15" s="254">
        <v>2053.9</v>
      </c>
      <c r="L15" s="254">
        <v>2053.8000000000002</v>
      </c>
      <c r="M15" s="254">
        <v>2052.8000000000002</v>
      </c>
      <c r="N15" s="254">
        <v>2052.8000000000002</v>
      </c>
      <c r="O15" s="254">
        <v>2052.8000000000002</v>
      </c>
      <c r="P15" s="254">
        <v>2052.8000000000002</v>
      </c>
      <c r="Q15" s="254">
        <v>2052.8000000000002</v>
      </c>
      <c r="R15" s="254">
        <v>2052.8000000000002</v>
      </c>
    </row>
    <row r="16" spans="1:18" s="36" customFormat="1" ht="15" customHeight="1">
      <c r="A16" s="60" t="s">
        <v>23</v>
      </c>
      <c r="B16" s="61" t="s">
        <v>463</v>
      </c>
      <c r="C16" s="8"/>
      <c r="D16" s="66"/>
      <c r="E16" s="66"/>
      <c r="F16" s="66"/>
      <c r="G16" s="66"/>
      <c r="H16" s="66"/>
      <c r="I16" s="66"/>
      <c r="J16" s="66"/>
      <c r="K16" s="66"/>
      <c r="L16" s="66"/>
      <c r="M16" s="66"/>
      <c r="N16" s="66"/>
      <c r="O16" s="66"/>
      <c r="P16" s="66"/>
      <c r="Q16" s="66"/>
      <c r="R16" s="66"/>
    </row>
    <row r="17" spans="1:18" s="36" customFormat="1" ht="15" customHeight="1">
      <c r="A17" s="60" t="s">
        <v>24</v>
      </c>
      <c r="B17" s="61" t="s">
        <v>464</v>
      </c>
      <c r="C17" s="8" t="s">
        <v>465</v>
      </c>
      <c r="D17" s="250">
        <f>'4.9_пр-во (свод)'!D17</f>
        <v>4535.55</v>
      </c>
      <c r="E17" s="250">
        <f>'4.9_пр-во (свод)'!E17</f>
        <v>4896</v>
      </c>
      <c r="F17" s="250">
        <v>5700</v>
      </c>
      <c r="G17" s="250">
        <v>5628</v>
      </c>
      <c r="H17" s="250">
        <v>0</v>
      </c>
      <c r="I17" s="250"/>
      <c r="J17" s="250">
        <v>5778</v>
      </c>
      <c r="K17" s="250">
        <v>6643</v>
      </c>
      <c r="L17" s="250">
        <v>6671</v>
      </c>
      <c r="M17" s="250">
        <v>7248</v>
      </c>
      <c r="N17" s="250">
        <v>7398</v>
      </c>
      <c r="O17" s="250">
        <v>7592</v>
      </c>
      <c r="P17" s="250">
        <v>7745</v>
      </c>
      <c r="Q17" s="250">
        <v>7899</v>
      </c>
      <c r="R17" s="250">
        <v>8105</v>
      </c>
    </row>
    <row r="18" spans="1:18" s="36" customFormat="1" ht="15" customHeight="1">
      <c r="A18" s="60" t="s">
        <v>24</v>
      </c>
      <c r="B18" s="61" t="s">
        <v>466</v>
      </c>
      <c r="C18" s="8"/>
      <c r="D18" s="252">
        <f>'4.9_пр-во (свод)'!D18</f>
        <v>1.071</v>
      </c>
      <c r="E18" s="252">
        <f>'4.9_пр-во (свод)'!E18</f>
        <v>1.0347222222222223</v>
      </c>
      <c r="F18" s="252">
        <v>1</v>
      </c>
      <c r="G18" s="252">
        <v>1.0266524520255864</v>
      </c>
      <c r="H18" s="252"/>
      <c r="I18" s="252"/>
      <c r="J18" s="252">
        <v>1.1545517480096918</v>
      </c>
      <c r="K18" s="252">
        <v>1.0740000000000001</v>
      </c>
      <c r="L18" s="252">
        <v>1.0864937790436215</v>
      </c>
      <c r="M18" s="252">
        <v>1.0685706401766004</v>
      </c>
      <c r="N18" s="252">
        <v>1.0262233035955663</v>
      </c>
      <c r="O18" s="252">
        <v>1.0404373024236038</v>
      </c>
      <c r="P18" s="252">
        <v>1.0589412524209167</v>
      </c>
      <c r="Q18" s="252">
        <v>1.0260792505380427</v>
      </c>
      <c r="R18" s="252">
        <v>1.0238124614435533</v>
      </c>
    </row>
    <row r="19" spans="1:18" s="36" customFormat="1" ht="30" customHeight="1">
      <c r="A19" s="60" t="s">
        <v>139</v>
      </c>
      <c r="B19" s="61" t="s">
        <v>467</v>
      </c>
      <c r="C19" s="8" t="s">
        <v>465</v>
      </c>
      <c r="D19" s="250">
        <f>'4.9_пр-во (свод)'!D19</f>
        <v>4857.5740500000002</v>
      </c>
      <c r="E19" s="250">
        <f>'4.9_пр-во (свод)'!E19</f>
        <v>5066</v>
      </c>
      <c r="F19" s="250">
        <v>5700</v>
      </c>
      <c r="G19" s="250">
        <v>5778</v>
      </c>
      <c r="H19" s="250">
        <v>6328</v>
      </c>
      <c r="I19" s="250">
        <v>6328</v>
      </c>
      <c r="J19" s="250">
        <v>6671</v>
      </c>
      <c r="K19" s="250">
        <v>7135</v>
      </c>
      <c r="L19" s="250">
        <v>7248</v>
      </c>
      <c r="M19" s="250">
        <v>7745</v>
      </c>
      <c r="N19" s="250">
        <v>7592</v>
      </c>
      <c r="O19" s="250">
        <v>7899</v>
      </c>
      <c r="P19" s="250">
        <v>8201.5</v>
      </c>
      <c r="Q19" s="250">
        <v>8105</v>
      </c>
      <c r="R19" s="250">
        <v>8298</v>
      </c>
    </row>
    <row r="20" spans="1:18" s="36" customFormat="1" ht="15" customHeight="1">
      <c r="A20" s="60" t="s">
        <v>433</v>
      </c>
      <c r="B20" s="61" t="s">
        <v>468</v>
      </c>
      <c r="C20" s="8"/>
      <c r="D20" s="251">
        <f>('4.9_пр-во (свод)'!$D$15*'4.9_пр-во (свод)'!D20+'4.9_транзит (свод)'!$D$15*'4.9_транзит (свод)'!D20+'4.9_сбыт (свод)'!$D$15*'4.9_сбыт (свод)'!D20)/'4.9_свод '!$D$15</f>
        <v>7.4010999999999996</v>
      </c>
      <c r="E20" s="251">
        <f>('4.9_пр-во (свод)'!$E$15*'4.9_пр-во (свод)'!E20+'4.9_транзит (свод)'!$E$15*'4.9_транзит (свод)'!E20+'4.9_сбыт (свод)'!$E$15*'4.9_сбыт (свод)'!E20)/'4.9_свод '!$E$15</f>
        <v>7.2416333773280535</v>
      </c>
      <c r="F20" s="251">
        <v>7.2539104536489161</v>
      </c>
      <c r="G20" s="251">
        <v>7.2034269031564548</v>
      </c>
      <c r="H20" s="251">
        <v>7.24</v>
      </c>
      <c r="I20" s="251">
        <v>5.55</v>
      </c>
      <c r="J20" s="251">
        <v>0</v>
      </c>
      <c r="K20" s="251"/>
      <c r="L20" s="251">
        <v>0</v>
      </c>
      <c r="M20" s="251">
        <v>0</v>
      </c>
      <c r="N20" s="251">
        <v>0</v>
      </c>
      <c r="O20" s="251">
        <v>0</v>
      </c>
      <c r="P20" s="251">
        <v>0</v>
      </c>
      <c r="Q20" s="251">
        <v>0</v>
      </c>
      <c r="R20" s="251">
        <v>0</v>
      </c>
    </row>
    <row r="21" spans="1:18" s="36" customFormat="1" ht="30" customHeight="1">
      <c r="A21" s="60" t="s">
        <v>433</v>
      </c>
      <c r="B21" s="61" t="s">
        <v>469</v>
      </c>
      <c r="C21" s="8"/>
      <c r="D21" s="251">
        <f>('4.9_пр-во (свод)'!$D$15*'4.9_пр-во (свод)'!D21+'4.9_транзит (свод)'!$D$15*'4.9_транзит (свод)'!D21+'4.9_сбыт (свод)'!$D$15*'4.9_сбыт (свод)'!D21)/'4.9_свод '!$D$15</f>
        <v>2.0914754000000007</v>
      </c>
      <c r="E21" s="251">
        <f>('4.9_пр-во (свод)'!$E$15*'4.9_пр-во (свод)'!E21+'4.9_транзит (свод)'!$E$15*'4.9_транзит (свод)'!E21+'4.9_сбыт (свод)'!$E$15*'4.9_сбыт (свод)'!E21)/'4.9_свод '!$E$15</f>
        <v>2.1043455540890648</v>
      </c>
      <c r="F21" s="251">
        <v>2.0927489992603552</v>
      </c>
      <c r="G21" s="251">
        <v>2.1085133685136328</v>
      </c>
      <c r="H21" s="251">
        <v>2.1</v>
      </c>
      <c r="I21" s="251">
        <v>1.75</v>
      </c>
      <c r="J21" s="251">
        <v>2.1106700568711081</v>
      </c>
      <c r="K21" s="251"/>
      <c r="L21" s="251">
        <v>2.1354513584574932</v>
      </c>
      <c r="M21" s="251">
        <v>2.1459926149649258</v>
      </c>
      <c r="N21" s="251">
        <v>2.1459926149649258</v>
      </c>
      <c r="O21" s="251">
        <v>2.1459926149649258</v>
      </c>
      <c r="P21" s="251">
        <v>2.1460849473889323</v>
      </c>
      <c r="Q21" s="251">
        <v>2.1460849473889323</v>
      </c>
      <c r="R21" s="251">
        <v>2.1460849473889323</v>
      </c>
    </row>
    <row r="22" spans="1:18" s="36" customFormat="1" ht="15" customHeight="1">
      <c r="A22" s="60" t="s">
        <v>433</v>
      </c>
      <c r="B22" s="61" t="s">
        <v>470</v>
      </c>
      <c r="C22" s="8" t="s">
        <v>465</v>
      </c>
      <c r="D22" s="250">
        <f>('4.9_пр-во (свод)'!$D$15*'4.9_пр-во (свод)'!D22+'4.9_транзит (свод)'!$D$15*'4.9_транзит (свод)'!D22+'4.9_сбыт (свод)'!$D$15*'4.9_сбыт (свод)'!D22)/'4.9_свод '!$D$15</f>
        <v>10159.496629253374</v>
      </c>
      <c r="E22" s="250">
        <f>('4.9_пр-во (свод)'!$E$15*'4.9_пр-во (свод)'!E22+'4.9_транзит (свод)'!$E$15*'4.9_транзит (свод)'!E22+'4.9_сбыт (свод)'!$E$15*'4.9_сбыт (свод)'!E22)/'4.9_свод '!$E$15</f>
        <v>10661.518081927945</v>
      </c>
      <c r="F22" s="1028">
        <v>11928.669295784024</v>
      </c>
      <c r="G22" s="250">
        <v>12182.99024327177</v>
      </c>
      <c r="H22" s="250">
        <v>13316</v>
      </c>
      <c r="I22" s="250">
        <v>11049</v>
      </c>
      <c r="J22" s="250">
        <v>14080.279949387164</v>
      </c>
      <c r="K22" s="250"/>
      <c r="L22" s="250">
        <v>15477.751446099912</v>
      </c>
      <c r="M22" s="250">
        <v>16620.712802903348</v>
      </c>
      <c r="N22" s="250">
        <v>16292.375932813715</v>
      </c>
      <c r="O22" s="250">
        <v>16951.195665607949</v>
      </c>
      <c r="P22" s="250">
        <v>17601.115696010325</v>
      </c>
      <c r="Q22" s="250">
        <v>17394.018498587298</v>
      </c>
      <c r="R22" s="250">
        <v>17808.21289343336</v>
      </c>
    </row>
    <row r="23" spans="1:18" s="36" customFormat="1" ht="30" customHeight="1">
      <c r="A23" s="60" t="s">
        <v>471</v>
      </c>
      <c r="B23" s="61" t="s">
        <v>472</v>
      </c>
      <c r="C23" s="8"/>
      <c r="D23" s="66"/>
      <c r="E23" s="66"/>
      <c r="F23" s="1434"/>
      <c r="G23" s="66"/>
      <c r="H23" s="66"/>
      <c r="I23" s="66"/>
      <c r="J23" s="66"/>
      <c r="K23" s="66"/>
      <c r="L23" s="66"/>
      <c r="M23" s="66"/>
      <c r="N23" s="66"/>
      <c r="O23" s="66"/>
      <c r="P23" s="66"/>
      <c r="Q23" s="66"/>
      <c r="R23" s="66"/>
    </row>
    <row r="24" spans="1:18" s="36" customFormat="1" ht="15" customHeight="1">
      <c r="A24" s="60"/>
      <c r="B24" s="70" t="s">
        <v>473</v>
      </c>
      <c r="C24" s="8" t="s">
        <v>138</v>
      </c>
      <c r="D24" s="947">
        <f>('4.9_пр-во (свод)'!$D$15*'4.9_пр-во (свод)'!D24+'4.9_транзит (свод)'!$D$15*'4.9_транзит (свод)'!D24+'4.9_сбыт (свод)'!$D$15*'4.9_сбыт (свод)'!D24)/'4.9_свод '!$D$15</f>
        <v>19.06378404955478</v>
      </c>
      <c r="E24" s="251">
        <f>('4.9_пр-во (свод)'!$E$15*'4.9_пр-во (свод)'!E24+'4.9_транзит (свод)'!$E$15*'4.9_транзит (свод)'!E24+'4.9_сбыт (свод)'!$E$15*'4.9_сбыт (свод)'!E24)/'4.9_свод '!$E$15</f>
        <v>17.77049401182969</v>
      </c>
      <c r="F24" s="1435">
        <v>17.865389053254432</v>
      </c>
      <c r="G24" s="251">
        <v>19.777228378774556</v>
      </c>
      <c r="H24" s="251">
        <v>17.77</v>
      </c>
      <c r="I24" s="251">
        <v>0</v>
      </c>
      <c r="J24" s="251">
        <v>17.145404912487123</v>
      </c>
      <c r="K24" s="251"/>
      <c r="L24" s="251">
        <v>17.308853831921311</v>
      </c>
      <c r="M24" s="250">
        <v>17.307423031956347</v>
      </c>
      <c r="N24" s="250">
        <v>17.307423031956347</v>
      </c>
      <c r="O24" s="250">
        <v>17.307423031956347</v>
      </c>
      <c r="P24" s="251">
        <v>17.307423031956347</v>
      </c>
      <c r="Q24" s="251">
        <v>17.307423031956347</v>
      </c>
      <c r="R24" s="251">
        <v>17.307423031956347</v>
      </c>
    </row>
    <row r="25" spans="1:18" s="36" customFormat="1" ht="15" customHeight="1">
      <c r="A25" s="60"/>
      <c r="B25" s="70" t="s">
        <v>474</v>
      </c>
      <c r="C25" s="8" t="s">
        <v>465</v>
      </c>
      <c r="D25" s="250">
        <f>('4.9_пр-во (свод)'!$D$15*'4.9_пр-во (свод)'!D25+'4.9_транзит (свод)'!$D$15*'4.9_транзит (свод)'!D25+'4.9_сбыт (свод)'!$D$15*'4.9_сбыт (свод)'!D25)/'4.9_свод '!$D$15+27</f>
        <v>1937.1874751079715</v>
      </c>
      <c r="E25" s="250">
        <f>('4.9_пр-во (свод)'!$E$15*'4.9_пр-во (свод)'!E25+'4.9_транзит (свод)'!$E$15*'4.9_транзит (свод)'!E25+'4.9_сбыт (свод)'!$E$15*'4.9_сбыт (свод)'!E25)/'4.9_свод '!$E$15</f>
        <v>1828.3480015408395</v>
      </c>
      <c r="F25" s="1028">
        <v>2131.1031785679215</v>
      </c>
      <c r="G25" s="250">
        <v>2316.6255708600747</v>
      </c>
      <c r="H25" s="250">
        <v>2366</v>
      </c>
      <c r="I25" s="250">
        <v>0</v>
      </c>
      <c r="J25" s="250">
        <v>2313.2950433887331</v>
      </c>
      <c r="K25" s="250"/>
      <c r="L25" s="250">
        <v>2550.9249683513481</v>
      </c>
      <c r="M25" s="250">
        <v>2737.4540140296176</v>
      </c>
      <c r="N25" s="250">
        <v>2683.4632209664846</v>
      </c>
      <c r="O25" s="250">
        <v>2791.8593141075603</v>
      </c>
      <c r="P25" s="250">
        <v>2898.7671960249413</v>
      </c>
      <c r="Q25" s="250">
        <v>2864.8636496492591</v>
      </c>
      <c r="R25" s="250">
        <v>2932.9522116134058</v>
      </c>
    </row>
    <row r="26" spans="1:18" s="36" customFormat="1" ht="15" customHeight="1">
      <c r="A26" s="60" t="s">
        <v>475</v>
      </c>
      <c r="B26" s="61" t="s">
        <v>476</v>
      </c>
      <c r="C26" s="8"/>
      <c r="D26" s="250"/>
      <c r="E26" s="250"/>
      <c r="F26" s="1028"/>
      <c r="G26" s="250"/>
      <c r="H26" s="250"/>
      <c r="I26" s="250"/>
      <c r="J26" s="250"/>
      <c r="K26" s="250"/>
      <c r="L26" s="250"/>
      <c r="M26" s="250"/>
      <c r="N26" s="250"/>
      <c r="O26" s="250"/>
      <c r="P26" s="250"/>
      <c r="Q26" s="250"/>
      <c r="R26" s="250"/>
    </row>
    <row r="27" spans="1:18" s="36" customFormat="1" ht="15" customHeight="1">
      <c r="A27" s="60"/>
      <c r="B27" s="70" t="s">
        <v>473</v>
      </c>
      <c r="C27" s="8" t="s">
        <v>138</v>
      </c>
      <c r="D27" s="250">
        <f>('4.9_пр-во (свод)'!$D$15*'4.9_пр-во (свод)'!D27+'4.9_транзит (свод)'!$D$15*'4.9_транзит (свод)'!D27+'4.9_сбыт (свод)'!$D$15*'4.9_сбыт (свод)'!D27)/'4.9_свод '!$D$15</f>
        <v>50</v>
      </c>
      <c r="E27" s="251">
        <f>('4.9_пр-во (свод)'!$E$15*'4.9_пр-во (свод)'!E27+'4.9_транзит (свод)'!$E$15*'4.9_транзит (свод)'!E27+'4.9_сбыт (свод)'!$E$15*'4.9_сбыт (свод)'!E27)/'4.9_свод '!$E$15</f>
        <v>47.544590604682988</v>
      </c>
      <c r="F27" s="1435">
        <v>47.182878698224847</v>
      </c>
      <c r="G27" s="251">
        <v>48.140518665103109</v>
      </c>
      <c r="H27" s="251">
        <v>50</v>
      </c>
      <c r="I27" s="251">
        <v>50</v>
      </c>
      <c r="J27" s="251">
        <v>48.105639554836493</v>
      </c>
      <c r="K27" s="251"/>
      <c r="L27" s="251">
        <v>47.318829973707267</v>
      </c>
      <c r="M27" s="250">
        <v>49.999999999999993</v>
      </c>
      <c r="N27" s="250">
        <v>49.999999999999993</v>
      </c>
      <c r="O27" s="250">
        <v>49.999999999999993</v>
      </c>
      <c r="P27" s="251">
        <v>49.999999999999993</v>
      </c>
      <c r="Q27" s="251">
        <v>49.999999999999993</v>
      </c>
      <c r="R27" s="251">
        <v>49.999999999999993</v>
      </c>
    </row>
    <row r="28" spans="1:18" s="36" customFormat="1" ht="15" customHeight="1">
      <c r="A28" s="60"/>
      <c r="B28" s="70" t="s">
        <v>474</v>
      </c>
      <c r="C28" s="8" t="s">
        <v>465</v>
      </c>
      <c r="D28" s="250">
        <f>('4.9_пр-во (свод)'!$D$15*'4.9_пр-во (свод)'!D28+'4.9_транзит (свод)'!$D$15*'4.9_транзит (свод)'!D28+'4.9_сбыт (свод)'!$D$15*'4.9_сбыт (свод)'!D28)/'4.9_свод '!$D$15+13</f>
        <v>6047.976779242229</v>
      </c>
      <c r="E28" s="250">
        <f>('4.9_пр-во (свод)'!$E$15*'4.9_пр-во (свод)'!E28+'4.9_транзит (свод)'!$E$15*'4.9_транзит (свод)'!E28+'4.9_сбыт (свод)'!$E$15*'4.9_сбыт (свод)'!E28)/'4.9_свод '!$E$15</f>
        <v>5908.0670795080068</v>
      </c>
      <c r="F28" s="1028">
        <v>6633.8053918198848</v>
      </c>
      <c r="G28" s="250">
        <v>6979.0286440378377</v>
      </c>
      <c r="H28" s="250">
        <v>7841</v>
      </c>
      <c r="I28" s="250">
        <v>5524</v>
      </c>
      <c r="J28" s="250">
        <v>7865.7784478109515</v>
      </c>
      <c r="K28" s="250"/>
      <c r="L28" s="250">
        <v>8527.7455935339349</v>
      </c>
      <c r="M28" s="250">
        <v>9679.0092556508171</v>
      </c>
      <c r="N28" s="250">
        <v>9487.9932287607171</v>
      </c>
      <c r="O28" s="250">
        <v>9871.6162314886969</v>
      </c>
      <c r="P28" s="250">
        <v>10249.999610288385</v>
      </c>
      <c r="Q28" s="250">
        <v>10129.257842946219</v>
      </c>
      <c r="R28" s="250">
        <v>10370.705280592361</v>
      </c>
    </row>
    <row r="29" spans="1:18" s="36" customFormat="1" ht="15" customHeight="1">
      <c r="A29" s="60" t="s">
        <v>477</v>
      </c>
      <c r="B29" s="61" t="s">
        <v>478</v>
      </c>
      <c r="C29" s="8"/>
      <c r="D29" s="250"/>
      <c r="E29" s="250"/>
      <c r="F29" s="1028"/>
      <c r="G29" s="250"/>
      <c r="H29" s="250"/>
      <c r="I29" s="250"/>
      <c r="J29" s="250"/>
      <c r="K29" s="250"/>
      <c r="L29" s="250"/>
      <c r="M29" s="250"/>
      <c r="N29" s="250"/>
      <c r="O29" s="250"/>
      <c r="P29" s="250"/>
      <c r="Q29" s="250"/>
      <c r="R29" s="250"/>
    </row>
    <row r="30" spans="1:18" s="36" customFormat="1" ht="15" customHeight="1">
      <c r="A30" s="60"/>
      <c r="B30" s="70" t="s">
        <v>473</v>
      </c>
      <c r="C30" s="8" t="s">
        <v>138</v>
      </c>
      <c r="D30" s="251">
        <f>('4.9_пр-во (свод)'!$D$15*'4.9_пр-во (свод)'!D30+'4.9_транзит (свод)'!$D$15*'4.9_транзит (свод)'!D30+'4.9_сбыт (свод)'!$D$15*'4.9_сбыт (свод)'!D30)/'4.9_свод '!$D$15-0.27</f>
        <v>8.5754634146337825</v>
      </c>
      <c r="E30" s="251">
        <f>('4.9_пр-во (свод)'!$E$15*'4.9_пр-во (свод)'!E30+'4.9_транзит (свод)'!$E$15*'4.9_транзит (свод)'!E30+'4.9_сбыт (свод)'!$E$15*'4.9_сбыт (свод)'!E30)/'4.9_свод '!$E$15</f>
        <v>9.7221581854621881</v>
      </c>
      <c r="F30" s="1435">
        <v>9.8049182938856028</v>
      </c>
      <c r="G30" s="251">
        <v>9.7463902081501033</v>
      </c>
      <c r="H30" s="251">
        <v>9.7200000000000006</v>
      </c>
      <c r="I30" s="251">
        <v>0</v>
      </c>
      <c r="J30" s="251">
        <v>9.9788243369122895</v>
      </c>
      <c r="K30" s="251"/>
      <c r="L30" s="251">
        <v>10.088129808160483</v>
      </c>
      <c r="M30" s="250">
        <v>10.195732657833204</v>
      </c>
      <c r="N30" s="250">
        <v>10.195732657833204</v>
      </c>
      <c r="O30" s="250">
        <v>10.195732657833204</v>
      </c>
      <c r="P30" s="251">
        <v>10.195732657833204</v>
      </c>
      <c r="Q30" s="251">
        <v>10.195732657833204</v>
      </c>
      <c r="R30" s="251">
        <v>10.195732657833204</v>
      </c>
    </row>
    <row r="31" spans="1:18" s="36" customFormat="1" ht="15" customHeight="1">
      <c r="A31" s="60"/>
      <c r="B31" s="70" t="s">
        <v>474</v>
      </c>
      <c r="C31" s="8" t="s">
        <v>465</v>
      </c>
      <c r="D31" s="250">
        <f>('4.9_пр-во (свод)'!$D$15*'4.9_пр-во (свод)'!D31+'4.9_транзит (свод)'!$D$15*'4.9_транзит (свод)'!D31+'4.9_сбыт (свод)'!$D$15*'4.9_сбыт (свод)'!D31)/'4.9_свод '!$D$15-39</f>
        <v>1037.8345024052408</v>
      </c>
      <c r="E31" s="250">
        <f>('4.9_пр-во (свод)'!$E$15*'4.9_пр-во (свод)'!E31+'4.9_транзит (свод)'!$E$15*'4.9_транзит (свод)'!E31+'4.9_сбыт (свод)'!$E$15*'4.9_сбыт (свод)'!E31)/'4.9_свод '!$E$15</f>
        <v>1222.9604089877218</v>
      </c>
      <c r="F31" s="1028">
        <v>1378.5492034164265</v>
      </c>
      <c r="G31" s="250">
        <v>1424.0925964317878</v>
      </c>
      <c r="H31" s="250">
        <v>1295</v>
      </c>
      <c r="I31" s="250">
        <v>0</v>
      </c>
      <c r="J31" s="250">
        <v>1652.2023827033386</v>
      </c>
      <c r="K31" s="250"/>
      <c r="L31" s="250">
        <v>1833.7201285422143</v>
      </c>
      <c r="M31" s="250">
        <v>1990.0838854247854</v>
      </c>
      <c r="N31" s="250">
        <v>1951.1121882307089</v>
      </c>
      <c r="O31" s="250">
        <v>2029.7883378799686</v>
      </c>
      <c r="P31" s="250">
        <v>2107.6259255650816</v>
      </c>
      <c r="Q31" s="250">
        <v>2083.0646921278249</v>
      </c>
      <c r="R31" s="250">
        <v>2132.7427903351518</v>
      </c>
    </row>
    <row r="32" spans="1:18" s="36" customFormat="1" ht="15" customHeight="1">
      <c r="A32" s="60" t="s">
        <v>479</v>
      </c>
      <c r="B32" s="61" t="s">
        <v>480</v>
      </c>
      <c r="C32" s="8"/>
      <c r="D32" s="250"/>
      <c r="E32" s="250"/>
      <c r="F32" s="1028"/>
      <c r="G32" s="250"/>
      <c r="H32" s="250"/>
      <c r="I32" s="250"/>
      <c r="J32" s="250"/>
      <c r="K32" s="250"/>
      <c r="L32" s="250"/>
      <c r="M32" s="250"/>
      <c r="N32" s="250"/>
      <c r="O32" s="250"/>
      <c r="P32" s="250"/>
      <c r="Q32" s="250"/>
      <c r="R32" s="250"/>
    </row>
    <row r="33" spans="1:18" s="36" customFormat="1" ht="15" customHeight="1">
      <c r="A33" s="60"/>
      <c r="B33" s="70" t="s">
        <v>473</v>
      </c>
      <c r="C33" s="8" t="s">
        <v>138</v>
      </c>
      <c r="D33" s="250">
        <f>('4.9_пр-во (свод)'!$D$15*'4.9_пр-во (свод)'!D33+'4.9_транзит (свод)'!$D$15*'4.9_транзит (свод)'!D33+'4.9_сбыт (свод)'!$D$15*'4.9_сбыт (свод)'!D33)/'4.9_свод '!$D$15</f>
        <v>0</v>
      </c>
      <c r="E33" s="251">
        <f>('4.9_пр-во (свод)'!$E$15*'4.9_пр-во (свод)'!E33+'4.9_транзит (свод)'!$E$15*'4.9_транзит (свод)'!E33+'4.9_сбыт (свод)'!$E$15*'4.9_сбыт (свод)'!E33)/'4.9_свод '!$E$15</f>
        <v>0</v>
      </c>
      <c r="F33" s="1435" t="e">
        <v>#DIV/0!</v>
      </c>
      <c r="G33" s="251">
        <v>0</v>
      </c>
      <c r="H33" s="251">
        <v>0</v>
      </c>
      <c r="I33" s="251">
        <v>0</v>
      </c>
      <c r="J33" s="251">
        <v>0</v>
      </c>
      <c r="K33" s="251"/>
      <c r="L33" s="251">
        <v>0</v>
      </c>
      <c r="M33" s="250">
        <v>0</v>
      </c>
      <c r="N33" s="250">
        <v>0</v>
      </c>
      <c r="O33" s="250">
        <v>0</v>
      </c>
      <c r="P33" s="251">
        <v>0</v>
      </c>
      <c r="Q33" s="251">
        <v>0</v>
      </c>
      <c r="R33" s="251">
        <v>0</v>
      </c>
    </row>
    <row r="34" spans="1:18" s="36" customFormat="1" ht="15" customHeight="1">
      <c r="A34" s="60"/>
      <c r="B34" s="70" t="s">
        <v>474</v>
      </c>
      <c r="C34" s="8" t="s">
        <v>465</v>
      </c>
      <c r="D34" s="250"/>
      <c r="E34" s="250">
        <f>('4.9_пр-во (свод)'!$E$15*'4.9_пр-во (свод)'!E34+'4.9_транзит (свод)'!$E$15*'4.9_транзит (свод)'!E34+'4.9_сбыт (свод)'!$E$15*'4.9_сбыт (свод)'!E34)/'4.9_свод '!$E$15</f>
        <v>136.0304927408711</v>
      </c>
      <c r="F34" s="1028" t="e">
        <v>#DIV/0!</v>
      </c>
      <c r="G34" s="250">
        <v>0</v>
      </c>
      <c r="H34" s="250">
        <v>0</v>
      </c>
      <c r="I34" s="250">
        <v>0</v>
      </c>
      <c r="J34" s="250">
        <v>0</v>
      </c>
      <c r="K34" s="250"/>
      <c r="L34" s="250">
        <v>0</v>
      </c>
      <c r="M34" s="250">
        <v>0</v>
      </c>
      <c r="N34" s="250">
        <v>0</v>
      </c>
      <c r="O34" s="250">
        <v>0</v>
      </c>
      <c r="P34" s="250">
        <v>0</v>
      </c>
      <c r="Q34" s="250">
        <v>0</v>
      </c>
      <c r="R34" s="250">
        <v>0</v>
      </c>
    </row>
    <row r="35" spans="1:18" s="36" customFormat="1" hidden="1">
      <c r="A35" s="60" t="s">
        <v>481</v>
      </c>
      <c r="B35" s="61"/>
      <c r="C35" s="8"/>
      <c r="D35" s="250"/>
      <c r="E35" s="250"/>
      <c r="F35" s="250"/>
      <c r="G35" s="250"/>
      <c r="H35" s="250"/>
      <c r="I35" s="250"/>
      <c r="J35" s="250"/>
      <c r="K35" s="250"/>
      <c r="L35" s="250"/>
      <c r="M35" s="250"/>
      <c r="N35" s="250"/>
      <c r="O35" s="250"/>
      <c r="P35" s="250"/>
      <c r="Q35" s="250"/>
      <c r="R35" s="250"/>
    </row>
    <row r="36" spans="1:18" s="36" customFormat="1" ht="15" hidden="1" customHeight="1">
      <c r="A36" s="60"/>
      <c r="B36" s="70" t="s">
        <v>473</v>
      </c>
      <c r="C36" s="8" t="s">
        <v>138</v>
      </c>
      <c r="D36" s="66">
        <f>('4.9_пр-во (свод)'!$D$15*'4.9_пр-во (свод)'!D36+'4.9_транзит (свод)'!$D$15*'4.9_транзит (свод)'!D36+'4.9_сбыт (свод)'!$D$15*'4.9_сбыт (свод)'!D36)/'4.9_свод '!$D$15</f>
        <v>0</v>
      </c>
      <c r="E36" s="251">
        <f>('4.9_пр-во (свод)'!$E$15*'4.9_пр-во (свод)'!E36+'4.9_транзит (свод)'!$E$15*'4.9_транзит (свод)'!E36+'4.9_сбыт (свод)'!$E$15*'4.9_сбыт (свод)'!E36)/'4.9_свод '!$E$15</f>
        <v>0</v>
      </c>
      <c r="F36" s="251" t="e">
        <v>#DIV/0!</v>
      </c>
      <c r="G36" s="251">
        <v>0</v>
      </c>
      <c r="H36" s="251">
        <v>0</v>
      </c>
      <c r="I36" s="251"/>
      <c r="J36" s="251">
        <v>0</v>
      </c>
      <c r="K36" s="251"/>
      <c r="L36" s="251"/>
      <c r="M36" s="66">
        <v>0</v>
      </c>
      <c r="N36" s="66">
        <v>0</v>
      </c>
      <c r="O36" s="66">
        <v>0</v>
      </c>
      <c r="P36" s="66">
        <v>0</v>
      </c>
      <c r="Q36" s="66">
        <v>0</v>
      </c>
      <c r="R36" s="66">
        <v>0</v>
      </c>
    </row>
    <row r="37" spans="1:18" s="36" customFormat="1" ht="15" hidden="1" customHeight="1">
      <c r="A37" s="60"/>
      <c r="B37" s="70" t="s">
        <v>474</v>
      </c>
      <c r="C37" s="8" t="s">
        <v>465</v>
      </c>
      <c r="D37" s="66"/>
      <c r="E37" s="250">
        <f>('4.9_пр-во (свод)'!$E$15*'4.9_пр-во (свод)'!E37+'4.9_транзит (свод)'!$E$15*'4.9_транзит (свод)'!E37+'4.9_сбыт (свод)'!$E$15*'4.9_сбыт (свод)'!E37)/'4.9_свод '!$E$15</f>
        <v>0</v>
      </c>
      <c r="F37" s="250" t="e">
        <v>#DIV/0!</v>
      </c>
      <c r="G37" s="250">
        <v>0</v>
      </c>
      <c r="H37" s="250">
        <v>0</v>
      </c>
      <c r="I37" s="250"/>
      <c r="J37" s="250">
        <v>0</v>
      </c>
      <c r="K37" s="250"/>
      <c r="L37" s="250"/>
      <c r="M37" s="66"/>
      <c r="N37" s="66"/>
      <c r="O37" s="66"/>
      <c r="P37" s="66"/>
      <c r="Q37" s="66"/>
      <c r="R37" s="66"/>
    </row>
    <row r="38" spans="1:18" s="36" customFormat="1" hidden="1">
      <c r="A38" s="60" t="s">
        <v>482</v>
      </c>
      <c r="B38" s="61"/>
      <c r="C38" s="8"/>
      <c r="D38" s="66"/>
      <c r="E38" s="66"/>
      <c r="F38" s="66"/>
      <c r="G38" s="66"/>
      <c r="H38" s="66"/>
      <c r="I38" s="66"/>
      <c r="J38" s="66"/>
      <c r="K38" s="66"/>
      <c r="L38" s="66"/>
      <c r="M38" s="66"/>
      <c r="N38" s="66"/>
      <c r="O38" s="66"/>
      <c r="P38" s="66"/>
      <c r="Q38" s="66"/>
      <c r="R38" s="66"/>
    </row>
    <row r="39" spans="1:18" s="36" customFormat="1" ht="15" hidden="1" customHeight="1">
      <c r="A39" s="60"/>
      <c r="B39" s="70" t="s">
        <v>473</v>
      </c>
      <c r="C39" s="8" t="s">
        <v>138</v>
      </c>
      <c r="D39" s="66">
        <f>('4.9_пр-во (свод)'!$D$15*'4.9_пр-во (свод)'!D39+'4.9_транзит (свод)'!$D$15*'4.9_транзит (свод)'!D39+'4.9_сбыт (свод)'!$D$15*'4.9_сбыт (свод)'!D39)/'4.9_свод '!$D$15</f>
        <v>0</v>
      </c>
      <c r="E39" s="251">
        <f>('4.9_пр-во (свод)'!$E$15*'4.9_пр-во (свод)'!E39+'4.9_транзит (свод)'!$E$15*'4.9_транзит (свод)'!E39+'4.9_сбыт (свод)'!$E$15*'4.9_сбыт (свод)'!E39)/'4.9_свод '!$E$15</f>
        <v>0</v>
      </c>
      <c r="F39" s="251" t="e">
        <v>#DIV/0!</v>
      </c>
      <c r="G39" s="251">
        <v>0</v>
      </c>
      <c r="H39" s="251">
        <v>0</v>
      </c>
      <c r="I39" s="251"/>
      <c r="J39" s="251">
        <v>0</v>
      </c>
      <c r="K39" s="251"/>
      <c r="L39" s="251"/>
      <c r="M39" s="66">
        <v>0</v>
      </c>
      <c r="N39" s="66">
        <v>0</v>
      </c>
      <c r="O39" s="66">
        <v>0</v>
      </c>
      <c r="P39" s="66">
        <v>0</v>
      </c>
      <c r="Q39" s="66">
        <v>0</v>
      </c>
      <c r="R39" s="66">
        <v>0</v>
      </c>
    </row>
    <row r="40" spans="1:18" s="36" customFormat="1" ht="15" hidden="1" customHeight="1">
      <c r="A40" s="60"/>
      <c r="B40" s="70" t="s">
        <v>474</v>
      </c>
      <c r="C40" s="8" t="s">
        <v>465</v>
      </c>
      <c r="D40" s="66"/>
      <c r="E40" s="250">
        <f>('4.9_пр-во (свод)'!$E$15*'4.9_пр-во (свод)'!E40+'4.9_транзит (свод)'!$E$15*'4.9_транзит (свод)'!E40+'4.9_сбыт (свод)'!$E$15*'4.9_сбыт (свод)'!E40)/'4.9_свод '!$E$15</f>
        <v>0</v>
      </c>
      <c r="F40" s="250" t="e">
        <v>#DIV/0!</v>
      </c>
      <c r="G40" s="250">
        <v>0</v>
      </c>
      <c r="H40" s="250">
        <v>0</v>
      </c>
      <c r="I40" s="250"/>
      <c r="J40" s="250">
        <v>0</v>
      </c>
      <c r="K40" s="250"/>
      <c r="L40" s="250"/>
      <c r="M40" s="66"/>
      <c r="N40" s="66"/>
      <c r="O40" s="66"/>
      <c r="P40" s="66"/>
      <c r="Q40" s="66"/>
      <c r="R40" s="66"/>
    </row>
    <row r="41" spans="1:18" s="36" customFormat="1" ht="30" customHeight="1">
      <c r="A41" s="60" t="s">
        <v>483</v>
      </c>
      <c r="B41" s="61" t="s">
        <v>484</v>
      </c>
      <c r="C41" s="8"/>
      <c r="D41" s="66"/>
      <c r="E41" s="66"/>
      <c r="F41" s="66"/>
      <c r="G41" s="66"/>
      <c r="H41" s="66"/>
      <c r="I41" s="66"/>
      <c r="J41" s="66"/>
      <c r="K41" s="66"/>
      <c r="L41" s="66"/>
      <c r="M41" s="66"/>
      <c r="N41" s="66"/>
      <c r="O41" s="66"/>
      <c r="P41" s="66"/>
      <c r="Q41" s="66"/>
      <c r="R41" s="66"/>
    </row>
    <row r="42" spans="1:18" s="36" customFormat="1" ht="15" customHeight="1">
      <c r="A42" s="60"/>
      <c r="B42" s="70" t="s">
        <v>473</v>
      </c>
      <c r="C42" s="8" t="s">
        <v>138</v>
      </c>
      <c r="D42" s="250">
        <f>('4.9_пр-во (свод)'!$D$15*'4.9_пр-во (свод)'!D42+'4.9_транзит (свод)'!$D$15*'4.9_транзит (свод)'!D42+'4.9_сбыт (свод)'!$D$15*'4.9_сбыт (свод)'!D42)/'4.9_свод '!$D$15</f>
        <v>160.00000000000003</v>
      </c>
      <c r="E42" s="250">
        <f>('4.9_пр-во (свод)'!$E$15*'4.9_пр-во (свод)'!E42+'4.9_транзит (свод)'!$E$15*'4.9_транзит (свод)'!E42+'4.9_сбыт (свод)'!$E$15*'4.9_сбыт (свод)'!E42)/'4.9_свод '!$E$15</f>
        <v>160</v>
      </c>
      <c r="F42" s="250">
        <v>160</v>
      </c>
      <c r="G42" s="250">
        <v>160</v>
      </c>
      <c r="H42" s="250">
        <v>160</v>
      </c>
      <c r="I42" s="250">
        <v>160</v>
      </c>
      <c r="J42" s="250">
        <v>160</v>
      </c>
      <c r="K42" s="250"/>
      <c r="L42" s="250">
        <v>160</v>
      </c>
      <c r="M42" s="250">
        <v>160</v>
      </c>
      <c r="N42" s="250">
        <v>160</v>
      </c>
      <c r="O42" s="250">
        <v>160</v>
      </c>
      <c r="P42" s="250">
        <v>160</v>
      </c>
      <c r="Q42" s="250">
        <v>160</v>
      </c>
      <c r="R42" s="250">
        <v>160</v>
      </c>
    </row>
    <row r="43" spans="1:18" s="36" customFormat="1" ht="15" customHeight="1">
      <c r="A43" s="60"/>
      <c r="B43" s="70" t="s">
        <v>474</v>
      </c>
      <c r="C43" s="8" t="s">
        <v>465</v>
      </c>
      <c r="D43" s="250">
        <f>('4.9_пр-во (свод)'!$D$15*'4.9_пр-во (свод)'!D43+'4.9_транзит (свод)'!$D$15*'4.9_транзит (свод)'!D43+'4.9_сбыт (свод)'!$D$15*'4.9_сбыт (свод)'!D43)/'4.9_свод '!$D$15</f>
        <v>30691.358238984598</v>
      </c>
      <c r="E43" s="250">
        <f>('4.9_пр-во (свод)'!$E$15*'4.9_пр-во (свод)'!E43+'4.9_транзит (свод)'!$E$15*'4.9_транзит (свод)'!E43+'4.9_сбыт (свод)'!$E$15*'4.9_сбыт (свод)'!E43)/'4.9_свод '!$E$15</f>
        <v>31394.119427613277</v>
      </c>
      <c r="F43" s="1028">
        <v>35316</v>
      </c>
      <c r="G43" s="250">
        <v>36643.055970641937</v>
      </c>
      <c r="H43" s="250">
        <v>39710</v>
      </c>
      <c r="I43" s="250">
        <v>26517</v>
      </c>
      <c r="J43" s="250">
        <v>41458.5088983674</v>
      </c>
      <c r="K43" s="250"/>
      <c r="L43" s="250">
        <v>45424.129662089777</v>
      </c>
      <c r="M43" s="250">
        <v>49643.401402961805</v>
      </c>
      <c r="N43" s="250">
        <v>48663.650623538575</v>
      </c>
      <c r="O43" s="250">
        <v>50631.042283710049</v>
      </c>
      <c r="P43" s="250">
        <v>52572.233632112227</v>
      </c>
      <c r="Q43" s="250">
        <v>51953.751899844108</v>
      </c>
      <c r="R43" s="250">
        <v>53191.643949727193</v>
      </c>
    </row>
    <row r="44" spans="1:18" s="36" customFormat="1" ht="30" customHeight="1">
      <c r="A44" s="387" t="s">
        <v>27</v>
      </c>
      <c r="B44" s="386" t="s">
        <v>485</v>
      </c>
      <c r="C44" s="385" t="s">
        <v>465</v>
      </c>
      <c r="D44" s="384">
        <f>D22+D25+D28+D31+D34+D37+D40+D43-1</f>
        <v>49872.853624993411</v>
      </c>
      <c r="E44" s="384">
        <f t="shared" ref="E44:G44" si="1">E22+E25+E28+E31+E34+E37+E40+E43</f>
        <v>51151.043492318662</v>
      </c>
      <c r="F44" s="1029">
        <v>57388.669295784028</v>
      </c>
      <c r="G44" s="384">
        <v>59545.793025243402</v>
      </c>
      <c r="H44" s="384">
        <v>64529</v>
      </c>
      <c r="I44" s="384">
        <v>43090</v>
      </c>
      <c r="J44" s="384">
        <v>67373.064721657589</v>
      </c>
      <c r="K44" s="384">
        <v>69123</v>
      </c>
      <c r="L44" s="384">
        <v>73817.271798617177</v>
      </c>
      <c r="M44" s="384">
        <v>80673.661360970378</v>
      </c>
      <c r="N44" s="384">
        <v>79081.595194310197</v>
      </c>
      <c r="O44" s="384">
        <v>82275.501832794223</v>
      </c>
      <c r="P44" s="384">
        <v>85430.742060000965</v>
      </c>
      <c r="Q44" s="384">
        <v>84427.956583154708</v>
      </c>
      <c r="R44" s="384">
        <v>86439.257125701464</v>
      </c>
    </row>
    <row r="45" spans="1:18" s="1368" customFormat="1" ht="30" customHeight="1">
      <c r="A45" s="1364" t="s">
        <v>95</v>
      </c>
      <c r="B45" s="1365" t="s">
        <v>905</v>
      </c>
      <c r="C45" s="1366" t="s">
        <v>465</v>
      </c>
      <c r="D45" s="1367">
        <f>'4.9_пр-во (свод)'!D45+'4.9_транзит+сбыт (свод)'!D45</f>
        <v>1171383.1188068422</v>
      </c>
      <c r="E45" s="1367">
        <f>'4.9_пр-во (свод)'!E45+'4.9_транзит+сбыт (свод)'!E45+1</f>
        <v>1312449.2781468357</v>
      </c>
      <c r="F45" s="1367">
        <v>1412355.6123549258</v>
      </c>
      <c r="G45" s="1367">
        <v>1533593.2780655581</v>
      </c>
      <c r="H45" s="1367">
        <v>1573694</v>
      </c>
      <c r="I45" s="1367">
        <v>8170</v>
      </c>
      <c r="J45" s="1367">
        <v>1681613.5521531804</v>
      </c>
      <c r="K45" s="1367">
        <v>1732456</v>
      </c>
      <c r="L45" s="1367">
        <v>1856517.8170399999</v>
      </c>
      <c r="M45" s="1367">
        <v>2075037.1422634399</v>
      </c>
      <c r="N45" s="1367">
        <v>997130.24128928001</v>
      </c>
      <c r="O45" s="1367">
        <v>1077906.9009741601</v>
      </c>
      <c r="P45" s="1367">
        <v>2196702.9970092401</v>
      </c>
      <c r="Q45" s="1367">
        <v>1064043.8052433999</v>
      </c>
      <c r="R45" s="1367">
        <v>1132659.1917658399</v>
      </c>
    </row>
    <row r="46" spans="1:18">
      <c r="A46" s="60" t="s">
        <v>898</v>
      </c>
      <c r="B46" s="61" t="s">
        <v>899</v>
      </c>
      <c r="C46" s="8" t="s">
        <v>892</v>
      </c>
      <c r="D46" s="250">
        <f>'4.9_пр-во (свод)'!D46+'4.9_транзит (свод)'!D46+'4.9_сбыт (свод)'!D46-1</f>
        <v>17042</v>
      </c>
      <c r="E46" s="250">
        <f>'4.9_пр-во (свод)'!E46+'4.9_транзит (свод)'!E46+'4.9_сбыт (свод)'!E46-4</f>
        <v>23199</v>
      </c>
      <c r="F46" s="250">
        <v>21686</v>
      </c>
      <c r="G46" s="250">
        <v>27221</v>
      </c>
      <c r="H46" s="250">
        <v>25237</v>
      </c>
      <c r="I46" s="250">
        <v>0</v>
      </c>
      <c r="J46" s="250">
        <v>31035</v>
      </c>
      <c r="K46" s="250">
        <v>27312</v>
      </c>
      <c r="L46" s="250">
        <v>36217</v>
      </c>
      <c r="M46" s="250">
        <v>45142</v>
      </c>
      <c r="N46" s="250">
        <v>22571</v>
      </c>
      <c r="O46" s="250">
        <v>22571</v>
      </c>
      <c r="P46" s="250">
        <v>47174</v>
      </c>
      <c r="Q46" s="250">
        <v>23587</v>
      </c>
      <c r="R46" s="250">
        <v>23587</v>
      </c>
    </row>
    <row r="47" spans="1:18" ht="60.75" customHeight="1">
      <c r="A47" s="60" t="s">
        <v>900</v>
      </c>
      <c r="B47" s="61" t="s">
        <v>902</v>
      </c>
      <c r="C47" s="8" t="s">
        <v>892</v>
      </c>
      <c r="D47" s="250">
        <f>'4.9_пр-во (свод)'!D47+'4.9_транзит (свод)'!D47+'4.9_сбыт (свод)'!D47</f>
        <v>0</v>
      </c>
      <c r="E47" s="250">
        <f>'4.9_пр-во (свод)'!E47+'4.9_транзит (свод)'!E47+'4.9_сбыт (свод)'!E47</f>
        <v>0</v>
      </c>
      <c r="F47" s="250">
        <v>0</v>
      </c>
      <c r="G47" s="250">
        <v>0</v>
      </c>
      <c r="H47" s="250">
        <v>0</v>
      </c>
      <c r="I47" s="250"/>
      <c r="J47" s="250">
        <v>0</v>
      </c>
      <c r="K47" s="250">
        <v>0</v>
      </c>
      <c r="L47" s="250">
        <v>0</v>
      </c>
      <c r="M47" s="250">
        <v>0</v>
      </c>
      <c r="N47" s="250">
        <v>0</v>
      </c>
      <c r="O47" s="250">
        <v>0</v>
      </c>
      <c r="P47" s="250">
        <v>0</v>
      </c>
      <c r="Q47" s="250">
        <v>0</v>
      </c>
      <c r="R47" s="250">
        <v>0</v>
      </c>
    </row>
    <row r="48" spans="1:18">
      <c r="A48" s="60" t="s">
        <v>901</v>
      </c>
      <c r="B48" s="61" t="s">
        <v>348</v>
      </c>
      <c r="C48" s="8" t="s">
        <v>892</v>
      </c>
      <c r="D48" s="250">
        <f>D49+D50+D51+D52+D53</f>
        <v>0</v>
      </c>
      <c r="E48" s="250">
        <f t="shared" ref="E48:O48" si="2">E49+E50+E51+E52+E53</f>
        <v>33968</v>
      </c>
      <c r="F48" s="250">
        <v>0</v>
      </c>
      <c r="G48" s="250">
        <v>44009</v>
      </c>
      <c r="H48" s="250">
        <v>0</v>
      </c>
      <c r="I48" s="250"/>
      <c r="J48" s="250">
        <v>1620</v>
      </c>
      <c r="K48" s="250">
        <v>1474</v>
      </c>
      <c r="L48" s="250">
        <v>1086</v>
      </c>
      <c r="M48" s="250">
        <v>42556</v>
      </c>
      <c r="N48" s="250">
        <v>578</v>
      </c>
      <c r="O48" s="250">
        <v>41978</v>
      </c>
      <c r="P48" s="250">
        <v>45068</v>
      </c>
      <c r="Q48" s="250">
        <v>612.5</v>
      </c>
      <c r="R48" s="250">
        <v>44455.5</v>
      </c>
    </row>
    <row r="49" spans="1:18" ht="30">
      <c r="A49" s="60" t="s">
        <v>1024</v>
      </c>
      <c r="B49" s="61" t="s">
        <v>1023</v>
      </c>
      <c r="C49" s="8" t="s">
        <v>892</v>
      </c>
      <c r="D49" s="250">
        <f>'4.9_пр-во (свод)'!D49+'4.9_транзит (свод)'!D49+'4.9_сбыт (свод)'!D49</f>
        <v>0</v>
      </c>
      <c r="E49" s="250">
        <f>'4.9_пр-во (свод)'!E49+'4.9_транзит (свод)'!E49+'4.9_сбыт (свод)'!E49</f>
        <v>8251</v>
      </c>
      <c r="F49" s="250">
        <v>0</v>
      </c>
      <c r="G49" s="250">
        <v>168</v>
      </c>
      <c r="H49" s="250">
        <v>0</v>
      </c>
      <c r="I49" s="250"/>
      <c r="J49" s="250">
        <v>0</v>
      </c>
      <c r="K49" s="250">
        <v>1474</v>
      </c>
      <c r="L49" s="250">
        <v>0</v>
      </c>
      <c r="M49" s="250">
        <v>0</v>
      </c>
      <c r="N49" s="250">
        <v>0</v>
      </c>
      <c r="O49" s="250">
        <v>0</v>
      </c>
      <c r="P49" s="250">
        <v>0</v>
      </c>
      <c r="Q49" s="250">
        <v>0</v>
      </c>
      <c r="R49" s="250">
        <v>0</v>
      </c>
    </row>
    <row r="50" spans="1:18" ht="30">
      <c r="A50" s="60" t="s">
        <v>1022</v>
      </c>
      <c r="B50" s="61" t="s">
        <v>1021</v>
      </c>
      <c r="C50" s="8" t="s">
        <v>892</v>
      </c>
      <c r="D50" s="250">
        <f>'4.9_пр-во (свод)'!D50+'4.9_транзит (свод)'!D50+'4.9_сбыт (свод)'!D50</f>
        <v>0</v>
      </c>
      <c r="E50" s="250">
        <f>'4.9_пр-во (свод)'!E50+'4.9_транзит (свод)'!E50+'4.9_сбыт (свод)'!E50</f>
        <v>54</v>
      </c>
      <c r="F50" s="250">
        <v>0</v>
      </c>
      <c r="G50" s="250">
        <v>426</v>
      </c>
      <c r="H50" s="250">
        <v>0</v>
      </c>
      <c r="I50" s="250"/>
      <c r="J50" s="250">
        <v>0</v>
      </c>
      <c r="K50" s="250">
        <v>0</v>
      </c>
      <c r="L50" s="250">
        <v>0</v>
      </c>
      <c r="M50" s="250">
        <v>0</v>
      </c>
      <c r="N50" s="250">
        <v>0</v>
      </c>
      <c r="O50" s="250">
        <v>0</v>
      </c>
      <c r="P50" s="250">
        <v>0</v>
      </c>
      <c r="Q50" s="250">
        <v>0</v>
      </c>
      <c r="R50" s="250">
        <v>0</v>
      </c>
    </row>
    <row r="51" spans="1:18">
      <c r="A51" s="60" t="s">
        <v>1020</v>
      </c>
      <c r="B51" s="61" t="s">
        <v>1019</v>
      </c>
      <c r="C51" s="8" t="s">
        <v>892</v>
      </c>
      <c r="D51" s="250">
        <f>'4.9_пр-во (свод)'!D51+'4.9_транзит (свод)'!D51+'4.9_сбыт (свод)'!D51</f>
        <v>0</v>
      </c>
      <c r="E51" s="250">
        <f>'4.9_пр-во (свод)'!E51+'4.9_транзит (свод)'!E51+'4.9_сбыт (свод)'!E51</f>
        <v>1311</v>
      </c>
      <c r="F51" s="250">
        <v>0</v>
      </c>
      <c r="G51" s="250">
        <v>2448</v>
      </c>
      <c r="H51" s="250">
        <v>0</v>
      </c>
      <c r="I51" s="250"/>
      <c r="J51" s="250">
        <v>1620</v>
      </c>
      <c r="K51" s="250">
        <v>0</v>
      </c>
      <c r="L51" s="250">
        <v>1086</v>
      </c>
      <c r="M51" s="250">
        <v>1156</v>
      </c>
      <c r="N51" s="250">
        <v>578</v>
      </c>
      <c r="O51" s="250">
        <v>578</v>
      </c>
      <c r="P51" s="250">
        <v>1225</v>
      </c>
      <c r="Q51" s="250">
        <v>612.5</v>
      </c>
      <c r="R51" s="250">
        <v>612.5</v>
      </c>
    </row>
    <row r="52" spans="1:18" ht="30">
      <c r="A52" s="60" t="s">
        <v>1018</v>
      </c>
      <c r="B52" s="61" t="s">
        <v>934</v>
      </c>
      <c r="C52" s="8" t="s">
        <v>892</v>
      </c>
      <c r="D52" s="250">
        <f>'4.9_пр-во (свод)'!D52+'4.9_транзит (свод)'!D52+'4.9_сбыт (свод)'!D52</f>
        <v>0</v>
      </c>
      <c r="E52" s="250">
        <f>'4.9_пр-во (свод)'!E52+'4.9_транзит (свод)'!E52+'4.9_сбыт (свод)'!E52</f>
        <v>0</v>
      </c>
      <c r="F52" s="250">
        <v>0</v>
      </c>
      <c r="G52" s="250">
        <v>0</v>
      </c>
      <c r="H52" s="250">
        <v>0</v>
      </c>
      <c r="I52" s="250"/>
      <c r="J52" s="250">
        <v>0</v>
      </c>
      <c r="K52" s="250">
        <v>0</v>
      </c>
      <c r="L52" s="250">
        <v>0</v>
      </c>
      <c r="M52" s="250">
        <v>41400</v>
      </c>
      <c r="N52" s="250">
        <v>0</v>
      </c>
      <c r="O52" s="250">
        <v>41400</v>
      </c>
      <c r="P52" s="250">
        <v>43843</v>
      </c>
      <c r="Q52" s="250">
        <v>0</v>
      </c>
      <c r="R52" s="250">
        <v>43843</v>
      </c>
    </row>
    <row r="53" spans="1:18" ht="75">
      <c r="A53" s="60" t="s">
        <v>1071</v>
      </c>
      <c r="B53" s="61" t="s">
        <v>1558</v>
      </c>
      <c r="C53" s="8" t="s">
        <v>892</v>
      </c>
      <c r="D53" s="250">
        <f>'4.9_пр-во (свод)'!D53+'4.9_транзит (свод)'!D53+'4.9_сбыт (свод)'!D53</f>
        <v>0</v>
      </c>
      <c r="E53" s="250">
        <f>'4.9_пр-во (свод)'!E53+'4.9_транзит (свод)'!E53+'4.9_сбыт (свод)'!E53</f>
        <v>24352</v>
      </c>
      <c r="F53" s="250">
        <v>0</v>
      </c>
      <c r="G53" s="250">
        <v>40967</v>
      </c>
      <c r="H53" s="250">
        <v>0</v>
      </c>
      <c r="I53" s="250"/>
      <c r="J53" s="250">
        <v>0</v>
      </c>
      <c r="K53" s="250">
        <v>0</v>
      </c>
      <c r="L53" s="250">
        <v>0</v>
      </c>
      <c r="M53" s="250">
        <v>0</v>
      </c>
      <c r="N53" s="250">
        <v>0</v>
      </c>
      <c r="O53" s="250">
        <v>0</v>
      </c>
      <c r="P53" s="250">
        <v>0</v>
      </c>
      <c r="Q53" s="250">
        <v>0</v>
      </c>
      <c r="R53" s="250">
        <v>0</v>
      </c>
    </row>
    <row r="54" spans="1:18" ht="30">
      <c r="A54" s="60"/>
      <c r="B54" s="61" t="s">
        <v>903</v>
      </c>
      <c r="C54" s="8"/>
      <c r="D54" s="250">
        <v>12</v>
      </c>
      <c r="E54" s="250">
        <v>12</v>
      </c>
      <c r="F54" s="250">
        <v>12</v>
      </c>
      <c r="G54" s="250">
        <v>12</v>
      </c>
      <c r="H54" s="250">
        <v>12</v>
      </c>
      <c r="I54" s="250">
        <v>12</v>
      </c>
      <c r="J54" s="250">
        <v>12</v>
      </c>
      <c r="K54" s="250">
        <v>12</v>
      </c>
      <c r="L54" s="250">
        <v>12</v>
      </c>
      <c r="M54" s="250">
        <v>12</v>
      </c>
      <c r="N54" s="250">
        <v>6</v>
      </c>
      <c r="O54" s="250">
        <v>6</v>
      </c>
      <c r="P54" s="250">
        <v>12</v>
      </c>
      <c r="Q54" s="250">
        <v>6</v>
      </c>
      <c r="R54" s="250">
        <v>6</v>
      </c>
    </row>
    <row r="55" spans="1:18" s="763" customFormat="1" ht="28.5">
      <c r="A55" s="1352" t="s">
        <v>904</v>
      </c>
      <c r="B55" s="1353" t="s">
        <v>905</v>
      </c>
      <c r="C55" s="1354" t="s">
        <v>892</v>
      </c>
      <c r="D55" s="1013">
        <f>'4.9_пр-во (свод)'!D55+'4.9_транзит+сбыт (свод)'!D55+1</f>
        <v>1154341.1188068422</v>
      </c>
      <c r="E55" s="1013">
        <f>'4.9_пр-во (свод)'!E55+'4.9_транзит+сбыт (свод)'!E55+10</f>
        <v>1255282.2781468355</v>
      </c>
      <c r="F55" s="1013">
        <v>1390669.6123549258</v>
      </c>
      <c r="G55" s="1013">
        <v>1506381.2780655578</v>
      </c>
      <c r="H55" s="1013">
        <v>1548457</v>
      </c>
      <c r="I55" s="1013">
        <v>8170</v>
      </c>
      <c r="J55" s="1013">
        <v>1650578.5521531804</v>
      </c>
      <c r="K55" s="1013">
        <v>1705143</v>
      </c>
      <c r="L55" s="1013">
        <v>1820300.8170399999</v>
      </c>
      <c r="M55" s="1013">
        <v>2029892.1422634399</v>
      </c>
      <c r="N55" s="1013">
        <v>974557.24128928001</v>
      </c>
      <c r="O55" s="1013">
        <v>1055334.9009741601</v>
      </c>
      <c r="P55" s="1013">
        <v>2149527.9970092401</v>
      </c>
      <c r="Q55" s="1013">
        <v>1040454.8052433999</v>
      </c>
      <c r="R55" s="1013">
        <v>1109073.1917658399</v>
      </c>
    </row>
    <row r="56" spans="1:18" ht="30">
      <c r="A56" s="60" t="s">
        <v>906</v>
      </c>
      <c r="B56" s="61" t="s">
        <v>909</v>
      </c>
      <c r="C56" s="8" t="s">
        <v>892</v>
      </c>
      <c r="D56" s="250"/>
      <c r="E56" s="250"/>
      <c r="F56" s="250"/>
      <c r="G56" s="250"/>
      <c r="H56" s="250"/>
      <c r="I56" s="250"/>
      <c r="J56" s="250"/>
      <c r="K56" s="250"/>
      <c r="L56" s="250"/>
      <c r="M56" s="250"/>
      <c r="N56" s="250"/>
      <c r="O56" s="250"/>
      <c r="P56" s="250"/>
      <c r="Q56" s="250"/>
      <c r="R56" s="250"/>
    </row>
    <row r="57" spans="1:18">
      <c r="A57" s="60" t="s">
        <v>907</v>
      </c>
      <c r="B57" s="61" t="s">
        <v>910</v>
      </c>
      <c r="C57" s="8" t="s">
        <v>892</v>
      </c>
      <c r="D57" s="250">
        <f>'4.9_пр-во (свод)'!D57+'4.9_транзит (свод)'!D57+'4.9_сбыт (свод)'!D57</f>
        <v>1154341.1188068425</v>
      </c>
      <c r="E57" s="250">
        <f>'4.9_пр-во (свод)'!E57+'4.9_транзит (свод)'!E57+'4.9_сбыт (свод)'!E57+15</f>
        <v>1255282.2781468355</v>
      </c>
      <c r="F57" s="250">
        <v>1390669.6123549258</v>
      </c>
      <c r="G57" s="250">
        <v>1506381.2780655578</v>
      </c>
      <c r="H57" s="250">
        <v>1548457</v>
      </c>
      <c r="I57" s="250">
        <v>8170</v>
      </c>
      <c r="J57" s="250">
        <v>1650578.5521531804</v>
      </c>
      <c r="K57" s="250">
        <v>1705143</v>
      </c>
      <c r="L57" s="250">
        <v>1820300.8170399996</v>
      </c>
      <c r="M57" s="250">
        <v>2029889.31148744</v>
      </c>
      <c r="N57" s="250">
        <v>974559.24128928001</v>
      </c>
      <c r="O57" s="250">
        <v>1055334.9009741601</v>
      </c>
      <c r="P57" s="250">
        <v>2149528.9970092401</v>
      </c>
      <c r="Q57" s="250">
        <v>1040454.8052434</v>
      </c>
      <c r="R57" s="250">
        <v>1109073.1917658399</v>
      </c>
    </row>
    <row r="58" spans="1:18">
      <c r="A58" s="60" t="s">
        <v>908</v>
      </c>
      <c r="B58" s="61" t="s">
        <v>911</v>
      </c>
      <c r="C58" s="8" t="s">
        <v>892</v>
      </c>
      <c r="D58" s="250">
        <f>'4.9_пр-во (свод)'!D58+'4.9_транзит (свод)'!D58+'4.9_сбыт (свод)'!D58</f>
        <v>0</v>
      </c>
      <c r="E58" s="250">
        <f>'4.9_пр-во (свод)'!E58+'4.9_транзит (свод)'!E58+'4.9_сбыт (свод)'!E58</f>
        <v>0</v>
      </c>
      <c r="F58" s="250">
        <v>0</v>
      </c>
      <c r="G58" s="250">
        <v>0</v>
      </c>
      <c r="H58" s="250">
        <v>0</v>
      </c>
      <c r="I58" s="250"/>
      <c r="J58" s="250">
        <v>0</v>
      </c>
      <c r="K58" s="250">
        <v>0</v>
      </c>
      <c r="L58" s="250">
        <v>0</v>
      </c>
      <c r="M58" s="250">
        <v>0</v>
      </c>
      <c r="N58" s="250">
        <v>0</v>
      </c>
      <c r="O58" s="250">
        <v>0</v>
      </c>
      <c r="P58" s="250">
        <v>0</v>
      </c>
      <c r="Q58" s="250">
        <v>0</v>
      </c>
      <c r="R58" s="250">
        <v>0</v>
      </c>
    </row>
    <row r="59" spans="1:18">
      <c r="A59" s="60" t="s">
        <v>912</v>
      </c>
      <c r="B59" s="61" t="s">
        <v>913</v>
      </c>
      <c r="C59" s="8" t="s">
        <v>892</v>
      </c>
      <c r="D59" s="250">
        <f>'4.9_пр-во (свод)'!D59+'4.9_транзит (свод)'!D59+'4.9_сбыт (свод)'!D59</f>
        <v>0</v>
      </c>
      <c r="E59" s="250">
        <f>'4.9_пр-во (свод)'!E59+'4.9_транзит (свод)'!E59+'4.9_сбыт (свод)'!E59</f>
        <v>0</v>
      </c>
      <c r="F59" s="250">
        <v>0</v>
      </c>
      <c r="G59" s="250">
        <v>0</v>
      </c>
      <c r="H59" s="250">
        <v>0</v>
      </c>
      <c r="I59" s="250"/>
      <c r="J59" s="250">
        <v>0</v>
      </c>
      <c r="K59" s="250">
        <v>0</v>
      </c>
      <c r="L59" s="250">
        <v>0</v>
      </c>
      <c r="M59" s="250">
        <v>0</v>
      </c>
      <c r="N59" s="250">
        <v>0</v>
      </c>
      <c r="O59" s="250">
        <v>0</v>
      </c>
      <c r="P59" s="250">
        <v>0</v>
      </c>
      <c r="Q59" s="250">
        <v>0</v>
      </c>
      <c r="R59" s="250">
        <v>0</v>
      </c>
    </row>
    <row r="60" spans="1:18" ht="30">
      <c r="A60" s="60" t="s">
        <v>97</v>
      </c>
      <c r="B60" s="61" t="s">
        <v>914</v>
      </c>
      <c r="C60" s="8" t="s">
        <v>846</v>
      </c>
      <c r="D60" s="250"/>
      <c r="E60" s="250"/>
      <c r="F60" s="250"/>
      <c r="G60" s="250"/>
      <c r="H60" s="250"/>
      <c r="I60" s="250"/>
      <c r="J60" s="250"/>
      <c r="K60" s="250"/>
      <c r="L60" s="250"/>
      <c r="M60" s="250"/>
      <c r="N60" s="250"/>
      <c r="O60" s="250"/>
      <c r="P60" s="250"/>
      <c r="Q60" s="250"/>
      <c r="R60" s="250"/>
    </row>
    <row r="61" spans="1:18">
      <c r="A61" s="60" t="s">
        <v>915</v>
      </c>
      <c r="B61" s="61" t="s">
        <v>458</v>
      </c>
      <c r="C61" s="8" t="s">
        <v>453</v>
      </c>
      <c r="D61" s="250"/>
      <c r="E61" s="250"/>
      <c r="F61" s="250"/>
      <c r="G61" s="250"/>
      <c r="H61" s="250"/>
      <c r="I61" s="250"/>
      <c r="J61" s="250"/>
      <c r="K61" s="250"/>
      <c r="L61" s="250"/>
      <c r="M61" s="250"/>
      <c r="N61" s="250"/>
      <c r="O61" s="250"/>
      <c r="P61" s="250"/>
      <c r="Q61" s="250"/>
      <c r="R61" s="250"/>
    </row>
    <row r="62" spans="1:18">
      <c r="A62" s="60" t="s">
        <v>916</v>
      </c>
      <c r="B62" s="253" t="s">
        <v>923</v>
      </c>
      <c r="C62" s="8" t="s">
        <v>453</v>
      </c>
      <c r="D62" s="250"/>
      <c r="E62" s="250"/>
      <c r="F62" s="250"/>
      <c r="G62" s="250"/>
      <c r="H62" s="250"/>
      <c r="I62" s="250"/>
      <c r="J62" s="250"/>
      <c r="K62" s="250"/>
      <c r="L62" s="250"/>
      <c r="M62" s="250"/>
      <c r="N62" s="250"/>
      <c r="O62" s="250"/>
      <c r="P62" s="250"/>
      <c r="Q62" s="250"/>
      <c r="R62" s="250"/>
    </row>
    <row r="63" spans="1:18">
      <c r="A63" s="60" t="s">
        <v>917</v>
      </c>
      <c r="B63" s="253" t="s">
        <v>924</v>
      </c>
      <c r="C63" s="8" t="s">
        <v>465</v>
      </c>
      <c r="D63" s="250"/>
      <c r="E63" s="250"/>
      <c r="F63" s="250"/>
      <c r="G63" s="250"/>
      <c r="H63" s="250"/>
      <c r="I63" s="250"/>
      <c r="J63" s="250"/>
      <c r="K63" s="250"/>
      <c r="L63" s="250"/>
      <c r="M63" s="250"/>
      <c r="N63" s="250"/>
      <c r="O63" s="250"/>
      <c r="P63" s="250"/>
      <c r="Q63" s="250"/>
      <c r="R63" s="250"/>
    </row>
    <row r="64" spans="1:18">
      <c r="A64" s="60" t="s">
        <v>918</v>
      </c>
      <c r="B64" s="61" t="s">
        <v>899</v>
      </c>
      <c r="C64" s="8" t="s">
        <v>892</v>
      </c>
      <c r="D64" s="250"/>
      <c r="E64" s="250"/>
      <c r="F64" s="250"/>
      <c r="G64" s="250"/>
      <c r="H64" s="250"/>
      <c r="I64" s="250"/>
      <c r="J64" s="250"/>
      <c r="K64" s="250"/>
      <c r="L64" s="250"/>
      <c r="M64" s="250"/>
      <c r="N64" s="250"/>
      <c r="O64" s="250"/>
      <c r="P64" s="250"/>
      <c r="Q64" s="250"/>
      <c r="R64" s="250"/>
    </row>
    <row r="65" spans="1:18">
      <c r="A65" s="60" t="s">
        <v>919</v>
      </c>
      <c r="B65" s="61" t="s">
        <v>922</v>
      </c>
      <c r="C65" s="8" t="s">
        <v>892</v>
      </c>
      <c r="D65" s="250"/>
      <c r="E65" s="250"/>
      <c r="F65" s="250"/>
      <c r="G65" s="250"/>
      <c r="H65" s="250"/>
      <c r="I65" s="250"/>
      <c r="J65" s="250"/>
      <c r="K65" s="250"/>
      <c r="L65" s="250"/>
      <c r="M65" s="250"/>
      <c r="N65" s="250"/>
      <c r="O65" s="250"/>
      <c r="P65" s="250"/>
      <c r="Q65" s="250"/>
      <c r="R65" s="250"/>
    </row>
    <row r="66" spans="1:18">
      <c r="A66" s="60" t="s">
        <v>920</v>
      </c>
      <c r="B66" s="61" t="s">
        <v>925</v>
      </c>
      <c r="C66" s="8" t="s">
        <v>892</v>
      </c>
      <c r="D66" s="250"/>
      <c r="E66" s="250"/>
      <c r="F66" s="250"/>
      <c r="G66" s="250"/>
      <c r="H66" s="250"/>
      <c r="I66" s="250"/>
      <c r="J66" s="250"/>
      <c r="K66" s="250"/>
      <c r="L66" s="250"/>
      <c r="M66" s="250"/>
      <c r="N66" s="250"/>
      <c r="O66" s="250"/>
      <c r="P66" s="250"/>
      <c r="Q66" s="250"/>
      <c r="R66" s="250"/>
    </row>
    <row r="67" spans="1:18" ht="30">
      <c r="A67" s="60" t="s">
        <v>921</v>
      </c>
      <c r="B67" s="61" t="s">
        <v>909</v>
      </c>
      <c r="C67" s="8" t="s">
        <v>892</v>
      </c>
      <c r="D67" s="250"/>
      <c r="E67" s="250"/>
      <c r="F67" s="250"/>
      <c r="G67" s="250"/>
      <c r="H67" s="250"/>
      <c r="I67" s="250"/>
      <c r="J67" s="250"/>
      <c r="K67" s="250"/>
      <c r="L67" s="250"/>
      <c r="M67" s="250"/>
      <c r="N67" s="250"/>
      <c r="O67" s="250"/>
      <c r="P67" s="250"/>
      <c r="Q67" s="250"/>
      <c r="R67" s="250"/>
    </row>
    <row r="68" spans="1:18" ht="30">
      <c r="A68" s="60" t="s">
        <v>926</v>
      </c>
      <c r="B68" s="61" t="s">
        <v>909</v>
      </c>
      <c r="C68" s="8" t="s">
        <v>892</v>
      </c>
      <c r="D68" s="250"/>
      <c r="E68" s="250"/>
      <c r="F68" s="250"/>
      <c r="G68" s="250"/>
      <c r="H68" s="250"/>
      <c r="I68" s="250"/>
      <c r="J68" s="250"/>
      <c r="K68" s="250"/>
      <c r="L68" s="250"/>
      <c r="M68" s="250"/>
      <c r="N68" s="250"/>
      <c r="O68" s="250"/>
      <c r="P68" s="250"/>
      <c r="Q68" s="250"/>
      <c r="R68" s="250"/>
    </row>
    <row r="69" spans="1:18">
      <c r="A69" s="60" t="s">
        <v>927</v>
      </c>
      <c r="B69" s="61" t="s">
        <v>910</v>
      </c>
      <c r="C69" s="8" t="s">
        <v>892</v>
      </c>
      <c r="D69" s="250"/>
      <c r="E69" s="250"/>
      <c r="F69" s="250"/>
      <c r="G69" s="250"/>
      <c r="H69" s="250"/>
      <c r="I69" s="250"/>
      <c r="J69" s="250"/>
      <c r="K69" s="250"/>
      <c r="L69" s="250"/>
      <c r="M69" s="250"/>
      <c r="N69" s="250"/>
      <c r="O69" s="250"/>
      <c r="P69" s="250"/>
      <c r="Q69" s="250"/>
      <c r="R69" s="250"/>
    </row>
    <row r="70" spans="1:18">
      <c r="A70" s="60" t="s">
        <v>928</v>
      </c>
      <c r="B70" s="61" t="s">
        <v>911</v>
      </c>
      <c r="C70" s="8" t="s">
        <v>892</v>
      </c>
      <c r="D70" s="250"/>
      <c r="E70" s="250"/>
      <c r="F70" s="250"/>
      <c r="G70" s="250"/>
      <c r="H70" s="250"/>
      <c r="I70" s="250"/>
      <c r="J70" s="250"/>
      <c r="K70" s="250"/>
      <c r="L70" s="250"/>
      <c r="M70" s="250"/>
      <c r="N70" s="250"/>
      <c r="O70" s="250"/>
      <c r="P70" s="250"/>
      <c r="Q70" s="250"/>
      <c r="R70" s="250"/>
    </row>
    <row r="71" spans="1:18">
      <c r="A71" s="60" t="s">
        <v>921</v>
      </c>
      <c r="B71" s="61" t="s">
        <v>913</v>
      </c>
      <c r="C71" s="8" t="s">
        <v>892</v>
      </c>
      <c r="D71" s="250"/>
      <c r="E71" s="250"/>
      <c r="F71" s="250"/>
      <c r="G71" s="250"/>
      <c r="H71" s="250"/>
      <c r="I71" s="250"/>
      <c r="J71" s="250"/>
      <c r="K71" s="250"/>
      <c r="L71" s="250"/>
      <c r="M71" s="250"/>
      <c r="N71" s="250"/>
      <c r="O71" s="250"/>
      <c r="P71" s="250"/>
      <c r="Q71" s="250"/>
      <c r="R71" s="250"/>
    </row>
    <row r="72" spans="1:18" ht="30">
      <c r="A72" s="60" t="s">
        <v>929</v>
      </c>
      <c r="B72" s="61" t="s">
        <v>930</v>
      </c>
      <c r="C72" s="8" t="s">
        <v>138</v>
      </c>
      <c r="D72" s="250"/>
      <c r="E72" s="250"/>
      <c r="F72" s="250"/>
      <c r="G72" s="250"/>
      <c r="H72" s="250"/>
      <c r="I72" s="250"/>
      <c r="J72" s="250"/>
      <c r="K72" s="250"/>
      <c r="L72" s="250"/>
      <c r="M72" s="250"/>
      <c r="N72" s="250"/>
      <c r="O72" s="250"/>
      <c r="P72" s="250"/>
      <c r="Q72" s="250"/>
      <c r="R72" s="250"/>
    </row>
    <row r="74" spans="1:18" ht="64.5" customHeight="1">
      <c r="A74" s="1963" t="s">
        <v>931</v>
      </c>
      <c r="B74" s="1963"/>
      <c r="C74" s="1963"/>
      <c r="D74" s="1963"/>
      <c r="E74" s="1963"/>
      <c r="F74" s="1963"/>
      <c r="G74" s="1963"/>
      <c r="H74" s="1963"/>
      <c r="I74" s="1963"/>
      <c r="J74" s="1963"/>
      <c r="K74" s="1963"/>
      <c r="L74" s="1963"/>
      <c r="M74" s="1963"/>
      <c r="N74" s="1963"/>
      <c r="O74" s="1963"/>
    </row>
    <row r="76" spans="1:18">
      <c r="A76" s="1" t="s">
        <v>88</v>
      </c>
    </row>
    <row r="77" spans="1:18" ht="51.75" customHeight="1">
      <c r="A77" s="1963" t="s">
        <v>932</v>
      </c>
      <c r="B77" s="1963"/>
      <c r="C77" s="1963"/>
      <c r="D77" s="1963"/>
      <c r="E77" s="1963"/>
      <c r="F77" s="1963"/>
      <c r="G77" s="1963"/>
      <c r="H77" s="1963"/>
      <c r="I77" s="1963"/>
      <c r="J77" s="1963"/>
      <c r="K77" s="1963"/>
      <c r="L77" s="1963"/>
      <c r="M77" s="1963"/>
      <c r="N77" s="1963"/>
      <c r="O77" s="1963"/>
    </row>
    <row r="78" spans="1:18" ht="69" customHeight="1">
      <c r="A78" s="1963" t="s">
        <v>933</v>
      </c>
      <c r="B78" s="1963"/>
      <c r="C78" s="1963"/>
      <c r="D78" s="1963"/>
      <c r="E78" s="1963"/>
      <c r="F78" s="1963"/>
      <c r="G78" s="1963"/>
      <c r="H78" s="1963"/>
      <c r="I78" s="1963"/>
      <c r="J78" s="1963"/>
      <c r="K78" s="1963"/>
      <c r="L78" s="1963"/>
      <c r="M78" s="1963"/>
      <c r="N78" s="1963"/>
      <c r="O78" s="1963"/>
    </row>
  </sheetData>
  <mergeCells count="4">
    <mergeCell ref="A3:O3"/>
    <mergeCell ref="A74:O74"/>
    <mergeCell ref="A77:O77"/>
    <mergeCell ref="A78:O78"/>
  </mergeCells>
  <pageMargins left="0.81" right="0.31496062992125984" top="0.36" bottom="0.23622047244094491" header="0.49" footer="0.19685039370078741"/>
  <pageSetup paperSize="9" scale="45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Z36"/>
  <sheetViews>
    <sheetView view="pageBreakPreview" zoomScaleNormal="100" zoomScaleSheetLayoutView="100" workbookViewId="0">
      <pane xSplit="2" ySplit="8" topLeftCell="C18" activePane="bottomRight" state="frozen"/>
      <selection pane="topRight" activeCell="C1" sqref="C1"/>
      <selection pane="bottomLeft" activeCell="A16" sqref="A16"/>
      <selection pane="bottomRight" activeCell="E20" sqref="E20"/>
    </sheetView>
  </sheetViews>
  <sheetFormatPr defaultColWidth="4.85546875" defaultRowHeight="12" customHeight="1" outlineLevelCol="1"/>
  <cols>
    <col min="1" max="1" width="4.85546875" style="26" customWidth="1"/>
    <col min="2" max="2" width="40.140625" style="26" customWidth="1"/>
    <col min="3" max="3" width="10.7109375" style="107" customWidth="1"/>
    <col min="4" max="4" width="10.42578125" style="107" customWidth="1"/>
    <col min="5" max="5" width="5.85546875" style="107" customWidth="1"/>
    <col min="6" max="6" width="2.5703125" style="107" customWidth="1" outlineLevel="1"/>
    <col min="7" max="7" width="6.28515625" style="107" customWidth="1" outlineLevel="1"/>
    <col min="8" max="10" width="2.7109375" style="107" customWidth="1" outlineLevel="1"/>
    <col min="11" max="11" width="10.7109375" style="300" customWidth="1"/>
    <col min="12" max="12" width="10.42578125" style="300" customWidth="1"/>
    <col min="13" max="13" width="5.85546875" style="300" customWidth="1"/>
    <col min="14" max="14" width="2.5703125" style="300" customWidth="1" outlineLevel="1"/>
    <col min="15" max="15" width="6.28515625" style="300" customWidth="1" outlineLevel="1"/>
    <col min="16" max="18" width="2.7109375" style="300" customWidth="1" outlineLevel="1"/>
    <col min="19" max="19" width="10.7109375" style="300" customWidth="1"/>
    <col min="20" max="20" width="10.42578125" style="300" customWidth="1"/>
    <col min="21" max="21" width="5.85546875" style="300" customWidth="1"/>
    <col min="22" max="22" width="2.5703125" style="300" customWidth="1" outlineLevel="1"/>
    <col min="23" max="23" width="6.28515625" style="300" customWidth="1" outlineLevel="1"/>
    <col min="24" max="26" width="2.7109375" style="300" customWidth="1" outlineLevel="1"/>
    <col min="27" max="16384" width="4.85546875" style="26"/>
  </cols>
  <sheetData>
    <row r="1" spans="1:26" s="24" customFormat="1" ht="14.25">
      <c r="A1" s="530" t="s">
        <v>765</v>
      </c>
      <c r="B1" s="298"/>
      <c r="C1" s="298"/>
      <c r="D1" s="298"/>
      <c r="E1" s="298"/>
      <c r="F1" s="298"/>
      <c r="G1" s="298"/>
      <c r="H1" s="298"/>
      <c r="I1" s="298"/>
      <c r="J1" s="299"/>
      <c r="K1" s="298"/>
      <c r="L1" s="298"/>
      <c r="M1" s="298"/>
      <c r="N1" s="298"/>
      <c r="O1" s="298"/>
      <c r="P1" s="298"/>
      <c r="Q1" s="298"/>
      <c r="R1" s="299"/>
      <c r="S1" s="298"/>
      <c r="T1" s="298"/>
      <c r="U1" s="298"/>
      <c r="V1" s="298"/>
      <c r="W1" s="298"/>
      <c r="X1" s="298"/>
      <c r="Y1" s="298"/>
      <c r="Z1" s="25" t="s">
        <v>60</v>
      </c>
    </row>
    <row r="2" spans="1:26" ht="15" customHeight="1">
      <c r="A2" s="531" t="str">
        <f>'3.1'!$A$2</f>
        <v>ПКГО - Комбинированная выработка КТЭЦ</v>
      </c>
      <c r="B2" s="300"/>
      <c r="C2" s="300"/>
      <c r="D2" s="300"/>
      <c r="E2" s="300"/>
      <c r="F2" s="300"/>
      <c r="G2" s="300"/>
      <c r="H2" s="300"/>
      <c r="I2" s="300"/>
      <c r="J2" s="300"/>
    </row>
    <row r="3" spans="1:26" ht="18.75">
      <c r="A3" s="1861" t="s">
        <v>61</v>
      </c>
      <c r="B3" s="1861"/>
      <c r="C3" s="1861"/>
      <c r="D3" s="1861"/>
      <c r="E3" s="1861"/>
      <c r="F3" s="1861"/>
      <c r="G3" s="1861"/>
      <c r="H3" s="1861"/>
      <c r="I3" s="1861"/>
      <c r="J3" s="1861"/>
      <c r="K3" s="1861"/>
      <c r="L3" s="1861"/>
      <c r="M3" s="1861"/>
      <c r="N3" s="1861"/>
      <c r="O3" s="1861"/>
      <c r="P3" s="1861"/>
      <c r="Q3" s="1861"/>
      <c r="R3" s="1861"/>
      <c r="S3" s="1861"/>
      <c r="T3" s="1861"/>
      <c r="U3" s="1861"/>
      <c r="V3" s="1861"/>
      <c r="W3" s="1861"/>
      <c r="X3" s="1861"/>
      <c r="Y3" s="1861"/>
      <c r="Z3" s="1861"/>
    </row>
    <row r="4" spans="1:26" s="71" customFormat="1" ht="15.75" customHeight="1">
      <c r="A4" s="294"/>
      <c r="B4" s="294"/>
      <c r="C4" s="294"/>
      <c r="D4" s="294"/>
      <c r="E4" s="294"/>
      <c r="F4" s="294"/>
      <c r="G4" s="294"/>
      <c r="H4" s="294"/>
      <c r="I4" s="294"/>
      <c r="J4" s="301"/>
      <c r="K4" s="294"/>
      <c r="L4" s="294"/>
      <c r="M4" s="294"/>
      <c r="N4" s="294"/>
      <c r="O4" s="294"/>
      <c r="P4" s="294"/>
      <c r="Q4" s="294"/>
      <c r="R4" s="301"/>
      <c r="S4" s="294"/>
      <c r="T4" s="294"/>
      <c r="U4" s="294"/>
      <c r="V4" s="294"/>
      <c r="W4" s="294"/>
      <c r="X4" s="294"/>
      <c r="Y4" s="294"/>
      <c r="Z4" s="301"/>
    </row>
    <row r="5" spans="1:26" s="31" customFormat="1" ht="30.75" customHeight="1">
      <c r="A5" s="1858" t="s">
        <v>0</v>
      </c>
      <c r="B5" s="1858" t="s">
        <v>1</v>
      </c>
      <c r="C5" s="1862" t="s">
        <v>773</v>
      </c>
      <c r="D5" s="1863"/>
      <c r="E5" s="1863"/>
      <c r="F5" s="1863"/>
      <c r="G5" s="1863"/>
      <c r="H5" s="1863"/>
      <c r="I5" s="1863"/>
      <c r="J5" s="1863"/>
      <c r="K5" s="1844" t="s">
        <v>774</v>
      </c>
      <c r="L5" s="1845"/>
      <c r="M5" s="1845"/>
      <c r="N5" s="1845"/>
      <c r="O5" s="1845"/>
      <c r="P5" s="1845"/>
      <c r="Q5" s="1845"/>
      <c r="R5" s="1845"/>
      <c r="S5" s="1844" t="s">
        <v>775</v>
      </c>
      <c r="T5" s="1845"/>
      <c r="U5" s="1845"/>
      <c r="V5" s="1845"/>
      <c r="W5" s="1845"/>
      <c r="X5" s="1845"/>
      <c r="Y5" s="1845"/>
      <c r="Z5" s="1845"/>
    </row>
    <row r="6" spans="1:26" s="31" customFormat="1" ht="15" customHeight="1">
      <c r="A6" s="1859"/>
      <c r="B6" s="1859"/>
      <c r="C6" s="1864" t="s">
        <v>63</v>
      </c>
      <c r="D6" s="1862" t="s">
        <v>64</v>
      </c>
      <c r="E6" s="1863"/>
      <c r="F6" s="1863"/>
      <c r="G6" s="1863"/>
      <c r="H6" s="1863"/>
      <c r="I6" s="1863"/>
      <c r="J6" s="1863"/>
      <c r="K6" s="1851" t="s">
        <v>63</v>
      </c>
      <c r="L6" s="1844" t="s">
        <v>64</v>
      </c>
      <c r="M6" s="1845"/>
      <c r="N6" s="1845"/>
      <c r="O6" s="1845"/>
      <c r="P6" s="1845"/>
      <c r="Q6" s="1845"/>
      <c r="R6" s="1845"/>
      <c r="S6" s="1851" t="s">
        <v>63</v>
      </c>
      <c r="T6" s="1844" t="s">
        <v>64</v>
      </c>
      <c r="U6" s="1845"/>
      <c r="V6" s="1845"/>
      <c r="W6" s="1845"/>
      <c r="X6" s="1845"/>
      <c r="Y6" s="1845"/>
      <c r="Z6" s="1845"/>
    </row>
    <row r="7" spans="1:26" s="31" customFormat="1" ht="15" customHeight="1">
      <c r="A7" s="1859"/>
      <c r="B7" s="1859"/>
      <c r="C7" s="1865"/>
      <c r="D7" s="1867" t="s">
        <v>65</v>
      </c>
      <c r="E7" s="1869" t="s">
        <v>66</v>
      </c>
      <c r="F7" s="1862" t="s">
        <v>64</v>
      </c>
      <c r="G7" s="1863"/>
      <c r="H7" s="1863"/>
      <c r="I7" s="1863"/>
      <c r="J7" s="1863"/>
      <c r="K7" s="1852"/>
      <c r="L7" s="1854" t="s">
        <v>65</v>
      </c>
      <c r="M7" s="1856" t="s">
        <v>66</v>
      </c>
      <c r="N7" s="1844" t="s">
        <v>64</v>
      </c>
      <c r="O7" s="1845"/>
      <c r="P7" s="1845"/>
      <c r="Q7" s="1845"/>
      <c r="R7" s="1845"/>
      <c r="S7" s="1852"/>
      <c r="T7" s="1854" t="s">
        <v>65</v>
      </c>
      <c r="U7" s="1856" t="s">
        <v>66</v>
      </c>
      <c r="V7" s="1844" t="s">
        <v>64</v>
      </c>
      <c r="W7" s="1845"/>
      <c r="X7" s="1845"/>
      <c r="Y7" s="1845"/>
      <c r="Z7" s="1845"/>
    </row>
    <row r="8" spans="1:26" s="31" customFormat="1" ht="84.75" customHeight="1">
      <c r="A8" s="1860"/>
      <c r="B8" s="1860"/>
      <c r="C8" s="1866"/>
      <c r="D8" s="1868"/>
      <c r="E8" s="1870"/>
      <c r="F8" s="279" t="s">
        <v>942</v>
      </c>
      <c r="G8" s="285" t="s">
        <v>67</v>
      </c>
      <c r="H8" s="279" t="s">
        <v>940</v>
      </c>
      <c r="I8" s="279" t="s">
        <v>941</v>
      </c>
      <c r="J8" s="279" t="s">
        <v>68</v>
      </c>
      <c r="K8" s="1853"/>
      <c r="L8" s="1855"/>
      <c r="M8" s="1857"/>
      <c r="N8" s="302" t="s">
        <v>942</v>
      </c>
      <c r="O8" s="303" t="s">
        <v>67</v>
      </c>
      <c r="P8" s="302" t="s">
        <v>940</v>
      </c>
      <c r="Q8" s="302" t="s">
        <v>941</v>
      </c>
      <c r="R8" s="302" t="s">
        <v>68</v>
      </c>
      <c r="S8" s="1853"/>
      <c r="T8" s="1855"/>
      <c r="U8" s="1857"/>
      <c r="V8" s="302" t="s">
        <v>942</v>
      </c>
      <c r="W8" s="303" t="s">
        <v>67</v>
      </c>
      <c r="X8" s="302" t="s">
        <v>940</v>
      </c>
      <c r="Y8" s="302" t="s">
        <v>941</v>
      </c>
      <c r="Z8" s="302" t="s">
        <v>68</v>
      </c>
    </row>
    <row r="9" spans="1:26" s="48" customFormat="1" ht="15">
      <c r="A9" s="13">
        <v>1</v>
      </c>
      <c r="B9" s="13">
        <v>2</v>
      </c>
      <c r="C9" s="109">
        <v>11</v>
      </c>
      <c r="D9" s="109">
        <v>12</v>
      </c>
      <c r="E9" s="280">
        <v>13</v>
      </c>
      <c r="F9" s="280">
        <v>14</v>
      </c>
      <c r="G9" s="109">
        <v>15</v>
      </c>
      <c r="H9" s="109">
        <v>16</v>
      </c>
      <c r="I9" s="109">
        <v>17</v>
      </c>
      <c r="J9" s="109">
        <v>18</v>
      </c>
      <c r="K9" s="281">
        <v>11</v>
      </c>
      <c r="L9" s="281">
        <v>12</v>
      </c>
      <c r="M9" s="282">
        <v>13</v>
      </c>
      <c r="N9" s="282">
        <v>14</v>
      </c>
      <c r="O9" s="281">
        <v>15</v>
      </c>
      <c r="P9" s="281">
        <v>16</v>
      </c>
      <c r="Q9" s="281">
        <v>17</v>
      </c>
      <c r="R9" s="281">
        <v>18</v>
      </c>
      <c r="S9" s="281">
        <v>11</v>
      </c>
      <c r="T9" s="281">
        <v>12</v>
      </c>
      <c r="U9" s="282">
        <v>13</v>
      </c>
      <c r="V9" s="282">
        <v>14</v>
      </c>
      <c r="W9" s="281">
        <v>15</v>
      </c>
      <c r="X9" s="281">
        <v>16</v>
      </c>
      <c r="Y9" s="281">
        <v>17</v>
      </c>
      <c r="Z9" s="281">
        <v>18</v>
      </c>
    </row>
    <row r="10" spans="1:26" s="106" customFormat="1" ht="42.75">
      <c r="A10" s="110" t="s">
        <v>4</v>
      </c>
      <c r="B10" s="111" t="s">
        <v>69</v>
      </c>
      <c r="C10" s="287">
        <f>C12</f>
        <v>1166.482</v>
      </c>
      <c r="D10" s="287">
        <f>D12</f>
        <v>1164.0999999999999</v>
      </c>
      <c r="E10" s="287">
        <f t="shared" ref="E10" si="0">G10</f>
        <v>2.3820000000000001</v>
      </c>
      <c r="F10" s="287"/>
      <c r="G10" s="287">
        <f>G12</f>
        <v>2.3820000000000001</v>
      </c>
      <c r="H10" s="287"/>
      <c r="I10" s="287"/>
      <c r="J10" s="287"/>
      <c r="K10" s="304">
        <f>K12</f>
        <v>700.46600000000001</v>
      </c>
      <c r="L10" s="304">
        <f>L12</f>
        <v>698.96500000000003</v>
      </c>
      <c r="M10" s="304">
        <f t="shared" ref="M10" si="1">O10</f>
        <v>1.5009999999999999</v>
      </c>
      <c r="N10" s="304"/>
      <c r="O10" s="304">
        <f>O12</f>
        <v>1.5009999999999999</v>
      </c>
      <c r="P10" s="304"/>
      <c r="Q10" s="304"/>
      <c r="R10" s="304"/>
      <c r="S10" s="304">
        <f>S12</f>
        <v>466.01599999999996</v>
      </c>
      <c r="T10" s="304">
        <f>T12</f>
        <v>465.13499999999999</v>
      </c>
      <c r="U10" s="304">
        <f t="shared" ref="U10" si="2">W10</f>
        <v>0.88100000000000001</v>
      </c>
      <c r="V10" s="304"/>
      <c r="W10" s="304">
        <f>W12</f>
        <v>0.88100000000000001</v>
      </c>
      <c r="X10" s="304"/>
      <c r="Y10" s="304"/>
      <c r="Z10" s="304"/>
    </row>
    <row r="11" spans="1:26" ht="15" customHeight="1">
      <c r="A11" s="17"/>
      <c r="B11" s="16" t="s">
        <v>70</v>
      </c>
      <c r="C11" s="288"/>
      <c r="D11" s="288"/>
      <c r="E11" s="269"/>
      <c r="F11" s="288"/>
      <c r="G11" s="288"/>
      <c r="H11" s="288"/>
      <c r="I11" s="288"/>
      <c r="J11" s="288"/>
      <c r="K11" s="305"/>
      <c r="L11" s="305"/>
      <c r="M11" s="306"/>
      <c r="N11" s="305"/>
      <c r="O11" s="305"/>
      <c r="P11" s="305"/>
      <c r="Q11" s="305"/>
      <c r="R11" s="305"/>
      <c r="S11" s="305"/>
      <c r="T11" s="305"/>
      <c r="U11" s="306"/>
      <c r="V11" s="305"/>
      <c r="W11" s="305"/>
      <c r="X11" s="305"/>
      <c r="Y11" s="305"/>
      <c r="Z11" s="305"/>
    </row>
    <row r="12" spans="1:26" ht="15" customHeight="1">
      <c r="A12" s="17"/>
      <c r="B12" s="51" t="s">
        <v>71</v>
      </c>
      <c r="C12" s="269">
        <f>D12+E12</f>
        <v>1166.482</v>
      </c>
      <c r="D12" s="289">
        <v>1164.0999999999999</v>
      </c>
      <c r="E12" s="269">
        <f>G12</f>
        <v>2.3820000000000001</v>
      </c>
      <c r="F12" s="288"/>
      <c r="G12" s="289">
        <v>2.3820000000000001</v>
      </c>
      <c r="H12" s="288"/>
      <c r="I12" s="288"/>
      <c r="J12" s="288"/>
      <c r="K12" s="306">
        <f>L12+M12</f>
        <v>700.46600000000001</v>
      </c>
      <c r="L12" s="288">
        <v>698.96500000000003</v>
      </c>
      <c r="M12" s="306">
        <f>O12</f>
        <v>1.5009999999999999</v>
      </c>
      <c r="N12" s="305"/>
      <c r="O12" s="288">
        <v>1.5009999999999999</v>
      </c>
      <c r="P12" s="305"/>
      <c r="Q12" s="305"/>
      <c r="R12" s="305"/>
      <c r="S12" s="306">
        <f>T12+U12</f>
        <v>466.01599999999996</v>
      </c>
      <c r="T12" s="288">
        <v>465.13499999999999</v>
      </c>
      <c r="U12" s="306">
        <f>W12</f>
        <v>0.88100000000000001</v>
      </c>
      <c r="V12" s="305"/>
      <c r="W12" s="288">
        <v>0.88100000000000001</v>
      </c>
      <c r="X12" s="305"/>
      <c r="Y12" s="305"/>
      <c r="Z12" s="305"/>
    </row>
    <row r="13" spans="1:26" ht="15" customHeight="1">
      <c r="A13" s="17"/>
      <c r="B13" s="51" t="s">
        <v>72</v>
      </c>
      <c r="C13" s="269"/>
      <c r="D13" s="269"/>
      <c r="E13" s="269"/>
      <c r="F13" s="269"/>
      <c r="G13" s="269"/>
      <c r="H13" s="269"/>
      <c r="I13" s="269"/>
      <c r="J13" s="269"/>
      <c r="K13" s="306"/>
      <c r="L13" s="306"/>
      <c r="M13" s="306"/>
      <c r="N13" s="306"/>
      <c r="O13" s="306"/>
      <c r="P13" s="306"/>
      <c r="Q13" s="306"/>
      <c r="R13" s="306"/>
      <c r="S13" s="306"/>
      <c r="T13" s="306"/>
      <c r="U13" s="306"/>
      <c r="V13" s="306"/>
      <c r="W13" s="306"/>
      <c r="X13" s="306"/>
      <c r="Y13" s="306"/>
      <c r="Z13" s="306"/>
    </row>
    <row r="14" spans="1:26" ht="15" customHeight="1">
      <c r="A14" s="17"/>
      <c r="B14" s="51" t="s">
        <v>73</v>
      </c>
      <c r="C14" s="269"/>
      <c r="D14" s="269"/>
      <c r="E14" s="269"/>
      <c r="F14" s="269"/>
      <c r="G14" s="269"/>
      <c r="H14" s="269"/>
      <c r="I14" s="269"/>
      <c r="J14" s="269"/>
      <c r="K14" s="306"/>
      <c r="L14" s="306"/>
      <c r="M14" s="306"/>
      <c r="N14" s="306"/>
      <c r="O14" s="306"/>
      <c r="P14" s="306"/>
      <c r="Q14" s="306"/>
      <c r="R14" s="306"/>
      <c r="S14" s="306"/>
      <c r="T14" s="306"/>
      <c r="U14" s="306"/>
      <c r="V14" s="306"/>
      <c r="W14" s="306"/>
      <c r="X14" s="306"/>
      <c r="Y14" s="306"/>
      <c r="Z14" s="306"/>
    </row>
    <row r="15" spans="1:26" ht="15" customHeight="1">
      <c r="A15" s="17"/>
      <c r="B15" s="51" t="s">
        <v>74</v>
      </c>
      <c r="C15" s="269"/>
      <c r="D15" s="269"/>
      <c r="E15" s="269"/>
      <c r="F15" s="269"/>
      <c r="G15" s="269"/>
      <c r="H15" s="269"/>
      <c r="I15" s="269"/>
      <c r="J15" s="269"/>
      <c r="K15" s="306"/>
      <c r="L15" s="306"/>
      <c r="M15" s="306"/>
      <c r="N15" s="306"/>
      <c r="O15" s="306"/>
      <c r="P15" s="306"/>
      <c r="Q15" s="306"/>
      <c r="R15" s="306"/>
      <c r="S15" s="306"/>
      <c r="T15" s="306"/>
      <c r="U15" s="306"/>
      <c r="V15" s="306"/>
      <c r="W15" s="306"/>
      <c r="X15" s="306"/>
      <c r="Y15" s="306"/>
      <c r="Z15" s="306"/>
    </row>
    <row r="16" spans="1:26" ht="15" customHeight="1">
      <c r="A16" s="17" t="s">
        <v>23</v>
      </c>
      <c r="B16" s="16" t="s">
        <v>75</v>
      </c>
      <c r="C16" s="269"/>
      <c r="D16" s="269"/>
      <c r="E16" s="269"/>
      <c r="F16" s="269"/>
      <c r="G16" s="269"/>
      <c r="H16" s="269"/>
      <c r="I16" s="269"/>
      <c r="J16" s="269"/>
      <c r="K16" s="306"/>
      <c r="L16" s="306"/>
      <c r="M16" s="306"/>
      <c r="N16" s="306"/>
      <c r="O16" s="306"/>
      <c r="P16" s="306"/>
      <c r="Q16" s="306"/>
      <c r="R16" s="306"/>
      <c r="S16" s="306"/>
      <c r="T16" s="306"/>
      <c r="U16" s="306"/>
      <c r="V16" s="306"/>
      <c r="W16" s="306"/>
      <c r="X16" s="306"/>
      <c r="Y16" s="306"/>
      <c r="Z16" s="306"/>
    </row>
    <row r="17" spans="1:26" ht="15" customHeight="1">
      <c r="A17" s="17"/>
      <c r="B17" s="16" t="s">
        <v>70</v>
      </c>
      <c r="C17" s="269"/>
      <c r="D17" s="269"/>
      <c r="E17" s="269"/>
      <c r="F17" s="269"/>
      <c r="G17" s="269"/>
      <c r="H17" s="269"/>
      <c r="I17" s="269"/>
      <c r="J17" s="269"/>
      <c r="K17" s="306"/>
      <c r="L17" s="306"/>
      <c r="M17" s="306"/>
      <c r="N17" s="306"/>
      <c r="O17" s="306"/>
      <c r="P17" s="306"/>
      <c r="Q17" s="306"/>
      <c r="R17" s="306"/>
      <c r="S17" s="306"/>
      <c r="T17" s="306"/>
      <c r="U17" s="306"/>
      <c r="V17" s="306"/>
      <c r="W17" s="306"/>
      <c r="X17" s="306"/>
      <c r="Y17" s="306"/>
      <c r="Z17" s="306"/>
    </row>
    <row r="18" spans="1:26" ht="15">
      <c r="A18" s="17"/>
      <c r="B18" s="16" t="s">
        <v>26</v>
      </c>
      <c r="C18" s="269"/>
      <c r="D18" s="269"/>
      <c r="E18" s="269"/>
      <c r="F18" s="269"/>
      <c r="G18" s="269"/>
      <c r="H18" s="269"/>
      <c r="I18" s="269"/>
      <c r="J18" s="269"/>
      <c r="K18" s="306"/>
      <c r="L18" s="306"/>
      <c r="M18" s="306"/>
      <c r="N18" s="306"/>
      <c r="O18" s="306"/>
      <c r="P18" s="306"/>
      <c r="Q18" s="306"/>
      <c r="R18" s="306"/>
      <c r="S18" s="306"/>
      <c r="T18" s="306"/>
      <c r="U18" s="306"/>
      <c r="V18" s="306"/>
      <c r="W18" s="306"/>
      <c r="X18" s="306"/>
      <c r="Y18" s="306"/>
      <c r="Z18" s="306"/>
    </row>
    <row r="19" spans="1:26" s="106" customFormat="1" ht="30" customHeight="1">
      <c r="A19" s="110" t="s">
        <v>27</v>
      </c>
      <c r="B19" s="111" t="s">
        <v>76</v>
      </c>
      <c r="C19" s="287">
        <f t="shared" ref="C19" si="3">D19+E19</f>
        <v>0</v>
      </c>
      <c r="D19" s="290"/>
      <c r="E19" s="287"/>
      <c r="F19" s="287"/>
      <c r="G19" s="290"/>
      <c r="H19" s="287"/>
      <c r="I19" s="287"/>
      <c r="J19" s="287"/>
      <c r="K19" s="304">
        <f t="shared" ref="K19" si="4">L19+M19</f>
        <v>0</v>
      </c>
      <c r="L19" s="287"/>
      <c r="M19" s="304"/>
      <c r="N19" s="304"/>
      <c r="O19" s="287"/>
      <c r="P19" s="304"/>
      <c r="Q19" s="304"/>
      <c r="R19" s="304"/>
      <c r="S19" s="304">
        <f t="shared" ref="S19" si="5">T19+U19</f>
        <v>0</v>
      </c>
      <c r="T19" s="287"/>
      <c r="U19" s="304"/>
      <c r="V19" s="304"/>
      <c r="W19" s="287"/>
      <c r="X19" s="304"/>
      <c r="Y19" s="304"/>
      <c r="Z19" s="304"/>
    </row>
    <row r="20" spans="1:26" s="106" customFormat="1" ht="42.75">
      <c r="A20" s="110" t="s">
        <v>30</v>
      </c>
      <c r="B20" s="111" t="s">
        <v>77</v>
      </c>
      <c r="C20" s="287">
        <f t="shared" ref="C20:G20" si="6">C10+C16-C19</f>
        <v>1166.482</v>
      </c>
      <c r="D20" s="287">
        <f t="shared" si="6"/>
        <v>1164.0999999999999</v>
      </c>
      <c r="E20" s="287">
        <f t="shared" si="6"/>
        <v>2.3820000000000001</v>
      </c>
      <c r="F20" s="287"/>
      <c r="G20" s="287">
        <f t="shared" si="6"/>
        <v>2.3820000000000001</v>
      </c>
      <c r="H20" s="287"/>
      <c r="I20" s="287"/>
      <c r="J20" s="287"/>
      <c r="K20" s="304">
        <f t="shared" ref="K20:M20" si="7">K10+K16-K19</f>
        <v>700.46600000000001</v>
      </c>
      <c r="L20" s="304">
        <f t="shared" si="7"/>
        <v>698.96500000000003</v>
      </c>
      <c r="M20" s="304">
        <f t="shared" si="7"/>
        <v>1.5009999999999999</v>
      </c>
      <c r="N20" s="304"/>
      <c r="O20" s="304">
        <f t="shared" ref="O20" si="8">O10+O16-O19</f>
        <v>1.5009999999999999</v>
      </c>
      <c r="P20" s="304"/>
      <c r="Q20" s="304"/>
      <c r="R20" s="304"/>
      <c r="S20" s="304">
        <f t="shared" ref="S20:U20" si="9">S10+S16-S19</f>
        <v>466.01599999999996</v>
      </c>
      <c r="T20" s="304">
        <f t="shared" si="9"/>
        <v>465.13499999999999</v>
      </c>
      <c r="U20" s="304">
        <f t="shared" si="9"/>
        <v>0.88100000000000001</v>
      </c>
      <c r="V20" s="304"/>
      <c r="W20" s="304">
        <f t="shared" ref="W20" si="10">W10+W16-W19</f>
        <v>0.88100000000000001</v>
      </c>
      <c r="X20" s="304"/>
      <c r="Y20" s="304"/>
      <c r="Z20" s="304"/>
    </row>
    <row r="21" spans="1:26" s="106" customFormat="1" ht="30" customHeight="1">
      <c r="A21" s="110" t="s">
        <v>78</v>
      </c>
      <c r="B21" s="111" t="s">
        <v>79</v>
      </c>
      <c r="C21" s="287">
        <f t="shared" ref="C21:G21" si="11">SUM(C23:C24)</f>
        <v>234.49300000000002</v>
      </c>
      <c r="D21" s="287">
        <f t="shared" si="11"/>
        <v>234.49300000000002</v>
      </c>
      <c r="E21" s="287">
        <f t="shared" si="11"/>
        <v>0</v>
      </c>
      <c r="F21" s="287"/>
      <c r="G21" s="287">
        <f t="shared" si="11"/>
        <v>0</v>
      </c>
      <c r="H21" s="287"/>
      <c r="I21" s="287"/>
      <c r="J21" s="287"/>
      <c r="K21" s="304">
        <f t="shared" ref="K21:M21" si="12">SUM(K23:K24)</f>
        <v>135.94300000000001</v>
      </c>
      <c r="L21" s="304">
        <f t="shared" si="12"/>
        <v>135.94300000000001</v>
      </c>
      <c r="M21" s="304">
        <f t="shared" si="12"/>
        <v>0</v>
      </c>
      <c r="N21" s="304"/>
      <c r="O21" s="304">
        <f t="shared" ref="O21" si="13">SUM(O23:O24)</f>
        <v>0</v>
      </c>
      <c r="P21" s="304"/>
      <c r="Q21" s="304"/>
      <c r="R21" s="304"/>
      <c r="S21" s="304">
        <f t="shared" ref="S21:U21" si="14">SUM(S23:S24)</f>
        <v>98.55</v>
      </c>
      <c r="T21" s="304">
        <f t="shared" si="14"/>
        <v>98.55</v>
      </c>
      <c r="U21" s="304">
        <f t="shared" si="14"/>
        <v>0</v>
      </c>
      <c r="V21" s="304"/>
      <c r="W21" s="304">
        <f t="shared" ref="W21" si="15">SUM(W23:W24)</f>
        <v>0</v>
      </c>
      <c r="X21" s="304"/>
      <c r="Y21" s="304"/>
      <c r="Z21" s="304"/>
    </row>
    <row r="22" spans="1:26" ht="15" customHeight="1">
      <c r="A22" s="17" t="s">
        <v>80</v>
      </c>
      <c r="B22" s="16" t="s">
        <v>70</v>
      </c>
      <c r="C22" s="288"/>
      <c r="D22" s="288"/>
      <c r="E22" s="288"/>
      <c r="F22" s="288"/>
      <c r="G22" s="288"/>
      <c r="H22" s="288"/>
      <c r="I22" s="288"/>
      <c r="J22" s="288"/>
      <c r="K22" s="305"/>
      <c r="L22" s="305"/>
      <c r="M22" s="305"/>
      <c r="N22" s="305"/>
      <c r="O22" s="305"/>
      <c r="P22" s="305"/>
      <c r="Q22" s="305"/>
      <c r="R22" s="305"/>
      <c r="S22" s="305"/>
      <c r="T22" s="305"/>
      <c r="U22" s="305"/>
      <c r="V22" s="305"/>
      <c r="W22" s="305"/>
      <c r="X22" s="305"/>
      <c r="Y22" s="305"/>
      <c r="Z22" s="305"/>
    </row>
    <row r="23" spans="1:26" ht="15" customHeight="1">
      <c r="A23" s="17"/>
      <c r="B23" s="51" t="s">
        <v>81</v>
      </c>
      <c r="C23" s="269">
        <f t="shared" ref="C23:C28" si="16">D23+E23</f>
        <v>201.56900000000002</v>
      </c>
      <c r="D23" s="289">
        <v>201.56900000000002</v>
      </c>
      <c r="E23" s="269">
        <f t="shared" ref="E23:E25" si="17">G23</f>
        <v>0</v>
      </c>
      <c r="F23" s="288"/>
      <c r="G23" s="289"/>
      <c r="H23" s="288"/>
      <c r="I23" s="288"/>
      <c r="J23" s="288"/>
      <c r="K23" s="306">
        <f t="shared" ref="K23:K25" si="18">L23+M23</f>
        <v>118.307</v>
      </c>
      <c r="L23" s="288">
        <v>118.307</v>
      </c>
      <c r="M23" s="306">
        <f t="shared" ref="M23" si="19">O23</f>
        <v>0</v>
      </c>
      <c r="N23" s="305"/>
      <c r="O23" s="288"/>
      <c r="P23" s="305"/>
      <c r="Q23" s="305"/>
      <c r="R23" s="305"/>
      <c r="S23" s="306">
        <f t="shared" ref="S23:S25" si="20">T23+U23</f>
        <v>83.262</v>
      </c>
      <c r="T23" s="288">
        <v>83.262</v>
      </c>
      <c r="U23" s="306">
        <f t="shared" ref="U23" si="21">W23</f>
        <v>0</v>
      </c>
      <c r="V23" s="305"/>
      <c r="W23" s="288"/>
      <c r="X23" s="305"/>
      <c r="Y23" s="305"/>
      <c r="Z23" s="305"/>
    </row>
    <row r="24" spans="1:26" ht="15" customHeight="1">
      <c r="A24" s="17" t="s">
        <v>82</v>
      </c>
      <c r="B24" s="51" t="s">
        <v>83</v>
      </c>
      <c r="C24" s="269">
        <f t="shared" si="16"/>
        <v>32.923999999999999</v>
      </c>
      <c r="D24" s="291">
        <v>32.923999999999999</v>
      </c>
      <c r="E24" s="269"/>
      <c r="F24" s="269"/>
      <c r="G24" s="291"/>
      <c r="H24" s="269"/>
      <c r="I24" s="269"/>
      <c r="J24" s="269"/>
      <c r="K24" s="306">
        <f t="shared" si="18"/>
        <v>17.635999999999999</v>
      </c>
      <c r="L24" s="269">
        <v>17.635999999999999</v>
      </c>
      <c r="M24" s="306"/>
      <c r="N24" s="306"/>
      <c r="O24" s="269"/>
      <c r="P24" s="306"/>
      <c r="Q24" s="306"/>
      <c r="R24" s="306"/>
      <c r="S24" s="306">
        <f t="shared" si="20"/>
        <v>15.288</v>
      </c>
      <c r="T24" s="269">
        <v>15.288</v>
      </c>
      <c r="U24" s="306"/>
      <c r="V24" s="306"/>
      <c r="W24" s="269"/>
      <c r="X24" s="306"/>
      <c r="Y24" s="306"/>
      <c r="Z24" s="306"/>
    </row>
    <row r="25" spans="1:26" ht="30">
      <c r="A25" s="17" t="s">
        <v>84</v>
      </c>
      <c r="B25" s="16" t="s">
        <v>85</v>
      </c>
      <c r="C25" s="259">
        <f t="shared" si="16"/>
        <v>20.143716175586292</v>
      </c>
      <c r="D25" s="259">
        <f t="shared" ref="D25:G25" si="22">D21/D20*100</f>
        <v>20.143716175586292</v>
      </c>
      <c r="E25" s="269">
        <f t="shared" si="17"/>
        <v>0</v>
      </c>
      <c r="F25" s="269"/>
      <c r="G25" s="269">
        <f t="shared" si="22"/>
        <v>0</v>
      </c>
      <c r="H25" s="269"/>
      <c r="I25" s="269"/>
      <c r="J25" s="269"/>
      <c r="K25" s="307">
        <f t="shared" si="18"/>
        <v>19.449185581538419</v>
      </c>
      <c r="L25" s="307">
        <f t="shared" ref="L25" si="23">L21/L20*100</f>
        <v>19.449185581538419</v>
      </c>
      <c r="M25" s="306">
        <f t="shared" ref="M25" si="24">O25</f>
        <v>0</v>
      </c>
      <c r="N25" s="306"/>
      <c r="O25" s="306">
        <f t="shared" ref="O25" si="25">O21/O20*100</f>
        <v>0</v>
      </c>
      <c r="P25" s="306"/>
      <c r="Q25" s="306"/>
      <c r="R25" s="306"/>
      <c r="S25" s="307">
        <f t="shared" si="20"/>
        <v>21.187397207262407</v>
      </c>
      <c r="T25" s="307">
        <f t="shared" ref="T25" si="26">T21/T20*100</f>
        <v>21.187397207262407</v>
      </c>
      <c r="U25" s="306">
        <f t="shared" ref="U25" si="27">W25</f>
        <v>0</v>
      </c>
      <c r="V25" s="306"/>
      <c r="W25" s="306">
        <f t="shared" ref="W25" si="28">W21/W20*100</f>
        <v>0</v>
      </c>
      <c r="X25" s="306"/>
      <c r="Y25" s="306"/>
      <c r="Z25" s="306"/>
    </row>
    <row r="26" spans="1:26" ht="30">
      <c r="A26" s="17"/>
      <c r="B26" s="113" t="s">
        <v>787</v>
      </c>
      <c r="C26" s="269">
        <f>D26+E26</f>
        <v>0</v>
      </c>
      <c r="D26" s="291"/>
      <c r="E26" s="269"/>
      <c r="F26" s="269"/>
      <c r="G26" s="291"/>
      <c r="H26" s="269"/>
      <c r="I26" s="269"/>
      <c r="J26" s="269"/>
      <c r="K26" s="306">
        <f>L26+M26</f>
        <v>0</v>
      </c>
      <c r="L26" s="269"/>
      <c r="M26" s="306"/>
      <c r="N26" s="306"/>
      <c r="O26" s="269"/>
      <c r="P26" s="306"/>
      <c r="Q26" s="306"/>
      <c r="R26" s="306"/>
      <c r="S26" s="306">
        <f>T26+U26</f>
        <v>0</v>
      </c>
      <c r="T26" s="269"/>
      <c r="U26" s="306"/>
      <c r="V26" s="306"/>
      <c r="W26" s="269"/>
      <c r="X26" s="306"/>
      <c r="Y26" s="306"/>
      <c r="Z26" s="306"/>
    </row>
    <row r="27" spans="1:26" ht="15">
      <c r="A27" s="17"/>
      <c r="B27" s="113" t="s">
        <v>788</v>
      </c>
      <c r="C27" s="269">
        <f>D27+E27</f>
        <v>1.0000000004906084E-4</v>
      </c>
      <c r="D27" s="291">
        <v>-0.28189999999995052</v>
      </c>
      <c r="E27" s="269">
        <f>G27</f>
        <v>0.28199999999999958</v>
      </c>
      <c r="F27" s="269"/>
      <c r="G27" s="291">
        <v>0.28199999999999958</v>
      </c>
      <c r="H27" s="269"/>
      <c r="I27" s="269"/>
      <c r="J27" s="269"/>
      <c r="K27" s="306">
        <f>L27+M27</f>
        <v>11.329000000000001</v>
      </c>
      <c r="L27" s="269">
        <v>11.211</v>
      </c>
      <c r="M27" s="306">
        <f>O27</f>
        <v>0.11799999999999999</v>
      </c>
      <c r="N27" s="306"/>
      <c r="O27" s="269">
        <v>0.11799999999999999</v>
      </c>
      <c r="P27" s="306"/>
      <c r="Q27" s="306"/>
      <c r="R27" s="306"/>
      <c r="S27" s="306">
        <f>T27+U27</f>
        <v>-11.329000000000001</v>
      </c>
      <c r="T27" s="269">
        <v>-11.493</v>
      </c>
      <c r="U27" s="306">
        <f>W27</f>
        <v>0.16400000000000001</v>
      </c>
      <c r="V27" s="306"/>
      <c r="W27" s="269">
        <v>0.16400000000000001</v>
      </c>
      <c r="X27" s="306"/>
      <c r="Y27" s="306"/>
      <c r="Z27" s="306"/>
    </row>
    <row r="28" spans="1:26" s="106" customFormat="1" ht="42.75">
      <c r="A28" s="110" t="s">
        <v>86</v>
      </c>
      <c r="B28" s="111" t="s">
        <v>87</v>
      </c>
      <c r="C28" s="269">
        <f t="shared" si="16"/>
        <v>931.98889999999983</v>
      </c>
      <c r="D28" s="269">
        <f t="shared" ref="D28:E28" si="29">D20-D21-D26-D27</f>
        <v>929.88889999999981</v>
      </c>
      <c r="E28" s="269">
        <f t="shared" si="29"/>
        <v>2.1000000000000005</v>
      </c>
      <c r="F28" s="269"/>
      <c r="G28" s="269">
        <f>G20-G21-G26-G27</f>
        <v>2.1000000000000005</v>
      </c>
      <c r="H28" s="269"/>
      <c r="I28" s="269"/>
      <c r="J28" s="269"/>
      <c r="K28" s="306">
        <f t="shared" ref="K28" si="30">L28+M28</f>
        <v>553.19400000000007</v>
      </c>
      <c r="L28" s="306">
        <f t="shared" ref="L28:M28" si="31">L20-L21-L26-L27</f>
        <v>551.81100000000004</v>
      </c>
      <c r="M28" s="306">
        <f t="shared" si="31"/>
        <v>1.383</v>
      </c>
      <c r="N28" s="306"/>
      <c r="O28" s="306">
        <f>O20-O21-O26-O27</f>
        <v>1.383</v>
      </c>
      <c r="P28" s="306"/>
      <c r="Q28" s="306"/>
      <c r="R28" s="306"/>
      <c r="S28" s="306">
        <f t="shared" ref="S28" si="32">T28+U28</f>
        <v>378.79499999999996</v>
      </c>
      <c r="T28" s="306">
        <f t="shared" ref="T28:U28" si="33">T20-T21-T26-T27</f>
        <v>378.07799999999997</v>
      </c>
      <c r="U28" s="306">
        <f t="shared" si="33"/>
        <v>0.71699999999999997</v>
      </c>
      <c r="V28" s="306"/>
      <c r="W28" s="306">
        <f>W20-W21-W26-W27</f>
        <v>0.71699999999999997</v>
      </c>
      <c r="X28" s="306"/>
      <c r="Y28" s="306"/>
      <c r="Z28" s="306"/>
    </row>
    <row r="29" spans="1:26" ht="15"/>
    <row r="30" spans="1:26" ht="15">
      <c r="A30" s="26" t="s">
        <v>88</v>
      </c>
    </row>
    <row r="31" spans="1:26" s="71" customFormat="1" ht="32.25" customHeight="1">
      <c r="A31" s="45" t="s">
        <v>89</v>
      </c>
      <c r="B31" s="1842" t="s">
        <v>90</v>
      </c>
      <c r="C31" s="1842"/>
      <c r="D31" s="1842"/>
      <c r="E31" s="1842"/>
      <c r="F31" s="1842"/>
      <c r="G31" s="1842"/>
      <c r="H31" s="1842"/>
      <c r="I31" s="1842"/>
      <c r="J31" s="1842"/>
      <c r="K31" s="1842"/>
      <c r="L31" s="1842"/>
      <c r="M31" s="1842"/>
      <c r="N31" s="1842"/>
      <c r="O31" s="1842"/>
      <c r="P31" s="1842"/>
      <c r="Q31" s="1842"/>
      <c r="R31" s="1842"/>
      <c r="S31" s="1842"/>
      <c r="T31" s="1842"/>
      <c r="U31" s="1842"/>
      <c r="V31" s="1842"/>
      <c r="W31" s="1842"/>
      <c r="X31" s="1842"/>
      <c r="Y31" s="1842"/>
      <c r="Z31" s="1842"/>
    </row>
    <row r="32" spans="1:26" s="71" customFormat="1" ht="15" customHeight="1">
      <c r="A32" s="45" t="s">
        <v>91</v>
      </c>
      <c r="B32" s="71" t="s">
        <v>92</v>
      </c>
      <c r="C32" s="108"/>
      <c r="D32" s="108"/>
      <c r="E32" s="108"/>
      <c r="F32" s="108"/>
      <c r="G32" s="108"/>
      <c r="H32" s="108"/>
      <c r="I32" s="108"/>
      <c r="J32" s="108"/>
      <c r="K32" s="294"/>
      <c r="L32" s="294"/>
      <c r="M32" s="294"/>
      <c r="N32" s="294"/>
      <c r="O32" s="294"/>
      <c r="P32" s="294"/>
      <c r="Q32" s="294"/>
      <c r="R32" s="294"/>
      <c r="S32" s="294"/>
      <c r="T32" s="294"/>
      <c r="U32" s="294"/>
      <c r="V32" s="294"/>
      <c r="W32" s="294"/>
      <c r="X32" s="294"/>
      <c r="Y32" s="294"/>
      <c r="Z32" s="294"/>
    </row>
    <row r="33" spans="1:26" s="71" customFormat="1" ht="15" customHeight="1">
      <c r="A33" s="45" t="s">
        <v>93</v>
      </c>
      <c r="B33" s="71" t="s">
        <v>94</v>
      </c>
      <c r="C33" s="108"/>
      <c r="D33" s="108"/>
      <c r="E33" s="108"/>
      <c r="F33" s="108"/>
      <c r="G33" s="108"/>
      <c r="H33" s="108"/>
      <c r="I33" s="108"/>
      <c r="J33" s="108"/>
      <c r="K33" s="294"/>
      <c r="L33" s="294"/>
      <c r="M33" s="294"/>
      <c r="N33" s="294"/>
      <c r="O33" s="294"/>
      <c r="P33" s="294"/>
      <c r="Q33" s="294"/>
      <c r="R33" s="294"/>
      <c r="S33" s="294"/>
      <c r="T33" s="294"/>
      <c r="U33" s="294"/>
      <c r="V33" s="294"/>
      <c r="W33" s="294"/>
      <c r="X33" s="294"/>
      <c r="Y33" s="294"/>
      <c r="Z33" s="294"/>
    </row>
    <row r="34" spans="1:26" s="71" customFormat="1" ht="15" customHeight="1">
      <c r="A34" s="45" t="s">
        <v>95</v>
      </c>
      <c r="B34" s="71" t="s">
        <v>96</v>
      </c>
      <c r="C34" s="108"/>
      <c r="D34" s="108"/>
      <c r="E34" s="108"/>
      <c r="F34" s="108"/>
      <c r="G34" s="108"/>
      <c r="H34" s="108"/>
      <c r="I34" s="108"/>
      <c r="J34" s="108"/>
      <c r="K34" s="294"/>
      <c r="L34" s="294"/>
      <c r="M34" s="294"/>
      <c r="N34" s="294"/>
      <c r="O34" s="294"/>
      <c r="P34" s="294"/>
      <c r="Q34" s="294"/>
      <c r="R34" s="294"/>
      <c r="S34" s="294"/>
      <c r="T34" s="294"/>
      <c r="U34" s="294"/>
      <c r="V34" s="294"/>
      <c r="W34" s="294"/>
      <c r="X34" s="294"/>
      <c r="Y34" s="294"/>
      <c r="Z34" s="294"/>
    </row>
    <row r="35" spans="1:26" s="71" customFormat="1" ht="31.5" customHeight="1">
      <c r="A35" s="45" t="s">
        <v>97</v>
      </c>
      <c r="B35" s="1842" t="s">
        <v>98</v>
      </c>
      <c r="C35" s="1842"/>
      <c r="D35" s="1842"/>
      <c r="E35" s="1842"/>
      <c r="F35" s="1842"/>
      <c r="G35" s="1842"/>
      <c r="H35" s="1842"/>
      <c r="I35" s="1842"/>
      <c r="J35" s="1842"/>
      <c r="K35" s="1842"/>
      <c r="L35" s="1842"/>
      <c r="M35" s="1842"/>
      <c r="N35" s="1842"/>
      <c r="O35" s="1842"/>
      <c r="P35" s="1842"/>
      <c r="Q35" s="1842"/>
      <c r="R35" s="1842"/>
      <c r="S35" s="1842"/>
      <c r="T35" s="1842"/>
      <c r="U35" s="1842"/>
      <c r="V35" s="1842"/>
      <c r="W35" s="1842"/>
      <c r="X35" s="1842"/>
      <c r="Y35" s="1842"/>
      <c r="Z35" s="1842"/>
    </row>
    <row r="36" spans="1:26" s="71" customFormat="1" ht="26.25" customHeight="1">
      <c r="C36" s="108"/>
      <c r="D36" s="108"/>
      <c r="E36" s="108"/>
      <c r="F36" s="108"/>
      <c r="G36" s="108"/>
      <c r="H36" s="108"/>
      <c r="I36" s="108"/>
      <c r="J36" s="108"/>
      <c r="K36" s="294"/>
      <c r="L36" s="294"/>
      <c r="M36" s="294"/>
      <c r="N36" s="294"/>
      <c r="O36" s="294"/>
      <c r="P36" s="294"/>
      <c r="Q36" s="294"/>
      <c r="R36" s="294"/>
      <c r="S36" s="294"/>
      <c r="T36" s="294"/>
      <c r="U36" s="294"/>
      <c r="V36" s="294"/>
      <c r="W36" s="294"/>
      <c r="X36" s="294"/>
      <c r="Y36" s="294"/>
      <c r="Z36" s="294"/>
    </row>
  </sheetData>
  <mergeCells count="23">
    <mergeCell ref="B31:Z31"/>
    <mergeCell ref="B35:Z35"/>
    <mergeCell ref="F7:J7"/>
    <mergeCell ref="L7:L8"/>
    <mergeCell ref="M7:M8"/>
    <mergeCell ref="N7:R7"/>
    <mergeCell ref="T7:T8"/>
    <mergeCell ref="U7:U8"/>
    <mergeCell ref="A3:Z3"/>
    <mergeCell ref="A5:A8"/>
    <mergeCell ref="B5:B8"/>
    <mergeCell ref="C5:J5"/>
    <mergeCell ref="K5:R5"/>
    <mergeCell ref="S5:Z5"/>
    <mergeCell ref="C6:C8"/>
    <mergeCell ref="D6:J6"/>
    <mergeCell ref="K6:K8"/>
    <mergeCell ref="L6:R6"/>
    <mergeCell ref="S6:S8"/>
    <mergeCell ref="T6:Z6"/>
    <mergeCell ref="D7:D8"/>
    <mergeCell ref="E7:E8"/>
    <mergeCell ref="V7:Z7"/>
  </mergeCells>
  <pageMargins left="0.78740157480314965" right="0.22" top="0.78740157480314965" bottom="0.39370078740157483" header="0.19685039370078741" footer="0.19685039370078741"/>
  <pageSetup paperSize="9" scale="62" orientation="landscape" r:id="rId1"/>
  <headerFooter alignWithMargins="0"/>
  <rowBreaks count="1" manualBreakCount="1">
    <brk id="35" max="33" man="1"/>
  </rowBreaks>
  <ignoredErrors>
    <ignoredError sqref="A10 A16 A19:A21 A28" numberStoredAsText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R78"/>
  <sheetViews>
    <sheetView view="pageBreakPreview" zoomScaleNormal="100" zoomScaleSheetLayoutView="100" workbookViewId="0">
      <pane xSplit="2" ySplit="5" topLeftCell="C6" activePane="bottomRight" state="frozen"/>
      <selection activeCell="J21" sqref="J21"/>
      <selection pane="topRight" activeCell="J21" sqref="J21"/>
      <selection pane="bottomLeft" activeCell="J21" sqref="J21"/>
      <selection pane="bottomRight" activeCell="N66" sqref="N66"/>
    </sheetView>
  </sheetViews>
  <sheetFormatPr defaultColWidth="2.85546875" defaultRowHeight="15"/>
  <cols>
    <col min="1" max="1" width="6.42578125" style="1" customWidth="1"/>
    <col min="2" max="2" width="36.42578125" style="1" customWidth="1"/>
    <col min="3" max="3" width="11.140625" style="21" customWidth="1"/>
    <col min="4" max="4" width="13.140625" style="1" hidden="1" customWidth="1"/>
    <col min="5" max="5" width="13" style="1" hidden="1" customWidth="1"/>
    <col min="6" max="6" width="13.140625" style="1" customWidth="1"/>
    <col min="7" max="11" width="13" style="1" customWidth="1"/>
    <col min="12" max="12" width="16" style="1" customWidth="1"/>
    <col min="13" max="13" width="12.5703125" style="1" customWidth="1"/>
    <col min="14" max="14" width="12.7109375" style="1" customWidth="1"/>
    <col min="15" max="15" width="12.85546875" style="1" customWidth="1"/>
    <col min="16" max="16" width="12.28515625" style="1" customWidth="1"/>
    <col min="17" max="93" width="11.140625" style="1" customWidth="1"/>
    <col min="94" max="16384" width="2.85546875" style="1"/>
  </cols>
  <sheetData>
    <row r="1" spans="1:18" s="5" customFormat="1" ht="18" customHeight="1">
      <c r="A1" s="74" t="s">
        <v>1860</v>
      </c>
      <c r="C1" s="20"/>
      <c r="M1" s="6"/>
      <c r="N1" s="6"/>
      <c r="O1" s="6" t="s">
        <v>1060</v>
      </c>
      <c r="R1" s="6" t="s">
        <v>1060</v>
      </c>
    </row>
    <row r="2" spans="1:18" s="5" customFormat="1" ht="12.75" customHeight="1">
      <c r="A2" s="105" t="str">
        <f>'4.9_свод '!A2</f>
        <v>КТЭЦ + котельные СВОД</v>
      </c>
      <c r="C2" s="20"/>
    </row>
    <row r="3" spans="1:18" ht="18.75">
      <c r="A3" s="1877" t="s">
        <v>1163</v>
      </c>
      <c r="B3" s="1877"/>
      <c r="C3" s="1877"/>
      <c r="D3" s="1877"/>
      <c r="E3" s="1877"/>
      <c r="F3" s="1877"/>
      <c r="G3" s="1877"/>
      <c r="H3" s="1877"/>
      <c r="I3" s="1877"/>
      <c r="J3" s="1877"/>
      <c r="K3" s="1877"/>
      <c r="L3" s="1877"/>
      <c r="M3" s="1877"/>
      <c r="N3" s="1877"/>
      <c r="O3" s="1877"/>
    </row>
    <row r="4" spans="1:18" ht="12.75" customHeight="1"/>
    <row r="5" spans="1:18" s="3" customFormat="1" ht="60" customHeight="1">
      <c r="A5" s="542" t="s">
        <v>451</v>
      </c>
      <c r="B5" s="542" t="s">
        <v>1</v>
      </c>
      <c r="C5" s="542" t="s">
        <v>2</v>
      </c>
      <c r="D5" s="540" t="s">
        <v>1129</v>
      </c>
      <c r="E5" s="540" t="s">
        <v>1130</v>
      </c>
      <c r="F5" s="540" t="s">
        <v>1131</v>
      </c>
      <c r="G5" s="1284" t="s">
        <v>1695</v>
      </c>
      <c r="H5" s="1284" t="s">
        <v>1696</v>
      </c>
      <c r="I5" s="1661" t="s">
        <v>1882</v>
      </c>
      <c r="J5" s="1576" t="s">
        <v>1828</v>
      </c>
      <c r="K5" s="1576" t="s">
        <v>1833</v>
      </c>
      <c r="L5" s="1631" t="s">
        <v>1861</v>
      </c>
      <c r="M5" s="1631" t="s">
        <v>1862</v>
      </c>
      <c r="N5" s="1631" t="s">
        <v>763</v>
      </c>
      <c r="O5" s="1631" t="s">
        <v>764</v>
      </c>
      <c r="P5" s="1631" t="s">
        <v>1863</v>
      </c>
      <c r="Q5" s="1631" t="s">
        <v>763</v>
      </c>
      <c r="R5" s="1631" t="s">
        <v>764</v>
      </c>
    </row>
    <row r="6" spans="1:18" s="2" customFormat="1">
      <c r="A6" s="13">
        <v>1</v>
      </c>
      <c r="B6" s="13">
        <v>2</v>
      </c>
      <c r="C6" s="13">
        <v>3</v>
      </c>
      <c r="D6" s="13">
        <v>4</v>
      </c>
      <c r="E6" s="13">
        <v>5</v>
      </c>
      <c r="F6" s="13">
        <v>4</v>
      </c>
      <c r="G6" s="13">
        <v>5</v>
      </c>
      <c r="H6" s="13">
        <v>6</v>
      </c>
      <c r="I6" s="13"/>
      <c r="J6" s="13">
        <v>7</v>
      </c>
      <c r="K6" s="13">
        <v>8</v>
      </c>
      <c r="L6" s="13">
        <v>9</v>
      </c>
      <c r="M6" s="13">
        <v>10</v>
      </c>
      <c r="N6" s="13">
        <v>11</v>
      </c>
      <c r="O6" s="13">
        <v>12</v>
      </c>
      <c r="P6" s="13">
        <v>13</v>
      </c>
      <c r="Q6" s="13">
        <v>14</v>
      </c>
      <c r="R6" s="13">
        <v>15</v>
      </c>
    </row>
    <row r="7" spans="1:18" s="36" customFormat="1" ht="15" customHeight="1">
      <c r="A7" s="60" t="s">
        <v>4</v>
      </c>
      <c r="B7" s="61" t="s">
        <v>452</v>
      </c>
      <c r="C7" s="8" t="s">
        <v>453</v>
      </c>
      <c r="D7" s="391"/>
      <c r="E7" s="391"/>
      <c r="F7" s="391"/>
      <c r="G7" s="391"/>
      <c r="H7" s="391"/>
      <c r="I7" s="391"/>
      <c r="J7" s="391"/>
      <c r="K7" s="391"/>
      <c r="L7" s="391"/>
      <c r="M7" s="388"/>
      <c r="N7" s="388"/>
      <c r="O7" s="388"/>
      <c r="P7" s="388"/>
      <c r="Q7" s="388"/>
      <c r="R7" s="388"/>
    </row>
    <row r="8" spans="1:18" s="36" customFormat="1" ht="15" customHeight="1">
      <c r="A8" s="60" t="s">
        <v>5</v>
      </c>
      <c r="B8" s="61" t="s">
        <v>454</v>
      </c>
      <c r="C8" s="8" t="s">
        <v>453</v>
      </c>
      <c r="D8" s="388">
        <f>'4.9_пр-во КТЭЦ'!D8+'4.9_пр-во ККЭ'!D8</f>
        <v>0</v>
      </c>
      <c r="E8" s="388">
        <f>'4.9_пр-во КТЭЦ'!E8+'4.9_пр-во ККЭ'!E8</f>
        <v>1290</v>
      </c>
      <c r="F8" s="609">
        <v>1314.5343697518192</v>
      </c>
      <c r="G8" s="388">
        <v>1290</v>
      </c>
      <c r="H8" s="388"/>
      <c r="I8" s="388"/>
      <c r="J8" s="388">
        <v>1290</v>
      </c>
      <c r="K8" s="388"/>
      <c r="L8" s="388">
        <v>1395.4</v>
      </c>
      <c r="M8" s="391">
        <v>1395.4</v>
      </c>
      <c r="N8" s="391">
        <v>1395.4</v>
      </c>
      <c r="O8" s="391">
        <v>1395.4</v>
      </c>
      <c r="P8" s="391">
        <v>1500.8</v>
      </c>
      <c r="Q8" s="391">
        <v>1500.8</v>
      </c>
      <c r="R8" s="391">
        <v>1500.8</v>
      </c>
    </row>
    <row r="9" spans="1:18" s="36" customFormat="1" ht="15" customHeight="1">
      <c r="A9" s="60"/>
      <c r="B9" s="61" t="s">
        <v>455</v>
      </c>
      <c r="C9" s="8" t="s">
        <v>453</v>
      </c>
      <c r="D9" s="388"/>
      <c r="E9" s="388"/>
      <c r="F9" s="609"/>
      <c r="G9" s="388"/>
      <c r="H9" s="388"/>
      <c r="I9" s="388"/>
      <c r="J9" s="388"/>
      <c r="K9" s="388"/>
      <c r="L9" s="388"/>
      <c r="M9" s="391"/>
      <c r="N9" s="391"/>
      <c r="O9" s="391"/>
      <c r="P9" s="391"/>
      <c r="Q9" s="391"/>
      <c r="R9" s="391"/>
    </row>
    <row r="10" spans="1:18" s="36" customFormat="1" ht="15" customHeight="1">
      <c r="A10" s="60" t="s">
        <v>11</v>
      </c>
      <c r="B10" s="61" t="s">
        <v>456</v>
      </c>
      <c r="C10" s="8" t="s">
        <v>453</v>
      </c>
      <c r="D10" s="388">
        <f>'4.9_пр-во КТЭЦ'!D10+'4.9_пр-во ККЭ'!D10</f>
        <v>0</v>
      </c>
      <c r="E10" s="388">
        <f>'4.9_пр-во КТЭЦ'!E10+'4.9_пр-во ККЭ'!E10</f>
        <v>1069.8</v>
      </c>
      <c r="F10" s="609">
        <v>1060.2755003265534</v>
      </c>
      <c r="G10" s="388">
        <v>1069.8</v>
      </c>
      <c r="H10" s="388"/>
      <c r="I10" s="388"/>
      <c r="J10" s="388">
        <v>1069.8</v>
      </c>
      <c r="K10" s="388"/>
      <c r="L10" s="388">
        <v>1175.2</v>
      </c>
      <c r="M10" s="391">
        <v>1175.2</v>
      </c>
      <c r="N10" s="391">
        <v>1175.2</v>
      </c>
      <c r="O10" s="391">
        <v>1175.2</v>
      </c>
      <c r="P10" s="391">
        <v>1280.5999999999999</v>
      </c>
      <c r="Q10" s="391">
        <v>1280.5999999999999</v>
      </c>
      <c r="R10" s="391">
        <v>1280.5999999999999</v>
      </c>
    </row>
    <row r="11" spans="1:18" s="36" customFormat="1" ht="15" customHeight="1">
      <c r="A11" s="60"/>
      <c r="B11" s="61" t="s">
        <v>457</v>
      </c>
      <c r="C11" s="8" t="s">
        <v>453</v>
      </c>
      <c r="D11" s="388"/>
      <c r="E11" s="388"/>
      <c r="F11" s="388"/>
      <c r="G11" s="388"/>
      <c r="H11" s="388"/>
      <c r="I11" s="388"/>
      <c r="J11" s="388"/>
      <c r="K11" s="388"/>
      <c r="L11" s="388"/>
      <c r="M11" s="388"/>
      <c r="N11" s="388"/>
      <c r="O11" s="388"/>
      <c r="P11" s="388"/>
      <c r="Q11" s="388"/>
      <c r="R11" s="388"/>
    </row>
    <row r="12" spans="1:18" s="36" customFormat="1" ht="15" customHeight="1">
      <c r="A12" s="60" t="s">
        <v>445</v>
      </c>
      <c r="B12" s="61" t="s">
        <v>458</v>
      </c>
      <c r="C12" s="8" t="s">
        <v>453</v>
      </c>
      <c r="D12" s="388">
        <f>'4.9_пр-во КТЭЦ'!D12+'4.9_пр-во ККЭ'!D12</f>
        <v>0</v>
      </c>
      <c r="E12" s="388">
        <f>'4.9_пр-во КТЭЦ'!E12+'4.9_пр-во ККЭ'!E12</f>
        <v>1095.3</v>
      </c>
      <c r="F12" s="388">
        <v>0</v>
      </c>
      <c r="G12" s="388">
        <v>1198.2</v>
      </c>
      <c r="H12" s="388"/>
      <c r="I12" s="388"/>
      <c r="J12" s="388">
        <v>1198.2</v>
      </c>
      <c r="K12" s="388"/>
      <c r="L12" s="388">
        <v>0</v>
      </c>
      <c r="M12" s="388">
        <v>0</v>
      </c>
      <c r="N12" s="388">
        <v>0</v>
      </c>
      <c r="O12" s="388">
        <v>0</v>
      </c>
      <c r="P12" s="388">
        <v>0</v>
      </c>
      <c r="Q12" s="388">
        <v>0</v>
      </c>
      <c r="R12" s="388">
        <v>0</v>
      </c>
    </row>
    <row r="13" spans="1:18" s="36" customFormat="1" ht="15" customHeight="1">
      <c r="A13" s="60"/>
      <c r="B13" s="61" t="s">
        <v>459</v>
      </c>
      <c r="C13" s="8" t="s">
        <v>138</v>
      </c>
      <c r="D13" s="391" t="e">
        <f>D12/D8*100</f>
        <v>#DIV/0!</v>
      </c>
      <c r="E13" s="391">
        <f t="shared" ref="E13:O13" si="0">E12/E8*100</f>
        <v>84.906976744186053</v>
      </c>
      <c r="F13" s="391">
        <v>0</v>
      </c>
      <c r="G13" s="391">
        <v>92.883720930232556</v>
      </c>
      <c r="H13" s="391"/>
      <c r="I13" s="391"/>
      <c r="J13" s="391">
        <v>92.883720930232556</v>
      </c>
      <c r="K13" s="391"/>
      <c r="L13" s="391">
        <v>0</v>
      </c>
      <c r="M13" s="391">
        <v>0</v>
      </c>
      <c r="N13" s="391">
        <v>0</v>
      </c>
      <c r="O13" s="391">
        <v>0</v>
      </c>
      <c r="P13" s="391">
        <v>0</v>
      </c>
      <c r="Q13" s="391">
        <v>0</v>
      </c>
      <c r="R13" s="391">
        <v>0</v>
      </c>
    </row>
    <row r="14" spans="1:18" s="36" customFormat="1" ht="15" customHeight="1">
      <c r="A14" s="60" t="s">
        <v>446</v>
      </c>
      <c r="B14" s="61" t="s">
        <v>460</v>
      </c>
      <c r="C14" s="8" t="s">
        <v>453</v>
      </c>
      <c r="D14" s="388"/>
      <c r="E14" s="388"/>
      <c r="F14" s="388"/>
      <c r="G14" s="388"/>
      <c r="H14" s="388"/>
      <c r="I14" s="388"/>
      <c r="J14" s="388"/>
      <c r="K14" s="388"/>
      <c r="L14" s="388"/>
      <c r="M14" s="388"/>
      <c r="N14" s="388"/>
      <c r="O14" s="388"/>
      <c r="P14" s="388"/>
      <c r="Q14" s="388"/>
      <c r="R14" s="388"/>
    </row>
    <row r="15" spans="1:18" s="36" customFormat="1" ht="15" customHeight="1">
      <c r="A15" s="60" t="s">
        <v>461</v>
      </c>
      <c r="B15" s="61" t="s">
        <v>462</v>
      </c>
      <c r="C15" s="8" t="s">
        <v>453</v>
      </c>
      <c r="D15" s="609">
        <f>'4.9_пр-во КТЭЦ'!D15+'4.9_пр-во ККЭ'!D15</f>
        <v>969.37321254355402</v>
      </c>
      <c r="E15" s="388">
        <f>'4.9_пр-во КТЭЦ'!E15+'4.9_пр-во ККЭ'!E15</f>
        <v>1095.3</v>
      </c>
      <c r="F15" s="609">
        <v>1143.3082052388504</v>
      </c>
      <c r="G15" s="388">
        <v>1086.0999999999999</v>
      </c>
      <c r="H15" s="391">
        <v>1114.8800000000001</v>
      </c>
      <c r="I15" s="391">
        <v>15.8</v>
      </c>
      <c r="J15" s="388">
        <v>1076.4000000000001</v>
      </c>
      <c r="K15" s="388">
        <v>1065</v>
      </c>
      <c r="L15" s="388">
        <v>1092.3</v>
      </c>
      <c r="M15" s="388">
        <v>1091.3</v>
      </c>
      <c r="N15" s="388">
        <v>1091.3</v>
      </c>
      <c r="O15" s="388">
        <v>1091.3</v>
      </c>
      <c r="P15" s="388">
        <v>1091.3</v>
      </c>
      <c r="Q15" s="388">
        <v>1091.3</v>
      </c>
      <c r="R15" s="388">
        <v>1091.3</v>
      </c>
    </row>
    <row r="16" spans="1:18" s="36" customFormat="1" ht="15" customHeight="1">
      <c r="A16" s="60" t="s">
        <v>23</v>
      </c>
      <c r="B16" s="61" t="s">
        <v>463</v>
      </c>
      <c r="C16" s="8"/>
      <c r="D16" s="388"/>
      <c r="E16" s="388"/>
      <c r="F16" s="388"/>
      <c r="G16" s="388"/>
      <c r="H16" s="388"/>
      <c r="I16" s="388"/>
      <c r="J16" s="388"/>
      <c r="K16" s="388"/>
      <c r="L16" s="388"/>
      <c r="M16" s="388"/>
      <c r="N16" s="388"/>
      <c r="O16" s="388"/>
      <c r="P16" s="388"/>
      <c r="Q16" s="388"/>
      <c r="R16" s="388"/>
    </row>
    <row r="17" spans="1:18" s="36" customFormat="1" ht="15" customHeight="1">
      <c r="A17" s="60" t="s">
        <v>24</v>
      </c>
      <c r="B17" s="61" t="s">
        <v>464</v>
      </c>
      <c r="C17" s="8" t="s">
        <v>465</v>
      </c>
      <c r="D17" s="337">
        <f>'4.9_пр-во КТЭЦ'!D17</f>
        <v>4535.55</v>
      </c>
      <c r="E17" s="337">
        <f>'4.9_пр-во КТЭЦ'!E17</f>
        <v>4896</v>
      </c>
      <c r="F17" s="337">
        <v>0</v>
      </c>
      <c r="G17" s="337">
        <v>5628</v>
      </c>
      <c r="H17" s="337"/>
      <c r="I17" s="337"/>
      <c r="J17" s="337">
        <v>5778</v>
      </c>
      <c r="K17" s="337">
        <v>6643</v>
      </c>
      <c r="L17" s="337">
        <v>6671</v>
      </c>
      <c r="M17" s="337">
        <v>7248</v>
      </c>
      <c r="N17" s="337">
        <v>7398</v>
      </c>
      <c r="O17" s="337">
        <v>7592</v>
      </c>
      <c r="P17" s="337">
        <v>7745</v>
      </c>
      <c r="Q17" s="337">
        <v>7899</v>
      </c>
      <c r="R17" s="337">
        <v>8105</v>
      </c>
    </row>
    <row r="18" spans="1:18" s="36" customFormat="1" ht="15" customHeight="1">
      <c r="A18" s="60" t="s">
        <v>24</v>
      </c>
      <c r="B18" s="61" t="s">
        <v>466</v>
      </c>
      <c r="C18" s="8"/>
      <c r="D18" s="389">
        <f t="shared" ref="D18:G18" si="1">D19/D17</f>
        <v>1.071</v>
      </c>
      <c r="E18" s="389">
        <f t="shared" si="1"/>
        <v>1.0347222222222223</v>
      </c>
      <c r="F18" s="389" t="e">
        <v>#DIV/0!</v>
      </c>
      <c r="G18" s="389">
        <v>1.0266524520255864</v>
      </c>
      <c r="H18" s="389"/>
      <c r="I18" s="389"/>
      <c r="J18" s="389">
        <v>1.1545517480096918</v>
      </c>
      <c r="K18" s="389">
        <v>1.0740000000000001</v>
      </c>
      <c r="L18" s="389">
        <v>1.0864937790436215</v>
      </c>
      <c r="M18" s="389">
        <v>1.0685706401766004</v>
      </c>
      <c r="N18" s="389">
        <v>1.0262233035955663</v>
      </c>
      <c r="O18" s="389">
        <v>1.0404373024236038</v>
      </c>
      <c r="P18" s="389">
        <v>1.0589412524209167</v>
      </c>
      <c r="Q18" s="389">
        <v>1.0260792505380427</v>
      </c>
      <c r="R18" s="389">
        <v>1.0238124614435533</v>
      </c>
    </row>
    <row r="19" spans="1:18" s="36" customFormat="1" ht="30" customHeight="1">
      <c r="A19" s="60" t="s">
        <v>139</v>
      </c>
      <c r="B19" s="61" t="s">
        <v>467</v>
      </c>
      <c r="C19" s="8" t="s">
        <v>465</v>
      </c>
      <c r="D19" s="337">
        <f>'4.9_пр-во КТЭЦ'!D19</f>
        <v>4857.5740500000002</v>
      </c>
      <c r="E19" s="337">
        <f>'4.9_пр-во КТЭЦ'!E19</f>
        <v>5066</v>
      </c>
      <c r="F19" s="337">
        <v>5700</v>
      </c>
      <c r="G19" s="337">
        <v>5778</v>
      </c>
      <c r="H19" s="337">
        <v>6328</v>
      </c>
      <c r="I19" s="337">
        <v>6328</v>
      </c>
      <c r="J19" s="337">
        <v>6671</v>
      </c>
      <c r="K19" s="337">
        <v>7135</v>
      </c>
      <c r="L19" s="337">
        <v>7248</v>
      </c>
      <c r="M19" s="337">
        <v>7745</v>
      </c>
      <c r="N19" s="337">
        <v>7592</v>
      </c>
      <c r="O19" s="337">
        <v>7899</v>
      </c>
      <c r="P19" s="337">
        <v>8201.5</v>
      </c>
      <c r="Q19" s="337">
        <v>8105</v>
      </c>
      <c r="R19" s="337">
        <v>8298</v>
      </c>
    </row>
    <row r="20" spans="1:18" s="36" customFormat="1" ht="15" customHeight="1">
      <c r="A20" s="60" t="s">
        <v>433</v>
      </c>
      <c r="B20" s="61" t="s">
        <v>468</v>
      </c>
      <c r="C20" s="8"/>
      <c r="D20" s="251">
        <f>('4.9_пр-во КТЭЦ'!$D$15*'4.9_пр-во КТЭЦ'!D20+'4.9_пр-во ККЭ'!$D$15*'4.9_пр-во ККЭ'!D20)/'4.9_пр-во (свод)'!$D$15</f>
        <v>7.2826421704566462</v>
      </c>
      <c r="E20" s="251">
        <f>('4.9_пр-во КТЭЦ'!$E$15*'4.9_пр-во КТЭЦ'!E20+'4.9_пр-во ККЭ'!$E$15*'4.9_пр-во ККЭ'!E20)/'4.9_пр-во (свод)'!$E$15</f>
        <v>6.9876894001643395</v>
      </c>
      <c r="F20" s="251">
        <v>7.253910453648917</v>
      </c>
      <c r="G20" s="251">
        <v>6.9948173280545074</v>
      </c>
      <c r="H20" s="251"/>
      <c r="I20" s="251"/>
      <c r="J20" s="251">
        <v>0</v>
      </c>
      <c r="K20" s="251"/>
      <c r="L20" s="251">
        <v>0</v>
      </c>
      <c r="M20" s="251">
        <v>0</v>
      </c>
      <c r="N20" s="251">
        <v>0</v>
      </c>
      <c r="O20" s="251">
        <v>0</v>
      </c>
      <c r="P20" s="251">
        <v>0</v>
      </c>
      <c r="Q20" s="251">
        <v>0</v>
      </c>
      <c r="R20" s="251">
        <v>0</v>
      </c>
    </row>
    <row r="21" spans="1:18" s="36" customFormat="1" ht="30" customHeight="1">
      <c r="A21" s="60" t="s">
        <v>433</v>
      </c>
      <c r="B21" s="61" t="s">
        <v>469</v>
      </c>
      <c r="C21" s="8"/>
      <c r="D21" s="251">
        <f>('4.9_пр-во КТЭЦ'!$D$15*'4.9_пр-во КТЭЦ'!D21+'4.9_пр-во ККЭ'!$D$15*'4.9_пр-во ККЭ'!D21)/'4.9_пр-во (свод)'!$D$15</f>
        <v>2.0728202995008318</v>
      </c>
      <c r="E21" s="251">
        <f>('4.9_пр-во КТЭЦ'!$E$15*'4.9_пр-во КТЭЦ'!E21+'4.9_пр-во ККЭ'!$E$15*'4.9_пр-во ККЭ'!E21)/'4.9_пр-во (свод)'!$E$15</f>
        <v>2.0428137496576282</v>
      </c>
      <c r="F21" s="251">
        <v>2.0927489992603552</v>
      </c>
      <c r="G21" s="251">
        <v>2.042301648098702</v>
      </c>
      <c r="H21" s="251"/>
      <c r="I21" s="251"/>
      <c r="J21" s="251">
        <v>2.0311053651059088</v>
      </c>
      <c r="K21" s="251"/>
      <c r="L21" s="251">
        <v>2.0484756934907993</v>
      </c>
      <c r="M21" s="251">
        <v>2.0611894071291124</v>
      </c>
      <c r="N21" s="251">
        <v>2.0611894071291124</v>
      </c>
      <c r="O21" s="251">
        <v>2.0611894071291124</v>
      </c>
      <c r="P21" s="251">
        <v>2.0611894071291124</v>
      </c>
      <c r="Q21" s="251">
        <v>2.0611894071291124</v>
      </c>
      <c r="R21" s="251">
        <v>2.0611894071291124</v>
      </c>
    </row>
    <row r="22" spans="1:18" s="36" customFormat="1" ht="15" customHeight="1">
      <c r="A22" s="60" t="s">
        <v>433</v>
      </c>
      <c r="B22" s="61" t="s">
        <v>470</v>
      </c>
      <c r="C22" s="8" t="s">
        <v>465</v>
      </c>
      <c r="D22" s="250">
        <f>('4.9_пр-во КТЭЦ'!$D$15*'4.9_пр-во КТЭЦ'!D22+'4.9_пр-во ККЭ'!$D$15*'4.9_пр-во ККЭ'!D22)/'4.9_пр-во (свод)'!$D$15</f>
        <v>10068.87809716847</v>
      </c>
      <c r="E22" s="250">
        <f>('4.9_пр-во КТЭЦ'!$E$15*'4.9_пр-во КТЭЦ'!E22+'4.9_пр-во ККЭ'!$E$15*'4.9_пр-во ККЭ'!E22)/'4.9_пр-во (свод)'!$E$15</f>
        <v>10350.645848078151</v>
      </c>
      <c r="F22" s="250">
        <v>11928.669295784024</v>
      </c>
      <c r="G22" s="250">
        <v>11800.4189227143</v>
      </c>
      <c r="H22" s="250"/>
      <c r="I22" s="250"/>
      <c r="J22" s="250">
        <v>13549.503890621516</v>
      </c>
      <c r="K22" s="250"/>
      <c r="L22" s="250">
        <v>14847.351826421316</v>
      </c>
      <c r="M22" s="250">
        <v>15963.911958214974</v>
      </c>
      <c r="N22" s="250">
        <v>15648.54997892422</v>
      </c>
      <c r="O22" s="250">
        <v>16281.335126912858</v>
      </c>
      <c r="P22" s="250">
        <v>16904.844922569413</v>
      </c>
      <c r="Q22" s="250">
        <v>16705.940144781456</v>
      </c>
      <c r="R22" s="250">
        <v>17103.749700357374</v>
      </c>
    </row>
    <row r="23" spans="1:18" s="36" customFormat="1" ht="30" customHeight="1">
      <c r="A23" s="60" t="s">
        <v>471</v>
      </c>
      <c r="B23" s="61" t="s">
        <v>472</v>
      </c>
      <c r="C23" s="8"/>
      <c r="D23" s="388"/>
      <c r="E23" s="388"/>
      <c r="F23" s="388"/>
      <c r="G23" s="388"/>
      <c r="H23" s="388"/>
      <c r="I23" s="388"/>
      <c r="J23" s="388"/>
      <c r="K23" s="388"/>
      <c r="L23" s="388"/>
      <c r="M23" s="388"/>
      <c r="N23" s="388"/>
      <c r="O23" s="388"/>
      <c r="P23" s="388"/>
      <c r="Q23" s="388"/>
      <c r="R23" s="388"/>
    </row>
    <row r="24" spans="1:18" s="36" customFormat="1" ht="15" customHeight="1">
      <c r="A24" s="60"/>
      <c r="B24" s="70" t="s">
        <v>473</v>
      </c>
      <c r="C24" s="8" t="s">
        <v>138</v>
      </c>
      <c r="D24" s="251">
        <f>('4.9_пр-во КТЭЦ'!$D$15*'4.9_пр-во КТЭЦ'!D24+'4.9_пр-во ККЭ'!$D$15*'4.9_пр-во ККЭ'!D24)/'4.9_пр-во (свод)'!$D$15</f>
        <v>19.572511862944474</v>
      </c>
      <c r="E24" s="251">
        <f>('4.9_пр-во КТЭЦ'!$E$15*'4.9_пр-во КТЭЦ'!E24+'4.9_пр-во ККЭ'!$E$15*'4.9_пр-во ККЭ'!E24)/'4.9_пр-во (свод)'!$E$15</f>
        <v>18.042303478499043</v>
      </c>
      <c r="F24" s="251">
        <v>17.865389053254436</v>
      </c>
      <c r="G24" s="251">
        <v>20.395249056256333</v>
      </c>
      <c r="H24" s="251"/>
      <c r="I24" s="251"/>
      <c r="J24" s="251">
        <v>19.226067447045704</v>
      </c>
      <c r="K24" s="251"/>
      <c r="L24" s="251">
        <v>18.3309475418841</v>
      </c>
      <c r="M24" s="251">
        <v>18.329192705947037</v>
      </c>
      <c r="N24" s="251">
        <v>18.329192705947037</v>
      </c>
      <c r="O24" s="251">
        <v>18.329192705947037</v>
      </c>
      <c r="P24" s="251">
        <v>18.329192705947037</v>
      </c>
      <c r="Q24" s="251">
        <v>18.329192705947037</v>
      </c>
      <c r="R24" s="251">
        <v>18.329192705947037</v>
      </c>
    </row>
    <row r="25" spans="1:18" s="36" customFormat="1" ht="15" customHeight="1">
      <c r="A25" s="60"/>
      <c r="B25" s="70" t="s">
        <v>474</v>
      </c>
      <c r="C25" s="8" t="s">
        <v>465</v>
      </c>
      <c r="D25" s="250">
        <f>('4.9_пр-во КТЭЦ'!$D$15*'4.9_пр-во КТЭЦ'!D25+'4.9_пр-во ККЭ'!$D$15*'4.9_пр-во ККЭ'!D25)/'4.9_пр-во (свод)'!$D$15</f>
        <v>1943.6367441635525</v>
      </c>
      <c r="E25" s="250">
        <f>('4.9_пр-во КТЭЦ'!$E$15*'4.9_пр-во КТЭЦ'!E25+'4.9_пр-во ККЭ'!$E$15*'4.9_пр-во ККЭ'!E25)/'4.9_пр-во (свод)'!$E$15</f>
        <v>1838.9333158032503</v>
      </c>
      <c r="F25" s="250">
        <v>2131.1031785679215</v>
      </c>
      <c r="G25" s="250">
        <v>2360.545331672296</v>
      </c>
      <c r="H25" s="250"/>
      <c r="I25" s="250"/>
      <c r="J25" s="250">
        <v>2545.7547380156075</v>
      </c>
      <c r="K25" s="250"/>
      <c r="L25" s="250">
        <v>2631.0088803442277</v>
      </c>
      <c r="M25" s="250">
        <v>2828.1945386236603</v>
      </c>
      <c r="N25" s="250">
        <v>2772.1999450197013</v>
      </c>
      <c r="O25" s="250">
        <v>2884.6864290295975</v>
      </c>
      <c r="P25" s="250">
        <v>2994.675616237515</v>
      </c>
      <c r="Q25" s="250">
        <v>2959.4296710345461</v>
      </c>
      <c r="R25" s="250">
        <v>3029.9215614404839</v>
      </c>
    </row>
    <row r="26" spans="1:18" s="36" customFormat="1" ht="15" customHeight="1">
      <c r="A26" s="60" t="s">
        <v>475</v>
      </c>
      <c r="B26" s="61" t="s">
        <v>476</v>
      </c>
      <c r="C26" s="8"/>
      <c r="D26" s="337"/>
      <c r="E26" s="337"/>
      <c r="F26" s="337"/>
      <c r="G26" s="337"/>
      <c r="H26" s="337"/>
      <c r="I26" s="337"/>
      <c r="J26" s="337"/>
      <c r="K26" s="337"/>
      <c r="L26" s="337"/>
      <c r="M26" s="337"/>
      <c r="N26" s="337"/>
      <c r="O26" s="337"/>
      <c r="P26" s="337"/>
      <c r="Q26" s="337"/>
      <c r="R26" s="337"/>
    </row>
    <row r="27" spans="1:18" s="36" customFormat="1" ht="15" customHeight="1">
      <c r="A27" s="60"/>
      <c r="B27" s="70" t="s">
        <v>473</v>
      </c>
      <c r="C27" s="8" t="s">
        <v>138</v>
      </c>
      <c r="D27" s="947">
        <f>('4.9_пр-во КТЭЦ'!$D$15*'4.9_пр-во КТЭЦ'!D27+'4.9_пр-во ККЭ'!$D$15*'4.9_пр-во ККЭ'!D27)/'4.9_пр-во (свод)'!$D$15</f>
        <v>50</v>
      </c>
      <c r="E27" s="947">
        <f>('4.9_пр-во КТЭЦ'!$E$15*'4.9_пр-во КТЭЦ'!E27+'4.9_пр-во ККЭ'!$E$15*'4.9_пр-во ККЭ'!E27)/'4.9_пр-во (свод)'!$E$15</f>
        <v>47.529017620743176</v>
      </c>
      <c r="F27" s="947">
        <v>47.182878698224854</v>
      </c>
      <c r="G27" s="947">
        <v>47.9813539268944</v>
      </c>
      <c r="H27" s="251"/>
      <c r="I27" s="251"/>
      <c r="J27" s="251">
        <v>48.419891304347821</v>
      </c>
      <c r="K27" s="251"/>
      <c r="L27" s="251">
        <v>47.247981323812148</v>
      </c>
      <c r="M27" s="947">
        <v>50</v>
      </c>
      <c r="N27" s="947">
        <v>50</v>
      </c>
      <c r="O27" s="947">
        <v>50</v>
      </c>
      <c r="P27" s="251">
        <v>50</v>
      </c>
      <c r="Q27" s="251">
        <v>50</v>
      </c>
      <c r="R27" s="251">
        <v>50</v>
      </c>
    </row>
    <row r="28" spans="1:18" s="36" customFormat="1" ht="15" customHeight="1">
      <c r="A28" s="60"/>
      <c r="B28" s="70" t="s">
        <v>474</v>
      </c>
      <c r="C28" s="8" t="s">
        <v>465</v>
      </c>
      <c r="D28" s="250">
        <f>('4.9_пр-во КТЭЦ'!$D$15*'4.9_пр-во КТЭЦ'!D28+'4.9_пр-во ККЭ'!$D$15*'4.9_пр-во ККЭ'!D28)/'4.9_пр-во (свод)'!$D$15</f>
        <v>6006.5254923983093</v>
      </c>
      <c r="E28" s="250">
        <f>('4.9_пр-во КТЭЦ'!$E$15*'4.9_пр-во КТЭЦ'!E28+'4.9_пр-во ККЭ'!$E$15*'4.9_пр-во ККЭ'!E28)/'4.9_пр-во (свод)'!$E$15</f>
        <v>5784.0930104220752</v>
      </c>
      <c r="F28" s="250">
        <v>6633.8053918198866</v>
      </c>
      <c r="G28" s="250">
        <v>6795.7026269175412</v>
      </c>
      <c r="H28" s="250"/>
      <c r="I28" s="250"/>
      <c r="J28" s="250">
        <v>7780.1505016722404</v>
      </c>
      <c r="K28" s="250"/>
      <c r="L28" s="250">
        <v>8237.8126888217539</v>
      </c>
      <c r="M28" s="250">
        <v>9396.2035187391193</v>
      </c>
      <c r="N28" s="250">
        <v>9210.6143132044363</v>
      </c>
      <c r="O28" s="250">
        <v>9583.2900210757816</v>
      </c>
      <c r="P28" s="250">
        <v>9949.965728947127</v>
      </c>
      <c r="Q28" s="250">
        <v>9832.6603133877034</v>
      </c>
      <c r="R28" s="250">
        <v>10067.019792907542</v>
      </c>
    </row>
    <row r="29" spans="1:18" s="36" customFormat="1" ht="15" customHeight="1">
      <c r="A29" s="60" t="s">
        <v>477</v>
      </c>
      <c r="B29" s="61" t="s">
        <v>478</v>
      </c>
      <c r="C29" s="8"/>
      <c r="D29" s="337"/>
      <c r="E29" s="337"/>
      <c r="F29" s="337"/>
      <c r="G29" s="337"/>
      <c r="H29" s="337"/>
      <c r="I29" s="337"/>
      <c r="J29" s="337"/>
      <c r="K29" s="337"/>
      <c r="L29" s="337"/>
      <c r="M29" s="337"/>
      <c r="N29" s="337"/>
      <c r="O29" s="337"/>
      <c r="P29" s="337"/>
      <c r="Q29" s="337"/>
      <c r="R29" s="337"/>
    </row>
    <row r="30" spans="1:18" s="36" customFormat="1" ht="15" customHeight="1">
      <c r="A30" s="60"/>
      <c r="B30" s="70" t="s">
        <v>473</v>
      </c>
      <c r="C30" s="8" t="s">
        <v>138</v>
      </c>
      <c r="D30" s="251">
        <f>('4.9_пр-во КТЭЦ'!$D$15*'4.9_пр-во КТЭЦ'!D30+'4.9_пр-во ККЭ'!$D$15*'4.9_пр-во ККЭ'!D30)/'4.9_пр-во (свод)'!$D$15</f>
        <v>8.1554816047321221</v>
      </c>
      <c r="E30" s="251">
        <f>('4.9_пр-во КТЭЦ'!$E$15*'4.9_пр-во КТЭЦ'!E30+'4.9_пр-во ККЭ'!$E$15*'4.9_пр-во ККЭ'!E30)/'4.9_пр-во (свод)'!$E$15</f>
        <v>9.577585136492285</v>
      </c>
      <c r="F30" s="251">
        <v>9.8049182938856028</v>
      </c>
      <c r="G30" s="251">
        <v>9.6161126968050823</v>
      </c>
      <c r="H30" s="251"/>
      <c r="I30" s="251"/>
      <c r="J30" s="251">
        <v>9.7798157748049039</v>
      </c>
      <c r="K30" s="251"/>
      <c r="L30" s="251">
        <v>9.9542616497299292</v>
      </c>
      <c r="M30" s="251">
        <v>10.055136076239348</v>
      </c>
      <c r="N30" s="251">
        <v>10.055136076239348</v>
      </c>
      <c r="O30" s="251">
        <v>10.055136076239348</v>
      </c>
      <c r="P30" s="251">
        <v>10.055136076239348</v>
      </c>
      <c r="Q30" s="251">
        <v>10.055136076239348</v>
      </c>
      <c r="R30" s="251">
        <v>10.055136076239348</v>
      </c>
    </row>
    <row r="31" spans="1:18" s="36" customFormat="1" ht="15" customHeight="1">
      <c r="A31" s="60"/>
      <c r="B31" s="70" t="s">
        <v>474</v>
      </c>
      <c r="C31" s="8" t="s">
        <v>465</v>
      </c>
      <c r="D31" s="250">
        <f>('4.9_пр-во КТЭЦ'!$D$15*'4.9_пр-во КТЭЦ'!D31+'4.9_пр-во ККЭ'!$D$15*'4.9_пр-во ККЭ'!D31)/'4.9_пр-во (свод)'!$D$15</f>
        <v>984.97120880385796</v>
      </c>
      <c r="E31" s="250">
        <f>('4.9_пр-во КТЭЦ'!$E$15*'4.9_пр-во КТЭЦ'!E31+'4.9_пр-во ККЭ'!$E$15*'4.9_пр-во ККЭ'!E31)/'4.9_пр-во (свод)'!$E$15</f>
        <v>1198.2146529399943</v>
      </c>
      <c r="F31" s="250">
        <v>1378.5492034164265</v>
      </c>
      <c r="G31" s="250">
        <v>1399.285779193892</v>
      </c>
      <c r="H31" s="250"/>
      <c r="I31" s="250"/>
      <c r="J31" s="250">
        <v>1614.0348383500557</v>
      </c>
      <c r="K31" s="250"/>
      <c r="L31" s="250">
        <v>1783.0543806646526</v>
      </c>
      <c r="M31" s="250">
        <v>1936.5301017135525</v>
      </c>
      <c r="N31" s="250">
        <v>1898.7382021442318</v>
      </c>
      <c r="O31" s="250">
        <v>1974.8192980848528</v>
      </c>
      <c r="P31" s="250">
        <v>2050.6490424264639</v>
      </c>
      <c r="Q31" s="250">
        <v>2026.8733620452672</v>
      </c>
      <c r="R31" s="250">
        <v>2075.1733712086507</v>
      </c>
    </row>
    <row r="32" spans="1:18" s="36" customFormat="1" ht="15" customHeight="1">
      <c r="A32" s="60" t="s">
        <v>479</v>
      </c>
      <c r="B32" s="61" t="s">
        <v>480</v>
      </c>
      <c r="C32" s="8"/>
      <c r="D32" s="337"/>
      <c r="E32" s="337"/>
      <c r="F32" s="337"/>
      <c r="G32" s="337"/>
      <c r="H32" s="337"/>
      <c r="I32" s="337"/>
      <c r="J32" s="337"/>
      <c r="K32" s="337"/>
      <c r="L32" s="337"/>
      <c r="M32" s="337"/>
      <c r="N32" s="337"/>
      <c r="O32" s="337"/>
      <c r="P32" s="337"/>
      <c r="Q32" s="337"/>
      <c r="R32" s="337"/>
    </row>
    <row r="33" spans="1:18" s="36" customFormat="1" ht="15" customHeight="1">
      <c r="A33" s="60"/>
      <c r="B33" s="70" t="s">
        <v>473</v>
      </c>
      <c r="C33" s="8" t="s">
        <v>138</v>
      </c>
      <c r="D33" s="251">
        <f>('4.9_пр-во КТЭЦ'!$D$15*'4.9_пр-во КТЭЦ'!D33+'4.9_пр-во ККЭ'!$D$15*'4.9_пр-во ККЭ'!D33)/'4.9_пр-во (свод)'!$D$15</f>
        <v>0</v>
      </c>
      <c r="E33" s="251">
        <f>('4.9_пр-во КТЭЦ'!$E$15*'4.9_пр-во КТЭЦ'!E33+'4.9_пр-во ККЭ'!$E$15*'4.9_пр-во ККЭ'!E33)/'4.9_пр-во (свод)'!$E$15</f>
        <v>0</v>
      </c>
      <c r="F33" s="251">
        <v>0</v>
      </c>
      <c r="G33" s="251">
        <v>0</v>
      </c>
      <c r="H33" s="251"/>
      <c r="I33" s="251"/>
      <c r="J33" s="251">
        <v>0</v>
      </c>
      <c r="K33" s="251"/>
      <c r="L33" s="251">
        <v>0</v>
      </c>
      <c r="M33" s="251">
        <v>0</v>
      </c>
      <c r="N33" s="251">
        <v>0</v>
      </c>
      <c r="O33" s="251">
        <v>0</v>
      </c>
      <c r="P33" s="251">
        <v>0</v>
      </c>
      <c r="Q33" s="251">
        <v>0</v>
      </c>
      <c r="R33" s="251">
        <v>0</v>
      </c>
    </row>
    <row r="34" spans="1:18" s="36" customFormat="1" ht="15" customHeight="1">
      <c r="A34" s="60"/>
      <c r="B34" s="70" t="s">
        <v>474</v>
      </c>
      <c r="C34" s="8" t="s">
        <v>465</v>
      </c>
      <c r="D34" s="250">
        <f>('4.9_пр-во КТЭЦ'!$D$15*'4.9_пр-во КТЭЦ'!D34+'4.9_пр-во ККЭ'!$D$15*'4.9_пр-во ККЭ'!D34)/'4.9_пр-во (свод)'!$D$15</f>
        <v>0</v>
      </c>
      <c r="E34" s="250">
        <f>('4.9_пр-во КТЭЦ'!$E$15*'4.9_пр-во КТЭЦ'!E34+'4.9_пр-во ККЭ'!$E$15*'4.9_пр-во ККЭ'!E34)/'4.9_пр-во (свод)'!$E$15</f>
        <v>142.02178307313065</v>
      </c>
      <c r="F34" s="250">
        <v>0</v>
      </c>
      <c r="G34" s="250">
        <v>0</v>
      </c>
      <c r="H34" s="250"/>
      <c r="I34" s="250"/>
      <c r="J34" s="250">
        <v>0</v>
      </c>
      <c r="K34" s="250"/>
      <c r="L34" s="250">
        <v>0</v>
      </c>
      <c r="M34" s="250">
        <v>0</v>
      </c>
      <c r="N34" s="250">
        <v>0</v>
      </c>
      <c r="O34" s="250">
        <v>0</v>
      </c>
      <c r="P34" s="250">
        <v>0</v>
      </c>
      <c r="Q34" s="250">
        <v>0</v>
      </c>
      <c r="R34" s="250">
        <v>0</v>
      </c>
    </row>
    <row r="35" spans="1:18" s="36" customFormat="1">
      <c r="A35" s="60" t="s">
        <v>481</v>
      </c>
      <c r="B35" s="61"/>
      <c r="C35" s="8"/>
      <c r="D35" s="337"/>
      <c r="E35" s="337"/>
      <c r="F35" s="337"/>
      <c r="G35" s="337"/>
      <c r="H35" s="337"/>
      <c r="I35" s="337"/>
      <c r="J35" s="337"/>
      <c r="K35" s="337"/>
      <c r="L35" s="337"/>
      <c r="M35" s="337"/>
      <c r="N35" s="337"/>
      <c r="O35" s="337"/>
      <c r="P35" s="337"/>
      <c r="Q35" s="337"/>
      <c r="R35" s="337"/>
    </row>
    <row r="36" spans="1:18" s="36" customFormat="1" ht="15" customHeight="1">
      <c r="A36" s="60"/>
      <c r="B36" s="70" t="s">
        <v>473</v>
      </c>
      <c r="C36" s="8" t="s">
        <v>138</v>
      </c>
      <c r="D36" s="251">
        <f>('4.9_пр-во КТЭЦ'!$D$15*'4.9_пр-во КТЭЦ'!D36+'4.9_пр-во ККЭ'!$D$15*'4.9_пр-во ККЭ'!D36)/'4.9_пр-во (свод)'!$D$15</f>
        <v>0</v>
      </c>
      <c r="E36" s="251">
        <f>('4.9_пр-во КТЭЦ'!$E$15*'4.9_пр-во КТЭЦ'!E36+'4.9_пр-во ККЭ'!$E$15*'4.9_пр-во ККЭ'!E36)/'4.9_пр-во (свод)'!$E$15</f>
        <v>0</v>
      </c>
      <c r="F36" s="251">
        <v>0</v>
      </c>
      <c r="G36" s="251">
        <v>0</v>
      </c>
      <c r="H36" s="251"/>
      <c r="I36" s="251"/>
      <c r="J36" s="251">
        <v>0</v>
      </c>
      <c r="K36" s="251"/>
      <c r="L36" s="251">
        <v>0</v>
      </c>
      <c r="M36" s="251">
        <v>0</v>
      </c>
      <c r="N36" s="251">
        <v>0</v>
      </c>
      <c r="O36" s="251">
        <v>0</v>
      </c>
      <c r="P36" s="251">
        <v>0</v>
      </c>
      <c r="Q36" s="251">
        <v>0</v>
      </c>
      <c r="R36" s="251">
        <v>0</v>
      </c>
    </row>
    <row r="37" spans="1:18" s="36" customFormat="1" ht="15" customHeight="1">
      <c r="A37" s="60"/>
      <c r="B37" s="70" t="s">
        <v>474</v>
      </c>
      <c r="C37" s="8" t="s">
        <v>465</v>
      </c>
      <c r="D37" s="250">
        <f>('4.9_пр-во КТЭЦ'!$D$15*'4.9_пр-во КТЭЦ'!D37+'4.9_пр-во ККЭ'!$D$15*'4.9_пр-во ККЭ'!D37)/'4.9_пр-во (свод)'!$D$15</f>
        <v>0</v>
      </c>
      <c r="E37" s="250">
        <f>('4.9_пр-во КТЭЦ'!$E$15*'4.9_пр-во КТЭЦ'!E37+'4.9_пр-во ККЭ'!$E$15*'4.9_пр-во ККЭ'!E37)/'4.9_пр-во (свод)'!$E$15</f>
        <v>0</v>
      </c>
      <c r="F37" s="250">
        <v>0</v>
      </c>
      <c r="G37" s="250">
        <v>0</v>
      </c>
      <c r="H37" s="250"/>
      <c r="I37" s="250"/>
      <c r="J37" s="250">
        <v>0</v>
      </c>
      <c r="K37" s="250"/>
      <c r="L37" s="250">
        <v>0</v>
      </c>
      <c r="M37" s="250">
        <v>0</v>
      </c>
      <c r="N37" s="250">
        <v>0</v>
      </c>
      <c r="O37" s="250">
        <v>0</v>
      </c>
      <c r="P37" s="250">
        <v>0</v>
      </c>
      <c r="Q37" s="250">
        <v>0</v>
      </c>
      <c r="R37" s="250">
        <v>0</v>
      </c>
    </row>
    <row r="38" spans="1:18" s="36" customFormat="1">
      <c r="A38" s="60" t="s">
        <v>482</v>
      </c>
      <c r="B38" s="61"/>
      <c r="C38" s="8"/>
      <c r="D38" s="388"/>
      <c r="E38" s="388"/>
      <c r="F38" s="388"/>
      <c r="G38" s="388"/>
      <c r="H38" s="388"/>
      <c r="I38" s="388"/>
      <c r="J38" s="388"/>
      <c r="K38" s="388"/>
      <c r="L38" s="388"/>
      <c r="M38" s="388"/>
      <c r="N38" s="388"/>
      <c r="O38" s="388"/>
      <c r="P38" s="388"/>
      <c r="Q38" s="388"/>
      <c r="R38" s="388"/>
    </row>
    <row r="39" spans="1:18" s="36" customFormat="1" ht="15" customHeight="1">
      <c r="A39" s="60"/>
      <c r="B39" s="70" t="s">
        <v>473</v>
      </c>
      <c r="C39" s="8" t="s">
        <v>138</v>
      </c>
      <c r="D39" s="251">
        <f>('4.9_пр-во КТЭЦ'!$D$15*'4.9_пр-во КТЭЦ'!D39+'4.9_пр-во ККЭ'!$D$15*'4.9_пр-во ККЭ'!D39)/'4.9_пр-во (свод)'!$D$15</f>
        <v>0</v>
      </c>
      <c r="E39" s="251">
        <f>('4.9_пр-во КТЭЦ'!$E$15*'4.9_пр-во КТЭЦ'!E39+'4.9_пр-во ККЭ'!$E$15*'4.9_пр-во ККЭ'!E39)/'4.9_пр-во (свод)'!$E$15</f>
        <v>0</v>
      </c>
      <c r="F39" s="251">
        <v>0</v>
      </c>
      <c r="G39" s="251">
        <v>0</v>
      </c>
      <c r="H39" s="251"/>
      <c r="I39" s="251"/>
      <c r="J39" s="251">
        <v>0</v>
      </c>
      <c r="K39" s="251"/>
      <c r="L39" s="251">
        <v>0</v>
      </c>
      <c r="M39" s="251">
        <v>0</v>
      </c>
      <c r="N39" s="251">
        <v>0</v>
      </c>
      <c r="O39" s="251">
        <v>0</v>
      </c>
      <c r="P39" s="251">
        <v>0</v>
      </c>
      <c r="Q39" s="251">
        <v>0</v>
      </c>
      <c r="R39" s="251">
        <v>0</v>
      </c>
    </row>
    <row r="40" spans="1:18" s="36" customFormat="1" ht="15" customHeight="1">
      <c r="A40" s="60"/>
      <c r="B40" s="70" t="s">
        <v>474</v>
      </c>
      <c r="C40" s="8" t="s">
        <v>465</v>
      </c>
      <c r="D40" s="250">
        <f>('4.9_пр-во КТЭЦ'!$D$15*'4.9_пр-во КТЭЦ'!D40+'4.9_пр-во ККЭ'!$D$15*'4.9_пр-во ККЭ'!D40)/'4.9_пр-во (свод)'!$D$15</f>
        <v>0</v>
      </c>
      <c r="E40" s="250">
        <f>('4.9_пр-во КТЭЦ'!$E$15*'4.9_пр-во КТЭЦ'!E40+'4.9_пр-во ККЭ'!$E$15*'4.9_пр-во ККЭ'!E40)/'4.9_пр-во (свод)'!$E$15</f>
        <v>0</v>
      </c>
      <c r="F40" s="250">
        <v>0</v>
      </c>
      <c r="G40" s="250">
        <v>0</v>
      </c>
      <c r="H40" s="250"/>
      <c r="I40" s="250"/>
      <c r="J40" s="250">
        <v>0</v>
      </c>
      <c r="K40" s="250"/>
      <c r="L40" s="250">
        <v>0</v>
      </c>
      <c r="M40" s="250">
        <v>0</v>
      </c>
      <c r="N40" s="250">
        <v>0</v>
      </c>
      <c r="O40" s="250">
        <v>0</v>
      </c>
      <c r="P40" s="250">
        <v>0</v>
      </c>
      <c r="Q40" s="250">
        <v>0</v>
      </c>
      <c r="R40" s="250">
        <v>0</v>
      </c>
    </row>
    <row r="41" spans="1:18" s="36" customFormat="1" ht="30" customHeight="1">
      <c r="A41" s="60" t="s">
        <v>483</v>
      </c>
      <c r="B41" s="61" t="s">
        <v>484</v>
      </c>
      <c r="C41" s="8"/>
      <c r="D41" s="388"/>
      <c r="E41" s="388"/>
      <c r="F41" s="388"/>
      <c r="G41" s="388"/>
      <c r="H41" s="388"/>
      <c r="I41" s="388"/>
      <c r="J41" s="388"/>
      <c r="K41" s="388"/>
      <c r="L41" s="388"/>
      <c r="M41" s="388"/>
      <c r="N41" s="388"/>
      <c r="O41" s="388"/>
      <c r="P41" s="388"/>
      <c r="Q41" s="388"/>
      <c r="R41" s="388"/>
    </row>
    <row r="42" spans="1:18" s="36" customFormat="1" ht="15" customHeight="1">
      <c r="A42" s="60"/>
      <c r="B42" s="70" t="s">
        <v>473</v>
      </c>
      <c r="C42" s="8" t="s">
        <v>138</v>
      </c>
      <c r="D42" s="337">
        <v>160</v>
      </c>
      <c r="E42" s="337">
        <v>160</v>
      </c>
      <c r="F42" s="337">
        <v>160</v>
      </c>
      <c r="G42" s="337">
        <v>160</v>
      </c>
      <c r="H42" s="337"/>
      <c r="I42" s="337"/>
      <c r="J42" s="337">
        <v>160</v>
      </c>
      <c r="K42" s="337"/>
      <c r="L42" s="337">
        <v>160</v>
      </c>
      <c r="M42" s="337">
        <v>160</v>
      </c>
      <c r="N42" s="337">
        <v>160</v>
      </c>
      <c r="O42" s="337">
        <v>160</v>
      </c>
      <c r="P42" s="337">
        <v>160</v>
      </c>
      <c r="Q42" s="337">
        <v>160</v>
      </c>
      <c r="R42" s="337">
        <v>160</v>
      </c>
    </row>
    <row r="43" spans="1:18" s="36" customFormat="1" ht="15" customHeight="1">
      <c r="A43" s="60"/>
      <c r="B43" s="70" t="s">
        <v>474</v>
      </c>
      <c r="C43" s="8" t="s">
        <v>465</v>
      </c>
      <c r="D43" s="250">
        <f>(D22+D25+D28+D31)*D42/100+1</f>
        <v>30407.418468054704</v>
      </c>
      <c r="E43" s="250">
        <f>(E22+E25+E28+E31)*E42/100+1</f>
        <v>30676.018923589549</v>
      </c>
      <c r="F43" s="250">
        <v>35315.403311341215</v>
      </c>
      <c r="G43" s="250">
        <v>35768.775246576799</v>
      </c>
      <c r="H43" s="250"/>
      <c r="I43" s="250"/>
      <c r="J43" s="250">
        <v>40783.203455964322</v>
      </c>
      <c r="K43" s="250"/>
      <c r="L43" s="250">
        <v>43998.91687265403</v>
      </c>
      <c r="M43" s="250">
        <v>48199.374782369654</v>
      </c>
      <c r="N43" s="250">
        <v>47247.882800329884</v>
      </c>
      <c r="O43" s="250">
        <v>49158.604600018334</v>
      </c>
      <c r="P43" s="250">
        <v>51040.572344909742</v>
      </c>
      <c r="Q43" s="250">
        <v>50439.51553193439</v>
      </c>
      <c r="R43" s="250">
        <v>51641.623751489053</v>
      </c>
    </row>
    <row r="44" spans="1:18" s="36" customFormat="1" ht="30" customHeight="1">
      <c r="A44" s="387" t="s">
        <v>27</v>
      </c>
      <c r="B44" s="386" t="s">
        <v>485</v>
      </c>
      <c r="C44" s="385" t="s">
        <v>465</v>
      </c>
      <c r="D44" s="384">
        <f>D22+D25+D28+D31+D43</f>
        <v>49411.430010588898</v>
      </c>
      <c r="E44" s="384">
        <f>E22+E25+E28+E31+E43+2</f>
        <v>49849.905750833015</v>
      </c>
      <c r="F44" s="384">
        <v>57387.530380929471</v>
      </c>
      <c r="G44" s="384">
        <v>58124.727907074826</v>
      </c>
      <c r="H44" s="384">
        <v>63579.69</v>
      </c>
      <c r="I44" s="384">
        <v>43090.06</v>
      </c>
      <c r="J44" s="384">
        <v>66271.647424623749</v>
      </c>
      <c r="K44" s="384">
        <v>69123</v>
      </c>
      <c r="L44" s="384">
        <v>71498.144648905989</v>
      </c>
      <c r="M44" s="384">
        <v>78323.214899660961</v>
      </c>
      <c r="N44" s="384">
        <v>76777.985239622474</v>
      </c>
      <c r="O44" s="384">
        <v>79882.735475121415</v>
      </c>
      <c r="P44" s="384">
        <v>82939.707655090257</v>
      </c>
      <c r="Q44" s="384">
        <v>81963.419023183364</v>
      </c>
      <c r="R44" s="384">
        <v>83917.488177403109</v>
      </c>
    </row>
    <row r="45" spans="1:18" s="1368" customFormat="1" ht="30" customHeight="1">
      <c r="A45" s="1364" t="s">
        <v>95</v>
      </c>
      <c r="B45" s="1365" t="s">
        <v>905</v>
      </c>
      <c r="C45" s="1366" t="s">
        <v>465</v>
      </c>
      <c r="D45" s="1367">
        <f>'4.9_пр-во КТЭЦ'!D45+'4.9_пр-во ККЭ'!D45</f>
        <v>584195.79555002495</v>
      </c>
      <c r="E45" s="1367">
        <f>'4.9_пр-во КТЭЦ'!E45+'4.9_пр-во ККЭ'!E45</f>
        <v>686844.29313464893</v>
      </c>
      <c r="F45" s="1367">
        <v>799916.61235492583</v>
      </c>
      <c r="G45" s="1367">
        <v>791168.44175848761</v>
      </c>
      <c r="H45" s="1367">
        <v>866825</v>
      </c>
      <c r="I45" s="1367">
        <v>8170</v>
      </c>
      <c r="J45" s="1367">
        <v>870752.83225438022</v>
      </c>
      <c r="K45" s="1367">
        <v>900927</v>
      </c>
      <c r="L45" s="1367">
        <v>955046.78079999983</v>
      </c>
      <c r="M45" s="1367">
        <v>1071641.0670960001</v>
      </c>
      <c r="N45" s="1367">
        <v>514971.39175200003</v>
      </c>
      <c r="O45" s="1367">
        <v>556669.6753440001</v>
      </c>
      <c r="P45" s="1367">
        <v>1134382.5519679999</v>
      </c>
      <c r="Q45" s="1367">
        <v>549483.12288000004</v>
      </c>
      <c r="R45" s="1367">
        <v>584899.42908799998</v>
      </c>
    </row>
    <row r="46" spans="1:18">
      <c r="A46" s="60" t="s">
        <v>898</v>
      </c>
      <c r="B46" s="61" t="s">
        <v>899</v>
      </c>
      <c r="C46" s="8" t="s">
        <v>892</v>
      </c>
      <c r="D46" s="337">
        <f>'4.9_пр-во КТЭЦ'!D46+'4.9_пр-во ККЭ'!D46</f>
        <v>9413</v>
      </c>
      <c r="E46" s="337">
        <f>'4.9_пр-во КТЭЦ'!E46+'4.9_пр-во ККЭ'!E46</f>
        <v>11429</v>
      </c>
      <c r="F46" s="337">
        <v>12560</v>
      </c>
      <c r="G46" s="337">
        <v>13533</v>
      </c>
      <c r="H46" s="337">
        <v>16220</v>
      </c>
      <c r="I46" s="337"/>
      <c r="J46" s="337">
        <v>14638</v>
      </c>
      <c r="K46" s="337">
        <v>16222</v>
      </c>
      <c r="L46" s="337">
        <v>17757</v>
      </c>
      <c r="M46" s="337">
        <v>24375</v>
      </c>
      <c r="N46" s="337">
        <v>12188</v>
      </c>
      <c r="O46" s="337">
        <v>12188</v>
      </c>
      <c r="P46" s="337">
        <v>25473</v>
      </c>
      <c r="Q46" s="337">
        <v>12736.5</v>
      </c>
      <c r="R46" s="337">
        <v>12736.5</v>
      </c>
    </row>
    <row r="47" spans="1:18" ht="60.75" customHeight="1">
      <c r="A47" s="60" t="s">
        <v>900</v>
      </c>
      <c r="B47" s="61" t="s">
        <v>902</v>
      </c>
      <c r="C47" s="8" t="s">
        <v>892</v>
      </c>
      <c r="D47" s="337">
        <f>'4.9_пр-во КТЭЦ'!D47+'4.9_пр-во ККЭ'!D47</f>
        <v>0</v>
      </c>
      <c r="E47" s="337">
        <f>'4.9_пр-во КТЭЦ'!E47+'4.9_пр-во ККЭ'!E47</f>
        <v>0</v>
      </c>
      <c r="F47" s="337">
        <v>0</v>
      </c>
      <c r="G47" s="337">
        <v>0</v>
      </c>
      <c r="H47" s="337">
        <v>0</v>
      </c>
      <c r="I47" s="337">
        <v>0</v>
      </c>
      <c r="J47" s="337">
        <v>0</v>
      </c>
      <c r="K47" s="337">
        <v>0</v>
      </c>
      <c r="L47" s="337">
        <v>0</v>
      </c>
      <c r="M47" s="337">
        <v>0</v>
      </c>
      <c r="N47" s="337">
        <v>0</v>
      </c>
      <c r="O47" s="337">
        <v>0</v>
      </c>
      <c r="P47" s="337">
        <v>0</v>
      </c>
      <c r="Q47" s="337">
        <v>0</v>
      </c>
      <c r="R47" s="337">
        <v>0</v>
      </c>
    </row>
    <row r="48" spans="1:18">
      <c r="A48" s="60" t="s">
        <v>901</v>
      </c>
      <c r="B48" s="61" t="s">
        <v>348</v>
      </c>
      <c r="C48" s="8" t="s">
        <v>892</v>
      </c>
      <c r="D48" s="337">
        <f>D49+D50+D51+D52+D53</f>
        <v>0</v>
      </c>
      <c r="E48" s="337">
        <f t="shared" ref="E48:O48" si="2">E49+E50+E51+E52+E53</f>
        <v>18352</v>
      </c>
      <c r="F48" s="337">
        <v>0</v>
      </c>
      <c r="G48" s="337">
        <v>20110</v>
      </c>
      <c r="H48" s="337">
        <v>0</v>
      </c>
      <c r="I48" s="337">
        <v>0</v>
      </c>
      <c r="J48" s="337">
        <v>96</v>
      </c>
      <c r="K48" s="337">
        <v>1474</v>
      </c>
      <c r="L48" s="337">
        <v>103</v>
      </c>
      <c r="M48" s="337">
        <v>21482</v>
      </c>
      <c r="N48" s="337">
        <v>56.5</v>
      </c>
      <c r="O48" s="337">
        <v>21425.5</v>
      </c>
      <c r="P48" s="337">
        <v>22748</v>
      </c>
      <c r="Q48" s="337">
        <v>60</v>
      </c>
      <c r="R48" s="337">
        <v>22688</v>
      </c>
    </row>
    <row r="49" spans="1:18" ht="30">
      <c r="A49" s="60" t="s">
        <v>1024</v>
      </c>
      <c r="B49" s="61" t="s">
        <v>1023</v>
      </c>
      <c r="C49" s="8" t="s">
        <v>892</v>
      </c>
      <c r="D49" s="337">
        <f>'4.9_пр-во КТЭЦ'!D49+'4.9_пр-во ККЭ'!D49</f>
        <v>0</v>
      </c>
      <c r="E49" s="337">
        <f>'4.9_пр-во КТЭЦ'!E49+'4.9_пр-во ККЭ'!E49</f>
        <v>3668</v>
      </c>
      <c r="F49" s="337">
        <v>0</v>
      </c>
      <c r="G49" s="337">
        <v>168</v>
      </c>
      <c r="H49" s="337">
        <v>0</v>
      </c>
      <c r="I49" s="337">
        <v>0</v>
      </c>
      <c r="J49" s="337">
        <v>0</v>
      </c>
      <c r="K49" s="337">
        <v>1474</v>
      </c>
      <c r="L49" s="337">
        <v>0</v>
      </c>
      <c r="M49" s="337">
        <v>0</v>
      </c>
      <c r="N49" s="337">
        <v>0</v>
      </c>
      <c r="O49" s="337">
        <v>0</v>
      </c>
      <c r="P49" s="337">
        <v>0</v>
      </c>
      <c r="Q49" s="337">
        <v>0</v>
      </c>
      <c r="R49" s="337">
        <v>0</v>
      </c>
    </row>
    <row r="50" spans="1:18" ht="30">
      <c r="A50" s="60" t="s">
        <v>1022</v>
      </c>
      <c r="B50" s="61" t="s">
        <v>1021</v>
      </c>
      <c r="C50" s="8" t="s">
        <v>892</v>
      </c>
      <c r="D50" s="337">
        <f>'4.9_пр-во КТЭЦ'!D50+'4.9_пр-во ККЭ'!D50</f>
        <v>0</v>
      </c>
      <c r="E50" s="337">
        <f>'4.9_пр-во КТЭЦ'!E50+'4.9_пр-во ККЭ'!E50</f>
        <v>42</v>
      </c>
      <c r="F50" s="337">
        <v>0</v>
      </c>
      <c r="G50" s="337">
        <v>144</v>
      </c>
      <c r="H50" s="337">
        <v>0</v>
      </c>
      <c r="I50" s="337">
        <v>0</v>
      </c>
      <c r="J50" s="337">
        <v>0</v>
      </c>
      <c r="K50" s="337">
        <v>0</v>
      </c>
      <c r="L50" s="337">
        <v>0</v>
      </c>
      <c r="M50" s="337">
        <v>0</v>
      </c>
      <c r="N50" s="337">
        <v>0</v>
      </c>
      <c r="O50" s="337">
        <v>0</v>
      </c>
      <c r="P50" s="337">
        <v>0</v>
      </c>
      <c r="Q50" s="337">
        <v>0</v>
      </c>
      <c r="R50" s="337">
        <v>0</v>
      </c>
    </row>
    <row r="51" spans="1:18">
      <c r="A51" s="60" t="s">
        <v>1020</v>
      </c>
      <c r="B51" s="61" t="s">
        <v>1019</v>
      </c>
      <c r="C51" s="8" t="s">
        <v>892</v>
      </c>
      <c r="D51" s="337">
        <f>'4.9_пр-во КТЭЦ'!D51+'4.9_пр-во ККЭ'!D51</f>
        <v>0</v>
      </c>
      <c r="E51" s="337">
        <f>'4.9_пр-во КТЭЦ'!E51+'4.9_пр-во ККЭ'!E51</f>
        <v>76</v>
      </c>
      <c r="F51" s="337">
        <v>0</v>
      </c>
      <c r="G51" s="337">
        <v>0</v>
      </c>
      <c r="H51" s="337">
        <v>0</v>
      </c>
      <c r="I51" s="337">
        <v>0</v>
      </c>
      <c r="J51" s="337">
        <v>96</v>
      </c>
      <c r="K51" s="337">
        <v>0</v>
      </c>
      <c r="L51" s="337">
        <v>103</v>
      </c>
      <c r="M51" s="337">
        <v>113</v>
      </c>
      <c r="N51" s="337">
        <v>56.5</v>
      </c>
      <c r="O51" s="337">
        <v>56.5</v>
      </c>
      <c r="P51" s="337">
        <v>120</v>
      </c>
      <c r="Q51" s="337">
        <v>60</v>
      </c>
      <c r="R51" s="337">
        <v>60</v>
      </c>
    </row>
    <row r="52" spans="1:18" ht="30">
      <c r="A52" s="60" t="s">
        <v>1018</v>
      </c>
      <c r="B52" s="61" t="s">
        <v>934</v>
      </c>
      <c r="C52" s="8" t="s">
        <v>892</v>
      </c>
      <c r="D52" s="337">
        <f>'4.9_пр-во КТЭЦ'!D52+'4.9_пр-во ККЭ'!D52</f>
        <v>0</v>
      </c>
      <c r="E52" s="337">
        <f>'4.9_пр-во КТЭЦ'!E52+'4.9_пр-во ККЭ'!E52</f>
        <v>0</v>
      </c>
      <c r="F52" s="337">
        <v>0</v>
      </c>
      <c r="G52" s="337">
        <v>0</v>
      </c>
      <c r="H52" s="337">
        <v>0</v>
      </c>
      <c r="I52" s="337">
        <v>0</v>
      </c>
      <c r="J52" s="337">
        <v>0</v>
      </c>
      <c r="K52" s="337">
        <v>0</v>
      </c>
      <c r="L52" s="337">
        <v>0</v>
      </c>
      <c r="M52" s="337">
        <v>21369</v>
      </c>
      <c r="N52" s="337">
        <v>0</v>
      </c>
      <c r="O52" s="337">
        <v>21369</v>
      </c>
      <c r="P52" s="337">
        <v>22628</v>
      </c>
      <c r="Q52" s="337">
        <v>0</v>
      </c>
      <c r="R52" s="337">
        <v>22628</v>
      </c>
    </row>
    <row r="53" spans="1:18" ht="75">
      <c r="A53" s="60" t="s">
        <v>1071</v>
      </c>
      <c r="B53" s="61" t="s">
        <v>1558</v>
      </c>
      <c r="C53" s="8" t="s">
        <v>892</v>
      </c>
      <c r="D53" s="337">
        <f>'4.9_пр-во КТЭЦ'!D53+'4.9_пр-во ККЭ'!D53</f>
        <v>0</v>
      </c>
      <c r="E53" s="337">
        <f>'4.9_пр-во КТЭЦ'!E53+'4.9_пр-во ККЭ'!E53</f>
        <v>14566</v>
      </c>
      <c r="F53" s="337">
        <v>0</v>
      </c>
      <c r="G53" s="337">
        <v>19798</v>
      </c>
      <c r="H53" s="337">
        <v>0</v>
      </c>
      <c r="I53" s="337">
        <v>0</v>
      </c>
      <c r="J53" s="337">
        <v>0</v>
      </c>
      <c r="K53" s="337">
        <v>0</v>
      </c>
      <c r="L53" s="337">
        <v>0</v>
      </c>
      <c r="M53" s="337">
        <v>0</v>
      </c>
      <c r="N53" s="337">
        <v>0</v>
      </c>
      <c r="O53" s="337">
        <v>0</v>
      </c>
      <c r="P53" s="337">
        <v>0</v>
      </c>
      <c r="Q53" s="337">
        <v>0</v>
      </c>
      <c r="R53" s="337">
        <v>0</v>
      </c>
    </row>
    <row r="54" spans="1:18" ht="30">
      <c r="A54" s="60"/>
      <c r="B54" s="61" t="s">
        <v>903</v>
      </c>
      <c r="C54" s="8" t="s">
        <v>892</v>
      </c>
      <c r="D54" s="250">
        <v>12</v>
      </c>
      <c r="E54" s="250">
        <v>12</v>
      </c>
      <c r="F54" s="250">
        <v>12</v>
      </c>
      <c r="G54" s="250">
        <v>12</v>
      </c>
      <c r="H54" s="250">
        <v>12</v>
      </c>
      <c r="I54" s="250">
        <v>12</v>
      </c>
      <c r="J54" s="250">
        <v>12</v>
      </c>
      <c r="K54" s="250">
        <v>12</v>
      </c>
      <c r="L54" s="250">
        <v>12</v>
      </c>
      <c r="M54" s="250">
        <v>12</v>
      </c>
      <c r="N54" s="250">
        <v>6</v>
      </c>
      <c r="O54" s="250">
        <v>6</v>
      </c>
      <c r="P54" s="250">
        <v>12</v>
      </c>
      <c r="Q54" s="250">
        <v>6</v>
      </c>
      <c r="R54" s="250">
        <v>6</v>
      </c>
    </row>
    <row r="55" spans="1:18" s="763" customFormat="1" ht="28.5">
      <c r="A55" s="1352" t="s">
        <v>904</v>
      </c>
      <c r="B55" s="1353" t="s">
        <v>905</v>
      </c>
      <c r="C55" s="1354" t="s">
        <v>892</v>
      </c>
      <c r="D55" s="1013">
        <f>'4.9_пр-во КТЭЦ'!D55+'4.9_пр-во ККЭ'!D55</f>
        <v>574781.79555002495</v>
      </c>
      <c r="E55" s="1013">
        <f>'4.9_пр-во КТЭЦ'!E55+'4.9_пр-во ККЭ'!E55</f>
        <v>657054.29313464893</v>
      </c>
      <c r="F55" s="1013">
        <v>787339.61235492583</v>
      </c>
      <c r="G55" s="1013">
        <v>777648.44175848749</v>
      </c>
      <c r="H55" s="1013">
        <v>805606</v>
      </c>
      <c r="I55" s="1013">
        <v>8170</v>
      </c>
      <c r="J55" s="1013">
        <v>856115.83225438022</v>
      </c>
      <c r="K55" s="1013">
        <v>884705</v>
      </c>
      <c r="L55" s="1013">
        <v>937289.78079999983</v>
      </c>
      <c r="M55" s="1013">
        <v>1047265.0670960001</v>
      </c>
      <c r="N55" s="1013">
        <v>502783.39175200003</v>
      </c>
      <c r="O55" s="1013">
        <v>544481.6753440001</v>
      </c>
      <c r="P55" s="1013">
        <v>1108909.5519679999</v>
      </c>
      <c r="Q55" s="1013">
        <v>536744.62288000004</v>
      </c>
      <c r="R55" s="1013">
        <v>572164.92908799998</v>
      </c>
    </row>
    <row r="56" spans="1:18" ht="30">
      <c r="A56" s="60" t="s">
        <v>906</v>
      </c>
      <c r="B56" s="61" t="s">
        <v>909</v>
      </c>
      <c r="C56" s="8" t="s">
        <v>892</v>
      </c>
      <c r="D56" s="250"/>
      <c r="E56" s="250"/>
      <c r="F56" s="250"/>
      <c r="G56" s="250"/>
      <c r="H56" s="250"/>
      <c r="I56" s="250"/>
      <c r="J56" s="250"/>
      <c r="K56" s="250"/>
      <c r="L56" s="250"/>
      <c r="M56" s="250"/>
      <c r="N56" s="250"/>
      <c r="O56" s="250"/>
      <c r="P56" s="250"/>
      <c r="Q56" s="250"/>
      <c r="R56" s="250"/>
    </row>
    <row r="57" spans="1:18">
      <c r="A57" s="60" t="s">
        <v>907</v>
      </c>
      <c r="B57" s="61" t="s">
        <v>910</v>
      </c>
      <c r="C57" s="8" t="s">
        <v>892</v>
      </c>
      <c r="D57" s="337">
        <f>'4.9_пр-во КТЭЦ'!D57+'4.9_пр-во ККЭ'!D57</f>
        <v>574781.79555002495</v>
      </c>
      <c r="E57" s="337">
        <f>'4.9_пр-во КТЭЦ'!E57+'4.9_пр-во ККЭ'!E57</f>
        <v>657054.29313464893</v>
      </c>
      <c r="F57" s="337">
        <v>787339.61235492583</v>
      </c>
      <c r="G57" s="337">
        <v>777648.44175848749</v>
      </c>
      <c r="H57" s="337">
        <v>858775.58122717077</v>
      </c>
      <c r="I57" s="337">
        <v>8170</v>
      </c>
      <c r="J57" s="337">
        <v>856115.83225438022</v>
      </c>
      <c r="K57" s="337">
        <v>884705</v>
      </c>
      <c r="L57" s="337">
        <v>937289.78079999983</v>
      </c>
      <c r="M57" s="337">
        <v>1047260.2363200001</v>
      </c>
      <c r="N57" s="337">
        <v>502783.39175200003</v>
      </c>
      <c r="O57" s="337">
        <v>544481.6753440001</v>
      </c>
      <c r="P57" s="337">
        <v>1108910.5519679999</v>
      </c>
      <c r="Q57" s="337">
        <v>536744.62288000004</v>
      </c>
      <c r="R57" s="337">
        <v>572164.92908799998</v>
      </c>
    </row>
    <row r="58" spans="1:18">
      <c r="A58" s="60" t="s">
        <v>908</v>
      </c>
      <c r="B58" s="61" t="s">
        <v>911</v>
      </c>
      <c r="C58" s="8" t="s">
        <v>892</v>
      </c>
      <c r="D58" s="388">
        <f>'4.9_пр-во КТЭЦ'!D58+'4.9_пр-во ККЭ'!D58</f>
        <v>0</v>
      </c>
      <c r="E58" s="388">
        <f>'4.9_пр-во КТЭЦ'!E58+'4.9_пр-во ККЭ'!E58</f>
        <v>0</v>
      </c>
      <c r="F58" s="388">
        <v>0</v>
      </c>
      <c r="G58" s="388">
        <v>0</v>
      </c>
      <c r="H58" s="388">
        <v>0</v>
      </c>
      <c r="I58" s="388"/>
      <c r="J58" s="388">
        <v>0</v>
      </c>
      <c r="K58" s="388">
        <v>0</v>
      </c>
      <c r="L58" s="388">
        <v>0</v>
      </c>
      <c r="M58" s="388">
        <v>0</v>
      </c>
      <c r="N58" s="388">
        <v>0</v>
      </c>
      <c r="O58" s="388">
        <v>0</v>
      </c>
      <c r="P58" s="388">
        <v>0</v>
      </c>
      <c r="Q58" s="388">
        <v>0</v>
      </c>
      <c r="R58" s="388">
        <v>0</v>
      </c>
    </row>
    <row r="59" spans="1:18">
      <c r="A59" s="60" t="s">
        <v>912</v>
      </c>
      <c r="B59" s="61" t="s">
        <v>913</v>
      </c>
      <c r="C59" s="8" t="s">
        <v>892</v>
      </c>
      <c r="D59" s="388">
        <f>'4.9_пр-во КТЭЦ'!D59+'4.9_пр-во ККЭ'!D59</f>
        <v>0</v>
      </c>
      <c r="E59" s="388">
        <f>'4.9_пр-во КТЭЦ'!E59+'4.9_пр-во ККЭ'!E59</f>
        <v>0</v>
      </c>
      <c r="F59" s="388">
        <v>0</v>
      </c>
      <c r="G59" s="388">
        <v>0</v>
      </c>
      <c r="H59" s="388">
        <v>0</v>
      </c>
      <c r="I59" s="388"/>
      <c r="J59" s="388">
        <v>0</v>
      </c>
      <c r="K59" s="388">
        <v>0</v>
      </c>
      <c r="L59" s="388">
        <v>0</v>
      </c>
      <c r="M59" s="388">
        <v>0</v>
      </c>
      <c r="N59" s="388">
        <v>0</v>
      </c>
      <c r="O59" s="388">
        <v>0</v>
      </c>
      <c r="P59" s="388">
        <v>0</v>
      </c>
      <c r="Q59" s="388">
        <v>0</v>
      </c>
      <c r="R59" s="388">
        <v>0</v>
      </c>
    </row>
    <row r="60" spans="1:18" ht="30">
      <c r="A60" s="60" t="s">
        <v>97</v>
      </c>
      <c r="B60" s="61" t="s">
        <v>914</v>
      </c>
      <c r="C60" s="8" t="s">
        <v>846</v>
      </c>
      <c r="D60" s="250"/>
      <c r="E60" s="250"/>
      <c r="F60" s="250"/>
      <c r="G60" s="250"/>
      <c r="H60" s="250"/>
      <c r="I60" s="250"/>
      <c r="J60" s="250"/>
      <c r="K60" s="250"/>
      <c r="L60" s="250"/>
      <c r="M60" s="250"/>
      <c r="N60" s="250"/>
      <c r="O60" s="250"/>
      <c r="P60" s="250"/>
      <c r="Q60" s="250"/>
      <c r="R60" s="250"/>
    </row>
    <row r="61" spans="1:18">
      <c r="A61" s="60" t="s">
        <v>915</v>
      </c>
      <c r="B61" s="61" t="s">
        <v>458</v>
      </c>
      <c r="C61" s="8" t="s">
        <v>453</v>
      </c>
      <c r="D61" s="250"/>
      <c r="E61" s="250"/>
      <c r="F61" s="250"/>
      <c r="G61" s="250"/>
      <c r="H61" s="250"/>
      <c r="I61" s="250"/>
      <c r="J61" s="250"/>
      <c r="K61" s="250"/>
      <c r="L61" s="250"/>
      <c r="M61" s="250"/>
      <c r="N61" s="250"/>
      <c r="O61" s="250"/>
      <c r="P61" s="250"/>
      <c r="Q61" s="250"/>
      <c r="R61" s="250"/>
    </row>
    <row r="62" spans="1:18">
      <c r="A62" s="60" t="s">
        <v>916</v>
      </c>
      <c r="B62" s="253" t="s">
        <v>923</v>
      </c>
      <c r="C62" s="8" t="s">
        <v>453</v>
      </c>
      <c r="D62" s="250"/>
      <c r="E62" s="250"/>
      <c r="F62" s="250"/>
      <c r="G62" s="250"/>
      <c r="H62" s="250"/>
      <c r="I62" s="250"/>
      <c r="J62" s="250"/>
      <c r="K62" s="250"/>
      <c r="L62" s="250"/>
      <c r="M62" s="250"/>
      <c r="N62" s="250"/>
      <c r="O62" s="250"/>
      <c r="P62" s="250"/>
      <c r="Q62" s="250"/>
      <c r="R62" s="250"/>
    </row>
    <row r="63" spans="1:18">
      <c r="A63" s="60" t="s">
        <v>917</v>
      </c>
      <c r="B63" s="253" t="s">
        <v>924</v>
      </c>
      <c r="C63" s="8" t="s">
        <v>465</v>
      </c>
      <c r="D63" s="250"/>
      <c r="E63" s="250"/>
      <c r="F63" s="250"/>
      <c r="G63" s="250"/>
      <c r="H63" s="250"/>
      <c r="I63" s="250"/>
      <c r="J63" s="250"/>
      <c r="K63" s="250"/>
      <c r="L63" s="250"/>
      <c r="M63" s="250"/>
      <c r="N63" s="250"/>
      <c r="O63" s="250"/>
      <c r="P63" s="250"/>
      <c r="Q63" s="250"/>
      <c r="R63" s="250"/>
    </row>
    <row r="64" spans="1:18">
      <c r="A64" s="60" t="s">
        <v>918</v>
      </c>
      <c r="B64" s="61" t="s">
        <v>899</v>
      </c>
      <c r="C64" s="8" t="s">
        <v>892</v>
      </c>
      <c r="D64" s="250"/>
      <c r="E64" s="250"/>
      <c r="F64" s="250"/>
      <c r="G64" s="250"/>
      <c r="H64" s="250"/>
      <c r="I64" s="250"/>
      <c r="J64" s="250"/>
      <c r="K64" s="250"/>
      <c r="L64" s="250"/>
      <c r="M64" s="250"/>
      <c r="N64" s="250"/>
      <c r="O64" s="250"/>
      <c r="P64" s="250"/>
      <c r="Q64" s="250"/>
      <c r="R64" s="250"/>
    </row>
    <row r="65" spans="1:18" ht="18" customHeight="1">
      <c r="A65" s="60" t="s">
        <v>919</v>
      </c>
      <c r="B65" s="61" t="s">
        <v>922</v>
      </c>
      <c r="C65" s="8" t="s">
        <v>892</v>
      </c>
      <c r="D65" s="250"/>
      <c r="E65" s="250"/>
      <c r="F65" s="250"/>
      <c r="G65" s="250"/>
      <c r="H65" s="250"/>
      <c r="I65" s="250"/>
      <c r="J65" s="250"/>
      <c r="K65" s="250"/>
      <c r="L65" s="250"/>
      <c r="M65" s="250"/>
      <c r="N65" s="250"/>
      <c r="O65" s="250"/>
      <c r="P65" s="250"/>
      <c r="Q65" s="250"/>
      <c r="R65" s="250"/>
    </row>
    <row r="66" spans="1:18">
      <c r="A66" s="60" t="s">
        <v>920</v>
      </c>
      <c r="B66" s="61" t="s">
        <v>925</v>
      </c>
      <c r="C66" s="8" t="s">
        <v>892</v>
      </c>
      <c r="D66" s="250"/>
      <c r="E66" s="250"/>
      <c r="F66" s="250"/>
      <c r="G66" s="250"/>
      <c r="H66" s="250"/>
      <c r="I66" s="250"/>
      <c r="J66" s="250"/>
      <c r="K66" s="250"/>
      <c r="L66" s="250"/>
      <c r="M66" s="250"/>
      <c r="N66" s="250"/>
      <c r="O66" s="250"/>
      <c r="P66" s="250"/>
      <c r="Q66" s="250"/>
      <c r="R66" s="250"/>
    </row>
    <row r="67" spans="1:18" ht="30">
      <c r="A67" s="60" t="s">
        <v>921</v>
      </c>
      <c r="B67" s="61" t="s">
        <v>909</v>
      </c>
      <c r="C67" s="8" t="s">
        <v>892</v>
      </c>
      <c r="D67" s="250"/>
      <c r="E67" s="250"/>
      <c r="F67" s="250"/>
      <c r="G67" s="250"/>
      <c r="H67" s="250"/>
      <c r="I67" s="250"/>
      <c r="J67" s="250"/>
      <c r="K67" s="250"/>
      <c r="L67" s="250"/>
      <c r="M67" s="250"/>
      <c r="N67" s="250"/>
      <c r="O67" s="250"/>
      <c r="P67" s="250"/>
      <c r="Q67" s="250"/>
      <c r="R67" s="250"/>
    </row>
    <row r="68" spans="1:18" ht="30">
      <c r="A68" s="60" t="s">
        <v>926</v>
      </c>
      <c r="B68" s="61" t="s">
        <v>909</v>
      </c>
      <c r="C68" s="8" t="s">
        <v>892</v>
      </c>
      <c r="D68" s="250"/>
      <c r="E68" s="250"/>
      <c r="F68" s="250"/>
      <c r="G68" s="250"/>
      <c r="H68" s="250"/>
      <c r="I68" s="250"/>
      <c r="J68" s="250"/>
      <c r="K68" s="250"/>
      <c r="L68" s="250"/>
      <c r="M68" s="250"/>
      <c r="N68" s="250"/>
      <c r="O68" s="250"/>
      <c r="P68" s="250"/>
      <c r="Q68" s="250"/>
      <c r="R68" s="250"/>
    </row>
    <row r="69" spans="1:18">
      <c r="A69" s="60" t="s">
        <v>927</v>
      </c>
      <c r="B69" s="61" t="s">
        <v>910</v>
      </c>
      <c r="C69" s="8" t="s">
        <v>892</v>
      </c>
      <c r="D69" s="250"/>
      <c r="E69" s="250"/>
      <c r="F69" s="250"/>
      <c r="G69" s="250"/>
      <c r="H69" s="250"/>
      <c r="I69" s="250"/>
      <c r="J69" s="250"/>
      <c r="K69" s="250"/>
      <c r="L69" s="250"/>
      <c r="M69" s="250"/>
      <c r="N69" s="250"/>
      <c r="O69" s="250"/>
      <c r="P69" s="250"/>
      <c r="Q69" s="250"/>
      <c r="R69" s="250"/>
    </row>
    <row r="70" spans="1:18">
      <c r="A70" s="60" t="s">
        <v>928</v>
      </c>
      <c r="B70" s="61" t="s">
        <v>911</v>
      </c>
      <c r="C70" s="8" t="s">
        <v>892</v>
      </c>
      <c r="D70" s="250"/>
      <c r="E70" s="250"/>
      <c r="F70" s="250"/>
      <c r="G70" s="250"/>
      <c r="H70" s="250"/>
      <c r="I70" s="250"/>
      <c r="J70" s="250"/>
      <c r="K70" s="250"/>
      <c r="L70" s="250"/>
      <c r="M70" s="250"/>
      <c r="N70" s="250"/>
      <c r="O70" s="250"/>
      <c r="P70" s="250"/>
      <c r="Q70" s="250"/>
      <c r="R70" s="250"/>
    </row>
    <row r="71" spans="1:18">
      <c r="A71" s="60" t="s">
        <v>921</v>
      </c>
      <c r="B71" s="61" t="s">
        <v>913</v>
      </c>
      <c r="C71" s="8" t="s">
        <v>892</v>
      </c>
      <c r="D71" s="250"/>
      <c r="E71" s="250"/>
      <c r="F71" s="250"/>
      <c r="G71" s="250"/>
      <c r="H71" s="250"/>
      <c r="I71" s="250"/>
      <c r="J71" s="250"/>
      <c r="K71" s="250"/>
      <c r="L71" s="250"/>
      <c r="M71" s="250"/>
      <c r="N71" s="250"/>
      <c r="O71" s="250"/>
      <c r="P71" s="250"/>
      <c r="Q71" s="250"/>
      <c r="R71" s="250"/>
    </row>
    <row r="72" spans="1:18" ht="30">
      <c r="A72" s="60" t="s">
        <v>929</v>
      </c>
      <c r="B72" s="61" t="s">
        <v>930</v>
      </c>
      <c r="C72" s="8" t="s">
        <v>138</v>
      </c>
      <c r="D72" s="250"/>
      <c r="E72" s="250"/>
      <c r="F72" s="250"/>
      <c r="G72" s="250"/>
      <c r="H72" s="250"/>
      <c r="I72" s="250"/>
      <c r="J72" s="250"/>
      <c r="K72" s="250"/>
      <c r="L72" s="250"/>
      <c r="M72" s="250"/>
      <c r="N72" s="250"/>
      <c r="O72" s="250"/>
      <c r="P72" s="250"/>
      <c r="Q72" s="250"/>
      <c r="R72" s="250"/>
    </row>
    <row r="74" spans="1:18" ht="64.5" customHeight="1">
      <c r="A74" s="1963" t="s">
        <v>931</v>
      </c>
      <c r="B74" s="1963"/>
      <c r="C74" s="1963"/>
      <c r="D74" s="1963"/>
      <c r="E74" s="1963"/>
      <c r="F74" s="1963"/>
      <c r="G74" s="1963"/>
      <c r="H74" s="1963"/>
      <c r="I74" s="1963"/>
      <c r="J74" s="1963"/>
      <c r="K74" s="1963"/>
      <c r="L74" s="1963"/>
      <c r="M74" s="1963"/>
      <c r="N74" s="1963"/>
      <c r="O74" s="1963"/>
    </row>
    <row r="76" spans="1:18">
      <c r="A76" s="1" t="s">
        <v>88</v>
      </c>
    </row>
    <row r="77" spans="1:18" ht="51.75" customHeight="1">
      <c r="A77" s="1963" t="s">
        <v>932</v>
      </c>
      <c r="B77" s="1963"/>
      <c r="C77" s="1963"/>
      <c r="D77" s="1963"/>
      <c r="E77" s="1963"/>
      <c r="F77" s="1963"/>
      <c r="G77" s="1963"/>
      <c r="H77" s="1963"/>
      <c r="I77" s="1963"/>
      <c r="J77" s="1963"/>
      <c r="K77" s="1963"/>
      <c r="L77" s="1963"/>
      <c r="M77" s="1963"/>
      <c r="N77" s="1963"/>
      <c r="O77" s="1963"/>
    </row>
    <row r="78" spans="1:18" ht="69" customHeight="1">
      <c r="A78" s="1963" t="s">
        <v>933</v>
      </c>
      <c r="B78" s="1963"/>
      <c r="C78" s="1963"/>
      <c r="D78" s="1963"/>
      <c r="E78" s="1963"/>
      <c r="F78" s="1963"/>
      <c r="G78" s="1963"/>
      <c r="H78" s="1963"/>
      <c r="I78" s="1963"/>
      <c r="J78" s="1963"/>
      <c r="K78" s="1963"/>
      <c r="L78" s="1963"/>
      <c r="M78" s="1963"/>
      <c r="N78" s="1963"/>
      <c r="O78" s="1963"/>
    </row>
  </sheetData>
  <mergeCells count="4">
    <mergeCell ref="A3:O3"/>
    <mergeCell ref="A74:O74"/>
    <mergeCell ref="A77:O77"/>
    <mergeCell ref="A78:O78"/>
  </mergeCells>
  <pageMargins left="0.79" right="0.31496062992125984" top="0.47244094488188981" bottom="0.19685039370078741" header="0.51181102362204722" footer="0.19685039370078741"/>
  <pageSetup paperSize="9" scale="50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R78"/>
  <sheetViews>
    <sheetView view="pageBreakPreview" zoomScaleNormal="100" zoomScaleSheetLayoutView="100" workbookViewId="0">
      <pane xSplit="2" ySplit="5" topLeftCell="C6" activePane="bottomRight" state="frozen"/>
      <selection activeCell="I5" sqref="I5"/>
      <selection pane="topRight" activeCell="I5" sqref="I5"/>
      <selection pane="bottomLeft" activeCell="I5" sqref="I5"/>
      <selection pane="bottomRight" activeCell="R1" sqref="R1"/>
    </sheetView>
  </sheetViews>
  <sheetFormatPr defaultColWidth="2.85546875" defaultRowHeight="15"/>
  <cols>
    <col min="1" max="1" width="6.42578125" style="1" customWidth="1"/>
    <col min="2" max="2" width="36.42578125" style="1" customWidth="1"/>
    <col min="3" max="3" width="11.140625" style="21" customWidth="1"/>
    <col min="4" max="4" width="13.140625" style="1" hidden="1" customWidth="1"/>
    <col min="5" max="5" width="13" style="1" hidden="1" customWidth="1"/>
    <col min="6" max="6" width="13.140625" style="1" customWidth="1"/>
    <col min="7" max="8" width="13" style="1" customWidth="1"/>
    <col min="9" max="9" width="13" style="1" hidden="1" customWidth="1"/>
    <col min="10" max="11" width="13" style="1" customWidth="1"/>
    <col min="12" max="12" width="16" style="1" customWidth="1"/>
    <col min="13" max="13" width="12.5703125" style="1" customWidth="1"/>
    <col min="14" max="14" width="12.7109375" style="1" customWidth="1"/>
    <col min="15" max="15" width="12.85546875" style="1" customWidth="1"/>
    <col min="16" max="16" width="12.28515625" style="1" customWidth="1"/>
    <col min="17" max="93" width="11.140625" style="1" customWidth="1"/>
    <col min="94" max="16384" width="2.85546875" style="1"/>
  </cols>
  <sheetData>
    <row r="1" spans="1:18" s="5" customFormat="1" ht="18" customHeight="1">
      <c r="A1" s="74" t="s">
        <v>1860</v>
      </c>
      <c r="C1" s="20"/>
      <c r="M1" s="6"/>
      <c r="N1" s="6"/>
      <c r="O1" s="6" t="s">
        <v>1060</v>
      </c>
      <c r="R1" s="6" t="s">
        <v>1060</v>
      </c>
    </row>
    <row r="2" spans="1:18" s="5" customFormat="1" ht="12.75" customHeight="1">
      <c r="A2" s="759" t="str">
        <f>'4.9_свод '!A2</f>
        <v>КТЭЦ + котельные СВОД</v>
      </c>
      <c r="C2" s="20"/>
    </row>
    <row r="3" spans="1:18" ht="18.75">
      <c r="A3" s="1877" t="s">
        <v>1521</v>
      </c>
      <c r="B3" s="1877"/>
      <c r="C3" s="1877"/>
      <c r="D3" s="1877"/>
      <c r="E3" s="1877"/>
      <c r="F3" s="1877"/>
      <c r="G3" s="1877"/>
      <c r="H3" s="1877"/>
      <c r="I3" s="1877"/>
      <c r="J3" s="1877"/>
      <c r="K3" s="1877"/>
      <c r="L3" s="1877"/>
      <c r="M3" s="1877"/>
      <c r="N3" s="1877"/>
      <c r="O3" s="1877"/>
    </row>
    <row r="4" spans="1:18" ht="12.75" customHeight="1"/>
    <row r="5" spans="1:18" s="3" customFormat="1" ht="60" customHeight="1">
      <c r="A5" s="915" t="s">
        <v>451</v>
      </c>
      <c r="B5" s="915" t="s">
        <v>1</v>
      </c>
      <c r="C5" s="915" t="s">
        <v>2</v>
      </c>
      <c r="D5" s="913" t="s">
        <v>1129</v>
      </c>
      <c r="E5" s="913" t="s">
        <v>1130</v>
      </c>
      <c r="F5" s="913" t="s">
        <v>1131</v>
      </c>
      <c r="G5" s="1284" t="s">
        <v>1695</v>
      </c>
      <c r="H5" s="1284" t="s">
        <v>1696</v>
      </c>
      <c r="I5" s="1661" t="s">
        <v>1882</v>
      </c>
      <c r="J5" s="1576" t="s">
        <v>1828</v>
      </c>
      <c r="K5" s="1576" t="s">
        <v>1833</v>
      </c>
      <c r="L5" s="1631" t="s">
        <v>1861</v>
      </c>
      <c r="M5" s="1631" t="s">
        <v>1862</v>
      </c>
      <c r="N5" s="1631" t="s">
        <v>763</v>
      </c>
      <c r="O5" s="1631" t="s">
        <v>764</v>
      </c>
      <c r="P5" s="1631" t="s">
        <v>1863</v>
      </c>
      <c r="Q5" s="1631" t="s">
        <v>763</v>
      </c>
      <c r="R5" s="1631" t="s">
        <v>764</v>
      </c>
    </row>
    <row r="6" spans="1:18" s="2" customFormat="1">
      <c r="A6" s="13">
        <v>1</v>
      </c>
      <c r="B6" s="13">
        <v>2</v>
      </c>
      <c r="C6" s="13">
        <v>3</v>
      </c>
      <c r="D6" s="13">
        <v>4</v>
      </c>
      <c r="E6" s="13">
        <v>5</v>
      </c>
      <c r="F6" s="13">
        <v>4</v>
      </c>
      <c r="G6" s="13">
        <v>5</v>
      </c>
      <c r="H6" s="13">
        <v>6</v>
      </c>
      <c r="I6" s="13"/>
      <c r="J6" s="13">
        <v>7</v>
      </c>
      <c r="K6" s="13">
        <v>8</v>
      </c>
      <c r="L6" s="13">
        <v>9</v>
      </c>
      <c r="M6" s="13">
        <v>10</v>
      </c>
      <c r="N6" s="13">
        <v>11</v>
      </c>
      <c r="O6" s="13">
        <v>12</v>
      </c>
      <c r="P6" s="13">
        <v>13</v>
      </c>
      <c r="Q6" s="13">
        <v>14</v>
      </c>
      <c r="R6" s="13">
        <v>15</v>
      </c>
    </row>
    <row r="7" spans="1:18" s="36" customFormat="1" ht="15" customHeight="1">
      <c r="A7" s="60" t="s">
        <v>4</v>
      </c>
      <c r="B7" s="61" t="s">
        <v>452</v>
      </c>
      <c r="C7" s="8" t="s">
        <v>453</v>
      </c>
      <c r="D7" s="391"/>
      <c r="E7" s="391"/>
      <c r="F7" s="391"/>
      <c r="G7" s="391"/>
      <c r="H7" s="391"/>
      <c r="I7" s="391"/>
      <c r="J7" s="391"/>
      <c r="K7" s="391"/>
      <c r="L7" s="391"/>
      <c r="M7" s="388"/>
      <c r="N7" s="388"/>
      <c r="O7" s="388"/>
      <c r="P7" s="388"/>
      <c r="Q7" s="388"/>
      <c r="R7" s="388"/>
    </row>
    <row r="8" spans="1:18" s="36" customFormat="1" ht="15" customHeight="1">
      <c r="A8" s="60" t="s">
        <v>5</v>
      </c>
      <c r="B8" s="61" t="s">
        <v>454</v>
      </c>
      <c r="C8" s="8" t="s">
        <v>453</v>
      </c>
      <c r="D8" s="391">
        <f>'4.9_транзит (свод)'!D8+'4.9_сбыт (свод)'!D8</f>
        <v>0</v>
      </c>
      <c r="E8" s="391">
        <f>'4.9_транзит (свод)'!E8+'4.9_сбыт (свод)'!E8</f>
        <v>1013.15</v>
      </c>
      <c r="F8" s="988">
        <v>1027.7277273045347</v>
      </c>
      <c r="G8" s="391">
        <v>1013.15</v>
      </c>
      <c r="H8" s="1369">
        <v>0</v>
      </c>
      <c r="I8" s="1369"/>
      <c r="J8" s="391">
        <v>1013.15</v>
      </c>
      <c r="K8" s="391"/>
      <c r="L8" s="391">
        <v>1090.95</v>
      </c>
      <c r="M8" s="391">
        <v>1090.95</v>
      </c>
      <c r="N8" s="391">
        <v>1090.95</v>
      </c>
      <c r="O8" s="391">
        <v>1090.95</v>
      </c>
      <c r="P8" s="391">
        <v>1168.75</v>
      </c>
      <c r="Q8" s="391">
        <v>1168.75</v>
      </c>
      <c r="R8" s="391">
        <v>1168.75</v>
      </c>
    </row>
    <row r="9" spans="1:18" s="36" customFormat="1" ht="15" customHeight="1">
      <c r="A9" s="60"/>
      <c r="B9" s="61" t="s">
        <v>455</v>
      </c>
      <c r="C9" s="8" t="s">
        <v>453</v>
      </c>
      <c r="D9" s="391"/>
      <c r="E9" s="391"/>
      <c r="F9" s="988"/>
      <c r="G9" s="391"/>
      <c r="H9" s="1369"/>
      <c r="I9" s="1369"/>
      <c r="J9" s="391"/>
      <c r="K9" s="391"/>
      <c r="L9" s="391"/>
      <c r="M9" s="391"/>
      <c r="N9" s="391"/>
      <c r="O9" s="391"/>
      <c r="P9" s="391"/>
      <c r="Q9" s="391"/>
      <c r="R9" s="391"/>
    </row>
    <row r="10" spans="1:18" s="36" customFormat="1" ht="15" customHeight="1">
      <c r="A10" s="60" t="s">
        <v>11</v>
      </c>
      <c r="B10" s="61" t="s">
        <v>456</v>
      </c>
      <c r="C10" s="8" t="s">
        <v>453</v>
      </c>
      <c r="D10" s="391">
        <f>'4.9_транзит (свод)'!D10+'4.9_сбыт (свод)'!D10</f>
        <v>0</v>
      </c>
      <c r="E10" s="391">
        <f>'4.9_транзит (свод)'!E10+'4.9_сбыт (свод)'!E10</f>
        <v>955.05</v>
      </c>
      <c r="F10" s="988">
        <v>906.95711944859113</v>
      </c>
      <c r="G10" s="391">
        <v>955.05</v>
      </c>
      <c r="H10" s="1369">
        <v>0</v>
      </c>
      <c r="I10" s="1369"/>
      <c r="J10" s="391">
        <v>955.05</v>
      </c>
      <c r="K10" s="391"/>
      <c r="L10" s="391">
        <v>1032.8499999999999</v>
      </c>
      <c r="M10" s="391">
        <v>1032.8499999999999</v>
      </c>
      <c r="N10" s="391">
        <v>1032.8499999999999</v>
      </c>
      <c r="O10" s="391">
        <v>1032.8499999999999</v>
      </c>
      <c r="P10" s="391">
        <v>1110.6500000000001</v>
      </c>
      <c r="Q10" s="391">
        <v>1110.6500000000001</v>
      </c>
      <c r="R10" s="391">
        <v>1110.6500000000001</v>
      </c>
    </row>
    <row r="11" spans="1:18" s="36" customFormat="1" ht="15" customHeight="1">
      <c r="A11" s="60"/>
      <c r="B11" s="61" t="s">
        <v>457</v>
      </c>
      <c r="C11" s="8" t="s">
        <v>453</v>
      </c>
      <c r="D11" s="388"/>
      <c r="E11" s="388"/>
      <c r="F11" s="989"/>
      <c r="G11" s="388"/>
      <c r="H11" s="1370"/>
      <c r="I11" s="1370"/>
      <c r="J11" s="388"/>
      <c r="K11" s="388"/>
      <c r="L11" s="388"/>
      <c r="M11" s="388"/>
      <c r="N11" s="388"/>
      <c r="O11" s="388"/>
      <c r="P11" s="388"/>
      <c r="Q11" s="388"/>
      <c r="R11" s="388"/>
    </row>
    <row r="12" spans="1:18" s="36" customFormat="1" ht="15" customHeight="1">
      <c r="A12" s="60" t="s">
        <v>445</v>
      </c>
      <c r="B12" s="61" t="s">
        <v>458</v>
      </c>
      <c r="C12" s="8" t="s">
        <v>453</v>
      </c>
      <c r="D12" s="391">
        <f>'4.9_транзит (свод)'!D12+'4.9_сбыт (свод)'!D12</f>
        <v>0</v>
      </c>
      <c r="E12" s="391">
        <f>'4.9_транзит (свод)'!E12+'4.9_сбыт (свод)'!E12</f>
        <v>950.40000000000009</v>
      </c>
      <c r="F12" s="988">
        <v>0</v>
      </c>
      <c r="G12" s="391">
        <v>933.9</v>
      </c>
      <c r="H12" s="1369">
        <v>0</v>
      </c>
      <c r="I12" s="1369"/>
      <c r="J12" s="391">
        <v>933.9</v>
      </c>
      <c r="K12" s="391"/>
      <c r="L12" s="391">
        <v>0</v>
      </c>
      <c r="M12" s="391">
        <v>0</v>
      </c>
      <c r="N12" s="391">
        <v>0</v>
      </c>
      <c r="O12" s="391">
        <v>0</v>
      </c>
      <c r="P12" s="391">
        <v>0</v>
      </c>
      <c r="Q12" s="391">
        <v>0</v>
      </c>
      <c r="R12" s="391">
        <v>0</v>
      </c>
    </row>
    <row r="13" spans="1:18" s="36" customFormat="1" ht="15" customHeight="1">
      <c r="A13" s="60"/>
      <c r="B13" s="61" t="s">
        <v>459</v>
      </c>
      <c r="C13" s="8" t="s">
        <v>138</v>
      </c>
      <c r="D13" s="391" t="e">
        <f>D12/D8*100</f>
        <v>#DIV/0!</v>
      </c>
      <c r="E13" s="391">
        <f t="shared" ref="E13:O13" si="0">E12/E8*100</f>
        <v>93.806445245027888</v>
      </c>
      <c r="F13" s="988">
        <v>0</v>
      </c>
      <c r="G13" s="391">
        <v>92.177861126190592</v>
      </c>
      <c r="H13" s="1369" t="e">
        <v>#DIV/0!</v>
      </c>
      <c r="I13" s="1369"/>
      <c r="J13" s="391">
        <v>92.177861126190592</v>
      </c>
      <c r="K13" s="391"/>
      <c r="L13" s="391">
        <v>0</v>
      </c>
      <c r="M13" s="391">
        <v>0</v>
      </c>
      <c r="N13" s="391">
        <v>0</v>
      </c>
      <c r="O13" s="391">
        <v>0</v>
      </c>
      <c r="P13" s="391">
        <v>0</v>
      </c>
      <c r="Q13" s="391">
        <v>0</v>
      </c>
      <c r="R13" s="391">
        <v>0</v>
      </c>
    </row>
    <row r="14" spans="1:18" s="36" customFormat="1" ht="15" customHeight="1">
      <c r="A14" s="60" t="s">
        <v>446</v>
      </c>
      <c r="B14" s="61" t="s">
        <v>460</v>
      </c>
      <c r="C14" s="8" t="s">
        <v>453</v>
      </c>
      <c r="D14" s="388"/>
      <c r="E14" s="388"/>
      <c r="F14" s="989"/>
      <c r="G14" s="388"/>
      <c r="H14" s="388"/>
      <c r="I14" s="388"/>
      <c r="J14" s="388"/>
      <c r="K14" s="388"/>
      <c r="L14" s="388"/>
      <c r="M14" s="388"/>
      <c r="N14" s="388"/>
      <c r="O14" s="388"/>
      <c r="P14" s="388"/>
      <c r="Q14" s="388"/>
      <c r="R14" s="388"/>
    </row>
    <row r="15" spans="1:18" s="36" customFormat="1" ht="15" customHeight="1">
      <c r="A15" s="60" t="s">
        <v>461</v>
      </c>
      <c r="B15" s="61" t="s">
        <v>462</v>
      </c>
      <c r="C15" s="8" t="s">
        <v>453</v>
      </c>
      <c r="D15" s="391">
        <f>'4.9_транзит (свод)'!D15+'4.9_сбыт (свод)'!D15</f>
        <v>959.42678745644594</v>
      </c>
      <c r="E15" s="391">
        <f>'4.9_транзит (свод)'!E15+'4.9_сбыт (свод)'!E15</f>
        <v>950.40000000000009</v>
      </c>
      <c r="F15" s="988">
        <v>876.1</v>
      </c>
      <c r="G15" s="391">
        <v>960.5</v>
      </c>
      <c r="H15" s="391">
        <v>884.8</v>
      </c>
      <c r="I15" s="391"/>
      <c r="J15" s="391">
        <v>963.3</v>
      </c>
      <c r="K15" s="391">
        <v>989.1</v>
      </c>
      <c r="L15" s="391">
        <v>961.5</v>
      </c>
      <c r="M15" s="391">
        <v>961.5</v>
      </c>
      <c r="N15" s="391">
        <v>961.5</v>
      </c>
      <c r="O15" s="391">
        <v>961.5</v>
      </c>
      <c r="P15" s="391">
        <v>961.5</v>
      </c>
      <c r="Q15" s="391">
        <v>961.5</v>
      </c>
      <c r="R15" s="391">
        <v>961.5</v>
      </c>
    </row>
    <row r="16" spans="1:18" s="36" customFormat="1" ht="15" customHeight="1">
      <c r="A16" s="60" t="s">
        <v>23</v>
      </c>
      <c r="B16" s="61" t="s">
        <v>463</v>
      </c>
      <c r="C16" s="8"/>
      <c r="D16" s="388"/>
      <c r="E16" s="388"/>
      <c r="F16" s="388"/>
      <c r="G16" s="388"/>
      <c r="H16" s="388"/>
      <c r="I16" s="388"/>
      <c r="J16" s="388"/>
      <c r="K16" s="388"/>
      <c r="L16" s="388"/>
      <c r="M16" s="388"/>
      <c r="N16" s="388"/>
      <c r="O16" s="388"/>
      <c r="P16" s="388"/>
      <c r="Q16" s="388"/>
      <c r="R16" s="388"/>
    </row>
    <row r="17" spans="1:18" s="36" customFormat="1" ht="15" customHeight="1">
      <c r="A17" s="60" t="s">
        <v>24</v>
      </c>
      <c r="B17" s="61" t="s">
        <v>464</v>
      </c>
      <c r="C17" s="8" t="s">
        <v>465</v>
      </c>
      <c r="D17" s="337">
        <f>'4.9_пр-во ККЭ'!D17</f>
        <v>4535.55</v>
      </c>
      <c r="E17" s="337">
        <f>'4.9_пр-во ККЭ'!E17</f>
        <v>4896</v>
      </c>
      <c r="F17" s="337">
        <v>0</v>
      </c>
      <c r="G17" s="337">
        <v>5628</v>
      </c>
      <c r="H17" s="1371">
        <v>0</v>
      </c>
      <c r="I17" s="1371"/>
      <c r="J17" s="337">
        <v>5778</v>
      </c>
      <c r="K17" s="337">
        <v>6643</v>
      </c>
      <c r="L17" s="337">
        <v>6671</v>
      </c>
      <c r="M17" s="337">
        <v>7248</v>
      </c>
      <c r="N17" s="337">
        <v>7398</v>
      </c>
      <c r="O17" s="337">
        <v>7592</v>
      </c>
      <c r="P17" s="337">
        <v>7745</v>
      </c>
      <c r="Q17" s="337">
        <v>7899</v>
      </c>
      <c r="R17" s="337">
        <v>8105</v>
      </c>
    </row>
    <row r="18" spans="1:18" s="36" customFormat="1" ht="15" customHeight="1">
      <c r="A18" s="60" t="s">
        <v>24</v>
      </c>
      <c r="B18" s="61" t="s">
        <v>466</v>
      </c>
      <c r="C18" s="8"/>
      <c r="D18" s="389">
        <f>D19/D17</f>
        <v>1.071</v>
      </c>
      <c r="E18" s="389">
        <f t="shared" ref="E18:O18" si="1">E19/E17</f>
        <v>1.0347222222222223</v>
      </c>
      <c r="F18" s="389" t="e">
        <v>#DIV/0!</v>
      </c>
      <c r="G18" s="389">
        <v>1.0266524520255864</v>
      </c>
      <c r="H18" s="1372" t="e">
        <v>#DIV/0!</v>
      </c>
      <c r="I18" s="1372"/>
      <c r="J18" s="389">
        <v>1.1545517480096918</v>
      </c>
      <c r="K18" s="389">
        <v>1.0740000000000001</v>
      </c>
      <c r="L18" s="389">
        <v>1.0864937790436215</v>
      </c>
      <c r="M18" s="389">
        <v>1.0685706401766004</v>
      </c>
      <c r="N18" s="389">
        <v>1.0262233035955663</v>
      </c>
      <c r="O18" s="389">
        <v>1.0404373024236038</v>
      </c>
      <c r="P18" s="389">
        <v>1.0589412524209167</v>
      </c>
      <c r="Q18" s="389">
        <v>1.0260792505380427</v>
      </c>
      <c r="R18" s="389">
        <v>1.0238124614435533</v>
      </c>
    </row>
    <row r="19" spans="1:18" s="36" customFormat="1" ht="30" customHeight="1">
      <c r="A19" s="60" t="s">
        <v>139</v>
      </c>
      <c r="B19" s="61" t="s">
        <v>467</v>
      </c>
      <c r="C19" s="8" t="s">
        <v>465</v>
      </c>
      <c r="D19" s="337">
        <f>'4.9_пр-во ККЭ'!D19</f>
        <v>4857.5740500000002</v>
      </c>
      <c r="E19" s="337">
        <f>'4.9_пр-во ККЭ'!E19</f>
        <v>5066</v>
      </c>
      <c r="F19" s="337">
        <v>5700</v>
      </c>
      <c r="G19" s="337">
        <v>5778</v>
      </c>
      <c r="H19" s="337">
        <v>6328</v>
      </c>
      <c r="I19" s="337"/>
      <c r="J19" s="337">
        <v>6671</v>
      </c>
      <c r="K19" s="337">
        <v>7135</v>
      </c>
      <c r="L19" s="337">
        <v>7248</v>
      </c>
      <c r="M19" s="337">
        <v>7745</v>
      </c>
      <c r="N19" s="337">
        <v>7592</v>
      </c>
      <c r="O19" s="337">
        <v>7899</v>
      </c>
      <c r="P19" s="337">
        <v>8201.5</v>
      </c>
      <c r="Q19" s="337">
        <v>8105</v>
      </c>
      <c r="R19" s="337">
        <v>8298</v>
      </c>
    </row>
    <row r="20" spans="1:18" s="36" customFormat="1" ht="15" customHeight="1">
      <c r="A20" s="60" t="s">
        <v>433</v>
      </c>
      <c r="B20" s="61" t="s">
        <v>468</v>
      </c>
      <c r="C20" s="8"/>
      <c r="D20" s="251">
        <f>('4.9_транзит (свод)'!$D$15*'4.9_транзит (свод)'!D20+'4.9_сбыт (свод)'!$D$15*'4.9_сбыт (свод)'!D20)/'4.9_транзит+сбыт (свод)'!$D$15</f>
        <v>7.5207858877369915</v>
      </c>
      <c r="E20" s="251">
        <f>('4.9_транзит (свод)'!$E$15*'4.9_транзит (свод)'!E20+'4.9_сбыт (свод)'!$E$15*'4.9_сбыт (свод)'!E20)/'4.9_транзит+сбыт (свод)'!$E$15</f>
        <v>7.5342941919191917</v>
      </c>
      <c r="F20" s="251">
        <v>7.2539104536489161</v>
      </c>
      <c r="G20" s="251">
        <v>7.4393153565851122</v>
      </c>
      <c r="H20" s="1359" t="e">
        <v>#DIV/0!</v>
      </c>
      <c r="I20" s="1359"/>
      <c r="J20" s="251">
        <v>0</v>
      </c>
      <c r="K20" s="251"/>
      <c r="L20" s="251">
        <v>0</v>
      </c>
      <c r="M20" s="251">
        <v>0</v>
      </c>
      <c r="N20" s="251">
        <v>0</v>
      </c>
      <c r="O20" s="251">
        <v>0</v>
      </c>
      <c r="P20" s="251">
        <v>0</v>
      </c>
      <c r="Q20" s="251">
        <v>0</v>
      </c>
      <c r="R20" s="251">
        <v>0</v>
      </c>
    </row>
    <row r="21" spans="1:18" s="36" customFormat="1" ht="30" customHeight="1">
      <c r="A21" s="60" t="s">
        <v>433</v>
      </c>
      <c r="B21" s="61" t="s">
        <v>469</v>
      </c>
      <c r="C21" s="8"/>
      <c r="D21" s="251">
        <f>('4.9_транзит (свод)'!$D$15*'4.9_транзит (свод)'!D21+'4.9_сбыт (свод)'!$D$15*'4.9_сбыт (свод)'!D21)/'4.9_транзит+сбыт (свод)'!$D$15</f>
        <v>2.1103238988512194</v>
      </c>
      <c r="E21" s="251">
        <f>('4.9_транзит (свод)'!$E$15*'4.9_транзит (свод)'!E21+'4.9_сбыт (свод)'!$E$15*'4.9_сбыт (свод)'!E21)/'4.9_транзит+сбыт (свод)'!$E$15</f>
        <v>2.1752586279461279</v>
      </c>
      <c r="F21" s="251">
        <v>2.0927489992603552</v>
      </c>
      <c r="G21" s="251">
        <v>2.1833832795419053</v>
      </c>
      <c r="H21" s="1359" t="e">
        <v>#DIV/0!</v>
      </c>
      <c r="I21" s="1359"/>
      <c r="J21" s="251">
        <v>2.1995763521229104</v>
      </c>
      <c r="K21" s="251"/>
      <c r="L21" s="251">
        <v>2.2342589703588143</v>
      </c>
      <c r="M21" s="251">
        <v>2.2422440353614141</v>
      </c>
      <c r="N21" s="251">
        <v>2.2422440353614141</v>
      </c>
      <c r="O21" s="251">
        <v>2.2422440353614141</v>
      </c>
      <c r="P21" s="251">
        <v>2.2424411648465945</v>
      </c>
      <c r="Q21" s="251">
        <v>2.2424411648465945</v>
      </c>
      <c r="R21" s="251">
        <v>2.2424411648465945</v>
      </c>
    </row>
    <row r="22" spans="1:18" s="36" customFormat="1" ht="15" customHeight="1">
      <c r="A22" s="60" t="s">
        <v>433</v>
      </c>
      <c r="B22" s="61" t="s">
        <v>470</v>
      </c>
      <c r="C22" s="8" t="s">
        <v>465</v>
      </c>
      <c r="D22" s="250">
        <f>('4.9_транзит (свод)'!$D$15*'4.9_транзит (свод)'!D22+'4.9_сбыт (свод)'!$D$15*'4.9_сбыт (свод)'!D22)/'4.9_транзит+сбыт (свод)'!$D$15</f>
        <v>10251.054608154507</v>
      </c>
      <c r="E22" s="250">
        <f>('4.9_транзит (свод)'!$E$15*'4.9_транзит (свод)'!E22+'4.9_сбыт (свод)'!$E$15*'4.9_сбыт (свод)'!E22)/'4.9_транзит+сбыт (свод)'!$E$15</f>
        <v>11019.786555976429</v>
      </c>
      <c r="F22" s="250">
        <v>11928.669295784024</v>
      </c>
      <c r="G22" s="250">
        <v>12615.588589193132</v>
      </c>
      <c r="H22" s="1357" t="e">
        <v>#DIV/0!</v>
      </c>
      <c r="I22" s="1357"/>
      <c r="J22" s="250">
        <v>14673.37384501194</v>
      </c>
      <c r="K22" s="250"/>
      <c r="L22" s="250">
        <v>16193.909017160686</v>
      </c>
      <c r="M22" s="250">
        <v>17366.180053874152</v>
      </c>
      <c r="N22" s="250">
        <v>17023.116716463857</v>
      </c>
      <c r="O22" s="250">
        <v>17711.485635319816</v>
      </c>
      <c r="P22" s="250">
        <v>18391.381213489338</v>
      </c>
      <c r="Q22" s="250">
        <v>18174.985641081643</v>
      </c>
      <c r="R22" s="250">
        <v>18607.776785897036</v>
      </c>
    </row>
    <row r="23" spans="1:18" s="36" customFormat="1" ht="30" customHeight="1">
      <c r="A23" s="60" t="s">
        <v>471</v>
      </c>
      <c r="B23" s="61" t="s">
        <v>472</v>
      </c>
      <c r="C23" s="8"/>
      <c r="D23" s="388"/>
      <c r="E23" s="388"/>
      <c r="F23" s="388"/>
      <c r="G23" s="388"/>
      <c r="H23" s="1370"/>
      <c r="I23" s="1370"/>
      <c r="J23" s="388"/>
      <c r="K23" s="388"/>
      <c r="L23" s="388"/>
      <c r="M23" s="388"/>
      <c r="N23" s="388"/>
      <c r="O23" s="388"/>
      <c r="P23" s="388"/>
      <c r="Q23" s="388"/>
      <c r="R23" s="388"/>
    </row>
    <row r="24" spans="1:18" s="36" customFormat="1" ht="15" customHeight="1">
      <c r="A24" s="60"/>
      <c r="B24" s="70" t="s">
        <v>473</v>
      </c>
      <c r="C24" s="8" t="s">
        <v>138</v>
      </c>
      <c r="D24" s="251">
        <f>('4.9_транзит (свод)'!$D$15*'4.9_транзит (свод)'!D24+'4.9_сбыт (свод)'!$D$15*'4.9_сбыт (свод)'!D24)/'4.9_транзит+сбыт (свод)'!$D$15</f>
        <v>18.549782229693971</v>
      </c>
      <c r="E24" s="251">
        <f>('4.9_транзит (свод)'!$E$15*'4.9_транзит (свод)'!E24+'4.9_сбыт (свод)'!$E$15*'4.9_сбыт (свод)'!E24)/'4.9_транзит+сбыт (свод)'!$E$15</f>
        <v>17.457243897306391</v>
      </c>
      <c r="F24" s="251">
        <v>17.865389053254432</v>
      </c>
      <c r="G24" s="251">
        <v>19.078392087454453</v>
      </c>
      <c r="H24" s="1359" t="e">
        <v>#DIV/0!</v>
      </c>
      <c r="I24" s="1359"/>
      <c r="J24" s="251">
        <v>14.820454064154468</v>
      </c>
      <c r="K24" s="251"/>
      <c r="L24" s="251">
        <v>16.147717108684343</v>
      </c>
      <c r="M24" s="251">
        <v>16.147717108684343</v>
      </c>
      <c r="N24" s="251">
        <v>16.147717108684343</v>
      </c>
      <c r="O24" s="251">
        <v>16.147717108684343</v>
      </c>
      <c r="P24" s="251">
        <v>16.147717108684343</v>
      </c>
      <c r="Q24" s="251">
        <v>16.147717108684343</v>
      </c>
      <c r="R24" s="251">
        <v>16.147717108684343</v>
      </c>
    </row>
    <row r="25" spans="1:18" s="36" customFormat="1" ht="15" customHeight="1">
      <c r="A25" s="60"/>
      <c r="B25" s="70" t="s">
        <v>474</v>
      </c>
      <c r="C25" s="8" t="s">
        <v>465</v>
      </c>
      <c r="D25" s="250">
        <f>('4.9_транзит (свод)'!$D$15*'4.9_транзит (свод)'!D25+'4.9_сбыт (свод)'!$D$15*'4.9_сбыт (свод)'!D25)/'4.9_транзит+сбыт (свод)'!$D$15</f>
        <v>1876.3914358212169</v>
      </c>
      <c r="E25" s="250">
        <f>('4.9_транзит (свод)'!$E$15*'4.9_транзит (свод)'!E25+'4.9_сбыт (свод)'!$E$15*'4.9_сбыт (свод)'!E25)/'4.9_транзит+сбыт (свод)'!$E$15</f>
        <v>1816.1488278122849</v>
      </c>
      <c r="F25" s="250">
        <v>2131.1031785679215</v>
      </c>
      <c r="G25" s="250">
        <v>2266.9626325798517</v>
      </c>
      <c r="H25" s="1357" t="e">
        <v>#DIV/0!</v>
      </c>
      <c r="I25" s="1357"/>
      <c r="J25" s="250">
        <v>2053.5425101214573</v>
      </c>
      <c r="K25" s="250"/>
      <c r="L25" s="250">
        <v>2459.9466458658344</v>
      </c>
      <c r="M25" s="250">
        <v>2634.4637545501819</v>
      </c>
      <c r="N25" s="250">
        <v>2582.7472698907955</v>
      </c>
      <c r="O25" s="250">
        <v>2686.5007800312014</v>
      </c>
      <c r="P25" s="250">
        <v>2789.9113884555381</v>
      </c>
      <c r="Q25" s="250">
        <v>2757.5314612584502</v>
      </c>
      <c r="R25" s="250">
        <v>2822.8922516900675</v>
      </c>
    </row>
    <row r="26" spans="1:18" s="36" customFormat="1" ht="15" customHeight="1">
      <c r="A26" s="60" t="s">
        <v>475</v>
      </c>
      <c r="B26" s="61" t="s">
        <v>476</v>
      </c>
      <c r="C26" s="8"/>
      <c r="D26" s="337"/>
      <c r="E26" s="337"/>
      <c r="F26" s="337"/>
      <c r="G26" s="337"/>
      <c r="H26" s="1371"/>
      <c r="I26" s="1371"/>
      <c r="J26" s="337"/>
      <c r="K26" s="337"/>
      <c r="L26" s="337"/>
      <c r="M26" s="337"/>
      <c r="N26" s="337"/>
      <c r="O26" s="337"/>
      <c r="P26" s="337"/>
      <c r="Q26" s="337"/>
      <c r="R26" s="337"/>
    </row>
    <row r="27" spans="1:18" s="36" customFormat="1" ht="15" customHeight="1">
      <c r="A27" s="60"/>
      <c r="B27" s="70" t="s">
        <v>473</v>
      </c>
      <c r="C27" s="8" t="s">
        <v>138</v>
      </c>
      <c r="D27" s="251">
        <f>('4.9_транзит (свод)'!$D$15*'4.9_транзит (свод)'!D27+'4.9_сбыт (свод)'!$D$15*'4.9_сбыт (свод)'!D27)/'4.9_транзит+сбыт (свод)'!$D$15</f>
        <v>50</v>
      </c>
      <c r="E27" s="251">
        <f>('4.9_транзит (свод)'!$E$15*'4.9_транзит (свод)'!E27+'4.9_сбыт (свод)'!$E$15*'4.9_сбыт (свод)'!E27)/'4.9_транзит+сбыт (свод)'!$E$15</f>
        <v>47.562537878787872</v>
      </c>
      <c r="F27" s="251">
        <v>47.182878698224847</v>
      </c>
      <c r="G27" s="251">
        <v>48.32049661634565</v>
      </c>
      <c r="H27" s="1359" t="e">
        <v>#DIV/0!</v>
      </c>
      <c r="I27" s="1359"/>
      <c r="J27" s="251">
        <v>47.754491850929099</v>
      </c>
      <c r="K27" s="251"/>
      <c r="L27" s="251">
        <v>47.399316692667703</v>
      </c>
      <c r="M27" s="251">
        <v>50</v>
      </c>
      <c r="N27" s="251">
        <v>50</v>
      </c>
      <c r="O27" s="251">
        <v>50</v>
      </c>
      <c r="P27" s="251">
        <v>50</v>
      </c>
      <c r="Q27" s="251">
        <v>50</v>
      </c>
      <c r="R27" s="251">
        <v>50</v>
      </c>
    </row>
    <row r="28" spans="1:18" s="36" customFormat="1" ht="15" customHeight="1">
      <c r="A28" s="60"/>
      <c r="B28" s="70" t="s">
        <v>474</v>
      </c>
      <c r="C28" s="8" t="s">
        <v>465</v>
      </c>
      <c r="D28" s="250">
        <f>('4.9_транзит (свод)'!$D$15*'4.9_транзит (свод)'!D28+'4.9_сбыт (свод)'!$D$15*'4.9_сбыт (свод)'!D28)/'4.9_транзит+сбыт (свод)'!$D$15</f>
        <v>6063.723021987862</v>
      </c>
      <c r="E28" s="250">
        <f>('4.9_транзит (свод)'!$E$15*'4.9_транзит (свод)'!E28+'4.9_сбыт (свод)'!$E$15*'4.9_сбыт (свод)'!E28)/'4.9_транзит+сбыт (свод)'!$E$15</f>
        <v>6050.942498142078</v>
      </c>
      <c r="F28" s="250">
        <v>6633.8053918198857</v>
      </c>
      <c r="G28" s="250">
        <v>7186.3273293000466</v>
      </c>
      <c r="H28" s="1357" t="e">
        <v>#DIV/0!</v>
      </c>
      <c r="I28" s="1357"/>
      <c r="J28" s="250">
        <v>7961.4598775044124</v>
      </c>
      <c r="K28" s="250"/>
      <c r="L28" s="250">
        <v>8857.1202288091517</v>
      </c>
      <c r="M28" s="250">
        <v>9999.9930317212693</v>
      </c>
      <c r="N28" s="250">
        <v>9802.817576703068</v>
      </c>
      <c r="O28" s="250">
        <v>10198.865730629224</v>
      </c>
      <c r="P28" s="250">
        <v>10590.537285491419</v>
      </c>
      <c r="Q28" s="250">
        <v>10465.895267810713</v>
      </c>
      <c r="R28" s="250">
        <v>10715.38751950078</v>
      </c>
    </row>
    <row r="29" spans="1:18" s="36" customFormat="1" ht="15" customHeight="1">
      <c r="A29" s="60" t="s">
        <v>477</v>
      </c>
      <c r="B29" s="61" t="s">
        <v>478</v>
      </c>
      <c r="C29" s="8"/>
      <c r="D29" s="337"/>
      <c r="E29" s="337"/>
      <c r="F29" s="337"/>
      <c r="G29" s="337"/>
      <c r="H29" s="1371"/>
      <c r="I29" s="1371"/>
      <c r="J29" s="337"/>
      <c r="K29" s="337"/>
      <c r="L29" s="337"/>
      <c r="M29" s="337"/>
      <c r="N29" s="337"/>
      <c r="O29" s="337"/>
      <c r="P29" s="337"/>
      <c r="Q29" s="337"/>
      <c r="R29" s="337"/>
    </row>
    <row r="30" spans="1:18" s="36" customFormat="1" ht="15" customHeight="1">
      <c r="A30" s="60"/>
      <c r="B30" s="70" t="s">
        <v>473</v>
      </c>
      <c r="C30" s="8" t="s">
        <v>138</v>
      </c>
      <c r="D30" s="251">
        <f>('4.9_транзит (свод)'!$D$15*'4.9_транзит (свод)'!D30+'4.9_сбыт (свод)'!$D$15*'4.9_сбыт (свод)'!D30)/'4.9_транзит+сбыт (свод)'!$D$15</f>
        <v>9.5425983001774526</v>
      </c>
      <c r="E30" s="251">
        <f>('4.9_транзит (свод)'!$E$15*'4.9_транзит (свод)'!E30+'4.9_сбыт (свод)'!$E$15*'4.9_сбыт (свод)'!E30)/'4.9_транзит+сбыт (свод)'!$E$15</f>
        <v>9.8887731481481485</v>
      </c>
      <c r="F30" s="251">
        <v>9.8049182938856028</v>
      </c>
      <c r="G30" s="251">
        <v>9.8937034877667891</v>
      </c>
      <c r="H30" s="1359" t="e">
        <v>#DIV/0!</v>
      </c>
      <c r="I30" s="1359"/>
      <c r="J30" s="251">
        <v>10.201198276756982</v>
      </c>
      <c r="K30" s="251"/>
      <c r="L30" s="251">
        <v>10.240209048361933</v>
      </c>
      <c r="M30" s="251">
        <v>10.355309412376494</v>
      </c>
      <c r="N30" s="251">
        <v>10.355309412376494</v>
      </c>
      <c r="O30" s="251">
        <v>10.355309412376494</v>
      </c>
      <c r="P30" s="251">
        <v>10.355309412376494</v>
      </c>
      <c r="Q30" s="251">
        <v>10.355309412376494</v>
      </c>
      <c r="R30" s="251">
        <v>10.355309412376494</v>
      </c>
    </row>
    <row r="31" spans="1:18" s="36" customFormat="1" ht="15" customHeight="1">
      <c r="A31" s="60"/>
      <c r="B31" s="70" t="s">
        <v>474</v>
      </c>
      <c r="C31" s="8" t="s">
        <v>465</v>
      </c>
      <c r="D31" s="250">
        <f>('4.9_транзит (свод)'!$D$15*'4.9_транзит (свод)'!D31+'4.9_сбыт (свод)'!$D$15*'4.9_сбыт (свод)'!D31)/'4.9_транзит+сбыт (свод)'!$D$15</f>
        <v>1169.6501473272313</v>
      </c>
      <c r="E31" s="250">
        <f>('4.9_транзит (свод)'!$E$15*'4.9_транзит (свод)'!E31+'4.9_сбыт (свод)'!$E$15*'4.9_сбыт (свод)'!E31)/'4.9_транзит+сбыт (свод)'!$E$15</f>
        <v>1251.4789554934837</v>
      </c>
      <c r="F31" s="250">
        <v>1378.5492034164265</v>
      </c>
      <c r="G31" s="250">
        <v>1452.1432827431663</v>
      </c>
      <c r="H31" s="1357" t="e">
        <v>#DIV/0!</v>
      </c>
      <c r="I31" s="1357"/>
      <c r="J31" s="250">
        <v>1694.8511367175333</v>
      </c>
      <c r="K31" s="250"/>
      <c r="L31" s="250">
        <v>1891.2783151326053</v>
      </c>
      <c r="M31" s="250">
        <v>2050.8672906916277</v>
      </c>
      <c r="N31" s="250">
        <v>2010.5565262610503</v>
      </c>
      <c r="O31" s="250">
        <v>2092.178055122205</v>
      </c>
      <c r="P31" s="250">
        <v>2172.2945397815911</v>
      </c>
      <c r="Q31" s="250">
        <v>2146.8417056682265</v>
      </c>
      <c r="R31" s="250">
        <v>2198.0839313572546</v>
      </c>
    </row>
    <row r="32" spans="1:18" s="36" customFormat="1" ht="15" customHeight="1">
      <c r="A32" s="60" t="s">
        <v>479</v>
      </c>
      <c r="B32" s="61" t="s">
        <v>480</v>
      </c>
      <c r="C32" s="8"/>
      <c r="D32" s="337"/>
      <c r="E32" s="337"/>
      <c r="F32" s="337"/>
      <c r="G32" s="337"/>
      <c r="H32" s="1371"/>
      <c r="I32" s="1371"/>
      <c r="J32" s="337"/>
      <c r="K32" s="337"/>
      <c r="L32" s="337"/>
      <c r="M32" s="337"/>
      <c r="N32" s="337"/>
      <c r="O32" s="337"/>
      <c r="P32" s="337"/>
      <c r="Q32" s="337"/>
      <c r="R32" s="337"/>
    </row>
    <row r="33" spans="1:18" s="36" customFormat="1" ht="15" customHeight="1">
      <c r="A33" s="60"/>
      <c r="B33" s="70" t="s">
        <v>473</v>
      </c>
      <c r="C33" s="8" t="s">
        <v>138</v>
      </c>
      <c r="D33" s="251">
        <f>('4.9_транзит (свод)'!$D$15*'4.9_транзит (свод)'!D33+'4.9_сбыт (свод)'!$D$15*'4.9_сбыт (свод)'!D33)/'4.9_транзит+сбыт (свод)'!$D$15</f>
        <v>0</v>
      </c>
      <c r="E33" s="251">
        <f>('4.9_транзит (свод)'!$E$15*'4.9_транзит (свод)'!E33+'4.9_сбыт (свод)'!$E$15*'4.9_сбыт (свод)'!E33)/'4.9_транзит+сбыт (свод)'!$E$15</f>
        <v>0</v>
      </c>
      <c r="F33" s="251" t="e">
        <v>#DIV/0!</v>
      </c>
      <c r="G33" s="251">
        <v>0</v>
      </c>
      <c r="H33" s="1359" t="e">
        <v>#DIV/0!</v>
      </c>
      <c r="I33" s="1359"/>
      <c r="J33" s="251">
        <v>0</v>
      </c>
      <c r="K33" s="251"/>
      <c r="L33" s="251">
        <v>0</v>
      </c>
      <c r="M33" s="251">
        <v>0</v>
      </c>
      <c r="N33" s="251">
        <v>0</v>
      </c>
      <c r="O33" s="251">
        <v>0</v>
      </c>
      <c r="P33" s="251">
        <v>0</v>
      </c>
      <c r="Q33" s="251">
        <v>0</v>
      </c>
      <c r="R33" s="251">
        <v>0</v>
      </c>
    </row>
    <row r="34" spans="1:18" s="36" customFormat="1" ht="15" customHeight="1">
      <c r="A34" s="60"/>
      <c r="B34" s="70" t="s">
        <v>474</v>
      </c>
      <c r="C34" s="8" t="s">
        <v>465</v>
      </c>
      <c r="D34" s="250">
        <f>('4.9_транзит (свод)'!$D$15*'4.9_транзит (свод)'!D34+'4.9_сбыт (свод)'!$D$15*'4.9_сбыт (свод)'!D34)/'4.9_транзит+сбыт (свод)'!$D$15</f>
        <v>0</v>
      </c>
      <c r="E34" s="250">
        <f>('4.9_транзит (свод)'!$E$15*'4.9_транзит (свод)'!E34+'4.9_сбыт (свод)'!$E$15*'4.9_сбыт (свод)'!E34)/'4.9_транзит+сбыт (свод)'!$E$15</f>
        <v>129.12575757575758</v>
      </c>
      <c r="F34" s="250" t="e">
        <v>#DIV/0!</v>
      </c>
      <c r="G34" s="250">
        <v>0</v>
      </c>
      <c r="H34" s="1357" t="e">
        <v>#DIV/0!</v>
      </c>
      <c r="I34" s="1357"/>
      <c r="J34" s="250">
        <v>0</v>
      </c>
      <c r="K34" s="250"/>
      <c r="L34" s="250">
        <v>0</v>
      </c>
      <c r="M34" s="250">
        <v>0</v>
      </c>
      <c r="N34" s="250">
        <v>0</v>
      </c>
      <c r="O34" s="250">
        <v>0</v>
      </c>
      <c r="P34" s="250">
        <v>0</v>
      </c>
      <c r="Q34" s="250">
        <v>0</v>
      </c>
      <c r="R34" s="250">
        <v>0</v>
      </c>
    </row>
    <row r="35" spans="1:18" s="36" customFormat="1" hidden="1">
      <c r="A35" s="60" t="s">
        <v>481</v>
      </c>
      <c r="B35" s="61"/>
      <c r="C35" s="8"/>
      <c r="D35" s="337"/>
      <c r="E35" s="337"/>
      <c r="F35" s="337"/>
      <c r="G35" s="337"/>
      <c r="H35" s="1371"/>
      <c r="I35" s="1371"/>
      <c r="J35" s="337"/>
      <c r="K35" s="337"/>
      <c r="L35" s="337"/>
      <c r="M35" s="337"/>
      <c r="N35" s="337"/>
      <c r="O35" s="337"/>
      <c r="P35" s="337"/>
      <c r="Q35" s="337"/>
      <c r="R35" s="337"/>
    </row>
    <row r="36" spans="1:18" s="36" customFormat="1" ht="15" hidden="1" customHeight="1">
      <c r="A36" s="60"/>
      <c r="B36" s="70" t="s">
        <v>473</v>
      </c>
      <c r="C36" s="8" t="s">
        <v>138</v>
      </c>
      <c r="D36" s="251">
        <f>('4.9_транзит (свод)'!$D$15*'4.9_транзит (свод)'!D36+'4.9_сбыт (свод)'!$D$15*'4.9_сбыт (свод)'!D36)/'4.9_транзит+сбыт (свод)'!$D$15</f>
        <v>0</v>
      </c>
      <c r="E36" s="251">
        <f>('4.9_транзит (свод)'!$E$15*'4.9_транзит (свод)'!E36+'4.9_сбыт (свод)'!$E$15*'4.9_сбыт (свод)'!E36)/'4.9_транзит+сбыт (свод)'!$E$15</f>
        <v>0</v>
      </c>
      <c r="F36" s="251" t="e">
        <v>#DIV/0!</v>
      </c>
      <c r="G36" s="251">
        <v>0</v>
      </c>
      <c r="H36" s="1359">
        <v>0</v>
      </c>
      <c r="I36" s="1359"/>
      <c r="J36" s="251">
        <v>0</v>
      </c>
      <c r="K36" s="251"/>
      <c r="L36" s="251"/>
      <c r="M36" s="251">
        <v>0</v>
      </c>
      <c r="N36" s="251">
        <v>0</v>
      </c>
      <c r="O36" s="251">
        <v>0</v>
      </c>
      <c r="P36" s="251">
        <v>0</v>
      </c>
      <c r="Q36" s="251">
        <v>0</v>
      </c>
      <c r="R36" s="251">
        <v>0</v>
      </c>
    </row>
    <row r="37" spans="1:18" s="36" customFormat="1" ht="15" hidden="1" customHeight="1">
      <c r="A37" s="60"/>
      <c r="B37" s="70" t="s">
        <v>474</v>
      </c>
      <c r="C37" s="8" t="s">
        <v>465</v>
      </c>
      <c r="D37" s="250">
        <f>('4.9_транзит (свод)'!$D$15*'4.9_транзит (свод)'!D37+'4.9_сбыт (свод)'!$D$15*'4.9_сбыт (свод)'!D37)/'4.9_транзит+сбыт (свод)'!$D$15</f>
        <v>0</v>
      </c>
      <c r="E37" s="250">
        <f>('4.9_транзит (свод)'!$E$15*'4.9_транзит (свод)'!E37+'4.9_сбыт (свод)'!$E$15*'4.9_сбыт (свод)'!E37)/'4.9_транзит+сбыт (свод)'!$E$15</f>
        <v>0</v>
      </c>
      <c r="F37" s="250" t="e">
        <v>#DIV/0!</v>
      </c>
      <c r="G37" s="250">
        <v>0</v>
      </c>
      <c r="H37" s="1357">
        <v>0</v>
      </c>
      <c r="I37" s="1357"/>
      <c r="J37" s="250">
        <v>0</v>
      </c>
      <c r="K37" s="250"/>
      <c r="L37" s="250"/>
      <c r="M37" s="250">
        <v>0</v>
      </c>
      <c r="N37" s="250">
        <v>0</v>
      </c>
      <c r="O37" s="250">
        <v>0</v>
      </c>
      <c r="P37" s="250">
        <v>0</v>
      </c>
      <c r="Q37" s="250">
        <v>0</v>
      </c>
      <c r="R37" s="250">
        <v>0</v>
      </c>
    </row>
    <row r="38" spans="1:18" s="36" customFormat="1" hidden="1">
      <c r="A38" s="60" t="s">
        <v>482</v>
      </c>
      <c r="B38" s="61"/>
      <c r="C38" s="8"/>
      <c r="D38" s="388"/>
      <c r="E38" s="388"/>
      <c r="F38" s="388"/>
      <c r="G38" s="388"/>
      <c r="H38" s="1370"/>
      <c r="I38" s="1370"/>
      <c r="J38" s="388"/>
      <c r="K38" s="388"/>
      <c r="L38" s="388"/>
      <c r="M38" s="388"/>
      <c r="N38" s="388"/>
      <c r="O38" s="388"/>
      <c r="P38" s="388"/>
      <c r="Q38" s="388"/>
      <c r="R38" s="388"/>
    </row>
    <row r="39" spans="1:18" s="36" customFormat="1" ht="15" hidden="1" customHeight="1">
      <c r="A39" s="60"/>
      <c r="B39" s="70" t="s">
        <v>473</v>
      </c>
      <c r="C39" s="8" t="s">
        <v>138</v>
      </c>
      <c r="D39" s="251">
        <f>('4.9_транзит (свод)'!$D$15*'4.9_транзит (свод)'!D39+'4.9_сбыт (свод)'!$D$15*'4.9_сбыт (свод)'!D39)/'4.9_транзит+сбыт (свод)'!$D$15</f>
        <v>0</v>
      </c>
      <c r="E39" s="251">
        <f>('4.9_транзит (свод)'!$E$15*'4.9_транзит (свод)'!E39+'4.9_сбыт (свод)'!$E$15*'4.9_сбыт (свод)'!E39)/'4.9_транзит+сбыт (свод)'!$E$15</f>
        <v>0</v>
      </c>
      <c r="F39" s="251" t="e">
        <v>#DIV/0!</v>
      </c>
      <c r="G39" s="251">
        <v>0</v>
      </c>
      <c r="H39" s="1359">
        <v>0</v>
      </c>
      <c r="I39" s="1359"/>
      <c r="J39" s="251">
        <v>0</v>
      </c>
      <c r="K39" s="251"/>
      <c r="L39" s="251"/>
      <c r="M39" s="251">
        <v>0</v>
      </c>
      <c r="N39" s="251">
        <v>0</v>
      </c>
      <c r="O39" s="251">
        <v>0</v>
      </c>
      <c r="P39" s="251">
        <v>0</v>
      </c>
      <c r="Q39" s="251">
        <v>0</v>
      </c>
      <c r="R39" s="251">
        <v>0</v>
      </c>
    </row>
    <row r="40" spans="1:18" s="36" customFormat="1" ht="15" hidden="1" customHeight="1">
      <c r="A40" s="60"/>
      <c r="B40" s="70" t="s">
        <v>474</v>
      </c>
      <c r="C40" s="8" t="s">
        <v>465</v>
      </c>
      <c r="D40" s="250">
        <f>('4.9_транзит (свод)'!$D$15*'4.9_транзит (свод)'!D40+'4.9_сбыт (свод)'!$D$15*'4.9_сбыт (свод)'!D40)/'4.9_транзит+сбыт (свод)'!$D$15</f>
        <v>0</v>
      </c>
      <c r="E40" s="250">
        <f>('4.9_транзит (свод)'!$E$15*'4.9_транзит (свод)'!E40+'4.9_сбыт (свод)'!$E$15*'4.9_сбыт (свод)'!E40)/'4.9_транзит+сбыт (свод)'!$E$15</f>
        <v>0</v>
      </c>
      <c r="F40" s="250" t="e">
        <v>#DIV/0!</v>
      </c>
      <c r="G40" s="250">
        <v>0</v>
      </c>
      <c r="H40" s="1357">
        <v>0</v>
      </c>
      <c r="I40" s="1357"/>
      <c r="J40" s="250">
        <v>0</v>
      </c>
      <c r="K40" s="250"/>
      <c r="L40" s="250"/>
      <c r="M40" s="250">
        <v>0</v>
      </c>
      <c r="N40" s="250">
        <v>0</v>
      </c>
      <c r="O40" s="250">
        <v>0</v>
      </c>
      <c r="P40" s="250">
        <v>0</v>
      </c>
      <c r="Q40" s="250">
        <v>0</v>
      </c>
      <c r="R40" s="250">
        <v>0</v>
      </c>
    </row>
    <row r="41" spans="1:18" s="36" customFormat="1" ht="30" customHeight="1">
      <c r="A41" s="60" t="s">
        <v>483</v>
      </c>
      <c r="B41" s="61" t="s">
        <v>484</v>
      </c>
      <c r="C41" s="8"/>
      <c r="D41" s="388"/>
      <c r="E41" s="388"/>
      <c r="F41" s="388"/>
      <c r="G41" s="388"/>
      <c r="H41" s="1370"/>
      <c r="I41" s="1370"/>
      <c r="J41" s="388"/>
      <c r="K41" s="388"/>
      <c r="L41" s="388"/>
      <c r="M41" s="388"/>
      <c r="N41" s="388"/>
      <c r="O41" s="388"/>
      <c r="P41" s="388"/>
      <c r="Q41" s="388"/>
      <c r="R41" s="388"/>
    </row>
    <row r="42" spans="1:18" s="36" customFormat="1" ht="15" customHeight="1">
      <c r="A42" s="60"/>
      <c r="B42" s="70" t="s">
        <v>473</v>
      </c>
      <c r="C42" s="8" t="s">
        <v>138</v>
      </c>
      <c r="D42" s="337">
        <v>160</v>
      </c>
      <c r="E42" s="337">
        <v>160</v>
      </c>
      <c r="F42" s="337">
        <v>160</v>
      </c>
      <c r="G42" s="337">
        <v>160</v>
      </c>
      <c r="H42" s="1371">
        <v>160</v>
      </c>
      <c r="I42" s="1371"/>
      <c r="J42" s="337">
        <v>160</v>
      </c>
      <c r="K42" s="337"/>
      <c r="L42" s="337">
        <v>160</v>
      </c>
      <c r="M42" s="337">
        <v>160</v>
      </c>
      <c r="N42" s="337">
        <v>160</v>
      </c>
      <c r="O42" s="337">
        <v>160</v>
      </c>
      <c r="P42" s="337">
        <v>160</v>
      </c>
      <c r="Q42" s="337">
        <v>160</v>
      </c>
      <c r="R42" s="337">
        <v>160</v>
      </c>
    </row>
    <row r="43" spans="1:18" s="36" customFormat="1" ht="15" customHeight="1">
      <c r="A43" s="60"/>
      <c r="B43" s="70" t="s">
        <v>474</v>
      </c>
      <c r="C43" s="8" t="s">
        <v>465</v>
      </c>
      <c r="D43" s="250">
        <f>('4.9_транзит (свод)'!$D$15*'4.9_транзит (свод)'!D43+'4.9_сбыт (свод)'!$D$15*'4.9_сбыт (свод)'!D43)/'4.9_транзит+сбыт (свод)'!$D$15</f>
        <v>30978.241627601346</v>
      </c>
      <c r="E43" s="250">
        <f>('4.9_транзит (свод)'!$E$15*'4.9_транзит (свод)'!E43+'4.9_сбыт (свод)'!$E$15*'4.9_сбыт (свод)'!E43)/'4.9_транзит+сбыт (свод)'!$E$15</f>
        <v>32221.703057723957</v>
      </c>
      <c r="F43" s="250">
        <v>35315.403311341215</v>
      </c>
      <c r="G43" s="250">
        <v>37631.662211565563</v>
      </c>
      <c r="H43" s="1357" t="e">
        <v>#DIV/0!</v>
      </c>
      <c r="I43" s="1357"/>
      <c r="J43" s="250">
        <v>42213.10121457489</v>
      </c>
      <c r="K43" s="250"/>
      <c r="L43" s="250">
        <v>47043.224752990114</v>
      </c>
      <c r="M43" s="250">
        <v>51282.367862714505</v>
      </c>
      <c r="N43" s="250">
        <v>50270.543421736867</v>
      </c>
      <c r="O43" s="250">
        <v>52302.255226209047</v>
      </c>
      <c r="P43" s="250">
        <v>54310.665210608415</v>
      </c>
      <c r="Q43" s="250">
        <v>53672.406240249606</v>
      </c>
      <c r="R43" s="250">
        <v>54950.912844513776</v>
      </c>
    </row>
    <row r="44" spans="1:18" s="36" customFormat="1" ht="30" customHeight="1">
      <c r="A44" s="387" t="s">
        <v>27</v>
      </c>
      <c r="B44" s="386" t="s">
        <v>485</v>
      </c>
      <c r="C44" s="385" t="s">
        <v>465</v>
      </c>
      <c r="D44" s="384">
        <f>D22+D25+D28+D31+D43</f>
        <v>50339.060840892169</v>
      </c>
      <c r="E44" s="384">
        <f t="shared" ref="E44:G44" si="2">E22+E25+E28+E31+E43</f>
        <v>52360.059895148232</v>
      </c>
      <c r="F44" s="384">
        <v>57388.730380929468</v>
      </c>
      <c r="G44" s="384">
        <v>61152.684045381757</v>
      </c>
      <c r="H44" s="384">
        <v>65725</v>
      </c>
      <c r="I44" s="384"/>
      <c r="J44" s="384">
        <v>68596.328583930241</v>
      </c>
      <c r="K44" s="384">
        <v>69123</v>
      </c>
      <c r="L44" s="384">
        <v>76445.478959958389</v>
      </c>
      <c r="M44" s="384">
        <v>83333.871993551744</v>
      </c>
      <c r="N44" s="384">
        <v>81689.78151105564</v>
      </c>
      <c r="O44" s="384">
        <v>84991.285427311494</v>
      </c>
      <c r="P44" s="384">
        <v>88254.789637826296</v>
      </c>
      <c r="Q44" s="384">
        <v>87217.660316068635</v>
      </c>
      <c r="R44" s="384">
        <v>89295.053332958923</v>
      </c>
    </row>
    <row r="45" spans="1:18" s="1368" customFormat="1" ht="30" customHeight="1">
      <c r="A45" s="1364" t="s">
        <v>95</v>
      </c>
      <c r="B45" s="1365" t="s">
        <v>905</v>
      </c>
      <c r="C45" s="1366" t="s">
        <v>465</v>
      </c>
      <c r="D45" s="1367">
        <f>'4.9_транзит (свод)'!D45+'4.9_сбыт (свод)'!D45-1</f>
        <v>587187.32325681741</v>
      </c>
      <c r="E45" s="1367">
        <f>'4.9_транзит (свод)'!E45+'4.9_сбыт (свод)'!E45+1</f>
        <v>625603.98501218681</v>
      </c>
      <c r="F45" s="1367">
        <v>612441</v>
      </c>
      <c r="G45" s="1367">
        <v>742424.83630707033</v>
      </c>
      <c r="H45" s="1367">
        <v>706869</v>
      </c>
      <c r="I45" s="1367"/>
      <c r="J45" s="1367">
        <v>810859.71989880002</v>
      </c>
      <c r="K45" s="1367">
        <v>831529</v>
      </c>
      <c r="L45" s="1367">
        <v>901471.03624000004</v>
      </c>
      <c r="M45" s="1367">
        <v>1003398.07516744</v>
      </c>
      <c r="N45" s="1367">
        <v>482160.84953727998</v>
      </c>
      <c r="O45" s="1367">
        <v>521237.22563016001</v>
      </c>
      <c r="P45" s="1367">
        <v>1062320.44504124</v>
      </c>
      <c r="Q45" s="1367">
        <v>514560.68236339994</v>
      </c>
      <c r="R45" s="1367">
        <v>547759.76267783996</v>
      </c>
    </row>
    <row r="46" spans="1:18">
      <c r="A46" s="60" t="s">
        <v>898</v>
      </c>
      <c r="B46" s="61" t="s">
        <v>899</v>
      </c>
      <c r="C46" s="8" t="s">
        <v>892</v>
      </c>
      <c r="D46" s="250">
        <f>'4.9_транзит (свод)'!D46+'4.9_сбыт (свод)'!D46-1</f>
        <v>7629</v>
      </c>
      <c r="E46" s="250">
        <f>'4.9_транзит (свод)'!E46+'4.9_сбыт (свод)'!E46-4</f>
        <v>11770</v>
      </c>
      <c r="F46" s="250">
        <v>9124.9520475766803</v>
      </c>
      <c r="G46" s="250">
        <v>13688</v>
      </c>
      <c r="H46" s="250">
        <v>9017</v>
      </c>
      <c r="I46" s="250"/>
      <c r="J46" s="250">
        <v>16397</v>
      </c>
      <c r="K46" s="250">
        <v>11090</v>
      </c>
      <c r="L46" s="250">
        <v>18460</v>
      </c>
      <c r="M46" s="250">
        <v>20767</v>
      </c>
      <c r="N46" s="250">
        <v>10384</v>
      </c>
      <c r="O46" s="250">
        <v>10384</v>
      </c>
      <c r="P46" s="250">
        <v>21702</v>
      </c>
      <c r="Q46" s="250">
        <v>10851.5</v>
      </c>
      <c r="R46" s="250">
        <v>10851.5</v>
      </c>
    </row>
    <row r="47" spans="1:18" ht="60.75" customHeight="1">
      <c r="A47" s="60" t="s">
        <v>900</v>
      </c>
      <c r="B47" s="61" t="s">
        <v>902</v>
      </c>
      <c r="C47" s="8" t="s">
        <v>892</v>
      </c>
      <c r="D47" s="250">
        <f>'4.9_транзит (свод)'!D47+'4.9_сбыт (свод)'!D47</f>
        <v>0</v>
      </c>
      <c r="E47" s="250">
        <f>'4.9_транзит (свод)'!E47+'4.9_сбыт (свод)'!E47</f>
        <v>0</v>
      </c>
      <c r="F47" s="250">
        <v>0</v>
      </c>
      <c r="G47" s="250">
        <v>0</v>
      </c>
      <c r="H47" s="250">
        <v>0</v>
      </c>
      <c r="I47" s="250"/>
      <c r="J47" s="250">
        <v>0</v>
      </c>
      <c r="K47" s="250">
        <v>0</v>
      </c>
      <c r="L47" s="250">
        <v>0</v>
      </c>
      <c r="M47" s="250">
        <v>0</v>
      </c>
      <c r="N47" s="250">
        <v>0</v>
      </c>
      <c r="O47" s="250">
        <v>0</v>
      </c>
      <c r="P47" s="250">
        <v>0</v>
      </c>
      <c r="Q47" s="250">
        <v>0</v>
      </c>
      <c r="R47" s="250">
        <v>0</v>
      </c>
    </row>
    <row r="48" spans="1:18">
      <c r="A48" s="60" t="s">
        <v>901</v>
      </c>
      <c r="B48" s="61" t="s">
        <v>348</v>
      </c>
      <c r="C48" s="8" t="s">
        <v>892</v>
      </c>
      <c r="D48" s="250">
        <f>D49+D50+D51+D52+D53</f>
        <v>0</v>
      </c>
      <c r="E48" s="250">
        <f t="shared" ref="E48:O48" si="3">E49+E50+E51+E52+E53</f>
        <v>15616</v>
      </c>
      <c r="F48" s="250">
        <v>0</v>
      </c>
      <c r="G48" s="250">
        <v>23899</v>
      </c>
      <c r="H48" s="250">
        <v>0</v>
      </c>
      <c r="I48" s="250"/>
      <c r="J48" s="250">
        <v>1524</v>
      </c>
      <c r="K48" s="250">
        <v>0</v>
      </c>
      <c r="L48" s="250">
        <v>983</v>
      </c>
      <c r="M48" s="250">
        <v>21074</v>
      </c>
      <c r="N48" s="250">
        <v>521.5</v>
      </c>
      <c r="O48" s="250">
        <v>20552.5</v>
      </c>
      <c r="P48" s="250">
        <v>22320</v>
      </c>
      <c r="Q48" s="250">
        <v>552.5</v>
      </c>
      <c r="R48" s="250">
        <v>21767.5</v>
      </c>
    </row>
    <row r="49" spans="1:18" ht="30">
      <c r="A49" s="60" t="s">
        <v>1024</v>
      </c>
      <c r="B49" s="61" t="s">
        <v>1023</v>
      </c>
      <c r="C49" s="8" t="s">
        <v>892</v>
      </c>
      <c r="D49" s="250">
        <f>'4.9_транзит (свод)'!D49+'4.9_сбыт (свод)'!D49</f>
        <v>0</v>
      </c>
      <c r="E49" s="250">
        <f>'4.9_транзит (свод)'!E49+'4.9_сбыт (свод)'!E49</f>
        <v>4583</v>
      </c>
      <c r="F49" s="250">
        <v>0</v>
      </c>
      <c r="G49" s="250">
        <v>0</v>
      </c>
      <c r="H49" s="250">
        <v>0</v>
      </c>
      <c r="I49" s="250"/>
      <c r="J49" s="250">
        <v>0</v>
      </c>
      <c r="K49" s="250">
        <v>0</v>
      </c>
      <c r="L49" s="250">
        <v>0</v>
      </c>
      <c r="M49" s="250">
        <v>0</v>
      </c>
      <c r="N49" s="250">
        <v>0</v>
      </c>
      <c r="O49" s="250">
        <v>0</v>
      </c>
      <c r="P49" s="250">
        <v>0</v>
      </c>
      <c r="Q49" s="250">
        <v>0</v>
      </c>
      <c r="R49" s="250">
        <v>0</v>
      </c>
    </row>
    <row r="50" spans="1:18" ht="30">
      <c r="A50" s="60" t="s">
        <v>1022</v>
      </c>
      <c r="B50" s="61" t="s">
        <v>1021</v>
      </c>
      <c r="C50" s="8" t="s">
        <v>892</v>
      </c>
      <c r="D50" s="250">
        <f>'4.9_транзит (свод)'!D50+'4.9_сбыт (свод)'!D50</f>
        <v>0</v>
      </c>
      <c r="E50" s="250">
        <f>'4.9_транзит (свод)'!E50+'4.9_сбыт (свод)'!E50</f>
        <v>12</v>
      </c>
      <c r="F50" s="250">
        <v>0</v>
      </c>
      <c r="G50" s="250">
        <v>282</v>
      </c>
      <c r="H50" s="250">
        <v>0</v>
      </c>
      <c r="I50" s="250"/>
      <c r="J50" s="250">
        <v>0</v>
      </c>
      <c r="K50" s="250">
        <v>0</v>
      </c>
      <c r="L50" s="250">
        <v>0</v>
      </c>
      <c r="M50" s="250">
        <v>0</v>
      </c>
      <c r="N50" s="250">
        <v>0</v>
      </c>
      <c r="O50" s="250">
        <v>0</v>
      </c>
      <c r="P50" s="250">
        <v>0</v>
      </c>
      <c r="Q50" s="250">
        <v>0</v>
      </c>
      <c r="R50" s="250">
        <v>0</v>
      </c>
    </row>
    <row r="51" spans="1:18">
      <c r="A51" s="60" t="s">
        <v>1020</v>
      </c>
      <c r="B51" s="61" t="s">
        <v>1019</v>
      </c>
      <c r="C51" s="8" t="s">
        <v>892</v>
      </c>
      <c r="D51" s="250">
        <f>'4.9_транзит (свод)'!D51+'4.9_сбыт (свод)'!D51</f>
        <v>0</v>
      </c>
      <c r="E51" s="250">
        <f>'4.9_транзит (свод)'!E51+'4.9_сбыт (свод)'!E51</f>
        <v>1235</v>
      </c>
      <c r="F51" s="250">
        <v>0</v>
      </c>
      <c r="G51" s="250">
        <v>2448</v>
      </c>
      <c r="H51" s="250">
        <v>0</v>
      </c>
      <c r="I51" s="250"/>
      <c r="J51" s="250">
        <v>1524</v>
      </c>
      <c r="K51" s="250">
        <v>0</v>
      </c>
      <c r="L51" s="250">
        <v>983</v>
      </c>
      <c r="M51" s="250">
        <v>1043</v>
      </c>
      <c r="N51" s="250">
        <v>521.5</v>
      </c>
      <c r="O51" s="250">
        <v>521.5</v>
      </c>
      <c r="P51" s="250">
        <v>1105</v>
      </c>
      <c r="Q51" s="250">
        <v>552.5</v>
      </c>
      <c r="R51" s="250">
        <v>552.5</v>
      </c>
    </row>
    <row r="52" spans="1:18" ht="30">
      <c r="A52" s="60" t="s">
        <v>1018</v>
      </c>
      <c r="B52" s="61" t="s">
        <v>934</v>
      </c>
      <c r="C52" s="8" t="s">
        <v>892</v>
      </c>
      <c r="D52" s="250">
        <f>'4.9_транзит (свод)'!D52+'4.9_сбыт (свод)'!D52</f>
        <v>0</v>
      </c>
      <c r="E52" s="250">
        <f>'4.9_транзит (свод)'!E52+'4.9_сбыт (свод)'!E52</f>
        <v>0</v>
      </c>
      <c r="F52" s="250">
        <v>0</v>
      </c>
      <c r="G52" s="250">
        <v>0</v>
      </c>
      <c r="H52" s="250">
        <v>0</v>
      </c>
      <c r="I52" s="250"/>
      <c r="J52" s="250">
        <v>0</v>
      </c>
      <c r="K52" s="250">
        <v>0</v>
      </c>
      <c r="L52" s="250">
        <v>0</v>
      </c>
      <c r="M52" s="250">
        <v>20031</v>
      </c>
      <c r="N52" s="250">
        <v>0</v>
      </c>
      <c r="O52" s="250">
        <v>20031</v>
      </c>
      <c r="P52" s="250">
        <v>21215</v>
      </c>
      <c r="Q52" s="250">
        <v>0</v>
      </c>
      <c r="R52" s="250">
        <v>21215</v>
      </c>
    </row>
    <row r="53" spans="1:18" ht="75">
      <c r="A53" s="60" t="s">
        <v>1071</v>
      </c>
      <c r="B53" s="61" t="s">
        <v>1558</v>
      </c>
      <c r="C53" s="8" t="s">
        <v>892</v>
      </c>
      <c r="D53" s="250">
        <f>'4.9_транзит (свод)'!D53+'4.9_сбыт (свод)'!D53</f>
        <v>0</v>
      </c>
      <c r="E53" s="250">
        <f>'4.9_транзит (свод)'!E53+'4.9_сбыт (свод)'!E53</f>
        <v>9786</v>
      </c>
      <c r="F53" s="250">
        <v>0</v>
      </c>
      <c r="G53" s="250">
        <v>21169</v>
      </c>
      <c r="H53" s="250">
        <v>0</v>
      </c>
      <c r="I53" s="250"/>
      <c r="J53" s="250">
        <v>0</v>
      </c>
      <c r="K53" s="250">
        <v>0</v>
      </c>
      <c r="L53" s="250">
        <v>0</v>
      </c>
      <c r="M53" s="250">
        <v>0</v>
      </c>
      <c r="N53" s="250">
        <v>0</v>
      </c>
      <c r="O53" s="250">
        <v>0</v>
      </c>
      <c r="P53" s="250">
        <v>0</v>
      </c>
      <c r="Q53" s="250">
        <v>0</v>
      </c>
      <c r="R53" s="250">
        <v>0</v>
      </c>
    </row>
    <row r="54" spans="1:18" ht="30">
      <c r="A54" s="60"/>
      <c r="B54" s="61" t="s">
        <v>903</v>
      </c>
      <c r="C54" s="8" t="s">
        <v>892</v>
      </c>
      <c r="D54" s="250">
        <v>12</v>
      </c>
      <c r="E54" s="250">
        <v>12</v>
      </c>
      <c r="F54" s="250">
        <v>12</v>
      </c>
      <c r="G54" s="250">
        <v>12</v>
      </c>
      <c r="H54" s="250">
        <v>12</v>
      </c>
      <c r="I54" s="250"/>
      <c r="J54" s="250">
        <v>12</v>
      </c>
      <c r="K54" s="250">
        <v>12</v>
      </c>
      <c r="L54" s="250">
        <v>12</v>
      </c>
      <c r="M54" s="250">
        <v>12</v>
      </c>
      <c r="N54" s="250">
        <v>6</v>
      </c>
      <c r="O54" s="250">
        <v>6</v>
      </c>
      <c r="P54" s="250">
        <v>12</v>
      </c>
      <c r="Q54" s="250">
        <v>6</v>
      </c>
      <c r="R54" s="250">
        <v>6</v>
      </c>
    </row>
    <row r="55" spans="1:18" s="763" customFormat="1" ht="28.5">
      <c r="A55" s="1352" t="s">
        <v>904</v>
      </c>
      <c r="B55" s="1353" t="s">
        <v>905</v>
      </c>
      <c r="C55" s="1354" t="s">
        <v>892</v>
      </c>
      <c r="D55" s="1013">
        <f>'4.9_транзит (свод)'!D55+'4.9_сбыт (свод)'!D55-1</f>
        <v>579558.32325681741</v>
      </c>
      <c r="E55" s="1013">
        <f>'4.9_транзит (свод)'!E55+'4.9_сбыт (свод)'!E55+5</f>
        <v>598217.98501218669</v>
      </c>
      <c r="F55" s="1013">
        <v>603316</v>
      </c>
      <c r="G55" s="1013">
        <v>728732.83630707033</v>
      </c>
      <c r="H55" s="1013">
        <v>697851</v>
      </c>
      <c r="I55" s="1013"/>
      <c r="J55" s="1013">
        <v>794462.71989880002</v>
      </c>
      <c r="K55" s="1013">
        <v>820439</v>
      </c>
      <c r="L55" s="1013">
        <v>883011.03624000004</v>
      </c>
      <c r="M55" s="1013">
        <v>982629.07516743999</v>
      </c>
      <c r="N55" s="1013">
        <v>471775.84953727998</v>
      </c>
      <c r="O55" s="1013">
        <v>510853.22563016001</v>
      </c>
      <c r="P55" s="1013">
        <v>1040618.44504124</v>
      </c>
      <c r="Q55" s="1013">
        <v>503710.18236339994</v>
      </c>
      <c r="R55" s="1013">
        <v>536908.26267783996</v>
      </c>
    </row>
    <row r="56" spans="1:18" ht="30">
      <c r="A56" s="60" t="s">
        <v>906</v>
      </c>
      <c r="B56" s="61" t="s">
        <v>909</v>
      </c>
      <c r="C56" s="8" t="s">
        <v>892</v>
      </c>
      <c r="D56" s="250"/>
      <c r="E56" s="250"/>
      <c r="F56" s="250"/>
      <c r="G56" s="250"/>
      <c r="H56" s="250"/>
      <c r="I56" s="250"/>
      <c r="J56" s="250"/>
      <c r="K56" s="250"/>
      <c r="L56" s="250"/>
      <c r="M56" s="250"/>
      <c r="N56" s="250"/>
      <c r="O56" s="250"/>
      <c r="P56" s="250"/>
      <c r="Q56" s="250"/>
      <c r="R56" s="250"/>
    </row>
    <row r="57" spans="1:18">
      <c r="A57" s="60" t="s">
        <v>907</v>
      </c>
      <c r="B57" s="61" t="s">
        <v>1025</v>
      </c>
      <c r="C57" s="8" t="s">
        <v>892</v>
      </c>
      <c r="D57" s="250">
        <f>'4.9_транзит (свод)'!D57+'4.9_сбыт (свод)'!D57-1</f>
        <v>579558.32325681741</v>
      </c>
      <c r="E57" s="250">
        <f>'4.9_транзит (свод)'!E57+'4.9_сбыт (свод)'!E57+5</f>
        <v>598217.98501218669</v>
      </c>
      <c r="F57" s="250">
        <v>603316</v>
      </c>
      <c r="G57" s="250">
        <v>728732.83630707033</v>
      </c>
      <c r="H57" s="250">
        <v>697851</v>
      </c>
      <c r="I57" s="250"/>
      <c r="J57" s="250">
        <v>794462.71989880002</v>
      </c>
      <c r="K57" s="250">
        <v>820439</v>
      </c>
      <c r="L57" s="250">
        <v>883011.03624000004</v>
      </c>
      <c r="M57" s="250">
        <v>982629.07516743988</v>
      </c>
      <c r="N57" s="250">
        <v>471775.84953727998</v>
      </c>
      <c r="O57" s="250">
        <v>510853.22563016001</v>
      </c>
      <c r="P57" s="250">
        <v>1040618.44504124</v>
      </c>
      <c r="Q57" s="250">
        <v>503710.18236339994</v>
      </c>
      <c r="R57" s="250">
        <v>536908.26267783996</v>
      </c>
    </row>
    <row r="58" spans="1:18">
      <c r="A58" s="60" t="s">
        <v>908</v>
      </c>
      <c r="B58" s="61" t="s">
        <v>911</v>
      </c>
      <c r="C58" s="8" t="s">
        <v>892</v>
      </c>
      <c r="D58" s="609">
        <f>'4.9_транзит КТЭЦ '!D58+'4.9_транзит ККЭ'!D58</f>
        <v>0</v>
      </c>
      <c r="E58" s="609">
        <f>'4.9_транзит КТЭЦ '!E58+'4.9_транзит ККЭ'!E58</f>
        <v>0</v>
      </c>
      <c r="F58" s="609">
        <v>0</v>
      </c>
      <c r="G58" s="609">
        <v>0</v>
      </c>
      <c r="H58" s="609">
        <v>0</v>
      </c>
      <c r="I58" s="609"/>
      <c r="J58" s="609">
        <v>0</v>
      </c>
      <c r="K58" s="609">
        <v>0</v>
      </c>
      <c r="L58" s="609">
        <v>0</v>
      </c>
      <c r="M58" s="609">
        <v>0</v>
      </c>
      <c r="N58" s="609">
        <v>0</v>
      </c>
      <c r="O58" s="609">
        <v>0</v>
      </c>
      <c r="P58" s="609">
        <v>0</v>
      </c>
      <c r="Q58" s="609">
        <v>0</v>
      </c>
      <c r="R58" s="609">
        <v>0</v>
      </c>
    </row>
    <row r="59" spans="1:18">
      <c r="A59" s="60" t="s">
        <v>912</v>
      </c>
      <c r="B59" s="61" t="s">
        <v>913</v>
      </c>
      <c r="C59" s="8" t="s">
        <v>892</v>
      </c>
      <c r="D59" s="609">
        <f>'4.9_транзит КТЭЦ '!D59+'4.9_транзит ККЭ'!D59</f>
        <v>0</v>
      </c>
      <c r="E59" s="609">
        <f>'4.9_транзит КТЭЦ '!E59+'4.9_транзит ККЭ'!E59</f>
        <v>0</v>
      </c>
      <c r="F59" s="609">
        <v>0</v>
      </c>
      <c r="G59" s="609">
        <v>0</v>
      </c>
      <c r="H59" s="609">
        <v>0</v>
      </c>
      <c r="I59" s="609"/>
      <c r="J59" s="609">
        <v>0</v>
      </c>
      <c r="K59" s="609">
        <v>0</v>
      </c>
      <c r="L59" s="609">
        <v>0</v>
      </c>
      <c r="M59" s="609">
        <v>0</v>
      </c>
      <c r="N59" s="609">
        <v>0</v>
      </c>
      <c r="O59" s="609">
        <v>0</v>
      </c>
      <c r="P59" s="609">
        <v>0</v>
      </c>
      <c r="Q59" s="609">
        <v>0</v>
      </c>
      <c r="R59" s="609">
        <v>0</v>
      </c>
    </row>
    <row r="60" spans="1:18" ht="30">
      <c r="A60" s="60" t="s">
        <v>97</v>
      </c>
      <c r="B60" s="61" t="s">
        <v>914</v>
      </c>
      <c r="C60" s="8" t="s">
        <v>846</v>
      </c>
      <c r="D60" s="250"/>
      <c r="E60" s="250"/>
      <c r="F60" s="250"/>
      <c r="G60" s="250"/>
      <c r="H60" s="250"/>
      <c r="I60" s="250"/>
      <c r="J60" s="250"/>
      <c r="K60" s="250"/>
      <c r="L60" s="250"/>
      <c r="M60" s="250"/>
      <c r="N60" s="250"/>
      <c r="O60" s="250"/>
      <c r="P60" s="250"/>
      <c r="Q60" s="250"/>
      <c r="R60" s="250"/>
    </row>
    <row r="61" spans="1:18">
      <c r="A61" s="60" t="s">
        <v>915</v>
      </c>
      <c r="B61" s="61" t="s">
        <v>458</v>
      </c>
      <c r="C61" s="8" t="s">
        <v>453</v>
      </c>
      <c r="D61" s="250"/>
      <c r="E61" s="250"/>
      <c r="F61" s="250"/>
      <c r="G61" s="250"/>
      <c r="H61" s="250"/>
      <c r="I61" s="250"/>
      <c r="J61" s="250"/>
      <c r="K61" s="250"/>
      <c r="L61" s="250"/>
      <c r="M61" s="250"/>
      <c r="N61" s="250"/>
      <c r="O61" s="250"/>
      <c r="P61" s="250"/>
      <c r="Q61" s="250"/>
      <c r="R61" s="250"/>
    </row>
    <row r="62" spans="1:18">
      <c r="A62" s="60" t="s">
        <v>916</v>
      </c>
      <c r="B62" s="253" t="s">
        <v>923</v>
      </c>
      <c r="C62" s="8" t="s">
        <v>453</v>
      </c>
      <c r="D62" s="250"/>
      <c r="E62" s="250"/>
      <c r="F62" s="250"/>
      <c r="G62" s="250"/>
      <c r="H62" s="250"/>
      <c r="I62" s="250"/>
      <c r="J62" s="250"/>
      <c r="K62" s="250"/>
      <c r="L62" s="250"/>
      <c r="M62" s="250"/>
      <c r="N62" s="250"/>
      <c r="O62" s="250"/>
      <c r="P62" s="250"/>
      <c r="Q62" s="250"/>
      <c r="R62" s="250"/>
    </row>
    <row r="63" spans="1:18">
      <c r="A63" s="60" t="s">
        <v>917</v>
      </c>
      <c r="B63" s="253" t="s">
        <v>924</v>
      </c>
      <c r="C63" s="8" t="s">
        <v>465</v>
      </c>
      <c r="D63" s="250"/>
      <c r="E63" s="250"/>
      <c r="F63" s="250"/>
      <c r="G63" s="250"/>
      <c r="H63" s="250"/>
      <c r="I63" s="250"/>
      <c r="J63" s="250"/>
      <c r="K63" s="250"/>
      <c r="L63" s="250"/>
      <c r="M63" s="250"/>
      <c r="N63" s="250"/>
      <c r="O63" s="250"/>
      <c r="P63" s="250"/>
      <c r="Q63" s="250"/>
      <c r="R63" s="250"/>
    </row>
    <row r="64" spans="1:18">
      <c r="A64" s="60" t="s">
        <v>918</v>
      </c>
      <c r="B64" s="61" t="s">
        <v>899</v>
      </c>
      <c r="C64" s="8" t="s">
        <v>892</v>
      </c>
      <c r="D64" s="250"/>
      <c r="E64" s="250"/>
      <c r="F64" s="250"/>
      <c r="G64" s="250"/>
      <c r="H64" s="250"/>
      <c r="I64" s="250"/>
      <c r="J64" s="250"/>
      <c r="K64" s="250"/>
      <c r="L64" s="250"/>
      <c r="M64" s="250"/>
      <c r="N64" s="250"/>
      <c r="O64" s="250"/>
      <c r="P64" s="250"/>
      <c r="Q64" s="250"/>
      <c r="R64" s="250"/>
    </row>
    <row r="65" spans="1:18" ht="18" customHeight="1">
      <c r="A65" s="60" t="s">
        <v>919</v>
      </c>
      <c r="B65" s="61" t="s">
        <v>922</v>
      </c>
      <c r="C65" s="8" t="s">
        <v>892</v>
      </c>
      <c r="D65" s="250"/>
      <c r="E65" s="250"/>
      <c r="F65" s="250"/>
      <c r="G65" s="250"/>
      <c r="H65" s="250"/>
      <c r="I65" s="250"/>
      <c r="J65" s="250"/>
      <c r="K65" s="250"/>
      <c r="L65" s="250"/>
      <c r="M65" s="250"/>
      <c r="N65" s="250"/>
      <c r="O65" s="250"/>
      <c r="P65" s="250"/>
      <c r="Q65" s="250"/>
      <c r="R65" s="250"/>
    </row>
    <row r="66" spans="1:18">
      <c r="A66" s="60" t="s">
        <v>920</v>
      </c>
      <c r="B66" s="61" t="s">
        <v>925</v>
      </c>
      <c r="C66" s="8" t="s">
        <v>892</v>
      </c>
      <c r="D66" s="250"/>
      <c r="E66" s="250"/>
      <c r="F66" s="250"/>
      <c r="G66" s="250"/>
      <c r="H66" s="250"/>
      <c r="I66" s="250"/>
      <c r="J66" s="250"/>
      <c r="K66" s="250"/>
      <c r="L66" s="250"/>
      <c r="M66" s="250"/>
      <c r="N66" s="250"/>
      <c r="O66" s="250"/>
      <c r="P66" s="250"/>
      <c r="Q66" s="250"/>
      <c r="R66" s="250"/>
    </row>
    <row r="67" spans="1:18" ht="30">
      <c r="A67" s="60" t="s">
        <v>921</v>
      </c>
      <c r="B67" s="61" t="s">
        <v>909</v>
      </c>
      <c r="C67" s="8" t="s">
        <v>892</v>
      </c>
      <c r="D67" s="250"/>
      <c r="E67" s="250"/>
      <c r="F67" s="250"/>
      <c r="G67" s="250"/>
      <c r="H67" s="250"/>
      <c r="I67" s="250"/>
      <c r="J67" s="250"/>
      <c r="K67" s="250"/>
      <c r="L67" s="250"/>
      <c r="M67" s="250"/>
      <c r="N67" s="250"/>
      <c r="O67" s="250"/>
      <c r="P67" s="250"/>
      <c r="Q67" s="250"/>
      <c r="R67" s="250"/>
    </row>
    <row r="68" spans="1:18" ht="30">
      <c r="A68" s="60" t="s">
        <v>926</v>
      </c>
      <c r="B68" s="61" t="s">
        <v>909</v>
      </c>
      <c r="C68" s="8" t="s">
        <v>892</v>
      </c>
      <c r="D68" s="250"/>
      <c r="E68" s="250"/>
      <c r="F68" s="250"/>
      <c r="G68" s="250"/>
      <c r="H68" s="250"/>
      <c r="I68" s="250"/>
      <c r="J68" s="250"/>
      <c r="K68" s="250"/>
      <c r="L68" s="250"/>
      <c r="M68" s="250"/>
      <c r="N68" s="250"/>
      <c r="O68" s="250"/>
      <c r="P68" s="250"/>
      <c r="Q68" s="250"/>
      <c r="R68" s="250"/>
    </row>
    <row r="69" spans="1:18">
      <c r="A69" s="60" t="s">
        <v>927</v>
      </c>
      <c r="B69" s="61" t="s">
        <v>910</v>
      </c>
      <c r="C69" s="8" t="s">
        <v>892</v>
      </c>
      <c r="D69" s="250"/>
      <c r="E69" s="250"/>
      <c r="F69" s="250"/>
      <c r="G69" s="250"/>
      <c r="H69" s="250"/>
      <c r="I69" s="250"/>
      <c r="J69" s="250"/>
      <c r="K69" s="250"/>
      <c r="L69" s="250"/>
      <c r="M69" s="250"/>
      <c r="N69" s="250"/>
      <c r="O69" s="250"/>
      <c r="P69" s="250"/>
      <c r="Q69" s="250"/>
      <c r="R69" s="250"/>
    </row>
    <row r="70" spans="1:18">
      <c r="A70" s="60" t="s">
        <v>928</v>
      </c>
      <c r="B70" s="61" t="s">
        <v>911</v>
      </c>
      <c r="C70" s="8" t="s">
        <v>892</v>
      </c>
      <c r="D70" s="250"/>
      <c r="E70" s="250"/>
      <c r="F70" s="250"/>
      <c r="G70" s="250"/>
      <c r="H70" s="250"/>
      <c r="I70" s="250"/>
      <c r="J70" s="250"/>
      <c r="K70" s="250"/>
      <c r="L70" s="250"/>
      <c r="M70" s="250"/>
      <c r="N70" s="250"/>
      <c r="O70" s="250"/>
      <c r="P70" s="250"/>
      <c r="Q70" s="250"/>
      <c r="R70" s="250"/>
    </row>
    <row r="71" spans="1:18">
      <c r="A71" s="60" t="s">
        <v>921</v>
      </c>
      <c r="B71" s="61" t="s">
        <v>913</v>
      </c>
      <c r="C71" s="8" t="s">
        <v>892</v>
      </c>
      <c r="D71" s="250"/>
      <c r="E71" s="250"/>
      <c r="F71" s="250"/>
      <c r="G71" s="250"/>
      <c r="H71" s="250"/>
      <c r="I71" s="250"/>
      <c r="J71" s="250"/>
      <c r="K71" s="250"/>
      <c r="L71" s="250"/>
      <c r="M71" s="250"/>
      <c r="N71" s="250"/>
      <c r="O71" s="250"/>
      <c r="P71" s="250"/>
      <c r="Q71" s="250"/>
      <c r="R71" s="250"/>
    </row>
    <row r="72" spans="1:18" ht="30">
      <c r="A72" s="60" t="s">
        <v>929</v>
      </c>
      <c r="B72" s="61" t="s">
        <v>930</v>
      </c>
      <c r="C72" s="8" t="s">
        <v>138</v>
      </c>
      <c r="D72" s="250"/>
      <c r="E72" s="250"/>
      <c r="F72" s="250"/>
      <c r="G72" s="250"/>
      <c r="H72" s="250"/>
      <c r="I72" s="250"/>
      <c r="J72" s="250"/>
      <c r="K72" s="250"/>
      <c r="L72" s="250"/>
      <c r="M72" s="250"/>
      <c r="N72" s="250"/>
      <c r="O72" s="250"/>
      <c r="P72" s="250"/>
      <c r="Q72" s="250"/>
      <c r="R72" s="250"/>
    </row>
    <row r="74" spans="1:18" ht="64.5" customHeight="1">
      <c r="A74" s="1963" t="s">
        <v>931</v>
      </c>
      <c r="B74" s="1963"/>
      <c r="C74" s="1963"/>
      <c r="D74" s="1963"/>
      <c r="E74" s="1963"/>
      <c r="F74" s="1963"/>
      <c r="G74" s="1963"/>
      <c r="H74" s="1963"/>
      <c r="I74" s="1963"/>
      <c r="J74" s="1963"/>
      <c r="K74" s="1963"/>
      <c r="L74" s="1963"/>
      <c r="M74" s="1963"/>
      <c r="N74" s="1963"/>
      <c r="O74" s="1963"/>
    </row>
    <row r="76" spans="1:18">
      <c r="A76" s="1" t="s">
        <v>88</v>
      </c>
    </row>
    <row r="77" spans="1:18" ht="51.75" customHeight="1">
      <c r="A77" s="1963" t="s">
        <v>932</v>
      </c>
      <c r="B77" s="1963"/>
      <c r="C77" s="1963"/>
      <c r="D77" s="1963"/>
      <c r="E77" s="1963"/>
      <c r="F77" s="1963"/>
      <c r="G77" s="1963"/>
      <c r="H77" s="1963"/>
      <c r="I77" s="1963"/>
      <c r="J77" s="1963"/>
      <c r="K77" s="1963"/>
      <c r="L77" s="1963"/>
      <c r="M77" s="1963"/>
      <c r="N77" s="1963"/>
      <c r="O77" s="1963"/>
    </row>
    <row r="78" spans="1:18" ht="69" customHeight="1">
      <c r="A78" s="1963" t="s">
        <v>933</v>
      </c>
      <c r="B78" s="1963"/>
      <c r="C78" s="1963"/>
      <c r="D78" s="1963"/>
      <c r="E78" s="1963"/>
      <c r="F78" s="1963"/>
      <c r="G78" s="1963"/>
      <c r="H78" s="1963"/>
      <c r="I78" s="1963"/>
      <c r="J78" s="1963"/>
      <c r="K78" s="1963"/>
      <c r="L78" s="1963"/>
      <c r="M78" s="1963"/>
      <c r="N78" s="1963"/>
      <c r="O78" s="1963"/>
    </row>
  </sheetData>
  <mergeCells count="4">
    <mergeCell ref="A3:O3"/>
    <mergeCell ref="A74:O74"/>
    <mergeCell ref="A77:O77"/>
    <mergeCell ref="A78:O78"/>
  </mergeCells>
  <pageMargins left="0.82677165354330717" right="0.31496062992125984" top="0.43307086614173229" bottom="0.23622047244094491" header="0.43307086614173229" footer="0.19685039370078741"/>
  <pageSetup paperSize="9" scale="50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R78"/>
  <sheetViews>
    <sheetView view="pageBreakPreview" zoomScaleNormal="100" zoomScaleSheetLayoutView="100" workbookViewId="0">
      <pane xSplit="2" ySplit="5" topLeftCell="C6" activePane="bottomRight" state="frozen"/>
      <selection activeCell="F4" sqref="F4"/>
      <selection pane="topRight" activeCell="F4" sqref="F4"/>
      <selection pane="bottomLeft" activeCell="F4" sqref="F4"/>
      <selection pane="bottomRight" activeCell="F4" sqref="F4"/>
    </sheetView>
  </sheetViews>
  <sheetFormatPr defaultColWidth="2.85546875" defaultRowHeight="15"/>
  <cols>
    <col min="1" max="1" width="6.42578125" style="1" customWidth="1"/>
    <col min="2" max="2" width="36.42578125" style="1" customWidth="1"/>
    <col min="3" max="3" width="11.140625" style="21" customWidth="1"/>
    <col min="4" max="4" width="13.140625" style="1" hidden="1" customWidth="1"/>
    <col min="5" max="5" width="13" style="1" hidden="1" customWidth="1"/>
    <col min="6" max="6" width="13.140625" style="1" customWidth="1"/>
    <col min="7" max="8" width="13" style="1" customWidth="1"/>
    <col min="9" max="9" width="13" style="1" hidden="1" customWidth="1"/>
    <col min="10" max="11" width="13" style="1" customWidth="1"/>
    <col min="12" max="12" width="16" style="1" customWidth="1"/>
    <col min="13" max="13" width="12.5703125" style="1" customWidth="1"/>
    <col min="14" max="14" width="12.7109375" style="1" customWidth="1"/>
    <col min="15" max="15" width="12.85546875" style="1" customWidth="1"/>
    <col min="16" max="16" width="12.28515625" style="1" customWidth="1"/>
    <col min="17" max="93" width="11.140625" style="1" customWidth="1"/>
    <col min="94" max="16384" width="2.85546875" style="1"/>
  </cols>
  <sheetData>
    <row r="1" spans="1:18" s="5" customFormat="1" ht="18" customHeight="1">
      <c r="A1" s="74" t="s">
        <v>1860</v>
      </c>
      <c r="C1" s="20"/>
      <c r="M1" s="6"/>
      <c r="N1" s="6"/>
      <c r="O1" s="6" t="s">
        <v>1060</v>
      </c>
      <c r="R1" s="6" t="s">
        <v>1060</v>
      </c>
    </row>
    <row r="2" spans="1:18" s="5" customFormat="1" ht="12.75" customHeight="1">
      <c r="A2" s="105" t="str">
        <f>'4.9_свод '!A2</f>
        <v>КТЭЦ + котельные СВОД</v>
      </c>
      <c r="C2" s="20"/>
    </row>
    <row r="3" spans="1:18" ht="18.75">
      <c r="A3" s="1877" t="s">
        <v>1164</v>
      </c>
      <c r="B3" s="1877"/>
      <c r="C3" s="1877"/>
      <c r="D3" s="1877"/>
      <c r="E3" s="1877"/>
      <c r="F3" s="1877"/>
      <c r="G3" s="1877"/>
      <c r="H3" s="1877"/>
      <c r="I3" s="1877"/>
      <c r="J3" s="1877"/>
      <c r="K3" s="1877"/>
      <c r="L3" s="1877"/>
      <c r="M3" s="1877"/>
      <c r="N3" s="1877"/>
      <c r="O3" s="1877"/>
    </row>
    <row r="4" spans="1:18" ht="12.75" customHeight="1"/>
    <row r="5" spans="1:18" s="3" customFormat="1" ht="66.75" customHeight="1">
      <c r="A5" s="542" t="s">
        <v>451</v>
      </c>
      <c r="B5" s="542" t="s">
        <v>1</v>
      </c>
      <c r="C5" s="542" t="s">
        <v>2</v>
      </c>
      <c r="D5" s="540" t="s">
        <v>1129</v>
      </c>
      <c r="E5" s="540" t="s">
        <v>1130</v>
      </c>
      <c r="F5" s="913" t="s">
        <v>1520</v>
      </c>
      <c r="G5" s="1284" t="s">
        <v>1695</v>
      </c>
      <c r="H5" s="1310" t="s">
        <v>1702</v>
      </c>
      <c r="I5" s="1661" t="s">
        <v>1882</v>
      </c>
      <c r="J5" s="1576" t="s">
        <v>1828</v>
      </c>
      <c r="K5" s="1661" t="s">
        <v>1842</v>
      </c>
      <c r="L5" s="1631" t="s">
        <v>1861</v>
      </c>
      <c r="M5" s="1631" t="s">
        <v>1862</v>
      </c>
      <c r="N5" s="1631" t="s">
        <v>763</v>
      </c>
      <c r="O5" s="1631" t="s">
        <v>764</v>
      </c>
      <c r="P5" s="1631" t="s">
        <v>1863</v>
      </c>
      <c r="Q5" s="1631" t="s">
        <v>763</v>
      </c>
      <c r="R5" s="1631" t="s">
        <v>764</v>
      </c>
    </row>
    <row r="6" spans="1:18" s="2" customFormat="1">
      <c r="A6" s="13">
        <v>1</v>
      </c>
      <c r="B6" s="13">
        <v>2</v>
      </c>
      <c r="C6" s="13">
        <v>3</v>
      </c>
      <c r="D6" s="13">
        <v>4</v>
      </c>
      <c r="E6" s="13">
        <v>5</v>
      </c>
      <c r="F6" s="13">
        <v>4</v>
      </c>
      <c r="G6" s="13">
        <v>5</v>
      </c>
      <c r="H6" s="13">
        <v>6</v>
      </c>
      <c r="I6" s="13"/>
      <c r="J6" s="13">
        <v>7</v>
      </c>
      <c r="K6" s="13">
        <v>8</v>
      </c>
      <c r="L6" s="13">
        <v>9</v>
      </c>
      <c r="M6" s="13">
        <v>10</v>
      </c>
      <c r="N6" s="13">
        <v>11</v>
      </c>
      <c r="O6" s="13">
        <v>12</v>
      </c>
      <c r="P6" s="13">
        <v>13</v>
      </c>
      <c r="Q6" s="13">
        <v>14</v>
      </c>
      <c r="R6" s="13">
        <v>15</v>
      </c>
    </row>
    <row r="7" spans="1:18" s="36" customFormat="1" ht="15" customHeight="1">
      <c r="A7" s="60" t="s">
        <v>4</v>
      </c>
      <c r="B7" s="61" t="s">
        <v>452</v>
      </c>
      <c r="C7" s="8" t="s">
        <v>453</v>
      </c>
      <c r="D7" s="391"/>
      <c r="E7" s="391"/>
      <c r="F7" s="391"/>
      <c r="G7" s="391"/>
      <c r="H7" s="391"/>
      <c r="I7" s="391"/>
      <c r="J7" s="391"/>
      <c r="K7" s="391"/>
      <c r="L7" s="391"/>
      <c r="M7" s="388"/>
      <c r="N7" s="388"/>
      <c r="O7" s="388"/>
      <c r="P7" s="388"/>
      <c r="Q7" s="388"/>
      <c r="R7" s="388"/>
    </row>
    <row r="8" spans="1:18" s="36" customFormat="1" ht="15" customHeight="1">
      <c r="A8" s="60" t="s">
        <v>5</v>
      </c>
      <c r="B8" s="61" t="s">
        <v>454</v>
      </c>
      <c r="C8" s="8" t="s">
        <v>453</v>
      </c>
      <c r="D8" s="391">
        <f>'4.9_транзит КТЭЦ '!D8+'4.9_транзит ККЭ'!D8</f>
        <v>0</v>
      </c>
      <c r="E8" s="391">
        <f>'4.9_транзит КТЭЦ '!E8+'4.9_транзит ККЭ'!E8</f>
        <v>946.5</v>
      </c>
      <c r="F8" s="391">
        <v>0</v>
      </c>
      <c r="G8" s="391">
        <v>946.5</v>
      </c>
      <c r="H8" s="391">
        <v>0</v>
      </c>
      <c r="I8" s="391"/>
      <c r="J8" s="391">
        <v>946.5</v>
      </c>
      <c r="K8" s="391">
        <v>0</v>
      </c>
      <c r="L8" s="391">
        <v>1003.5</v>
      </c>
      <c r="M8" s="391">
        <v>1003.5</v>
      </c>
      <c r="N8" s="391">
        <v>1003.5</v>
      </c>
      <c r="O8" s="391">
        <v>1003.5</v>
      </c>
      <c r="P8" s="391">
        <v>1060.5</v>
      </c>
      <c r="Q8" s="391">
        <v>1060.5</v>
      </c>
      <c r="R8" s="391">
        <v>1060.5</v>
      </c>
    </row>
    <row r="9" spans="1:18" s="36" customFormat="1" ht="15" customHeight="1">
      <c r="A9" s="60"/>
      <c r="B9" s="61" t="s">
        <v>455</v>
      </c>
      <c r="C9" s="8" t="s">
        <v>453</v>
      </c>
      <c r="D9" s="391"/>
      <c r="E9" s="391"/>
      <c r="F9" s="391"/>
      <c r="G9" s="391"/>
      <c r="H9" s="391"/>
      <c r="I9" s="391"/>
      <c r="J9" s="391"/>
      <c r="K9" s="391"/>
      <c r="L9" s="391"/>
      <c r="M9" s="391"/>
      <c r="N9" s="391"/>
      <c r="O9" s="391"/>
      <c r="P9" s="391"/>
      <c r="Q9" s="391"/>
      <c r="R9" s="391"/>
    </row>
    <row r="10" spans="1:18" s="36" customFormat="1" ht="15" customHeight="1">
      <c r="A10" s="60" t="s">
        <v>11</v>
      </c>
      <c r="B10" s="61" t="s">
        <v>456</v>
      </c>
      <c r="C10" s="8" t="s">
        <v>453</v>
      </c>
      <c r="D10" s="391">
        <f>'4.9_транзит КТЭЦ '!D10+'4.9_транзит ККЭ'!D10</f>
        <v>0</v>
      </c>
      <c r="E10" s="391">
        <f>'4.9_транзит КТЭЦ '!E10+'4.9_транзит ККЭ'!E10</f>
        <v>893.4</v>
      </c>
      <c r="F10" s="391">
        <v>0</v>
      </c>
      <c r="G10" s="391">
        <v>893.4</v>
      </c>
      <c r="H10" s="391">
        <v>0</v>
      </c>
      <c r="I10" s="391"/>
      <c r="J10" s="391">
        <v>893.4</v>
      </c>
      <c r="K10" s="391">
        <v>0</v>
      </c>
      <c r="L10" s="391">
        <v>950.4</v>
      </c>
      <c r="M10" s="391">
        <v>950.4</v>
      </c>
      <c r="N10" s="391">
        <v>950.4</v>
      </c>
      <c r="O10" s="391">
        <v>950.4</v>
      </c>
      <c r="P10" s="391">
        <v>1007.4</v>
      </c>
      <c r="Q10" s="391">
        <v>1007.4</v>
      </c>
      <c r="R10" s="391">
        <v>1007.4</v>
      </c>
    </row>
    <row r="11" spans="1:18" s="36" customFormat="1" ht="15" customHeight="1">
      <c r="A11" s="60"/>
      <c r="B11" s="61" t="s">
        <v>457</v>
      </c>
      <c r="C11" s="8" t="s">
        <v>453</v>
      </c>
      <c r="D11" s="388"/>
      <c r="E11" s="388"/>
      <c r="F11" s="388"/>
      <c r="G11" s="388"/>
      <c r="H11" s="388"/>
      <c r="I11" s="388"/>
      <c r="J11" s="388"/>
      <c r="K11" s="388"/>
      <c r="L11" s="388"/>
      <c r="M11" s="388"/>
      <c r="N11" s="388"/>
      <c r="O11" s="388"/>
      <c r="P11" s="388"/>
      <c r="Q11" s="388"/>
      <c r="R11" s="388"/>
    </row>
    <row r="12" spans="1:18" s="36" customFormat="1" ht="15" customHeight="1">
      <c r="A12" s="60" t="s">
        <v>445</v>
      </c>
      <c r="B12" s="61" t="s">
        <v>458</v>
      </c>
      <c r="C12" s="8" t="s">
        <v>453</v>
      </c>
      <c r="D12" s="391">
        <f>'4.9_транзит КТЭЦ '!D12+'4.9_транзит ККЭ'!D12</f>
        <v>0</v>
      </c>
      <c r="E12" s="391">
        <f>'4.9_транзит КТЭЦ '!E12+'4.9_транзит ККЭ'!E12</f>
        <v>882.40000000000009</v>
      </c>
      <c r="F12" s="391">
        <v>0</v>
      </c>
      <c r="G12" s="391">
        <v>872.9</v>
      </c>
      <c r="H12" s="391">
        <v>0</v>
      </c>
      <c r="I12" s="391"/>
      <c r="J12" s="391">
        <v>872.9</v>
      </c>
      <c r="K12" s="391">
        <v>0</v>
      </c>
      <c r="L12" s="391">
        <v>0</v>
      </c>
      <c r="M12" s="391">
        <v>0</v>
      </c>
      <c r="N12" s="391">
        <v>0</v>
      </c>
      <c r="O12" s="391">
        <v>0</v>
      </c>
      <c r="P12" s="391">
        <v>0</v>
      </c>
      <c r="Q12" s="391">
        <v>0</v>
      </c>
      <c r="R12" s="391">
        <v>0</v>
      </c>
    </row>
    <row r="13" spans="1:18" s="36" customFormat="1" ht="15" customHeight="1">
      <c r="A13" s="60"/>
      <c r="B13" s="61" t="s">
        <v>459</v>
      </c>
      <c r="C13" s="8" t="s">
        <v>138</v>
      </c>
      <c r="D13" s="391" t="e">
        <f>D12/D8*100</f>
        <v>#DIV/0!</v>
      </c>
      <c r="E13" s="391">
        <f t="shared" ref="E13:O13" si="0">E12/E8*100</f>
        <v>93.227680929741169</v>
      </c>
      <c r="F13" s="391" t="e">
        <v>#DIV/0!</v>
      </c>
      <c r="G13" s="391">
        <v>92.223983095615424</v>
      </c>
      <c r="H13" s="391" t="e">
        <v>#DIV/0!</v>
      </c>
      <c r="I13" s="391"/>
      <c r="J13" s="391">
        <v>92.223983095615424</v>
      </c>
      <c r="K13" s="391" t="e">
        <v>#DIV/0!</v>
      </c>
      <c r="L13" s="391">
        <v>0</v>
      </c>
      <c r="M13" s="391">
        <v>0</v>
      </c>
      <c r="N13" s="391">
        <v>0</v>
      </c>
      <c r="O13" s="391">
        <v>0</v>
      </c>
      <c r="P13" s="391">
        <v>0</v>
      </c>
      <c r="Q13" s="391">
        <v>0</v>
      </c>
      <c r="R13" s="391">
        <v>0</v>
      </c>
    </row>
    <row r="14" spans="1:18" s="36" customFormat="1" ht="15" customHeight="1">
      <c r="A14" s="60" t="s">
        <v>446</v>
      </c>
      <c r="B14" s="61" t="s">
        <v>460</v>
      </c>
      <c r="C14" s="8" t="s">
        <v>453</v>
      </c>
      <c r="D14" s="388"/>
      <c r="E14" s="388"/>
      <c r="F14" s="388"/>
      <c r="G14" s="388"/>
      <c r="H14" s="388"/>
      <c r="I14" s="388"/>
      <c r="J14" s="388"/>
      <c r="K14" s="388"/>
      <c r="L14" s="388"/>
      <c r="M14" s="388"/>
      <c r="N14" s="388"/>
      <c r="O14" s="388"/>
      <c r="P14" s="388"/>
      <c r="Q14" s="388"/>
      <c r="R14" s="388"/>
    </row>
    <row r="15" spans="1:18" s="36" customFormat="1" ht="15" customHeight="1">
      <c r="A15" s="60" t="s">
        <v>461</v>
      </c>
      <c r="B15" s="61" t="s">
        <v>462</v>
      </c>
      <c r="C15" s="8" t="s">
        <v>453</v>
      </c>
      <c r="D15" s="609">
        <f>'4.9_транзит КТЭЦ '!D15+'4.9_транзит ККЭ'!D15</f>
        <v>905.66232752613234</v>
      </c>
      <c r="E15" s="391">
        <f>'4.9_транзит КТЭЦ '!E15+'4.9_транзит ККЭ'!E15</f>
        <v>882.40000000000009</v>
      </c>
      <c r="F15" s="391">
        <v>0</v>
      </c>
      <c r="G15" s="391">
        <v>886.5</v>
      </c>
      <c r="H15" s="391">
        <v>0</v>
      </c>
      <c r="I15" s="391"/>
      <c r="J15" s="391">
        <v>888.9</v>
      </c>
      <c r="K15" s="391">
        <v>0</v>
      </c>
      <c r="L15" s="391">
        <v>886</v>
      </c>
      <c r="M15" s="391">
        <v>886</v>
      </c>
      <c r="N15" s="391">
        <v>886</v>
      </c>
      <c r="O15" s="391">
        <v>886</v>
      </c>
      <c r="P15" s="391">
        <v>886</v>
      </c>
      <c r="Q15" s="391">
        <v>886</v>
      </c>
      <c r="R15" s="391">
        <v>886</v>
      </c>
    </row>
    <row r="16" spans="1:18" s="36" customFormat="1" ht="15" customHeight="1">
      <c r="A16" s="60" t="s">
        <v>23</v>
      </c>
      <c r="B16" s="61" t="s">
        <v>463</v>
      </c>
      <c r="C16" s="8"/>
      <c r="D16" s="388"/>
      <c r="E16" s="388"/>
      <c r="F16" s="388"/>
      <c r="G16" s="388"/>
      <c r="H16" s="388"/>
      <c r="I16" s="388"/>
      <c r="J16" s="388"/>
      <c r="K16" s="388"/>
      <c r="L16" s="388"/>
      <c r="M16" s="388"/>
      <c r="N16" s="388"/>
      <c r="O16" s="388"/>
      <c r="P16" s="388"/>
      <c r="Q16" s="388"/>
      <c r="R16" s="388"/>
    </row>
    <row r="17" spans="1:18" s="36" customFormat="1" ht="15" customHeight="1">
      <c r="A17" s="60" t="s">
        <v>24</v>
      </c>
      <c r="B17" s="61" t="s">
        <v>464</v>
      </c>
      <c r="C17" s="8" t="s">
        <v>465</v>
      </c>
      <c r="D17" s="337">
        <f>'4.9_пр-во ККЭ'!D17</f>
        <v>4535.55</v>
      </c>
      <c r="E17" s="337">
        <f>'4.9_пр-во ККЭ'!E17</f>
        <v>4896</v>
      </c>
      <c r="F17" s="337">
        <v>0</v>
      </c>
      <c r="G17" s="337">
        <v>5628</v>
      </c>
      <c r="H17" s="337">
        <v>0</v>
      </c>
      <c r="I17" s="337"/>
      <c r="J17" s="337">
        <v>5778</v>
      </c>
      <c r="K17" s="337">
        <v>0</v>
      </c>
      <c r="L17" s="337">
        <v>6671</v>
      </c>
      <c r="M17" s="337">
        <v>7248</v>
      </c>
      <c r="N17" s="337">
        <v>7398</v>
      </c>
      <c r="O17" s="337">
        <v>7592</v>
      </c>
      <c r="P17" s="337">
        <v>7745</v>
      </c>
      <c r="Q17" s="337">
        <v>7899</v>
      </c>
      <c r="R17" s="337">
        <v>8105</v>
      </c>
    </row>
    <row r="18" spans="1:18" s="36" customFormat="1" ht="15" customHeight="1">
      <c r="A18" s="60" t="s">
        <v>24</v>
      </c>
      <c r="B18" s="61" t="s">
        <v>466</v>
      </c>
      <c r="C18" s="8"/>
      <c r="D18" s="389">
        <f>D19/D17</f>
        <v>1.071</v>
      </c>
      <c r="E18" s="389">
        <f t="shared" ref="E18:O18" si="1">E19/E17</f>
        <v>1.0347222222222223</v>
      </c>
      <c r="F18" s="389" t="e">
        <v>#DIV/0!</v>
      </c>
      <c r="G18" s="389">
        <v>1.0266524520255864</v>
      </c>
      <c r="H18" s="389" t="e">
        <v>#DIV/0!</v>
      </c>
      <c r="I18" s="389"/>
      <c r="J18" s="389">
        <v>1.1545517480096918</v>
      </c>
      <c r="K18" s="389" t="e">
        <v>#DIV/0!</v>
      </c>
      <c r="L18" s="389">
        <v>1.0864937790436215</v>
      </c>
      <c r="M18" s="389">
        <v>1.0685706401766004</v>
      </c>
      <c r="N18" s="389">
        <v>1.0262233035955663</v>
      </c>
      <c r="O18" s="389">
        <v>1.0404373024236038</v>
      </c>
      <c r="P18" s="389">
        <v>1.0589412524209167</v>
      </c>
      <c r="Q18" s="389">
        <v>1.0260792505380427</v>
      </c>
      <c r="R18" s="389">
        <v>1.0238124614435533</v>
      </c>
    </row>
    <row r="19" spans="1:18" s="36" customFormat="1" ht="30" customHeight="1">
      <c r="A19" s="60" t="s">
        <v>139</v>
      </c>
      <c r="B19" s="61" t="s">
        <v>467</v>
      </c>
      <c r="C19" s="8" t="s">
        <v>465</v>
      </c>
      <c r="D19" s="337">
        <f>'4.9_пр-во ККЭ'!D19</f>
        <v>4857.5740500000002</v>
      </c>
      <c r="E19" s="337">
        <f>'4.9_пр-во ККЭ'!E19</f>
        <v>5066</v>
      </c>
      <c r="F19" s="337">
        <v>5700</v>
      </c>
      <c r="G19" s="337">
        <v>5778</v>
      </c>
      <c r="H19" s="337">
        <v>6328</v>
      </c>
      <c r="I19" s="337"/>
      <c r="J19" s="337">
        <v>6671</v>
      </c>
      <c r="K19" s="337">
        <v>0</v>
      </c>
      <c r="L19" s="337">
        <v>7248</v>
      </c>
      <c r="M19" s="337">
        <v>7745</v>
      </c>
      <c r="N19" s="337">
        <v>7592</v>
      </c>
      <c r="O19" s="337">
        <v>7899</v>
      </c>
      <c r="P19" s="337">
        <v>8201.5</v>
      </c>
      <c r="Q19" s="337">
        <v>8105</v>
      </c>
      <c r="R19" s="337">
        <v>8298</v>
      </c>
    </row>
    <row r="20" spans="1:18" s="36" customFormat="1" ht="15" customHeight="1">
      <c r="A20" s="60" t="s">
        <v>433</v>
      </c>
      <c r="B20" s="61" t="s">
        <v>468</v>
      </c>
      <c r="C20" s="8"/>
      <c r="D20" s="251">
        <f>('4.9_транзит КТЭЦ '!$D$15*'4.9_транзит КТЭЦ '!D20+'4.9_транзит ККЭ'!$D$15*'4.9_транзит ККЭ'!D20)/'4.9_транзит (свод)'!$D$15</f>
        <v>7.3790589690313642</v>
      </c>
      <c r="E20" s="251">
        <f>('4.9_транзит КТЭЦ '!$E$15*'4.9_транзит КТЭЦ '!E20+'4.9_транзит ККЭ'!$E$15*'4.9_транзит ККЭ'!E20)/'4.9_транзит (свод)'!$E$15</f>
        <v>6.9655475974614687</v>
      </c>
      <c r="F20" s="251" t="e">
        <v>#DIV/0!</v>
      </c>
      <c r="G20" s="251">
        <v>6.9540015792442196</v>
      </c>
      <c r="H20" s="251" t="e">
        <v>#DIV/0!</v>
      </c>
      <c r="I20" s="251"/>
      <c r="J20" s="251">
        <v>0</v>
      </c>
      <c r="K20" s="251" t="e">
        <v>#DIV/0!</v>
      </c>
      <c r="L20" s="251">
        <v>0</v>
      </c>
      <c r="M20" s="251">
        <v>0</v>
      </c>
      <c r="N20" s="251">
        <v>0</v>
      </c>
      <c r="O20" s="251">
        <v>0</v>
      </c>
      <c r="P20" s="251">
        <v>0</v>
      </c>
      <c r="Q20" s="251">
        <v>0</v>
      </c>
      <c r="R20" s="251">
        <v>0</v>
      </c>
    </row>
    <row r="21" spans="1:18" s="36" customFormat="1" ht="30" customHeight="1">
      <c r="A21" s="60" t="s">
        <v>433</v>
      </c>
      <c r="B21" s="61" t="s">
        <v>469</v>
      </c>
      <c r="C21" s="8"/>
      <c r="D21" s="251">
        <f>('4.9_транзит КТЭЦ '!$D$15*'4.9_транзит КТЭЦ '!D21+'4.9_транзит ККЭ'!$D$15*'4.9_транзит ККЭ'!D21)/'4.9_транзит (свод)'!$D$15</f>
        <v>2.0675906797269219</v>
      </c>
      <c r="E21" s="251">
        <f>('4.9_транзит КТЭЦ '!$E$15*'4.9_транзит КТЭЦ '!E21+'4.9_транзит ККЭ'!$E$15*'4.9_транзит ККЭ'!E21)/'4.9_транзит (свод)'!$E$15</f>
        <v>1.9726178603807794</v>
      </c>
      <c r="F21" s="251" t="e">
        <v>#DIV/0!</v>
      </c>
      <c r="G21" s="251">
        <v>1.9957807557811618</v>
      </c>
      <c r="H21" s="251" t="e">
        <v>#DIV/0!</v>
      </c>
      <c r="I21" s="251"/>
      <c r="J21" s="251">
        <v>2.0287518281021484</v>
      </c>
      <c r="K21" s="251" t="e">
        <v>#DIV/0!</v>
      </c>
      <c r="L21" s="251">
        <v>2.0569638826185099</v>
      </c>
      <c r="M21" s="251">
        <v>2.0603867268623022</v>
      </c>
      <c r="N21" s="251">
        <v>2.0603867268623022</v>
      </c>
      <c r="O21" s="251">
        <v>2.0603867268623022</v>
      </c>
      <c r="P21" s="251">
        <v>2.0606006546275397</v>
      </c>
      <c r="Q21" s="251">
        <v>2.0606006546275397</v>
      </c>
      <c r="R21" s="251">
        <v>2.0606006546275397</v>
      </c>
    </row>
    <row r="22" spans="1:18" s="36" customFormat="1" ht="15" customHeight="1">
      <c r="A22" s="60" t="s">
        <v>433</v>
      </c>
      <c r="B22" s="61" t="s">
        <v>470</v>
      </c>
      <c r="C22" s="8" t="s">
        <v>465</v>
      </c>
      <c r="D22" s="250">
        <f>('4.9_транзит КТЭЦ '!$D$15*'4.9_транзит КТЭЦ '!D22+'4.9_транзит ККЭ'!$D$15*'4.9_транзит ККЭ'!D22)/'4.9_транзит (свод)'!$D$15</f>
        <v>10043.474831863357</v>
      </c>
      <c r="E22" s="250">
        <f>('4.9_транзит КТЭЦ '!$E$15*'4.9_транзит КТЭЦ '!E22+'4.9_транзит ККЭ'!$E$15*'4.9_транзит ККЭ'!E22)/'4.9_транзит (свод)'!$E$15</f>
        <v>9993.1021169537617</v>
      </c>
      <c r="F22" s="250" t="e">
        <v>#DIV/0!</v>
      </c>
      <c r="G22" s="250">
        <v>11531.621206903556</v>
      </c>
      <c r="H22" s="250" t="e">
        <v>#DIV/0!</v>
      </c>
      <c r="I22" s="250"/>
      <c r="J22" s="250">
        <v>13533.803445269436</v>
      </c>
      <c r="K22" s="250" t="e">
        <v>#DIV/0!</v>
      </c>
      <c r="L22" s="250">
        <v>14908.874221218961</v>
      </c>
      <c r="M22" s="250">
        <v>15957.695199548529</v>
      </c>
      <c r="N22" s="250">
        <v>15642.456030338599</v>
      </c>
      <c r="O22" s="250">
        <v>16274.994755485328</v>
      </c>
      <c r="P22" s="250">
        <v>16900.016268927764</v>
      </c>
      <c r="Q22" s="250">
        <v>16701.168305756208</v>
      </c>
      <c r="R22" s="250">
        <v>17098.864232099324</v>
      </c>
    </row>
    <row r="23" spans="1:18" s="36" customFormat="1" ht="30" customHeight="1">
      <c r="A23" s="60" t="s">
        <v>471</v>
      </c>
      <c r="B23" s="61" t="s">
        <v>472</v>
      </c>
      <c r="C23" s="8"/>
      <c r="D23" s="388"/>
      <c r="E23" s="388"/>
      <c r="F23" s="388"/>
      <c r="G23" s="388"/>
      <c r="H23" s="388"/>
      <c r="I23" s="388"/>
      <c r="J23" s="388"/>
      <c r="K23" s="388"/>
      <c r="L23" s="388"/>
      <c r="M23" s="388"/>
      <c r="N23" s="388"/>
      <c r="O23" s="388"/>
      <c r="P23" s="388"/>
      <c r="Q23" s="388"/>
      <c r="R23" s="388"/>
    </row>
    <row r="24" spans="1:18" s="36" customFormat="1" ht="15" customHeight="1">
      <c r="A24" s="60"/>
      <c r="B24" s="70" t="s">
        <v>473</v>
      </c>
      <c r="C24" s="8" t="s">
        <v>138</v>
      </c>
      <c r="D24" s="251">
        <f>('4.9_транзит КТЭЦ '!$D$15*'4.9_транзит КТЭЦ '!D24+'4.9_транзит ККЭ'!$D$15*'4.9_транзит ККЭ'!D24)/'4.9_транзит (свод)'!$D$15</f>
        <v>19.059545364598794</v>
      </c>
      <c r="E24" s="251">
        <f>('4.9_транзит КТЭЦ '!$E$15*'4.9_транзит КТЭЦ '!E24+'4.9_транзит ККЭ'!$E$15*'4.9_транзит ККЭ'!E24)/'4.9_транзит (свод)'!$E$15</f>
        <v>18.24601087941976</v>
      </c>
      <c r="F24" s="251" t="e">
        <v>#DIV/0!</v>
      </c>
      <c r="G24" s="251">
        <v>20.133035081782289</v>
      </c>
      <c r="H24" s="251" t="e">
        <v>#DIV/0!</v>
      </c>
      <c r="I24" s="251"/>
      <c r="J24" s="251">
        <v>15.582071549105637</v>
      </c>
      <c r="K24" s="251" t="e">
        <v>#DIV/0!</v>
      </c>
      <c r="L24" s="251">
        <v>17.00472686230248</v>
      </c>
      <c r="M24" s="251">
        <v>17.00472686230248</v>
      </c>
      <c r="N24" s="251">
        <v>17.00472686230248</v>
      </c>
      <c r="O24" s="251">
        <v>17.00472686230248</v>
      </c>
      <c r="P24" s="251">
        <v>17.00472686230248</v>
      </c>
      <c r="Q24" s="251">
        <v>17.00472686230248</v>
      </c>
      <c r="R24" s="251">
        <v>17.00472686230248</v>
      </c>
    </row>
    <row r="25" spans="1:18" s="36" customFormat="1" ht="15" customHeight="1">
      <c r="A25" s="60"/>
      <c r="B25" s="70" t="s">
        <v>474</v>
      </c>
      <c r="C25" s="8" t="s">
        <v>465</v>
      </c>
      <c r="D25" s="250">
        <f>('4.9_транзит КТЭЦ '!$D$15*'4.9_транзит КТЭЦ '!D25+'4.9_транзит ККЭ'!$D$15*'4.9_транзит ККЭ'!D25)/'4.9_транзит (свод)'!$D$15</f>
        <v>1906.4722063005925</v>
      </c>
      <c r="E25" s="250">
        <f>('4.9_транзит КТЭЦ '!$E$15*'4.9_транзит КТЭЦ '!E25+'4.9_транзит ККЭ'!$E$15*'4.9_транзит ККЭ'!E25)/'4.9_транзит (свод)'!$E$15</f>
        <v>1821.018254854034</v>
      </c>
      <c r="F25" s="250" t="e">
        <v>#DIV/0!</v>
      </c>
      <c r="G25" s="250">
        <v>2318.7309732595008</v>
      </c>
      <c r="H25" s="250" t="e">
        <v>#DIV/0!</v>
      </c>
      <c r="I25" s="250"/>
      <c r="J25" s="250">
        <v>2090.700753740578</v>
      </c>
      <c r="K25" s="250" t="e">
        <v>#DIV/0!</v>
      </c>
      <c r="L25" s="250">
        <v>2505.1130925507896</v>
      </c>
      <c r="M25" s="250">
        <v>2680.394356659142</v>
      </c>
      <c r="N25" s="250">
        <v>2627.7787810383747</v>
      </c>
      <c r="O25" s="250">
        <v>2733.2968397291197</v>
      </c>
      <c r="P25" s="250">
        <v>2838.5279909706546</v>
      </c>
      <c r="Q25" s="250">
        <v>2805.6422121896162</v>
      </c>
      <c r="R25" s="250">
        <v>2872.126862302483</v>
      </c>
    </row>
    <row r="26" spans="1:18" s="36" customFormat="1" ht="15" customHeight="1">
      <c r="A26" s="60" t="s">
        <v>475</v>
      </c>
      <c r="B26" s="61" t="s">
        <v>476</v>
      </c>
      <c r="C26" s="8"/>
      <c r="D26" s="337"/>
      <c r="E26" s="337"/>
      <c r="F26" s="337"/>
      <c r="G26" s="337"/>
      <c r="H26" s="337"/>
      <c r="I26" s="337"/>
      <c r="J26" s="337"/>
      <c r="K26" s="337"/>
      <c r="L26" s="337"/>
      <c r="M26" s="337"/>
      <c r="N26" s="337"/>
      <c r="O26" s="337"/>
      <c r="P26" s="337"/>
      <c r="Q26" s="337"/>
      <c r="R26" s="337"/>
    </row>
    <row r="27" spans="1:18" s="36" customFormat="1" ht="15" customHeight="1">
      <c r="A27" s="60"/>
      <c r="B27" s="70" t="s">
        <v>473</v>
      </c>
      <c r="C27" s="8" t="s">
        <v>138</v>
      </c>
      <c r="D27" s="250">
        <f>('4.9_транзит КТЭЦ '!$D$15*'4.9_транзит КТЭЦ '!D27+'4.9_транзит ККЭ'!$D$15*'4.9_транзит ККЭ'!D27)/'4.9_транзит (свод)'!$D$15</f>
        <v>50</v>
      </c>
      <c r="E27" s="947">
        <f>('4.9_транзит КТЭЦ '!$E$15*'4.9_транзит КТЭЦ '!E27+'4.9_транзит ККЭ'!$E$15*'4.9_транзит ККЭ'!E27)/'4.9_транзит (свод)'!$E$15</f>
        <v>47.981663644605611</v>
      </c>
      <c r="F27" s="947" t="e">
        <v>#DIV/0!</v>
      </c>
      <c r="G27" s="947">
        <v>48.349235194585454</v>
      </c>
      <c r="H27" s="251" t="e">
        <v>#DIV/0!</v>
      </c>
      <c r="I27" s="251"/>
      <c r="J27" s="251">
        <v>47.941165485431434</v>
      </c>
      <c r="K27" s="251" t="e">
        <v>#DIV/0!</v>
      </c>
      <c r="L27" s="251">
        <v>47.334260722347629</v>
      </c>
      <c r="M27" s="947">
        <v>50</v>
      </c>
      <c r="N27" s="947">
        <v>50</v>
      </c>
      <c r="O27" s="947">
        <v>50</v>
      </c>
      <c r="P27" s="251">
        <v>50</v>
      </c>
      <c r="Q27" s="251">
        <v>50</v>
      </c>
      <c r="R27" s="251">
        <v>50</v>
      </c>
    </row>
    <row r="28" spans="1:18" s="36" customFormat="1" ht="15" customHeight="1">
      <c r="A28" s="60"/>
      <c r="B28" s="70" t="s">
        <v>474</v>
      </c>
      <c r="C28" s="8" t="s">
        <v>465</v>
      </c>
      <c r="D28" s="250">
        <f>('4.9_транзит КТЭЦ '!$D$15*'4.9_транзит КТЭЦ '!D28+'4.9_транзит ККЭ'!$D$15*'4.9_транзит ККЭ'!D28)/'4.9_транзит (свод)'!$D$15</f>
        <v>5974.9735190819747</v>
      </c>
      <c r="E28" s="250">
        <f>('4.9_транзит КТЭЦ '!$E$15*'4.9_транзит КТЭЦ '!E28+'4.9_транзит ККЭ'!$E$15*'4.9_транзит ККЭ'!E28)/'4.9_транзит (свод)'!$E$15</f>
        <v>5668.639589984371</v>
      </c>
      <c r="F28" s="250" t="e">
        <v>#DIV/0!</v>
      </c>
      <c r="G28" s="250">
        <v>6697.0593647215637</v>
      </c>
      <c r="H28" s="250" t="e">
        <v>#DIV/0!</v>
      </c>
      <c r="I28" s="250"/>
      <c r="J28" s="250">
        <v>7488.3499831252111</v>
      </c>
      <c r="K28" s="250" t="e">
        <v>#DIV/0!</v>
      </c>
      <c r="L28" s="250">
        <v>8245.0469525959361</v>
      </c>
      <c r="M28" s="250">
        <v>9318.6961625282165</v>
      </c>
      <c r="N28" s="250">
        <v>9134.9747178329562</v>
      </c>
      <c r="O28" s="250">
        <v>9503.9914221218951</v>
      </c>
      <c r="P28" s="250">
        <v>9869.1474040632056</v>
      </c>
      <c r="Q28" s="250">
        <v>9752.9997742663672</v>
      </c>
      <c r="R28" s="250">
        <v>9985.581941309254</v>
      </c>
    </row>
    <row r="29" spans="1:18" s="36" customFormat="1" ht="15" customHeight="1">
      <c r="A29" s="60" t="s">
        <v>477</v>
      </c>
      <c r="B29" s="61" t="s">
        <v>478</v>
      </c>
      <c r="C29" s="8"/>
      <c r="D29" s="337"/>
      <c r="E29" s="337"/>
      <c r="F29" s="337"/>
      <c r="G29" s="337"/>
      <c r="H29" s="337"/>
      <c r="I29" s="337"/>
      <c r="J29" s="337"/>
      <c r="K29" s="337"/>
      <c r="L29" s="337"/>
      <c r="M29" s="337"/>
      <c r="N29" s="337"/>
      <c r="O29" s="337"/>
      <c r="P29" s="337"/>
      <c r="Q29" s="337"/>
      <c r="R29" s="337"/>
    </row>
    <row r="30" spans="1:18" s="36" customFormat="1" ht="15" customHeight="1">
      <c r="A30" s="60"/>
      <c r="B30" s="70" t="s">
        <v>473</v>
      </c>
      <c r="C30" s="8" t="s">
        <v>138</v>
      </c>
      <c r="D30" s="251">
        <f>('4.9_транзит КТЭЦ '!$D$15*'4.9_транзит КТЭЦ '!D30+'4.9_транзит ККЭ'!$D$15*'4.9_транзит ККЭ'!D30)/'4.9_транзит (свод)'!$D$15</f>
        <v>9.5729890175126151</v>
      </c>
      <c r="E30" s="251">
        <f>('4.9_транзит КТЭЦ '!$E$15*'4.9_транзит КТЭЦ '!E30+'4.9_транзит ККЭ'!$E$15*'4.9_транзит ККЭ'!E30)/'4.9_транзит (свод)'!$E$15</f>
        <v>10.051577515865819</v>
      </c>
      <c r="F30" s="251" t="e">
        <v>#DIV/0!</v>
      </c>
      <c r="G30" s="251">
        <v>10.097983305132542</v>
      </c>
      <c r="H30" s="251" t="e">
        <v>#DIV/0!</v>
      </c>
      <c r="I30" s="251"/>
      <c r="J30" s="251">
        <v>10.322999550005624</v>
      </c>
      <c r="K30" s="251" t="e">
        <v>#DIV/0!</v>
      </c>
      <c r="L30" s="251">
        <v>10.358441309255079</v>
      </c>
      <c r="M30" s="251">
        <v>10.469221218961625</v>
      </c>
      <c r="N30" s="251">
        <v>10.469221218961625</v>
      </c>
      <c r="O30" s="251">
        <v>10.469221218961625</v>
      </c>
      <c r="P30" s="251">
        <v>10.469221218961625</v>
      </c>
      <c r="Q30" s="251">
        <v>10.469221218961625</v>
      </c>
      <c r="R30" s="251">
        <v>10.469221218961625</v>
      </c>
    </row>
    <row r="31" spans="1:18" s="36" customFormat="1" ht="15" customHeight="1">
      <c r="A31" s="60"/>
      <c r="B31" s="70" t="s">
        <v>474</v>
      </c>
      <c r="C31" s="8" t="s">
        <v>465</v>
      </c>
      <c r="D31" s="250">
        <f>('4.9_транзит КТЭЦ '!$D$15*'4.9_транзит КТЭЦ '!D31+'4.9_транзит ККЭ'!$D$15*'4.9_транзит ККЭ'!D31)/'4.9_транзит (свод)'!$D$15</f>
        <v>1155.9550089302058</v>
      </c>
      <c r="E31" s="250">
        <f>('4.9_транзит КТЭЦ '!$E$15*'4.9_транзит КТЭЦ '!E31+'4.9_транзит ККЭ'!$E$15*'4.9_транзит ККЭ'!E31)/'4.9_транзит (свод)'!$E$15</f>
        <v>1191.0870812904261</v>
      </c>
      <c r="F31" s="250" t="e">
        <v>#DIV/0!</v>
      </c>
      <c r="G31" s="250">
        <v>1400.9487894639963</v>
      </c>
      <c r="H31" s="250" t="e">
        <v>#DIV/0!</v>
      </c>
      <c r="I31" s="250"/>
      <c r="J31" s="250">
        <v>1617.6970412869839</v>
      </c>
      <c r="K31" s="250" t="e">
        <v>#DIV/0!</v>
      </c>
      <c r="L31" s="250">
        <v>1801.3957110609479</v>
      </c>
      <c r="M31" s="250">
        <v>1948.2397291196387</v>
      </c>
      <c r="N31" s="250">
        <v>1909.9611738148983</v>
      </c>
      <c r="O31" s="250">
        <v>1987.5182844243791</v>
      </c>
      <c r="P31" s="250">
        <v>2063.64920993228</v>
      </c>
      <c r="Q31" s="250">
        <v>2039.5099322799094</v>
      </c>
      <c r="R31" s="250">
        <v>2088.2146726862302</v>
      </c>
    </row>
    <row r="32" spans="1:18" s="36" customFormat="1" ht="15" customHeight="1">
      <c r="A32" s="60" t="s">
        <v>479</v>
      </c>
      <c r="B32" s="61" t="s">
        <v>480</v>
      </c>
      <c r="C32" s="8"/>
      <c r="D32" s="337"/>
      <c r="E32" s="337"/>
      <c r="F32" s="337"/>
      <c r="G32" s="337"/>
      <c r="H32" s="337"/>
      <c r="I32" s="337"/>
      <c r="J32" s="337"/>
      <c r="K32" s="337"/>
      <c r="L32" s="337"/>
      <c r="M32" s="337"/>
      <c r="N32" s="337"/>
      <c r="O32" s="337"/>
      <c r="P32" s="337"/>
      <c r="Q32" s="337"/>
      <c r="R32" s="337"/>
    </row>
    <row r="33" spans="1:18" s="36" customFormat="1" ht="15" customHeight="1">
      <c r="A33" s="60"/>
      <c r="B33" s="70" t="s">
        <v>473</v>
      </c>
      <c r="C33" s="8" t="s">
        <v>138</v>
      </c>
      <c r="D33" s="251">
        <f>('4.9_транзит КТЭЦ '!$D$15*'4.9_транзит КТЭЦ '!D33+'4.9_транзит ККЭ'!$D$15*'4.9_транзит ККЭ'!D33)/'4.9_транзит (свод)'!$D$15</f>
        <v>0</v>
      </c>
      <c r="E33" s="251">
        <f>('4.9_транзит КТЭЦ '!$E$15*'4.9_транзит КТЭЦ '!E33+'4.9_транзит ККЭ'!$E$15*'4.9_транзит ККЭ'!E33)/'4.9_транзит (свод)'!$E$15</f>
        <v>0</v>
      </c>
      <c r="F33" s="251" t="e">
        <v>#DIV/0!</v>
      </c>
      <c r="G33" s="251">
        <v>0</v>
      </c>
      <c r="H33" s="251" t="e">
        <v>#DIV/0!</v>
      </c>
      <c r="I33" s="251"/>
      <c r="J33" s="251">
        <v>0</v>
      </c>
      <c r="K33" s="251" t="e">
        <v>#DIV/0!</v>
      </c>
      <c r="L33" s="251">
        <v>0</v>
      </c>
      <c r="M33" s="251">
        <v>0</v>
      </c>
      <c r="N33" s="251">
        <v>0</v>
      </c>
      <c r="O33" s="251">
        <v>0</v>
      </c>
      <c r="P33" s="251">
        <v>0</v>
      </c>
      <c r="Q33" s="251">
        <v>0</v>
      </c>
      <c r="R33" s="251">
        <v>0</v>
      </c>
    </row>
    <row r="34" spans="1:18" s="36" customFormat="1" ht="15" customHeight="1">
      <c r="A34" s="60"/>
      <c r="B34" s="70" t="s">
        <v>474</v>
      </c>
      <c r="C34" s="8" t="s">
        <v>465</v>
      </c>
      <c r="D34" s="250">
        <f>('4.9_транзит КТЭЦ '!$D$15*'4.9_транзит КТЭЦ '!D34+'4.9_транзит ККЭ'!$D$15*'4.9_транзит ККЭ'!D34)/'4.9_транзит (свод)'!$D$15</f>
        <v>0</v>
      </c>
      <c r="E34" s="250">
        <f>'4.9_транзит КТЭЦ '!E34</f>
        <v>113.8</v>
      </c>
      <c r="F34" s="250" t="e">
        <v>#DIV/0!</v>
      </c>
      <c r="G34" s="250">
        <v>0</v>
      </c>
      <c r="H34" s="250" t="e">
        <v>#DIV/0!</v>
      </c>
      <c r="I34" s="250"/>
      <c r="J34" s="250">
        <v>0</v>
      </c>
      <c r="K34" s="250" t="e">
        <v>#DIV/0!</v>
      </c>
      <c r="L34" s="250">
        <v>0</v>
      </c>
      <c r="M34" s="250">
        <v>0</v>
      </c>
      <c r="N34" s="250">
        <v>0</v>
      </c>
      <c r="O34" s="250">
        <v>0</v>
      </c>
      <c r="P34" s="250">
        <v>0</v>
      </c>
      <c r="Q34" s="250">
        <v>0</v>
      </c>
      <c r="R34" s="250">
        <v>0</v>
      </c>
    </row>
    <row r="35" spans="1:18" s="36" customFormat="1" hidden="1">
      <c r="A35" s="60" t="s">
        <v>481</v>
      </c>
      <c r="B35" s="61"/>
      <c r="C35" s="8"/>
      <c r="D35" s="337"/>
      <c r="E35" s="337"/>
      <c r="F35" s="337"/>
      <c r="G35" s="337"/>
      <c r="H35" s="337"/>
      <c r="I35" s="337"/>
      <c r="J35" s="337"/>
      <c r="K35" s="337"/>
      <c r="L35" s="337"/>
      <c r="M35" s="337"/>
      <c r="N35" s="337"/>
      <c r="O35" s="337"/>
      <c r="P35" s="337"/>
      <c r="Q35" s="337"/>
      <c r="R35" s="337"/>
    </row>
    <row r="36" spans="1:18" s="36" customFormat="1" ht="15" hidden="1" customHeight="1">
      <c r="A36" s="60"/>
      <c r="B36" s="70" t="s">
        <v>473</v>
      </c>
      <c r="C36" s="8" t="s">
        <v>138</v>
      </c>
      <c r="D36" s="251">
        <f>('4.9_транзит КТЭЦ '!$D$15*'4.9_транзит КТЭЦ '!D36+'4.9_транзит ККЭ'!$D$15*'4.9_транзит ККЭ'!D36)/'4.9_транзит (свод)'!$D$15</f>
        <v>0</v>
      </c>
      <c r="E36" s="251">
        <f>('4.9_транзит КТЭЦ '!$E$15*'4.9_транзит КТЭЦ '!E36+'4.9_транзит ККЭ'!$E$15*'4.9_транзит ККЭ'!E36)/'4.9_транзит (свод)'!$E$15</f>
        <v>0</v>
      </c>
      <c r="F36" s="251" t="e">
        <v>#DIV/0!</v>
      </c>
      <c r="G36" s="251">
        <v>0</v>
      </c>
      <c r="H36" s="251">
        <v>0</v>
      </c>
      <c r="I36" s="251"/>
      <c r="J36" s="251">
        <v>0</v>
      </c>
      <c r="K36" s="251"/>
      <c r="L36" s="251"/>
      <c r="M36" s="251">
        <v>0</v>
      </c>
      <c r="N36" s="251">
        <v>0</v>
      </c>
      <c r="O36" s="251">
        <v>0</v>
      </c>
      <c r="P36" s="251">
        <v>0</v>
      </c>
      <c r="Q36" s="251">
        <v>0</v>
      </c>
      <c r="R36" s="251">
        <v>0</v>
      </c>
    </row>
    <row r="37" spans="1:18" s="36" customFormat="1" ht="15" hidden="1" customHeight="1">
      <c r="A37" s="60"/>
      <c r="B37" s="70" t="s">
        <v>474</v>
      </c>
      <c r="C37" s="8" t="s">
        <v>465</v>
      </c>
      <c r="D37" s="250">
        <f>('4.9_транзит КТЭЦ '!$D$15*'4.9_транзит КТЭЦ '!D37+'4.9_транзит ККЭ'!$D$15*'4.9_транзит ККЭ'!D37)/'4.9_транзит (свод)'!$D$15</f>
        <v>0</v>
      </c>
      <c r="E37" s="250">
        <f>('4.9_транзит КТЭЦ '!$E$15*'4.9_транзит КТЭЦ '!E37+'4.9_транзит ККЭ'!$E$15*'4.9_транзит ККЭ'!E37)/'4.9_транзит (свод)'!$E$15</f>
        <v>0</v>
      </c>
      <c r="F37" s="250" t="e">
        <v>#DIV/0!</v>
      </c>
      <c r="G37" s="250">
        <v>0</v>
      </c>
      <c r="H37" s="250">
        <v>0</v>
      </c>
      <c r="I37" s="250"/>
      <c r="J37" s="250">
        <v>0</v>
      </c>
      <c r="K37" s="250"/>
      <c r="L37" s="250"/>
      <c r="M37" s="250">
        <v>0</v>
      </c>
      <c r="N37" s="250">
        <v>0</v>
      </c>
      <c r="O37" s="250">
        <v>0</v>
      </c>
      <c r="P37" s="250">
        <v>0</v>
      </c>
      <c r="Q37" s="250">
        <v>0</v>
      </c>
      <c r="R37" s="250">
        <v>0</v>
      </c>
    </row>
    <row r="38" spans="1:18" s="36" customFormat="1" hidden="1">
      <c r="A38" s="60" t="s">
        <v>482</v>
      </c>
      <c r="B38" s="61"/>
      <c r="C38" s="8"/>
      <c r="D38" s="388"/>
      <c r="E38" s="388"/>
      <c r="F38" s="388"/>
      <c r="G38" s="388"/>
      <c r="H38" s="388"/>
      <c r="I38" s="388"/>
      <c r="J38" s="388"/>
      <c r="K38" s="388"/>
      <c r="L38" s="388"/>
      <c r="M38" s="388"/>
      <c r="N38" s="388"/>
      <c r="O38" s="388"/>
      <c r="P38" s="388"/>
      <c r="Q38" s="388"/>
      <c r="R38" s="388"/>
    </row>
    <row r="39" spans="1:18" s="36" customFormat="1" ht="15" hidden="1" customHeight="1">
      <c r="A39" s="60"/>
      <c r="B39" s="70" t="s">
        <v>473</v>
      </c>
      <c r="C39" s="8" t="s">
        <v>138</v>
      </c>
      <c r="D39" s="251">
        <f>('4.9_транзит КТЭЦ '!$D$15*'4.9_транзит КТЭЦ '!D39+'4.9_транзит ККЭ'!$D$15*'4.9_транзит ККЭ'!D39)/'4.9_транзит (свод)'!$D$15</f>
        <v>0</v>
      </c>
      <c r="E39" s="251">
        <f>('4.9_транзит КТЭЦ '!$E$15*'4.9_транзит КТЭЦ '!E39+'4.9_транзит ККЭ'!$E$15*'4.9_транзит ККЭ'!E39)/'4.9_транзит (свод)'!$E$15</f>
        <v>0</v>
      </c>
      <c r="F39" s="251" t="e">
        <v>#DIV/0!</v>
      </c>
      <c r="G39" s="251">
        <v>0</v>
      </c>
      <c r="H39" s="251">
        <v>0</v>
      </c>
      <c r="I39" s="251"/>
      <c r="J39" s="251">
        <v>0</v>
      </c>
      <c r="K39" s="251"/>
      <c r="L39" s="251"/>
      <c r="M39" s="251">
        <v>0</v>
      </c>
      <c r="N39" s="251">
        <v>0</v>
      </c>
      <c r="O39" s="251">
        <v>0</v>
      </c>
      <c r="P39" s="251">
        <v>0</v>
      </c>
      <c r="Q39" s="251">
        <v>0</v>
      </c>
      <c r="R39" s="251">
        <v>0</v>
      </c>
    </row>
    <row r="40" spans="1:18" s="36" customFormat="1" ht="15" hidden="1" customHeight="1">
      <c r="A40" s="60"/>
      <c r="B40" s="70" t="s">
        <v>474</v>
      </c>
      <c r="C40" s="8" t="s">
        <v>465</v>
      </c>
      <c r="D40" s="250">
        <f>('4.9_транзит КТЭЦ '!$D$15*'4.9_транзит КТЭЦ '!D40+'4.9_транзит ККЭ'!$D$15*'4.9_транзит ККЭ'!D40)/'4.9_транзит (свод)'!$D$15</f>
        <v>0</v>
      </c>
      <c r="E40" s="250">
        <f>('4.9_транзит КТЭЦ '!$E$15*'4.9_транзит КТЭЦ '!E40+'4.9_транзит ККЭ'!$E$15*'4.9_транзит ККЭ'!E40)/'4.9_транзит (свод)'!$E$15</f>
        <v>0</v>
      </c>
      <c r="F40" s="250" t="e">
        <v>#DIV/0!</v>
      </c>
      <c r="G40" s="250">
        <v>0</v>
      </c>
      <c r="H40" s="250">
        <v>0</v>
      </c>
      <c r="I40" s="250"/>
      <c r="J40" s="250">
        <v>0</v>
      </c>
      <c r="K40" s="250"/>
      <c r="L40" s="250"/>
      <c r="M40" s="250">
        <v>0</v>
      </c>
      <c r="N40" s="250">
        <v>0</v>
      </c>
      <c r="O40" s="250">
        <v>0</v>
      </c>
      <c r="P40" s="250">
        <v>0</v>
      </c>
      <c r="Q40" s="250">
        <v>0</v>
      </c>
      <c r="R40" s="250">
        <v>0</v>
      </c>
    </row>
    <row r="41" spans="1:18" s="36" customFormat="1" ht="30" customHeight="1">
      <c r="A41" s="60" t="s">
        <v>483</v>
      </c>
      <c r="B41" s="61" t="s">
        <v>484</v>
      </c>
      <c r="C41" s="8"/>
      <c r="D41" s="388"/>
      <c r="E41" s="388"/>
      <c r="F41" s="388"/>
      <c r="G41" s="388"/>
      <c r="H41" s="388"/>
      <c r="I41" s="388"/>
      <c r="J41" s="388"/>
      <c r="K41" s="388"/>
      <c r="L41" s="388"/>
      <c r="M41" s="388"/>
      <c r="N41" s="388"/>
      <c r="O41" s="388"/>
      <c r="P41" s="388"/>
      <c r="Q41" s="388"/>
      <c r="R41" s="388"/>
    </row>
    <row r="42" spans="1:18" s="36" customFormat="1" ht="15" customHeight="1">
      <c r="A42" s="60"/>
      <c r="B42" s="70" t="s">
        <v>473</v>
      </c>
      <c r="C42" s="8" t="s">
        <v>138</v>
      </c>
      <c r="D42" s="337">
        <v>160</v>
      </c>
      <c r="E42" s="337">
        <v>160</v>
      </c>
      <c r="F42" s="337">
        <v>160</v>
      </c>
      <c r="G42" s="337">
        <v>160</v>
      </c>
      <c r="H42" s="337">
        <v>160</v>
      </c>
      <c r="I42" s="337"/>
      <c r="J42" s="337">
        <v>160</v>
      </c>
      <c r="K42" s="337">
        <v>160</v>
      </c>
      <c r="L42" s="337">
        <v>160</v>
      </c>
      <c r="M42" s="337">
        <v>160</v>
      </c>
      <c r="N42" s="337">
        <v>160</v>
      </c>
      <c r="O42" s="337">
        <v>160</v>
      </c>
      <c r="P42" s="337">
        <v>160</v>
      </c>
      <c r="Q42" s="337">
        <v>160</v>
      </c>
      <c r="R42" s="337">
        <v>160</v>
      </c>
    </row>
    <row r="43" spans="1:18" s="36" customFormat="1" ht="15" customHeight="1">
      <c r="A43" s="60"/>
      <c r="B43" s="70" t="s">
        <v>474</v>
      </c>
      <c r="C43" s="8" t="s">
        <v>465</v>
      </c>
      <c r="D43" s="250">
        <f>('4.9_транзит КТЭЦ '!$D$15*'4.9_транзит КТЭЦ '!D43+'4.9_транзит ККЭ'!$D$15*'4.9_транзит ККЭ'!D43)/'4.9_транзит (свод)'!$D$15</f>
        <v>30530.400905881805</v>
      </c>
      <c r="E43" s="250">
        <f>('4.9_транзит КТЭЦ '!$E$15*'4.9_транзит КТЭЦ '!E43+'4.9_транзит ККЭ'!$E$15*'4.9_транзит ККЭ'!E43)/'4.9_транзит (свод)'!$E$15</f>
        <v>29878.428614353725</v>
      </c>
      <c r="F43" s="250" t="e">
        <v>#DIV/0!</v>
      </c>
      <c r="G43" s="250">
        <v>35115.239140710743</v>
      </c>
      <c r="H43" s="250" t="e">
        <v>#DIV/0!</v>
      </c>
      <c r="I43" s="250"/>
      <c r="J43" s="250">
        <v>39568.814939813245</v>
      </c>
      <c r="K43" s="250" t="e">
        <v>#DIV/0!</v>
      </c>
      <c r="L43" s="250">
        <v>43936.299774266357</v>
      </c>
      <c r="M43" s="250">
        <v>47848.010383747176</v>
      </c>
      <c r="N43" s="250">
        <v>46903.985327313771</v>
      </c>
      <c r="O43" s="250">
        <v>48799.469977426634</v>
      </c>
      <c r="P43" s="250">
        <v>50674.23318284424</v>
      </c>
      <c r="Q43" s="250">
        <v>50078.929571106091</v>
      </c>
      <c r="R43" s="250">
        <v>51271.962979683965</v>
      </c>
    </row>
    <row r="44" spans="1:18" s="36" customFormat="1" ht="30" customHeight="1">
      <c r="A44" s="387" t="s">
        <v>27</v>
      </c>
      <c r="B44" s="386" t="s">
        <v>485</v>
      </c>
      <c r="C44" s="385" t="s">
        <v>465</v>
      </c>
      <c r="D44" s="384">
        <f>D22+D25+D28+D31+D43</f>
        <v>49611.276472057936</v>
      </c>
      <c r="E44" s="384">
        <f t="shared" ref="E44:G44" si="2">E22+E25+E28+E31+E43</f>
        <v>48552.275657436316</v>
      </c>
      <c r="F44" s="384" t="e">
        <v>#DIV/0!</v>
      </c>
      <c r="G44" s="384">
        <v>57063.59947505936</v>
      </c>
      <c r="H44" s="384" t="e">
        <v>#DIV/0!</v>
      </c>
      <c r="I44" s="384"/>
      <c r="J44" s="384">
        <v>64299.366163235456</v>
      </c>
      <c r="K44" s="384" t="e">
        <v>#DIV/0!</v>
      </c>
      <c r="L44" s="384">
        <v>71396.729751692998</v>
      </c>
      <c r="M44" s="384">
        <v>77753.035831602698</v>
      </c>
      <c r="N44" s="384">
        <v>76219.156030338607</v>
      </c>
      <c r="O44" s="384">
        <v>79299.271279187349</v>
      </c>
      <c r="P44" s="384">
        <v>82345.574056738144</v>
      </c>
      <c r="Q44" s="384">
        <v>81378.249795598196</v>
      </c>
      <c r="R44" s="384">
        <v>83316.750688081258</v>
      </c>
    </row>
    <row r="45" spans="1:18" s="1368" customFormat="1" ht="30" customHeight="1">
      <c r="A45" s="1364" t="s">
        <v>95</v>
      </c>
      <c r="B45" s="1365" t="s">
        <v>905</v>
      </c>
      <c r="C45" s="1366" t="s">
        <v>465</v>
      </c>
      <c r="D45" s="1367">
        <f>'4.9_транзит КТЭЦ '!D45+'4.9_транзит ККЭ'!D45</f>
        <v>546105.76945471717</v>
      </c>
      <c r="E45" s="1367">
        <f>'4.9_транзит КТЭЦ '!E45+'4.9_транзит ККЭ'!E45</f>
        <v>535803.95920146187</v>
      </c>
      <c r="F45" s="1367">
        <v>0</v>
      </c>
      <c r="G45" s="1367">
        <v>628648.57121568162</v>
      </c>
      <c r="H45" s="1367">
        <v>0</v>
      </c>
      <c r="I45" s="1367"/>
      <c r="J45" s="1367">
        <v>699542.07899000007</v>
      </c>
      <c r="K45" s="1367">
        <v>0</v>
      </c>
      <c r="L45" s="1367">
        <v>775405.73071999999</v>
      </c>
      <c r="M45" s="1367">
        <v>862845.95957744005</v>
      </c>
      <c r="N45" s="1367">
        <v>414625.03345727996</v>
      </c>
      <c r="O45" s="1367">
        <v>448220.92612016003</v>
      </c>
      <c r="P45" s="1367">
        <v>913523.62257123995</v>
      </c>
      <c r="Q45" s="1367">
        <v>442489.77591339994</v>
      </c>
      <c r="R45" s="1367">
        <v>471033.84665783995</v>
      </c>
    </row>
    <row r="46" spans="1:18">
      <c r="A46" s="60" t="s">
        <v>898</v>
      </c>
      <c r="B46" s="61" t="s">
        <v>899</v>
      </c>
      <c r="C46" s="8" t="s">
        <v>892</v>
      </c>
      <c r="D46" s="250">
        <f>'4.9_транзит КТЭЦ '!D46+'4.9_транзит ККЭ'!D46+1</f>
        <v>6934</v>
      </c>
      <c r="E46" s="250">
        <f>'4.9_транзит КТЭЦ '!E46+'4.9_транзит ККЭ'!E46</f>
        <v>9528</v>
      </c>
      <c r="F46" s="250">
        <v>0</v>
      </c>
      <c r="G46" s="250">
        <v>11716</v>
      </c>
      <c r="H46" s="250">
        <v>0</v>
      </c>
      <c r="I46" s="250"/>
      <c r="J46" s="250">
        <v>13540</v>
      </c>
      <c r="K46" s="250">
        <v>0</v>
      </c>
      <c r="L46" s="250">
        <v>16169</v>
      </c>
      <c r="M46" s="250">
        <v>18757</v>
      </c>
      <c r="N46" s="250">
        <v>9379</v>
      </c>
      <c r="O46" s="250">
        <v>9379</v>
      </c>
      <c r="P46" s="250">
        <v>19601</v>
      </c>
      <c r="Q46" s="250">
        <v>9800.5</v>
      </c>
      <c r="R46" s="250">
        <v>9800.5</v>
      </c>
    </row>
    <row r="47" spans="1:18" ht="60.75" customHeight="1">
      <c r="A47" s="60" t="s">
        <v>900</v>
      </c>
      <c r="B47" s="61" t="s">
        <v>902</v>
      </c>
      <c r="C47" s="8" t="s">
        <v>892</v>
      </c>
      <c r="D47" s="609">
        <f>'4.9_транзит КТЭЦ '!D47+'4.9_транзит ККЭ'!D47</f>
        <v>0</v>
      </c>
      <c r="E47" s="609">
        <f>'4.9_транзит КТЭЦ '!E47+'4.9_транзит ККЭ'!E47</f>
        <v>0</v>
      </c>
      <c r="F47" s="609">
        <v>0</v>
      </c>
      <c r="G47" s="609">
        <v>0</v>
      </c>
      <c r="H47" s="609">
        <v>0</v>
      </c>
      <c r="I47" s="609"/>
      <c r="J47" s="609">
        <v>0</v>
      </c>
      <c r="K47" s="609">
        <v>0</v>
      </c>
      <c r="L47" s="609">
        <v>0</v>
      </c>
      <c r="M47" s="609">
        <v>0</v>
      </c>
      <c r="N47" s="609">
        <v>0</v>
      </c>
      <c r="O47" s="609">
        <v>0</v>
      </c>
      <c r="P47" s="609">
        <v>0</v>
      </c>
      <c r="Q47" s="609">
        <v>0</v>
      </c>
      <c r="R47" s="609">
        <v>0</v>
      </c>
    </row>
    <row r="48" spans="1:18">
      <c r="A48" s="60" t="s">
        <v>901</v>
      </c>
      <c r="B48" s="61" t="s">
        <v>348</v>
      </c>
      <c r="C48" s="8" t="s">
        <v>892</v>
      </c>
      <c r="D48" s="250">
        <f>D49+D50+D51+D52+D53</f>
        <v>0</v>
      </c>
      <c r="E48" s="250">
        <f t="shared" ref="E48:O48" si="3">E49+E50+E51+E52+E53</f>
        <v>11289</v>
      </c>
      <c r="F48" s="250">
        <v>0</v>
      </c>
      <c r="G48" s="250">
        <v>9901</v>
      </c>
      <c r="H48" s="250">
        <v>0</v>
      </c>
      <c r="I48" s="250"/>
      <c r="J48" s="250">
        <v>143</v>
      </c>
      <c r="K48" s="250">
        <v>0</v>
      </c>
      <c r="L48" s="250">
        <v>153</v>
      </c>
      <c r="M48" s="250">
        <v>17380</v>
      </c>
      <c r="N48" s="250">
        <v>79</v>
      </c>
      <c r="O48" s="250">
        <v>17301</v>
      </c>
      <c r="P48" s="250">
        <v>18407</v>
      </c>
      <c r="Q48" s="250">
        <v>83.5</v>
      </c>
      <c r="R48" s="250">
        <v>18323.5</v>
      </c>
    </row>
    <row r="49" spans="1:18" ht="30">
      <c r="A49" s="60" t="s">
        <v>1024</v>
      </c>
      <c r="B49" s="61" t="s">
        <v>1023</v>
      </c>
      <c r="C49" s="8" t="s">
        <v>892</v>
      </c>
      <c r="D49" s="609">
        <f>'4.9_транзит КТЭЦ '!D49+'4.9_транзит ККЭ'!D49</f>
        <v>0</v>
      </c>
      <c r="E49" s="250">
        <f>'4.9_транзит КТЭЦ '!E49+'4.9_транзит ККЭ'!E49</f>
        <v>3284</v>
      </c>
      <c r="F49" s="609">
        <v>0</v>
      </c>
      <c r="G49" s="609">
        <v>0</v>
      </c>
      <c r="H49" s="609">
        <v>0</v>
      </c>
      <c r="I49" s="609"/>
      <c r="J49" s="609">
        <v>0</v>
      </c>
      <c r="K49" s="609">
        <v>0</v>
      </c>
      <c r="L49" s="609">
        <v>0</v>
      </c>
      <c r="M49" s="250">
        <v>0</v>
      </c>
      <c r="N49" s="609">
        <v>0</v>
      </c>
      <c r="O49" s="250">
        <v>0</v>
      </c>
      <c r="P49" s="250">
        <v>0</v>
      </c>
      <c r="Q49" s="609">
        <v>0</v>
      </c>
      <c r="R49" s="250">
        <v>0</v>
      </c>
    </row>
    <row r="50" spans="1:18" ht="30">
      <c r="A50" s="60" t="s">
        <v>1022</v>
      </c>
      <c r="B50" s="61" t="s">
        <v>1021</v>
      </c>
      <c r="C50" s="8" t="s">
        <v>892</v>
      </c>
      <c r="D50" s="609">
        <f>'4.9_транзит КТЭЦ '!D50+'4.9_транзит ККЭ'!D50</f>
        <v>0</v>
      </c>
      <c r="E50" s="250">
        <f>'4.9_транзит КТЭЦ '!E50+'4.9_транзит ККЭ'!E50</f>
        <v>12</v>
      </c>
      <c r="F50" s="609">
        <v>0</v>
      </c>
      <c r="G50" s="609">
        <v>231</v>
      </c>
      <c r="H50" s="609">
        <v>0</v>
      </c>
      <c r="I50" s="609"/>
      <c r="J50" s="609">
        <v>0</v>
      </c>
      <c r="K50" s="609">
        <v>0</v>
      </c>
      <c r="L50" s="609">
        <v>0</v>
      </c>
      <c r="M50" s="250">
        <v>0</v>
      </c>
      <c r="N50" s="609">
        <v>0</v>
      </c>
      <c r="O50" s="250">
        <v>0</v>
      </c>
      <c r="P50" s="250">
        <v>0</v>
      </c>
      <c r="Q50" s="609">
        <v>0</v>
      </c>
      <c r="R50" s="250">
        <v>0</v>
      </c>
    </row>
    <row r="51" spans="1:18">
      <c r="A51" s="60" t="s">
        <v>1020</v>
      </c>
      <c r="B51" s="61" t="s">
        <v>1019</v>
      </c>
      <c r="C51" s="8" t="s">
        <v>892</v>
      </c>
      <c r="D51" s="609">
        <f>'4.9_транзит КТЭЦ '!D51+'4.9_транзит ККЭ'!D51</f>
        <v>0</v>
      </c>
      <c r="E51" s="250">
        <f>'4.9_транзит КТЭЦ '!E51+'4.9_транзит ККЭ'!E51</f>
        <v>107</v>
      </c>
      <c r="F51" s="609">
        <v>0</v>
      </c>
      <c r="G51" s="609">
        <v>123</v>
      </c>
      <c r="H51" s="609">
        <v>0</v>
      </c>
      <c r="I51" s="609"/>
      <c r="J51" s="609">
        <v>143</v>
      </c>
      <c r="K51" s="609">
        <v>0</v>
      </c>
      <c r="L51" s="609">
        <v>153</v>
      </c>
      <c r="M51" s="250">
        <v>158</v>
      </c>
      <c r="N51" s="609">
        <v>79</v>
      </c>
      <c r="O51" s="250">
        <v>79</v>
      </c>
      <c r="P51" s="250">
        <v>167</v>
      </c>
      <c r="Q51" s="609">
        <v>83.5</v>
      </c>
      <c r="R51" s="250">
        <v>83.5</v>
      </c>
    </row>
    <row r="52" spans="1:18" ht="30">
      <c r="A52" s="60" t="s">
        <v>1018</v>
      </c>
      <c r="B52" s="61" t="s">
        <v>934</v>
      </c>
      <c r="C52" s="8" t="s">
        <v>892</v>
      </c>
      <c r="D52" s="609">
        <f>'4.9_транзит КТЭЦ '!D52+'4.9_транзит ККЭ'!D52</f>
        <v>0</v>
      </c>
      <c r="E52" s="250">
        <f>'4.9_транзит КТЭЦ '!E52+'4.9_транзит ККЭ'!E52</f>
        <v>0</v>
      </c>
      <c r="F52" s="609">
        <v>0</v>
      </c>
      <c r="G52" s="609">
        <v>0</v>
      </c>
      <c r="H52" s="609">
        <v>0</v>
      </c>
      <c r="I52" s="609"/>
      <c r="J52" s="609">
        <v>0</v>
      </c>
      <c r="K52" s="609">
        <v>0</v>
      </c>
      <c r="L52" s="609">
        <v>0</v>
      </c>
      <c r="M52" s="250">
        <v>17222</v>
      </c>
      <c r="N52" s="609">
        <v>0</v>
      </c>
      <c r="O52" s="250">
        <v>17222</v>
      </c>
      <c r="P52" s="250">
        <v>18240</v>
      </c>
      <c r="Q52" s="609">
        <v>0</v>
      </c>
      <c r="R52" s="250">
        <v>18240</v>
      </c>
    </row>
    <row r="53" spans="1:18" ht="75">
      <c r="A53" s="60" t="s">
        <v>1071</v>
      </c>
      <c r="B53" s="61" t="s">
        <v>1558</v>
      </c>
      <c r="C53" s="8" t="s">
        <v>892</v>
      </c>
      <c r="D53" s="609">
        <f>'4.9_транзит КТЭЦ '!D53+'4.9_транзит ККЭ'!D53</f>
        <v>0</v>
      </c>
      <c r="E53" s="250">
        <f>'4.9_транзит КТЭЦ '!E53+'4.9_транзит ККЭ'!E53</f>
        <v>7886</v>
      </c>
      <c r="F53" s="609">
        <v>0</v>
      </c>
      <c r="G53" s="609">
        <v>9547</v>
      </c>
      <c r="H53" s="609">
        <v>0</v>
      </c>
      <c r="I53" s="609"/>
      <c r="J53" s="609">
        <v>0</v>
      </c>
      <c r="K53" s="609">
        <v>0</v>
      </c>
      <c r="L53" s="609">
        <v>0</v>
      </c>
      <c r="M53" s="609">
        <v>0</v>
      </c>
      <c r="N53" s="609">
        <v>0</v>
      </c>
      <c r="O53" s="609">
        <v>0</v>
      </c>
      <c r="P53" s="609">
        <v>0</v>
      </c>
      <c r="Q53" s="609">
        <v>0</v>
      </c>
      <c r="R53" s="609">
        <v>0</v>
      </c>
    </row>
    <row r="54" spans="1:18" ht="30">
      <c r="A54" s="60"/>
      <c r="B54" s="61" t="s">
        <v>903</v>
      </c>
      <c r="C54" s="8" t="s">
        <v>892</v>
      </c>
      <c r="D54" s="250">
        <v>12</v>
      </c>
      <c r="E54" s="250">
        <v>12</v>
      </c>
      <c r="F54" s="250">
        <v>12</v>
      </c>
      <c r="G54" s="250">
        <v>12</v>
      </c>
      <c r="H54" s="250">
        <v>12</v>
      </c>
      <c r="I54" s="250"/>
      <c r="J54" s="250">
        <v>12</v>
      </c>
      <c r="K54" s="250">
        <v>12</v>
      </c>
      <c r="L54" s="250">
        <v>12</v>
      </c>
      <c r="M54" s="250">
        <v>12</v>
      </c>
      <c r="N54" s="250">
        <v>6</v>
      </c>
      <c r="O54" s="250">
        <v>6</v>
      </c>
      <c r="P54" s="250">
        <v>12</v>
      </c>
      <c r="Q54" s="250">
        <v>6</v>
      </c>
      <c r="R54" s="250">
        <v>6</v>
      </c>
    </row>
    <row r="55" spans="1:18" s="763" customFormat="1" ht="28.5">
      <c r="A55" s="1352" t="s">
        <v>904</v>
      </c>
      <c r="B55" s="1353" t="s">
        <v>905</v>
      </c>
      <c r="C55" s="1354" t="s">
        <v>892</v>
      </c>
      <c r="D55" s="1013">
        <f>'4.9_транзит КТЭЦ '!D55+'4.9_транзит ККЭ'!D55</f>
        <v>539172.76945471717</v>
      </c>
      <c r="E55" s="1013">
        <f>'4.9_транзит КТЭЦ '!E55+'4.9_транзит ККЭ'!E55</f>
        <v>514985.95920146181</v>
      </c>
      <c r="F55" s="1013">
        <v>0</v>
      </c>
      <c r="G55" s="1013">
        <v>616931.57121568162</v>
      </c>
      <c r="H55" s="1013">
        <v>0</v>
      </c>
      <c r="I55" s="1013"/>
      <c r="J55" s="1013">
        <v>686002.07899000007</v>
      </c>
      <c r="K55" s="1013">
        <v>0</v>
      </c>
      <c r="L55" s="1013">
        <v>759236.73071999999</v>
      </c>
      <c r="M55" s="1013">
        <v>844087.95957744005</v>
      </c>
      <c r="N55" s="1013">
        <v>405246.03345727996</v>
      </c>
      <c r="O55" s="1013">
        <v>438841.92612016003</v>
      </c>
      <c r="P55" s="1013">
        <v>893922.62257123995</v>
      </c>
      <c r="Q55" s="1013">
        <v>432689.27591339994</v>
      </c>
      <c r="R55" s="1013">
        <v>461233.34665783995</v>
      </c>
    </row>
    <row r="56" spans="1:18" ht="30">
      <c r="A56" s="60" t="s">
        <v>906</v>
      </c>
      <c r="B56" s="61" t="s">
        <v>909</v>
      </c>
      <c r="C56" s="8" t="s">
        <v>892</v>
      </c>
      <c r="D56" s="250"/>
      <c r="E56" s="250"/>
      <c r="F56" s="250"/>
      <c r="G56" s="250"/>
      <c r="H56" s="250"/>
      <c r="I56" s="250"/>
      <c r="J56" s="250"/>
      <c r="K56" s="250"/>
      <c r="L56" s="250"/>
      <c r="M56" s="250"/>
      <c r="N56" s="250"/>
      <c r="O56" s="250"/>
      <c r="P56" s="250"/>
      <c r="Q56" s="250"/>
      <c r="R56" s="250"/>
    </row>
    <row r="57" spans="1:18">
      <c r="A57" s="60" t="s">
        <v>907</v>
      </c>
      <c r="B57" s="61" t="s">
        <v>1025</v>
      </c>
      <c r="C57" s="8" t="s">
        <v>892</v>
      </c>
      <c r="D57" s="250">
        <f>'4.9_транзит КТЭЦ '!D57+'4.9_транзит ККЭ'!D57</f>
        <v>539172.76945471717</v>
      </c>
      <c r="E57" s="250">
        <f>'4.9_транзит КТЭЦ '!E57+'4.9_транзит ККЭ'!E57</f>
        <v>514985.95920146181</v>
      </c>
      <c r="F57" s="250">
        <v>0</v>
      </c>
      <c r="G57" s="250">
        <v>616931.57121568162</v>
      </c>
      <c r="H57" s="250">
        <v>0</v>
      </c>
      <c r="I57" s="250"/>
      <c r="J57" s="250">
        <v>686002.07899000007</v>
      </c>
      <c r="K57" s="250">
        <v>0</v>
      </c>
      <c r="L57" s="250">
        <v>759236.73071999999</v>
      </c>
      <c r="M57" s="250">
        <v>844087.95957743993</v>
      </c>
      <c r="N57" s="250">
        <v>405246.03345727996</v>
      </c>
      <c r="O57" s="250">
        <v>438841.92612016003</v>
      </c>
      <c r="P57" s="250">
        <v>893922.62257123995</v>
      </c>
      <c r="Q57" s="250">
        <v>432689.27591339994</v>
      </c>
      <c r="R57" s="250">
        <v>461233.34665783995</v>
      </c>
    </row>
    <row r="58" spans="1:18">
      <c r="A58" s="60" t="s">
        <v>908</v>
      </c>
      <c r="B58" s="61" t="s">
        <v>911</v>
      </c>
      <c r="C58" s="8" t="s">
        <v>892</v>
      </c>
      <c r="D58" s="609">
        <f>'4.9_транзит КТЭЦ '!D58+'4.9_транзит ККЭ'!D58</f>
        <v>0</v>
      </c>
      <c r="E58" s="609">
        <f>'4.9_транзит КТЭЦ '!E58+'4.9_транзит ККЭ'!E58</f>
        <v>0</v>
      </c>
      <c r="F58" s="609">
        <v>0</v>
      </c>
      <c r="G58" s="609">
        <v>0</v>
      </c>
      <c r="H58" s="609">
        <v>0</v>
      </c>
      <c r="I58" s="609"/>
      <c r="J58" s="609">
        <v>0</v>
      </c>
      <c r="K58" s="609">
        <v>0</v>
      </c>
      <c r="L58" s="609">
        <v>0</v>
      </c>
      <c r="M58" s="609">
        <v>0</v>
      </c>
      <c r="N58" s="609">
        <v>0</v>
      </c>
      <c r="O58" s="609">
        <v>0</v>
      </c>
      <c r="P58" s="609">
        <v>0</v>
      </c>
      <c r="Q58" s="609">
        <v>0</v>
      </c>
      <c r="R58" s="609">
        <v>0</v>
      </c>
    </row>
    <row r="59" spans="1:18">
      <c r="A59" s="60" t="s">
        <v>912</v>
      </c>
      <c r="B59" s="61" t="s">
        <v>913</v>
      </c>
      <c r="C59" s="8" t="s">
        <v>892</v>
      </c>
      <c r="D59" s="609">
        <f>'4.9_транзит КТЭЦ '!D59+'4.9_транзит ККЭ'!D59</f>
        <v>0</v>
      </c>
      <c r="E59" s="609">
        <f>'4.9_транзит КТЭЦ '!E59+'4.9_транзит ККЭ'!E59</f>
        <v>0</v>
      </c>
      <c r="F59" s="609">
        <v>0</v>
      </c>
      <c r="G59" s="609">
        <v>0</v>
      </c>
      <c r="H59" s="609">
        <v>0</v>
      </c>
      <c r="I59" s="609"/>
      <c r="J59" s="609">
        <v>0</v>
      </c>
      <c r="K59" s="609">
        <v>0</v>
      </c>
      <c r="L59" s="609">
        <v>0</v>
      </c>
      <c r="M59" s="609">
        <v>0</v>
      </c>
      <c r="N59" s="609">
        <v>0</v>
      </c>
      <c r="O59" s="609">
        <v>0</v>
      </c>
      <c r="P59" s="609">
        <v>0</v>
      </c>
      <c r="Q59" s="609">
        <v>0</v>
      </c>
      <c r="R59" s="609">
        <v>0</v>
      </c>
    </row>
    <row r="60" spans="1:18" ht="30">
      <c r="A60" s="60" t="s">
        <v>97</v>
      </c>
      <c r="B60" s="61" t="s">
        <v>914</v>
      </c>
      <c r="C60" s="8" t="s">
        <v>846</v>
      </c>
      <c r="D60" s="250"/>
      <c r="E60" s="250"/>
      <c r="F60" s="250"/>
      <c r="G60" s="250"/>
      <c r="H60" s="250"/>
      <c r="I60" s="250"/>
      <c r="J60" s="250"/>
      <c r="K60" s="250"/>
      <c r="L60" s="250"/>
      <c r="M60" s="250"/>
      <c r="N60" s="250"/>
      <c r="O60" s="250"/>
      <c r="P60" s="250"/>
      <c r="Q60" s="250"/>
      <c r="R60" s="250"/>
    </row>
    <row r="61" spans="1:18">
      <c r="A61" s="60" t="s">
        <v>915</v>
      </c>
      <c r="B61" s="61" t="s">
        <v>458</v>
      </c>
      <c r="C61" s="8" t="s">
        <v>453</v>
      </c>
      <c r="D61" s="250"/>
      <c r="E61" s="250"/>
      <c r="F61" s="250"/>
      <c r="G61" s="250"/>
      <c r="H61" s="250"/>
      <c r="I61" s="250"/>
      <c r="J61" s="250"/>
      <c r="K61" s="250"/>
      <c r="L61" s="250"/>
      <c r="M61" s="250"/>
      <c r="N61" s="250"/>
      <c r="O61" s="250"/>
      <c r="P61" s="250"/>
      <c r="Q61" s="250"/>
      <c r="R61" s="250"/>
    </row>
    <row r="62" spans="1:18">
      <c r="A62" s="60" t="s">
        <v>916</v>
      </c>
      <c r="B62" s="253" t="s">
        <v>923</v>
      </c>
      <c r="C62" s="8" t="s">
        <v>453</v>
      </c>
      <c r="D62" s="250"/>
      <c r="E62" s="250"/>
      <c r="F62" s="250"/>
      <c r="G62" s="250"/>
      <c r="H62" s="250"/>
      <c r="I62" s="250"/>
      <c r="J62" s="250"/>
      <c r="K62" s="250"/>
      <c r="L62" s="250"/>
      <c r="M62" s="250"/>
      <c r="N62" s="250"/>
      <c r="O62" s="250"/>
      <c r="P62" s="250"/>
      <c r="Q62" s="250"/>
      <c r="R62" s="250"/>
    </row>
    <row r="63" spans="1:18">
      <c r="A63" s="60" t="s">
        <v>917</v>
      </c>
      <c r="B63" s="253" t="s">
        <v>924</v>
      </c>
      <c r="C63" s="8" t="s">
        <v>465</v>
      </c>
      <c r="D63" s="250"/>
      <c r="E63" s="250"/>
      <c r="F63" s="250"/>
      <c r="G63" s="250"/>
      <c r="H63" s="250"/>
      <c r="I63" s="250"/>
      <c r="J63" s="250"/>
      <c r="K63" s="250"/>
      <c r="L63" s="250"/>
      <c r="M63" s="250"/>
      <c r="N63" s="250"/>
      <c r="O63" s="250"/>
      <c r="P63" s="250"/>
      <c r="Q63" s="250"/>
      <c r="R63" s="250"/>
    </row>
    <row r="64" spans="1:18">
      <c r="A64" s="60" t="s">
        <v>918</v>
      </c>
      <c r="B64" s="61" t="s">
        <v>899</v>
      </c>
      <c r="C64" s="8" t="s">
        <v>892</v>
      </c>
      <c r="D64" s="250"/>
      <c r="E64" s="250"/>
      <c r="F64" s="250"/>
      <c r="G64" s="250"/>
      <c r="H64" s="250"/>
      <c r="I64" s="250"/>
      <c r="J64" s="250"/>
      <c r="K64" s="250"/>
      <c r="L64" s="250"/>
      <c r="M64" s="250"/>
      <c r="N64" s="250"/>
      <c r="O64" s="250"/>
      <c r="P64" s="250"/>
      <c r="Q64" s="250"/>
      <c r="R64" s="250"/>
    </row>
    <row r="65" spans="1:18" ht="18" customHeight="1">
      <c r="A65" s="60" t="s">
        <v>919</v>
      </c>
      <c r="B65" s="61" t="s">
        <v>922</v>
      </c>
      <c r="C65" s="8" t="s">
        <v>892</v>
      </c>
      <c r="D65" s="250"/>
      <c r="E65" s="250"/>
      <c r="F65" s="250"/>
      <c r="G65" s="250"/>
      <c r="H65" s="250"/>
      <c r="I65" s="250"/>
      <c r="J65" s="250"/>
      <c r="K65" s="250"/>
      <c r="L65" s="250"/>
      <c r="M65" s="250"/>
      <c r="N65" s="250"/>
      <c r="O65" s="250"/>
      <c r="P65" s="250"/>
      <c r="Q65" s="250"/>
      <c r="R65" s="250"/>
    </row>
    <row r="66" spans="1:18">
      <c r="A66" s="60" t="s">
        <v>920</v>
      </c>
      <c r="B66" s="61" t="s">
        <v>925</v>
      </c>
      <c r="C66" s="8" t="s">
        <v>892</v>
      </c>
      <c r="D66" s="250"/>
      <c r="E66" s="250"/>
      <c r="F66" s="250"/>
      <c r="G66" s="250"/>
      <c r="H66" s="250"/>
      <c r="I66" s="250"/>
      <c r="J66" s="250"/>
      <c r="K66" s="250"/>
      <c r="L66" s="250"/>
      <c r="M66" s="250"/>
      <c r="N66" s="250"/>
      <c r="O66" s="250"/>
      <c r="P66" s="250"/>
      <c r="Q66" s="250"/>
      <c r="R66" s="250"/>
    </row>
    <row r="67" spans="1:18" ht="30">
      <c r="A67" s="60" t="s">
        <v>921</v>
      </c>
      <c r="B67" s="61" t="s">
        <v>909</v>
      </c>
      <c r="C67" s="8" t="s">
        <v>892</v>
      </c>
      <c r="D67" s="250"/>
      <c r="E67" s="250"/>
      <c r="F67" s="250"/>
      <c r="G67" s="250"/>
      <c r="H67" s="250"/>
      <c r="I67" s="250"/>
      <c r="J67" s="250"/>
      <c r="K67" s="250"/>
      <c r="L67" s="250"/>
      <c r="M67" s="250"/>
      <c r="N67" s="250"/>
      <c r="O67" s="250"/>
      <c r="P67" s="250"/>
      <c r="Q67" s="250"/>
      <c r="R67" s="250"/>
    </row>
    <row r="68" spans="1:18" ht="30">
      <c r="A68" s="60" t="s">
        <v>926</v>
      </c>
      <c r="B68" s="61" t="s">
        <v>909</v>
      </c>
      <c r="C68" s="8" t="s">
        <v>892</v>
      </c>
      <c r="D68" s="250"/>
      <c r="E68" s="250"/>
      <c r="F68" s="250"/>
      <c r="G68" s="250"/>
      <c r="H68" s="250"/>
      <c r="I68" s="250"/>
      <c r="J68" s="250"/>
      <c r="K68" s="250"/>
      <c r="L68" s="250"/>
      <c r="M68" s="250"/>
      <c r="N68" s="250"/>
      <c r="O68" s="250"/>
      <c r="P68" s="250"/>
      <c r="Q68" s="250"/>
      <c r="R68" s="250"/>
    </row>
    <row r="69" spans="1:18">
      <c r="A69" s="60" t="s">
        <v>927</v>
      </c>
      <c r="B69" s="61" t="s">
        <v>910</v>
      </c>
      <c r="C69" s="8" t="s">
        <v>892</v>
      </c>
      <c r="D69" s="250"/>
      <c r="E69" s="250"/>
      <c r="F69" s="250"/>
      <c r="G69" s="250"/>
      <c r="H69" s="250"/>
      <c r="I69" s="250"/>
      <c r="J69" s="250"/>
      <c r="K69" s="250"/>
      <c r="L69" s="250"/>
      <c r="M69" s="250"/>
      <c r="N69" s="250"/>
      <c r="O69" s="250"/>
      <c r="P69" s="250"/>
      <c r="Q69" s="250"/>
      <c r="R69" s="250"/>
    </row>
    <row r="70" spans="1:18">
      <c r="A70" s="60" t="s">
        <v>928</v>
      </c>
      <c r="B70" s="61" t="s">
        <v>911</v>
      </c>
      <c r="C70" s="8" t="s">
        <v>892</v>
      </c>
      <c r="D70" s="250"/>
      <c r="E70" s="250"/>
      <c r="F70" s="250"/>
      <c r="G70" s="250"/>
      <c r="H70" s="250"/>
      <c r="I70" s="250"/>
      <c r="J70" s="250"/>
      <c r="K70" s="250"/>
      <c r="L70" s="250"/>
      <c r="M70" s="250"/>
      <c r="N70" s="250"/>
      <c r="O70" s="250"/>
      <c r="P70" s="250"/>
      <c r="Q70" s="250"/>
      <c r="R70" s="250"/>
    </row>
    <row r="71" spans="1:18">
      <c r="A71" s="60" t="s">
        <v>921</v>
      </c>
      <c r="B71" s="61" t="s">
        <v>913</v>
      </c>
      <c r="C71" s="8" t="s">
        <v>892</v>
      </c>
      <c r="D71" s="250"/>
      <c r="E71" s="250"/>
      <c r="F71" s="250"/>
      <c r="G71" s="250"/>
      <c r="H71" s="250"/>
      <c r="I71" s="250"/>
      <c r="J71" s="250"/>
      <c r="K71" s="250"/>
      <c r="L71" s="250"/>
      <c r="M71" s="250"/>
      <c r="N71" s="250"/>
      <c r="O71" s="250"/>
      <c r="P71" s="250"/>
      <c r="Q71" s="250"/>
      <c r="R71" s="250"/>
    </row>
    <row r="72" spans="1:18" ht="30">
      <c r="A72" s="60" t="s">
        <v>929</v>
      </c>
      <c r="B72" s="61" t="s">
        <v>930</v>
      </c>
      <c r="C72" s="8" t="s">
        <v>138</v>
      </c>
      <c r="D72" s="250"/>
      <c r="E72" s="250"/>
      <c r="F72" s="250"/>
      <c r="G72" s="250"/>
      <c r="H72" s="250"/>
      <c r="I72" s="250"/>
      <c r="J72" s="250"/>
      <c r="K72" s="250"/>
      <c r="L72" s="250"/>
      <c r="M72" s="250"/>
      <c r="N72" s="250"/>
      <c r="O72" s="250"/>
      <c r="P72" s="250"/>
      <c r="Q72" s="250"/>
      <c r="R72" s="250"/>
    </row>
    <row r="74" spans="1:18" ht="64.5" customHeight="1">
      <c r="A74" s="1963" t="s">
        <v>931</v>
      </c>
      <c r="B74" s="1963"/>
      <c r="C74" s="1963"/>
      <c r="D74" s="1963"/>
      <c r="E74" s="1963"/>
      <c r="F74" s="1963"/>
      <c r="G74" s="1963"/>
      <c r="H74" s="1963"/>
      <c r="I74" s="1963"/>
      <c r="J74" s="1963"/>
      <c r="K74" s="1963"/>
      <c r="L74" s="1963"/>
      <c r="M74" s="1963"/>
      <c r="N74" s="1963"/>
      <c r="O74" s="1963"/>
    </row>
    <row r="76" spans="1:18">
      <c r="A76" s="1" t="s">
        <v>88</v>
      </c>
    </row>
    <row r="77" spans="1:18" ht="51.75" customHeight="1">
      <c r="A77" s="1963" t="s">
        <v>932</v>
      </c>
      <c r="B77" s="1963"/>
      <c r="C77" s="1963"/>
      <c r="D77" s="1963"/>
      <c r="E77" s="1963"/>
      <c r="F77" s="1963"/>
      <c r="G77" s="1963"/>
      <c r="H77" s="1963"/>
      <c r="I77" s="1963"/>
      <c r="J77" s="1963"/>
      <c r="K77" s="1963"/>
      <c r="L77" s="1963"/>
      <c r="M77" s="1963"/>
      <c r="N77" s="1963"/>
      <c r="O77" s="1963"/>
    </row>
    <row r="78" spans="1:18" ht="69" customHeight="1">
      <c r="A78" s="1963" t="s">
        <v>933</v>
      </c>
      <c r="B78" s="1963"/>
      <c r="C78" s="1963"/>
      <c r="D78" s="1963"/>
      <c r="E78" s="1963"/>
      <c r="F78" s="1963"/>
      <c r="G78" s="1963"/>
      <c r="H78" s="1963"/>
      <c r="I78" s="1963"/>
      <c r="J78" s="1963"/>
      <c r="K78" s="1963"/>
      <c r="L78" s="1963"/>
      <c r="M78" s="1963"/>
      <c r="N78" s="1963"/>
      <c r="O78" s="1963"/>
    </row>
  </sheetData>
  <mergeCells count="4">
    <mergeCell ref="A3:O3"/>
    <mergeCell ref="A74:O74"/>
    <mergeCell ref="A77:O77"/>
    <mergeCell ref="A78:O78"/>
  </mergeCells>
  <pageMargins left="0.78740157480314965" right="0.31496062992125984" top="0.51181102362204722" bottom="0.23622047244094491" header="0.43307086614173229" footer="0.19685039370078741"/>
  <pageSetup paperSize="9" scale="50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R78"/>
  <sheetViews>
    <sheetView view="pageBreakPreview" zoomScaleNormal="100" zoomScaleSheetLayoutView="100" workbookViewId="0">
      <pane xSplit="2" ySplit="5" topLeftCell="C15" activePane="bottomRight" state="frozen"/>
      <selection activeCell="F4" sqref="F4"/>
      <selection pane="topRight" activeCell="F4" sqref="F4"/>
      <selection pane="bottomLeft" activeCell="F4" sqref="F4"/>
      <selection pane="bottomRight" activeCell="F4" sqref="F4"/>
    </sheetView>
  </sheetViews>
  <sheetFormatPr defaultColWidth="2.85546875" defaultRowHeight="15"/>
  <cols>
    <col min="1" max="1" width="6.42578125" style="1" customWidth="1"/>
    <col min="2" max="2" width="36.42578125" style="1" customWidth="1"/>
    <col min="3" max="3" width="11.140625" style="21" customWidth="1"/>
    <col min="4" max="4" width="13.140625" style="1" hidden="1" customWidth="1"/>
    <col min="5" max="5" width="13" style="1" hidden="1" customWidth="1"/>
    <col min="6" max="6" width="13.140625" style="1" customWidth="1"/>
    <col min="7" max="8" width="13" style="1" customWidth="1"/>
    <col min="9" max="9" width="13" style="1" hidden="1" customWidth="1"/>
    <col min="10" max="11" width="13" style="1" customWidth="1"/>
    <col min="12" max="12" width="16" style="1" customWidth="1"/>
    <col min="13" max="13" width="12.5703125" style="1" customWidth="1"/>
    <col min="14" max="14" width="12.7109375" style="1" customWidth="1"/>
    <col min="15" max="15" width="12.85546875" style="1" customWidth="1"/>
    <col min="16" max="16" width="12.28515625" style="1" customWidth="1"/>
    <col min="17" max="92" width="11.140625" style="1" customWidth="1"/>
    <col min="93" max="16384" width="2.85546875" style="1"/>
  </cols>
  <sheetData>
    <row r="1" spans="1:18" s="5" customFormat="1" ht="18" customHeight="1">
      <c r="A1" s="74" t="s">
        <v>1860</v>
      </c>
      <c r="C1" s="20"/>
      <c r="M1" s="6"/>
      <c r="N1" s="6"/>
      <c r="O1" s="6" t="s">
        <v>1060</v>
      </c>
      <c r="R1" s="6" t="s">
        <v>1060</v>
      </c>
    </row>
    <row r="2" spans="1:18" s="5" customFormat="1" ht="18" customHeight="1">
      <c r="A2" s="105" t="str">
        <f>'4.9_свод '!A2</f>
        <v>КТЭЦ + котельные СВОД</v>
      </c>
      <c r="C2" s="20"/>
    </row>
    <row r="3" spans="1:18" ht="18.75">
      <c r="A3" s="1877" t="s">
        <v>1165</v>
      </c>
      <c r="B3" s="1877"/>
      <c r="C3" s="1877"/>
      <c r="D3" s="1877"/>
      <c r="E3" s="1877"/>
      <c r="F3" s="1877"/>
      <c r="G3" s="1877"/>
      <c r="H3" s="1877"/>
      <c r="I3" s="1877"/>
      <c r="J3" s="1877"/>
      <c r="K3" s="1877"/>
      <c r="L3" s="1877"/>
      <c r="M3" s="1877"/>
      <c r="N3" s="1877"/>
      <c r="O3" s="1877"/>
    </row>
    <row r="4" spans="1:18" ht="12.75" customHeight="1"/>
    <row r="5" spans="1:18" s="3" customFormat="1" ht="67.5" customHeight="1">
      <c r="A5" s="542" t="s">
        <v>451</v>
      </c>
      <c r="B5" s="542" t="s">
        <v>1</v>
      </c>
      <c r="C5" s="542" t="s">
        <v>2</v>
      </c>
      <c r="D5" s="540" t="s">
        <v>1129</v>
      </c>
      <c r="E5" s="540" t="s">
        <v>1130</v>
      </c>
      <c r="F5" s="913" t="s">
        <v>1520</v>
      </c>
      <c r="G5" s="1284" t="s">
        <v>1695</v>
      </c>
      <c r="H5" s="1310" t="s">
        <v>1702</v>
      </c>
      <c r="I5" s="1661" t="s">
        <v>1882</v>
      </c>
      <c r="J5" s="1576" t="s">
        <v>1828</v>
      </c>
      <c r="K5" s="1661" t="s">
        <v>1842</v>
      </c>
      <c r="L5" s="1631" t="s">
        <v>1861</v>
      </c>
      <c r="M5" s="1631" t="s">
        <v>1862</v>
      </c>
      <c r="N5" s="1631" t="s">
        <v>763</v>
      </c>
      <c r="O5" s="1631" t="s">
        <v>764</v>
      </c>
      <c r="P5" s="1631" t="s">
        <v>1863</v>
      </c>
      <c r="Q5" s="1631" t="s">
        <v>763</v>
      </c>
      <c r="R5" s="1631" t="s">
        <v>764</v>
      </c>
    </row>
    <row r="6" spans="1:18" s="2" customFormat="1">
      <c r="A6" s="13">
        <v>1</v>
      </c>
      <c r="B6" s="13">
        <v>2</v>
      </c>
      <c r="C6" s="13">
        <v>3</v>
      </c>
      <c r="D6" s="13">
        <v>4</v>
      </c>
      <c r="E6" s="13">
        <v>5</v>
      </c>
      <c r="F6" s="13">
        <v>4</v>
      </c>
      <c r="G6" s="13">
        <v>5</v>
      </c>
      <c r="H6" s="13">
        <v>6</v>
      </c>
      <c r="I6" s="13"/>
      <c r="J6" s="13">
        <v>7</v>
      </c>
      <c r="K6" s="13">
        <v>8</v>
      </c>
      <c r="L6" s="13">
        <v>9</v>
      </c>
      <c r="M6" s="13">
        <v>10</v>
      </c>
      <c r="N6" s="13">
        <v>11</v>
      </c>
      <c r="O6" s="13">
        <v>12</v>
      </c>
      <c r="P6" s="13">
        <v>13</v>
      </c>
      <c r="Q6" s="13">
        <v>14</v>
      </c>
      <c r="R6" s="13">
        <v>15</v>
      </c>
    </row>
    <row r="7" spans="1:18" s="36" customFormat="1" ht="15" customHeight="1">
      <c r="A7" s="60" t="s">
        <v>4</v>
      </c>
      <c r="B7" s="61" t="s">
        <v>452</v>
      </c>
      <c r="C7" s="8" t="s">
        <v>453</v>
      </c>
      <c r="D7" s="391"/>
      <c r="E7" s="391"/>
      <c r="F7" s="391"/>
      <c r="G7" s="391"/>
      <c r="H7" s="391"/>
      <c r="I7" s="391"/>
      <c r="J7" s="391"/>
      <c r="K7" s="391"/>
      <c r="L7" s="391"/>
      <c r="M7" s="388"/>
      <c r="N7" s="388"/>
      <c r="O7" s="388"/>
      <c r="P7" s="388"/>
      <c r="Q7" s="388"/>
      <c r="R7" s="388"/>
    </row>
    <row r="8" spans="1:18" s="36" customFormat="1" ht="15" customHeight="1">
      <c r="A8" s="60" t="s">
        <v>5</v>
      </c>
      <c r="B8" s="61" t="s">
        <v>454</v>
      </c>
      <c r="C8" s="8" t="s">
        <v>453</v>
      </c>
      <c r="D8" s="388">
        <f>'4.9_сбыт КТЭЦ  '!D8+'4.9_сбыт ККЭ'!D8</f>
        <v>0</v>
      </c>
      <c r="E8" s="388">
        <f>'4.9_сбыт КТЭЦ  '!E8+'4.9_сбыт ККЭ'!E8</f>
        <v>66.650000000000006</v>
      </c>
      <c r="F8" s="388">
        <f>'4.9_сбыт КТЭЦ  '!F8+'4.9_сбыт ККЭ'!F8</f>
        <v>0</v>
      </c>
      <c r="G8" s="388">
        <v>66.650000000000006</v>
      </c>
      <c r="H8" s="388">
        <v>0</v>
      </c>
      <c r="I8" s="388"/>
      <c r="J8" s="388">
        <v>66.650000000000006</v>
      </c>
      <c r="K8" s="388">
        <v>0</v>
      </c>
      <c r="L8" s="388">
        <v>87.449999999999989</v>
      </c>
      <c r="M8" s="388">
        <v>87.449999999999989</v>
      </c>
      <c r="N8" s="388">
        <v>87.449999999999989</v>
      </c>
      <c r="O8" s="388">
        <v>87.449999999999989</v>
      </c>
      <c r="P8" s="388">
        <v>108.25</v>
      </c>
      <c r="Q8" s="388">
        <v>108.25</v>
      </c>
      <c r="R8" s="388">
        <v>108.25</v>
      </c>
    </row>
    <row r="9" spans="1:18" s="36" customFormat="1" ht="15" customHeight="1">
      <c r="A9" s="60"/>
      <c r="B9" s="61" t="s">
        <v>455</v>
      </c>
      <c r="C9" s="8" t="s">
        <v>453</v>
      </c>
      <c r="D9" s="388"/>
      <c r="E9" s="388"/>
      <c r="F9" s="388"/>
      <c r="G9" s="388"/>
      <c r="H9" s="388"/>
      <c r="I9" s="388"/>
      <c r="J9" s="388"/>
      <c r="K9" s="388"/>
      <c r="L9" s="388"/>
      <c r="M9" s="388"/>
      <c r="N9" s="388"/>
      <c r="O9" s="388"/>
      <c r="P9" s="388"/>
      <c r="Q9" s="388"/>
      <c r="R9" s="388"/>
    </row>
    <row r="10" spans="1:18" s="36" customFormat="1" ht="15" customHeight="1">
      <c r="A10" s="60" t="s">
        <v>11</v>
      </c>
      <c r="B10" s="61" t="s">
        <v>456</v>
      </c>
      <c r="C10" s="8" t="s">
        <v>453</v>
      </c>
      <c r="D10" s="388">
        <f>'4.9_сбыт КТЭЦ  '!D10+'4.9_сбыт ККЭ'!D10</f>
        <v>0</v>
      </c>
      <c r="E10" s="388">
        <f>'4.9_сбыт КТЭЦ  '!E10+'4.9_сбыт ККЭ'!E10</f>
        <v>61.65</v>
      </c>
      <c r="F10" s="388">
        <f>'4.9_сбыт КТЭЦ  '!F10+'4.9_сбыт ККЭ'!F10</f>
        <v>0</v>
      </c>
      <c r="G10" s="388">
        <v>61.65</v>
      </c>
      <c r="H10" s="388">
        <v>0</v>
      </c>
      <c r="I10" s="388"/>
      <c r="J10" s="388">
        <v>61.65</v>
      </c>
      <c r="K10" s="388">
        <v>0</v>
      </c>
      <c r="L10" s="388">
        <v>82.449999999999989</v>
      </c>
      <c r="M10" s="388">
        <v>82.449999999999989</v>
      </c>
      <c r="N10" s="388">
        <v>82.449999999999989</v>
      </c>
      <c r="O10" s="388">
        <v>82.449999999999989</v>
      </c>
      <c r="P10" s="388">
        <v>103.25</v>
      </c>
      <c r="Q10" s="388">
        <v>103.25</v>
      </c>
      <c r="R10" s="388">
        <v>103.25</v>
      </c>
    </row>
    <row r="11" spans="1:18" s="36" customFormat="1" ht="15" customHeight="1">
      <c r="A11" s="60"/>
      <c r="B11" s="61" t="s">
        <v>457</v>
      </c>
      <c r="C11" s="8" t="s">
        <v>453</v>
      </c>
      <c r="D11" s="388"/>
      <c r="E11" s="388"/>
      <c r="F11" s="388"/>
      <c r="G11" s="388"/>
      <c r="H11" s="388"/>
      <c r="I11" s="388"/>
      <c r="J11" s="388"/>
      <c r="K11" s="388"/>
      <c r="L11" s="388"/>
      <c r="M11" s="388"/>
      <c r="N11" s="388"/>
      <c r="O11" s="388"/>
      <c r="P11" s="388"/>
      <c r="Q11" s="388"/>
      <c r="R11" s="388"/>
    </row>
    <row r="12" spans="1:18" s="36" customFormat="1" ht="15" customHeight="1">
      <c r="A12" s="60" t="s">
        <v>445</v>
      </c>
      <c r="B12" s="61" t="s">
        <v>458</v>
      </c>
      <c r="C12" s="8" t="s">
        <v>453</v>
      </c>
      <c r="D12" s="388">
        <f>'4.9_сбыт КТЭЦ  '!D12+'4.9_сбыт ККЭ'!D12</f>
        <v>0</v>
      </c>
      <c r="E12" s="388">
        <f>'4.9_сбыт КТЭЦ  '!E12+'4.9_сбыт ККЭ'!E12</f>
        <v>68</v>
      </c>
      <c r="F12" s="388">
        <f>'4.9_сбыт КТЭЦ  '!F12+'4.9_сбыт ККЭ'!F12</f>
        <v>0</v>
      </c>
      <c r="G12" s="388">
        <v>61</v>
      </c>
      <c r="H12" s="388">
        <v>0</v>
      </c>
      <c r="I12" s="388"/>
      <c r="J12" s="388">
        <v>61</v>
      </c>
      <c r="K12" s="388">
        <v>0</v>
      </c>
      <c r="L12" s="388">
        <v>0</v>
      </c>
      <c r="M12" s="388">
        <v>0</v>
      </c>
      <c r="N12" s="388">
        <v>0</v>
      </c>
      <c r="O12" s="388">
        <v>0</v>
      </c>
      <c r="P12" s="388">
        <v>0</v>
      </c>
      <c r="Q12" s="388">
        <v>0</v>
      </c>
      <c r="R12" s="388">
        <v>0</v>
      </c>
    </row>
    <row r="13" spans="1:18" s="36" customFormat="1" ht="15" customHeight="1">
      <c r="A13" s="60"/>
      <c r="B13" s="61" t="s">
        <v>459</v>
      </c>
      <c r="C13" s="8" t="s">
        <v>138</v>
      </c>
      <c r="D13" s="391" t="e">
        <f>D12/D8*100</f>
        <v>#DIV/0!</v>
      </c>
      <c r="E13" s="391">
        <f t="shared" ref="E13:O13" si="0">E12/E8*100</f>
        <v>102.02550637659414</v>
      </c>
      <c r="F13" s="391" t="e">
        <f t="shared" si="0"/>
        <v>#DIV/0!</v>
      </c>
      <c r="G13" s="391">
        <v>91.522880720180027</v>
      </c>
      <c r="H13" s="391" t="e">
        <v>#DIV/0!</v>
      </c>
      <c r="I13" s="391"/>
      <c r="J13" s="391">
        <v>91.522880720180027</v>
      </c>
      <c r="K13" s="391" t="e">
        <v>#DIV/0!</v>
      </c>
      <c r="L13" s="391">
        <v>0</v>
      </c>
      <c r="M13" s="391">
        <v>0</v>
      </c>
      <c r="N13" s="391">
        <v>0</v>
      </c>
      <c r="O13" s="391">
        <v>0</v>
      </c>
      <c r="P13" s="391">
        <v>0</v>
      </c>
      <c r="Q13" s="391">
        <v>0</v>
      </c>
      <c r="R13" s="391">
        <v>0</v>
      </c>
    </row>
    <row r="14" spans="1:18" s="36" customFormat="1" ht="15" customHeight="1">
      <c r="A14" s="60" t="s">
        <v>446</v>
      </c>
      <c r="B14" s="61" t="s">
        <v>460</v>
      </c>
      <c r="C14" s="8" t="s">
        <v>453</v>
      </c>
      <c r="D14" s="388"/>
      <c r="E14" s="388"/>
      <c r="F14" s="388"/>
      <c r="G14" s="388"/>
      <c r="H14" s="388"/>
      <c r="I14" s="388"/>
      <c r="J14" s="388"/>
      <c r="K14" s="388"/>
      <c r="L14" s="388"/>
      <c r="M14" s="388"/>
      <c r="N14" s="388"/>
      <c r="O14" s="388"/>
      <c r="P14" s="388"/>
      <c r="Q14" s="388"/>
      <c r="R14" s="388"/>
    </row>
    <row r="15" spans="1:18" s="36" customFormat="1" ht="15" customHeight="1">
      <c r="A15" s="60" t="s">
        <v>461</v>
      </c>
      <c r="B15" s="61" t="s">
        <v>462</v>
      </c>
      <c r="C15" s="8" t="s">
        <v>453</v>
      </c>
      <c r="D15" s="609">
        <f>'4.9_сбыт КТЭЦ  '!D15+'4.9_сбыт ККЭ'!D15</f>
        <v>53.764459930313592</v>
      </c>
      <c r="E15" s="609">
        <f>'4.9_сбыт КТЭЦ  '!E15+'4.9_сбыт ККЭ'!E15</f>
        <v>68</v>
      </c>
      <c r="F15" s="609">
        <f>'4.9_сбыт КТЭЦ  '!F15+'4.9_сбыт ККЭ'!F15</f>
        <v>0</v>
      </c>
      <c r="G15" s="609">
        <v>74</v>
      </c>
      <c r="H15" s="609">
        <v>0</v>
      </c>
      <c r="I15" s="609"/>
      <c r="J15" s="609">
        <v>74.400000000000006</v>
      </c>
      <c r="K15" s="609">
        <v>0</v>
      </c>
      <c r="L15" s="609">
        <v>75.5</v>
      </c>
      <c r="M15" s="609">
        <v>75.5</v>
      </c>
      <c r="N15" s="609">
        <v>75.5</v>
      </c>
      <c r="O15" s="609">
        <v>75.5</v>
      </c>
      <c r="P15" s="609">
        <v>75.5</v>
      </c>
      <c r="Q15" s="609">
        <v>75.5</v>
      </c>
      <c r="R15" s="609">
        <v>75.5</v>
      </c>
    </row>
    <row r="16" spans="1:18" s="36" customFormat="1" ht="15" customHeight="1">
      <c r="A16" s="60" t="s">
        <v>23</v>
      </c>
      <c r="B16" s="61" t="s">
        <v>463</v>
      </c>
      <c r="C16" s="8"/>
      <c r="D16" s="388"/>
      <c r="E16" s="388"/>
      <c r="F16" s="388"/>
      <c r="G16" s="388"/>
      <c r="H16" s="388"/>
      <c r="I16" s="388"/>
      <c r="J16" s="388"/>
      <c r="K16" s="388"/>
      <c r="L16" s="388"/>
      <c r="M16" s="388"/>
      <c r="N16" s="388"/>
      <c r="O16" s="388"/>
      <c r="P16" s="388"/>
      <c r="Q16" s="388"/>
      <c r="R16" s="388"/>
    </row>
    <row r="17" spans="1:18" s="36" customFormat="1" ht="15" customHeight="1">
      <c r="A17" s="60" t="s">
        <v>24</v>
      </c>
      <c r="B17" s="61" t="s">
        <v>464</v>
      </c>
      <c r="C17" s="8" t="s">
        <v>465</v>
      </c>
      <c r="D17" s="337">
        <f>'4.9_сбыт КТЭЦ  '!D17</f>
        <v>4535.55</v>
      </c>
      <c r="E17" s="337">
        <f>'4.9_сбыт КТЭЦ  '!E17</f>
        <v>4896</v>
      </c>
      <c r="F17" s="337">
        <f>'4.9_сбыт КТЭЦ  '!F17</f>
        <v>0</v>
      </c>
      <c r="G17" s="337">
        <v>5628</v>
      </c>
      <c r="H17" s="337">
        <v>0</v>
      </c>
      <c r="I17" s="337"/>
      <c r="J17" s="337">
        <v>5778</v>
      </c>
      <c r="K17" s="337">
        <v>0</v>
      </c>
      <c r="L17" s="337">
        <v>6671</v>
      </c>
      <c r="M17" s="337">
        <v>7248</v>
      </c>
      <c r="N17" s="337">
        <v>7398</v>
      </c>
      <c r="O17" s="337">
        <v>7592</v>
      </c>
      <c r="P17" s="337">
        <v>7745</v>
      </c>
      <c r="Q17" s="337">
        <v>7899</v>
      </c>
      <c r="R17" s="337">
        <v>8105</v>
      </c>
    </row>
    <row r="18" spans="1:18" s="36" customFormat="1" ht="15" customHeight="1">
      <c r="A18" s="60" t="s">
        <v>24</v>
      </c>
      <c r="B18" s="61" t="s">
        <v>466</v>
      </c>
      <c r="C18" s="8"/>
      <c r="D18" s="389">
        <f>D19/D17</f>
        <v>1.071</v>
      </c>
      <c r="E18" s="389">
        <f t="shared" ref="E18:O18" si="1">E19/E17</f>
        <v>1.0347222222222223</v>
      </c>
      <c r="F18" s="389" t="e">
        <f t="shared" si="1"/>
        <v>#DIV/0!</v>
      </c>
      <c r="G18" s="389">
        <v>1.0266524520255864</v>
      </c>
      <c r="H18" s="389" t="e">
        <v>#DIV/0!</v>
      </c>
      <c r="I18" s="389"/>
      <c r="J18" s="389">
        <v>1.1545517480096918</v>
      </c>
      <c r="K18" s="389" t="e">
        <v>#DIV/0!</v>
      </c>
      <c r="L18" s="389">
        <v>1.0864937790436215</v>
      </c>
      <c r="M18" s="389">
        <v>1.0685706401766004</v>
      </c>
      <c r="N18" s="389">
        <v>1.0262233035955663</v>
      </c>
      <c r="O18" s="389">
        <v>1.0404373024236038</v>
      </c>
      <c r="P18" s="389">
        <v>1.0589412524209167</v>
      </c>
      <c r="Q18" s="389">
        <v>1.0260792505380427</v>
      </c>
      <c r="R18" s="389">
        <v>1.0238124614435533</v>
      </c>
    </row>
    <row r="19" spans="1:18" s="36" customFormat="1" ht="30" customHeight="1">
      <c r="A19" s="60" t="s">
        <v>139</v>
      </c>
      <c r="B19" s="61" t="s">
        <v>467</v>
      </c>
      <c r="C19" s="8" t="s">
        <v>465</v>
      </c>
      <c r="D19" s="337">
        <f>'4.9_сбыт КТЭЦ  '!D19</f>
        <v>4857.5740500000002</v>
      </c>
      <c r="E19" s="337">
        <f>'4.9_сбыт КТЭЦ  '!E19</f>
        <v>5066</v>
      </c>
      <c r="F19" s="337">
        <f>'4.9_сбыт КТЭЦ  '!F19</f>
        <v>0</v>
      </c>
      <c r="G19" s="337">
        <v>5778</v>
      </c>
      <c r="H19" s="337">
        <v>0</v>
      </c>
      <c r="I19" s="337"/>
      <c r="J19" s="337">
        <v>6671</v>
      </c>
      <c r="K19" s="337">
        <v>0</v>
      </c>
      <c r="L19" s="337">
        <v>7248</v>
      </c>
      <c r="M19" s="337">
        <v>7745</v>
      </c>
      <c r="N19" s="337">
        <v>7592</v>
      </c>
      <c r="O19" s="337">
        <v>7899</v>
      </c>
      <c r="P19" s="337">
        <v>8201.5</v>
      </c>
      <c r="Q19" s="337">
        <v>8105</v>
      </c>
      <c r="R19" s="337">
        <v>8298</v>
      </c>
    </row>
    <row r="20" spans="1:18" s="36" customFormat="1" ht="15" customHeight="1">
      <c r="A20" s="60" t="s">
        <v>433</v>
      </c>
      <c r="B20" s="61" t="s">
        <v>468</v>
      </c>
      <c r="C20" s="8"/>
      <c r="D20" s="251">
        <f>('4.9_сбыт КТЭЦ  '!$D$15*'4.9_сбыт КТЭЦ  '!D20+'4.9_сбыт ККЭ'!$D$15*'4.9_сбыт ККЭ'!D20)/'4.9_сбыт (свод)'!$D$15</f>
        <v>9.908175833333301</v>
      </c>
      <c r="E20" s="251">
        <f>('4.9_сбыт КТЭЦ  '!$E$15*'4.9_сбыт КТЭЦ  '!E20+'4.9_сбыт ККЭ'!$E$15*'4.9_сбыт ККЭ'!E20)/'4.9_сбыт (свод)'!$E$15</f>
        <v>14.914617647058821</v>
      </c>
      <c r="F20" s="251" t="e">
        <f>('4.9_сбыт КТЭЦ  '!$F$15*'4.9_сбыт КТЭЦ  '!F20+'4.9_сбыт ККЭ'!$F$15*'4.9_сбыт ККЭ'!F20)/'4.9_сбыт (свод)'!$F$15</f>
        <v>#DIV/0!</v>
      </c>
      <c r="G20" s="251">
        <v>13.253243243243244</v>
      </c>
      <c r="H20" s="251" t="e">
        <v>#DIV/0!</v>
      </c>
      <c r="I20" s="251"/>
      <c r="J20" s="251">
        <v>0</v>
      </c>
      <c r="K20" s="251" t="e">
        <v>#DIV/0!</v>
      </c>
      <c r="L20" s="251">
        <v>0</v>
      </c>
      <c r="M20" s="251">
        <v>0</v>
      </c>
      <c r="N20" s="251">
        <v>0</v>
      </c>
      <c r="O20" s="251">
        <v>0</v>
      </c>
      <c r="P20" s="251">
        <v>0</v>
      </c>
      <c r="Q20" s="251">
        <v>0</v>
      </c>
      <c r="R20" s="251">
        <v>0</v>
      </c>
    </row>
    <row r="21" spans="1:18" s="36" customFormat="1" ht="30" customHeight="1">
      <c r="A21" s="60" t="s">
        <v>433</v>
      </c>
      <c r="B21" s="61" t="s">
        <v>469</v>
      </c>
      <c r="C21" s="8"/>
      <c r="D21" s="251">
        <f>('4.9_сбыт КТЭЦ  '!$D$15*'4.9_сбыт КТЭЦ  '!D21+'4.9_сбыт ККЭ'!$D$15*'4.9_сбыт ККЭ'!D21)/'4.9_сбыт (свод)'!$D$15</f>
        <v>2.8301649750000077</v>
      </c>
      <c r="E21" s="251">
        <f>('4.9_сбыт КТЭЦ  '!$E$15*'4.9_сбыт КТЭЦ  '!E21+'4.9_сбыт ККЭ'!$E$15*'4.9_сбыт ККЭ'!E21)/'4.9_сбыт (свод)'!$E$15</f>
        <v>4.8048205882352937</v>
      </c>
      <c r="F21" s="251" t="e">
        <f>('4.9_сбыт КТЭЦ  '!$F$15*'4.9_сбыт КТЭЦ  '!F21+'4.9_сбыт ККЭ'!$F$15*'4.9_сбыт ККЭ'!F21)/'4.9_сбыт (свод)'!$F$15</f>
        <v>#DIV/0!</v>
      </c>
      <c r="G21" s="251">
        <v>4.4308108108108106</v>
      </c>
      <c r="H21" s="251" t="e">
        <v>#DIV/0!</v>
      </c>
      <c r="I21" s="251"/>
      <c r="J21" s="251">
        <v>4.2405161290322573</v>
      </c>
      <c r="K21" s="251" t="e">
        <v>#DIV/0!</v>
      </c>
      <c r="L21" s="251">
        <v>4.314834437086092</v>
      </c>
      <c r="M21" s="251">
        <v>4.3763576158940403</v>
      </c>
      <c r="N21" s="251">
        <v>4.3763576158940403</v>
      </c>
      <c r="O21" s="251">
        <v>4.3763576158940403</v>
      </c>
      <c r="P21" s="251">
        <v>4.3763576158940403</v>
      </c>
      <c r="Q21" s="251">
        <v>4.3763576158940403</v>
      </c>
      <c r="R21" s="251">
        <v>4.3763576158940403</v>
      </c>
    </row>
    <row r="22" spans="1:18" s="36" customFormat="1" ht="15" customHeight="1">
      <c r="A22" s="60" t="s">
        <v>433</v>
      </c>
      <c r="B22" s="61" t="s">
        <v>470</v>
      </c>
      <c r="C22" s="8" t="s">
        <v>465</v>
      </c>
      <c r="D22" s="250">
        <f>('4.9_сбыт КТЭЦ  '!$D$15*'4.9_сбыт КТЭЦ  '!D22+'4.9_сбыт ККЭ'!$D$15*'4.9_сбыт ККЭ'!D22)/'4.9_сбыт (свод)'!$D$15</f>
        <v>13747.735939778935</v>
      </c>
      <c r="E22" s="250">
        <f>('4.9_сбыт КТЭЦ  '!$E$15*'4.9_сбыт КТЭЦ  '!E22+'4.9_сбыт ККЭ'!$E$15*'4.9_сбыт ККЭ'!E22)/'4.9_сбыт (свод)'!$E$15</f>
        <v>24342.526982352938</v>
      </c>
      <c r="F22" s="250" t="e">
        <f>('4.9_сбыт КТЭЦ  '!$F$15*'4.9_сбыт КТЭЦ  '!F22+'4.9_сбыт ККЭ'!$F$15*'4.9_сбыт ККЭ'!F22)/'4.9_сбыт (свод)'!$F$15</f>
        <v>#DIV/0!</v>
      </c>
      <c r="G22" s="250">
        <v>25601.224864864864</v>
      </c>
      <c r="H22" s="250" t="e">
        <v>#DIV/0!</v>
      </c>
      <c r="I22" s="250"/>
      <c r="J22" s="250">
        <v>28288.483096774187</v>
      </c>
      <c r="K22" s="250" t="e">
        <v>#DIV/0!</v>
      </c>
      <c r="L22" s="250">
        <v>31273.919999999998</v>
      </c>
      <c r="M22" s="250">
        <v>33894.889735099336</v>
      </c>
      <c r="N22" s="250">
        <v>33225.307019867549</v>
      </c>
      <c r="O22" s="250">
        <v>34568.848807947019</v>
      </c>
      <c r="P22" s="250">
        <v>35892.696986754971</v>
      </c>
      <c r="Q22" s="250">
        <v>35470.378476821192</v>
      </c>
      <c r="R22" s="250">
        <v>36315.015496688742</v>
      </c>
    </row>
    <row r="23" spans="1:18" s="36" customFormat="1" ht="30" customHeight="1">
      <c r="A23" s="60" t="s">
        <v>471</v>
      </c>
      <c r="B23" s="61" t="s">
        <v>472</v>
      </c>
      <c r="C23" s="8"/>
      <c r="D23" s="388"/>
      <c r="E23" s="388"/>
      <c r="F23" s="388"/>
      <c r="G23" s="388"/>
      <c r="H23" s="388"/>
      <c r="I23" s="388"/>
      <c r="J23" s="388"/>
      <c r="K23" s="388"/>
      <c r="L23" s="388"/>
      <c r="M23" s="388"/>
      <c r="N23" s="388"/>
      <c r="O23" s="388"/>
      <c r="P23" s="388"/>
      <c r="Q23" s="388"/>
      <c r="R23" s="388"/>
    </row>
    <row r="24" spans="1:18" s="36" customFormat="1" ht="15" customHeight="1">
      <c r="A24" s="60"/>
      <c r="B24" s="70" t="s">
        <v>473</v>
      </c>
      <c r="C24" s="8" t="s">
        <v>138</v>
      </c>
      <c r="D24" s="251">
        <f>('4.9_сбыт КТЭЦ  '!$D$15*'4.9_сбыт КТЭЦ  '!D24+'4.9_сбыт ККЭ'!$D$15*'4.9_сбыт ККЭ'!D24)/'4.9_сбыт (свод)'!$D$15</f>
        <v>9.9628222222222238</v>
      </c>
      <c r="E24" s="251">
        <f>('4.9_сбыт КТЭЦ  '!$E$15*'4.9_сбыт КТЭЦ  '!E24+'4.9_сбыт ККЭ'!$E$15*'4.9_сбыт ККЭ'!E24)/'4.9_сбыт (свод)'!$E$15</f>
        <v>7.2218323529411759</v>
      </c>
      <c r="F24" s="251" t="e">
        <f>('4.9_сбыт КТЭЦ  '!$F$15*'4.9_сбыт КТЭЦ  '!F24+'4.9_сбыт ККЭ'!$F$15*'4.9_сбыт ККЭ'!F24)/'4.9_сбыт (свод)'!$F$15</f>
        <v>#DIV/0!</v>
      </c>
      <c r="G24" s="251">
        <v>6.4440540540540541</v>
      </c>
      <c r="H24" s="251" t="e">
        <v>#DIV/0!</v>
      </c>
      <c r="I24" s="251"/>
      <c r="J24" s="251">
        <v>5.7209677419354836</v>
      </c>
      <c r="K24" s="251" t="e">
        <v>#DIV/0!</v>
      </c>
      <c r="L24" s="251">
        <v>6.0906225165562908</v>
      </c>
      <c r="M24" s="251">
        <v>6.0906225165562908</v>
      </c>
      <c r="N24" s="251">
        <v>6.0906225165562908</v>
      </c>
      <c r="O24" s="251">
        <v>6.0906225165562908</v>
      </c>
      <c r="P24" s="251">
        <v>6.0906225165562908</v>
      </c>
      <c r="Q24" s="251">
        <v>6.0906225165562908</v>
      </c>
      <c r="R24" s="251">
        <v>6.0906225165562908</v>
      </c>
    </row>
    <row r="25" spans="1:18" s="36" customFormat="1" ht="15" customHeight="1">
      <c r="A25" s="60"/>
      <c r="B25" s="70" t="s">
        <v>474</v>
      </c>
      <c r="C25" s="8" t="s">
        <v>465</v>
      </c>
      <c r="D25" s="250">
        <f>('4.9_сбыт КТЭЦ  '!$D$15*'4.9_сбыт КТЭЦ  '!D25+'4.9_сбыт ККЭ'!$D$15*'4.9_сбыт ККЭ'!D25)/'4.9_сбыт (свод)'!$D$15</f>
        <v>1369.6808570961348</v>
      </c>
      <c r="E25" s="250">
        <f>('4.9_сбыт КТЭЦ  '!$E$15*'4.9_сбыт КТЭЦ  '!E25+'4.9_сбыт ККЭ'!$E$15*'4.9_сбыт ККЭ'!E25)/'4.9_сбыт (свод)'!$E$15</f>
        <v>1752.9608510234705</v>
      </c>
      <c r="F25" s="250" t="e">
        <f>('4.9_сбыт КТЭЦ  '!$F$15*'4.9_сбыт КТЭЦ  '!F25+'4.9_сбыт ККЭ'!$F$15*'4.9_сбыт ККЭ'!F25)/'4.9_сбыт (свод)'!$F$15</f>
        <v>#DIV/0!</v>
      </c>
      <c r="G25" s="250">
        <v>1646.7919026810807</v>
      </c>
      <c r="H25" s="250" t="e">
        <v>#DIV/0!</v>
      </c>
      <c r="I25" s="250"/>
      <c r="J25" s="250">
        <v>1609.5913978494623</v>
      </c>
      <c r="K25" s="250" t="e">
        <v>#DIV/0!</v>
      </c>
      <c r="L25" s="250">
        <v>1929.9139072847681</v>
      </c>
      <c r="M25" s="250">
        <v>2095.4635761589402</v>
      </c>
      <c r="N25" s="250">
        <v>2054.298013245033</v>
      </c>
      <c r="O25" s="250">
        <v>2137.344370860927</v>
      </c>
      <c r="P25" s="250">
        <v>2219.3907284768211</v>
      </c>
      <c r="Q25" s="250">
        <v>2192.9470198675494</v>
      </c>
      <c r="R25" s="250">
        <v>2245.1192052980132</v>
      </c>
    </row>
    <row r="26" spans="1:18" s="36" customFormat="1" ht="15" customHeight="1">
      <c r="A26" s="60" t="s">
        <v>475</v>
      </c>
      <c r="B26" s="61" t="s">
        <v>476</v>
      </c>
      <c r="C26" s="8"/>
      <c r="D26" s="337"/>
      <c r="E26" s="337"/>
      <c r="F26" s="337"/>
      <c r="G26" s="337"/>
      <c r="H26" s="337"/>
      <c r="I26" s="337"/>
      <c r="J26" s="337"/>
      <c r="K26" s="337"/>
      <c r="L26" s="337"/>
      <c r="M26" s="337"/>
      <c r="N26" s="337"/>
      <c r="O26" s="337"/>
      <c r="P26" s="337"/>
      <c r="Q26" s="337"/>
      <c r="R26" s="337"/>
    </row>
    <row r="27" spans="1:18" s="36" customFormat="1" ht="15" customHeight="1">
      <c r="A27" s="60"/>
      <c r="B27" s="70" t="s">
        <v>473</v>
      </c>
      <c r="C27" s="8" t="s">
        <v>138</v>
      </c>
      <c r="D27" s="251">
        <f>('4.9_сбыт КТЭЦ  '!$D$15*'4.9_сбыт КТЭЦ  '!D27+'4.9_сбыт ККЭ'!$D$15*'4.9_сбыт ККЭ'!D27)/'4.9_сбыт (свод)'!$D$15</f>
        <v>49.999999999999993</v>
      </c>
      <c r="E27" s="251">
        <f>('4.9_сбыт КТЭЦ  '!$E$15*'4.9_сбыт КТЭЦ  '!E27+'4.9_сбыт ККЭ'!$E$15*'4.9_сбыт ККЭ'!E27)/'4.9_сбыт (свод)'!$E$15</f>
        <v>42.123764705882351</v>
      </c>
      <c r="F27" s="251" t="e">
        <f>('4.9_сбыт КТЭЦ  '!$F$15*'4.9_сбыт КТЭЦ  '!F27+'4.9_сбыт ККЭ'!$F$15*'4.9_сбыт ККЭ'!F27)/'4.9_сбыт (свод)'!$F$15</f>
        <v>#DIV/0!</v>
      </c>
      <c r="G27" s="251">
        <v>47.976216216216223</v>
      </c>
      <c r="H27" s="251" t="e">
        <v>#DIV/0!</v>
      </c>
      <c r="I27" s="251"/>
      <c r="J27" s="251">
        <v>45.524193548387096</v>
      </c>
      <c r="K27" s="251" t="e">
        <v>#DIV/0!</v>
      </c>
      <c r="L27" s="251">
        <v>48.16275496688742</v>
      </c>
      <c r="M27" s="251">
        <v>50</v>
      </c>
      <c r="N27" s="251">
        <v>50</v>
      </c>
      <c r="O27" s="251">
        <v>50</v>
      </c>
      <c r="P27" s="251">
        <v>50</v>
      </c>
      <c r="Q27" s="251">
        <v>50</v>
      </c>
      <c r="R27" s="251">
        <v>50</v>
      </c>
    </row>
    <row r="28" spans="1:18" s="36" customFormat="1" ht="15" customHeight="1">
      <c r="A28" s="60"/>
      <c r="B28" s="70" t="s">
        <v>474</v>
      </c>
      <c r="C28" s="8" t="s">
        <v>465</v>
      </c>
      <c r="D28" s="250">
        <f>('4.9_сбыт КТЭЦ  '!$D$15*'4.9_сбыт КТЭЦ  '!D28+'4.9_сбыт ККЭ'!$D$15*'4.9_сбыт ККЭ'!D28)/'4.9_сбыт (свод)'!$D$15</f>
        <v>7558.7083984375358</v>
      </c>
      <c r="E28" s="250">
        <f>('4.9_сбыт КТЭЦ  '!$E$15*'4.9_сбыт КТЭЦ  '!E28+'4.9_сбыт ККЭ'!$E$15*'4.9_сбыт ККЭ'!E28)/'4.9_сбыт (свод)'!$E$15</f>
        <v>11011.884941647377</v>
      </c>
      <c r="F28" s="250" t="e">
        <f>('4.9_сбыт КТЭЦ  '!$F$15*'4.9_сбыт КТЭЦ  '!F28+'4.9_сбыт ККЭ'!$F$15*'4.9_сбыт ККЭ'!F28)/'4.9_сбыт (свод)'!$F$15</f>
        <v>#DIV/0!</v>
      </c>
      <c r="G28" s="250">
        <v>13047.625310365253</v>
      </c>
      <c r="H28" s="250" t="e">
        <v>#DIV/0!</v>
      </c>
      <c r="I28" s="250"/>
      <c r="J28" s="250">
        <v>13613.978494623654</v>
      </c>
      <c r="K28" s="250" t="e">
        <v>#DIV/0!</v>
      </c>
      <c r="L28" s="250">
        <v>16039.860927152318</v>
      </c>
      <c r="M28" s="250">
        <v>17995.079470198674</v>
      </c>
      <c r="N28" s="250">
        <v>17640.019867549669</v>
      </c>
      <c r="O28" s="250">
        <v>18353.284768211921</v>
      </c>
      <c r="P28" s="250">
        <v>19056.119205298015</v>
      </c>
      <c r="Q28" s="250">
        <v>18831.794701986753</v>
      </c>
      <c r="R28" s="250">
        <v>19279.72847682119</v>
      </c>
    </row>
    <row r="29" spans="1:18" s="36" customFormat="1" ht="15" customHeight="1">
      <c r="A29" s="60" t="s">
        <v>477</v>
      </c>
      <c r="B29" s="61" t="s">
        <v>478</v>
      </c>
      <c r="C29" s="8"/>
      <c r="D29" s="337"/>
      <c r="E29" s="337"/>
      <c r="F29" s="337"/>
      <c r="G29" s="337"/>
      <c r="H29" s="337"/>
      <c r="I29" s="337"/>
      <c r="J29" s="337"/>
      <c r="K29" s="337"/>
      <c r="L29" s="337"/>
      <c r="M29" s="337"/>
      <c r="N29" s="337"/>
      <c r="O29" s="337"/>
      <c r="P29" s="337"/>
      <c r="Q29" s="337"/>
      <c r="R29" s="337"/>
    </row>
    <row r="30" spans="1:18" s="36" customFormat="1" ht="15" customHeight="1">
      <c r="A30" s="60"/>
      <c r="B30" s="70" t="s">
        <v>473</v>
      </c>
      <c r="C30" s="8" t="s">
        <v>138</v>
      </c>
      <c r="D30" s="251">
        <f>('4.9_сбыт КТЭЦ  '!$D$15*'4.9_сбыт КТЭЦ  '!D30+'4.9_сбыт ККЭ'!$D$15*'4.9_сбыт ККЭ'!D30)/'4.9_сбыт (свод)'!$D$15</f>
        <v>9.0306666666666668</v>
      </c>
      <c r="E30" s="251">
        <f>('4.9_сбыт КТЭЦ  '!$E$15*'4.9_сбыт КТЭЦ  '!E30+'4.9_сбыт ККЭ'!$E$15*'4.9_сбыт ККЭ'!E30)/'4.9_сбыт (свод)'!$E$15</f>
        <v>7.77614705882353</v>
      </c>
      <c r="F30" s="251" t="e">
        <f>('4.9_сбыт КТЭЦ  '!$F$15*'4.9_сбыт КТЭЦ  '!F30+'4.9_сбыт ККЭ'!$F$15*'4.9_сбыт ККЭ'!F30)/'4.9_сбыт (свод)'!$F$15</f>
        <v>#DIV/0!</v>
      </c>
      <c r="G30" s="251">
        <v>7.4464864864864859</v>
      </c>
      <c r="H30" s="251" t="e">
        <v>#DIV/0!</v>
      </c>
      <c r="I30" s="251"/>
      <c r="J30" s="251">
        <v>8.7459677419354822</v>
      </c>
      <c r="K30" s="251" t="e">
        <v>#DIV/0!</v>
      </c>
      <c r="L30" s="251">
        <v>8.8527417218543043</v>
      </c>
      <c r="M30" s="251">
        <v>9.0185430463576157</v>
      </c>
      <c r="N30" s="251">
        <v>9.0185430463576157</v>
      </c>
      <c r="O30" s="251">
        <v>9.0185430463576157</v>
      </c>
      <c r="P30" s="251">
        <v>9.0185430463576157</v>
      </c>
      <c r="Q30" s="251">
        <v>9.0185430463576157</v>
      </c>
      <c r="R30" s="251">
        <v>9.0185430463576157</v>
      </c>
    </row>
    <row r="31" spans="1:18" s="36" customFormat="1" ht="15" customHeight="1">
      <c r="A31" s="60"/>
      <c r="B31" s="70" t="s">
        <v>474</v>
      </c>
      <c r="C31" s="8" t="s">
        <v>465</v>
      </c>
      <c r="D31" s="250">
        <f>('4.9_сбыт КТЭЦ  '!$D$15*'4.9_сбыт КТЭЦ  '!D31+'4.9_сбыт ККЭ'!$D$15*'4.9_сбыт ККЭ'!D31)/'4.9_сбыт (свод)'!$D$15</f>
        <v>1400.3447536251256</v>
      </c>
      <c r="E31" s="250">
        <f>('4.9_сбыт КТЭЦ  '!$E$15*'4.9_сбыт КТЭЦ  '!E31+'4.9_сбыт ККЭ'!$E$15*'4.9_сбыт ККЭ'!E31)/'4.9_сбыт (свод)'!$E$15</f>
        <v>2035.1523348578683</v>
      </c>
      <c r="F31" s="250" t="e">
        <f>('4.9_сбыт КТЭЦ  '!$F$15*'4.9_сбыт КТЭЦ  '!F31+'4.9_сбыт ККЭ'!$F$15*'4.9_сбыт ККЭ'!F31)/'4.9_сбыт (свод)'!$F$15</f>
        <v>#DIV/0!</v>
      </c>
      <c r="G31" s="250">
        <v>2065.4394758780882</v>
      </c>
      <c r="H31" s="250" t="e">
        <v>#DIV/0!</v>
      </c>
      <c r="I31" s="250"/>
      <c r="J31" s="250">
        <v>2616.6559139784945</v>
      </c>
      <c r="K31" s="250" t="e">
        <v>#DIV/0!</v>
      </c>
      <c r="L31" s="250">
        <v>2946.0596026490066</v>
      </c>
      <c r="M31" s="250">
        <v>3255.2119205298013</v>
      </c>
      <c r="N31" s="250">
        <v>3191.0529801324506</v>
      </c>
      <c r="O31" s="250">
        <v>3320.3708609271525</v>
      </c>
      <c r="P31" s="250">
        <v>3447.2582781456954</v>
      </c>
      <c r="Q31" s="250">
        <v>3406.3907284768211</v>
      </c>
      <c r="R31" s="250">
        <v>3487.4105960264901</v>
      </c>
    </row>
    <row r="32" spans="1:18" s="36" customFormat="1" ht="15" customHeight="1">
      <c r="A32" s="60" t="s">
        <v>479</v>
      </c>
      <c r="B32" s="61" t="s">
        <v>480</v>
      </c>
      <c r="C32" s="8"/>
      <c r="D32" s="337"/>
      <c r="E32" s="337"/>
      <c r="F32" s="337"/>
      <c r="G32" s="337"/>
      <c r="H32" s="337"/>
      <c r="I32" s="337"/>
      <c r="J32" s="337"/>
      <c r="K32" s="337"/>
      <c r="L32" s="337"/>
      <c r="M32" s="337"/>
      <c r="N32" s="337"/>
      <c r="O32" s="337"/>
      <c r="P32" s="337"/>
      <c r="Q32" s="337"/>
      <c r="R32" s="337"/>
    </row>
    <row r="33" spans="1:18" s="36" customFormat="1" ht="15" customHeight="1">
      <c r="A33" s="60"/>
      <c r="B33" s="70" t="s">
        <v>473</v>
      </c>
      <c r="C33" s="8" t="s">
        <v>138</v>
      </c>
      <c r="D33" s="251">
        <f>('4.9_сбыт КТЭЦ  '!$D$15*'4.9_сбыт КТЭЦ  '!D33+'4.9_сбыт ККЭ'!$D$15*'4.9_сбыт ККЭ'!D33)/'4.9_сбыт (свод)'!$D$15</f>
        <v>0</v>
      </c>
      <c r="E33" s="251">
        <f>('4.9_сбыт КТЭЦ  '!$E$15*'4.9_сбыт КТЭЦ  '!E33+'4.9_сбыт ККЭ'!$E$15*'4.9_сбыт ККЭ'!E33)/'4.9_сбыт (свод)'!$E$15</f>
        <v>0</v>
      </c>
      <c r="F33" s="251" t="e">
        <f>('4.9_сбыт КТЭЦ  '!$F$15*'4.9_сбыт КТЭЦ  '!F33+'4.9_сбыт ККЭ'!$F$15*'4.9_сбыт ККЭ'!F33)/'4.9_сбыт (свод)'!$F$15</f>
        <v>#DIV/0!</v>
      </c>
      <c r="G33" s="251">
        <v>0</v>
      </c>
      <c r="H33" s="251" t="e">
        <v>#DIV/0!</v>
      </c>
      <c r="I33" s="251"/>
      <c r="J33" s="251">
        <v>0</v>
      </c>
      <c r="K33" s="251" t="e">
        <v>#DIV/0!</v>
      </c>
      <c r="L33" s="251">
        <v>0</v>
      </c>
      <c r="M33" s="251">
        <v>0</v>
      </c>
      <c r="N33" s="251">
        <v>0</v>
      </c>
      <c r="O33" s="251">
        <v>0</v>
      </c>
      <c r="P33" s="251">
        <v>0</v>
      </c>
      <c r="Q33" s="251">
        <v>0</v>
      </c>
      <c r="R33" s="251">
        <v>0</v>
      </c>
    </row>
    <row r="34" spans="1:18" s="36" customFormat="1" ht="15" customHeight="1">
      <c r="A34" s="60"/>
      <c r="B34" s="70" t="s">
        <v>474</v>
      </c>
      <c r="C34" s="8" t="s">
        <v>465</v>
      </c>
      <c r="D34" s="250">
        <f>('4.9_сбыт КТЭЦ  '!$D$15*'4.9_сбыт КТЭЦ  '!D34+'4.9_сбыт ККЭ'!$D$15*'4.9_сбыт ККЭ'!D34)/'4.9_сбыт (свод)'!$D$15</f>
        <v>0</v>
      </c>
      <c r="E34" s="250">
        <f>'4.9_сбыт КТЭЦ  '!E34</f>
        <v>328</v>
      </c>
      <c r="F34" s="250" t="e">
        <f>('4.9_сбыт КТЭЦ  '!$F$15*'4.9_сбыт КТЭЦ  '!F34+'4.9_сбыт ККЭ'!$F$15*'4.9_сбыт ККЭ'!F34)/'4.9_сбыт (свод)'!$F$15</f>
        <v>#DIV/0!</v>
      </c>
      <c r="G34" s="250">
        <v>0</v>
      </c>
      <c r="H34" s="250" t="e">
        <v>#DIV/0!</v>
      </c>
      <c r="I34" s="250"/>
      <c r="J34" s="250">
        <v>0</v>
      </c>
      <c r="K34" s="250" t="e">
        <v>#DIV/0!</v>
      </c>
      <c r="L34" s="250">
        <v>0</v>
      </c>
      <c r="M34" s="250">
        <v>0</v>
      </c>
      <c r="N34" s="250">
        <v>0</v>
      </c>
      <c r="O34" s="250">
        <v>0</v>
      </c>
      <c r="P34" s="250">
        <v>0</v>
      </c>
      <c r="Q34" s="250">
        <v>0</v>
      </c>
      <c r="R34" s="250">
        <v>0</v>
      </c>
    </row>
    <row r="35" spans="1:18" s="36" customFormat="1" hidden="1">
      <c r="A35" s="60" t="s">
        <v>481</v>
      </c>
      <c r="B35" s="61"/>
      <c r="C35" s="8"/>
      <c r="D35" s="250"/>
      <c r="E35" s="250"/>
      <c r="F35" s="250"/>
      <c r="G35" s="250"/>
      <c r="H35" s="250"/>
      <c r="I35" s="250"/>
      <c r="J35" s="250"/>
      <c r="K35" s="250"/>
      <c r="L35" s="250"/>
      <c r="M35" s="250"/>
      <c r="N35" s="250"/>
      <c r="O35" s="250"/>
      <c r="P35" s="250"/>
      <c r="Q35" s="250"/>
      <c r="R35" s="250"/>
    </row>
    <row r="36" spans="1:18" s="36" customFormat="1" ht="15" hidden="1" customHeight="1">
      <c r="A36" s="60"/>
      <c r="B36" s="70" t="s">
        <v>473</v>
      </c>
      <c r="C36" s="8" t="s">
        <v>138</v>
      </c>
      <c r="D36" s="251">
        <f>('4.9_сбыт КТЭЦ  '!$D$15*'4.9_сбыт КТЭЦ  '!D36+'4.9_сбыт ККЭ'!$D$15*'4.9_сбыт ККЭ'!D36)/'4.9_сбыт (свод)'!$D$15</f>
        <v>0</v>
      </c>
      <c r="E36" s="251">
        <f>('4.9_сбыт КТЭЦ  '!$E$15*'4.9_сбыт КТЭЦ  '!E36+'4.9_сбыт ККЭ'!$E$15*'4.9_сбыт ККЭ'!E36)/'4.9_сбыт (свод)'!$E$15</f>
        <v>0</v>
      </c>
      <c r="F36" s="251" t="e">
        <f>('4.9_сбыт КТЭЦ  '!$F$15*'4.9_сбыт КТЭЦ  '!F36+'4.9_сбыт ККЭ'!$F$15*'4.9_сбыт ККЭ'!F36)/'4.9_сбыт (свод)'!$F$15</f>
        <v>#DIV/0!</v>
      </c>
      <c r="G36" s="251">
        <v>0</v>
      </c>
      <c r="H36" s="251">
        <v>0</v>
      </c>
      <c r="I36" s="251"/>
      <c r="J36" s="251">
        <v>0</v>
      </c>
      <c r="K36" s="251"/>
      <c r="L36" s="251"/>
      <c r="M36" s="251">
        <v>0</v>
      </c>
      <c r="N36" s="251">
        <v>0</v>
      </c>
      <c r="O36" s="251">
        <v>0</v>
      </c>
      <c r="P36" s="251">
        <v>0</v>
      </c>
      <c r="Q36" s="251">
        <v>0</v>
      </c>
      <c r="R36" s="251">
        <v>0</v>
      </c>
    </row>
    <row r="37" spans="1:18" s="36" customFormat="1" ht="15" hidden="1" customHeight="1">
      <c r="A37" s="60"/>
      <c r="B37" s="70" t="s">
        <v>474</v>
      </c>
      <c r="C37" s="8" t="s">
        <v>465</v>
      </c>
      <c r="D37" s="250">
        <f>('4.9_сбыт КТЭЦ  '!$D$15*'4.9_сбыт КТЭЦ  '!D37+'4.9_сбыт ККЭ'!$D$15*'4.9_сбыт ККЭ'!D37)/'4.9_сбыт (свод)'!$D$15</f>
        <v>0</v>
      </c>
      <c r="E37" s="250">
        <f>('4.9_сбыт КТЭЦ  '!$E$15*'4.9_сбыт КТЭЦ  '!E37+'4.9_сбыт ККЭ'!$E$15*'4.9_сбыт ККЭ'!E37)/'4.9_сбыт (свод)'!$E$15</f>
        <v>0</v>
      </c>
      <c r="F37" s="250" t="e">
        <f>('4.9_сбыт КТЭЦ  '!$F$15*'4.9_сбыт КТЭЦ  '!F37+'4.9_сбыт ККЭ'!$F$15*'4.9_сбыт ККЭ'!F37)/'4.9_сбыт (свод)'!$F$15</f>
        <v>#DIV/0!</v>
      </c>
      <c r="G37" s="250">
        <v>0</v>
      </c>
      <c r="H37" s="250">
        <v>0</v>
      </c>
      <c r="I37" s="250"/>
      <c r="J37" s="250">
        <v>0</v>
      </c>
      <c r="K37" s="250"/>
      <c r="L37" s="250"/>
      <c r="M37" s="250">
        <v>0</v>
      </c>
      <c r="N37" s="250">
        <v>0</v>
      </c>
      <c r="O37" s="250">
        <v>0</v>
      </c>
      <c r="P37" s="250">
        <v>0</v>
      </c>
      <c r="Q37" s="250">
        <v>0</v>
      </c>
      <c r="R37" s="250">
        <v>0</v>
      </c>
    </row>
    <row r="38" spans="1:18" s="36" customFormat="1" hidden="1">
      <c r="A38" s="60" t="s">
        <v>482</v>
      </c>
      <c r="B38" s="61"/>
      <c r="C38" s="8"/>
      <c r="D38" s="66"/>
      <c r="E38" s="66"/>
      <c r="F38" s="66"/>
      <c r="G38" s="66"/>
      <c r="H38" s="66"/>
      <c r="I38" s="66"/>
      <c r="J38" s="66"/>
      <c r="K38" s="66"/>
      <c r="L38" s="66"/>
      <c r="M38" s="66"/>
      <c r="N38" s="66"/>
      <c r="O38" s="66"/>
      <c r="P38" s="66"/>
      <c r="Q38" s="66"/>
      <c r="R38" s="66"/>
    </row>
    <row r="39" spans="1:18" s="36" customFormat="1" ht="15" hidden="1" customHeight="1">
      <c r="A39" s="60"/>
      <c r="B39" s="70" t="s">
        <v>473</v>
      </c>
      <c r="C39" s="8" t="s">
        <v>138</v>
      </c>
      <c r="D39" s="251">
        <f>('4.9_сбыт КТЭЦ  '!$D$15*'4.9_сбыт КТЭЦ  '!D39+'4.9_сбыт ККЭ'!$D$15*'4.9_сбыт ККЭ'!D39)/'4.9_сбыт (свод)'!$D$15</f>
        <v>0</v>
      </c>
      <c r="E39" s="251">
        <f>('4.9_сбыт КТЭЦ  '!$E$15*'4.9_сбыт КТЭЦ  '!E39+'4.9_сбыт ККЭ'!$E$15*'4.9_сбыт ККЭ'!E39)/'4.9_сбыт (свод)'!$E$15</f>
        <v>0</v>
      </c>
      <c r="F39" s="251" t="e">
        <f>('4.9_сбыт КТЭЦ  '!$F$15*'4.9_сбыт КТЭЦ  '!F39+'4.9_сбыт ККЭ'!$F$15*'4.9_сбыт ККЭ'!F39)/'4.9_сбыт (свод)'!$F$15</f>
        <v>#DIV/0!</v>
      </c>
      <c r="G39" s="251">
        <v>0</v>
      </c>
      <c r="H39" s="251">
        <v>0</v>
      </c>
      <c r="I39" s="251"/>
      <c r="J39" s="251">
        <v>0</v>
      </c>
      <c r="K39" s="251"/>
      <c r="L39" s="251"/>
      <c r="M39" s="251">
        <v>0</v>
      </c>
      <c r="N39" s="251">
        <v>0</v>
      </c>
      <c r="O39" s="251">
        <v>0</v>
      </c>
      <c r="P39" s="251">
        <v>0</v>
      </c>
      <c r="Q39" s="251">
        <v>0</v>
      </c>
      <c r="R39" s="251">
        <v>0</v>
      </c>
    </row>
    <row r="40" spans="1:18" s="36" customFormat="1" ht="15" hidden="1" customHeight="1">
      <c r="A40" s="60"/>
      <c r="B40" s="70" t="s">
        <v>474</v>
      </c>
      <c r="C40" s="8" t="s">
        <v>465</v>
      </c>
      <c r="D40" s="250">
        <f>('4.9_сбыт КТЭЦ  '!$D$15*'4.9_сбыт КТЭЦ  '!D40+'4.9_сбыт ККЭ'!$D$15*'4.9_сбыт ККЭ'!D40)/'4.9_сбыт (свод)'!$D$15</f>
        <v>0</v>
      </c>
      <c r="E40" s="250">
        <f>('4.9_сбыт КТЭЦ  '!$E$15*'4.9_сбыт КТЭЦ  '!E40+'4.9_сбыт ККЭ'!$E$15*'4.9_сбыт ККЭ'!E40)/'4.9_сбыт (свод)'!$E$15</f>
        <v>0</v>
      </c>
      <c r="F40" s="250" t="e">
        <f>('4.9_сбыт КТЭЦ  '!$F$15*'4.9_сбыт КТЭЦ  '!F40+'4.9_сбыт ККЭ'!$F$15*'4.9_сбыт ККЭ'!F40)/'4.9_сбыт (свод)'!$F$15</f>
        <v>#DIV/0!</v>
      </c>
      <c r="G40" s="250">
        <v>0</v>
      </c>
      <c r="H40" s="250">
        <v>0</v>
      </c>
      <c r="I40" s="250"/>
      <c r="J40" s="250">
        <v>0</v>
      </c>
      <c r="K40" s="250"/>
      <c r="L40" s="250"/>
      <c r="M40" s="250">
        <v>0</v>
      </c>
      <c r="N40" s="250">
        <v>0</v>
      </c>
      <c r="O40" s="250">
        <v>0</v>
      </c>
      <c r="P40" s="250">
        <v>0</v>
      </c>
      <c r="Q40" s="250">
        <v>0</v>
      </c>
      <c r="R40" s="250">
        <v>0</v>
      </c>
    </row>
    <row r="41" spans="1:18" s="36" customFormat="1" ht="30" customHeight="1">
      <c r="A41" s="60" t="s">
        <v>483</v>
      </c>
      <c r="B41" s="61" t="s">
        <v>484</v>
      </c>
      <c r="C41" s="8"/>
      <c r="D41" s="66"/>
      <c r="E41" s="66"/>
      <c r="F41" s="66"/>
      <c r="G41" s="66"/>
      <c r="H41" s="66"/>
      <c r="I41" s="66"/>
      <c r="J41" s="66"/>
      <c r="K41" s="66"/>
      <c r="L41" s="66"/>
      <c r="M41" s="66"/>
      <c r="N41" s="66"/>
      <c r="O41" s="66"/>
      <c r="P41" s="66"/>
      <c r="Q41" s="66"/>
      <c r="R41" s="66"/>
    </row>
    <row r="42" spans="1:18" s="36" customFormat="1" ht="15" customHeight="1">
      <c r="A42" s="60"/>
      <c r="B42" s="70" t="s">
        <v>473</v>
      </c>
      <c r="C42" s="8" t="s">
        <v>138</v>
      </c>
      <c r="D42" s="250">
        <v>160</v>
      </c>
      <c r="E42" s="250">
        <v>160</v>
      </c>
      <c r="F42" s="250">
        <v>160</v>
      </c>
      <c r="G42" s="250">
        <v>160</v>
      </c>
      <c r="H42" s="250">
        <v>160</v>
      </c>
      <c r="I42" s="250"/>
      <c r="J42" s="250">
        <v>160</v>
      </c>
      <c r="K42" s="250">
        <v>160</v>
      </c>
      <c r="L42" s="250">
        <v>160</v>
      </c>
      <c r="M42" s="337">
        <v>160</v>
      </c>
      <c r="N42" s="337">
        <v>160</v>
      </c>
      <c r="O42" s="337">
        <v>160</v>
      </c>
      <c r="P42" s="337">
        <v>160</v>
      </c>
      <c r="Q42" s="337">
        <v>160</v>
      </c>
      <c r="R42" s="337">
        <v>160</v>
      </c>
    </row>
    <row r="43" spans="1:18" s="36" customFormat="1" ht="15" customHeight="1">
      <c r="A43" s="60"/>
      <c r="B43" s="70" t="s">
        <v>474</v>
      </c>
      <c r="C43" s="8" t="s">
        <v>465</v>
      </c>
      <c r="D43" s="250">
        <f>('4.9_сбыт КТЭЦ  '!$D$15*'4.9_сбыт КТЭЦ  '!D43+'4.9_сбыт ККЭ'!$D$15*'4.9_сбыт ККЭ'!D43)/'4.9_сбыт (свод)'!$D$15</f>
        <v>38522.118584967044</v>
      </c>
      <c r="E43" s="250">
        <f>('4.9_сбыт КТЭЦ  '!$E$15*'4.9_сбыт КТЭЦ  '!E43+'4.9_сбыт ККЭ'!$E$15*'4.9_сбыт ККЭ'!E43)/'4.9_сбыт (свод)'!$E$15</f>
        <v>62629.134952281216</v>
      </c>
      <c r="F43" s="250" t="e">
        <f>('4.9_сбыт КТЭЦ  '!$F$15*'4.9_сбыт КТЭЦ  '!F43+'4.9_сбыт ККЭ'!$F$15*'4.9_сбыт ККЭ'!F43)/'4.9_сбыт (свод)'!$F$15</f>
        <v>#DIV/0!</v>
      </c>
      <c r="G43" s="250">
        <v>67777.730486062865</v>
      </c>
      <c r="H43" s="250" t="e">
        <v>#DIV/0!</v>
      </c>
      <c r="I43" s="250"/>
      <c r="J43" s="250">
        <v>73805.924731182793</v>
      </c>
      <c r="K43" s="250" t="e">
        <v>#DIV/0!</v>
      </c>
      <c r="L43" s="250">
        <v>83503.298013245032</v>
      </c>
      <c r="M43" s="250">
        <v>91584.894039735096</v>
      </c>
      <c r="N43" s="250">
        <v>89777.437086092716</v>
      </c>
      <c r="O43" s="250">
        <v>93407.788079470192</v>
      </c>
      <c r="P43" s="250">
        <v>96984.556291390734</v>
      </c>
      <c r="Q43" s="250">
        <v>95842.211920529808</v>
      </c>
      <c r="R43" s="250">
        <v>98123.754966887413</v>
      </c>
    </row>
    <row r="44" spans="1:18" s="36" customFormat="1" ht="30" customHeight="1">
      <c r="A44" s="387" t="s">
        <v>27</v>
      </c>
      <c r="B44" s="386" t="s">
        <v>485</v>
      </c>
      <c r="C44" s="385" t="s">
        <v>465</v>
      </c>
      <c r="D44" s="384">
        <f>D22+D25+D28+D31+D43-1</f>
        <v>62597.588533904775</v>
      </c>
      <c r="E44" s="384">
        <f t="shared" ref="E44:O44" si="2">E22+E25+E28+E31+E43</f>
        <v>101771.66006216287</v>
      </c>
      <c r="F44" s="384" t="e">
        <f t="shared" si="2"/>
        <v>#DIV/0!</v>
      </c>
      <c r="G44" s="384">
        <v>110138.81203985214</v>
      </c>
      <c r="H44" s="384" t="e">
        <v>#DIV/0!</v>
      </c>
      <c r="I44" s="384"/>
      <c r="J44" s="384">
        <v>119934.63363440859</v>
      </c>
      <c r="K44" s="384" t="e">
        <v>#DIV/0!</v>
      </c>
      <c r="L44" s="384">
        <v>135693.05245033113</v>
      </c>
      <c r="M44" s="384">
        <v>148825.53874172183</v>
      </c>
      <c r="N44" s="384">
        <v>145888.11496688743</v>
      </c>
      <c r="O44" s="384">
        <v>151787.63688741723</v>
      </c>
      <c r="P44" s="384">
        <v>157601.02149006622</v>
      </c>
      <c r="Q44" s="384">
        <v>155743.72284768213</v>
      </c>
      <c r="R44" s="384">
        <v>159451.02874172185</v>
      </c>
    </row>
    <row r="45" spans="1:18" s="1368" customFormat="1" ht="30" customHeight="1">
      <c r="A45" s="1364" t="s">
        <v>95</v>
      </c>
      <c r="B45" s="1365" t="s">
        <v>905</v>
      </c>
      <c r="C45" s="1366" t="s">
        <v>465</v>
      </c>
      <c r="D45" s="1367">
        <f>'4.9_сбыт КТЭЦ  '!D45+'4.9_сбыт ККЭ'!D45</f>
        <v>41082.553802100243</v>
      </c>
      <c r="E45" s="1367">
        <f>'4.9_сбыт КТЭЦ  '!E45+'4.9_сбыт ККЭ'!E45</f>
        <v>89799.02581072491</v>
      </c>
      <c r="F45" s="1367">
        <f>'4.9_сбыт КТЭЦ  '!F45+'4.9_сбыт ККЭ'!F45</f>
        <v>0</v>
      </c>
      <c r="G45" s="1367">
        <v>113776.2650913887</v>
      </c>
      <c r="H45" s="1367">
        <v>0</v>
      </c>
      <c r="I45" s="1367"/>
      <c r="J45" s="1367">
        <v>111317.64090879999</v>
      </c>
      <c r="K45" s="1367">
        <v>0</v>
      </c>
      <c r="L45" s="1367">
        <v>126065.30552000001</v>
      </c>
      <c r="M45" s="1367">
        <v>140552.11559</v>
      </c>
      <c r="N45" s="1367">
        <v>67535.816080000004</v>
      </c>
      <c r="O45" s="1367">
        <v>73016.299509999983</v>
      </c>
      <c r="P45" s="1367">
        <v>148796.82247000001</v>
      </c>
      <c r="Q45" s="1367">
        <v>72070.906450000009</v>
      </c>
      <c r="R45" s="1367">
        <v>76725.916020000004</v>
      </c>
    </row>
    <row r="46" spans="1:18">
      <c r="A46" s="60" t="s">
        <v>898</v>
      </c>
      <c r="B46" s="61" t="s">
        <v>899</v>
      </c>
      <c r="C46" s="8" t="s">
        <v>892</v>
      </c>
      <c r="D46" s="337">
        <f>'4.9_сбыт КТЭЦ  '!D46+'4.9_сбыт ККЭ'!D46</f>
        <v>696</v>
      </c>
      <c r="E46" s="337">
        <f>'4.9_сбыт КТЭЦ  '!E46+'4.9_сбыт ККЭ'!E46</f>
        <v>2246</v>
      </c>
      <c r="F46" s="337">
        <f>'4.9_сбыт КТЭЦ  '!F46+'4.9_сбыт ККЭ'!F46</f>
        <v>0</v>
      </c>
      <c r="G46" s="337">
        <v>1972</v>
      </c>
      <c r="H46" s="337">
        <v>0</v>
      </c>
      <c r="I46" s="337"/>
      <c r="J46" s="337">
        <v>2857</v>
      </c>
      <c r="K46" s="337">
        <v>0</v>
      </c>
      <c r="L46" s="337">
        <v>2291</v>
      </c>
      <c r="M46" s="337">
        <v>2010</v>
      </c>
      <c r="N46" s="337">
        <v>1005</v>
      </c>
      <c r="O46" s="337">
        <v>1005</v>
      </c>
      <c r="P46" s="337">
        <v>2101</v>
      </c>
      <c r="Q46" s="337">
        <v>1051</v>
      </c>
      <c r="R46" s="337">
        <v>1051</v>
      </c>
    </row>
    <row r="47" spans="1:18" ht="60.75" customHeight="1">
      <c r="A47" s="60" t="s">
        <v>900</v>
      </c>
      <c r="B47" s="61" t="s">
        <v>902</v>
      </c>
      <c r="C47" s="8" t="s">
        <v>892</v>
      </c>
      <c r="D47" s="388">
        <f>'4.9_сбыт КТЭЦ  '!D47+'4.9_сбыт ККЭ'!D47</f>
        <v>0</v>
      </c>
      <c r="E47" s="388">
        <f>'4.9_сбыт КТЭЦ  '!E47+'4.9_сбыт ККЭ'!E47</f>
        <v>0</v>
      </c>
      <c r="F47" s="388">
        <f>'4.9_сбыт КТЭЦ  '!F47+'4.9_сбыт ККЭ'!F47</f>
        <v>0</v>
      </c>
      <c r="G47" s="388">
        <v>0</v>
      </c>
      <c r="H47" s="388">
        <v>0</v>
      </c>
      <c r="I47" s="388"/>
      <c r="J47" s="388">
        <v>0</v>
      </c>
      <c r="K47" s="388">
        <v>0</v>
      </c>
      <c r="L47" s="388">
        <v>0</v>
      </c>
      <c r="M47" s="388">
        <v>0</v>
      </c>
      <c r="N47" s="388">
        <v>0</v>
      </c>
      <c r="O47" s="388">
        <v>0</v>
      </c>
      <c r="P47" s="388">
        <v>0</v>
      </c>
      <c r="Q47" s="388">
        <v>0</v>
      </c>
      <c r="R47" s="388">
        <v>0</v>
      </c>
    </row>
    <row r="48" spans="1:18">
      <c r="A48" s="60" t="s">
        <v>901</v>
      </c>
      <c r="B48" s="61" t="s">
        <v>348</v>
      </c>
      <c r="C48" s="8" t="s">
        <v>892</v>
      </c>
      <c r="D48" s="337">
        <f>D49+D50+D51+D52+D53</f>
        <v>0</v>
      </c>
      <c r="E48" s="337">
        <f t="shared" ref="E48:O48" si="3">E49+E50+E51+E52+E53</f>
        <v>4327</v>
      </c>
      <c r="F48" s="337">
        <f t="shared" si="3"/>
        <v>0</v>
      </c>
      <c r="G48" s="337">
        <v>13998</v>
      </c>
      <c r="H48" s="337">
        <v>0</v>
      </c>
      <c r="I48" s="337"/>
      <c r="J48" s="337">
        <v>1381</v>
      </c>
      <c r="K48" s="337">
        <v>0</v>
      </c>
      <c r="L48" s="337">
        <v>830</v>
      </c>
      <c r="M48" s="337">
        <v>3694</v>
      </c>
      <c r="N48" s="337">
        <v>442.5</v>
      </c>
      <c r="O48" s="337">
        <v>3251.5</v>
      </c>
      <c r="P48" s="337">
        <v>3913</v>
      </c>
      <c r="Q48" s="337">
        <v>469</v>
      </c>
      <c r="R48" s="337">
        <v>3444</v>
      </c>
    </row>
    <row r="49" spans="1:18" ht="30">
      <c r="A49" s="60" t="s">
        <v>1024</v>
      </c>
      <c r="B49" s="61" t="s">
        <v>1023</v>
      </c>
      <c r="C49" s="8" t="s">
        <v>892</v>
      </c>
      <c r="D49" s="388">
        <f>'4.9_сбыт КТЭЦ  '!D49+'4.9_сбыт ККЭ'!D49</f>
        <v>0</v>
      </c>
      <c r="E49" s="337">
        <f>'4.9_сбыт КТЭЦ  '!E49+'4.9_сбыт ККЭ'!E49</f>
        <v>1299</v>
      </c>
      <c r="F49" s="337">
        <f>'4.9_сбыт КТЭЦ  '!F49+'4.9_сбыт ККЭ'!F49</f>
        <v>0</v>
      </c>
      <c r="G49" s="337">
        <v>0</v>
      </c>
      <c r="H49" s="337">
        <v>0</v>
      </c>
      <c r="I49" s="337"/>
      <c r="J49" s="337">
        <v>0</v>
      </c>
      <c r="K49" s="337">
        <v>0</v>
      </c>
      <c r="L49" s="337">
        <v>0</v>
      </c>
      <c r="M49" s="337">
        <v>0</v>
      </c>
      <c r="N49" s="337">
        <v>0</v>
      </c>
      <c r="O49" s="337">
        <v>0</v>
      </c>
      <c r="P49" s="337">
        <v>0</v>
      </c>
      <c r="Q49" s="337">
        <v>0</v>
      </c>
      <c r="R49" s="337">
        <v>0</v>
      </c>
    </row>
    <row r="50" spans="1:18" ht="30">
      <c r="A50" s="60" t="s">
        <v>1022</v>
      </c>
      <c r="B50" s="61" t="s">
        <v>1021</v>
      </c>
      <c r="C50" s="8" t="s">
        <v>892</v>
      </c>
      <c r="D50" s="388">
        <f>'4.9_сбыт КТЭЦ  '!D50+'4.9_сбыт ККЭ'!D50</f>
        <v>0</v>
      </c>
      <c r="E50" s="337">
        <f>'4.9_сбыт КТЭЦ  '!E50+'4.9_сбыт ККЭ'!E50</f>
        <v>0</v>
      </c>
      <c r="F50" s="337">
        <f>'4.9_сбыт КТЭЦ  '!F50+'4.9_сбыт ККЭ'!F50</f>
        <v>0</v>
      </c>
      <c r="G50" s="337">
        <v>51</v>
      </c>
      <c r="H50" s="337">
        <v>0</v>
      </c>
      <c r="I50" s="337"/>
      <c r="J50" s="337">
        <v>0</v>
      </c>
      <c r="K50" s="337">
        <v>0</v>
      </c>
      <c r="L50" s="337">
        <v>0</v>
      </c>
      <c r="M50" s="337">
        <v>0</v>
      </c>
      <c r="N50" s="337">
        <v>0</v>
      </c>
      <c r="O50" s="337">
        <v>0</v>
      </c>
      <c r="P50" s="337">
        <v>0</v>
      </c>
      <c r="Q50" s="337">
        <v>0</v>
      </c>
      <c r="R50" s="337">
        <v>0</v>
      </c>
    </row>
    <row r="51" spans="1:18">
      <c r="A51" s="60" t="s">
        <v>1020</v>
      </c>
      <c r="B51" s="61" t="s">
        <v>1019</v>
      </c>
      <c r="C51" s="8" t="s">
        <v>892</v>
      </c>
      <c r="D51" s="388">
        <f>'4.9_сбыт КТЭЦ  '!D51+'4.9_сбыт ККЭ'!D51</f>
        <v>0</v>
      </c>
      <c r="E51" s="337">
        <f>'4.9_сбыт КТЭЦ  '!E51+'4.9_сбыт ККЭ'!E51</f>
        <v>1128</v>
      </c>
      <c r="F51" s="337">
        <f>'4.9_сбыт КТЭЦ  '!F51+'4.9_сбыт ККЭ'!F51</f>
        <v>0</v>
      </c>
      <c r="G51" s="337">
        <v>2325</v>
      </c>
      <c r="H51" s="337">
        <v>0</v>
      </c>
      <c r="I51" s="337"/>
      <c r="J51" s="337">
        <v>1381</v>
      </c>
      <c r="K51" s="337">
        <v>0</v>
      </c>
      <c r="L51" s="337">
        <v>830</v>
      </c>
      <c r="M51" s="337">
        <v>885</v>
      </c>
      <c r="N51" s="337">
        <v>442.5</v>
      </c>
      <c r="O51" s="337">
        <v>442.5</v>
      </c>
      <c r="P51" s="337">
        <v>938</v>
      </c>
      <c r="Q51" s="337">
        <v>469</v>
      </c>
      <c r="R51" s="337">
        <v>469</v>
      </c>
    </row>
    <row r="52" spans="1:18" ht="30">
      <c r="A52" s="60" t="s">
        <v>1018</v>
      </c>
      <c r="B52" s="61" t="s">
        <v>934</v>
      </c>
      <c r="C52" s="8" t="s">
        <v>892</v>
      </c>
      <c r="D52" s="388">
        <f>'4.9_сбыт КТЭЦ  '!D52+'4.9_сбыт ККЭ'!D52</f>
        <v>0</v>
      </c>
      <c r="E52" s="337">
        <f>'4.9_сбыт КТЭЦ  '!E52+'4.9_сбыт ККЭ'!E52</f>
        <v>0</v>
      </c>
      <c r="F52" s="337">
        <f>'4.9_сбыт КТЭЦ  '!F52+'4.9_сбыт ККЭ'!F52</f>
        <v>0</v>
      </c>
      <c r="G52" s="337">
        <v>0</v>
      </c>
      <c r="H52" s="337">
        <v>0</v>
      </c>
      <c r="I52" s="337"/>
      <c r="J52" s="337">
        <v>0</v>
      </c>
      <c r="K52" s="337">
        <v>0</v>
      </c>
      <c r="L52" s="337">
        <v>0</v>
      </c>
      <c r="M52" s="337">
        <v>2809</v>
      </c>
      <c r="N52" s="337">
        <v>0</v>
      </c>
      <c r="O52" s="337">
        <v>2809</v>
      </c>
      <c r="P52" s="337">
        <v>2975</v>
      </c>
      <c r="Q52" s="337">
        <v>0</v>
      </c>
      <c r="R52" s="337">
        <v>2975</v>
      </c>
    </row>
    <row r="53" spans="1:18" ht="75">
      <c r="A53" s="60" t="s">
        <v>1071</v>
      </c>
      <c r="B53" s="61" t="s">
        <v>1558</v>
      </c>
      <c r="C53" s="8" t="s">
        <v>892</v>
      </c>
      <c r="D53" s="388">
        <f>'4.9_сбыт КТЭЦ  '!D53+'4.9_сбыт ККЭ'!D53</f>
        <v>0</v>
      </c>
      <c r="E53" s="337">
        <f>'4.9_сбыт КТЭЦ  '!E53+'4.9_сбыт ККЭ'!E53</f>
        <v>1900</v>
      </c>
      <c r="F53" s="337">
        <f>'4.9_сбыт КТЭЦ  '!F53+'4.9_сбыт ККЭ'!F53</f>
        <v>0</v>
      </c>
      <c r="G53" s="337">
        <v>11622</v>
      </c>
      <c r="H53" s="337">
        <v>0</v>
      </c>
      <c r="I53" s="337"/>
      <c r="J53" s="337">
        <v>0</v>
      </c>
      <c r="K53" s="337">
        <v>0</v>
      </c>
      <c r="L53" s="337">
        <v>0</v>
      </c>
      <c r="M53" s="337">
        <v>0</v>
      </c>
      <c r="N53" s="337">
        <v>0</v>
      </c>
      <c r="O53" s="337">
        <v>0</v>
      </c>
      <c r="P53" s="337">
        <v>0</v>
      </c>
      <c r="Q53" s="337">
        <v>0</v>
      </c>
      <c r="R53" s="337">
        <v>0</v>
      </c>
    </row>
    <row r="54" spans="1:18" ht="30">
      <c r="A54" s="60"/>
      <c r="B54" s="61" t="s">
        <v>903</v>
      </c>
      <c r="C54" s="8" t="s">
        <v>892</v>
      </c>
      <c r="D54" s="250">
        <v>12</v>
      </c>
      <c r="E54" s="250">
        <v>12</v>
      </c>
      <c r="F54" s="250">
        <v>12</v>
      </c>
      <c r="G54" s="250">
        <v>12</v>
      </c>
      <c r="H54" s="250">
        <v>12</v>
      </c>
      <c r="I54" s="250"/>
      <c r="J54" s="250">
        <v>12</v>
      </c>
      <c r="K54" s="250">
        <v>12</v>
      </c>
      <c r="L54" s="250">
        <v>12</v>
      </c>
      <c r="M54" s="250">
        <v>12</v>
      </c>
      <c r="N54" s="250">
        <v>6</v>
      </c>
      <c r="O54" s="250">
        <v>6</v>
      </c>
      <c r="P54" s="250">
        <v>12</v>
      </c>
      <c r="Q54" s="250">
        <v>6</v>
      </c>
      <c r="R54" s="250">
        <v>6</v>
      </c>
    </row>
    <row r="55" spans="1:18" s="763" customFormat="1" ht="28.5">
      <c r="A55" s="1352" t="s">
        <v>904</v>
      </c>
      <c r="B55" s="1353" t="s">
        <v>905</v>
      </c>
      <c r="C55" s="1354" t="s">
        <v>892</v>
      </c>
      <c r="D55" s="1013">
        <f>'4.9_сбыт КТЭЦ  '!D55+'4.9_сбыт ККЭ'!D55</f>
        <v>40386.553802100243</v>
      </c>
      <c r="E55" s="1013">
        <f>'4.9_сбыт КТЭЦ  '!E55+'4.9_сбыт ККЭ'!E55</f>
        <v>83227.02581072491</v>
      </c>
      <c r="F55" s="1013">
        <f>'4.9_сбыт КТЭЦ  '!F55+'4.9_сбыт ККЭ'!F55</f>
        <v>0</v>
      </c>
      <c r="G55" s="1013">
        <v>111801.2650913887</v>
      </c>
      <c r="H55" s="1013">
        <v>0</v>
      </c>
      <c r="I55" s="1013"/>
      <c r="J55" s="1013">
        <v>108460.64090879999</v>
      </c>
      <c r="K55" s="1013">
        <v>0</v>
      </c>
      <c r="L55" s="1013">
        <v>123774.30552000001</v>
      </c>
      <c r="M55" s="1013">
        <v>138541.11559</v>
      </c>
      <c r="N55" s="1013">
        <v>66529.816080000004</v>
      </c>
      <c r="O55" s="1013">
        <v>72011.299509999983</v>
      </c>
      <c r="P55" s="1013">
        <v>146695.82247000001</v>
      </c>
      <c r="Q55" s="1013">
        <v>71020.906450000009</v>
      </c>
      <c r="R55" s="1013">
        <v>75674.916020000004</v>
      </c>
    </row>
    <row r="56" spans="1:18" ht="30">
      <c r="A56" s="60" t="s">
        <v>906</v>
      </c>
      <c r="B56" s="61" t="s">
        <v>909</v>
      </c>
      <c r="C56" s="8" t="s">
        <v>892</v>
      </c>
      <c r="D56" s="250"/>
      <c r="E56" s="250"/>
      <c r="F56" s="250"/>
      <c r="G56" s="250"/>
      <c r="H56" s="250"/>
      <c r="I56" s="250"/>
      <c r="J56" s="250"/>
      <c r="K56" s="250"/>
      <c r="L56" s="250"/>
      <c r="M56" s="250"/>
      <c r="N56" s="250"/>
      <c r="O56" s="250"/>
      <c r="P56" s="250"/>
      <c r="Q56" s="250"/>
      <c r="R56" s="250"/>
    </row>
    <row r="57" spans="1:18">
      <c r="A57" s="60" t="s">
        <v>907</v>
      </c>
      <c r="B57" s="61" t="s">
        <v>1026</v>
      </c>
      <c r="C57" s="8" t="s">
        <v>892</v>
      </c>
      <c r="D57" s="250">
        <f>'4.9_сбыт КТЭЦ  '!D57+'4.9_сбыт ККЭ'!D57</f>
        <v>40386.553802100243</v>
      </c>
      <c r="E57" s="250">
        <f>'4.9_сбыт КТЭЦ  '!E57+'4.9_сбыт ККЭ'!E57</f>
        <v>83227.02581072491</v>
      </c>
      <c r="F57" s="250">
        <f>'4.9_сбыт КТЭЦ  '!F57+'4.9_сбыт ККЭ'!F57</f>
        <v>0</v>
      </c>
      <c r="G57" s="250">
        <v>111801.2650913887</v>
      </c>
      <c r="H57" s="250">
        <v>0</v>
      </c>
      <c r="I57" s="250"/>
      <c r="J57" s="250">
        <v>108460.64090879999</v>
      </c>
      <c r="K57" s="250">
        <v>0</v>
      </c>
      <c r="L57" s="250">
        <v>123774.30552000001</v>
      </c>
      <c r="M57" s="250">
        <v>138541.11559</v>
      </c>
      <c r="N57" s="250">
        <v>66529.816080000004</v>
      </c>
      <c r="O57" s="250">
        <v>72011.299509999983</v>
      </c>
      <c r="P57" s="250">
        <v>146695.82247000001</v>
      </c>
      <c r="Q57" s="250">
        <v>71020.906450000009</v>
      </c>
      <c r="R57" s="250">
        <v>75674.916020000004</v>
      </c>
    </row>
    <row r="58" spans="1:18">
      <c r="A58" s="60" t="s">
        <v>908</v>
      </c>
      <c r="B58" s="61" t="s">
        <v>911</v>
      </c>
      <c r="C58" s="8" t="s">
        <v>892</v>
      </c>
      <c r="D58" s="388">
        <f>'4.9_сбыт КТЭЦ  '!D58+'4.9_сбыт ККЭ'!D58</f>
        <v>0</v>
      </c>
      <c r="E58" s="388">
        <f>'4.9_сбыт КТЭЦ  '!E58+'4.9_сбыт ККЭ'!E58</f>
        <v>0</v>
      </c>
      <c r="F58" s="388">
        <f>'4.9_сбыт КТЭЦ  '!F58+'4.9_сбыт ККЭ'!F58</f>
        <v>0</v>
      </c>
      <c r="G58" s="388">
        <v>0</v>
      </c>
      <c r="H58" s="388">
        <v>0</v>
      </c>
      <c r="I58" s="388"/>
      <c r="J58" s="388">
        <v>0</v>
      </c>
      <c r="K58" s="388">
        <v>0</v>
      </c>
      <c r="L58" s="388">
        <v>0</v>
      </c>
      <c r="M58" s="388">
        <v>0</v>
      </c>
      <c r="N58" s="388">
        <v>0</v>
      </c>
      <c r="O58" s="388">
        <v>0</v>
      </c>
      <c r="P58" s="388">
        <v>0</v>
      </c>
      <c r="Q58" s="388">
        <v>0</v>
      </c>
      <c r="R58" s="388">
        <v>0</v>
      </c>
    </row>
    <row r="59" spans="1:18">
      <c r="A59" s="60" t="s">
        <v>912</v>
      </c>
      <c r="B59" s="61" t="s">
        <v>913</v>
      </c>
      <c r="C59" s="8" t="s">
        <v>892</v>
      </c>
      <c r="D59" s="388">
        <f>'4.9_сбыт КТЭЦ  '!D59+'4.9_сбыт ККЭ'!D59</f>
        <v>0</v>
      </c>
      <c r="E59" s="388">
        <f>'4.9_сбыт КТЭЦ  '!E59+'4.9_сбыт ККЭ'!E59</f>
        <v>0</v>
      </c>
      <c r="F59" s="388">
        <f>'4.9_сбыт КТЭЦ  '!F59+'4.9_сбыт ККЭ'!F59</f>
        <v>0</v>
      </c>
      <c r="G59" s="388">
        <v>0</v>
      </c>
      <c r="H59" s="388">
        <v>0</v>
      </c>
      <c r="I59" s="388"/>
      <c r="J59" s="388">
        <v>0</v>
      </c>
      <c r="K59" s="388">
        <v>0</v>
      </c>
      <c r="L59" s="388">
        <v>0</v>
      </c>
      <c r="M59" s="388">
        <v>0</v>
      </c>
      <c r="N59" s="388">
        <v>0</v>
      </c>
      <c r="O59" s="388">
        <v>0</v>
      </c>
      <c r="P59" s="388">
        <v>0</v>
      </c>
      <c r="Q59" s="388">
        <v>0</v>
      </c>
      <c r="R59" s="388">
        <v>0</v>
      </c>
    </row>
    <row r="60" spans="1:18" ht="30">
      <c r="A60" s="60" t="s">
        <v>97</v>
      </c>
      <c r="B60" s="61" t="s">
        <v>914</v>
      </c>
      <c r="C60" s="8" t="s">
        <v>846</v>
      </c>
      <c r="D60" s="250"/>
      <c r="E60" s="250"/>
      <c r="F60" s="250"/>
      <c r="G60" s="250"/>
      <c r="H60" s="250"/>
      <c r="I60" s="250"/>
      <c r="J60" s="250"/>
      <c r="K60" s="250"/>
      <c r="L60" s="250"/>
      <c r="M60" s="250"/>
      <c r="N60" s="250"/>
      <c r="O60" s="250"/>
      <c r="P60" s="250"/>
      <c r="Q60" s="250"/>
      <c r="R60" s="250"/>
    </row>
    <row r="61" spans="1:18">
      <c r="A61" s="60" t="s">
        <v>915</v>
      </c>
      <c r="B61" s="61" t="s">
        <v>458</v>
      </c>
      <c r="C61" s="8" t="s">
        <v>453</v>
      </c>
      <c r="D61" s="250"/>
      <c r="E61" s="250"/>
      <c r="F61" s="250"/>
      <c r="G61" s="250"/>
      <c r="H61" s="250"/>
      <c r="I61" s="250"/>
      <c r="J61" s="250"/>
      <c r="K61" s="250"/>
      <c r="L61" s="250"/>
      <c r="M61" s="250"/>
      <c r="N61" s="250"/>
      <c r="O61" s="250"/>
      <c r="P61" s="250"/>
      <c r="Q61" s="250"/>
      <c r="R61" s="250"/>
    </row>
    <row r="62" spans="1:18">
      <c r="A62" s="60" t="s">
        <v>916</v>
      </c>
      <c r="B62" s="253" t="s">
        <v>923</v>
      </c>
      <c r="C62" s="8" t="s">
        <v>453</v>
      </c>
      <c r="D62" s="250"/>
      <c r="E62" s="250"/>
      <c r="F62" s="250"/>
      <c r="G62" s="250"/>
      <c r="H62" s="250"/>
      <c r="I62" s="250"/>
      <c r="J62" s="250"/>
      <c r="K62" s="250"/>
      <c r="L62" s="250"/>
      <c r="M62" s="250"/>
      <c r="N62" s="250"/>
      <c r="O62" s="250"/>
      <c r="P62" s="250"/>
      <c r="Q62" s="250"/>
      <c r="R62" s="250"/>
    </row>
    <row r="63" spans="1:18">
      <c r="A63" s="60" t="s">
        <v>917</v>
      </c>
      <c r="B63" s="253" t="s">
        <v>924</v>
      </c>
      <c r="C63" s="8" t="s">
        <v>465</v>
      </c>
      <c r="D63" s="250"/>
      <c r="E63" s="250"/>
      <c r="F63" s="250"/>
      <c r="G63" s="250"/>
      <c r="H63" s="250"/>
      <c r="I63" s="250"/>
      <c r="J63" s="250"/>
      <c r="K63" s="250"/>
      <c r="L63" s="250"/>
      <c r="M63" s="250"/>
      <c r="N63" s="250"/>
      <c r="O63" s="250"/>
      <c r="P63" s="250"/>
      <c r="Q63" s="250"/>
      <c r="R63" s="250"/>
    </row>
    <row r="64" spans="1:18">
      <c r="A64" s="60" t="s">
        <v>918</v>
      </c>
      <c r="B64" s="61" t="s">
        <v>899</v>
      </c>
      <c r="C64" s="8" t="s">
        <v>892</v>
      </c>
      <c r="D64" s="250"/>
      <c r="E64" s="250"/>
      <c r="F64" s="250"/>
      <c r="G64" s="250"/>
      <c r="H64" s="250"/>
      <c r="I64" s="250"/>
      <c r="J64" s="250"/>
      <c r="K64" s="250"/>
      <c r="L64" s="250"/>
      <c r="M64" s="250"/>
      <c r="N64" s="250"/>
      <c r="O64" s="250"/>
      <c r="P64" s="250"/>
      <c r="Q64" s="250"/>
      <c r="R64" s="250"/>
    </row>
    <row r="65" spans="1:18" ht="18" customHeight="1">
      <c r="A65" s="60" t="s">
        <v>919</v>
      </c>
      <c r="B65" s="61" t="s">
        <v>922</v>
      </c>
      <c r="C65" s="8" t="s">
        <v>892</v>
      </c>
      <c r="D65" s="250"/>
      <c r="E65" s="250"/>
      <c r="F65" s="250"/>
      <c r="G65" s="250"/>
      <c r="H65" s="250"/>
      <c r="I65" s="250"/>
      <c r="J65" s="250"/>
      <c r="K65" s="250"/>
      <c r="L65" s="250"/>
      <c r="M65" s="250"/>
      <c r="N65" s="250"/>
      <c r="O65" s="250"/>
      <c r="P65" s="250"/>
      <c r="Q65" s="250"/>
      <c r="R65" s="250"/>
    </row>
    <row r="66" spans="1:18">
      <c r="A66" s="60" t="s">
        <v>920</v>
      </c>
      <c r="B66" s="61" t="s">
        <v>925</v>
      </c>
      <c r="C66" s="8" t="s">
        <v>892</v>
      </c>
      <c r="D66" s="250"/>
      <c r="E66" s="250"/>
      <c r="F66" s="250"/>
      <c r="G66" s="250"/>
      <c r="H66" s="250"/>
      <c r="I66" s="250"/>
      <c r="J66" s="250"/>
      <c r="K66" s="250"/>
      <c r="L66" s="250"/>
      <c r="M66" s="250"/>
      <c r="N66" s="250"/>
      <c r="O66" s="250"/>
      <c r="P66" s="250"/>
      <c r="Q66" s="250"/>
      <c r="R66" s="250"/>
    </row>
    <row r="67" spans="1:18" ht="30">
      <c r="A67" s="60" t="s">
        <v>921</v>
      </c>
      <c r="B67" s="61" t="s">
        <v>909</v>
      </c>
      <c r="C67" s="8" t="s">
        <v>892</v>
      </c>
      <c r="D67" s="250"/>
      <c r="E67" s="250"/>
      <c r="F67" s="250"/>
      <c r="G67" s="250"/>
      <c r="H67" s="250"/>
      <c r="I67" s="250"/>
      <c r="J67" s="250"/>
      <c r="K67" s="250"/>
      <c r="L67" s="250"/>
      <c r="M67" s="250"/>
      <c r="N67" s="250"/>
      <c r="O67" s="250"/>
      <c r="P67" s="250"/>
      <c r="Q67" s="250"/>
      <c r="R67" s="250"/>
    </row>
    <row r="68" spans="1:18" ht="30">
      <c r="A68" s="60" t="s">
        <v>926</v>
      </c>
      <c r="B68" s="61" t="s">
        <v>909</v>
      </c>
      <c r="C68" s="8" t="s">
        <v>892</v>
      </c>
      <c r="D68" s="250"/>
      <c r="E68" s="250"/>
      <c r="F68" s="250"/>
      <c r="G68" s="250"/>
      <c r="H68" s="250"/>
      <c r="I68" s="250"/>
      <c r="J68" s="250"/>
      <c r="K68" s="250"/>
      <c r="L68" s="250"/>
      <c r="M68" s="250"/>
      <c r="N68" s="250"/>
      <c r="O68" s="250"/>
      <c r="P68" s="250"/>
      <c r="Q68" s="250"/>
      <c r="R68" s="250"/>
    </row>
    <row r="69" spans="1:18">
      <c r="A69" s="60" t="s">
        <v>927</v>
      </c>
      <c r="B69" s="61" t="s">
        <v>910</v>
      </c>
      <c r="C69" s="8" t="s">
        <v>892</v>
      </c>
      <c r="D69" s="250"/>
      <c r="E69" s="250"/>
      <c r="F69" s="250"/>
      <c r="G69" s="250"/>
      <c r="H69" s="250"/>
      <c r="I69" s="250"/>
      <c r="J69" s="250"/>
      <c r="K69" s="250"/>
      <c r="L69" s="250"/>
      <c r="M69" s="250"/>
      <c r="N69" s="250"/>
      <c r="O69" s="250"/>
      <c r="P69" s="250"/>
      <c r="Q69" s="250"/>
      <c r="R69" s="250"/>
    </row>
    <row r="70" spans="1:18">
      <c r="A70" s="60" t="s">
        <v>928</v>
      </c>
      <c r="B70" s="61" t="s">
        <v>911</v>
      </c>
      <c r="C70" s="8" t="s">
        <v>892</v>
      </c>
      <c r="D70" s="250"/>
      <c r="E70" s="250"/>
      <c r="F70" s="250"/>
      <c r="G70" s="250"/>
      <c r="H70" s="250"/>
      <c r="I70" s="250"/>
      <c r="J70" s="250"/>
      <c r="K70" s="250"/>
      <c r="L70" s="250"/>
      <c r="M70" s="250"/>
      <c r="N70" s="250"/>
      <c r="O70" s="250"/>
      <c r="P70" s="250"/>
      <c r="Q70" s="250"/>
      <c r="R70" s="250"/>
    </row>
    <row r="71" spans="1:18">
      <c r="A71" s="60" t="s">
        <v>921</v>
      </c>
      <c r="B71" s="61" t="s">
        <v>913</v>
      </c>
      <c r="C71" s="8" t="s">
        <v>892</v>
      </c>
      <c r="D71" s="250"/>
      <c r="E71" s="250"/>
      <c r="F71" s="250"/>
      <c r="G71" s="250"/>
      <c r="H71" s="250"/>
      <c r="I71" s="250"/>
      <c r="J71" s="250"/>
      <c r="K71" s="250"/>
      <c r="L71" s="250"/>
      <c r="M71" s="250"/>
      <c r="N71" s="250"/>
      <c r="O71" s="250"/>
      <c r="P71" s="250"/>
      <c r="Q71" s="250"/>
      <c r="R71" s="250"/>
    </row>
    <row r="72" spans="1:18" ht="30">
      <c r="A72" s="60" t="s">
        <v>929</v>
      </c>
      <c r="B72" s="61" t="s">
        <v>930</v>
      </c>
      <c r="C72" s="8" t="s">
        <v>138</v>
      </c>
      <c r="D72" s="250"/>
      <c r="E72" s="250"/>
      <c r="F72" s="250"/>
      <c r="G72" s="250"/>
      <c r="H72" s="250"/>
      <c r="I72" s="250"/>
      <c r="J72" s="250"/>
      <c r="K72" s="250"/>
      <c r="L72" s="250"/>
      <c r="M72" s="250"/>
      <c r="N72" s="250"/>
      <c r="O72" s="250"/>
      <c r="P72" s="250"/>
      <c r="Q72" s="250"/>
      <c r="R72" s="250"/>
    </row>
    <row r="74" spans="1:18" ht="64.5" customHeight="1">
      <c r="A74" s="1963" t="s">
        <v>931</v>
      </c>
      <c r="B74" s="1963"/>
      <c r="C74" s="1963"/>
      <c r="D74" s="1963"/>
      <c r="E74" s="1963"/>
      <c r="F74" s="1963"/>
      <c r="G74" s="1963"/>
      <c r="H74" s="1963"/>
      <c r="I74" s="1963"/>
      <c r="J74" s="1963"/>
      <c r="K74" s="1963"/>
      <c r="L74" s="1963"/>
      <c r="M74" s="1963"/>
      <c r="N74" s="1963"/>
      <c r="O74" s="1963"/>
    </row>
    <row r="76" spans="1:18">
      <c r="A76" s="1" t="s">
        <v>88</v>
      </c>
    </row>
    <row r="77" spans="1:18" ht="51.75" customHeight="1">
      <c r="A77" s="1963" t="s">
        <v>932</v>
      </c>
      <c r="B77" s="1963"/>
      <c r="C77" s="1963"/>
      <c r="D77" s="1963"/>
      <c r="E77" s="1963"/>
      <c r="F77" s="1963"/>
      <c r="G77" s="1963"/>
      <c r="H77" s="1963"/>
      <c r="I77" s="1963"/>
      <c r="J77" s="1963"/>
      <c r="K77" s="1963"/>
      <c r="L77" s="1963"/>
      <c r="M77" s="1963"/>
      <c r="N77" s="1963"/>
      <c r="O77" s="1963"/>
    </row>
    <row r="78" spans="1:18" ht="69" customHeight="1">
      <c r="A78" s="1963" t="s">
        <v>933</v>
      </c>
      <c r="B78" s="1963"/>
      <c r="C78" s="1963"/>
      <c r="D78" s="1963"/>
      <c r="E78" s="1963"/>
      <c r="F78" s="1963"/>
      <c r="G78" s="1963"/>
      <c r="H78" s="1963"/>
      <c r="I78" s="1963"/>
      <c r="J78" s="1963"/>
      <c r="K78" s="1963"/>
      <c r="L78" s="1963"/>
      <c r="M78" s="1963"/>
      <c r="N78" s="1963"/>
      <c r="O78" s="1963"/>
    </row>
  </sheetData>
  <mergeCells count="4">
    <mergeCell ref="A3:O3"/>
    <mergeCell ref="A74:O74"/>
    <mergeCell ref="A77:O77"/>
    <mergeCell ref="A78:O78"/>
  </mergeCells>
  <pageMargins left="0.78740157480314965" right="0.31496062992125984" top="0.51181102362204722" bottom="0.23622047244094491" header="0.35433070866141736" footer="0.19685039370078741"/>
  <pageSetup paperSize="9" scale="50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R78"/>
  <sheetViews>
    <sheetView view="pageBreakPreview" zoomScaleNormal="100" zoomScaleSheetLayoutView="100" workbookViewId="0">
      <pane xSplit="2" ySplit="5" topLeftCell="C6" activePane="bottomRight" state="frozen"/>
      <selection activeCell="I5" sqref="I5"/>
      <selection pane="topRight" activeCell="I5" sqref="I5"/>
      <selection pane="bottomLeft" activeCell="I5" sqref="I5"/>
      <selection pane="bottomRight" activeCell="R1" sqref="R1"/>
    </sheetView>
  </sheetViews>
  <sheetFormatPr defaultColWidth="2.85546875" defaultRowHeight="15"/>
  <cols>
    <col min="1" max="1" width="6.42578125" style="1" customWidth="1"/>
    <col min="2" max="2" width="36.42578125" style="1" customWidth="1"/>
    <col min="3" max="3" width="11.140625" style="21" customWidth="1"/>
    <col min="4" max="4" width="12.140625" style="1" hidden="1" customWidth="1"/>
    <col min="5" max="5" width="13.140625" style="1" hidden="1" customWidth="1"/>
    <col min="6" max="6" width="13" style="1" customWidth="1"/>
    <col min="7" max="8" width="12.28515625" style="1" customWidth="1"/>
    <col min="9" max="9" width="12.28515625" style="1" hidden="1" customWidth="1"/>
    <col min="10" max="11" width="12.28515625" style="1" customWidth="1"/>
    <col min="12" max="12" width="16" style="1" customWidth="1"/>
    <col min="13" max="13" width="12.5703125" style="1" customWidth="1"/>
    <col min="14" max="14" width="12.7109375" style="1" customWidth="1"/>
    <col min="15" max="15" width="12.85546875" style="1" customWidth="1"/>
    <col min="16" max="16" width="12.28515625" style="1" customWidth="1"/>
    <col min="17" max="92" width="11.140625" style="1" customWidth="1"/>
    <col min="93" max="16384" width="2.85546875" style="1"/>
  </cols>
  <sheetData>
    <row r="1" spans="1:18" s="5" customFormat="1" ht="18" customHeight="1">
      <c r="A1" s="74" t="s">
        <v>1860</v>
      </c>
      <c r="C1" s="20"/>
      <c r="M1" s="6"/>
      <c r="N1" s="6"/>
      <c r="O1" s="6" t="s">
        <v>1060</v>
      </c>
      <c r="R1" s="6" t="s">
        <v>1060</v>
      </c>
    </row>
    <row r="2" spans="1:18" s="5" customFormat="1" ht="15.75" customHeight="1">
      <c r="A2" s="105" t="str">
        <f>'3.1'!$A$2</f>
        <v>ПКГО - Комбинированная выработка КТЭЦ</v>
      </c>
      <c r="C2" s="20"/>
    </row>
    <row r="3" spans="1:18" ht="18.75">
      <c r="A3" s="1877" t="s">
        <v>1166</v>
      </c>
      <c r="B3" s="1877"/>
      <c r="C3" s="1877"/>
      <c r="D3" s="1877"/>
      <c r="E3" s="1877"/>
      <c r="F3" s="1877"/>
      <c r="G3" s="1877"/>
      <c r="H3" s="1877"/>
      <c r="I3" s="1877"/>
      <c r="J3" s="1877"/>
      <c r="K3" s="1877"/>
      <c r="L3" s="1877"/>
      <c r="M3" s="1877"/>
      <c r="N3" s="1877"/>
      <c r="O3" s="1877"/>
    </row>
    <row r="4" spans="1:18" ht="12.75" customHeight="1"/>
    <row r="5" spans="1:18" s="3" customFormat="1" ht="68.25" customHeight="1">
      <c r="A5" s="336" t="s">
        <v>451</v>
      </c>
      <c r="B5" s="336" t="s">
        <v>1</v>
      </c>
      <c r="C5" s="336" t="s">
        <v>2</v>
      </c>
      <c r="D5" s="540" t="s">
        <v>1129</v>
      </c>
      <c r="E5" s="540" t="s">
        <v>1130</v>
      </c>
      <c r="F5" s="913" t="s">
        <v>1128</v>
      </c>
      <c r="G5" s="1284" t="s">
        <v>1695</v>
      </c>
      <c r="H5" s="1310" t="s">
        <v>1702</v>
      </c>
      <c r="I5" s="1661" t="s">
        <v>1882</v>
      </c>
      <c r="J5" s="1576" t="s">
        <v>1828</v>
      </c>
      <c r="K5" s="1661" t="s">
        <v>1842</v>
      </c>
      <c r="L5" s="1631" t="s">
        <v>1861</v>
      </c>
      <c r="M5" s="1631" t="s">
        <v>1862</v>
      </c>
      <c r="N5" s="1631" t="s">
        <v>763</v>
      </c>
      <c r="O5" s="1631" t="s">
        <v>764</v>
      </c>
      <c r="P5" s="1631" t="s">
        <v>1863</v>
      </c>
      <c r="Q5" s="1631" t="s">
        <v>763</v>
      </c>
      <c r="R5" s="1631" t="s">
        <v>764</v>
      </c>
    </row>
    <row r="6" spans="1:18" s="2" customFormat="1">
      <c r="A6" s="13">
        <v>1</v>
      </c>
      <c r="B6" s="13">
        <v>2</v>
      </c>
      <c r="C6" s="13">
        <v>3</v>
      </c>
      <c r="D6" s="13">
        <v>4</v>
      </c>
      <c r="E6" s="13">
        <v>5</v>
      </c>
      <c r="F6" s="13">
        <v>4</v>
      </c>
      <c r="G6" s="13">
        <v>5</v>
      </c>
      <c r="H6" s="13">
        <v>6</v>
      </c>
      <c r="I6" s="13"/>
      <c r="J6" s="13">
        <v>7</v>
      </c>
      <c r="K6" s="13">
        <v>8</v>
      </c>
      <c r="L6" s="13">
        <v>9</v>
      </c>
      <c r="M6" s="13">
        <v>10</v>
      </c>
      <c r="N6" s="13">
        <v>11</v>
      </c>
      <c r="O6" s="13">
        <v>12</v>
      </c>
      <c r="P6" s="13">
        <v>13</v>
      </c>
      <c r="Q6" s="13">
        <v>14</v>
      </c>
      <c r="R6" s="13">
        <v>15</v>
      </c>
    </row>
    <row r="7" spans="1:18" s="36" customFormat="1" ht="15" customHeight="1">
      <c r="A7" s="60" t="s">
        <v>4</v>
      </c>
      <c r="B7" s="61" t="s">
        <v>452</v>
      </c>
      <c r="C7" s="8" t="s">
        <v>453</v>
      </c>
      <c r="D7" s="254"/>
      <c r="E7" s="254"/>
      <c r="F7" s="254"/>
      <c r="G7" s="254"/>
      <c r="H7" s="254"/>
      <c r="I7" s="254"/>
      <c r="J7" s="254"/>
      <c r="K7" s="254"/>
      <c r="L7" s="254"/>
      <c r="M7" s="254"/>
      <c r="N7" s="254"/>
      <c r="O7" s="254"/>
      <c r="P7" s="254"/>
      <c r="Q7" s="254"/>
      <c r="R7" s="254"/>
    </row>
    <row r="8" spans="1:18" s="36" customFormat="1" ht="15" customHeight="1">
      <c r="A8" s="60" t="s">
        <v>5</v>
      </c>
      <c r="B8" s="61" t="s">
        <v>454</v>
      </c>
      <c r="C8" s="8" t="s">
        <v>453</v>
      </c>
      <c r="D8" s="255">
        <f>'4.9_пр-во КТЭЦ'!D8+'4.9_транзит КТЭЦ '!D8+'4.9_сбыт КТЭЦ  '!D8</f>
        <v>0</v>
      </c>
      <c r="E8" s="255">
        <f>'4.9_пр-во КТЭЦ'!E8+'4.9_транзит КТЭЦ '!E8+'4.9_сбыт КТЭЦ  '!E8</f>
        <v>1158.25</v>
      </c>
      <c r="F8" s="255">
        <v>1157.2593854963613</v>
      </c>
      <c r="G8" s="255">
        <v>1158.25</v>
      </c>
      <c r="H8" s="1355">
        <v>0</v>
      </c>
      <c r="I8" s="1355"/>
      <c r="J8" s="255">
        <v>1158.25</v>
      </c>
      <c r="K8" s="255">
        <v>0</v>
      </c>
      <c r="L8" s="255">
        <v>1228.45</v>
      </c>
      <c r="M8" s="255">
        <v>1228.45</v>
      </c>
      <c r="N8" s="255">
        <v>1228.45</v>
      </c>
      <c r="O8" s="255">
        <v>1228.45</v>
      </c>
      <c r="P8" s="255">
        <v>1298.6499999999999</v>
      </c>
      <c r="Q8" s="255">
        <v>1298.6499999999999</v>
      </c>
      <c r="R8" s="255">
        <v>1298.6499999999999</v>
      </c>
    </row>
    <row r="9" spans="1:18" s="36" customFormat="1" ht="15" customHeight="1">
      <c r="A9" s="60"/>
      <c r="B9" s="61" t="s">
        <v>455</v>
      </c>
      <c r="C9" s="8" t="s">
        <v>453</v>
      </c>
      <c r="D9" s="255"/>
      <c r="E9" s="255"/>
      <c r="F9" s="255"/>
      <c r="G9" s="255"/>
      <c r="H9" s="1355"/>
      <c r="I9" s="1355"/>
      <c r="J9" s="255"/>
      <c r="K9" s="255"/>
      <c r="L9" s="255"/>
      <c r="M9" s="255"/>
      <c r="N9" s="255"/>
      <c r="O9" s="255"/>
      <c r="P9" s="255"/>
      <c r="Q9" s="255"/>
      <c r="R9" s="255"/>
    </row>
    <row r="10" spans="1:18" s="36" customFormat="1" ht="15" customHeight="1">
      <c r="A10" s="60" t="s">
        <v>11</v>
      </c>
      <c r="B10" s="61" t="s">
        <v>456</v>
      </c>
      <c r="C10" s="8" t="s">
        <v>453</v>
      </c>
      <c r="D10" s="255">
        <f>'4.9_пр-во КТЭЦ'!D10+'4.9_транзит КТЭЦ '!D10+'4.9_сбыт КТЭЦ  '!D10</f>
        <v>0</v>
      </c>
      <c r="E10" s="255">
        <f>'4.9_пр-во КТЭЦ'!E10+'4.9_транзит КТЭЦ '!E10+'4.9_сбыт КТЭЦ  '!E10</f>
        <v>1063.45</v>
      </c>
      <c r="F10" s="255">
        <v>956.03784229800328</v>
      </c>
      <c r="G10" s="255">
        <v>1063.45</v>
      </c>
      <c r="H10" s="1355">
        <v>0</v>
      </c>
      <c r="I10" s="1355"/>
      <c r="J10" s="255">
        <v>1063.45</v>
      </c>
      <c r="K10" s="255">
        <v>0</v>
      </c>
      <c r="L10" s="255">
        <v>1133.6499999999999</v>
      </c>
      <c r="M10" s="255">
        <v>1133.6499999999999</v>
      </c>
      <c r="N10" s="255">
        <v>1133.6499999999999</v>
      </c>
      <c r="O10" s="255">
        <v>1133.6499999999999</v>
      </c>
      <c r="P10" s="255">
        <v>1203.8499999999999</v>
      </c>
      <c r="Q10" s="255">
        <v>1203.8499999999999</v>
      </c>
      <c r="R10" s="255">
        <v>1203.8499999999999</v>
      </c>
    </row>
    <row r="11" spans="1:18" s="36" customFormat="1" ht="15" customHeight="1">
      <c r="A11" s="60"/>
      <c r="B11" s="61" t="s">
        <v>457</v>
      </c>
      <c r="C11" s="8" t="s">
        <v>453</v>
      </c>
      <c r="D11" s="255"/>
      <c r="E11" s="255"/>
      <c r="F11" s="255"/>
      <c r="G11" s="255"/>
      <c r="H11" s="1355"/>
      <c r="I11" s="1355"/>
      <c r="J11" s="255"/>
      <c r="K11" s="255"/>
      <c r="L11" s="255"/>
      <c r="M11" s="255"/>
      <c r="N11" s="255"/>
      <c r="O11" s="255"/>
      <c r="P11" s="255"/>
      <c r="Q11" s="255"/>
      <c r="R11" s="255"/>
    </row>
    <row r="12" spans="1:18" s="36" customFormat="1" ht="15" customHeight="1">
      <c r="A12" s="60" t="s">
        <v>445</v>
      </c>
      <c r="B12" s="61" t="s">
        <v>458</v>
      </c>
      <c r="C12" s="8" t="s">
        <v>453</v>
      </c>
      <c r="D12" s="255">
        <f>'4.9_пр-во КТЭЦ'!D12+'4.9_транзит КТЭЦ '!D12+'4.9_сбыт КТЭЦ  '!D12</f>
        <v>0</v>
      </c>
      <c r="E12" s="255">
        <f>'4.9_пр-во КТЭЦ'!E12+'4.9_транзит КТЭЦ '!E12+'4.9_сбыт КТЭЦ  '!E12</f>
        <v>959.3</v>
      </c>
      <c r="F12" s="255">
        <v>0</v>
      </c>
      <c r="G12" s="255">
        <v>1059.0999999999999</v>
      </c>
      <c r="H12" s="1355">
        <v>0</v>
      </c>
      <c r="I12" s="1355"/>
      <c r="J12" s="255">
        <v>1059.0999999999999</v>
      </c>
      <c r="K12" s="255">
        <v>0</v>
      </c>
      <c r="L12" s="255">
        <v>0</v>
      </c>
      <c r="M12" s="255">
        <v>0</v>
      </c>
      <c r="N12" s="255">
        <v>0</v>
      </c>
      <c r="O12" s="255">
        <v>0</v>
      </c>
      <c r="P12" s="255">
        <v>0</v>
      </c>
      <c r="Q12" s="255">
        <v>0</v>
      </c>
      <c r="R12" s="255">
        <v>0</v>
      </c>
    </row>
    <row r="13" spans="1:18" s="36" customFormat="1" ht="15" customHeight="1">
      <c r="A13" s="60"/>
      <c r="B13" s="61" t="s">
        <v>459</v>
      </c>
      <c r="C13" s="8" t="s">
        <v>138</v>
      </c>
      <c r="D13" s="255" t="e">
        <f>D12/D8*100</f>
        <v>#DIV/0!</v>
      </c>
      <c r="E13" s="255">
        <f t="shared" ref="E13:G13" si="0">E12/E8*100</f>
        <v>82.823224692423906</v>
      </c>
      <c r="F13" s="255">
        <v>0</v>
      </c>
      <c r="G13" s="255">
        <v>91.439671918843075</v>
      </c>
      <c r="H13" s="1355" t="e">
        <v>#DIV/0!</v>
      </c>
      <c r="I13" s="1355"/>
      <c r="J13" s="255">
        <v>91.439671918843075</v>
      </c>
      <c r="K13" s="255" t="e">
        <v>#DIV/0!</v>
      </c>
      <c r="L13" s="255">
        <v>0</v>
      </c>
      <c r="M13" s="255">
        <v>0</v>
      </c>
      <c r="N13" s="255">
        <v>0</v>
      </c>
      <c r="O13" s="255">
        <v>0</v>
      </c>
      <c r="P13" s="255">
        <v>0</v>
      </c>
      <c r="Q13" s="255">
        <v>0</v>
      </c>
      <c r="R13" s="255">
        <v>0</v>
      </c>
    </row>
    <row r="14" spans="1:18" s="36" customFormat="1" ht="15" customHeight="1">
      <c r="A14" s="60" t="s">
        <v>446</v>
      </c>
      <c r="B14" s="61" t="s">
        <v>460</v>
      </c>
      <c r="C14" s="8" t="s">
        <v>453</v>
      </c>
      <c r="D14" s="255">
        <f>'4.9_пр-во КТЭЦ'!D14+'4.9_транзит КТЭЦ '!D14+'4.9_сбыт КТЭЦ  '!D14</f>
        <v>0</v>
      </c>
      <c r="E14" s="255">
        <f>'4.9_пр-во КТЭЦ'!E14+'4.9_транзит КТЭЦ '!E14+'4.9_сбыт КТЭЦ  '!E14</f>
        <v>0</v>
      </c>
      <c r="F14" s="255">
        <v>0</v>
      </c>
      <c r="G14" s="255">
        <v>0</v>
      </c>
      <c r="H14" s="1355">
        <v>0</v>
      </c>
      <c r="I14" s="1355"/>
      <c r="J14" s="255">
        <v>0</v>
      </c>
      <c r="K14" s="255">
        <v>0</v>
      </c>
      <c r="L14" s="255">
        <v>0</v>
      </c>
      <c r="M14" s="255">
        <v>0</v>
      </c>
      <c r="N14" s="255">
        <v>0</v>
      </c>
      <c r="O14" s="255">
        <v>0</v>
      </c>
      <c r="P14" s="255">
        <v>0</v>
      </c>
      <c r="Q14" s="255">
        <v>0</v>
      </c>
      <c r="R14" s="255">
        <v>0</v>
      </c>
    </row>
    <row r="15" spans="1:18" s="36" customFormat="1" ht="15" customHeight="1">
      <c r="A15" s="60" t="s">
        <v>461</v>
      </c>
      <c r="B15" s="61" t="s">
        <v>462</v>
      </c>
      <c r="C15" s="8" t="s">
        <v>453</v>
      </c>
      <c r="D15" s="254">
        <f>'4.9_пр-во КТЭЦ'!D15+'4.9_транзит КТЭЦ '!D15+'4.9_сбыт КТЭЦ  '!D15</f>
        <v>911.30759581881534</v>
      </c>
      <c r="E15" s="254">
        <f>'4.9_пр-во КТЭЦ'!E15+'4.9_транзит КТЭЦ '!E15+'4.9_сбыт КТЭЦ  '!E15</f>
        <v>959.3</v>
      </c>
      <c r="F15" s="254">
        <v>1022.4051537133794</v>
      </c>
      <c r="G15" s="254">
        <v>950.2</v>
      </c>
      <c r="H15" s="1356">
        <v>315.7</v>
      </c>
      <c r="I15" s="1356"/>
      <c r="J15" s="254">
        <v>940.09999999999991</v>
      </c>
      <c r="K15" s="254">
        <v>0</v>
      </c>
      <c r="L15" s="254">
        <v>960.09999999999991</v>
      </c>
      <c r="M15" s="254">
        <v>960.09999999999991</v>
      </c>
      <c r="N15" s="254">
        <v>960.09999999999991</v>
      </c>
      <c r="O15" s="254">
        <v>960.09999999999991</v>
      </c>
      <c r="P15" s="254">
        <v>960.09999999999991</v>
      </c>
      <c r="Q15" s="254">
        <v>960.09999999999991</v>
      </c>
      <c r="R15" s="254">
        <v>960.09999999999991</v>
      </c>
    </row>
    <row r="16" spans="1:18" s="36" customFormat="1" ht="15" customHeight="1">
      <c r="A16" s="60" t="s">
        <v>23</v>
      </c>
      <c r="B16" s="61" t="s">
        <v>463</v>
      </c>
      <c r="C16" s="8"/>
      <c r="D16" s="66"/>
      <c r="E16" s="66"/>
      <c r="F16" s="66"/>
      <c r="G16" s="66"/>
      <c r="H16" s="990"/>
      <c r="I16" s="990"/>
      <c r="J16" s="66"/>
      <c r="K16" s="66"/>
      <c r="L16" s="66"/>
      <c r="M16" s="66"/>
      <c r="N16" s="66"/>
      <c r="O16" s="66"/>
      <c r="P16" s="66"/>
      <c r="Q16" s="66"/>
      <c r="R16" s="66"/>
    </row>
    <row r="17" spans="1:18" s="36" customFormat="1" ht="15" customHeight="1">
      <c r="A17" s="60" t="s">
        <v>24</v>
      </c>
      <c r="B17" s="61" t="s">
        <v>464</v>
      </c>
      <c r="C17" s="8" t="s">
        <v>465</v>
      </c>
      <c r="D17" s="250">
        <f>'4.9_пр-во КТЭЦ'!D17</f>
        <v>4535.55</v>
      </c>
      <c r="E17" s="250">
        <f>'4.9_пр-во КТЭЦ'!E17</f>
        <v>4896</v>
      </c>
      <c r="F17" s="250">
        <v>0</v>
      </c>
      <c r="G17" s="250">
        <v>5628</v>
      </c>
      <c r="H17" s="1357">
        <v>0</v>
      </c>
      <c r="I17" s="1357"/>
      <c r="J17" s="250">
        <v>5778</v>
      </c>
      <c r="K17" s="250">
        <v>0</v>
      </c>
      <c r="L17" s="250">
        <v>6671</v>
      </c>
      <c r="M17" s="250">
        <v>7248</v>
      </c>
      <c r="N17" s="250">
        <v>7398</v>
      </c>
      <c r="O17" s="250">
        <v>7592</v>
      </c>
      <c r="P17" s="250">
        <v>7745</v>
      </c>
      <c r="Q17" s="250">
        <v>7899</v>
      </c>
      <c r="R17" s="250">
        <v>8105</v>
      </c>
    </row>
    <row r="18" spans="1:18" s="36" customFormat="1" ht="15" customHeight="1">
      <c r="A18" s="60" t="s">
        <v>24</v>
      </c>
      <c r="B18" s="61" t="s">
        <v>466</v>
      </c>
      <c r="C18" s="8"/>
      <c r="D18" s="252">
        <f>'4.9_пр-во КТЭЦ'!D18</f>
        <v>1.071</v>
      </c>
      <c r="E18" s="252">
        <f>'4.9_пр-во КТЭЦ'!E18</f>
        <v>1.0347222222222223</v>
      </c>
      <c r="F18" s="252" t="e">
        <v>#DIV/0!</v>
      </c>
      <c r="G18" s="252">
        <v>1.0266524520255864</v>
      </c>
      <c r="H18" s="1358">
        <v>0</v>
      </c>
      <c r="I18" s="1358"/>
      <c r="J18" s="252">
        <v>1.1545517480096918</v>
      </c>
      <c r="K18" s="252">
        <v>0</v>
      </c>
      <c r="L18" s="252">
        <v>1.0864937790436215</v>
      </c>
      <c r="M18" s="252">
        <v>1.0685706401766004</v>
      </c>
      <c r="N18" s="252">
        <v>1.0262233035955663</v>
      </c>
      <c r="O18" s="252">
        <v>1.0404373024236038</v>
      </c>
      <c r="P18" s="252">
        <v>1.0589412524209167</v>
      </c>
      <c r="Q18" s="252">
        <v>1.0260792505380427</v>
      </c>
      <c r="R18" s="252">
        <v>1.0238124614435533</v>
      </c>
    </row>
    <row r="19" spans="1:18" s="36" customFormat="1" ht="30" customHeight="1">
      <c r="A19" s="60" t="s">
        <v>139</v>
      </c>
      <c r="B19" s="61" t="s">
        <v>467</v>
      </c>
      <c r="C19" s="8" t="s">
        <v>465</v>
      </c>
      <c r="D19" s="250">
        <f>'4.9_пр-во КТЭЦ'!D19</f>
        <v>4857.5740500000002</v>
      </c>
      <c r="E19" s="250">
        <f>'4.9_пр-во КТЭЦ'!E19</f>
        <v>5066</v>
      </c>
      <c r="F19" s="250">
        <v>5700</v>
      </c>
      <c r="G19" s="250">
        <v>5778</v>
      </c>
      <c r="H19" s="1357">
        <v>6328</v>
      </c>
      <c r="I19" s="1357"/>
      <c r="J19" s="250">
        <v>6671</v>
      </c>
      <c r="K19" s="250">
        <v>0</v>
      </c>
      <c r="L19" s="250">
        <v>7248</v>
      </c>
      <c r="M19" s="250">
        <v>7745</v>
      </c>
      <c r="N19" s="250">
        <v>7592</v>
      </c>
      <c r="O19" s="250">
        <v>7899</v>
      </c>
      <c r="P19" s="250">
        <v>8201.5</v>
      </c>
      <c r="Q19" s="250">
        <v>8105</v>
      </c>
      <c r="R19" s="250">
        <v>8298</v>
      </c>
    </row>
    <row r="20" spans="1:18" s="36" customFormat="1" ht="15" customHeight="1">
      <c r="A20" s="60" t="s">
        <v>433</v>
      </c>
      <c r="B20" s="61" t="s">
        <v>468</v>
      </c>
      <c r="C20" s="8"/>
      <c r="D20" s="251">
        <f>('4.9_пр-во КТЭЦ'!$D$15*'4.9_пр-во КТЭЦ'!D20+'4.9_транзит КТЭЦ '!$D$15*'4.9_транзит КТЭЦ '!D20+'4.9_сбыт КТЭЦ  '!$D$15*'4.9_сбыт КТЭЦ  '!D20)/'4.9_свод КТЭЦ'!$D$15</f>
        <v>8.5538675843985583</v>
      </c>
      <c r="E20" s="251">
        <f>('4.9_пр-во КТЭЦ'!$E$15*'4.9_пр-во КТЭЦ'!E20+'4.9_транзит КТЭЦ '!$E$15*'4.9_транзит КТЭЦ '!E20+'4.9_сбыт КТЭЦ  '!$E$15*'4.9_сбыт КТЭЦ  '!E20)/'4.9_свод КТЭЦ'!$E$15</f>
        <v>8.2323312832273547</v>
      </c>
      <c r="F20" s="251">
        <v>7.2539104536489161</v>
      </c>
      <c r="G20" s="251">
        <v>8.2465910334666397</v>
      </c>
      <c r="H20" s="1359">
        <v>0</v>
      </c>
      <c r="I20" s="1359"/>
      <c r="J20" s="251">
        <v>0</v>
      </c>
      <c r="K20" s="251" t="e">
        <v>#DIV/0!</v>
      </c>
      <c r="L20" s="251">
        <v>0</v>
      </c>
      <c r="M20" s="251">
        <v>0</v>
      </c>
      <c r="N20" s="251">
        <v>0</v>
      </c>
      <c r="O20" s="251">
        <v>0</v>
      </c>
      <c r="P20" s="251">
        <v>0</v>
      </c>
      <c r="Q20" s="251">
        <v>0</v>
      </c>
      <c r="R20" s="251">
        <v>0</v>
      </c>
    </row>
    <row r="21" spans="1:18" s="36" customFormat="1" ht="30" customHeight="1">
      <c r="A21" s="60" t="s">
        <v>433</v>
      </c>
      <c r="B21" s="61" t="s">
        <v>469</v>
      </c>
      <c r="C21" s="8"/>
      <c r="D21" s="251">
        <f>('4.9_пр-во КТЭЦ'!$D$15*'4.9_пр-во КТЭЦ'!D21+'4.9_транзит КТЭЦ '!$D$15*'4.9_транзит КТЭЦ '!D21+'4.9_сбыт КТЭЦ  '!$D$15*'4.9_сбыт КТЭЦ  '!D21)/'4.9_свод КТЭЦ'!$D$15</f>
        <v>2.3714766470009834</v>
      </c>
      <c r="E21" s="251">
        <f>('4.9_пр-во КТЭЦ'!$E$15*'4.9_пр-во КТЭЦ'!E21+'4.9_транзит КТЭЦ '!$E$15*'4.9_транзит КТЭЦ '!E21+'4.9_сбыт КТЭЦ  '!$E$15*'4.9_сбыт КТЭЦ  '!E21)/'4.9_свод КТЭЦ'!$E$15</f>
        <v>2.3588240383613051</v>
      </c>
      <c r="F21" s="251">
        <v>2.0927489992603552</v>
      </c>
      <c r="G21" s="251">
        <v>2.3847426436539676</v>
      </c>
      <c r="H21" s="1359">
        <v>0</v>
      </c>
      <c r="I21" s="1359"/>
      <c r="J21" s="251">
        <v>2.3891724391022233</v>
      </c>
      <c r="K21" s="251" t="e">
        <v>#DIV/0!</v>
      </c>
      <c r="L21" s="251">
        <v>2.4052806999270917</v>
      </c>
      <c r="M21" s="251">
        <v>2.4192153317362779</v>
      </c>
      <c r="N21" s="251">
        <v>2.4192153317362779</v>
      </c>
      <c r="O21" s="251">
        <v>2.4192153317362779</v>
      </c>
      <c r="P21" s="251">
        <v>2.4194127486720136</v>
      </c>
      <c r="Q21" s="251">
        <v>2.4194127486720136</v>
      </c>
      <c r="R21" s="251">
        <v>2.4194127486720136</v>
      </c>
    </row>
    <row r="22" spans="1:18" s="36" customFormat="1" ht="15" customHeight="1">
      <c r="A22" s="60" t="s">
        <v>433</v>
      </c>
      <c r="B22" s="61" t="s">
        <v>470</v>
      </c>
      <c r="C22" s="8" t="s">
        <v>465</v>
      </c>
      <c r="D22" s="250">
        <f>('4.9_пр-во КТЭЦ'!$D$15*'4.9_пр-во КТЭЦ'!D22+'4.9_транзит КТЭЦ '!$D$15*'4.9_транзит КТЭЦ '!D22+'4.9_сбыт КТЭЦ  '!$D$15*'4.9_сбыт КТЭЦ  '!D22)/'4.9_свод КТЭЦ'!$D$15</f>
        <v>11519.623420652986</v>
      </c>
      <c r="E22" s="251">
        <f>('4.9_пр-во КТЭЦ'!$E$15*'4.9_пр-во КТЭЦ'!E22+'4.9_транзит КТЭЦ '!$E$15*'4.9_транзит КТЭЦ '!E22+'4.9_сбыт КТЭЦ  '!$E$15*'4.9_сбыт КТЭЦ  '!E22)/'4.9_свод КТЭЦ'!$E$15</f>
        <v>11949.418027103098</v>
      </c>
      <c r="F22" s="250">
        <v>11928.669295784024</v>
      </c>
      <c r="G22" s="250">
        <v>13779.042995032623</v>
      </c>
      <c r="H22" s="1357">
        <v>0</v>
      </c>
      <c r="I22" s="1357"/>
      <c r="J22" s="250">
        <v>15938.16934125093</v>
      </c>
      <c r="K22" s="250" t="e">
        <v>#DIV/0!</v>
      </c>
      <c r="L22" s="250">
        <v>17433.474513071556</v>
      </c>
      <c r="M22" s="250">
        <v>18736.822744297471</v>
      </c>
      <c r="N22" s="250">
        <v>18366.682798541824</v>
      </c>
      <c r="O22" s="250">
        <v>19109.381905384857</v>
      </c>
      <c r="P22" s="250">
        <v>19842.813658233521</v>
      </c>
      <c r="Q22" s="250">
        <v>19609.340327986672</v>
      </c>
      <c r="R22" s="250">
        <v>20076.286988480373</v>
      </c>
    </row>
    <row r="23" spans="1:18" s="36" customFormat="1" ht="30" customHeight="1">
      <c r="A23" s="60" t="s">
        <v>471</v>
      </c>
      <c r="B23" s="61" t="s">
        <v>472</v>
      </c>
      <c r="C23" s="8"/>
      <c r="D23" s="66"/>
      <c r="E23" s="66"/>
      <c r="F23" s="66"/>
      <c r="G23" s="66"/>
      <c r="H23" s="990"/>
      <c r="I23" s="990"/>
      <c r="J23" s="66"/>
      <c r="K23" s="66"/>
      <c r="L23" s="66"/>
      <c r="M23" s="66"/>
      <c r="N23" s="66"/>
      <c r="O23" s="66"/>
      <c r="P23" s="66"/>
      <c r="Q23" s="66"/>
      <c r="R23" s="66"/>
    </row>
    <row r="24" spans="1:18" s="36" customFormat="1" ht="15" customHeight="1">
      <c r="A24" s="60"/>
      <c r="B24" s="70" t="s">
        <v>473</v>
      </c>
      <c r="C24" s="8" t="s">
        <v>138</v>
      </c>
      <c r="D24" s="250">
        <f>('4.9_пр-во КТЭЦ'!$D$15*'4.9_пр-во КТЭЦ'!D24+'4.9_транзит КТЭЦ '!$D$15*'4.9_транзит КТЭЦ '!D24+'4.9_сбыт КТЭЦ  '!$D$15*'4.9_сбыт КТЭЦ  '!D24)/'4.9_свод КТЭЦ'!$D$15</f>
        <v>17.745355621107837</v>
      </c>
      <c r="E24" s="251">
        <f>('4.9_пр-во КТЭЦ'!$E$15*'4.9_пр-во КТЭЦ'!E24+'4.9_транзит КТЭЦ '!$E$15*'4.9_транзит КТЭЦ '!E24+'4.9_сбыт КТЭЦ  '!$E$15*'4.9_сбыт КТЭЦ  '!E24)/'4.9_свод КТЭЦ'!$E$15</f>
        <v>16.755154383404566</v>
      </c>
      <c r="F24" s="251">
        <v>17.865389053254432</v>
      </c>
      <c r="G24" s="251">
        <v>18.118959797937276</v>
      </c>
      <c r="H24" s="1359">
        <v>0</v>
      </c>
      <c r="I24" s="1359"/>
      <c r="J24" s="251">
        <v>13.788503776194025</v>
      </c>
      <c r="K24" s="251" t="e">
        <v>#DIV/0!</v>
      </c>
      <c r="L24" s="251">
        <v>12.628605353608998</v>
      </c>
      <c r="M24" s="250">
        <v>12.628605353608998</v>
      </c>
      <c r="N24" s="250">
        <v>12.628605353608998</v>
      </c>
      <c r="O24" s="250">
        <v>12.628605353608998</v>
      </c>
      <c r="P24" s="251">
        <v>12.628605353608998</v>
      </c>
      <c r="Q24" s="251">
        <v>12.628605353608998</v>
      </c>
      <c r="R24" s="251">
        <v>12.628605353608998</v>
      </c>
    </row>
    <row r="25" spans="1:18" s="36" customFormat="1" ht="15" customHeight="1">
      <c r="A25" s="60"/>
      <c r="B25" s="70" t="s">
        <v>474</v>
      </c>
      <c r="C25" s="8" t="s">
        <v>465</v>
      </c>
      <c r="D25" s="250">
        <f>('4.9_пр-во КТЭЦ'!$D$15*'4.9_пр-во КТЭЦ'!D25+'4.9_транзит КТЭЦ '!$D$15*'4.9_транзит КТЭЦ '!D25+'4.9_сбыт КТЭЦ  '!$D$15*'4.9_сбыт КТЭЦ  '!D25)/'4.9_свод КТЭЦ'!$D$15</f>
        <v>2024.7818228023607</v>
      </c>
      <c r="E25" s="250">
        <f>('4.9_пр-во КТЭЦ'!$E$15*'4.9_пр-во КТЭЦ'!E25+'4.9_транзит КТЭЦ '!$E$15*'4.9_транзит КТЭЦ '!E25+'4.9_сбыт КТЭЦ  '!$E$15*'4.9_сбыт КТЭЦ  '!E25)/'4.9_свод КТЭЦ'!$E$15</f>
        <v>1915.612600003019</v>
      </c>
      <c r="F25" s="250">
        <v>2131.1031785679215</v>
      </c>
      <c r="G25" s="250">
        <v>2373.1965877607108</v>
      </c>
      <c r="H25" s="1357">
        <v>0</v>
      </c>
      <c r="I25" s="1357"/>
      <c r="J25" s="250">
        <v>2139.9939368152322</v>
      </c>
      <c r="K25" s="250" t="e">
        <v>#DIV/0!</v>
      </c>
      <c r="L25" s="250">
        <v>2146.2530986355587</v>
      </c>
      <c r="M25" s="250">
        <v>2305.0556192063327</v>
      </c>
      <c r="N25" s="250">
        <v>2259.5754608894908</v>
      </c>
      <c r="O25" s="250">
        <v>2350.3063222580981</v>
      </c>
      <c r="P25" s="250">
        <v>2440.6952400791588</v>
      </c>
      <c r="Q25" s="250">
        <v>2412.4141235287993</v>
      </c>
      <c r="R25" s="250">
        <v>2469.5781689407354</v>
      </c>
    </row>
    <row r="26" spans="1:18" s="36" customFormat="1" ht="15" customHeight="1">
      <c r="A26" s="60" t="s">
        <v>475</v>
      </c>
      <c r="B26" s="61" t="s">
        <v>476</v>
      </c>
      <c r="C26" s="8"/>
      <c r="D26" s="250"/>
      <c r="E26" s="250"/>
      <c r="F26" s="250"/>
      <c r="G26" s="250"/>
      <c r="H26" s="1357"/>
      <c r="I26" s="1357"/>
      <c r="J26" s="250"/>
      <c r="K26" s="250"/>
      <c r="L26" s="250"/>
      <c r="M26" s="250"/>
      <c r="N26" s="250"/>
      <c r="O26" s="250"/>
      <c r="P26" s="250"/>
      <c r="Q26" s="250"/>
      <c r="R26" s="250"/>
    </row>
    <row r="27" spans="1:18" s="36" customFormat="1" ht="15" customHeight="1">
      <c r="A27" s="60"/>
      <c r="B27" s="70" t="s">
        <v>473</v>
      </c>
      <c r="C27" s="8" t="s">
        <v>138</v>
      </c>
      <c r="D27" s="250">
        <f>('4.9_пр-во КТЭЦ'!$D$15*'4.9_пр-во КТЭЦ'!D27+'4.9_транзит КТЭЦ '!$D$15*'4.9_транзит КТЭЦ '!D27+'4.9_сбыт КТЭЦ  '!$D$15*'4.9_сбыт КТЭЦ  '!D27)/'4.9_свод КТЭЦ'!$D$15</f>
        <v>50</v>
      </c>
      <c r="E27" s="251">
        <f>('4.9_пр-во КТЭЦ'!$E$15*'4.9_пр-во КТЭЦ'!E27+'4.9_транзит КТЭЦ '!$E$15*'4.9_транзит КТЭЦ '!E27+'4.9_сбыт КТЭЦ  '!$E$15*'4.9_сбыт КТЭЦ  '!E27)/'4.9_свод КТЭЦ'!$E$15</f>
        <v>47.410391952465346</v>
      </c>
      <c r="F27" s="251">
        <v>47.182878698224847</v>
      </c>
      <c r="G27" s="251">
        <v>48.3150999789518</v>
      </c>
      <c r="H27" s="1359">
        <v>0</v>
      </c>
      <c r="I27" s="1359"/>
      <c r="J27" s="251">
        <v>47.498599085203708</v>
      </c>
      <c r="K27" s="251" t="e">
        <v>#DIV/0!</v>
      </c>
      <c r="L27" s="251">
        <v>46.706794083949589</v>
      </c>
      <c r="M27" s="250">
        <v>50.000000000000007</v>
      </c>
      <c r="N27" s="250">
        <v>50.000000000000007</v>
      </c>
      <c r="O27" s="250">
        <v>50.000000000000007</v>
      </c>
      <c r="P27" s="251">
        <v>50.000000000000007</v>
      </c>
      <c r="Q27" s="251">
        <v>50.000000000000007</v>
      </c>
      <c r="R27" s="251">
        <v>50.000000000000007</v>
      </c>
    </row>
    <row r="28" spans="1:18" s="36" customFormat="1" ht="15" customHeight="1">
      <c r="A28" s="60"/>
      <c r="B28" s="70" t="s">
        <v>474</v>
      </c>
      <c r="C28" s="8" t="s">
        <v>465</v>
      </c>
      <c r="D28" s="250">
        <f>('4.9_пр-во КТЭЦ'!$D$15*'4.9_пр-во КТЭЦ'!D28+'4.9_транзит КТЭЦ '!$D$15*'4.9_транзит КТЭЦ '!D28+'4.9_сбыт КТЭЦ  '!$D$15*'4.9_сбыт КТЭЦ  '!D28)/'4.9_свод КТЭЦ'!$D$15</f>
        <v>6772.4877741367191</v>
      </c>
      <c r="E28" s="250">
        <f>('4.9_пр-во КТЭЦ'!$E$15*'4.9_пр-во КТЭЦ'!E28+'4.9_транзит КТЭЦ '!$E$15*'4.9_транзит КТЭЦ '!E28+'4.9_сбыт КТЭЦ  '!$E$15*'4.9_сбыт КТЭЦ  '!E28)/'4.9_свод КТЭЦ'!$E$15</f>
        <v>6529.2027273920075</v>
      </c>
      <c r="F28" s="250">
        <v>6633.8053918198848</v>
      </c>
      <c r="G28" s="250">
        <v>7795.3038733793937</v>
      </c>
      <c r="H28" s="1357">
        <v>0</v>
      </c>
      <c r="I28" s="1357"/>
      <c r="J28" s="250">
        <v>8573.5828103393251</v>
      </c>
      <c r="K28" s="250" t="e">
        <v>#DIV/0!</v>
      </c>
      <c r="L28" s="250">
        <v>9160.4795333819402</v>
      </c>
      <c r="M28" s="250">
        <v>10520.784189146965</v>
      </c>
      <c r="N28" s="250">
        <v>10312.899489636497</v>
      </c>
      <c r="O28" s="250">
        <v>10729.551921674825</v>
      </c>
      <c r="P28" s="250">
        <v>11141.897302364338</v>
      </c>
      <c r="Q28" s="250">
        <v>11010.663680866577</v>
      </c>
      <c r="R28" s="250">
        <v>11272.788980314552</v>
      </c>
    </row>
    <row r="29" spans="1:18" s="36" customFormat="1" ht="15" customHeight="1">
      <c r="A29" s="60" t="s">
        <v>477</v>
      </c>
      <c r="B29" s="61" t="s">
        <v>478</v>
      </c>
      <c r="C29" s="8"/>
      <c r="D29" s="250"/>
      <c r="E29" s="250"/>
      <c r="F29" s="250"/>
      <c r="G29" s="250"/>
      <c r="H29" s="1357"/>
      <c r="I29" s="1357"/>
      <c r="J29" s="250"/>
      <c r="K29" s="250"/>
      <c r="L29" s="250"/>
      <c r="M29" s="250"/>
      <c r="N29" s="250"/>
      <c r="O29" s="250"/>
      <c r="P29" s="250"/>
      <c r="Q29" s="250"/>
      <c r="R29" s="250"/>
    </row>
    <row r="30" spans="1:18" s="36" customFormat="1" ht="15" customHeight="1">
      <c r="A30" s="60"/>
      <c r="B30" s="70" t="s">
        <v>473</v>
      </c>
      <c r="C30" s="8" t="s">
        <v>138</v>
      </c>
      <c r="D30" s="250">
        <f>('4.9_пр-во КТЭЦ'!$D$15*'4.9_пр-во КТЭЦ'!D30+'4.9_транзит КТЭЦ '!$D$15*'4.9_транзит КТЭЦ '!D30+'4.9_сбыт КТЭЦ  '!$D$15*'4.9_сбыт КТЭЦ  '!D30)/'4.9_свод КТЭЦ'!$D$15</f>
        <v>9.9246214355948847</v>
      </c>
      <c r="E30" s="251">
        <f>('4.9_пр-во КТЭЦ'!$E$15*'4.9_пр-во КТЭЦ'!E30+'4.9_транзит КТЭЦ '!$E$15*'4.9_транзит КТЭЦ '!E30+'4.9_сбыт КТЭЦ  '!$E$15*'4.9_сбыт КТЭЦ  '!E30)/'4.9_свод КТЭЦ'!$E$15</f>
        <v>10.907514854581468</v>
      </c>
      <c r="F30" s="251">
        <v>9.8049182938856028</v>
      </c>
      <c r="G30" s="251">
        <v>10.996355714586402</v>
      </c>
      <c r="H30" s="1359">
        <v>0</v>
      </c>
      <c r="I30" s="1359"/>
      <c r="J30" s="251">
        <v>11.239994468673546</v>
      </c>
      <c r="K30" s="251" t="e">
        <v>#DIV/0!</v>
      </c>
      <c r="L30" s="251">
        <v>11.341111342568482</v>
      </c>
      <c r="M30" s="250">
        <v>11.442995521299865</v>
      </c>
      <c r="N30" s="250">
        <v>11.442995521299865</v>
      </c>
      <c r="O30" s="250">
        <v>11.442995521299865</v>
      </c>
      <c r="P30" s="251">
        <v>11.442995521299865</v>
      </c>
      <c r="Q30" s="251">
        <v>11.442995521299865</v>
      </c>
      <c r="R30" s="251">
        <v>11.442995521299865</v>
      </c>
    </row>
    <row r="31" spans="1:18" s="36" customFormat="1" ht="15" customHeight="1">
      <c r="A31" s="60"/>
      <c r="B31" s="70" t="s">
        <v>474</v>
      </c>
      <c r="C31" s="8" t="s">
        <v>465</v>
      </c>
      <c r="D31" s="250">
        <f>('4.9_пр-во КТЭЦ'!$D$15*'4.9_пр-во КТЭЦ'!D31+'4.9_транзит КТЭЦ '!$D$15*'4.9_транзит КТЭЦ '!D31+'4.9_сбыт КТЭЦ  '!$D$15*'4.9_сбыт КТЭЦ  '!D31)/'4.9_свод КТЭЦ'!$D$15</f>
        <v>1333.1984747223253</v>
      </c>
      <c r="E31" s="250">
        <f>('4.9_пр-во КТЭЦ'!$E$15*'4.9_пр-во КТЭЦ'!E31+'4.9_транзит КТЭЦ '!$E$15*'4.9_транзит КТЭЦ '!E31+'4.9_сбыт КТЭЦ  '!$E$15*'4.9_сбыт КТЭЦ  '!E31)/'4.9_свод КТЭЦ'!$E$15</f>
        <v>1503.1625509305354</v>
      </c>
      <c r="F31" s="250">
        <v>1378.5492034164265</v>
      </c>
      <c r="G31" s="250">
        <v>1763.7928998920829</v>
      </c>
      <c r="H31" s="1357">
        <v>0</v>
      </c>
      <c r="I31" s="1357"/>
      <c r="J31" s="250">
        <v>2029.9592596532282</v>
      </c>
      <c r="K31" s="250" t="e">
        <v>#DIV/0!</v>
      </c>
      <c r="L31" s="250">
        <v>2218.1696698260603</v>
      </c>
      <c r="M31" s="250">
        <v>2405.41266534736</v>
      </c>
      <c r="N31" s="250">
        <v>2357.7818977189877</v>
      </c>
      <c r="O31" s="250">
        <v>2453.4720341631082</v>
      </c>
      <c r="P31" s="250">
        <v>2547.3916258723052</v>
      </c>
      <c r="Q31" s="250">
        <v>2517.6088949067807</v>
      </c>
      <c r="R31" s="250">
        <v>2577.7761691490473</v>
      </c>
    </row>
    <row r="32" spans="1:18" s="36" customFormat="1" ht="15" customHeight="1">
      <c r="A32" s="60" t="s">
        <v>479</v>
      </c>
      <c r="B32" s="61" t="s">
        <v>480</v>
      </c>
      <c r="C32" s="8"/>
      <c r="D32" s="250"/>
      <c r="E32" s="250"/>
      <c r="F32" s="250"/>
      <c r="G32" s="250"/>
      <c r="H32" s="1357"/>
      <c r="I32" s="1357"/>
      <c r="J32" s="250"/>
      <c r="K32" s="250"/>
      <c r="L32" s="250"/>
      <c r="M32" s="250"/>
      <c r="N32" s="250"/>
      <c r="O32" s="250"/>
      <c r="P32" s="250"/>
      <c r="Q32" s="250"/>
      <c r="R32" s="250"/>
    </row>
    <row r="33" spans="1:18" s="36" customFormat="1" ht="15" customHeight="1">
      <c r="A33" s="60"/>
      <c r="B33" s="70" t="s">
        <v>473</v>
      </c>
      <c r="C33" s="8" t="s">
        <v>138</v>
      </c>
      <c r="D33" s="250">
        <f>('4.9_пр-во КТЭЦ'!$D$15*'4.9_пр-во КТЭЦ'!D33+'4.9_транзит КТЭЦ '!$D$15*'4.9_транзит КТЭЦ '!D33+'4.9_сбыт КТЭЦ  '!$D$15*'4.9_сбыт КТЭЦ  '!D33)/'4.9_свод КТЭЦ'!$D$15</f>
        <v>0</v>
      </c>
      <c r="E33" s="251">
        <f>('4.9_пр-во КТЭЦ'!$E$15*'4.9_пр-во КТЭЦ'!E33+'4.9_транзит КТЭЦ '!$E$15*'4.9_транзит КТЭЦ '!E33+'4.9_сбыт КТЭЦ  '!$E$15*'4.9_сбыт КТЭЦ  '!E33)/'4.9_свод КТЭЦ'!$E$15</f>
        <v>0</v>
      </c>
      <c r="F33" s="251">
        <v>0</v>
      </c>
      <c r="G33" s="251">
        <v>0</v>
      </c>
      <c r="H33" s="1359">
        <v>0</v>
      </c>
      <c r="I33" s="1359"/>
      <c r="J33" s="251">
        <v>0</v>
      </c>
      <c r="K33" s="251" t="e">
        <v>#DIV/0!</v>
      </c>
      <c r="L33" s="251">
        <v>0</v>
      </c>
      <c r="M33" s="250">
        <v>0</v>
      </c>
      <c r="N33" s="250">
        <v>0</v>
      </c>
      <c r="O33" s="250">
        <v>0</v>
      </c>
      <c r="P33" s="251">
        <v>0</v>
      </c>
      <c r="Q33" s="251">
        <v>0</v>
      </c>
      <c r="R33" s="251">
        <v>0</v>
      </c>
    </row>
    <row r="34" spans="1:18" s="36" customFormat="1" ht="15" customHeight="1">
      <c r="A34" s="60"/>
      <c r="B34" s="70" t="s">
        <v>474</v>
      </c>
      <c r="C34" s="8" t="s">
        <v>465</v>
      </c>
      <c r="D34" s="250">
        <f>('4.9_пр-во КТЭЦ'!$D$15*'4.9_пр-во КТЭЦ'!D34+'4.9_транзит КТЭЦ '!$D$15*'4.9_транзит КТЭЦ '!D34+'4.9_сбыт КТЭЦ  '!$D$15*'4.9_сбыт КТЭЦ  '!D34)/'4.9_свод КТЭЦ'!$D$15</f>
        <v>0</v>
      </c>
      <c r="E34" s="250">
        <f>('4.9_пр-во КТЭЦ'!$E$15*'4.9_пр-во КТЭЦ'!E34+'4.9_транзит КТЭЦ '!$E$15*'4.9_транзит КТЭЦ '!E34+'4.9_сбыт КТЭЦ  '!$E$15*'4.9_сбыт КТЭЦ  '!E34)/'4.9_свод КТЭЦ'!$E$15</f>
        <v>145.55114041488585</v>
      </c>
      <c r="F34" s="250">
        <v>0</v>
      </c>
      <c r="G34" s="250">
        <v>0</v>
      </c>
      <c r="H34" s="1357">
        <v>0</v>
      </c>
      <c r="I34" s="1357"/>
      <c r="J34" s="250">
        <v>0</v>
      </c>
      <c r="K34" s="250" t="e">
        <v>#DIV/0!</v>
      </c>
      <c r="L34" s="250">
        <v>0</v>
      </c>
      <c r="M34" s="250">
        <v>0</v>
      </c>
      <c r="N34" s="250">
        <v>0</v>
      </c>
      <c r="O34" s="250">
        <v>0</v>
      </c>
      <c r="P34" s="250">
        <v>0</v>
      </c>
      <c r="Q34" s="250">
        <v>0</v>
      </c>
      <c r="R34" s="250">
        <v>0</v>
      </c>
    </row>
    <row r="35" spans="1:18" s="36" customFormat="1" hidden="1">
      <c r="A35" s="60" t="s">
        <v>481</v>
      </c>
      <c r="B35" s="61"/>
      <c r="C35" s="8"/>
      <c r="D35" s="250"/>
      <c r="E35" s="250"/>
      <c r="F35" s="250"/>
      <c r="G35" s="250"/>
      <c r="H35" s="1357"/>
      <c r="I35" s="1357"/>
      <c r="J35" s="250"/>
      <c r="K35" s="250"/>
      <c r="L35" s="250"/>
      <c r="M35" s="250"/>
      <c r="N35" s="250"/>
      <c r="O35" s="250"/>
      <c r="P35" s="250"/>
      <c r="Q35" s="250"/>
      <c r="R35" s="250"/>
    </row>
    <row r="36" spans="1:18" s="36" customFormat="1" ht="15" hidden="1" customHeight="1">
      <c r="A36" s="60"/>
      <c r="B36" s="70" t="s">
        <v>473</v>
      </c>
      <c r="C36" s="8" t="s">
        <v>138</v>
      </c>
      <c r="D36" s="66">
        <f>('4.9_пр-во КТЭЦ'!$D$15*'4.9_пр-во КТЭЦ'!D36+'4.9_транзит КТЭЦ '!$D$15*'4.9_транзит КТЭЦ '!D36+'4.9_сбыт КТЭЦ  '!$D$15*'4.9_сбыт КТЭЦ  '!D36)/'4.9_свод КТЭЦ'!$D$15</f>
        <v>0</v>
      </c>
      <c r="E36" s="251">
        <f>('4.9_пр-во КТЭЦ'!$E$15*'4.9_пр-во КТЭЦ'!E36+'4.9_транзит КТЭЦ '!$E$15*'4.9_транзит КТЭЦ '!E36+'4.9_сбыт КТЭЦ  '!$E$15*'4.9_сбыт КТЭЦ  '!E36)/'4.9_свод КТЭЦ'!$E$15</f>
        <v>0</v>
      </c>
      <c r="F36" s="251">
        <v>0</v>
      </c>
      <c r="G36" s="251">
        <v>0</v>
      </c>
      <c r="H36" s="1359">
        <v>0</v>
      </c>
      <c r="I36" s="1359"/>
      <c r="J36" s="251">
        <v>0</v>
      </c>
      <c r="K36" s="251"/>
      <c r="L36" s="251"/>
      <c r="M36" s="66">
        <v>0</v>
      </c>
      <c r="N36" s="66">
        <v>0</v>
      </c>
      <c r="O36" s="66">
        <v>0</v>
      </c>
      <c r="P36" s="66">
        <v>0</v>
      </c>
      <c r="Q36" s="66">
        <v>0</v>
      </c>
      <c r="R36" s="66">
        <v>0</v>
      </c>
    </row>
    <row r="37" spans="1:18" s="36" customFormat="1" ht="15" hidden="1" customHeight="1">
      <c r="A37" s="60"/>
      <c r="B37" s="70" t="s">
        <v>474</v>
      </c>
      <c r="C37" s="8" t="s">
        <v>465</v>
      </c>
      <c r="D37" s="66"/>
      <c r="E37" s="66"/>
      <c r="F37" s="66"/>
      <c r="G37" s="66"/>
      <c r="H37" s="990"/>
      <c r="I37" s="990"/>
      <c r="J37" s="66"/>
      <c r="K37" s="66"/>
      <c r="L37" s="66"/>
      <c r="M37" s="66"/>
      <c r="N37" s="66"/>
      <c r="O37" s="66"/>
      <c r="P37" s="66"/>
      <c r="Q37" s="66"/>
      <c r="R37" s="66"/>
    </row>
    <row r="38" spans="1:18" s="36" customFormat="1" hidden="1">
      <c r="A38" s="60" t="s">
        <v>482</v>
      </c>
      <c r="B38" s="61"/>
      <c r="C38" s="8"/>
      <c r="D38" s="66"/>
      <c r="E38" s="66"/>
      <c r="F38" s="66"/>
      <c r="G38" s="66"/>
      <c r="H38" s="990"/>
      <c r="I38" s="990"/>
      <c r="J38" s="66"/>
      <c r="K38" s="66"/>
      <c r="L38" s="66"/>
      <c r="M38" s="66"/>
      <c r="N38" s="66"/>
      <c r="O38" s="66"/>
      <c r="P38" s="66"/>
      <c r="Q38" s="66"/>
      <c r="R38" s="66"/>
    </row>
    <row r="39" spans="1:18" s="36" customFormat="1" ht="15" hidden="1" customHeight="1">
      <c r="A39" s="60"/>
      <c r="B39" s="70" t="s">
        <v>473</v>
      </c>
      <c r="C39" s="8" t="s">
        <v>138</v>
      </c>
      <c r="D39" s="66">
        <f>('4.9_пр-во КТЭЦ'!$D$15*'4.9_пр-во КТЭЦ'!D39+'4.9_транзит КТЭЦ '!$D$15*'4.9_транзит КТЭЦ '!D39+'4.9_сбыт КТЭЦ  '!$D$15*'4.9_сбыт КТЭЦ  '!D39)/'4.9_свод КТЭЦ'!$D$15</f>
        <v>0</v>
      </c>
      <c r="E39" s="251">
        <f>('4.9_пр-во КТЭЦ'!$E$15*'4.9_пр-во КТЭЦ'!E39+'4.9_транзит КТЭЦ '!$E$15*'4.9_транзит КТЭЦ '!E39+'4.9_сбыт КТЭЦ  '!$E$15*'4.9_сбыт КТЭЦ  '!E39)/'4.9_свод КТЭЦ'!$E$15</f>
        <v>0</v>
      </c>
      <c r="F39" s="251">
        <v>0</v>
      </c>
      <c r="G39" s="251">
        <v>0</v>
      </c>
      <c r="H39" s="1359">
        <v>0</v>
      </c>
      <c r="I39" s="1359"/>
      <c r="J39" s="251">
        <v>0</v>
      </c>
      <c r="K39" s="251"/>
      <c r="L39" s="251"/>
      <c r="M39" s="66">
        <v>0</v>
      </c>
      <c r="N39" s="66">
        <v>0</v>
      </c>
      <c r="O39" s="66">
        <v>0</v>
      </c>
      <c r="P39" s="66">
        <v>0</v>
      </c>
      <c r="Q39" s="66">
        <v>0</v>
      </c>
      <c r="R39" s="66">
        <v>0</v>
      </c>
    </row>
    <row r="40" spans="1:18" s="36" customFormat="1" ht="15" hidden="1" customHeight="1">
      <c r="A40" s="60"/>
      <c r="B40" s="70" t="s">
        <v>474</v>
      </c>
      <c r="C40" s="8" t="s">
        <v>465</v>
      </c>
      <c r="D40" s="66"/>
      <c r="E40" s="66"/>
      <c r="F40" s="66"/>
      <c r="G40" s="66"/>
      <c r="H40" s="990"/>
      <c r="I40" s="990"/>
      <c r="J40" s="66"/>
      <c r="K40" s="66"/>
      <c r="L40" s="66"/>
      <c r="M40" s="66"/>
      <c r="N40" s="66"/>
      <c r="O40" s="66"/>
      <c r="P40" s="66"/>
      <c r="Q40" s="66"/>
      <c r="R40" s="66"/>
    </row>
    <row r="41" spans="1:18" s="36" customFormat="1" ht="30" customHeight="1">
      <c r="A41" s="60" t="s">
        <v>483</v>
      </c>
      <c r="B41" s="61" t="s">
        <v>484</v>
      </c>
      <c r="C41" s="8"/>
      <c r="D41" s="66"/>
      <c r="E41" s="66"/>
      <c r="F41" s="66"/>
      <c r="G41" s="66"/>
      <c r="H41" s="990"/>
      <c r="I41" s="990"/>
      <c r="J41" s="66"/>
      <c r="K41" s="66"/>
      <c r="L41" s="66"/>
      <c r="M41" s="66"/>
      <c r="N41" s="66"/>
      <c r="O41" s="66"/>
      <c r="P41" s="66"/>
      <c r="Q41" s="66"/>
      <c r="R41" s="66"/>
    </row>
    <row r="42" spans="1:18" s="36" customFormat="1" ht="15" customHeight="1">
      <c r="A42" s="60"/>
      <c r="B42" s="70" t="s">
        <v>473</v>
      </c>
      <c r="C42" s="8" t="s">
        <v>138</v>
      </c>
      <c r="D42" s="250">
        <f>('4.9_пр-во КТЭЦ'!$D$15*'4.9_пр-во КТЭЦ'!D42+'4.9_транзит КТЭЦ '!$D$15*'4.9_транзит КТЭЦ '!D42+'4.9_сбыт КТЭЦ  '!$D$15*'4.9_сбыт КТЭЦ  '!D42)/'4.9_свод КТЭЦ'!$D$15</f>
        <v>159.99999999999997</v>
      </c>
      <c r="E42" s="250">
        <f>('4.9_пр-во КТЭЦ'!$E$15*'4.9_пр-во КТЭЦ'!E42+'4.9_транзит КТЭЦ '!$E$15*'4.9_транзит КТЭЦ '!E42+'4.9_сбыт КТЭЦ  '!$E$15*'4.9_сбыт КТЭЦ  '!E42)/'4.9_свод КТЭЦ'!$E$15</f>
        <v>160</v>
      </c>
      <c r="F42" s="250">
        <v>160</v>
      </c>
      <c r="G42" s="250">
        <v>160</v>
      </c>
      <c r="H42" s="1357">
        <v>160</v>
      </c>
      <c r="I42" s="1357"/>
      <c r="J42" s="250">
        <v>160</v>
      </c>
      <c r="K42" s="250">
        <v>160</v>
      </c>
      <c r="L42" s="250">
        <v>160</v>
      </c>
      <c r="M42" s="250">
        <v>160</v>
      </c>
      <c r="N42" s="250">
        <v>160</v>
      </c>
      <c r="O42" s="250">
        <v>160</v>
      </c>
      <c r="P42" s="250">
        <v>160</v>
      </c>
      <c r="Q42" s="250">
        <v>160</v>
      </c>
      <c r="R42" s="250">
        <v>160</v>
      </c>
    </row>
    <row r="43" spans="1:18" s="36" customFormat="1" ht="15" customHeight="1">
      <c r="A43" s="60"/>
      <c r="B43" s="70" t="s">
        <v>474</v>
      </c>
      <c r="C43" s="8" t="s">
        <v>465</v>
      </c>
      <c r="D43" s="250">
        <f>('4.9_пр-во КТЭЦ'!$D$15*'4.9_пр-во КТЭЦ'!D43+'4.9_транзит КТЭЦ '!$D$15*'4.9_транзит КТЭЦ '!D43+'4.9_сбыт КТЭЦ  '!$D$15*'4.9_сбыт КТЭЦ  '!D43)/'4.9_свод КТЭЦ'!$D$15</f>
        <v>34640.788472265463</v>
      </c>
      <c r="E43" s="250">
        <f>('4.9_пр-во КТЭЦ'!$E$15*'4.9_пр-во КТЭЦ'!E43+'4.9_транзит КТЭЦ '!$E$15*'4.9_транзит КТЭЦ '!E43+'4.9_сбыт КТЭЦ  '!$E$15*'4.9_сбыт КТЭЦ  '!E43)/'4.9_свод КТЭЦ'!$E$15</f>
        <v>35035.58091538032</v>
      </c>
      <c r="F43" s="250">
        <v>35315.403311341215</v>
      </c>
      <c r="G43" s="250">
        <v>41136.144063199805</v>
      </c>
      <c r="H43" s="1357">
        <v>0</v>
      </c>
      <c r="I43" s="1357"/>
      <c r="J43" s="250">
        <v>45890.635145197317</v>
      </c>
      <c r="K43" s="250" t="e">
        <v>#DIV/0!</v>
      </c>
      <c r="L43" s="250">
        <v>49533.186647224255</v>
      </c>
      <c r="M43" s="250">
        <v>54348.973336110823</v>
      </c>
      <c r="N43" s="250">
        <v>53275.043953754823</v>
      </c>
      <c r="O43" s="250">
        <v>55428.149151130099</v>
      </c>
      <c r="P43" s="250">
        <v>57556.688678262683</v>
      </c>
      <c r="Q43" s="250">
        <v>56879.841370690563</v>
      </c>
      <c r="R43" s="250">
        <v>58234.428080408296</v>
      </c>
    </row>
    <row r="44" spans="1:18" s="36" customFormat="1" ht="30" customHeight="1">
      <c r="A44" s="387" t="s">
        <v>27</v>
      </c>
      <c r="B44" s="386" t="s">
        <v>485</v>
      </c>
      <c r="C44" s="385" t="s">
        <v>465</v>
      </c>
      <c r="D44" s="384">
        <f>D22+D25+D28+D31+D34+D37+D40+D43</f>
        <v>56290.879964579857</v>
      </c>
      <c r="E44" s="384">
        <f t="shared" ref="E44:G44" si="1">E22+E25+E28+E31+E34+E37+E40+E43</f>
        <v>57078.527961223866</v>
      </c>
      <c r="F44" s="384">
        <v>57388.730380929468</v>
      </c>
      <c r="G44" s="384">
        <v>66847.480419264612</v>
      </c>
      <c r="H44" s="1361">
        <v>0</v>
      </c>
      <c r="I44" s="1361"/>
      <c r="J44" s="384">
        <v>74572.340493256037</v>
      </c>
      <c r="K44" s="384" t="e">
        <v>#DIV/0!</v>
      </c>
      <c r="L44" s="384">
        <v>80491.563462139369</v>
      </c>
      <c r="M44" s="384">
        <v>88317.048554108944</v>
      </c>
      <c r="N44" s="384">
        <v>86571.983600541629</v>
      </c>
      <c r="O44" s="384">
        <v>90070.861334610992</v>
      </c>
      <c r="P44" s="384">
        <v>93529.486504811997</v>
      </c>
      <c r="Q44" s="384">
        <v>92429.868397979386</v>
      </c>
      <c r="R44" s="384">
        <v>94630.858387293003</v>
      </c>
    </row>
    <row r="45" spans="1:18" s="1368" customFormat="1" ht="30" customHeight="1">
      <c r="A45" s="1364" t="s">
        <v>95</v>
      </c>
      <c r="B45" s="1365" t="s">
        <v>905</v>
      </c>
      <c r="C45" s="1366" t="s">
        <v>465</v>
      </c>
      <c r="D45" s="1367">
        <f>'4.9_пр-во КТЭЦ'!D45+'4.9_транзит+сбыт (КТЭЦ)'!D45</f>
        <v>624405.27998755802</v>
      </c>
      <c r="E45" s="1367">
        <f>'4.9_пр-во КТЭЦ'!E45+'4.9_транзит+сбыт (КТЭЦ)'!E45</f>
        <v>684861.19687842473</v>
      </c>
      <c r="F45" s="1367">
        <v>218204.23892848552</v>
      </c>
      <c r="G45" s="1367">
        <v>795784.710732623</v>
      </c>
      <c r="H45" s="1373">
        <v>308898</v>
      </c>
      <c r="I45" s="1373"/>
      <c r="J45" s="1367">
        <v>856853.68757251999</v>
      </c>
      <c r="K45" s="1367">
        <v>0</v>
      </c>
      <c r="L45" s="1367">
        <v>944204.10095999995</v>
      </c>
      <c r="M45" s="1367">
        <v>1059713.77253344</v>
      </c>
      <c r="N45" s="1367">
        <v>509180.06872927997</v>
      </c>
      <c r="O45" s="1367">
        <v>550533.70380416</v>
      </c>
      <c r="P45" s="1367">
        <v>1121932.0227192398</v>
      </c>
      <c r="Q45" s="1367">
        <v>543401.9998934</v>
      </c>
      <c r="R45" s="1367">
        <v>578529.02282583993</v>
      </c>
    </row>
    <row r="46" spans="1:18">
      <c r="A46" s="60" t="s">
        <v>898</v>
      </c>
      <c r="B46" s="61" t="s">
        <v>899</v>
      </c>
      <c r="C46" s="8" t="s">
        <v>892</v>
      </c>
      <c r="D46" s="250">
        <f>'4.9_пр-во КТЭЦ'!D46+'4.9_транзит КТЭЦ '!D46+'4.9_сбыт КТЭЦ  '!D46</f>
        <v>8825</v>
      </c>
      <c r="E46" s="250">
        <f>'4.9_пр-во КТЭЦ'!E46+'4.9_транзит КТЭЦ '!E46+'4.9_сбыт КТЭЦ  '!E46</f>
        <v>11860</v>
      </c>
      <c r="F46" s="250">
        <v>10266.840382486536</v>
      </c>
      <c r="G46" s="250">
        <v>12495</v>
      </c>
      <c r="H46" s="1357">
        <v>5456</v>
      </c>
      <c r="I46" s="1357"/>
      <c r="J46" s="250">
        <v>14479</v>
      </c>
      <c r="K46" s="250">
        <v>0</v>
      </c>
      <c r="L46" s="250">
        <v>16045</v>
      </c>
      <c r="M46" s="250">
        <v>20093</v>
      </c>
      <c r="N46" s="250">
        <v>10047</v>
      </c>
      <c r="O46" s="250">
        <v>10047</v>
      </c>
      <c r="P46" s="250">
        <v>20998</v>
      </c>
      <c r="Q46" s="250">
        <v>10498.5</v>
      </c>
      <c r="R46" s="250">
        <v>10498.5</v>
      </c>
    </row>
    <row r="47" spans="1:18" ht="60.75" customHeight="1">
      <c r="A47" s="60" t="s">
        <v>900</v>
      </c>
      <c r="B47" s="61" t="s">
        <v>902</v>
      </c>
      <c r="C47" s="8" t="s">
        <v>892</v>
      </c>
      <c r="D47" s="250"/>
      <c r="E47" s="250"/>
      <c r="F47" s="250"/>
      <c r="G47" s="250"/>
      <c r="H47" s="1357"/>
      <c r="I47" s="1357"/>
      <c r="J47" s="250"/>
      <c r="K47" s="250"/>
      <c r="L47" s="250"/>
      <c r="M47" s="250"/>
      <c r="N47" s="250"/>
      <c r="O47" s="250"/>
      <c r="P47" s="250"/>
      <c r="Q47" s="250"/>
      <c r="R47" s="250"/>
    </row>
    <row r="48" spans="1:18">
      <c r="A48" s="60" t="s">
        <v>901</v>
      </c>
      <c r="B48" s="61" t="s">
        <v>348</v>
      </c>
      <c r="C48" s="8" t="s">
        <v>892</v>
      </c>
      <c r="D48" s="250">
        <f>D49+D50+D51+D52+D53</f>
        <v>0</v>
      </c>
      <c r="E48" s="250">
        <f t="shared" ref="E48:O48" si="2">E49+E50+E51+E52+E53</f>
        <v>15935</v>
      </c>
      <c r="F48" s="250">
        <v>0</v>
      </c>
      <c r="G48" s="250">
        <v>21081</v>
      </c>
      <c r="H48" s="1357">
        <v>0</v>
      </c>
      <c r="I48" s="1357"/>
      <c r="J48" s="250">
        <v>1127</v>
      </c>
      <c r="K48" s="250">
        <v>0</v>
      </c>
      <c r="L48" s="250">
        <v>800</v>
      </c>
      <c r="M48" s="250">
        <v>22049</v>
      </c>
      <c r="N48" s="250">
        <v>425.5</v>
      </c>
      <c r="O48" s="250">
        <v>21623.5</v>
      </c>
      <c r="P48" s="250">
        <v>23352</v>
      </c>
      <c r="Q48" s="250">
        <v>451</v>
      </c>
      <c r="R48" s="250">
        <v>22901</v>
      </c>
    </row>
    <row r="49" spans="1:18" ht="30">
      <c r="A49" s="60" t="s">
        <v>1024</v>
      </c>
      <c r="B49" s="61" t="s">
        <v>1023</v>
      </c>
      <c r="C49" s="8" t="s">
        <v>892</v>
      </c>
      <c r="D49" s="250">
        <f>'4.9_пр-во КТЭЦ'!D49+'4.9_транзит КТЭЦ '!D49+'4.9_сбыт КТЭЦ  '!D49</f>
        <v>0</v>
      </c>
      <c r="E49" s="250">
        <f>'4.9_пр-во КТЭЦ'!E49+'4.9_транзит КТЭЦ '!E49+'4.9_сбыт КТЭЦ  '!E49</f>
        <v>4044</v>
      </c>
      <c r="F49" s="250">
        <v>0</v>
      </c>
      <c r="G49" s="250">
        <v>168</v>
      </c>
      <c r="H49" s="1357">
        <v>0</v>
      </c>
      <c r="I49" s="1357"/>
      <c r="J49" s="250">
        <v>0</v>
      </c>
      <c r="K49" s="250">
        <v>0</v>
      </c>
      <c r="L49" s="250">
        <v>0</v>
      </c>
      <c r="M49" s="250">
        <v>0</v>
      </c>
      <c r="N49" s="250">
        <v>0</v>
      </c>
      <c r="O49" s="250">
        <v>0</v>
      </c>
      <c r="P49" s="250">
        <v>0</v>
      </c>
      <c r="Q49" s="250">
        <v>0</v>
      </c>
      <c r="R49" s="250">
        <v>0</v>
      </c>
    </row>
    <row r="50" spans="1:18" ht="30">
      <c r="A50" s="60" t="s">
        <v>1022</v>
      </c>
      <c r="B50" s="61" t="s">
        <v>1021</v>
      </c>
      <c r="C50" s="8" t="s">
        <v>892</v>
      </c>
      <c r="D50" s="250">
        <f>'4.9_пр-во КТЭЦ'!D50+'4.9_транзит КТЭЦ '!D50+'4.9_сбыт КТЭЦ  '!D50</f>
        <v>0</v>
      </c>
      <c r="E50" s="250">
        <f>'4.9_пр-во КТЭЦ'!E50+'4.9_транзит КТЭЦ '!E50+'4.9_сбыт КТЭЦ  '!E50</f>
        <v>0</v>
      </c>
      <c r="F50" s="250">
        <v>0</v>
      </c>
      <c r="G50" s="250">
        <v>368</v>
      </c>
      <c r="H50" s="1357">
        <v>0</v>
      </c>
      <c r="I50" s="1357"/>
      <c r="J50" s="250">
        <v>0</v>
      </c>
      <c r="K50" s="250">
        <v>0</v>
      </c>
      <c r="L50" s="250">
        <v>0</v>
      </c>
      <c r="M50" s="250">
        <v>0</v>
      </c>
      <c r="N50" s="250">
        <v>0</v>
      </c>
      <c r="O50" s="250">
        <v>0</v>
      </c>
      <c r="P50" s="250">
        <v>0</v>
      </c>
      <c r="Q50" s="250">
        <v>0</v>
      </c>
      <c r="R50" s="250">
        <v>0</v>
      </c>
    </row>
    <row r="51" spans="1:18">
      <c r="A51" s="60" t="s">
        <v>1020</v>
      </c>
      <c r="B51" s="61" t="s">
        <v>1019</v>
      </c>
      <c r="C51" s="8" t="s">
        <v>892</v>
      </c>
      <c r="D51" s="250">
        <f>'4.9_пр-во КТЭЦ'!D51+'4.9_транзит КТЭЦ '!D51+'4.9_сбыт КТЭЦ  '!D51</f>
        <v>0</v>
      </c>
      <c r="E51" s="250">
        <f>'4.9_пр-во КТЭЦ'!E51+'4.9_транзит КТЭЦ '!E51+'4.9_сбыт КТЭЦ  '!E51</f>
        <v>865</v>
      </c>
      <c r="F51" s="250">
        <v>0</v>
      </c>
      <c r="G51" s="250">
        <v>1368</v>
      </c>
      <c r="H51" s="1357">
        <v>0</v>
      </c>
      <c r="I51" s="1357"/>
      <c r="J51" s="250">
        <v>1127</v>
      </c>
      <c r="K51" s="250">
        <v>0</v>
      </c>
      <c r="L51" s="250">
        <v>800</v>
      </c>
      <c r="M51" s="250">
        <v>851</v>
      </c>
      <c r="N51" s="250">
        <v>425.5</v>
      </c>
      <c r="O51" s="250">
        <v>425.5</v>
      </c>
      <c r="P51" s="250">
        <v>902</v>
      </c>
      <c r="Q51" s="250">
        <v>451</v>
      </c>
      <c r="R51" s="250">
        <v>451</v>
      </c>
    </row>
    <row r="52" spans="1:18" ht="30">
      <c r="A52" s="60" t="s">
        <v>1018</v>
      </c>
      <c r="B52" s="61" t="s">
        <v>934</v>
      </c>
      <c r="C52" s="8" t="s">
        <v>892</v>
      </c>
      <c r="D52" s="250">
        <f>'4.9_пр-во КТЭЦ'!D52+'4.9_транзит КТЭЦ '!D52+'4.9_сбыт КТЭЦ  '!D52</f>
        <v>0</v>
      </c>
      <c r="E52" s="250">
        <f>'4.9_пр-во КТЭЦ'!E52+'4.9_транзит КТЭЦ '!E52+'4.9_сбыт КТЭЦ  '!E52</f>
        <v>0</v>
      </c>
      <c r="F52" s="250">
        <v>0</v>
      </c>
      <c r="G52" s="250">
        <v>0</v>
      </c>
      <c r="H52" s="1357">
        <v>0</v>
      </c>
      <c r="I52" s="1357"/>
      <c r="J52" s="250">
        <v>0</v>
      </c>
      <c r="K52" s="250">
        <v>0</v>
      </c>
      <c r="L52" s="250">
        <v>0</v>
      </c>
      <c r="M52" s="250">
        <v>21198</v>
      </c>
      <c r="N52" s="250">
        <v>0</v>
      </c>
      <c r="O52" s="250">
        <v>21198</v>
      </c>
      <c r="P52" s="250">
        <v>22450</v>
      </c>
      <c r="Q52" s="250">
        <v>0</v>
      </c>
      <c r="R52" s="250">
        <v>22450</v>
      </c>
    </row>
    <row r="53" spans="1:18" ht="75">
      <c r="A53" s="60" t="s">
        <v>1071</v>
      </c>
      <c r="B53" s="61" t="s">
        <v>1558</v>
      </c>
      <c r="C53" s="8" t="s">
        <v>892</v>
      </c>
      <c r="D53" s="250">
        <f>'4.9_пр-во КТЭЦ'!D53+'4.9_транзит КТЭЦ '!D53+'4.9_сбыт КТЭЦ  '!D53</f>
        <v>0</v>
      </c>
      <c r="E53" s="250">
        <f>'4.9_пр-во КТЭЦ'!E53+'4.9_транзит КТЭЦ '!E53+'4.9_сбыт КТЭЦ  '!E53</f>
        <v>11026</v>
      </c>
      <c r="F53" s="250">
        <v>0</v>
      </c>
      <c r="G53" s="250">
        <v>19177</v>
      </c>
      <c r="H53" s="1357">
        <v>0</v>
      </c>
      <c r="I53" s="1357"/>
      <c r="J53" s="250">
        <v>0</v>
      </c>
      <c r="K53" s="250">
        <v>0</v>
      </c>
      <c r="L53" s="250">
        <v>0</v>
      </c>
      <c r="M53" s="250">
        <v>0</v>
      </c>
      <c r="N53" s="250">
        <v>0</v>
      </c>
      <c r="O53" s="250">
        <v>0</v>
      </c>
      <c r="P53" s="250">
        <v>0</v>
      </c>
      <c r="Q53" s="250">
        <v>0</v>
      </c>
      <c r="R53" s="250">
        <v>0</v>
      </c>
    </row>
    <row r="54" spans="1:18" ht="30">
      <c r="A54" s="60"/>
      <c r="B54" s="61" t="s">
        <v>903</v>
      </c>
      <c r="C54" s="8"/>
      <c r="D54" s="250">
        <v>12</v>
      </c>
      <c r="E54" s="250">
        <v>12</v>
      </c>
      <c r="F54" s="250">
        <v>12</v>
      </c>
      <c r="G54" s="250">
        <v>12</v>
      </c>
      <c r="H54" s="1357">
        <v>13</v>
      </c>
      <c r="I54" s="1357"/>
      <c r="J54" s="250">
        <v>12</v>
      </c>
      <c r="K54" s="250">
        <v>12</v>
      </c>
      <c r="L54" s="250">
        <v>12</v>
      </c>
      <c r="M54" s="250">
        <v>12</v>
      </c>
      <c r="N54" s="250">
        <v>6</v>
      </c>
      <c r="O54" s="250">
        <v>6</v>
      </c>
      <c r="P54" s="250">
        <v>12</v>
      </c>
      <c r="Q54" s="250">
        <v>6</v>
      </c>
      <c r="R54" s="250">
        <v>6</v>
      </c>
    </row>
    <row r="55" spans="1:18" s="763" customFormat="1" ht="28.5">
      <c r="A55" s="1352" t="s">
        <v>904</v>
      </c>
      <c r="B55" s="1353" t="s">
        <v>905</v>
      </c>
      <c r="C55" s="1354" t="s">
        <v>892</v>
      </c>
      <c r="D55" s="1013">
        <f>'4.9_пр-во КТЭЦ'!D55+'4.9_транзит+сбыт (КТЭЦ)'!D55</f>
        <v>615580.27998755802</v>
      </c>
      <c r="E55" s="1013">
        <f>'4.9_пр-во КТЭЦ'!E55+'4.9_транзит+сбыт (КТЭЦ)'!E55</f>
        <v>657059.19687842473</v>
      </c>
      <c r="F55" s="1013">
        <v>215203.23892848552</v>
      </c>
      <c r="G55" s="1013">
        <v>783287.710732623</v>
      </c>
      <c r="H55" s="1360">
        <v>303442</v>
      </c>
      <c r="I55" s="1360"/>
      <c r="J55" s="1013">
        <v>842374.68757251999</v>
      </c>
      <c r="K55" s="1013">
        <v>0</v>
      </c>
      <c r="L55" s="1013">
        <v>928158.10095999995</v>
      </c>
      <c r="M55" s="1013">
        <v>1039615.9417574399</v>
      </c>
      <c r="N55" s="1013">
        <v>499133.06872927997</v>
      </c>
      <c r="O55" s="1013">
        <v>540486.70380416</v>
      </c>
      <c r="P55" s="1013">
        <v>1100932.02271924</v>
      </c>
      <c r="Q55" s="1013">
        <v>532901.4998934</v>
      </c>
      <c r="R55" s="1013">
        <v>568029.52282583993</v>
      </c>
    </row>
    <row r="56" spans="1:18" ht="30">
      <c r="A56" s="60" t="s">
        <v>906</v>
      </c>
      <c r="B56" s="61" t="s">
        <v>909</v>
      </c>
      <c r="C56" s="8" t="s">
        <v>892</v>
      </c>
      <c r="D56" s="250"/>
      <c r="E56" s="250"/>
      <c r="F56" s="250"/>
      <c r="G56" s="250"/>
      <c r="H56" s="1357"/>
      <c r="I56" s="1357"/>
      <c r="J56" s="250"/>
      <c r="K56" s="250"/>
      <c r="L56" s="250"/>
      <c r="M56" s="250"/>
      <c r="N56" s="250"/>
      <c r="O56" s="250"/>
      <c r="P56" s="250"/>
      <c r="Q56" s="250"/>
      <c r="R56" s="250"/>
    </row>
    <row r="57" spans="1:18">
      <c r="A57" s="60" t="s">
        <v>907</v>
      </c>
      <c r="B57" s="61" t="s">
        <v>910</v>
      </c>
      <c r="C57" s="8" t="s">
        <v>892</v>
      </c>
      <c r="D57" s="250">
        <f>'4.9_пр-во КТЭЦ'!D57+'4.9_транзит КТЭЦ '!D57+'4.9_сбыт КТЭЦ  '!D57</f>
        <v>615580.27998755802</v>
      </c>
      <c r="E57" s="250">
        <f>'4.9_пр-во КТЭЦ'!E57+'4.9_транзит КТЭЦ '!E57+'4.9_сбыт КТЭЦ  '!E57</f>
        <v>657059.19687842473</v>
      </c>
      <c r="F57" s="250">
        <v>215203.23892848552</v>
      </c>
      <c r="G57" s="250">
        <v>783287.710732623</v>
      </c>
      <c r="H57" s="1357">
        <v>303442</v>
      </c>
      <c r="I57" s="1357"/>
      <c r="J57" s="250">
        <v>842374.68757252011</v>
      </c>
      <c r="K57" s="250">
        <v>0</v>
      </c>
      <c r="L57" s="250">
        <v>928158.10096000007</v>
      </c>
      <c r="M57" s="250">
        <v>1039615.9417574399</v>
      </c>
      <c r="N57" s="250">
        <v>499133.06872927997</v>
      </c>
      <c r="O57" s="250">
        <v>540486.70380416</v>
      </c>
      <c r="P57" s="250">
        <v>1100932.02271924</v>
      </c>
      <c r="Q57" s="250">
        <v>532901.4998934</v>
      </c>
      <c r="R57" s="250">
        <v>568029.52282583993</v>
      </c>
    </row>
    <row r="58" spans="1:18">
      <c r="A58" s="60" t="s">
        <v>908</v>
      </c>
      <c r="B58" s="61" t="s">
        <v>911</v>
      </c>
      <c r="C58" s="8" t="s">
        <v>892</v>
      </c>
      <c r="D58" s="250">
        <f>'4.9_пр-во КТЭЦ'!D58+'4.9_транзит КТЭЦ '!D58+'4.9_сбыт КТЭЦ  '!D58</f>
        <v>0</v>
      </c>
      <c r="E58" s="250">
        <f>'4.9_пр-во КТЭЦ'!E58+'4.9_транзит КТЭЦ '!E58+'4.9_сбыт КТЭЦ  '!E58</f>
        <v>0</v>
      </c>
      <c r="F58" s="250">
        <v>0</v>
      </c>
      <c r="G58" s="250">
        <v>0</v>
      </c>
      <c r="H58" s="1357">
        <v>0</v>
      </c>
      <c r="I58" s="1357"/>
      <c r="J58" s="250">
        <v>0</v>
      </c>
      <c r="K58" s="250">
        <v>0</v>
      </c>
      <c r="L58" s="250">
        <v>0</v>
      </c>
      <c r="M58" s="250">
        <v>0</v>
      </c>
      <c r="N58" s="250">
        <v>0</v>
      </c>
      <c r="O58" s="250">
        <v>0</v>
      </c>
      <c r="P58" s="250">
        <v>0</v>
      </c>
      <c r="Q58" s="250">
        <v>0</v>
      </c>
      <c r="R58" s="250">
        <v>0</v>
      </c>
    </row>
    <row r="59" spans="1:18">
      <c r="A59" s="60" t="s">
        <v>912</v>
      </c>
      <c r="B59" s="61" t="s">
        <v>913</v>
      </c>
      <c r="C59" s="8" t="s">
        <v>892</v>
      </c>
      <c r="D59" s="250">
        <f>'4.9_пр-во КТЭЦ'!D59+'4.9_транзит КТЭЦ '!D59+'4.9_сбыт КТЭЦ  '!D59</f>
        <v>0</v>
      </c>
      <c r="E59" s="250">
        <f>'4.9_пр-во КТЭЦ'!E59+'4.9_транзит КТЭЦ '!E59+'4.9_сбыт КТЭЦ  '!E59</f>
        <v>0</v>
      </c>
      <c r="F59" s="250">
        <v>0</v>
      </c>
      <c r="G59" s="250">
        <v>0</v>
      </c>
      <c r="H59" s="1357">
        <v>0</v>
      </c>
      <c r="I59" s="1357"/>
      <c r="J59" s="250">
        <v>0</v>
      </c>
      <c r="K59" s="250">
        <v>0</v>
      </c>
      <c r="L59" s="250">
        <v>0</v>
      </c>
      <c r="M59" s="250">
        <v>0</v>
      </c>
      <c r="N59" s="250">
        <v>0</v>
      </c>
      <c r="O59" s="250">
        <v>0</v>
      </c>
      <c r="P59" s="250">
        <v>0</v>
      </c>
      <c r="Q59" s="250">
        <v>0</v>
      </c>
      <c r="R59" s="250">
        <v>0</v>
      </c>
    </row>
    <row r="60" spans="1:18" ht="30">
      <c r="A60" s="60" t="s">
        <v>97</v>
      </c>
      <c r="B60" s="61" t="s">
        <v>914</v>
      </c>
      <c r="C60" s="8" t="s">
        <v>846</v>
      </c>
      <c r="D60" s="250"/>
      <c r="E60" s="250"/>
      <c r="F60" s="250"/>
      <c r="G60" s="250"/>
      <c r="H60" s="250"/>
      <c r="I60" s="250"/>
      <c r="J60" s="250"/>
      <c r="K60" s="250"/>
      <c r="L60" s="250"/>
      <c r="M60" s="250"/>
      <c r="N60" s="250"/>
      <c r="O60" s="250"/>
      <c r="P60" s="250"/>
      <c r="Q60" s="250"/>
      <c r="R60" s="250"/>
    </row>
    <row r="61" spans="1:18">
      <c r="A61" s="60" t="s">
        <v>915</v>
      </c>
      <c r="B61" s="61" t="s">
        <v>458</v>
      </c>
      <c r="C61" s="8" t="s">
        <v>453</v>
      </c>
      <c r="D61" s="250"/>
      <c r="E61" s="250"/>
      <c r="F61" s="250"/>
      <c r="G61" s="250"/>
      <c r="H61" s="250"/>
      <c r="I61" s="250"/>
      <c r="J61" s="250"/>
      <c r="K61" s="250"/>
      <c r="L61" s="250"/>
      <c r="M61" s="250"/>
      <c r="N61" s="250"/>
      <c r="O61" s="250"/>
      <c r="P61" s="250"/>
      <c r="Q61" s="250"/>
      <c r="R61" s="250"/>
    </row>
    <row r="62" spans="1:18">
      <c r="A62" s="60" t="s">
        <v>916</v>
      </c>
      <c r="B62" s="253" t="s">
        <v>923</v>
      </c>
      <c r="C62" s="8" t="s">
        <v>453</v>
      </c>
      <c r="D62" s="250"/>
      <c r="E62" s="250"/>
      <c r="F62" s="250"/>
      <c r="G62" s="250"/>
      <c r="H62" s="250"/>
      <c r="I62" s="250"/>
      <c r="J62" s="250"/>
      <c r="K62" s="250"/>
      <c r="L62" s="250"/>
      <c r="M62" s="250"/>
      <c r="N62" s="250"/>
      <c r="O62" s="250"/>
      <c r="P62" s="250"/>
      <c r="Q62" s="250"/>
      <c r="R62" s="250"/>
    </row>
    <row r="63" spans="1:18">
      <c r="A63" s="60" t="s">
        <v>917</v>
      </c>
      <c r="B63" s="253" t="s">
        <v>924</v>
      </c>
      <c r="C63" s="8" t="s">
        <v>465</v>
      </c>
      <c r="D63" s="250"/>
      <c r="E63" s="250"/>
      <c r="F63" s="250"/>
      <c r="G63" s="250"/>
      <c r="H63" s="250"/>
      <c r="I63" s="250"/>
      <c r="J63" s="250"/>
      <c r="K63" s="250"/>
      <c r="L63" s="250"/>
      <c r="M63" s="250"/>
      <c r="N63" s="250"/>
      <c r="O63" s="250"/>
      <c r="P63" s="250"/>
      <c r="Q63" s="250"/>
      <c r="R63" s="250"/>
    </row>
    <row r="64" spans="1:18">
      <c r="A64" s="60" t="s">
        <v>918</v>
      </c>
      <c r="B64" s="61" t="s">
        <v>899</v>
      </c>
      <c r="C64" s="8" t="s">
        <v>892</v>
      </c>
      <c r="D64" s="250"/>
      <c r="E64" s="250"/>
      <c r="F64" s="250"/>
      <c r="G64" s="250"/>
      <c r="H64" s="250"/>
      <c r="I64" s="250"/>
      <c r="J64" s="250"/>
      <c r="K64" s="250"/>
      <c r="L64" s="250"/>
      <c r="M64" s="250"/>
      <c r="N64" s="250"/>
      <c r="O64" s="250"/>
      <c r="P64" s="250"/>
      <c r="Q64" s="250"/>
      <c r="R64" s="250"/>
    </row>
    <row r="65" spans="1:18">
      <c r="A65" s="60" t="s">
        <v>919</v>
      </c>
      <c r="B65" s="61" t="s">
        <v>922</v>
      </c>
      <c r="C65" s="8" t="s">
        <v>892</v>
      </c>
      <c r="D65" s="250"/>
      <c r="E65" s="250"/>
      <c r="F65" s="250"/>
      <c r="G65" s="250"/>
      <c r="H65" s="250"/>
      <c r="I65" s="250"/>
      <c r="J65" s="250"/>
      <c r="K65" s="250"/>
      <c r="L65" s="250"/>
      <c r="M65" s="250"/>
      <c r="N65" s="250"/>
      <c r="O65" s="250"/>
      <c r="P65" s="250"/>
      <c r="Q65" s="250"/>
      <c r="R65" s="250"/>
    </row>
    <row r="66" spans="1:18">
      <c r="A66" s="60" t="s">
        <v>920</v>
      </c>
      <c r="B66" s="61" t="s">
        <v>925</v>
      </c>
      <c r="C66" s="8" t="s">
        <v>892</v>
      </c>
      <c r="D66" s="250"/>
      <c r="E66" s="250"/>
      <c r="F66" s="250"/>
      <c r="G66" s="250"/>
      <c r="H66" s="250"/>
      <c r="I66" s="250"/>
      <c r="J66" s="250"/>
      <c r="K66" s="250"/>
      <c r="L66" s="250"/>
      <c r="M66" s="250"/>
      <c r="N66" s="250"/>
      <c r="O66" s="250"/>
      <c r="P66" s="250"/>
      <c r="Q66" s="250"/>
      <c r="R66" s="250"/>
    </row>
    <row r="67" spans="1:18" ht="30">
      <c r="A67" s="60" t="s">
        <v>921</v>
      </c>
      <c r="B67" s="61" t="s">
        <v>909</v>
      </c>
      <c r="C67" s="8" t="s">
        <v>892</v>
      </c>
      <c r="D67" s="250"/>
      <c r="E67" s="250"/>
      <c r="F67" s="250"/>
      <c r="G67" s="250"/>
      <c r="H67" s="250"/>
      <c r="I67" s="250"/>
      <c r="J67" s="250"/>
      <c r="K67" s="250"/>
      <c r="L67" s="250"/>
      <c r="M67" s="250"/>
      <c r="N67" s="250"/>
      <c r="O67" s="250"/>
      <c r="P67" s="250"/>
      <c r="Q67" s="250"/>
      <c r="R67" s="250"/>
    </row>
    <row r="68" spans="1:18" ht="30">
      <c r="A68" s="60" t="s">
        <v>926</v>
      </c>
      <c r="B68" s="61" t="s">
        <v>909</v>
      </c>
      <c r="C68" s="8" t="s">
        <v>892</v>
      </c>
      <c r="D68" s="250"/>
      <c r="E68" s="250"/>
      <c r="F68" s="250"/>
      <c r="G68" s="250"/>
      <c r="H68" s="250"/>
      <c r="I68" s="250"/>
      <c r="J68" s="250"/>
      <c r="K68" s="250"/>
      <c r="L68" s="250"/>
      <c r="M68" s="250"/>
      <c r="N68" s="250"/>
      <c r="O68" s="250"/>
      <c r="P68" s="250"/>
      <c r="Q68" s="250"/>
      <c r="R68" s="250"/>
    </row>
    <row r="69" spans="1:18">
      <c r="A69" s="60" t="s">
        <v>927</v>
      </c>
      <c r="B69" s="61" t="s">
        <v>910</v>
      </c>
      <c r="C69" s="8" t="s">
        <v>892</v>
      </c>
      <c r="D69" s="250"/>
      <c r="E69" s="250"/>
      <c r="F69" s="250"/>
      <c r="G69" s="250"/>
      <c r="H69" s="250"/>
      <c r="I69" s="250"/>
      <c r="J69" s="250"/>
      <c r="K69" s="250"/>
      <c r="L69" s="250"/>
      <c r="M69" s="250"/>
      <c r="N69" s="250"/>
      <c r="O69" s="250"/>
      <c r="P69" s="250"/>
      <c r="Q69" s="250"/>
      <c r="R69" s="250"/>
    </row>
    <row r="70" spans="1:18">
      <c r="A70" s="60" t="s">
        <v>928</v>
      </c>
      <c r="B70" s="61" t="s">
        <v>911</v>
      </c>
      <c r="C70" s="8" t="s">
        <v>892</v>
      </c>
      <c r="D70" s="250"/>
      <c r="E70" s="250"/>
      <c r="F70" s="250"/>
      <c r="G70" s="250"/>
      <c r="H70" s="250"/>
      <c r="I70" s="250"/>
      <c r="J70" s="250"/>
      <c r="K70" s="250"/>
      <c r="L70" s="250"/>
      <c r="M70" s="250"/>
      <c r="N70" s="250"/>
      <c r="O70" s="250"/>
      <c r="P70" s="250"/>
      <c r="Q70" s="250"/>
      <c r="R70" s="250"/>
    </row>
    <row r="71" spans="1:18">
      <c r="A71" s="60" t="s">
        <v>921</v>
      </c>
      <c r="B71" s="61" t="s">
        <v>913</v>
      </c>
      <c r="C71" s="8" t="s">
        <v>892</v>
      </c>
      <c r="D71" s="250"/>
      <c r="E71" s="250"/>
      <c r="F71" s="250"/>
      <c r="G71" s="250"/>
      <c r="H71" s="250"/>
      <c r="I71" s="250"/>
      <c r="J71" s="250"/>
      <c r="K71" s="250"/>
      <c r="L71" s="250"/>
      <c r="M71" s="250"/>
      <c r="N71" s="250"/>
      <c r="O71" s="250"/>
      <c r="P71" s="250"/>
      <c r="Q71" s="250"/>
      <c r="R71" s="250"/>
    </row>
    <row r="72" spans="1:18" ht="30">
      <c r="A72" s="60" t="s">
        <v>929</v>
      </c>
      <c r="B72" s="61" t="s">
        <v>930</v>
      </c>
      <c r="C72" s="8" t="s">
        <v>138</v>
      </c>
      <c r="D72" s="250"/>
      <c r="E72" s="250"/>
      <c r="F72" s="250"/>
      <c r="G72" s="250"/>
      <c r="H72" s="250"/>
      <c r="I72" s="250"/>
      <c r="J72" s="250"/>
      <c r="K72" s="250"/>
      <c r="L72" s="250"/>
      <c r="M72" s="250"/>
      <c r="N72" s="250"/>
      <c r="O72" s="250"/>
      <c r="P72" s="250"/>
      <c r="Q72" s="250"/>
      <c r="R72" s="250"/>
    </row>
    <row r="74" spans="1:18" ht="64.5" customHeight="1">
      <c r="A74" s="1963" t="s">
        <v>931</v>
      </c>
      <c r="B74" s="1963"/>
      <c r="C74" s="1963"/>
      <c r="D74" s="1963"/>
      <c r="E74" s="1963"/>
      <c r="F74" s="1963"/>
      <c r="G74" s="1963"/>
      <c r="H74" s="1963"/>
      <c r="I74" s="1963"/>
      <c r="J74" s="1963"/>
      <c r="K74" s="1963"/>
      <c r="L74" s="1963"/>
      <c r="M74" s="1963"/>
      <c r="N74" s="1963"/>
      <c r="O74" s="1963"/>
    </row>
    <row r="76" spans="1:18">
      <c r="A76" s="1" t="s">
        <v>88</v>
      </c>
    </row>
    <row r="77" spans="1:18" ht="51.75" customHeight="1">
      <c r="A77" s="1963" t="s">
        <v>932</v>
      </c>
      <c r="B77" s="1963"/>
      <c r="C77" s="1963"/>
      <c r="D77" s="1963"/>
      <c r="E77" s="1963"/>
      <c r="F77" s="1963"/>
      <c r="G77" s="1963"/>
      <c r="H77" s="1963"/>
      <c r="I77" s="1963"/>
      <c r="J77" s="1963"/>
      <c r="K77" s="1963"/>
      <c r="L77" s="1963"/>
      <c r="M77" s="1963"/>
      <c r="N77" s="1963"/>
      <c r="O77" s="1963"/>
    </row>
    <row r="78" spans="1:18" ht="69" customHeight="1">
      <c r="A78" s="1963" t="s">
        <v>933</v>
      </c>
      <c r="B78" s="1963"/>
      <c r="C78" s="1963"/>
      <c r="D78" s="1963"/>
      <c r="E78" s="1963"/>
      <c r="F78" s="1963"/>
      <c r="G78" s="1963"/>
      <c r="H78" s="1963"/>
      <c r="I78" s="1963"/>
      <c r="J78" s="1963"/>
      <c r="K78" s="1963"/>
      <c r="L78" s="1963"/>
      <c r="M78" s="1963"/>
      <c r="N78" s="1963"/>
      <c r="O78" s="1963"/>
    </row>
  </sheetData>
  <mergeCells count="4">
    <mergeCell ref="A3:O3"/>
    <mergeCell ref="A74:O74"/>
    <mergeCell ref="A77:O77"/>
    <mergeCell ref="A78:O78"/>
  </mergeCells>
  <pageMargins left="0.78740157480314965" right="0.31496062992125984" top="0.59055118110236227" bottom="0.23622047244094491" header="0.19685039370078741" footer="0.19685039370078741"/>
  <pageSetup paperSize="9" scale="50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R78"/>
  <sheetViews>
    <sheetView view="pageBreakPreview" zoomScaleNormal="100" zoomScaleSheetLayoutView="100" workbookViewId="0">
      <pane xSplit="2" ySplit="5" topLeftCell="C6" activePane="bottomRight" state="frozen"/>
      <selection activeCell="M9" sqref="M9"/>
      <selection pane="topRight" activeCell="M9" sqref="M9"/>
      <selection pane="bottomLeft" activeCell="M9" sqref="M9"/>
      <selection pane="bottomRight" activeCell="O66" sqref="O66"/>
    </sheetView>
  </sheetViews>
  <sheetFormatPr defaultColWidth="2.85546875" defaultRowHeight="15"/>
  <cols>
    <col min="1" max="1" width="6.42578125" style="1" customWidth="1"/>
    <col min="2" max="2" width="36.42578125" style="1" customWidth="1"/>
    <col min="3" max="3" width="11.140625" style="21" customWidth="1"/>
    <col min="4" max="4" width="13.140625" style="1" hidden="1" customWidth="1"/>
    <col min="5" max="5" width="13" style="1" hidden="1" customWidth="1"/>
    <col min="6" max="6" width="13.140625" style="1" customWidth="1"/>
    <col min="7" max="8" width="13" style="1" customWidth="1"/>
    <col min="9" max="9" width="13" style="1" hidden="1" customWidth="1"/>
    <col min="10" max="11" width="13" style="1" customWidth="1"/>
    <col min="12" max="12" width="16" style="1" customWidth="1"/>
    <col min="13" max="13" width="12.5703125" style="1" customWidth="1"/>
    <col min="14" max="14" width="12.7109375" style="1" customWidth="1"/>
    <col min="15" max="15" width="12.85546875" style="1" customWidth="1"/>
    <col min="16" max="16" width="12.28515625" style="1" customWidth="1"/>
    <col min="17" max="93" width="11.140625" style="1" customWidth="1"/>
    <col min="94" max="16384" width="2.85546875" style="1"/>
  </cols>
  <sheetData>
    <row r="1" spans="1:18" s="5" customFormat="1" ht="18" customHeight="1">
      <c r="A1" s="74" t="s">
        <v>1860</v>
      </c>
      <c r="C1" s="20"/>
      <c r="M1" s="6"/>
      <c r="N1" s="6"/>
      <c r="O1" s="6" t="s">
        <v>1060</v>
      </c>
      <c r="R1" s="6" t="s">
        <v>1060</v>
      </c>
    </row>
    <row r="2" spans="1:18" s="5" customFormat="1" ht="12.75" customHeight="1">
      <c r="A2" s="105" t="str">
        <f>'3.1'!$A$2</f>
        <v>ПКГО - Комбинированная выработка КТЭЦ</v>
      </c>
      <c r="C2" s="20"/>
    </row>
    <row r="3" spans="1:18" ht="18.75">
      <c r="A3" s="1877" t="s">
        <v>1167</v>
      </c>
      <c r="B3" s="1877"/>
      <c r="C3" s="1877"/>
      <c r="D3" s="1877"/>
      <c r="E3" s="1877"/>
      <c r="F3" s="1877"/>
      <c r="G3" s="1877"/>
      <c r="H3" s="1877"/>
      <c r="I3" s="1877"/>
      <c r="J3" s="1877"/>
      <c r="K3" s="1877"/>
      <c r="L3" s="1877"/>
      <c r="M3" s="1877"/>
      <c r="N3" s="1877"/>
      <c r="O3" s="1877"/>
    </row>
    <row r="4" spans="1:18" ht="12.75" customHeight="1"/>
    <row r="5" spans="1:18" s="3" customFormat="1" ht="73.5" customHeight="1">
      <c r="A5" s="336" t="s">
        <v>451</v>
      </c>
      <c r="B5" s="336" t="s">
        <v>1</v>
      </c>
      <c r="C5" s="336" t="s">
        <v>2</v>
      </c>
      <c r="D5" s="540" t="s">
        <v>1129</v>
      </c>
      <c r="E5" s="540" t="s">
        <v>1130</v>
      </c>
      <c r="F5" s="540" t="s">
        <v>1131</v>
      </c>
      <c r="G5" s="1284" t="s">
        <v>1695</v>
      </c>
      <c r="H5" s="1284" t="s">
        <v>1696</v>
      </c>
      <c r="I5" s="1661" t="s">
        <v>1882</v>
      </c>
      <c r="J5" s="1576" t="s">
        <v>1828</v>
      </c>
      <c r="K5" s="1661" t="s">
        <v>1842</v>
      </c>
      <c r="L5" s="1631" t="s">
        <v>1861</v>
      </c>
      <c r="M5" s="1631" t="s">
        <v>1862</v>
      </c>
      <c r="N5" s="1631" t="s">
        <v>763</v>
      </c>
      <c r="O5" s="1631" t="s">
        <v>764</v>
      </c>
      <c r="P5" s="1631" t="s">
        <v>1863</v>
      </c>
      <c r="Q5" s="1631" t="s">
        <v>763</v>
      </c>
      <c r="R5" s="1631" t="s">
        <v>764</v>
      </c>
    </row>
    <row r="6" spans="1:18" s="2" customFormat="1">
      <c r="A6" s="13">
        <v>1</v>
      </c>
      <c r="B6" s="13">
        <v>2</v>
      </c>
      <c r="C6" s="13">
        <v>3</v>
      </c>
      <c r="D6" s="13">
        <v>4</v>
      </c>
      <c r="E6" s="13">
        <v>5</v>
      </c>
      <c r="F6" s="13">
        <v>4</v>
      </c>
      <c r="G6" s="13">
        <v>5</v>
      </c>
      <c r="H6" s="13">
        <v>6</v>
      </c>
      <c r="I6" s="13"/>
      <c r="J6" s="13">
        <v>7</v>
      </c>
      <c r="K6" s="13">
        <v>8</v>
      </c>
      <c r="L6" s="13">
        <v>9</v>
      </c>
      <c r="M6" s="13">
        <v>10</v>
      </c>
      <c r="N6" s="13">
        <v>11</v>
      </c>
      <c r="O6" s="13">
        <v>12</v>
      </c>
      <c r="P6" s="13">
        <v>13</v>
      </c>
      <c r="Q6" s="13">
        <v>14</v>
      </c>
      <c r="R6" s="13">
        <v>15</v>
      </c>
    </row>
    <row r="7" spans="1:18" s="36" customFormat="1" ht="15" customHeight="1">
      <c r="A7" s="60" t="s">
        <v>4</v>
      </c>
      <c r="B7" s="61" t="s">
        <v>452</v>
      </c>
      <c r="C7" s="8" t="s">
        <v>453</v>
      </c>
      <c r="D7" s="391"/>
      <c r="E7" s="391"/>
      <c r="F7" s="391"/>
      <c r="G7" s="391"/>
      <c r="H7" s="391"/>
      <c r="I7" s="391"/>
      <c r="J7" s="391"/>
      <c r="K7" s="391"/>
      <c r="L7" s="391"/>
      <c r="M7" s="388"/>
      <c r="N7" s="388"/>
      <c r="O7" s="388"/>
      <c r="P7" s="388"/>
      <c r="Q7" s="388"/>
      <c r="R7" s="388"/>
    </row>
    <row r="8" spans="1:18" s="36" customFormat="1" ht="15" customHeight="1">
      <c r="A8" s="60" t="s">
        <v>5</v>
      </c>
      <c r="B8" s="61" t="s">
        <v>454</v>
      </c>
      <c r="C8" s="8" t="s">
        <v>453</v>
      </c>
      <c r="D8" s="391"/>
      <c r="E8" s="391">
        <v>336</v>
      </c>
      <c r="F8" s="391">
        <v>331.97786434036198</v>
      </c>
      <c r="G8" s="391">
        <v>336</v>
      </c>
      <c r="H8" s="391"/>
      <c r="I8" s="391"/>
      <c r="J8" s="391">
        <v>336</v>
      </c>
      <c r="K8" s="391"/>
      <c r="L8" s="391">
        <v>352.4</v>
      </c>
      <c r="M8" s="391">
        <v>352.4</v>
      </c>
      <c r="N8" s="391">
        <v>352.4</v>
      </c>
      <c r="O8" s="391">
        <v>352.4</v>
      </c>
      <c r="P8" s="391">
        <v>368.79999999999995</v>
      </c>
      <c r="Q8" s="391">
        <v>368.79999999999995</v>
      </c>
      <c r="R8" s="391">
        <v>368.79999999999995</v>
      </c>
    </row>
    <row r="9" spans="1:18" s="36" customFormat="1" ht="15" customHeight="1">
      <c r="A9" s="60"/>
      <c r="B9" s="61" t="s">
        <v>455</v>
      </c>
      <c r="C9" s="8" t="s">
        <v>453</v>
      </c>
      <c r="D9" s="388"/>
      <c r="E9" s="388"/>
      <c r="F9" s="388"/>
      <c r="G9" s="388"/>
      <c r="H9" s="388"/>
      <c r="I9" s="388"/>
      <c r="J9" s="388"/>
      <c r="K9" s="388"/>
      <c r="L9" s="388"/>
      <c r="M9" s="388"/>
      <c r="N9" s="388"/>
      <c r="O9" s="388"/>
      <c r="P9" s="388"/>
      <c r="Q9" s="388"/>
      <c r="R9" s="388"/>
    </row>
    <row r="10" spans="1:18" s="36" customFormat="1" ht="15" customHeight="1">
      <c r="A10" s="60" t="s">
        <v>11</v>
      </c>
      <c r="B10" s="61" t="s">
        <v>456</v>
      </c>
      <c r="C10" s="8" t="s">
        <v>453</v>
      </c>
      <c r="D10" s="388"/>
      <c r="E10" s="391">
        <f>E8-38.7</f>
        <v>297.3</v>
      </c>
      <c r="F10" s="391">
        <v>248.70078372830753</v>
      </c>
      <c r="G10" s="391">
        <v>297.3</v>
      </c>
      <c r="H10" s="391"/>
      <c r="I10" s="391"/>
      <c r="J10" s="391">
        <v>297.3</v>
      </c>
      <c r="K10" s="391"/>
      <c r="L10" s="391">
        <v>313.7</v>
      </c>
      <c r="M10" s="391">
        <v>313.7</v>
      </c>
      <c r="N10" s="391">
        <v>313.7</v>
      </c>
      <c r="O10" s="391">
        <v>313.7</v>
      </c>
      <c r="P10" s="391">
        <v>330.09999999999997</v>
      </c>
      <c r="Q10" s="391">
        <v>330.09999999999997</v>
      </c>
      <c r="R10" s="391">
        <v>330.09999999999997</v>
      </c>
    </row>
    <row r="11" spans="1:18" s="36" customFormat="1" ht="15" customHeight="1">
      <c r="A11" s="60"/>
      <c r="B11" s="61" t="s">
        <v>457</v>
      </c>
      <c r="C11" s="8" t="s">
        <v>453</v>
      </c>
      <c r="D11" s="388"/>
      <c r="E11" s="388"/>
      <c r="F11" s="388"/>
      <c r="G11" s="388"/>
      <c r="H11" s="388"/>
      <c r="I11" s="388"/>
      <c r="J11" s="388"/>
      <c r="K11" s="388"/>
      <c r="L11" s="388"/>
      <c r="M11" s="388"/>
      <c r="N11" s="388"/>
      <c r="O11" s="388"/>
      <c r="P11" s="388"/>
      <c r="Q11" s="388"/>
      <c r="R11" s="388"/>
    </row>
    <row r="12" spans="1:18" s="36" customFormat="1" ht="15" customHeight="1">
      <c r="A12" s="60" t="s">
        <v>445</v>
      </c>
      <c r="B12" s="61" t="s">
        <v>458</v>
      </c>
      <c r="C12" s="8" t="s">
        <v>453</v>
      </c>
      <c r="D12" s="388"/>
      <c r="E12" s="388">
        <v>272.3</v>
      </c>
      <c r="F12" s="388"/>
      <c r="G12" s="388">
        <v>307.2</v>
      </c>
      <c r="H12" s="388"/>
      <c r="I12" s="388"/>
      <c r="J12" s="388">
        <v>307.2</v>
      </c>
      <c r="K12" s="388"/>
      <c r="L12" s="388"/>
      <c r="M12" s="388"/>
      <c r="N12" s="388"/>
      <c r="O12" s="388"/>
      <c r="P12" s="388"/>
      <c r="Q12" s="388"/>
      <c r="R12" s="388"/>
    </row>
    <row r="13" spans="1:18" s="36" customFormat="1" ht="15" customHeight="1">
      <c r="A13" s="60"/>
      <c r="B13" s="61" t="s">
        <v>459</v>
      </c>
      <c r="C13" s="8" t="s">
        <v>138</v>
      </c>
      <c r="D13" s="391" t="e">
        <f>D12/D8*100</f>
        <v>#DIV/0!</v>
      </c>
      <c r="E13" s="391">
        <f>E12/E8*100</f>
        <v>81.041666666666671</v>
      </c>
      <c r="F13" s="391">
        <v>0</v>
      </c>
      <c r="G13" s="391">
        <v>91.428571428571431</v>
      </c>
      <c r="H13" s="391"/>
      <c r="I13" s="391" t="e">
        <v>#DIV/0!</v>
      </c>
      <c r="J13" s="391">
        <v>91.428571428571431</v>
      </c>
      <c r="K13" s="391"/>
      <c r="L13" s="391">
        <v>0</v>
      </c>
      <c r="M13" s="391">
        <v>0</v>
      </c>
      <c r="N13" s="391">
        <v>0</v>
      </c>
      <c r="O13" s="391">
        <v>0</v>
      </c>
      <c r="P13" s="391">
        <v>0</v>
      </c>
      <c r="Q13" s="391">
        <v>0</v>
      </c>
      <c r="R13" s="391">
        <v>0</v>
      </c>
    </row>
    <row r="14" spans="1:18" s="36" customFormat="1" ht="15" customHeight="1">
      <c r="A14" s="60" t="s">
        <v>446</v>
      </c>
      <c r="B14" s="61" t="s">
        <v>460</v>
      </c>
      <c r="C14" s="8" t="s">
        <v>453</v>
      </c>
      <c r="D14" s="388"/>
      <c r="E14" s="388"/>
      <c r="F14" s="388"/>
      <c r="G14" s="388"/>
      <c r="H14" s="388"/>
      <c r="I14" s="388"/>
      <c r="J14" s="388"/>
      <c r="K14" s="388"/>
      <c r="L14" s="388"/>
      <c r="M14" s="388"/>
      <c r="N14" s="388"/>
      <c r="O14" s="388"/>
      <c r="P14" s="388"/>
      <c r="Q14" s="388"/>
      <c r="R14" s="388"/>
    </row>
    <row r="15" spans="1:18" s="36" customFormat="1" ht="15" customHeight="1">
      <c r="A15" s="60" t="s">
        <v>461</v>
      </c>
      <c r="B15" s="61" t="s">
        <v>462</v>
      </c>
      <c r="C15" s="8" t="s">
        <v>453</v>
      </c>
      <c r="D15" s="391">
        <v>259.86155632984901</v>
      </c>
      <c r="E15" s="391">
        <v>272.3</v>
      </c>
      <c r="F15" s="391">
        <v>312.5</v>
      </c>
      <c r="G15" s="391">
        <v>272.60000000000002</v>
      </c>
      <c r="H15" s="391">
        <v>315.7</v>
      </c>
      <c r="I15" s="391"/>
      <c r="J15" s="391">
        <v>257.7</v>
      </c>
      <c r="K15" s="391"/>
      <c r="L15" s="391">
        <v>274.3</v>
      </c>
      <c r="M15" s="388">
        <v>274.3</v>
      </c>
      <c r="N15" s="388">
        <v>274.3</v>
      </c>
      <c r="O15" s="388">
        <v>274.3</v>
      </c>
      <c r="P15" s="388">
        <v>274.3</v>
      </c>
      <c r="Q15" s="388">
        <v>274.3</v>
      </c>
      <c r="R15" s="388">
        <v>274.3</v>
      </c>
    </row>
    <row r="16" spans="1:18" s="36" customFormat="1" ht="15" customHeight="1">
      <c r="A16" s="60" t="s">
        <v>23</v>
      </c>
      <c r="B16" s="61" t="s">
        <v>463</v>
      </c>
      <c r="C16" s="8"/>
      <c r="D16" s="388"/>
      <c r="E16" s="1023"/>
      <c r="F16" s="388"/>
      <c r="G16" s="388"/>
      <c r="H16" s="388"/>
      <c r="I16" s="388"/>
      <c r="J16" s="388"/>
      <c r="K16" s="388"/>
      <c r="L16" s="388"/>
      <c r="M16" s="388"/>
      <c r="N16" s="388"/>
      <c r="O16" s="388"/>
      <c r="P16" s="388"/>
      <c r="Q16" s="388"/>
      <c r="R16" s="388"/>
    </row>
    <row r="17" spans="1:18" s="36" customFormat="1" ht="15" customHeight="1">
      <c r="A17" s="60" t="s">
        <v>24</v>
      </c>
      <c r="B17" s="61" t="s">
        <v>464</v>
      </c>
      <c r="C17" s="8" t="s">
        <v>465</v>
      </c>
      <c r="D17" s="337">
        <v>4535.55</v>
      </c>
      <c r="E17" s="337">
        <v>4896</v>
      </c>
      <c r="F17" s="337"/>
      <c r="G17" s="337">
        <v>5628</v>
      </c>
      <c r="H17" s="337"/>
      <c r="I17" s="337"/>
      <c r="J17" s="337">
        <v>5778</v>
      </c>
      <c r="K17" s="337"/>
      <c r="L17" s="337">
        <v>6671</v>
      </c>
      <c r="M17" s="337">
        <v>7248</v>
      </c>
      <c r="N17" s="337">
        <v>7398</v>
      </c>
      <c r="O17" s="337">
        <v>7592</v>
      </c>
      <c r="P17" s="337">
        <v>7745</v>
      </c>
      <c r="Q17" s="337">
        <v>7899</v>
      </c>
      <c r="R17" s="337">
        <v>8105</v>
      </c>
    </row>
    <row r="18" spans="1:18" s="36" customFormat="1" ht="15" customHeight="1">
      <c r="A18" s="60" t="s">
        <v>24</v>
      </c>
      <c r="B18" s="61" t="s">
        <v>466</v>
      </c>
      <c r="C18" s="8"/>
      <c r="D18" s="389">
        <f t="shared" ref="D18:F18" si="0">D19/D17</f>
        <v>1.071</v>
      </c>
      <c r="E18" s="389">
        <f>E19/E17</f>
        <v>1.0347222222222223</v>
      </c>
      <c r="F18" s="390" t="e">
        <v>#DIV/0!</v>
      </c>
      <c r="G18" s="389">
        <v>1.0266524520255864</v>
      </c>
      <c r="H18" s="389"/>
      <c r="I18" s="389"/>
      <c r="J18" s="389">
        <v>1.1545517480096918</v>
      </c>
      <c r="K18" s="389"/>
      <c r="L18" s="389">
        <v>1.0864937790436215</v>
      </c>
      <c r="M18" s="389">
        <v>1.0685706401766004</v>
      </c>
      <c r="N18" s="389">
        <v>1.0262233035955663</v>
      </c>
      <c r="O18" s="389">
        <v>1.0404373024236038</v>
      </c>
      <c r="P18" s="389">
        <v>1.0589412524209167</v>
      </c>
      <c r="Q18" s="389">
        <v>1.0260792505380427</v>
      </c>
      <c r="R18" s="389">
        <v>1.0238124614435533</v>
      </c>
    </row>
    <row r="19" spans="1:18" s="36" customFormat="1" ht="30" customHeight="1">
      <c r="A19" s="60" t="s">
        <v>139</v>
      </c>
      <c r="B19" s="61" t="s">
        <v>467</v>
      </c>
      <c r="C19" s="8" t="s">
        <v>465</v>
      </c>
      <c r="D19" s="337">
        <v>4857.5740500000002</v>
      </c>
      <c r="E19" s="337">
        <v>5066</v>
      </c>
      <c r="F19" s="337">
        <v>5700</v>
      </c>
      <c r="G19" s="337">
        <v>5778</v>
      </c>
      <c r="H19" s="337">
        <v>6328</v>
      </c>
      <c r="I19" s="337"/>
      <c r="J19" s="337">
        <v>6671</v>
      </c>
      <c r="K19" s="337"/>
      <c r="L19" s="337">
        <v>7248</v>
      </c>
      <c r="M19" s="337">
        <v>7745</v>
      </c>
      <c r="N19" s="337">
        <v>7592</v>
      </c>
      <c r="O19" s="337">
        <v>7899</v>
      </c>
      <c r="P19" s="337">
        <v>8201.5</v>
      </c>
      <c r="Q19" s="337">
        <v>8105</v>
      </c>
      <c r="R19" s="337">
        <v>8298</v>
      </c>
    </row>
    <row r="20" spans="1:18" s="36" customFormat="1" ht="15" customHeight="1">
      <c r="A20" s="60" t="s">
        <v>433</v>
      </c>
      <c r="B20" s="61" t="s">
        <v>468</v>
      </c>
      <c r="C20" s="8"/>
      <c r="D20" s="342">
        <v>9.7876666666666665</v>
      </c>
      <c r="E20" s="342">
        <v>9.3140000000000001</v>
      </c>
      <c r="F20" s="342">
        <v>7.2539104536489161</v>
      </c>
      <c r="G20" s="342">
        <v>9.3160000000000007</v>
      </c>
      <c r="H20" s="342"/>
      <c r="I20" s="342"/>
      <c r="J20" s="342"/>
      <c r="K20" s="342"/>
      <c r="L20" s="342"/>
      <c r="M20" s="342"/>
      <c r="N20" s="342"/>
      <c r="O20" s="342"/>
      <c r="P20" s="342"/>
      <c r="Q20" s="342"/>
      <c r="R20" s="342"/>
    </row>
    <row r="21" spans="1:18" s="36" customFormat="1" ht="30" customHeight="1">
      <c r="A21" s="60" t="s">
        <v>433</v>
      </c>
      <c r="B21" s="61" t="s">
        <v>469</v>
      </c>
      <c r="C21" s="8"/>
      <c r="D21" s="342">
        <v>2.7085000000000004</v>
      </c>
      <c r="E21" s="342">
        <v>2.6829999999999998</v>
      </c>
      <c r="F21" s="342">
        <v>2.0927489992603552</v>
      </c>
      <c r="G21" s="342">
        <v>2.7057000000000002</v>
      </c>
      <c r="H21" s="342"/>
      <c r="I21" s="342"/>
      <c r="J21" s="342">
        <v>2.7012999999999998</v>
      </c>
      <c r="K21" s="342"/>
      <c r="L21" s="342">
        <v>2.7</v>
      </c>
      <c r="M21" s="342">
        <v>2.72</v>
      </c>
      <c r="N21" s="342">
        <v>2.72</v>
      </c>
      <c r="O21" s="342">
        <v>2.72</v>
      </c>
      <c r="P21" s="342">
        <v>2.72</v>
      </c>
      <c r="Q21" s="342">
        <v>2.72</v>
      </c>
      <c r="R21" s="342">
        <v>2.72</v>
      </c>
    </row>
    <row r="22" spans="1:18" s="36" customFormat="1" ht="15" customHeight="1">
      <c r="A22" s="60" t="s">
        <v>433</v>
      </c>
      <c r="B22" s="61" t="s">
        <v>470</v>
      </c>
      <c r="C22" s="8" t="s">
        <v>465</v>
      </c>
      <c r="D22" s="337">
        <f>D19*D21</f>
        <v>13156.739314425002</v>
      </c>
      <c r="E22" s="337">
        <f>E19*E21+1</f>
        <v>13593.078</v>
      </c>
      <c r="F22" s="337">
        <v>11928.669295784024</v>
      </c>
      <c r="G22" s="337">
        <v>15633.534600000001</v>
      </c>
      <c r="H22" s="337">
        <v>0</v>
      </c>
      <c r="I22" s="337"/>
      <c r="J22" s="337">
        <v>18020.372299999999</v>
      </c>
      <c r="K22" s="337">
        <v>0</v>
      </c>
      <c r="L22" s="337">
        <v>19569.600000000002</v>
      </c>
      <c r="M22" s="337">
        <v>21066.400000000001</v>
      </c>
      <c r="N22" s="337">
        <v>20650.240000000002</v>
      </c>
      <c r="O22" s="337">
        <v>21485.280000000002</v>
      </c>
      <c r="P22" s="337">
        <v>22308.080000000002</v>
      </c>
      <c r="Q22" s="337">
        <v>22045.600000000002</v>
      </c>
      <c r="R22" s="337">
        <v>22570.560000000001</v>
      </c>
    </row>
    <row r="23" spans="1:18" s="36" customFormat="1" ht="30" customHeight="1">
      <c r="A23" s="60" t="s">
        <v>471</v>
      </c>
      <c r="B23" s="61" t="s">
        <v>472</v>
      </c>
      <c r="C23" s="8"/>
      <c r="D23" s="388"/>
      <c r="E23" s="388"/>
      <c r="F23" s="388"/>
      <c r="G23" s="388"/>
      <c r="H23" s="388"/>
      <c r="I23" s="388"/>
      <c r="J23" s="388"/>
      <c r="K23" s="388"/>
      <c r="L23" s="388"/>
      <c r="M23" s="388"/>
      <c r="N23" s="388"/>
      <c r="O23" s="388"/>
      <c r="P23" s="388"/>
      <c r="Q23" s="388"/>
      <c r="R23" s="388"/>
    </row>
    <row r="24" spans="1:18" s="36" customFormat="1" ht="15" customHeight="1">
      <c r="A24" s="60"/>
      <c r="B24" s="70" t="s">
        <v>473</v>
      </c>
      <c r="C24" s="8" t="s">
        <v>138</v>
      </c>
      <c r="D24" s="946">
        <v>17.176666666666666</v>
      </c>
      <c r="E24" s="342">
        <v>15.45</v>
      </c>
      <c r="F24" s="337">
        <v>17.865389053254432</v>
      </c>
      <c r="G24" s="946">
        <v>16.8</v>
      </c>
      <c r="H24" s="342"/>
      <c r="I24" s="342"/>
      <c r="J24" s="342">
        <v>15.02</v>
      </c>
      <c r="K24" s="946"/>
      <c r="L24" s="342">
        <v>12.62</v>
      </c>
      <c r="M24" s="342">
        <v>12.62</v>
      </c>
      <c r="N24" s="342">
        <v>12.62</v>
      </c>
      <c r="O24" s="342">
        <v>12.62</v>
      </c>
      <c r="P24" s="342">
        <v>12.62</v>
      </c>
      <c r="Q24" s="342">
        <v>12.62</v>
      </c>
      <c r="R24" s="342">
        <v>12.62</v>
      </c>
    </row>
    <row r="25" spans="1:18" s="36" customFormat="1" ht="15" customHeight="1">
      <c r="A25" s="60"/>
      <c r="B25" s="70" t="s">
        <v>474</v>
      </c>
      <c r="C25" s="8" t="s">
        <v>465</v>
      </c>
      <c r="D25" s="337">
        <f>(D24*D22)/100</f>
        <v>2259.8892562410679</v>
      </c>
      <c r="E25" s="337">
        <f t="shared" ref="E25:F25" si="1">(E24*E22)/100</f>
        <v>2100.1305509999997</v>
      </c>
      <c r="F25" s="337">
        <v>2131.1031785679215</v>
      </c>
      <c r="G25" s="337">
        <v>2626.4338128000004</v>
      </c>
      <c r="H25" s="337">
        <v>0</v>
      </c>
      <c r="I25" s="337"/>
      <c r="J25" s="337">
        <v>2707</v>
      </c>
      <c r="K25" s="337">
        <v>0</v>
      </c>
      <c r="L25" s="337">
        <v>2470</v>
      </c>
      <c r="M25" s="337">
        <v>2659</v>
      </c>
      <c r="N25" s="337">
        <v>2606</v>
      </c>
      <c r="O25" s="337">
        <v>2711</v>
      </c>
      <c r="P25" s="337">
        <v>2815</v>
      </c>
      <c r="Q25" s="337">
        <v>2782</v>
      </c>
      <c r="R25" s="337">
        <v>2848</v>
      </c>
    </row>
    <row r="26" spans="1:18" s="36" customFormat="1" ht="15" customHeight="1">
      <c r="A26" s="60" t="s">
        <v>475</v>
      </c>
      <c r="B26" s="61" t="s">
        <v>476</v>
      </c>
      <c r="C26" s="8"/>
      <c r="D26" s="337"/>
      <c r="E26" s="337"/>
      <c r="F26" s="337"/>
      <c r="G26" s="337"/>
      <c r="H26" s="337"/>
      <c r="I26" s="337"/>
      <c r="J26" s="337"/>
      <c r="K26" s="337"/>
      <c r="L26" s="337"/>
      <c r="M26" s="337"/>
      <c r="N26" s="337"/>
      <c r="O26" s="337"/>
      <c r="P26" s="337"/>
      <c r="Q26" s="337"/>
      <c r="R26" s="337"/>
    </row>
    <row r="27" spans="1:18" s="36" customFormat="1" ht="15" customHeight="1">
      <c r="A27" s="60"/>
      <c r="B27" s="70" t="s">
        <v>473</v>
      </c>
      <c r="C27" s="8" t="s">
        <v>138</v>
      </c>
      <c r="D27" s="337">
        <v>50</v>
      </c>
      <c r="E27" s="342">
        <v>46.71</v>
      </c>
      <c r="F27" s="337">
        <v>47.182878698224847</v>
      </c>
      <c r="G27" s="337">
        <v>48.06</v>
      </c>
      <c r="H27" s="342"/>
      <c r="I27" s="342"/>
      <c r="J27" s="342">
        <v>47.53</v>
      </c>
      <c r="K27" s="337"/>
      <c r="L27" s="342">
        <v>45.9</v>
      </c>
      <c r="M27" s="337">
        <v>50</v>
      </c>
      <c r="N27" s="337">
        <v>50</v>
      </c>
      <c r="O27" s="337">
        <v>50</v>
      </c>
      <c r="P27" s="342">
        <v>50</v>
      </c>
      <c r="Q27" s="342">
        <v>50</v>
      </c>
      <c r="R27" s="342">
        <v>50</v>
      </c>
    </row>
    <row r="28" spans="1:18" s="36" customFormat="1" ht="15" customHeight="1">
      <c r="A28" s="60"/>
      <c r="B28" s="70" t="s">
        <v>474</v>
      </c>
      <c r="C28" s="8" t="s">
        <v>465</v>
      </c>
      <c r="D28" s="337">
        <f>(D22+D25)*D27/100+1</f>
        <v>7709.3142853330346</v>
      </c>
      <c r="E28" s="337">
        <f>(E22+E25)*E27/100</f>
        <v>7330.2977141721003</v>
      </c>
      <c r="F28" s="337">
        <v>6633.8053918198857</v>
      </c>
      <c r="G28" s="337">
        <v>8775.740819191682</v>
      </c>
      <c r="H28" s="337">
        <v>0</v>
      </c>
      <c r="I28" s="337"/>
      <c r="J28" s="337">
        <v>9852</v>
      </c>
      <c r="K28" s="337">
        <v>0</v>
      </c>
      <c r="L28" s="337">
        <v>10116</v>
      </c>
      <c r="M28" s="337">
        <v>11863</v>
      </c>
      <c r="N28" s="337">
        <v>11628</v>
      </c>
      <c r="O28" s="337">
        <v>12098</v>
      </c>
      <c r="P28" s="337">
        <v>12562</v>
      </c>
      <c r="Q28" s="337">
        <v>12414</v>
      </c>
      <c r="R28" s="337">
        <v>12709</v>
      </c>
    </row>
    <row r="29" spans="1:18" s="36" customFormat="1" ht="15" customHeight="1">
      <c r="A29" s="60" t="s">
        <v>477</v>
      </c>
      <c r="B29" s="61" t="s">
        <v>478</v>
      </c>
      <c r="C29" s="8"/>
      <c r="D29" s="337"/>
      <c r="E29" s="337"/>
      <c r="F29" s="337"/>
      <c r="G29" s="337"/>
      <c r="H29" s="337"/>
      <c r="I29" s="337"/>
      <c r="J29" s="337"/>
      <c r="K29" s="337"/>
      <c r="L29" s="337"/>
      <c r="M29" s="337"/>
      <c r="N29" s="337"/>
      <c r="O29" s="337"/>
      <c r="P29" s="337"/>
      <c r="Q29" s="337"/>
      <c r="R29" s="337"/>
    </row>
    <row r="30" spans="1:18" s="36" customFormat="1" ht="15" customHeight="1">
      <c r="A30" s="60"/>
      <c r="B30" s="70" t="s">
        <v>473</v>
      </c>
      <c r="C30" s="8" t="s">
        <v>138</v>
      </c>
      <c r="D30" s="946">
        <v>8.58</v>
      </c>
      <c r="E30" s="342">
        <v>12.23</v>
      </c>
      <c r="F30" s="337">
        <v>9.8049182938856028</v>
      </c>
      <c r="G30" s="946">
        <v>12.35</v>
      </c>
      <c r="H30" s="342"/>
      <c r="I30" s="342"/>
      <c r="J30" s="342">
        <v>12.54</v>
      </c>
      <c r="K30" s="946"/>
      <c r="L30" s="342">
        <v>12.8</v>
      </c>
      <c r="M30" s="342">
        <v>12.9</v>
      </c>
      <c r="N30" s="342">
        <v>12.9</v>
      </c>
      <c r="O30" s="342">
        <v>12.9</v>
      </c>
      <c r="P30" s="342">
        <v>12.9</v>
      </c>
      <c r="Q30" s="342">
        <v>12.9</v>
      </c>
      <c r="R30" s="342">
        <v>12.9</v>
      </c>
    </row>
    <row r="31" spans="1:18" s="36" customFormat="1" ht="15" customHeight="1">
      <c r="A31" s="60"/>
      <c r="B31" s="70" t="s">
        <v>474</v>
      </c>
      <c r="C31" s="8" t="s">
        <v>465</v>
      </c>
      <c r="D31" s="337">
        <f>(D22+D25)*D30/100</f>
        <v>1322.7467313631487</v>
      </c>
      <c r="E31" s="337">
        <f>(E22+E25)*E30/100</f>
        <v>1919.2794057873</v>
      </c>
      <c r="F31" s="337">
        <v>1378.5492034164265</v>
      </c>
      <c r="G31" s="337">
        <v>2255.1060989808002</v>
      </c>
      <c r="H31" s="337">
        <v>0</v>
      </c>
      <c r="I31" s="337"/>
      <c r="J31" s="337">
        <v>2599</v>
      </c>
      <c r="K31" s="337">
        <v>0</v>
      </c>
      <c r="L31" s="337">
        <v>2821</v>
      </c>
      <c r="M31" s="337">
        <v>3061</v>
      </c>
      <c r="N31" s="337">
        <v>3000</v>
      </c>
      <c r="O31" s="337">
        <v>3121</v>
      </c>
      <c r="P31" s="337">
        <v>3241</v>
      </c>
      <c r="Q31" s="337">
        <v>3203</v>
      </c>
      <c r="R31" s="337">
        <v>3279</v>
      </c>
    </row>
    <row r="32" spans="1:18" s="36" customFormat="1" ht="15" customHeight="1">
      <c r="A32" s="60" t="s">
        <v>479</v>
      </c>
      <c r="B32" s="61" t="s">
        <v>480</v>
      </c>
      <c r="C32" s="8"/>
      <c r="D32" s="337"/>
      <c r="E32" s="337"/>
      <c r="F32" s="337"/>
      <c r="G32" s="337"/>
      <c r="H32" s="337"/>
      <c r="I32" s="337"/>
      <c r="J32" s="337"/>
      <c r="K32" s="337"/>
      <c r="L32" s="337"/>
      <c r="M32" s="337"/>
      <c r="N32" s="337"/>
      <c r="O32" s="337"/>
      <c r="P32" s="337"/>
      <c r="Q32" s="337"/>
      <c r="R32" s="337"/>
    </row>
    <row r="33" spans="1:18" s="36" customFormat="1" ht="15" customHeight="1">
      <c r="A33" s="60"/>
      <c r="B33" s="70" t="s">
        <v>473</v>
      </c>
      <c r="C33" s="8" t="s">
        <v>138</v>
      </c>
      <c r="D33" s="337">
        <v>0</v>
      </c>
      <c r="E33" s="337">
        <v>0</v>
      </c>
      <c r="F33" s="337">
        <v>0</v>
      </c>
      <c r="G33" s="337">
        <v>0</v>
      </c>
      <c r="H33" s="337">
        <v>0</v>
      </c>
      <c r="I33" s="337"/>
      <c r="J33" s="337">
        <v>0</v>
      </c>
      <c r="K33" s="337"/>
      <c r="L33" s="337"/>
      <c r="M33" s="337">
        <v>0</v>
      </c>
      <c r="N33" s="337">
        <v>0</v>
      </c>
      <c r="O33" s="337">
        <v>0</v>
      </c>
      <c r="P33" s="337">
        <v>0</v>
      </c>
      <c r="Q33" s="337">
        <v>0</v>
      </c>
      <c r="R33" s="337">
        <v>0</v>
      </c>
    </row>
    <row r="34" spans="1:18" s="36" customFormat="1" ht="15" customHeight="1">
      <c r="A34" s="60"/>
      <c r="B34" s="70" t="s">
        <v>474</v>
      </c>
      <c r="C34" s="8" t="s">
        <v>465</v>
      </c>
      <c r="D34" s="337">
        <v>0</v>
      </c>
      <c r="E34" s="946">
        <v>189.63</v>
      </c>
      <c r="F34" s="337">
        <v>0</v>
      </c>
      <c r="G34" s="337">
        <v>0</v>
      </c>
      <c r="H34" s="946"/>
      <c r="I34" s="946"/>
      <c r="J34" s="337">
        <v>0</v>
      </c>
      <c r="K34" s="337">
        <v>0</v>
      </c>
      <c r="L34" s="337">
        <v>0</v>
      </c>
      <c r="M34" s="337">
        <v>0</v>
      </c>
      <c r="N34" s="337">
        <v>0</v>
      </c>
      <c r="O34" s="337">
        <v>0</v>
      </c>
      <c r="P34" s="337">
        <v>0</v>
      </c>
      <c r="Q34" s="337">
        <v>0</v>
      </c>
      <c r="R34" s="337">
        <v>0</v>
      </c>
    </row>
    <row r="35" spans="1:18" s="36" customFormat="1" hidden="1">
      <c r="A35" s="60" t="s">
        <v>481</v>
      </c>
      <c r="B35" s="61"/>
      <c r="C35" s="8"/>
      <c r="D35" s="337"/>
      <c r="E35" s="337"/>
      <c r="F35" s="337"/>
      <c r="G35" s="337"/>
      <c r="H35" s="337"/>
      <c r="I35" s="337"/>
      <c r="J35" s="337"/>
      <c r="K35" s="337"/>
      <c r="L35" s="337"/>
      <c r="M35" s="337"/>
      <c r="N35" s="337"/>
      <c r="O35" s="337"/>
      <c r="P35" s="337"/>
      <c r="Q35" s="337"/>
      <c r="R35" s="337"/>
    </row>
    <row r="36" spans="1:18" s="36" customFormat="1" ht="15" hidden="1" customHeight="1">
      <c r="A36" s="60"/>
      <c r="B36" s="70" t="s">
        <v>473</v>
      </c>
      <c r="C36" s="8" t="s">
        <v>138</v>
      </c>
      <c r="D36" s="388"/>
      <c r="E36" s="388"/>
      <c r="F36" s="388"/>
      <c r="G36" s="388"/>
      <c r="H36" s="388"/>
      <c r="I36" s="388"/>
      <c r="J36" s="388"/>
      <c r="K36" s="388"/>
      <c r="L36" s="388"/>
      <c r="M36" s="388"/>
      <c r="N36" s="388"/>
      <c r="O36" s="388"/>
      <c r="P36" s="388"/>
      <c r="Q36" s="388"/>
      <c r="R36" s="388"/>
    </row>
    <row r="37" spans="1:18" s="36" customFormat="1" ht="15" hidden="1" customHeight="1">
      <c r="A37" s="60"/>
      <c r="B37" s="70" t="s">
        <v>474</v>
      </c>
      <c r="C37" s="8" t="s">
        <v>465</v>
      </c>
      <c r="D37" s="388"/>
      <c r="E37" s="388"/>
      <c r="F37" s="388"/>
      <c r="G37" s="388"/>
      <c r="H37" s="388"/>
      <c r="I37" s="388"/>
      <c r="J37" s="388"/>
      <c r="K37" s="388"/>
      <c r="L37" s="388"/>
      <c r="M37" s="388"/>
      <c r="N37" s="388"/>
      <c r="O37" s="388"/>
      <c r="P37" s="388"/>
      <c r="Q37" s="388"/>
      <c r="R37" s="388"/>
    </row>
    <row r="38" spans="1:18" s="36" customFormat="1" hidden="1">
      <c r="A38" s="60" t="s">
        <v>482</v>
      </c>
      <c r="B38" s="61"/>
      <c r="C38" s="8"/>
      <c r="D38" s="388"/>
      <c r="E38" s="388"/>
      <c r="F38" s="388"/>
      <c r="G38" s="388"/>
      <c r="H38" s="388"/>
      <c r="I38" s="388"/>
      <c r="J38" s="388"/>
      <c r="K38" s="388"/>
      <c r="L38" s="388"/>
      <c r="M38" s="388"/>
      <c r="N38" s="388"/>
      <c r="O38" s="388"/>
      <c r="P38" s="388"/>
      <c r="Q38" s="388"/>
      <c r="R38" s="388"/>
    </row>
    <row r="39" spans="1:18" s="36" customFormat="1" ht="15" hidden="1" customHeight="1">
      <c r="A39" s="60"/>
      <c r="B39" s="70" t="s">
        <v>473</v>
      </c>
      <c r="C39" s="8" t="s">
        <v>138</v>
      </c>
      <c r="D39" s="388"/>
      <c r="E39" s="388"/>
      <c r="F39" s="388"/>
      <c r="G39" s="388"/>
      <c r="H39" s="388"/>
      <c r="I39" s="388"/>
      <c r="J39" s="388"/>
      <c r="K39" s="388"/>
      <c r="L39" s="388"/>
      <c r="M39" s="388"/>
      <c r="N39" s="388"/>
      <c r="O39" s="388"/>
      <c r="P39" s="388"/>
      <c r="Q39" s="388"/>
      <c r="R39" s="388"/>
    </row>
    <row r="40" spans="1:18" s="36" customFormat="1" ht="15" hidden="1" customHeight="1">
      <c r="A40" s="60"/>
      <c r="B40" s="70" t="s">
        <v>474</v>
      </c>
      <c r="C40" s="8" t="s">
        <v>465</v>
      </c>
      <c r="D40" s="388"/>
      <c r="E40" s="388"/>
      <c r="F40" s="388"/>
      <c r="G40" s="388"/>
      <c r="H40" s="388"/>
      <c r="I40" s="388"/>
      <c r="J40" s="388"/>
      <c r="K40" s="388"/>
      <c r="L40" s="388"/>
      <c r="M40" s="388"/>
      <c r="N40" s="388"/>
      <c r="O40" s="388"/>
      <c r="P40" s="388"/>
      <c r="Q40" s="388"/>
      <c r="R40" s="388"/>
    </row>
    <row r="41" spans="1:18" s="36" customFormat="1" ht="30" customHeight="1">
      <c r="A41" s="60" t="s">
        <v>483</v>
      </c>
      <c r="B41" s="61" t="s">
        <v>484</v>
      </c>
      <c r="C41" s="8"/>
      <c r="D41" s="388"/>
      <c r="E41" s="388"/>
      <c r="F41" s="388"/>
      <c r="G41" s="388"/>
      <c r="H41" s="388"/>
      <c r="I41" s="388"/>
      <c r="J41" s="388"/>
      <c r="K41" s="388"/>
      <c r="L41" s="388"/>
      <c r="M41" s="388"/>
      <c r="N41" s="388"/>
      <c r="O41" s="388"/>
      <c r="P41" s="388"/>
      <c r="Q41" s="388"/>
      <c r="R41" s="388"/>
    </row>
    <row r="42" spans="1:18" s="36" customFormat="1" ht="15" customHeight="1">
      <c r="A42" s="60"/>
      <c r="B42" s="70" t="s">
        <v>473</v>
      </c>
      <c r="C42" s="8" t="s">
        <v>138</v>
      </c>
      <c r="D42" s="337">
        <v>160</v>
      </c>
      <c r="E42" s="337">
        <v>160</v>
      </c>
      <c r="F42" s="337">
        <v>160</v>
      </c>
      <c r="G42" s="337">
        <v>160</v>
      </c>
      <c r="H42" s="337">
        <v>160</v>
      </c>
      <c r="I42" s="337"/>
      <c r="J42" s="337">
        <v>160</v>
      </c>
      <c r="K42" s="337">
        <v>160</v>
      </c>
      <c r="L42" s="337">
        <v>160</v>
      </c>
      <c r="M42" s="337">
        <v>160</v>
      </c>
      <c r="N42" s="337">
        <v>160</v>
      </c>
      <c r="O42" s="337">
        <v>160</v>
      </c>
      <c r="P42" s="337">
        <v>160</v>
      </c>
      <c r="Q42" s="337">
        <v>160</v>
      </c>
      <c r="R42" s="337">
        <v>160</v>
      </c>
    </row>
    <row r="43" spans="1:18" s="36" customFormat="1" ht="15" customHeight="1">
      <c r="A43" s="60"/>
      <c r="B43" s="70" t="s">
        <v>474</v>
      </c>
      <c r="C43" s="8" t="s">
        <v>465</v>
      </c>
      <c r="D43" s="250">
        <f>(D22+D25+D28+D31)*D42/100</f>
        <v>39117.903339779608</v>
      </c>
      <c r="E43" s="250">
        <f>(E22+E25+E28+E31)*E42/100-1</f>
        <v>39907.457073535043</v>
      </c>
      <c r="F43" s="250">
        <v>35315.403311341215</v>
      </c>
      <c r="G43" s="250">
        <v>46865.304529555971</v>
      </c>
      <c r="H43" s="250">
        <v>0</v>
      </c>
      <c r="I43" s="250"/>
      <c r="J43" s="250">
        <v>53085</v>
      </c>
      <c r="K43" s="337">
        <v>0</v>
      </c>
      <c r="L43" s="250">
        <v>55963</v>
      </c>
      <c r="M43" s="250">
        <v>61839</v>
      </c>
      <c r="N43" s="250">
        <v>60615</v>
      </c>
      <c r="O43" s="250">
        <v>63064</v>
      </c>
      <c r="P43" s="250">
        <v>65482</v>
      </c>
      <c r="Q43" s="250">
        <v>64711</v>
      </c>
      <c r="R43" s="250">
        <v>66250</v>
      </c>
    </row>
    <row r="44" spans="1:18" s="36" customFormat="1" ht="30" customHeight="1">
      <c r="A44" s="387" t="s">
        <v>27</v>
      </c>
      <c r="B44" s="386" t="s">
        <v>485</v>
      </c>
      <c r="C44" s="385" t="s">
        <v>465</v>
      </c>
      <c r="D44" s="384">
        <f>D22+D25+D28+D31+D34+D43</f>
        <v>63566.592927141857</v>
      </c>
      <c r="E44" s="384">
        <f>E22+E25+E28+E31+E34+E43-2</f>
        <v>65037.872744494445</v>
      </c>
      <c r="F44" s="384">
        <v>57387.530380929471</v>
      </c>
      <c r="G44" s="384">
        <v>76156.119860528459</v>
      </c>
      <c r="H44" s="384">
        <v>78657.48073065147</v>
      </c>
      <c r="I44" s="384"/>
      <c r="J44" s="384">
        <v>86263.372300000003</v>
      </c>
      <c r="K44" s="384">
        <v>0</v>
      </c>
      <c r="L44" s="384">
        <v>90939.6</v>
      </c>
      <c r="M44" s="384">
        <v>100488.4</v>
      </c>
      <c r="N44" s="384">
        <v>98499.24</v>
      </c>
      <c r="O44" s="384">
        <v>102479.28</v>
      </c>
      <c r="P44" s="384">
        <v>106408.08</v>
      </c>
      <c r="Q44" s="384">
        <v>105155.6</v>
      </c>
      <c r="R44" s="384">
        <v>107656.56</v>
      </c>
    </row>
    <row r="45" spans="1:18" s="1368" customFormat="1" ht="30" customHeight="1">
      <c r="A45" s="1364" t="s">
        <v>95</v>
      </c>
      <c r="B45" s="1365" t="s">
        <v>905</v>
      </c>
      <c r="C45" s="1366" t="s">
        <v>465</v>
      </c>
      <c r="D45" s="1367">
        <f>(D44*D15*D54/1000)+D46+D47+D48+2</f>
        <v>200640.16522359668</v>
      </c>
      <c r="E45" s="1367">
        <f>(E44*E15*E54/1000)+E46+E47+E48+8</f>
        <v>219563.75297991009</v>
      </c>
      <c r="F45" s="1367">
        <v>218204.23892848552</v>
      </c>
      <c r="G45" s="1367">
        <v>258077.89928776069</v>
      </c>
      <c r="H45" s="1367">
        <v>308898</v>
      </c>
      <c r="I45" s="1367"/>
      <c r="J45" s="1367">
        <v>270372.85250052001</v>
      </c>
      <c r="K45" s="1367">
        <v>0</v>
      </c>
      <c r="L45" s="1367">
        <v>303057.78736000002</v>
      </c>
      <c r="M45" s="1367">
        <v>343484.44821599999</v>
      </c>
      <c r="N45" s="1367">
        <v>165021.54919200001</v>
      </c>
      <c r="O45" s="1367">
        <v>178462.89902399998</v>
      </c>
      <c r="P45" s="1367">
        <v>363630.25292800006</v>
      </c>
      <c r="Q45" s="1367">
        <v>176108.58648000003</v>
      </c>
      <c r="R45" s="1367">
        <v>187521.666448</v>
      </c>
    </row>
    <row r="46" spans="1:18">
      <c r="A46" s="60" t="s">
        <v>898</v>
      </c>
      <c r="B46" s="61" t="s">
        <v>899</v>
      </c>
      <c r="C46" s="8" t="s">
        <v>892</v>
      </c>
      <c r="D46" s="250">
        <v>2416</v>
      </c>
      <c r="E46" s="250">
        <v>2840</v>
      </c>
      <c r="F46" s="250">
        <v>2996</v>
      </c>
      <c r="G46" s="250">
        <v>3219</v>
      </c>
      <c r="H46" s="250">
        <v>5456</v>
      </c>
      <c r="I46" s="250"/>
      <c r="J46" s="250">
        <v>3522</v>
      </c>
      <c r="K46" s="250"/>
      <c r="L46" s="250">
        <v>3612</v>
      </c>
      <c r="M46" s="337">
        <v>5710</v>
      </c>
      <c r="N46" s="337">
        <v>2855</v>
      </c>
      <c r="O46" s="337">
        <v>2855</v>
      </c>
      <c r="P46" s="337">
        <v>5967</v>
      </c>
      <c r="Q46" s="337">
        <v>2983.5</v>
      </c>
      <c r="R46" s="337">
        <v>2983.5</v>
      </c>
    </row>
    <row r="47" spans="1:18" ht="60.75" customHeight="1">
      <c r="A47" s="60" t="s">
        <v>900</v>
      </c>
      <c r="B47" s="61" t="s">
        <v>902</v>
      </c>
      <c r="C47" s="8" t="s">
        <v>892</v>
      </c>
      <c r="D47" s="250"/>
      <c r="E47" s="250"/>
      <c r="F47" s="250"/>
      <c r="G47" s="250"/>
      <c r="H47" s="250"/>
      <c r="I47" s="250"/>
      <c r="J47" s="250"/>
      <c r="K47" s="250"/>
      <c r="L47" s="250"/>
      <c r="M47" s="337"/>
      <c r="N47" s="337"/>
      <c r="O47" s="337"/>
      <c r="P47" s="337"/>
      <c r="Q47" s="337"/>
      <c r="R47" s="337"/>
    </row>
    <row r="48" spans="1:18">
      <c r="A48" s="60" t="s">
        <v>901</v>
      </c>
      <c r="B48" s="61" t="s">
        <v>348</v>
      </c>
      <c r="C48" s="8" t="s">
        <v>892</v>
      </c>
      <c r="D48" s="337">
        <f>D49+D50+D51+D52+D53</f>
        <v>0</v>
      </c>
      <c r="E48" s="337">
        <f>E49+E50+E51+E52+E53</f>
        <v>4198</v>
      </c>
      <c r="F48" s="337">
        <v>0</v>
      </c>
      <c r="G48" s="337">
        <v>5740</v>
      </c>
      <c r="H48" s="337">
        <v>0</v>
      </c>
      <c r="I48" s="337"/>
      <c r="J48" s="337">
        <v>96</v>
      </c>
      <c r="K48" s="337">
        <v>0</v>
      </c>
      <c r="L48" s="337">
        <v>103</v>
      </c>
      <c r="M48" s="337">
        <v>7004</v>
      </c>
      <c r="N48" s="337">
        <v>56.5</v>
      </c>
      <c r="O48" s="337">
        <v>6947.5</v>
      </c>
      <c r="P48" s="337">
        <v>7417</v>
      </c>
      <c r="Q48" s="337">
        <v>60</v>
      </c>
      <c r="R48" s="337">
        <v>7357</v>
      </c>
    </row>
    <row r="49" spans="1:18" ht="30">
      <c r="A49" s="60" t="s">
        <v>1024</v>
      </c>
      <c r="B49" s="61" t="s">
        <v>1023</v>
      </c>
      <c r="C49" s="8" t="s">
        <v>892</v>
      </c>
      <c r="D49" s="250"/>
      <c r="E49" s="250">
        <v>787</v>
      </c>
      <c r="F49" s="250"/>
      <c r="G49" s="250">
        <v>168</v>
      </c>
      <c r="H49" s="250"/>
      <c r="I49" s="250"/>
      <c r="J49" s="250"/>
      <c r="K49" s="250"/>
      <c r="L49" s="250"/>
      <c r="M49" s="337">
        <v>0</v>
      </c>
      <c r="N49" s="337"/>
      <c r="O49" s="337"/>
      <c r="P49" s="337">
        <v>0</v>
      </c>
      <c r="Q49" s="337"/>
      <c r="R49" s="337"/>
    </row>
    <row r="50" spans="1:18" ht="30">
      <c r="A50" s="60" t="s">
        <v>1022</v>
      </c>
      <c r="B50" s="61" t="s">
        <v>1021</v>
      </c>
      <c r="C50" s="8" t="s">
        <v>892</v>
      </c>
      <c r="D50" s="250"/>
      <c r="E50" s="250"/>
      <c r="F50" s="250"/>
      <c r="G50" s="250">
        <v>91</v>
      </c>
      <c r="H50" s="250"/>
      <c r="I50" s="250"/>
      <c r="J50" s="250"/>
      <c r="K50" s="250"/>
      <c r="L50" s="250"/>
      <c r="M50" s="337">
        <v>0</v>
      </c>
      <c r="N50" s="337"/>
      <c r="O50" s="337"/>
      <c r="P50" s="337">
        <v>0</v>
      </c>
      <c r="Q50" s="337"/>
      <c r="R50" s="337"/>
    </row>
    <row r="51" spans="1:18">
      <c r="A51" s="60" t="s">
        <v>1020</v>
      </c>
      <c r="B51" s="61" t="s">
        <v>1019</v>
      </c>
      <c r="C51" s="8" t="s">
        <v>892</v>
      </c>
      <c r="D51" s="250"/>
      <c r="E51" s="250">
        <v>76</v>
      </c>
      <c r="F51" s="250"/>
      <c r="G51" s="250"/>
      <c r="H51" s="250"/>
      <c r="I51" s="250"/>
      <c r="J51" s="250">
        <v>96</v>
      </c>
      <c r="K51" s="250"/>
      <c r="L51" s="250">
        <v>103</v>
      </c>
      <c r="M51" s="337">
        <v>113</v>
      </c>
      <c r="N51" s="337">
        <v>56.5</v>
      </c>
      <c r="O51" s="337">
        <v>56.5</v>
      </c>
      <c r="P51" s="337">
        <v>120</v>
      </c>
      <c r="Q51" s="337">
        <v>60</v>
      </c>
      <c r="R51" s="337">
        <v>60</v>
      </c>
    </row>
    <row r="52" spans="1:18" ht="30">
      <c r="A52" s="60" t="s">
        <v>1018</v>
      </c>
      <c r="B52" s="61" t="s">
        <v>934</v>
      </c>
      <c r="C52" s="8" t="s">
        <v>892</v>
      </c>
      <c r="D52" s="250"/>
      <c r="E52" s="250"/>
      <c r="F52" s="250"/>
      <c r="G52" s="250"/>
      <c r="H52" s="250"/>
      <c r="I52" s="250"/>
      <c r="J52" s="250"/>
      <c r="K52" s="250"/>
      <c r="L52" s="250"/>
      <c r="M52" s="337">
        <v>6891</v>
      </c>
      <c r="N52" s="337"/>
      <c r="O52" s="337">
        <v>6891</v>
      </c>
      <c r="P52" s="337">
        <v>7297</v>
      </c>
      <c r="Q52" s="337"/>
      <c r="R52" s="337">
        <v>7297</v>
      </c>
    </row>
    <row r="53" spans="1:18" ht="75">
      <c r="A53" s="60" t="s">
        <v>1071</v>
      </c>
      <c r="B53" s="61" t="s">
        <v>1558</v>
      </c>
      <c r="C53" s="8" t="s">
        <v>892</v>
      </c>
      <c r="D53" s="241"/>
      <c r="E53" s="241">
        <v>3335</v>
      </c>
      <c r="F53" s="241"/>
      <c r="G53" s="241">
        <v>5481</v>
      </c>
      <c r="H53" s="241"/>
      <c r="I53" s="241"/>
      <c r="J53" s="308"/>
      <c r="K53" s="308"/>
      <c r="L53" s="308"/>
      <c r="M53" s="308"/>
      <c r="N53" s="308"/>
      <c r="O53" s="308"/>
      <c r="P53" s="308"/>
      <c r="Q53" s="308"/>
      <c r="R53" s="308"/>
    </row>
    <row r="54" spans="1:18" ht="30">
      <c r="A54" s="60"/>
      <c r="B54" s="61" t="s">
        <v>903</v>
      </c>
      <c r="C54" s="8" t="s">
        <v>892</v>
      </c>
      <c r="D54" s="250">
        <v>12</v>
      </c>
      <c r="E54" s="250">
        <v>12</v>
      </c>
      <c r="F54" s="250">
        <v>12</v>
      </c>
      <c r="G54" s="250">
        <v>12</v>
      </c>
      <c r="H54" s="250">
        <v>12</v>
      </c>
      <c r="I54" s="250"/>
      <c r="J54" s="250">
        <v>12</v>
      </c>
      <c r="K54" s="250">
        <v>12</v>
      </c>
      <c r="L54" s="250">
        <v>12</v>
      </c>
      <c r="M54" s="250">
        <v>12</v>
      </c>
      <c r="N54" s="250">
        <v>6</v>
      </c>
      <c r="O54" s="250">
        <v>6</v>
      </c>
      <c r="P54" s="250">
        <v>12</v>
      </c>
      <c r="Q54" s="250">
        <v>6</v>
      </c>
      <c r="R54" s="250">
        <v>6</v>
      </c>
    </row>
    <row r="55" spans="1:18" s="763" customFormat="1" ht="28.5">
      <c r="A55" s="1352" t="s">
        <v>904</v>
      </c>
      <c r="B55" s="1353" t="s">
        <v>905</v>
      </c>
      <c r="C55" s="1354" t="s">
        <v>892</v>
      </c>
      <c r="D55" s="1013">
        <f>(D44*D15*D54/1000)+1</f>
        <v>198223.16522359668</v>
      </c>
      <c r="E55" s="1013">
        <f>(E44*E15*E54/1000)</f>
        <v>212517.75297991009</v>
      </c>
      <c r="F55" s="1013">
        <v>215203.23892848552</v>
      </c>
      <c r="G55" s="1013">
        <v>254858.89928776069</v>
      </c>
      <c r="H55" s="1013">
        <v>303442</v>
      </c>
      <c r="I55" s="1013"/>
      <c r="J55" s="1013">
        <v>266850.85250052001</v>
      </c>
      <c r="K55" s="1013">
        <v>0</v>
      </c>
      <c r="L55" s="1013">
        <v>299445.78736000002</v>
      </c>
      <c r="M55" s="1013">
        <v>337771.61744</v>
      </c>
      <c r="N55" s="1013">
        <v>162167.54919200001</v>
      </c>
      <c r="O55" s="1013">
        <v>175608.89902399998</v>
      </c>
      <c r="P55" s="1013">
        <v>357661.25292800006</v>
      </c>
      <c r="Q55" s="1013">
        <v>173124.08648000003</v>
      </c>
      <c r="R55" s="1013">
        <v>184537.166448</v>
      </c>
    </row>
    <row r="56" spans="1:18" ht="30">
      <c r="A56" s="60" t="s">
        <v>906</v>
      </c>
      <c r="B56" s="61" t="s">
        <v>909</v>
      </c>
      <c r="C56" s="8" t="s">
        <v>892</v>
      </c>
      <c r="D56" s="250"/>
      <c r="E56" s="250"/>
      <c r="F56" s="250"/>
      <c r="G56" s="250"/>
      <c r="H56" s="250"/>
      <c r="I56" s="250"/>
      <c r="J56" s="250"/>
      <c r="K56" s="250"/>
      <c r="L56" s="250"/>
      <c r="M56" s="250"/>
      <c r="N56" s="250"/>
      <c r="O56" s="250"/>
      <c r="P56" s="250"/>
      <c r="Q56" s="250"/>
      <c r="R56" s="250"/>
    </row>
    <row r="57" spans="1:18">
      <c r="A57" s="60" t="s">
        <v>907</v>
      </c>
      <c r="B57" s="61" t="s">
        <v>910</v>
      </c>
      <c r="C57" s="8" t="s">
        <v>892</v>
      </c>
      <c r="D57" s="250">
        <f>D55</f>
        <v>198223.16522359668</v>
      </c>
      <c r="E57" s="250">
        <f t="shared" ref="E57:J57" si="2">E55</f>
        <v>212517.75297991009</v>
      </c>
      <c r="F57" s="250">
        <v>215203.23892848552</v>
      </c>
      <c r="G57" s="250">
        <v>254858.89928776069</v>
      </c>
      <c r="H57" s="250">
        <v>303442</v>
      </c>
      <c r="I57" s="250"/>
      <c r="J57" s="250">
        <v>266850.85250052001</v>
      </c>
      <c r="K57" s="250">
        <v>0</v>
      </c>
      <c r="L57" s="250">
        <v>299445.78736000002</v>
      </c>
      <c r="M57" s="250">
        <v>337771.61744</v>
      </c>
      <c r="N57" s="250">
        <v>162167.54919200001</v>
      </c>
      <c r="O57" s="250">
        <v>175608.89902399998</v>
      </c>
      <c r="P57" s="250">
        <v>357661.25292800006</v>
      </c>
      <c r="Q57" s="250">
        <v>173124.08648000003</v>
      </c>
      <c r="R57" s="250">
        <v>184537.166448</v>
      </c>
    </row>
    <row r="58" spans="1:18">
      <c r="A58" s="60" t="s">
        <v>908</v>
      </c>
      <c r="B58" s="61" t="s">
        <v>911</v>
      </c>
      <c r="C58" s="8" t="s">
        <v>892</v>
      </c>
      <c r="D58" s="250"/>
      <c r="E58" s="250"/>
      <c r="F58" s="250"/>
      <c r="G58" s="250"/>
      <c r="H58" s="250"/>
      <c r="I58" s="250"/>
      <c r="J58" s="250"/>
      <c r="K58" s="250"/>
      <c r="L58" s="250"/>
      <c r="M58" s="250"/>
      <c r="N58" s="250"/>
      <c r="O58" s="250"/>
      <c r="P58" s="250"/>
      <c r="Q58" s="250"/>
      <c r="R58" s="250"/>
    </row>
    <row r="59" spans="1:18">
      <c r="A59" s="60" t="s">
        <v>912</v>
      </c>
      <c r="B59" s="61" t="s">
        <v>913</v>
      </c>
      <c r="C59" s="8" t="s">
        <v>892</v>
      </c>
      <c r="D59" s="250"/>
      <c r="E59" s="250"/>
      <c r="F59" s="250"/>
      <c r="G59" s="250"/>
      <c r="H59" s="250"/>
      <c r="I59" s="250"/>
      <c r="J59" s="250"/>
      <c r="K59" s="250"/>
      <c r="L59" s="250"/>
      <c r="M59" s="250"/>
      <c r="N59" s="250"/>
      <c r="O59" s="250"/>
      <c r="P59" s="250"/>
      <c r="Q59" s="250"/>
      <c r="R59" s="250"/>
    </row>
    <row r="60" spans="1:18" ht="30">
      <c r="A60" s="60" t="s">
        <v>97</v>
      </c>
      <c r="B60" s="61" t="s">
        <v>914</v>
      </c>
      <c r="C60" s="8" t="s">
        <v>846</v>
      </c>
      <c r="D60" s="250"/>
      <c r="E60" s="250"/>
      <c r="F60" s="250"/>
      <c r="G60" s="250"/>
      <c r="H60" s="250"/>
      <c r="I60" s="250"/>
      <c r="J60" s="250"/>
      <c r="K60" s="250"/>
      <c r="L60" s="250"/>
      <c r="M60" s="250"/>
      <c r="N60" s="250"/>
      <c r="O60" s="250"/>
      <c r="P60" s="250"/>
      <c r="Q60" s="250"/>
      <c r="R60" s="250"/>
    </row>
    <row r="61" spans="1:18">
      <c r="A61" s="60" t="s">
        <v>915</v>
      </c>
      <c r="B61" s="61" t="s">
        <v>458</v>
      </c>
      <c r="C61" s="8" t="s">
        <v>453</v>
      </c>
      <c r="D61" s="250"/>
      <c r="E61" s="250"/>
      <c r="F61" s="250"/>
      <c r="G61" s="250"/>
      <c r="H61" s="250"/>
      <c r="I61" s="250"/>
      <c r="J61" s="250"/>
      <c r="K61" s="250"/>
      <c r="L61" s="250"/>
      <c r="M61" s="250"/>
      <c r="N61" s="250"/>
      <c r="O61" s="250"/>
      <c r="P61" s="250"/>
      <c r="Q61" s="250"/>
      <c r="R61" s="250"/>
    </row>
    <row r="62" spans="1:18">
      <c r="A62" s="60" t="s">
        <v>916</v>
      </c>
      <c r="B62" s="253" t="s">
        <v>923</v>
      </c>
      <c r="C62" s="8" t="s">
        <v>453</v>
      </c>
      <c r="D62" s="250"/>
      <c r="E62" s="250"/>
      <c r="F62" s="250"/>
      <c r="G62" s="250"/>
      <c r="H62" s="250"/>
      <c r="I62" s="250"/>
      <c r="J62" s="250"/>
      <c r="K62" s="250"/>
      <c r="L62" s="250"/>
      <c r="M62" s="250"/>
      <c r="N62" s="250"/>
      <c r="O62" s="250"/>
      <c r="P62" s="250"/>
      <c r="Q62" s="250"/>
      <c r="R62" s="250"/>
    </row>
    <row r="63" spans="1:18">
      <c r="A63" s="60" t="s">
        <v>917</v>
      </c>
      <c r="B63" s="253" t="s">
        <v>924</v>
      </c>
      <c r="C63" s="8" t="s">
        <v>465</v>
      </c>
      <c r="D63" s="250"/>
      <c r="E63" s="250"/>
      <c r="F63" s="250"/>
      <c r="G63" s="250"/>
      <c r="H63" s="250"/>
      <c r="I63" s="250"/>
      <c r="J63" s="250"/>
      <c r="K63" s="250"/>
      <c r="L63" s="250"/>
      <c r="M63" s="250"/>
      <c r="N63" s="250"/>
      <c r="O63" s="250"/>
      <c r="P63" s="250"/>
      <c r="Q63" s="250"/>
      <c r="R63" s="250"/>
    </row>
    <row r="64" spans="1:18">
      <c r="A64" s="60" t="s">
        <v>918</v>
      </c>
      <c r="B64" s="61" t="s">
        <v>899</v>
      </c>
      <c r="C64" s="8" t="s">
        <v>892</v>
      </c>
      <c r="D64" s="250"/>
      <c r="E64" s="250"/>
      <c r="F64" s="250"/>
      <c r="G64" s="250"/>
      <c r="H64" s="250"/>
      <c r="I64" s="250"/>
      <c r="J64" s="250"/>
      <c r="K64" s="250"/>
      <c r="L64" s="250"/>
      <c r="M64" s="250"/>
      <c r="N64" s="250"/>
      <c r="O64" s="250"/>
      <c r="P64" s="250"/>
      <c r="Q64" s="250"/>
      <c r="R64" s="250"/>
    </row>
    <row r="65" spans="1:18" ht="18" customHeight="1">
      <c r="A65" s="60" t="s">
        <v>919</v>
      </c>
      <c r="B65" s="61" t="s">
        <v>922</v>
      </c>
      <c r="C65" s="8" t="s">
        <v>892</v>
      </c>
      <c r="D65" s="250"/>
      <c r="E65" s="250"/>
      <c r="F65" s="250"/>
      <c r="G65" s="250"/>
      <c r="H65" s="250"/>
      <c r="I65" s="250"/>
      <c r="J65" s="250"/>
      <c r="K65" s="250"/>
      <c r="L65" s="250"/>
      <c r="M65" s="250"/>
      <c r="N65" s="250"/>
      <c r="O65" s="250"/>
      <c r="P65" s="250"/>
      <c r="Q65" s="250"/>
      <c r="R65" s="250"/>
    </row>
    <row r="66" spans="1:18">
      <c r="A66" s="60" t="s">
        <v>920</v>
      </c>
      <c r="B66" s="61" t="s">
        <v>925</v>
      </c>
      <c r="C66" s="8" t="s">
        <v>892</v>
      </c>
      <c r="D66" s="250"/>
      <c r="E66" s="250"/>
      <c r="F66" s="250"/>
      <c r="G66" s="250"/>
      <c r="H66" s="250"/>
      <c r="I66" s="250"/>
      <c r="J66" s="250"/>
      <c r="K66" s="250"/>
      <c r="L66" s="250"/>
      <c r="M66" s="250"/>
      <c r="N66" s="250"/>
      <c r="O66" s="250"/>
      <c r="P66" s="250"/>
      <c r="Q66" s="250"/>
      <c r="R66" s="250"/>
    </row>
    <row r="67" spans="1:18" ht="30">
      <c r="A67" s="60" t="s">
        <v>921</v>
      </c>
      <c r="B67" s="61" t="s">
        <v>909</v>
      </c>
      <c r="C67" s="8" t="s">
        <v>892</v>
      </c>
      <c r="D67" s="250"/>
      <c r="E67" s="250"/>
      <c r="F67" s="250"/>
      <c r="G67" s="250"/>
      <c r="H67" s="250"/>
      <c r="I67" s="250"/>
      <c r="J67" s="250"/>
      <c r="K67" s="250"/>
      <c r="L67" s="250"/>
      <c r="M67" s="250"/>
      <c r="N67" s="250"/>
      <c r="O67" s="250"/>
      <c r="P67" s="250"/>
      <c r="Q67" s="250"/>
      <c r="R67" s="250"/>
    </row>
    <row r="68" spans="1:18" ht="30">
      <c r="A68" s="60" t="s">
        <v>926</v>
      </c>
      <c r="B68" s="61" t="s">
        <v>909</v>
      </c>
      <c r="C68" s="8" t="s">
        <v>892</v>
      </c>
      <c r="D68" s="250"/>
      <c r="E68" s="250"/>
      <c r="F68" s="250"/>
      <c r="G68" s="250"/>
      <c r="H68" s="250"/>
      <c r="I68" s="250"/>
      <c r="J68" s="250"/>
      <c r="K68" s="250"/>
      <c r="L68" s="250"/>
      <c r="M68" s="250"/>
      <c r="N68" s="250"/>
      <c r="O68" s="250"/>
      <c r="P68" s="250"/>
      <c r="Q68" s="250"/>
      <c r="R68" s="250"/>
    </row>
    <row r="69" spans="1:18">
      <c r="A69" s="60" t="s">
        <v>927</v>
      </c>
      <c r="B69" s="61" t="s">
        <v>910</v>
      </c>
      <c r="C69" s="8" t="s">
        <v>892</v>
      </c>
      <c r="D69" s="250"/>
      <c r="E69" s="250"/>
      <c r="F69" s="250"/>
      <c r="G69" s="250"/>
      <c r="H69" s="250"/>
      <c r="I69" s="250"/>
      <c r="J69" s="250"/>
      <c r="K69" s="250"/>
      <c r="L69" s="250"/>
      <c r="M69" s="250"/>
      <c r="N69" s="250"/>
      <c r="O69" s="250"/>
      <c r="P69" s="250"/>
      <c r="Q69" s="250"/>
      <c r="R69" s="250"/>
    </row>
    <row r="70" spans="1:18">
      <c r="A70" s="60" t="s">
        <v>928</v>
      </c>
      <c r="B70" s="61" t="s">
        <v>911</v>
      </c>
      <c r="C70" s="8" t="s">
        <v>892</v>
      </c>
      <c r="D70" s="250"/>
      <c r="E70" s="250"/>
      <c r="F70" s="250"/>
      <c r="G70" s="250"/>
      <c r="H70" s="250"/>
      <c r="I70" s="250"/>
      <c r="J70" s="250"/>
      <c r="K70" s="250"/>
      <c r="L70" s="250"/>
      <c r="M70" s="250"/>
      <c r="N70" s="250"/>
      <c r="O70" s="250"/>
      <c r="P70" s="250"/>
      <c r="Q70" s="250"/>
      <c r="R70" s="250"/>
    </row>
    <row r="71" spans="1:18">
      <c r="A71" s="60" t="s">
        <v>921</v>
      </c>
      <c r="B71" s="61" t="s">
        <v>913</v>
      </c>
      <c r="C71" s="8" t="s">
        <v>892</v>
      </c>
      <c r="D71" s="250"/>
      <c r="E71" s="250"/>
      <c r="F71" s="250"/>
      <c r="G71" s="250"/>
      <c r="H71" s="250"/>
      <c r="I71" s="250"/>
      <c r="J71" s="250"/>
      <c r="K71" s="250"/>
      <c r="L71" s="250"/>
      <c r="M71" s="250"/>
      <c r="N71" s="250"/>
      <c r="O71" s="250"/>
      <c r="P71" s="250"/>
      <c r="Q71" s="250"/>
      <c r="R71" s="250"/>
    </row>
    <row r="72" spans="1:18" ht="30">
      <c r="A72" s="60" t="s">
        <v>929</v>
      </c>
      <c r="B72" s="61" t="s">
        <v>930</v>
      </c>
      <c r="C72" s="8" t="s">
        <v>138</v>
      </c>
      <c r="D72" s="250"/>
      <c r="E72" s="250"/>
      <c r="F72" s="250"/>
      <c r="G72" s="250"/>
      <c r="H72" s="250"/>
      <c r="I72" s="250"/>
      <c r="J72" s="250"/>
      <c r="K72" s="250"/>
      <c r="L72" s="250"/>
      <c r="M72" s="250"/>
      <c r="N72" s="250"/>
      <c r="O72" s="250"/>
      <c r="P72" s="250"/>
      <c r="Q72" s="250"/>
      <c r="R72" s="250"/>
    </row>
    <row r="74" spans="1:18" ht="64.5" customHeight="1">
      <c r="A74" s="1963" t="s">
        <v>931</v>
      </c>
      <c r="B74" s="1963"/>
      <c r="C74" s="1963"/>
      <c r="D74" s="1963"/>
      <c r="E74" s="1963"/>
      <c r="F74" s="1963"/>
      <c r="G74" s="1963"/>
      <c r="H74" s="1963"/>
      <c r="I74" s="1963"/>
      <c r="J74" s="1963"/>
      <c r="K74" s="1963"/>
      <c r="L74" s="1963"/>
      <c r="M74" s="1963"/>
      <c r="N74" s="1963"/>
      <c r="O74" s="1963"/>
    </row>
    <row r="76" spans="1:18">
      <c r="A76" s="1" t="s">
        <v>88</v>
      </c>
    </row>
    <row r="77" spans="1:18" ht="51.75" customHeight="1">
      <c r="A77" s="1963" t="s">
        <v>932</v>
      </c>
      <c r="B77" s="1963"/>
      <c r="C77" s="1963"/>
      <c r="D77" s="1963"/>
      <c r="E77" s="1963"/>
      <c r="F77" s="1963"/>
      <c r="G77" s="1963"/>
      <c r="H77" s="1963"/>
      <c r="I77" s="1963"/>
      <c r="J77" s="1963"/>
      <c r="K77" s="1963"/>
      <c r="L77" s="1963"/>
      <c r="M77" s="1963"/>
      <c r="N77" s="1963"/>
      <c r="O77" s="1963"/>
    </row>
    <row r="78" spans="1:18" ht="69" customHeight="1">
      <c r="A78" s="1963" t="s">
        <v>933</v>
      </c>
      <c r="B78" s="1963"/>
      <c r="C78" s="1963"/>
      <c r="D78" s="1963"/>
      <c r="E78" s="1963"/>
      <c r="F78" s="1963"/>
      <c r="G78" s="1963"/>
      <c r="H78" s="1963"/>
      <c r="I78" s="1963"/>
      <c r="J78" s="1963"/>
      <c r="K78" s="1963"/>
      <c r="L78" s="1963"/>
      <c r="M78" s="1963"/>
      <c r="N78" s="1963"/>
      <c r="O78" s="1963"/>
    </row>
  </sheetData>
  <mergeCells count="4">
    <mergeCell ref="A3:O3"/>
    <mergeCell ref="A74:O74"/>
    <mergeCell ref="A77:O77"/>
    <mergeCell ref="A78:O78"/>
  </mergeCells>
  <pageMargins left="0.78740157480314965" right="0.31496062992125984" top="0.59055118110236227" bottom="0.19685039370078741" header="0.62992125984251968" footer="0.19685039370078741"/>
  <pageSetup paperSize="9" scale="50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R78"/>
  <sheetViews>
    <sheetView view="pageBreakPreview" zoomScaleNormal="100" zoomScaleSheetLayoutView="100" workbookViewId="0">
      <pane xSplit="2" ySplit="5" topLeftCell="C6" activePane="bottomRight" state="frozen"/>
      <selection activeCell="M9" sqref="M9"/>
      <selection pane="topRight" activeCell="M9" sqref="M9"/>
      <selection pane="bottomLeft" activeCell="M9" sqref="M9"/>
      <selection pane="bottomRight" activeCell="N65" sqref="N65"/>
    </sheetView>
  </sheetViews>
  <sheetFormatPr defaultColWidth="2.85546875" defaultRowHeight="15"/>
  <cols>
    <col min="1" max="1" width="6.42578125" style="1" customWidth="1"/>
    <col min="2" max="2" width="36.42578125" style="1" customWidth="1"/>
    <col min="3" max="3" width="11.140625" style="21" customWidth="1"/>
    <col min="4" max="4" width="13.140625" style="1" hidden="1" customWidth="1"/>
    <col min="5" max="5" width="13" style="1" hidden="1" customWidth="1"/>
    <col min="6" max="6" width="13.140625" style="1" customWidth="1"/>
    <col min="7" max="8" width="13" style="1" customWidth="1"/>
    <col min="9" max="9" width="13" style="1" hidden="1" customWidth="1"/>
    <col min="10" max="11" width="13" style="1" customWidth="1"/>
    <col min="12" max="12" width="16" style="1" customWidth="1"/>
    <col min="13" max="13" width="12.5703125" style="1" customWidth="1"/>
    <col min="14" max="14" width="12.7109375" style="1" customWidth="1"/>
    <col min="15" max="15" width="12.85546875" style="1" customWidth="1"/>
    <col min="16" max="16" width="12.28515625" style="1" customWidth="1"/>
    <col min="17" max="93" width="11.140625" style="1" customWidth="1"/>
    <col min="94" max="16384" width="2.85546875" style="1"/>
  </cols>
  <sheetData>
    <row r="1" spans="1:18" s="5" customFormat="1" ht="18" customHeight="1">
      <c r="A1" s="74" t="s">
        <v>1860</v>
      </c>
      <c r="C1" s="20"/>
      <c r="M1" s="6"/>
      <c r="N1" s="6"/>
      <c r="O1" s="6" t="s">
        <v>1060</v>
      </c>
      <c r="R1" s="6" t="s">
        <v>1060</v>
      </c>
    </row>
    <row r="2" spans="1:18" s="5" customFormat="1" ht="12.75" customHeight="1">
      <c r="A2" s="759" t="str">
        <f>'4.9_транзит КТЭЦ '!A2</f>
        <v>ПКГО - Комбинированная выработка КТЭЦ</v>
      </c>
      <c r="C2" s="20"/>
    </row>
    <row r="3" spans="1:18" ht="18.75">
      <c r="A3" s="1877" t="s">
        <v>1522</v>
      </c>
      <c r="B3" s="1877"/>
      <c r="C3" s="1877"/>
      <c r="D3" s="1877"/>
      <c r="E3" s="1877"/>
      <c r="F3" s="1877"/>
      <c r="G3" s="1877"/>
      <c r="H3" s="1877"/>
      <c r="I3" s="1877"/>
      <c r="J3" s="1877"/>
      <c r="K3" s="1877"/>
      <c r="L3" s="1877"/>
      <c r="M3" s="1877"/>
      <c r="N3" s="1877"/>
      <c r="O3" s="1877"/>
    </row>
    <row r="4" spans="1:18" ht="12.75" customHeight="1"/>
    <row r="5" spans="1:18" s="3" customFormat="1" ht="68.25" customHeight="1">
      <c r="A5" s="915" t="s">
        <v>451</v>
      </c>
      <c r="B5" s="915" t="s">
        <v>1</v>
      </c>
      <c r="C5" s="915" t="s">
        <v>2</v>
      </c>
      <c r="D5" s="913" t="s">
        <v>1129</v>
      </c>
      <c r="E5" s="913" t="s">
        <v>1130</v>
      </c>
      <c r="F5" s="913" t="s">
        <v>1520</v>
      </c>
      <c r="G5" s="1284" t="s">
        <v>1695</v>
      </c>
      <c r="H5" s="1310" t="s">
        <v>1702</v>
      </c>
      <c r="I5" s="1661" t="s">
        <v>1882</v>
      </c>
      <c r="J5" s="1576" t="s">
        <v>1828</v>
      </c>
      <c r="K5" s="1661" t="s">
        <v>1842</v>
      </c>
      <c r="L5" s="1631" t="s">
        <v>1861</v>
      </c>
      <c r="M5" s="1631" t="s">
        <v>1862</v>
      </c>
      <c r="N5" s="1631" t="s">
        <v>763</v>
      </c>
      <c r="O5" s="1631" t="s">
        <v>764</v>
      </c>
      <c r="P5" s="1631" t="s">
        <v>1863</v>
      </c>
      <c r="Q5" s="1631" t="s">
        <v>763</v>
      </c>
      <c r="R5" s="1631" t="s">
        <v>764</v>
      </c>
    </row>
    <row r="6" spans="1:18" s="2" customFormat="1">
      <c r="A6" s="13">
        <v>1</v>
      </c>
      <c r="B6" s="13">
        <v>2</v>
      </c>
      <c r="C6" s="13">
        <v>3</v>
      </c>
      <c r="D6" s="13">
        <v>4</v>
      </c>
      <c r="E6" s="13">
        <v>5</v>
      </c>
      <c r="F6" s="13">
        <v>4</v>
      </c>
      <c r="G6" s="13">
        <v>5</v>
      </c>
      <c r="H6" s="13">
        <v>6</v>
      </c>
      <c r="I6" s="13"/>
      <c r="J6" s="13">
        <v>7</v>
      </c>
      <c r="K6" s="13">
        <v>8</v>
      </c>
      <c r="L6" s="13">
        <v>9</v>
      </c>
      <c r="M6" s="13">
        <v>10</v>
      </c>
      <c r="N6" s="13">
        <v>11</v>
      </c>
      <c r="O6" s="13">
        <v>12</v>
      </c>
      <c r="P6" s="13">
        <v>13</v>
      </c>
      <c r="Q6" s="13">
        <v>14</v>
      </c>
      <c r="R6" s="13">
        <v>15</v>
      </c>
    </row>
    <row r="7" spans="1:18" s="36" customFormat="1" ht="15" customHeight="1">
      <c r="A7" s="60" t="s">
        <v>4</v>
      </c>
      <c r="B7" s="61" t="s">
        <v>452</v>
      </c>
      <c r="C7" s="8" t="s">
        <v>453</v>
      </c>
      <c r="D7" s="391"/>
      <c r="E7" s="391"/>
      <c r="F7" s="391"/>
      <c r="G7" s="391"/>
      <c r="H7" s="391"/>
      <c r="I7" s="391"/>
      <c r="J7" s="391"/>
      <c r="K7" s="391"/>
      <c r="L7" s="391"/>
      <c r="M7" s="388"/>
      <c r="N7" s="388"/>
      <c r="O7" s="388"/>
      <c r="P7" s="388"/>
      <c r="Q7" s="388"/>
      <c r="R7" s="388"/>
    </row>
    <row r="8" spans="1:18" s="36" customFormat="1" ht="15" customHeight="1">
      <c r="A8" s="60" t="s">
        <v>5</v>
      </c>
      <c r="B8" s="61" t="s">
        <v>454</v>
      </c>
      <c r="C8" s="8" t="s">
        <v>453</v>
      </c>
      <c r="D8" s="391">
        <f>'4.9_транзит КТЭЦ '!D8+'4.9_сбыт КТЭЦ  '!D8</f>
        <v>0</v>
      </c>
      <c r="E8" s="391">
        <f>'4.9_транзит КТЭЦ '!E8+'4.9_сбыт КТЭЦ  '!E8</f>
        <v>822.25</v>
      </c>
      <c r="F8" s="391">
        <f>'4.9_транзит КТЭЦ '!F8+'4.9_сбыт КТЭЦ  '!F8</f>
        <v>0</v>
      </c>
      <c r="G8" s="391">
        <v>822.25</v>
      </c>
      <c r="H8" s="391">
        <v>0</v>
      </c>
      <c r="I8" s="391"/>
      <c r="J8" s="391">
        <v>822.25</v>
      </c>
      <c r="K8" s="391">
        <v>0</v>
      </c>
      <c r="L8" s="391">
        <v>876.05</v>
      </c>
      <c r="M8" s="391">
        <v>876.05</v>
      </c>
      <c r="N8" s="391">
        <v>876.05</v>
      </c>
      <c r="O8" s="391">
        <v>876.05</v>
      </c>
      <c r="P8" s="391">
        <v>929.85</v>
      </c>
      <c r="Q8" s="391">
        <v>929.85</v>
      </c>
      <c r="R8" s="391">
        <v>929.85</v>
      </c>
    </row>
    <row r="9" spans="1:18" s="36" customFormat="1" ht="15" customHeight="1">
      <c r="A9" s="60"/>
      <c r="B9" s="61" t="s">
        <v>455</v>
      </c>
      <c r="C9" s="8" t="s">
        <v>453</v>
      </c>
      <c r="D9" s="391"/>
      <c r="E9" s="391"/>
      <c r="F9" s="391"/>
      <c r="G9" s="391"/>
      <c r="H9" s="391"/>
      <c r="I9" s="391"/>
      <c r="J9" s="391"/>
      <c r="K9" s="391"/>
      <c r="L9" s="391"/>
      <c r="M9" s="391"/>
      <c r="N9" s="391"/>
      <c r="O9" s="391"/>
      <c r="P9" s="391"/>
      <c r="Q9" s="391"/>
      <c r="R9" s="391"/>
    </row>
    <row r="10" spans="1:18" s="36" customFormat="1" ht="15" customHeight="1">
      <c r="A10" s="60" t="s">
        <v>11</v>
      </c>
      <c r="B10" s="61" t="s">
        <v>456</v>
      </c>
      <c r="C10" s="8" t="s">
        <v>453</v>
      </c>
      <c r="D10" s="391">
        <f>'4.9_транзит КТЭЦ '!D10+'4.9_сбыт КТЭЦ  '!D10</f>
        <v>0</v>
      </c>
      <c r="E10" s="391">
        <f>'4.9_транзит КТЭЦ '!E10+'4.9_сбыт КТЭЦ  '!E10</f>
        <v>766.15</v>
      </c>
      <c r="F10" s="391">
        <f>'4.9_транзит КТЭЦ '!F10+'4.9_сбыт КТЭЦ  '!F10</f>
        <v>0</v>
      </c>
      <c r="G10" s="391">
        <v>766.15</v>
      </c>
      <c r="H10" s="391">
        <v>0</v>
      </c>
      <c r="I10" s="391"/>
      <c r="J10" s="391">
        <v>766.15</v>
      </c>
      <c r="K10" s="391">
        <v>0</v>
      </c>
      <c r="L10" s="391">
        <v>819.94999999999993</v>
      </c>
      <c r="M10" s="391">
        <v>819.94999999999993</v>
      </c>
      <c r="N10" s="391">
        <v>819.94999999999993</v>
      </c>
      <c r="O10" s="391">
        <v>819.94999999999993</v>
      </c>
      <c r="P10" s="391">
        <v>873.75</v>
      </c>
      <c r="Q10" s="391">
        <v>873.75</v>
      </c>
      <c r="R10" s="391">
        <v>873.75</v>
      </c>
    </row>
    <row r="11" spans="1:18" s="36" customFormat="1" ht="15" customHeight="1">
      <c r="A11" s="60"/>
      <c r="B11" s="61" t="s">
        <v>457</v>
      </c>
      <c r="C11" s="8" t="s">
        <v>453</v>
      </c>
      <c r="D11" s="388"/>
      <c r="E11" s="388"/>
      <c r="F11" s="388"/>
      <c r="G11" s="388"/>
      <c r="H11" s="388"/>
      <c r="I11" s="388"/>
      <c r="J11" s="388"/>
      <c r="K11" s="388"/>
      <c r="L11" s="388"/>
      <c r="M11" s="388"/>
      <c r="N11" s="388"/>
      <c r="O11" s="388"/>
      <c r="P11" s="388"/>
      <c r="Q11" s="388"/>
      <c r="R11" s="388"/>
    </row>
    <row r="12" spans="1:18" s="36" customFormat="1" ht="15" customHeight="1">
      <c r="A12" s="60" t="s">
        <v>445</v>
      </c>
      <c r="B12" s="61" t="s">
        <v>458</v>
      </c>
      <c r="C12" s="8" t="s">
        <v>453</v>
      </c>
      <c r="D12" s="391">
        <f>'4.9_транзит КТЭЦ '!D12+'4.9_сбыт КТЭЦ  '!D12</f>
        <v>0</v>
      </c>
      <c r="E12" s="391">
        <f>'4.9_транзит КТЭЦ '!E12+'4.9_сбыт КТЭЦ  '!E12</f>
        <v>687</v>
      </c>
      <c r="F12" s="391">
        <f>'4.9_транзит КТЭЦ '!F12+'4.9_сбыт КТЭЦ  '!F12</f>
        <v>0</v>
      </c>
      <c r="G12" s="391">
        <v>751.9</v>
      </c>
      <c r="H12" s="391">
        <v>0</v>
      </c>
      <c r="I12" s="391"/>
      <c r="J12" s="391">
        <v>751.9</v>
      </c>
      <c r="K12" s="391">
        <v>0</v>
      </c>
      <c r="L12" s="391">
        <v>0</v>
      </c>
      <c r="M12" s="391">
        <v>0</v>
      </c>
      <c r="N12" s="391">
        <v>0</v>
      </c>
      <c r="O12" s="391">
        <v>0</v>
      </c>
      <c r="P12" s="391">
        <v>0</v>
      </c>
      <c r="Q12" s="391">
        <v>0</v>
      </c>
      <c r="R12" s="391">
        <v>0</v>
      </c>
    </row>
    <row r="13" spans="1:18" s="36" customFormat="1" ht="15" customHeight="1">
      <c r="A13" s="60"/>
      <c r="B13" s="61" t="s">
        <v>459</v>
      </c>
      <c r="C13" s="8" t="s">
        <v>138</v>
      </c>
      <c r="D13" s="391" t="e">
        <f>D12/D8*100</f>
        <v>#DIV/0!</v>
      </c>
      <c r="E13" s="391">
        <f t="shared" ref="E13:O13" si="0">E12/E8*100</f>
        <v>83.551231377318331</v>
      </c>
      <c r="F13" s="391" t="e">
        <f t="shared" si="0"/>
        <v>#DIV/0!</v>
      </c>
      <c r="G13" s="391">
        <v>91.444207965947086</v>
      </c>
      <c r="H13" s="391" t="e">
        <v>#DIV/0!</v>
      </c>
      <c r="I13" s="391"/>
      <c r="J13" s="391">
        <v>91.444207965947086</v>
      </c>
      <c r="K13" s="391" t="e">
        <v>#DIV/0!</v>
      </c>
      <c r="L13" s="391">
        <v>0</v>
      </c>
      <c r="M13" s="391">
        <v>0</v>
      </c>
      <c r="N13" s="391">
        <v>0</v>
      </c>
      <c r="O13" s="391">
        <v>0</v>
      </c>
      <c r="P13" s="391">
        <v>0</v>
      </c>
      <c r="Q13" s="391">
        <v>0</v>
      </c>
      <c r="R13" s="391">
        <v>0</v>
      </c>
    </row>
    <row r="14" spans="1:18" s="36" customFormat="1" ht="15" customHeight="1">
      <c r="A14" s="60" t="s">
        <v>446</v>
      </c>
      <c r="B14" s="61" t="s">
        <v>460</v>
      </c>
      <c r="C14" s="8" t="s">
        <v>453</v>
      </c>
      <c r="D14" s="388"/>
      <c r="E14" s="388"/>
      <c r="F14" s="388"/>
      <c r="G14" s="388"/>
      <c r="H14" s="388"/>
      <c r="I14" s="388"/>
      <c r="J14" s="388"/>
      <c r="K14" s="388"/>
      <c r="L14" s="388"/>
      <c r="M14" s="388"/>
      <c r="N14" s="388"/>
      <c r="O14" s="388"/>
      <c r="P14" s="388"/>
      <c r="Q14" s="388"/>
      <c r="R14" s="388"/>
    </row>
    <row r="15" spans="1:18" s="36" customFormat="1" ht="15" customHeight="1">
      <c r="A15" s="60" t="s">
        <v>461</v>
      </c>
      <c r="B15" s="61" t="s">
        <v>462</v>
      </c>
      <c r="C15" s="8" t="s">
        <v>453</v>
      </c>
      <c r="D15" s="391">
        <f>'4.9_транзит КТЭЦ '!D15+'4.9_сбыт КТЭЦ  '!D15</f>
        <v>651.44603948896633</v>
      </c>
      <c r="E15" s="391">
        <f>'4.9_транзит КТЭЦ '!E15+'4.9_сбыт КТЭЦ  '!E15</f>
        <v>687</v>
      </c>
      <c r="F15" s="391">
        <f>'4.9_транзит КТЭЦ '!F15+'4.9_сбыт КТЭЦ  '!F15</f>
        <v>0</v>
      </c>
      <c r="G15" s="391">
        <v>677.6</v>
      </c>
      <c r="H15" s="391">
        <v>0</v>
      </c>
      <c r="I15" s="391"/>
      <c r="J15" s="391">
        <v>682.4</v>
      </c>
      <c r="K15" s="391">
        <v>0</v>
      </c>
      <c r="L15" s="391">
        <v>685.8</v>
      </c>
      <c r="M15" s="391">
        <v>685.8</v>
      </c>
      <c r="N15" s="391">
        <v>685.8</v>
      </c>
      <c r="O15" s="391">
        <v>685.8</v>
      </c>
      <c r="P15" s="391">
        <v>685.8</v>
      </c>
      <c r="Q15" s="391">
        <v>685.8</v>
      </c>
      <c r="R15" s="391">
        <v>685.8</v>
      </c>
    </row>
    <row r="16" spans="1:18" s="36" customFormat="1" ht="15" customHeight="1">
      <c r="A16" s="60" t="s">
        <v>23</v>
      </c>
      <c r="B16" s="61" t="s">
        <v>463</v>
      </c>
      <c r="C16" s="8"/>
      <c r="D16" s="388"/>
      <c r="E16" s="388"/>
      <c r="F16" s="388"/>
      <c r="G16" s="388"/>
      <c r="H16" s="388"/>
      <c r="I16" s="388"/>
      <c r="J16" s="388"/>
      <c r="K16" s="388"/>
      <c r="L16" s="388"/>
      <c r="M16" s="388"/>
      <c r="N16" s="388"/>
      <c r="O16" s="388"/>
      <c r="P16" s="388"/>
      <c r="Q16" s="388"/>
      <c r="R16" s="388"/>
    </row>
    <row r="17" spans="1:18" s="36" customFormat="1" ht="15" customHeight="1">
      <c r="A17" s="60" t="s">
        <v>24</v>
      </c>
      <c r="B17" s="61" t="s">
        <v>464</v>
      </c>
      <c r="C17" s="8" t="s">
        <v>465</v>
      </c>
      <c r="D17" s="337">
        <f>'4.9_пр-во КТЭЦ'!D17</f>
        <v>4535.55</v>
      </c>
      <c r="E17" s="337">
        <f>'4.9_пр-во КТЭЦ'!E17</f>
        <v>4896</v>
      </c>
      <c r="F17" s="337">
        <f>'4.9_пр-во КТЭЦ'!F17</f>
        <v>0</v>
      </c>
      <c r="G17" s="337">
        <v>5628</v>
      </c>
      <c r="H17" s="337">
        <v>0</v>
      </c>
      <c r="I17" s="337"/>
      <c r="J17" s="337">
        <v>5778</v>
      </c>
      <c r="K17" s="337">
        <v>0</v>
      </c>
      <c r="L17" s="337">
        <v>6671</v>
      </c>
      <c r="M17" s="337">
        <v>7248</v>
      </c>
      <c r="N17" s="337">
        <v>7398</v>
      </c>
      <c r="O17" s="337">
        <v>7592</v>
      </c>
      <c r="P17" s="337">
        <v>7745</v>
      </c>
      <c r="Q17" s="337">
        <v>7899</v>
      </c>
      <c r="R17" s="337">
        <v>8105</v>
      </c>
    </row>
    <row r="18" spans="1:18" s="36" customFormat="1" ht="15" customHeight="1">
      <c r="A18" s="60" t="s">
        <v>24</v>
      </c>
      <c r="B18" s="61" t="s">
        <v>466</v>
      </c>
      <c r="C18" s="8"/>
      <c r="D18" s="389">
        <f>D19/D17</f>
        <v>1.071</v>
      </c>
      <c r="E18" s="389">
        <f t="shared" ref="E18:O18" si="1">E19/E17</f>
        <v>1.0347222222222223</v>
      </c>
      <c r="F18" s="389" t="e">
        <f t="shared" si="1"/>
        <v>#DIV/0!</v>
      </c>
      <c r="G18" s="389">
        <v>1.0266524520255864</v>
      </c>
      <c r="H18" s="389" t="e">
        <v>#DIV/0!</v>
      </c>
      <c r="I18" s="389"/>
      <c r="J18" s="389">
        <v>1.1545517480096918</v>
      </c>
      <c r="K18" s="389" t="e">
        <v>#DIV/0!</v>
      </c>
      <c r="L18" s="389">
        <v>1.0864937790436215</v>
      </c>
      <c r="M18" s="389">
        <v>1.0685706401766004</v>
      </c>
      <c r="N18" s="389">
        <v>1.0262233035955663</v>
      </c>
      <c r="O18" s="389">
        <v>1.0404373024236038</v>
      </c>
      <c r="P18" s="389">
        <v>1.0589412524209167</v>
      </c>
      <c r="Q18" s="389">
        <v>1.0260792505380427</v>
      </c>
      <c r="R18" s="389">
        <v>1.0238124614435533</v>
      </c>
    </row>
    <row r="19" spans="1:18" s="36" customFormat="1" ht="30" customHeight="1">
      <c r="A19" s="60" t="s">
        <v>139</v>
      </c>
      <c r="B19" s="61" t="s">
        <v>467</v>
      </c>
      <c r="C19" s="8" t="s">
        <v>465</v>
      </c>
      <c r="D19" s="337">
        <f>'4.9_пр-во КТЭЦ'!D19</f>
        <v>4857.5740500000002</v>
      </c>
      <c r="E19" s="337">
        <f>'4.9_пр-во КТЭЦ'!E19</f>
        <v>5066</v>
      </c>
      <c r="F19" s="337">
        <f>'4.9_пр-во КТЭЦ'!F19</f>
        <v>5700</v>
      </c>
      <c r="G19" s="337">
        <v>5778</v>
      </c>
      <c r="H19" s="337">
        <v>6328</v>
      </c>
      <c r="I19" s="337"/>
      <c r="J19" s="337">
        <v>6671</v>
      </c>
      <c r="K19" s="337">
        <v>0</v>
      </c>
      <c r="L19" s="337">
        <v>7248</v>
      </c>
      <c r="M19" s="337">
        <v>7745</v>
      </c>
      <c r="N19" s="337">
        <v>7592</v>
      </c>
      <c r="O19" s="337">
        <v>7899</v>
      </c>
      <c r="P19" s="337">
        <v>8201.5</v>
      </c>
      <c r="Q19" s="337">
        <v>8105</v>
      </c>
      <c r="R19" s="337">
        <v>8298</v>
      </c>
    </row>
    <row r="20" spans="1:18" s="36" customFormat="1" ht="15" customHeight="1">
      <c r="A20" s="60" t="s">
        <v>433</v>
      </c>
      <c r="B20" s="61" t="s">
        <v>468</v>
      </c>
      <c r="C20" s="8"/>
      <c r="D20" s="251">
        <f>('4.9_транзит КТЭЦ '!$D$15*'4.9_транзит КТЭЦ '!D20+'4.9_сбыт КТЭЦ  '!$D$15*'4.9_сбыт КТЭЦ  '!D20)/'4.9_транзит+сбыт (КТЭЦ)'!$D$15</f>
        <v>8.0617056396148552</v>
      </c>
      <c r="E20" s="251">
        <v>9.2919999999999998</v>
      </c>
      <c r="F20" s="251" t="e">
        <f>('4.9_транзит КТЭЦ '!$F$15*'4.9_транзит КТЭЦ '!F20+'4.9_сбыт КТЭЦ  '!$F$15*'4.9_сбыт КТЭЦ  '!F20)/'4.9_транзит+сбыт (КТЭЦ)'!$F$15</f>
        <v>#DIV/0!</v>
      </c>
      <c r="G20" s="251">
        <v>7.8163654073199522</v>
      </c>
      <c r="H20" s="251" t="e">
        <v>#DIV/0!</v>
      </c>
      <c r="I20" s="251"/>
      <c r="J20" s="251">
        <v>0</v>
      </c>
      <c r="K20" s="251" t="e">
        <v>#DIV/0!</v>
      </c>
      <c r="L20" s="251">
        <v>0</v>
      </c>
      <c r="M20" s="251">
        <v>0</v>
      </c>
      <c r="N20" s="251">
        <v>0</v>
      </c>
      <c r="O20" s="251">
        <v>0</v>
      </c>
      <c r="P20" s="251">
        <v>0</v>
      </c>
      <c r="Q20" s="251">
        <v>0</v>
      </c>
      <c r="R20" s="251">
        <v>0</v>
      </c>
    </row>
    <row r="21" spans="1:18" s="36" customFormat="1" ht="30" customHeight="1">
      <c r="A21" s="60" t="s">
        <v>433</v>
      </c>
      <c r="B21" s="61" t="s">
        <v>469</v>
      </c>
      <c r="C21" s="8"/>
      <c r="D21" s="251">
        <f>('4.9_транзит КТЭЦ '!$D$15*'4.9_транзит КТЭЦ '!D21+'4.9_сбыт КТЭЦ  '!$D$15*'4.9_сбыт КТЭЦ  '!D21)/'4.9_транзит+сбыт (КТЭЦ)'!$D$15</f>
        <v>2.2370381705639613</v>
      </c>
      <c r="E21" s="251">
        <f>('4.9_транзит КТЭЦ '!$E$15*'4.9_транзит КТЭЦ '!E21+'4.9_сбыт КТЭЦ  '!$E$15*'4.9_сбыт КТЭЦ  '!E21)/'4.9_транзит+сбыт (КТЭЦ)'!$E$15</f>
        <v>2.2303333333333333</v>
      </c>
      <c r="F21" s="251" t="e">
        <f>('4.9_транзит КТЭЦ '!$F$15*'4.9_транзит КТЭЦ '!F21+'4.9_сбыт КТЭЦ  '!$F$15*'4.9_сбыт КТЭЦ  '!F21)/'4.9_транзит+сбыт (КТЭЦ)'!$F$15</f>
        <v>#DIV/0!</v>
      </c>
      <c r="G21" s="251">
        <v>2.2556207792207794</v>
      </c>
      <c r="H21" s="251" t="e">
        <v>#DIV/0!</v>
      </c>
      <c r="I21" s="251"/>
      <c r="J21" s="251">
        <v>2.2713012895662366</v>
      </c>
      <c r="K21" s="251" t="e">
        <v>#DIV/0!</v>
      </c>
      <c r="L21" s="251">
        <v>2.28740157480315</v>
      </c>
      <c r="M21" s="251">
        <v>2.2989102362204723</v>
      </c>
      <c r="N21" s="251">
        <v>2.2989102362204723</v>
      </c>
      <c r="O21" s="251">
        <v>2.2989102362204723</v>
      </c>
      <c r="P21" s="251">
        <v>2.2991866141732284</v>
      </c>
      <c r="Q21" s="251">
        <v>2.2991866141732284</v>
      </c>
      <c r="R21" s="251">
        <v>2.2991866141732284</v>
      </c>
    </row>
    <row r="22" spans="1:18" s="36" customFormat="1" ht="15" customHeight="1">
      <c r="A22" s="60" t="s">
        <v>433</v>
      </c>
      <c r="B22" s="61" t="s">
        <v>470</v>
      </c>
      <c r="C22" s="8" t="s">
        <v>465</v>
      </c>
      <c r="D22" s="250">
        <f>('4.9_транзит КТЭЦ '!$D$15*'4.9_транзит КТЭЦ '!D22+'4.9_сбыт КТЭЦ  '!$D$15*'4.9_сбыт КТЭЦ  '!D22)/'4.9_транзит+сбыт (КТЭЦ)'!$D$15</f>
        <v>10866.578566190972</v>
      </c>
      <c r="E22" s="250">
        <f>('4.9_транзит КТЭЦ '!$E$15*'4.9_транзит КТЭЦ '!E22+'4.9_сбыт КТЭЦ  '!$E$15*'4.9_сбыт КТЭЦ  '!E22)/'4.9_транзит+сбыт (КТЭЦ)'!$E$15</f>
        <v>11297.935333333333</v>
      </c>
      <c r="F22" s="250" t="e">
        <f>('4.9_транзит КТЭЦ '!$F$15*'4.9_транзит КТЭЦ '!F22+'4.9_сбыт КТЭЦ  '!$F$15*'4.9_сбыт КТЭЦ  '!F22)/'4.9_транзит+сбыт (КТЭЦ)'!$F$15</f>
        <v>#DIV/0!</v>
      </c>
      <c r="G22" s="250">
        <v>13032.976862337662</v>
      </c>
      <c r="H22" s="250" t="e">
        <v>#DIV/0!</v>
      </c>
      <c r="I22" s="250"/>
      <c r="J22" s="250">
        <v>15151.850902696366</v>
      </c>
      <c r="K22" s="250" t="e">
        <v>#DIV/0!</v>
      </c>
      <c r="L22" s="250">
        <v>16579.086614173229</v>
      </c>
      <c r="M22" s="250">
        <v>17803.059779527557</v>
      </c>
      <c r="N22" s="250">
        <v>17454.326513385829</v>
      </c>
      <c r="O22" s="250">
        <v>18159.091955905515</v>
      </c>
      <c r="P22" s="250">
        <v>18856.779016141732</v>
      </c>
      <c r="Q22" s="250">
        <v>18634.907507874017</v>
      </c>
      <c r="R22" s="250">
        <v>19078.650524409448</v>
      </c>
    </row>
    <row r="23" spans="1:18" s="36" customFormat="1" ht="30" customHeight="1">
      <c r="A23" s="60" t="s">
        <v>471</v>
      </c>
      <c r="B23" s="61" t="s">
        <v>472</v>
      </c>
      <c r="C23" s="8"/>
      <c r="D23" s="388"/>
      <c r="E23" s="388"/>
      <c r="F23" s="388"/>
      <c r="G23" s="388"/>
      <c r="H23" s="388"/>
      <c r="I23" s="388"/>
      <c r="J23" s="388"/>
      <c r="K23" s="388"/>
      <c r="L23" s="388"/>
      <c r="M23" s="388"/>
      <c r="N23" s="388"/>
      <c r="O23" s="388"/>
      <c r="P23" s="388"/>
      <c r="Q23" s="388"/>
      <c r="R23" s="388"/>
    </row>
    <row r="24" spans="1:18" s="36" customFormat="1" ht="15" customHeight="1">
      <c r="A24" s="60"/>
      <c r="B24" s="70" t="s">
        <v>473</v>
      </c>
      <c r="C24" s="8" t="s">
        <v>138</v>
      </c>
      <c r="D24" s="251">
        <f>('4.9_транзит КТЭЦ '!$D$15*'4.9_транзит КТЭЦ '!D24+'4.9_сбыт КТЭЦ  '!$D$15*'4.9_сбыт КТЭЦ  '!D24)/'4.9_транзит+сбыт (КТЭЦ)'!$D$15</f>
        <v>17.972205410362221</v>
      </c>
      <c r="E24" s="251">
        <f>('4.9_транзит КТЭЦ '!$E$15*'4.9_транзит КТЭЦ '!E24+'4.9_сбыт КТЭЦ  '!$E$15*'4.9_сбыт КТЭЦ  '!E24)/'4.9_транзит+сбыт (КТЭЦ)'!$E$15</f>
        <v>17.272466666666666</v>
      </c>
      <c r="F24" s="251" t="e">
        <f>('4.9_транзит КТЭЦ '!$F$15*'4.9_транзит КТЭЦ '!F24+'4.9_сбыт КТЭЦ  '!$F$15*'4.9_сбыт КТЭЦ  '!F24)/'4.9_транзит+сбыт (КТЭЦ)'!$F$15</f>
        <v>#DIV/0!</v>
      </c>
      <c r="G24" s="251">
        <v>18.649580283353011</v>
      </c>
      <c r="H24" s="251" t="e">
        <v>#DIV/0!</v>
      </c>
      <c r="I24" s="251"/>
      <c r="J24" s="251">
        <v>13.323444314185229</v>
      </c>
      <c r="K24" s="251" t="e">
        <v>#DIV/0!</v>
      </c>
      <c r="L24" s="251">
        <v>12.632047244094487</v>
      </c>
      <c r="M24" s="251">
        <v>12.632047244094487</v>
      </c>
      <c r="N24" s="251">
        <v>12.632047244094487</v>
      </c>
      <c r="O24" s="251">
        <v>12.632047244094487</v>
      </c>
      <c r="P24" s="251">
        <v>12.632047244094487</v>
      </c>
      <c r="Q24" s="251">
        <v>12.632047244094487</v>
      </c>
      <c r="R24" s="251">
        <v>12.632047244094487</v>
      </c>
    </row>
    <row r="25" spans="1:18" s="36" customFormat="1" ht="15" customHeight="1">
      <c r="A25" s="60"/>
      <c r="B25" s="70" t="s">
        <v>474</v>
      </c>
      <c r="C25" s="8" t="s">
        <v>465</v>
      </c>
      <c r="D25" s="250">
        <f>('4.9_транзит КТЭЦ '!$D$15*'4.9_транзит КТЭЦ '!D25+'4.9_сбыт КТЭЦ  '!$D$15*'4.9_сбыт КТЭЦ  '!D25)/'4.9_транзит+сбыт (КТЭЦ)'!$D$15</f>
        <v>1930.9975646218581</v>
      </c>
      <c r="E25" s="250">
        <f>('4.9_транзит КТЭЦ '!$E$15*'4.9_транзит КТЭЦ '!E25+'4.9_сбыт КТЭЦ  '!$E$15*'4.9_сбыт КТЭЦ  '!E25)/'4.9_транзит+сбыт (КТЭЦ)'!$E$15</f>
        <v>1842.4768823080001</v>
      </c>
      <c r="F25" s="250" t="e">
        <f>('4.9_транзит КТЭЦ '!$F$15*'4.9_транзит КТЭЦ '!F25+'4.9_сбыт КТЭЦ  '!$F$15*'4.9_сбыт КТЭЦ  '!F25)/'4.9_транзит+сбыт (КТЭЦ)'!$F$15</f>
        <v>#DIV/0!</v>
      </c>
      <c r="G25" s="250">
        <v>2271.3186840627914</v>
      </c>
      <c r="H25" s="250" t="e">
        <v>#DIV/0!</v>
      </c>
      <c r="I25" s="250"/>
      <c r="J25" s="250">
        <v>1925.8710433763188</v>
      </c>
      <c r="K25" s="250" t="e">
        <v>#DIV/0!</v>
      </c>
      <c r="L25" s="250">
        <v>2016.7637795275589</v>
      </c>
      <c r="M25" s="250">
        <v>2163.4881889763778</v>
      </c>
      <c r="N25" s="250">
        <v>2121.0157480314961</v>
      </c>
      <c r="O25" s="250">
        <v>2206.0393700787399</v>
      </c>
      <c r="P25" s="250">
        <v>2290.9842519685039</v>
      </c>
      <c r="Q25" s="250">
        <v>2264.5905511811025</v>
      </c>
      <c r="R25" s="250">
        <v>2318.2204724409448</v>
      </c>
    </row>
    <row r="26" spans="1:18" s="36" customFormat="1" ht="15" customHeight="1">
      <c r="A26" s="60" t="s">
        <v>475</v>
      </c>
      <c r="B26" s="61" t="s">
        <v>476</v>
      </c>
      <c r="C26" s="8"/>
      <c r="D26" s="337"/>
      <c r="E26" s="337"/>
      <c r="F26" s="337"/>
      <c r="G26" s="337"/>
      <c r="H26" s="337"/>
      <c r="I26" s="337"/>
      <c r="J26" s="337"/>
      <c r="K26" s="337"/>
      <c r="L26" s="337"/>
      <c r="M26" s="337"/>
      <c r="N26" s="337"/>
      <c r="O26" s="337"/>
      <c r="P26" s="337"/>
      <c r="Q26" s="337"/>
      <c r="R26" s="337"/>
    </row>
    <row r="27" spans="1:18" s="36" customFormat="1" ht="15" customHeight="1">
      <c r="A27" s="60"/>
      <c r="B27" s="70" t="s">
        <v>473</v>
      </c>
      <c r="C27" s="8" t="s">
        <v>138</v>
      </c>
      <c r="D27" s="947">
        <f>('4.9_транзит КТЭЦ '!$D$15*'4.9_транзит КТЭЦ '!D27+'4.9_сбыт КТЭЦ  '!$D$15*'4.9_сбыт КТЭЦ  '!D27)/'4.9_транзит+сбыт (КТЭЦ)'!$D$15</f>
        <v>49.999999999999993</v>
      </c>
      <c r="E27" s="947">
        <f>('4.9_транзит КТЭЦ '!$E$15*'4.9_транзит КТЭЦ '!E27+'4.9_сбыт КТЭЦ  '!$E$15*'4.9_сбыт КТЭЦ  '!E27)/'4.9_транзит+сбыт (КТЭЦ)'!$E$15</f>
        <v>47.687999999999995</v>
      </c>
      <c r="F27" s="947" t="e">
        <f>('4.9_транзит КТЭЦ '!$F$15*'4.9_транзит КТЭЦ '!F27+'4.9_сбыт КТЭЦ  '!$F$15*'4.9_сбыт КТЭЦ  '!F27)/'4.9_транзит+сбыт (КТЭЦ)'!$F$15</f>
        <v>#DIV/0!</v>
      </c>
      <c r="G27" s="947">
        <v>48.417727272727269</v>
      </c>
      <c r="H27" s="251" t="e">
        <v>#DIV/0!</v>
      </c>
      <c r="I27" s="251"/>
      <c r="J27" s="251">
        <v>47.486740914419698</v>
      </c>
      <c r="K27" s="251" t="e">
        <v>#DIV/0!</v>
      </c>
      <c r="L27" s="251">
        <v>47.02948818897638</v>
      </c>
      <c r="M27" s="947">
        <v>50</v>
      </c>
      <c r="N27" s="947">
        <v>50</v>
      </c>
      <c r="O27" s="947">
        <v>50</v>
      </c>
      <c r="P27" s="251">
        <v>50</v>
      </c>
      <c r="Q27" s="251">
        <v>50</v>
      </c>
      <c r="R27" s="251">
        <v>50</v>
      </c>
    </row>
    <row r="28" spans="1:18" s="36" customFormat="1" ht="15" customHeight="1">
      <c r="A28" s="60"/>
      <c r="B28" s="70" t="s">
        <v>474</v>
      </c>
      <c r="C28" s="8" t="s">
        <v>465</v>
      </c>
      <c r="D28" s="250">
        <f>('4.9_транзит КТЭЦ '!$D$15*'4.9_транзит КТЭЦ '!D28+'4.9_сбыт КТЭЦ  '!$D$15*'4.9_сбыт КТЭЦ  '!D28)/'4.9_транзит+сбыт (КТЭЦ)'!$D$15</f>
        <v>6398.7880654064147</v>
      </c>
      <c r="E28" s="250">
        <f>('4.9_транзит КТЭЦ '!$E$15*'4.9_транзит КТЭЦ '!E28+'4.9_сбыт КТЭЦ  '!$E$15*'4.9_сбыт КТЭЦ  '!E28)/'4.9_транзит+сбыт (КТЭЦ)'!$E$15</f>
        <v>6211.679925499403</v>
      </c>
      <c r="F28" s="250" t="e">
        <f>('4.9_транзит КТЭЦ '!$F$15*'4.9_транзит КТЭЦ '!F28+'4.9_сбыт КТЭЦ  '!$F$15*'4.9_сбыт КТЭЦ  '!F28)/'4.9_транзит+сбыт (КТЭЦ)'!$F$15</f>
        <v>#DIV/0!</v>
      </c>
      <c r="G28" s="250">
        <v>7400.8718907518405</v>
      </c>
      <c r="H28" s="250" t="e">
        <v>#DIV/0!</v>
      </c>
      <c r="I28" s="250"/>
      <c r="J28" s="250">
        <v>8090.8042203985933</v>
      </c>
      <c r="K28" s="250" t="e">
        <v>#DIV/0!</v>
      </c>
      <c r="L28" s="250">
        <v>8778.2992125984256</v>
      </c>
      <c r="M28" s="250">
        <v>9983.3370078740154</v>
      </c>
      <c r="N28" s="250">
        <v>9786.8976377952749</v>
      </c>
      <c r="O28" s="250">
        <v>10182.212598425196</v>
      </c>
      <c r="P28" s="250">
        <v>10573.897637795277</v>
      </c>
      <c r="Q28" s="250">
        <v>10449.370078740158</v>
      </c>
      <c r="R28" s="250">
        <v>10698.346456692914</v>
      </c>
    </row>
    <row r="29" spans="1:18" s="36" customFormat="1" ht="15" customHeight="1">
      <c r="A29" s="60" t="s">
        <v>477</v>
      </c>
      <c r="B29" s="61" t="s">
        <v>478</v>
      </c>
      <c r="C29" s="8"/>
      <c r="D29" s="337"/>
      <c r="E29" s="337"/>
      <c r="F29" s="337"/>
      <c r="G29" s="337"/>
      <c r="H29" s="337"/>
      <c r="I29" s="337"/>
      <c r="J29" s="337"/>
      <c r="K29" s="337"/>
      <c r="L29" s="337"/>
      <c r="M29" s="337"/>
      <c r="N29" s="337"/>
      <c r="O29" s="337"/>
      <c r="P29" s="337"/>
      <c r="Q29" s="337"/>
      <c r="R29" s="337"/>
    </row>
    <row r="30" spans="1:18" s="36" customFormat="1" ht="15" customHeight="1">
      <c r="A30" s="60"/>
      <c r="B30" s="70" t="s">
        <v>473</v>
      </c>
      <c r="C30" s="8" t="s">
        <v>138</v>
      </c>
      <c r="D30" s="251">
        <f>('4.9_транзит КТЭЦ '!$D$15*'4.9_транзит КТЭЦ '!D30+'4.9_сбыт КТЭЦ  '!$D$15*'4.9_сбыт КТЭЦ  '!D30)/'4.9_транзит+сбыт (КТЭЦ)'!$D$15</f>
        <v>10.46099037138927</v>
      </c>
      <c r="E30" s="251">
        <f>('4.9_транзит КТЭЦ '!$E$15*'4.9_транзит КТЭЦ '!E30+'4.9_сбыт КТЭЦ  '!$E$15*'4.9_сбыт КТЭЦ  '!E30)/'4.9_транзит+сбыт (КТЭЦ)'!$E$15</f>
        <v>10.383333333333335</v>
      </c>
      <c r="F30" s="251" t="e">
        <f>('4.9_транзит КТЭЦ '!$F$15*'4.9_транзит КТЭЦ '!F30+'4.9_сбыт КТЭЦ  '!$F$15*'4.9_сбыт КТЭЦ  '!F30)/'4.9_транзит+сбыт (КТЭЦ)'!$F$15</f>
        <v>#DIV/0!</v>
      </c>
      <c r="G30" s="251">
        <v>10.451781582054309</v>
      </c>
      <c r="H30" s="251" t="e">
        <v>#DIV/0!</v>
      </c>
      <c r="I30" s="251"/>
      <c r="J30" s="251">
        <v>10.749063305978899</v>
      </c>
      <c r="K30" s="251" t="e">
        <v>#DIV/0!</v>
      </c>
      <c r="L30" s="251">
        <v>10.75759842519685</v>
      </c>
      <c r="M30" s="251">
        <v>10.860236220472441</v>
      </c>
      <c r="N30" s="251">
        <v>10.860236220472441</v>
      </c>
      <c r="O30" s="251">
        <v>10.860236220472441</v>
      </c>
      <c r="P30" s="251">
        <v>10.860236220472441</v>
      </c>
      <c r="Q30" s="251">
        <v>10.860236220472441</v>
      </c>
      <c r="R30" s="251">
        <v>10.860236220472441</v>
      </c>
    </row>
    <row r="31" spans="1:18" s="36" customFormat="1" ht="15" customHeight="1">
      <c r="A31" s="60"/>
      <c r="B31" s="70" t="s">
        <v>474</v>
      </c>
      <c r="C31" s="8" t="s">
        <v>465</v>
      </c>
      <c r="D31" s="250">
        <f>('4.9_транзит КТЭЦ '!$D$15*'4.9_транзит КТЭЦ '!D31+'4.9_сбыт КТЭЦ  '!$D$15*'4.9_сбыт КТЭЦ  '!D31)/'4.9_транзит+сбыт (КТЭЦ)'!$D$15</f>
        <v>1337.3676708353396</v>
      </c>
      <c r="E31" s="250">
        <f>('4.9_транзит КТЭЦ '!$E$15*'4.9_транзит КТЭЦ '!E31+'4.9_сбыт КТЭЦ  '!$E$15*'4.9_сбыт КТЭЦ  '!E31)/'4.9_транзит+сбыт (КТЭЦ)'!$E$15</f>
        <v>1338.230062462563</v>
      </c>
      <c r="F31" s="250" t="e">
        <f>('4.9_транзит КТЭЦ '!$F$15*'4.9_транзит КТЭЦ '!F31+'4.9_сбыт КТЭЦ  '!$F$15*'4.9_сбыт КТЭЦ  '!F31)/'4.9_транзит+сбыт (КТЭЦ)'!$F$15</f>
        <v>#DIV/0!</v>
      </c>
      <c r="G31" s="250">
        <v>1565.2864977793554</v>
      </c>
      <c r="H31" s="250" t="e">
        <v>#DIV/0!</v>
      </c>
      <c r="I31" s="250"/>
      <c r="J31" s="250">
        <v>1815.0679953106683</v>
      </c>
      <c r="K31" s="250" t="e">
        <v>#DIV/0!</v>
      </c>
      <c r="L31" s="250">
        <v>1977.0551181102362</v>
      </c>
      <c r="M31" s="250">
        <v>2143.196850393701</v>
      </c>
      <c r="N31" s="250">
        <v>2100.9133858267714</v>
      </c>
      <c r="O31" s="250">
        <v>2186.48031496063</v>
      </c>
      <c r="P31" s="250">
        <v>2269.9685039370079</v>
      </c>
      <c r="Q31" s="250">
        <v>2243.4724409448818</v>
      </c>
      <c r="R31" s="250">
        <v>2297.3070866141734</v>
      </c>
    </row>
    <row r="32" spans="1:18" s="36" customFormat="1" ht="15" customHeight="1">
      <c r="A32" s="60" t="s">
        <v>479</v>
      </c>
      <c r="B32" s="61" t="s">
        <v>480</v>
      </c>
      <c r="C32" s="8"/>
      <c r="D32" s="337"/>
      <c r="E32" s="337"/>
      <c r="F32" s="337"/>
      <c r="G32" s="337"/>
      <c r="H32" s="337"/>
      <c r="I32" s="337"/>
      <c r="J32" s="337"/>
      <c r="K32" s="337"/>
      <c r="L32" s="337"/>
      <c r="M32" s="337"/>
      <c r="N32" s="337"/>
      <c r="O32" s="337"/>
      <c r="P32" s="337"/>
      <c r="Q32" s="337"/>
      <c r="R32" s="337"/>
    </row>
    <row r="33" spans="1:18" s="36" customFormat="1" ht="15" customHeight="1">
      <c r="A33" s="60"/>
      <c r="B33" s="70" t="s">
        <v>473</v>
      </c>
      <c r="C33" s="8" t="s">
        <v>138</v>
      </c>
      <c r="D33" s="251">
        <f>('4.9_транзит КТЭЦ '!$D$15*'4.9_транзит КТЭЦ '!D33+'4.9_сбыт КТЭЦ  '!$D$15*'4.9_сбыт КТЭЦ  '!D33)/'4.9_транзит+сбыт (КТЭЦ)'!$D$15</f>
        <v>0</v>
      </c>
      <c r="E33" s="251">
        <f>('4.9_транзит КТЭЦ '!$E$15*'4.9_транзит КТЭЦ '!E33+'4.9_сбыт КТЭЦ  '!$E$15*'4.9_сбыт КТЭЦ  '!E33)/'4.9_транзит+сбыт (КТЭЦ)'!$E$15</f>
        <v>0</v>
      </c>
      <c r="F33" s="251" t="e">
        <f>('4.9_транзит КТЭЦ '!$F$15*'4.9_транзит КТЭЦ '!F33+'4.9_сбыт КТЭЦ  '!$F$15*'4.9_сбыт КТЭЦ  '!F33)/'4.9_транзит+сбыт (КТЭЦ)'!$F$15</f>
        <v>#DIV/0!</v>
      </c>
      <c r="G33" s="251">
        <v>0</v>
      </c>
      <c r="H33" s="251" t="e">
        <v>#DIV/0!</v>
      </c>
      <c r="I33" s="251"/>
      <c r="J33" s="251">
        <v>0</v>
      </c>
      <c r="K33" s="251" t="e">
        <v>#DIV/0!</v>
      </c>
      <c r="L33" s="251">
        <v>0</v>
      </c>
      <c r="M33" s="251">
        <v>0</v>
      </c>
      <c r="N33" s="251">
        <v>0</v>
      </c>
      <c r="O33" s="251">
        <v>0</v>
      </c>
      <c r="P33" s="251">
        <v>0</v>
      </c>
      <c r="Q33" s="251">
        <v>0</v>
      </c>
      <c r="R33" s="251">
        <v>0</v>
      </c>
    </row>
    <row r="34" spans="1:18" s="36" customFormat="1" ht="15" customHeight="1">
      <c r="A34" s="60"/>
      <c r="B34" s="70" t="s">
        <v>474</v>
      </c>
      <c r="C34" s="8" t="s">
        <v>465</v>
      </c>
      <c r="D34" s="250">
        <f>('4.9_транзит КТЭЦ '!$D$15*'4.9_транзит КТЭЦ '!D34+'4.9_сбыт КТЭЦ  '!$D$15*'4.9_сбыт КТЭЦ  '!D34)/'4.9_транзит+сбыт (КТЭЦ)'!$D$15</f>
        <v>0</v>
      </c>
      <c r="E34" s="250">
        <f>('4.9_транзит КТЭЦ '!$E$15*'4.9_транзит КТЭЦ '!E34+'4.9_сбыт КТЭЦ  '!$E$15*'4.9_сбыт КТЭЦ  '!E34)/'4.9_транзит+сбыт (КТЭЦ)'!$E$15</f>
        <v>128.07999999999998</v>
      </c>
      <c r="F34" s="250" t="e">
        <f>('4.9_транзит КТЭЦ '!$F$15*'4.9_транзит КТЭЦ '!F34+'4.9_сбыт КТЭЦ  '!$F$15*'4.9_сбыт КТЭЦ  '!F34)/'4.9_транзит+сбыт (КТЭЦ)'!$F$15</f>
        <v>#DIV/0!</v>
      </c>
      <c r="G34" s="250">
        <v>0</v>
      </c>
      <c r="H34" s="250" t="e">
        <v>#DIV/0!</v>
      </c>
      <c r="I34" s="250"/>
      <c r="J34" s="250">
        <v>0</v>
      </c>
      <c r="K34" s="250" t="e">
        <v>#DIV/0!</v>
      </c>
      <c r="L34" s="250">
        <v>0</v>
      </c>
      <c r="M34" s="250">
        <v>0</v>
      </c>
      <c r="N34" s="250">
        <v>0</v>
      </c>
      <c r="O34" s="250">
        <v>0</v>
      </c>
      <c r="P34" s="250">
        <v>0</v>
      </c>
      <c r="Q34" s="250">
        <v>0</v>
      </c>
      <c r="R34" s="250">
        <v>0</v>
      </c>
    </row>
    <row r="35" spans="1:18" s="36" customFormat="1" hidden="1">
      <c r="A35" s="60" t="s">
        <v>481</v>
      </c>
      <c r="B35" s="61"/>
      <c r="C35" s="8"/>
      <c r="D35" s="337"/>
      <c r="E35" s="337"/>
      <c r="F35" s="337"/>
      <c r="G35" s="337"/>
      <c r="H35" s="337"/>
      <c r="I35" s="337"/>
      <c r="J35" s="337"/>
      <c r="K35" s="337"/>
      <c r="L35" s="337"/>
      <c r="M35" s="337"/>
      <c r="N35" s="337"/>
      <c r="O35" s="337"/>
      <c r="P35" s="337"/>
      <c r="Q35" s="337"/>
      <c r="R35" s="337"/>
    </row>
    <row r="36" spans="1:18" s="36" customFormat="1" ht="15" hidden="1" customHeight="1">
      <c r="A36" s="60"/>
      <c r="B36" s="70" t="s">
        <v>473</v>
      </c>
      <c r="C36" s="8" t="s">
        <v>138</v>
      </c>
      <c r="D36" s="251">
        <f>('4.9_транзит КТЭЦ '!$D$15*'4.9_транзит КТЭЦ '!D36+'4.9_сбыт КТЭЦ  '!$D$15*'4.9_сбыт КТЭЦ  '!D36)/'4.9_транзит+сбыт (КТЭЦ)'!$D$15</f>
        <v>0</v>
      </c>
      <c r="E36" s="251">
        <f>('4.9_транзит КТЭЦ '!$E$15*'4.9_транзит КТЭЦ '!E36+'4.9_сбыт КТЭЦ  '!$E$15*'4.9_сбыт КТЭЦ  '!E36)/'4.9_транзит+сбыт (КТЭЦ)'!$E$15</f>
        <v>0</v>
      </c>
      <c r="F36" s="251" t="e">
        <f>('4.9_транзит КТЭЦ '!$F$15*'4.9_транзит КТЭЦ '!F36+'4.9_сбыт КТЭЦ  '!$F$15*'4.9_сбыт КТЭЦ  '!F36)/'4.9_транзит+сбыт (КТЭЦ)'!$F$15</f>
        <v>#DIV/0!</v>
      </c>
      <c r="G36" s="251">
        <v>0</v>
      </c>
      <c r="H36" s="251">
        <v>0</v>
      </c>
      <c r="I36" s="251"/>
      <c r="J36" s="251">
        <v>0</v>
      </c>
      <c r="K36" s="251"/>
      <c r="L36" s="251"/>
      <c r="M36" s="251">
        <v>0</v>
      </c>
      <c r="N36" s="251">
        <v>0</v>
      </c>
      <c r="O36" s="251">
        <v>0</v>
      </c>
      <c r="P36" s="251">
        <v>0</v>
      </c>
      <c r="Q36" s="251">
        <v>0</v>
      </c>
      <c r="R36" s="251">
        <v>0</v>
      </c>
    </row>
    <row r="37" spans="1:18" s="36" customFormat="1" ht="15" hidden="1" customHeight="1">
      <c r="A37" s="60"/>
      <c r="B37" s="70" t="s">
        <v>474</v>
      </c>
      <c r="C37" s="8" t="s">
        <v>465</v>
      </c>
      <c r="D37" s="250">
        <f>('4.9_транзит КТЭЦ '!$D$15*'4.9_транзит КТЭЦ '!D37+'4.9_сбыт КТЭЦ  '!$D$15*'4.9_сбыт КТЭЦ  '!D37)/'4.9_транзит+сбыт (КТЭЦ)'!$D$15</f>
        <v>0</v>
      </c>
      <c r="E37" s="250">
        <f>('4.9_транзит КТЭЦ '!$E$15*'4.9_транзит КТЭЦ '!E37+'4.9_сбыт КТЭЦ  '!$E$15*'4.9_сбыт КТЭЦ  '!E37)/'4.9_транзит+сбыт (КТЭЦ)'!$E$15</f>
        <v>0</v>
      </c>
      <c r="F37" s="250" t="e">
        <f>('4.9_транзит КТЭЦ '!$F$15*'4.9_транзит КТЭЦ '!F37+'4.9_сбыт КТЭЦ  '!$F$15*'4.9_сбыт КТЭЦ  '!F37)/'4.9_транзит+сбыт (КТЭЦ)'!$F$15</f>
        <v>#DIV/0!</v>
      </c>
      <c r="G37" s="250">
        <v>0</v>
      </c>
      <c r="H37" s="250">
        <v>0</v>
      </c>
      <c r="I37" s="250"/>
      <c r="J37" s="250">
        <v>0</v>
      </c>
      <c r="K37" s="250"/>
      <c r="L37" s="250"/>
      <c r="M37" s="250">
        <v>0</v>
      </c>
      <c r="N37" s="250">
        <v>0</v>
      </c>
      <c r="O37" s="250">
        <v>0</v>
      </c>
      <c r="P37" s="250">
        <v>0</v>
      </c>
      <c r="Q37" s="250">
        <v>0</v>
      </c>
      <c r="R37" s="250">
        <v>0</v>
      </c>
    </row>
    <row r="38" spans="1:18" s="36" customFormat="1" hidden="1">
      <c r="A38" s="60" t="s">
        <v>482</v>
      </c>
      <c r="B38" s="61"/>
      <c r="C38" s="8"/>
      <c r="D38" s="388"/>
      <c r="E38" s="388"/>
      <c r="F38" s="388"/>
      <c r="G38" s="388"/>
      <c r="H38" s="388"/>
      <c r="I38" s="388"/>
      <c r="J38" s="388"/>
      <c r="K38" s="388"/>
      <c r="L38" s="388"/>
      <c r="M38" s="388"/>
      <c r="N38" s="388"/>
      <c r="O38" s="388"/>
      <c r="P38" s="388"/>
      <c r="Q38" s="388"/>
      <c r="R38" s="388"/>
    </row>
    <row r="39" spans="1:18" s="36" customFormat="1" ht="15" hidden="1" customHeight="1">
      <c r="A39" s="60"/>
      <c r="B39" s="70" t="s">
        <v>473</v>
      </c>
      <c r="C39" s="8" t="s">
        <v>138</v>
      </c>
      <c r="D39" s="251">
        <f>('4.9_транзит КТЭЦ '!$D$15*'4.9_транзит КТЭЦ '!D39+'4.9_сбыт КТЭЦ  '!$D$15*'4.9_сбыт КТЭЦ  '!D39)/'4.9_транзит+сбыт (КТЭЦ)'!$D$15</f>
        <v>0</v>
      </c>
      <c r="E39" s="251">
        <f>('4.9_транзит КТЭЦ '!$E$15*'4.9_транзит КТЭЦ '!E39+'4.9_сбыт КТЭЦ  '!$E$15*'4.9_сбыт КТЭЦ  '!E39)/'4.9_транзит+сбыт (КТЭЦ)'!$E$15</f>
        <v>0</v>
      </c>
      <c r="F39" s="251" t="e">
        <f>('4.9_транзит КТЭЦ '!$F$15*'4.9_транзит КТЭЦ '!F39+'4.9_сбыт КТЭЦ  '!$F$15*'4.9_сбыт КТЭЦ  '!F39)/'4.9_транзит+сбыт (КТЭЦ)'!$F$15</f>
        <v>#DIV/0!</v>
      </c>
      <c r="G39" s="251">
        <v>0</v>
      </c>
      <c r="H39" s="251">
        <v>0</v>
      </c>
      <c r="I39" s="251"/>
      <c r="J39" s="251">
        <v>0</v>
      </c>
      <c r="K39" s="251"/>
      <c r="L39" s="251"/>
      <c r="M39" s="251">
        <v>0</v>
      </c>
      <c r="N39" s="251">
        <v>0</v>
      </c>
      <c r="O39" s="251">
        <v>0</v>
      </c>
      <c r="P39" s="251">
        <v>0</v>
      </c>
      <c r="Q39" s="251">
        <v>0</v>
      </c>
      <c r="R39" s="251">
        <v>0</v>
      </c>
    </row>
    <row r="40" spans="1:18" s="36" customFormat="1" ht="15" hidden="1" customHeight="1">
      <c r="A40" s="60"/>
      <c r="B40" s="70" t="s">
        <v>474</v>
      </c>
      <c r="C40" s="8" t="s">
        <v>465</v>
      </c>
      <c r="D40" s="250">
        <f>('4.9_транзит КТЭЦ '!$D$15*'4.9_транзит КТЭЦ '!D40+'4.9_сбыт КТЭЦ  '!$D$15*'4.9_сбыт КТЭЦ  '!D40)/'4.9_транзит+сбыт (КТЭЦ)'!$D$15</f>
        <v>0</v>
      </c>
      <c r="E40" s="250">
        <f>('4.9_транзит КТЭЦ '!$E$15*'4.9_транзит КТЭЦ '!E40+'4.9_сбыт КТЭЦ  '!$E$15*'4.9_сбыт КТЭЦ  '!E40)/'4.9_транзит+сбыт (КТЭЦ)'!$E$15</f>
        <v>0</v>
      </c>
      <c r="F40" s="250" t="e">
        <f>('4.9_транзит КТЭЦ '!$F$15*'4.9_транзит КТЭЦ '!F40+'4.9_сбыт КТЭЦ  '!$F$15*'4.9_сбыт КТЭЦ  '!F40)/'4.9_транзит+сбыт (КТЭЦ)'!$F$15</f>
        <v>#DIV/0!</v>
      </c>
      <c r="G40" s="250">
        <v>0</v>
      </c>
      <c r="H40" s="250">
        <v>0</v>
      </c>
      <c r="I40" s="250"/>
      <c r="J40" s="250">
        <v>0</v>
      </c>
      <c r="K40" s="250"/>
      <c r="L40" s="250"/>
      <c r="M40" s="250">
        <v>0</v>
      </c>
      <c r="N40" s="250">
        <v>0</v>
      </c>
      <c r="O40" s="250">
        <v>0</v>
      </c>
      <c r="P40" s="250">
        <v>0</v>
      </c>
      <c r="Q40" s="250">
        <v>0</v>
      </c>
      <c r="R40" s="250">
        <v>0</v>
      </c>
    </row>
    <row r="41" spans="1:18" s="36" customFormat="1" ht="30" customHeight="1">
      <c r="A41" s="60" t="s">
        <v>483</v>
      </c>
      <c r="B41" s="61" t="s">
        <v>484</v>
      </c>
      <c r="C41" s="8"/>
      <c r="D41" s="388"/>
      <c r="E41" s="388"/>
      <c r="F41" s="388"/>
      <c r="G41" s="388"/>
      <c r="H41" s="388"/>
      <c r="I41" s="388"/>
      <c r="J41" s="388"/>
      <c r="K41" s="388"/>
      <c r="L41" s="388"/>
      <c r="M41" s="388"/>
      <c r="N41" s="388"/>
      <c r="O41" s="388"/>
      <c r="P41" s="388"/>
      <c r="Q41" s="388"/>
      <c r="R41" s="388"/>
    </row>
    <row r="42" spans="1:18" s="36" customFormat="1" ht="15" customHeight="1">
      <c r="A42" s="60"/>
      <c r="B42" s="70" t="s">
        <v>473</v>
      </c>
      <c r="C42" s="8" t="s">
        <v>138</v>
      </c>
      <c r="D42" s="337">
        <v>160</v>
      </c>
      <c r="E42" s="337">
        <v>160</v>
      </c>
      <c r="F42" s="337">
        <v>160</v>
      </c>
      <c r="G42" s="337">
        <v>160</v>
      </c>
      <c r="H42" s="337">
        <v>160</v>
      </c>
      <c r="I42" s="337"/>
      <c r="J42" s="337">
        <v>160</v>
      </c>
      <c r="K42" s="337">
        <v>160</v>
      </c>
      <c r="L42" s="337">
        <v>160</v>
      </c>
      <c r="M42" s="337">
        <v>160</v>
      </c>
      <c r="N42" s="337">
        <v>160</v>
      </c>
      <c r="O42" s="337">
        <v>160</v>
      </c>
      <c r="P42" s="337">
        <v>160</v>
      </c>
      <c r="Q42" s="337">
        <v>160</v>
      </c>
      <c r="R42" s="337">
        <v>160</v>
      </c>
    </row>
    <row r="43" spans="1:18" s="36" customFormat="1" ht="15" customHeight="1">
      <c r="A43" s="60"/>
      <c r="B43" s="70" t="s">
        <v>474</v>
      </c>
      <c r="C43" s="8" t="s">
        <v>465</v>
      </c>
      <c r="D43" s="250">
        <f>('4.9_транзит КТЭЦ '!$D$15*'4.9_транзит КТЭЦ '!D43+'4.9_сбыт КТЭЦ  '!$D$15*'4.9_сбыт КТЭЦ  '!D43)/'4.9_транзит+сбыт (КТЭЦ)'!$D$15</f>
        <v>32854.869199116765</v>
      </c>
      <c r="E43" s="250">
        <f>('4.9_транзит КТЭЦ '!$E$15*'4.9_транзит КТЭЦ '!E43+'4.9_сбыт КТЭЦ  '!$E$15*'4.9_сбыт КТЭЦ  '!E43)/'4.9_транзит+сбыт (КТЭЦ)'!$E$15</f>
        <v>33104.559259098613</v>
      </c>
      <c r="F43" s="250" t="e">
        <f>('4.9_транзит КТЭЦ '!$F$15*'4.9_транзит КТЭЦ '!F43+'4.9_сбыт КТЭЦ  '!$F$15*'4.9_сбыт КТЭЦ  '!F43)/'4.9_транзит+сбыт (КТЭЦ)'!$F$15</f>
        <v>#DIV/0!</v>
      </c>
      <c r="G43" s="250">
        <v>38831.289955867032</v>
      </c>
      <c r="H43" s="250" t="e">
        <v>#DIV/0!</v>
      </c>
      <c r="I43" s="250"/>
      <c r="J43" s="250">
        <v>43173.771395076197</v>
      </c>
      <c r="K43" s="250" t="e">
        <v>#DIV/0!</v>
      </c>
      <c r="L43" s="250">
        <v>46961.448818897639</v>
      </c>
      <c r="M43" s="250">
        <v>51353.181102362199</v>
      </c>
      <c r="N43" s="250">
        <v>50339.275590551188</v>
      </c>
      <c r="O43" s="250">
        <v>52374.031496062991</v>
      </c>
      <c r="P43" s="250">
        <v>54386.795275590557</v>
      </c>
      <c r="Q43" s="250">
        <v>53747.606299212603</v>
      </c>
      <c r="R43" s="250">
        <v>55028.433070866144</v>
      </c>
    </row>
    <row r="44" spans="1:18" s="36" customFormat="1" ht="30" customHeight="1">
      <c r="A44" s="387" t="s">
        <v>27</v>
      </c>
      <c r="B44" s="386" t="s">
        <v>485</v>
      </c>
      <c r="C44" s="385" t="s">
        <v>465</v>
      </c>
      <c r="D44" s="384">
        <f>D22+D25+D28+D31+D34+D43</f>
        <v>53388.601066171352</v>
      </c>
      <c r="E44" s="384">
        <f>E22+E25+E28+E31+E34+E43</f>
        <v>53922.961462701918</v>
      </c>
      <c r="F44" s="384" t="e">
        <f t="shared" ref="F44:O44" si="2">F22+F25+F28+F31+F34+F43</f>
        <v>#DIV/0!</v>
      </c>
      <c r="G44" s="384">
        <v>63101.74389079868</v>
      </c>
      <c r="H44" s="384" t="e">
        <v>#DIV/0!</v>
      </c>
      <c r="I44" s="384"/>
      <c r="J44" s="384">
        <v>70157.365556858145</v>
      </c>
      <c r="K44" s="384" t="e">
        <v>#DIV/0!</v>
      </c>
      <c r="L44" s="384">
        <v>76312.653543307097</v>
      </c>
      <c r="M44" s="384">
        <v>83446.262929133853</v>
      </c>
      <c r="N44" s="384">
        <v>81802.428875590558</v>
      </c>
      <c r="O44" s="384">
        <v>85107.85573543307</v>
      </c>
      <c r="P44" s="384">
        <v>88378.42468543307</v>
      </c>
      <c r="Q44" s="384">
        <v>87339.946877952752</v>
      </c>
      <c r="R44" s="384">
        <v>89420.957611023623</v>
      </c>
    </row>
    <row r="45" spans="1:18" s="1368" customFormat="1" ht="30" customHeight="1">
      <c r="A45" s="1364" t="s">
        <v>95</v>
      </c>
      <c r="B45" s="1365" t="s">
        <v>905</v>
      </c>
      <c r="C45" s="1366" t="s">
        <v>465</v>
      </c>
      <c r="D45" s="1367">
        <f>'4.9_транзит КТЭЦ '!D45+'4.9_сбыт КТЭЦ  '!D45</f>
        <v>423765.11476396129</v>
      </c>
      <c r="E45" s="1367">
        <f>'4.9_транзит КТЭЦ '!E45+'4.9_сбыт КТЭЦ  '!E45+1</f>
        <v>465297.44389851461</v>
      </c>
      <c r="F45" s="1367">
        <f>'4.9_транзит КТЭЦ '!F45+'4.9_сбыт КТЭЦ  '!F45</f>
        <v>0</v>
      </c>
      <c r="G45" s="1367">
        <v>537706.81144486228</v>
      </c>
      <c r="H45" s="1367">
        <v>0</v>
      </c>
      <c r="I45" s="1367"/>
      <c r="J45" s="1367">
        <v>586480.83507200005</v>
      </c>
      <c r="K45" s="1367">
        <v>0</v>
      </c>
      <c r="L45" s="1367">
        <v>641145.31359999999</v>
      </c>
      <c r="M45" s="1367">
        <v>716228.32431743992</v>
      </c>
      <c r="N45" s="1367">
        <v>344158.51953727996</v>
      </c>
      <c r="O45" s="1367">
        <v>372069.80478016002</v>
      </c>
      <c r="P45" s="1367">
        <v>758300.76979123987</v>
      </c>
      <c r="Q45" s="1367">
        <v>367293.41341339995</v>
      </c>
      <c r="R45" s="1367">
        <v>391007.35637783993</v>
      </c>
    </row>
    <row r="46" spans="1:18">
      <c r="A46" s="60" t="s">
        <v>898</v>
      </c>
      <c r="B46" s="61" t="s">
        <v>899</v>
      </c>
      <c r="C46" s="8" t="s">
        <v>892</v>
      </c>
      <c r="D46" s="250">
        <f>'4.9_транзит КТЭЦ '!D46+'4.9_сбыт КТЭЦ  '!D46</f>
        <v>6409</v>
      </c>
      <c r="E46" s="250">
        <f>'4.9_транзит КТЭЦ '!E46+'4.9_сбыт КТЭЦ  '!E46</f>
        <v>9020</v>
      </c>
      <c r="F46" s="250">
        <f>'4.9_транзит КТЭЦ '!F46+'4.9_сбыт КТЭЦ  '!F46</f>
        <v>0</v>
      </c>
      <c r="G46" s="250">
        <v>9276</v>
      </c>
      <c r="H46" s="250">
        <v>0</v>
      </c>
      <c r="I46" s="250"/>
      <c r="J46" s="250">
        <v>10957</v>
      </c>
      <c r="K46" s="250">
        <v>0</v>
      </c>
      <c r="L46" s="250">
        <v>12433</v>
      </c>
      <c r="M46" s="250">
        <v>14383</v>
      </c>
      <c r="N46" s="250">
        <v>7192</v>
      </c>
      <c r="O46" s="250">
        <v>7192</v>
      </c>
      <c r="P46" s="250">
        <v>15031</v>
      </c>
      <c r="Q46" s="250">
        <v>7516</v>
      </c>
      <c r="R46" s="250">
        <v>7516</v>
      </c>
    </row>
    <row r="47" spans="1:18" ht="60.75" customHeight="1">
      <c r="A47" s="60" t="s">
        <v>900</v>
      </c>
      <c r="B47" s="61" t="s">
        <v>902</v>
      </c>
      <c r="C47" s="8" t="s">
        <v>892</v>
      </c>
      <c r="D47" s="250">
        <f>'4.9_транзит КТЭЦ '!D47+'4.9_сбыт КТЭЦ  '!D47</f>
        <v>0</v>
      </c>
      <c r="E47" s="250">
        <f>'4.9_транзит КТЭЦ '!E47+'4.9_сбыт КТЭЦ  '!E47</f>
        <v>0</v>
      </c>
      <c r="F47" s="250">
        <f>'4.9_транзит КТЭЦ '!F47+'4.9_сбыт КТЭЦ  '!F47</f>
        <v>0</v>
      </c>
      <c r="G47" s="250">
        <v>0</v>
      </c>
      <c r="H47" s="250">
        <v>0</v>
      </c>
      <c r="I47" s="250"/>
      <c r="J47" s="250">
        <v>0</v>
      </c>
      <c r="K47" s="250">
        <v>0</v>
      </c>
      <c r="L47" s="250">
        <v>0</v>
      </c>
      <c r="M47" s="250">
        <v>0</v>
      </c>
      <c r="N47" s="250">
        <v>0</v>
      </c>
      <c r="O47" s="250">
        <v>0</v>
      </c>
      <c r="P47" s="250">
        <v>0</v>
      </c>
      <c r="Q47" s="250">
        <v>0</v>
      </c>
      <c r="R47" s="250">
        <v>0</v>
      </c>
    </row>
    <row r="48" spans="1:18">
      <c r="A48" s="60" t="s">
        <v>901</v>
      </c>
      <c r="B48" s="61" t="s">
        <v>348</v>
      </c>
      <c r="C48" s="8" t="s">
        <v>892</v>
      </c>
      <c r="D48" s="250">
        <f>D49+D50+D51+D52+D53</f>
        <v>0</v>
      </c>
      <c r="E48" s="250">
        <f>E49+E50+E51+E52+E53</f>
        <v>11737</v>
      </c>
      <c r="F48" s="250">
        <f t="shared" ref="F48:O48" si="3">F49+F50+F51+F52+F53</f>
        <v>0</v>
      </c>
      <c r="G48" s="250">
        <v>15341</v>
      </c>
      <c r="H48" s="250">
        <v>0</v>
      </c>
      <c r="I48" s="250"/>
      <c r="J48" s="250">
        <v>1031</v>
      </c>
      <c r="K48" s="250">
        <v>0</v>
      </c>
      <c r="L48" s="250">
        <v>697</v>
      </c>
      <c r="M48" s="250">
        <v>15045</v>
      </c>
      <c r="N48" s="250">
        <v>369</v>
      </c>
      <c r="O48" s="250">
        <v>14676</v>
      </c>
      <c r="P48" s="250">
        <v>15935</v>
      </c>
      <c r="Q48" s="250">
        <v>391</v>
      </c>
      <c r="R48" s="250">
        <v>15544</v>
      </c>
    </row>
    <row r="49" spans="1:18" ht="30">
      <c r="A49" s="60" t="s">
        <v>1024</v>
      </c>
      <c r="B49" s="61" t="s">
        <v>1023</v>
      </c>
      <c r="C49" s="8" t="s">
        <v>892</v>
      </c>
      <c r="D49" s="250">
        <f>'4.9_транзит КТЭЦ '!D49+'4.9_сбыт КТЭЦ  '!D49</f>
        <v>0</v>
      </c>
      <c r="E49" s="250">
        <f>'4.9_транзит КТЭЦ '!E49+'4.9_сбыт КТЭЦ  '!E49</f>
        <v>3257</v>
      </c>
      <c r="F49" s="250">
        <f>'4.9_транзит КТЭЦ '!F49+'4.9_сбыт КТЭЦ  '!F49</f>
        <v>0</v>
      </c>
      <c r="G49" s="250">
        <v>0</v>
      </c>
      <c r="H49" s="250">
        <v>0</v>
      </c>
      <c r="I49" s="250"/>
      <c r="J49" s="250">
        <v>0</v>
      </c>
      <c r="K49" s="250">
        <v>0</v>
      </c>
      <c r="L49" s="250">
        <v>0</v>
      </c>
      <c r="M49" s="250">
        <v>0</v>
      </c>
      <c r="N49" s="250">
        <v>0</v>
      </c>
      <c r="O49" s="250">
        <v>0</v>
      </c>
      <c r="P49" s="250">
        <v>0</v>
      </c>
      <c r="Q49" s="250">
        <v>0</v>
      </c>
      <c r="R49" s="250">
        <v>0</v>
      </c>
    </row>
    <row r="50" spans="1:18" ht="30">
      <c r="A50" s="60" t="s">
        <v>1022</v>
      </c>
      <c r="B50" s="61" t="s">
        <v>1021</v>
      </c>
      <c r="C50" s="8" t="s">
        <v>892</v>
      </c>
      <c r="D50" s="250">
        <f>'4.9_транзит КТЭЦ '!D50+'4.9_сбыт КТЭЦ  '!D50</f>
        <v>0</v>
      </c>
      <c r="E50" s="250">
        <f>'4.9_транзит КТЭЦ '!E50+'4.9_сбыт КТЭЦ  '!E50</f>
        <v>0</v>
      </c>
      <c r="F50" s="250">
        <f>'4.9_транзит КТЭЦ '!F50+'4.9_сбыт КТЭЦ  '!F50</f>
        <v>0</v>
      </c>
      <c r="G50" s="250">
        <v>277</v>
      </c>
      <c r="H50" s="250">
        <v>0</v>
      </c>
      <c r="I50" s="250"/>
      <c r="J50" s="250">
        <v>0</v>
      </c>
      <c r="K50" s="250">
        <v>0</v>
      </c>
      <c r="L50" s="250">
        <v>0</v>
      </c>
      <c r="M50" s="250">
        <v>0</v>
      </c>
      <c r="N50" s="250">
        <v>0</v>
      </c>
      <c r="O50" s="250">
        <v>0</v>
      </c>
      <c r="P50" s="250">
        <v>0</v>
      </c>
      <c r="Q50" s="250">
        <v>0</v>
      </c>
      <c r="R50" s="250">
        <v>0</v>
      </c>
    </row>
    <row r="51" spans="1:18">
      <c r="A51" s="60" t="s">
        <v>1020</v>
      </c>
      <c r="B51" s="61" t="s">
        <v>1019</v>
      </c>
      <c r="C51" s="8" t="s">
        <v>892</v>
      </c>
      <c r="D51" s="250">
        <f>'4.9_транзит КТЭЦ '!D51+'4.9_сбыт КТЭЦ  '!D51</f>
        <v>0</v>
      </c>
      <c r="E51" s="250">
        <f>'4.9_транзит КТЭЦ '!E51+'4.9_сбыт КТЭЦ  '!E51</f>
        <v>789</v>
      </c>
      <c r="F51" s="250">
        <f>'4.9_транзит КТЭЦ '!F51+'4.9_сбыт КТЭЦ  '!F51</f>
        <v>0</v>
      </c>
      <c r="G51" s="250">
        <v>1368</v>
      </c>
      <c r="H51" s="250">
        <v>0</v>
      </c>
      <c r="I51" s="250"/>
      <c r="J51" s="250">
        <v>1031</v>
      </c>
      <c r="K51" s="250">
        <v>0</v>
      </c>
      <c r="L51" s="250">
        <v>697</v>
      </c>
      <c r="M51" s="250">
        <v>738</v>
      </c>
      <c r="N51" s="250">
        <v>369</v>
      </c>
      <c r="O51" s="250">
        <v>369</v>
      </c>
      <c r="P51" s="250">
        <v>782</v>
      </c>
      <c r="Q51" s="250">
        <v>391</v>
      </c>
      <c r="R51" s="250">
        <v>391</v>
      </c>
    </row>
    <row r="52" spans="1:18" ht="30">
      <c r="A52" s="60" t="s">
        <v>1018</v>
      </c>
      <c r="B52" s="61" t="s">
        <v>934</v>
      </c>
      <c r="C52" s="8" t="s">
        <v>892</v>
      </c>
      <c r="D52" s="250">
        <f>'4.9_транзит КТЭЦ '!D52+'4.9_сбыт КТЭЦ  '!D52</f>
        <v>0</v>
      </c>
      <c r="E52" s="250">
        <f>'4.9_транзит КТЭЦ '!E52+'4.9_сбыт КТЭЦ  '!E52</f>
        <v>0</v>
      </c>
      <c r="F52" s="250">
        <f>'4.9_транзит КТЭЦ '!F52+'4.9_сбыт КТЭЦ  '!F52</f>
        <v>0</v>
      </c>
      <c r="G52" s="250">
        <v>0</v>
      </c>
      <c r="H52" s="250">
        <v>0</v>
      </c>
      <c r="I52" s="250"/>
      <c r="J52" s="250">
        <v>0</v>
      </c>
      <c r="K52" s="250">
        <v>0</v>
      </c>
      <c r="L52" s="250">
        <v>0</v>
      </c>
      <c r="M52" s="250">
        <v>14307</v>
      </c>
      <c r="N52" s="250">
        <v>0</v>
      </c>
      <c r="O52" s="250">
        <v>14307</v>
      </c>
      <c r="P52" s="250">
        <v>15153</v>
      </c>
      <c r="Q52" s="250">
        <v>0</v>
      </c>
      <c r="R52" s="250">
        <v>15153</v>
      </c>
    </row>
    <row r="53" spans="1:18" ht="75">
      <c r="A53" s="60" t="s">
        <v>1071</v>
      </c>
      <c r="B53" s="61" t="s">
        <v>1558</v>
      </c>
      <c r="C53" s="8" t="s">
        <v>892</v>
      </c>
      <c r="D53" s="250">
        <f>'4.9_транзит КТЭЦ '!D53+'4.9_сбыт КТЭЦ  '!D53</f>
        <v>0</v>
      </c>
      <c r="E53" s="250">
        <f>'4.9_транзит КТЭЦ '!E53+'4.9_сбыт КТЭЦ  '!E53</f>
        <v>7691</v>
      </c>
      <c r="F53" s="250">
        <f>'4.9_транзит КТЭЦ '!F53+'4.9_сбыт КТЭЦ  '!F53</f>
        <v>0</v>
      </c>
      <c r="G53" s="250">
        <v>13696</v>
      </c>
      <c r="H53" s="250">
        <v>0</v>
      </c>
      <c r="I53" s="250"/>
      <c r="J53" s="250">
        <v>0</v>
      </c>
      <c r="K53" s="250">
        <v>0</v>
      </c>
      <c r="L53" s="250">
        <v>0</v>
      </c>
      <c r="M53" s="250">
        <v>0</v>
      </c>
      <c r="N53" s="250">
        <v>0</v>
      </c>
      <c r="O53" s="250">
        <v>0</v>
      </c>
      <c r="P53" s="250">
        <v>0</v>
      </c>
      <c r="Q53" s="250">
        <v>0</v>
      </c>
      <c r="R53" s="250">
        <v>0</v>
      </c>
    </row>
    <row r="54" spans="1:18" ht="30">
      <c r="A54" s="60"/>
      <c r="B54" s="61" t="s">
        <v>903</v>
      </c>
      <c r="C54" s="8" t="s">
        <v>892</v>
      </c>
      <c r="D54" s="250">
        <v>12</v>
      </c>
      <c r="E54" s="250">
        <v>12</v>
      </c>
      <c r="F54" s="250">
        <v>12</v>
      </c>
      <c r="G54" s="250">
        <v>12</v>
      </c>
      <c r="H54" s="250">
        <v>12</v>
      </c>
      <c r="I54" s="250"/>
      <c r="J54" s="250">
        <v>12</v>
      </c>
      <c r="K54" s="250">
        <v>12</v>
      </c>
      <c r="L54" s="250">
        <v>12</v>
      </c>
      <c r="M54" s="250">
        <v>12</v>
      </c>
      <c r="N54" s="250">
        <v>6</v>
      </c>
      <c r="O54" s="250">
        <v>6</v>
      </c>
      <c r="P54" s="250">
        <v>12</v>
      </c>
      <c r="Q54" s="250">
        <v>6</v>
      </c>
      <c r="R54" s="250">
        <v>6</v>
      </c>
    </row>
    <row r="55" spans="1:18" s="763" customFormat="1" ht="28.5">
      <c r="A55" s="1352" t="s">
        <v>904</v>
      </c>
      <c r="B55" s="1353" t="s">
        <v>905</v>
      </c>
      <c r="C55" s="1354" t="s">
        <v>892</v>
      </c>
      <c r="D55" s="1013">
        <f>'4.9_транзит КТЭЦ '!D55+'4.9_сбыт КТЭЦ  '!D55</f>
        <v>417357.11476396129</v>
      </c>
      <c r="E55" s="1013">
        <f>'4.9_транзит КТЭЦ '!E55+'4.9_сбыт КТЭЦ  '!E55</f>
        <v>444541.44389851461</v>
      </c>
      <c r="F55" s="1013">
        <f>'4.9_транзит КТЭЦ '!F55+'4.9_сбыт КТЭЦ  '!F55</f>
        <v>0</v>
      </c>
      <c r="G55" s="1013">
        <v>528428.81144486228</v>
      </c>
      <c r="H55" s="1013">
        <v>0</v>
      </c>
      <c r="I55" s="1013"/>
      <c r="J55" s="1013">
        <v>575523.83507200005</v>
      </c>
      <c r="K55" s="1013">
        <v>0</v>
      </c>
      <c r="L55" s="1013">
        <v>628712.31359999999</v>
      </c>
      <c r="M55" s="1013">
        <v>701843.32431743992</v>
      </c>
      <c r="N55" s="1013">
        <v>336965.51953727996</v>
      </c>
      <c r="O55" s="1013">
        <v>364877.80478016002</v>
      </c>
      <c r="P55" s="1013">
        <v>743269.76979123987</v>
      </c>
      <c r="Q55" s="1013">
        <v>359777.41341339995</v>
      </c>
      <c r="R55" s="1013">
        <v>383492.35637783993</v>
      </c>
    </row>
    <row r="56" spans="1:18" ht="30">
      <c r="A56" s="60" t="s">
        <v>906</v>
      </c>
      <c r="B56" s="61" t="s">
        <v>909</v>
      </c>
      <c r="C56" s="8" t="s">
        <v>892</v>
      </c>
      <c r="D56" s="250"/>
      <c r="E56" s="250"/>
      <c r="F56" s="250"/>
      <c r="G56" s="250"/>
      <c r="H56" s="250"/>
      <c r="I56" s="250"/>
      <c r="J56" s="250"/>
      <c r="K56" s="250"/>
      <c r="L56" s="250"/>
      <c r="M56" s="250"/>
      <c r="N56" s="250"/>
      <c r="O56" s="250"/>
      <c r="P56" s="250"/>
      <c r="Q56" s="250"/>
      <c r="R56" s="250"/>
    </row>
    <row r="57" spans="1:18">
      <c r="A57" s="60" t="s">
        <v>907</v>
      </c>
      <c r="B57" s="61" t="s">
        <v>1025</v>
      </c>
      <c r="C57" s="8" t="s">
        <v>892</v>
      </c>
      <c r="D57" s="250">
        <f>'4.9_транзит КТЭЦ '!D57+'4.9_сбыт КТЭЦ  '!D57</f>
        <v>417357.11476396129</v>
      </c>
      <c r="E57" s="250">
        <f>'4.9_транзит КТЭЦ '!E57+'4.9_сбыт КТЭЦ  '!E57</f>
        <v>444541.44389851461</v>
      </c>
      <c r="F57" s="250">
        <f>'4.9_транзит КТЭЦ '!F57+'4.9_сбыт КТЭЦ  '!F57</f>
        <v>0</v>
      </c>
      <c r="G57" s="250">
        <v>528428.81144486228</v>
      </c>
      <c r="H57" s="250">
        <v>0</v>
      </c>
      <c r="I57" s="250"/>
      <c r="J57" s="250">
        <v>575523.83507200005</v>
      </c>
      <c r="K57" s="250">
        <v>0</v>
      </c>
      <c r="L57" s="250">
        <v>628712.31359999999</v>
      </c>
      <c r="M57" s="250">
        <v>701843.32431743992</v>
      </c>
      <c r="N57" s="250">
        <v>336965.51953727996</v>
      </c>
      <c r="O57" s="250">
        <v>364877.80478016002</v>
      </c>
      <c r="P57" s="250">
        <v>743269.76979123987</v>
      </c>
      <c r="Q57" s="250">
        <v>359777.41341339995</v>
      </c>
      <c r="R57" s="250">
        <v>383492.35637783993</v>
      </c>
    </row>
    <row r="58" spans="1:18">
      <c r="A58" s="60" t="s">
        <v>908</v>
      </c>
      <c r="B58" s="61" t="s">
        <v>911</v>
      </c>
      <c r="C58" s="8" t="s">
        <v>892</v>
      </c>
      <c r="D58" s="609">
        <f>'4.9_транзит КТЭЦ '!D58+'4.9_транзит ККЭ'!D58</f>
        <v>0</v>
      </c>
      <c r="E58" s="609">
        <f>'4.9_транзит КТЭЦ '!E58+'4.9_транзит ККЭ'!E58</f>
        <v>0</v>
      </c>
      <c r="F58" s="609">
        <f>'4.9_транзит КТЭЦ '!F58+'4.9_транзит ККЭ'!F58</f>
        <v>0</v>
      </c>
      <c r="G58" s="609">
        <v>0</v>
      </c>
      <c r="H58" s="609">
        <v>0</v>
      </c>
      <c r="I58" s="609"/>
      <c r="J58" s="609">
        <v>0</v>
      </c>
      <c r="K58" s="609">
        <v>0</v>
      </c>
      <c r="L58" s="609">
        <v>0</v>
      </c>
      <c r="M58" s="609">
        <v>0</v>
      </c>
      <c r="N58" s="609">
        <v>0</v>
      </c>
      <c r="O58" s="609">
        <v>0</v>
      </c>
      <c r="P58" s="609">
        <v>0</v>
      </c>
      <c r="Q58" s="609">
        <v>0</v>
      </c>
      <c r="R58" s="609">
        <v>0</v>
      </c>
    </row>
    <row r="59" spans="1:18">
      <c r="A59" s="60" t="s">
        <v>912</v>
      </c>
      <c r="B59" s="61" t="s">
        <v>913</v>
      </c>
      <c r="C59" s="8" t="s">
        <v>892</v>
      </c>
      <c r="D59" s="609">
        <f>'4.9_транзит КТЭЦ '!D59+'4.9_транзит ККЭ'!D59</f>
        <v>0</v>
      </c>
      <c r="E59" s="609">
        <f>'4.9_транзит КТЭЦ '!E59+'4.9_транзит ККЭ'!E59</f>
        <v>0</v>
      </c>
      <c r="F59" s="609">
        <f>'4.9_транзит КТЭЦ '!F59+'4.9_транзит ККЭ'!F59</f>
        <v>0</v>
      </c>
      <c r="G59" s="609">
        <v>0</v>
      </c>
      <c r="H59" s="609">
        <v>0</v>
      </c>
      <c r="I59" s="609"/>
      <c r="J59" s="609">
        <v>0</v>
      </c>
      <c r="K59" s="609">
        <v>0</v>
      </c>
      <c r="L59" s="609">
        <v>0</v>
      </c>
      <c r="M59" s="609">
        <v>0</v>
      </c>
      <c r="N59" s="609">
        <v>0</v>
      </c>
      <c r="O59" s="609">
        <v>0</v>
      </c>
      <c r="P59" s="609">
        <v>0</v>
      </c>
      <c r="Q59" s="609">
        <v>0</v>
      </c>
      <c r="R59" s="609">
        <v>0</v>
      </c>
    </row>
    <row r="60" spans="1:18" ht="30">
      <c r="A60" s="60" t="s">
        <v>97</v>
      </c>
      <c r="B60" s="61" t="s">
        <v>914</v>
      </c>
      <c r="C60" s="8" t="s">
        <v>846</v>
      </c>
      <c r="D60" s="250"/>
      <c r="E60" s="250"/>
      <c r="F60" s="250"/>
      <c r="G60" s="250"/>
      <c r="H60" s="250"/>
      <c r="I60" s="250"/>
      <c r="J60" s="250"/>
      <c r="K60" s="250"/>
      <c r="L60" s="250"/>
      <c r="M60" s="250"/>
      <c r="N60" s="250"/>
      <c r="O60" s="250"/>
      <c r="P60" s="250"/>
      <c r="Q60" s="250"/>
      <c r="R60" s="250"/>
    </row>
    <row r="61" spans="1:18">
      <c r="A61" s="60" t="s">
        <v>915</v>
      </c>
      <c r="B61" s="61" t="s">
        <v>458</v>
      </c>
      <c r="C61" s="8" t="s">
        <v>453</v>
      </c>
      <c r="D61" s="250"/>
      <c r="E61" s="250"/>
      <c r="F61" s="250"/>
      <c r="G61" s="250"/>
      <c r="H61" s="250"/>
      <c r="I61" s="250"/>
      <c r="J61" s="250"/>
      <c r="K61" s="250"/>
      <c r="L61" s="250"/>
      <c r="M61" s="250"/>
      <c r="N61" s="250"/>
      <c r="O61" s="250"/>
      <c r="P61" s="250"/>
      <c r="Q61" s="250"/>
      <c r="R61" s="250"/>
    </row>
    <row r="62" spans="1:18">
      <c r="A62" s="60" t="s">
        <v>916</v>
      </c>
      <c r="B62" s="253" t="s">
        <v>923</v>
      </c>
      <c r="C62" s="8" t="s">
        <v>453</v>
      </c>
      <c r="D62" s="250"/>
      <c r="E62" s="250"/>
      <c r="F62" s="250"/>
      <c r="G62" s="250"/>
      <c r="H62" s="250"/>
      <c r="I62" s="250"/>
      <c r="J62" s="250"/>
      <c r="K62" s="250"/>
      <c r="L62" s="250"/>
      <c r="M62" s="250"/>
      <c r="N62" s="250"/>
      <c r="O62" s="250"/>
      <c r="P62" s="250"/>
      <c r="Q62" s="250"/>
      <c r="R62" s="250"/>
    </row>
    <row r="63" spans="1:18">
      <c r="A63" s="60" t="s">
        <v>917</v>
      </c>
      <c r="B63" s="253" t="s">
        <v>924</v>
      </c>
      <c r="C63" s="8" t="s">
        <v>465</v>
      </c>
      <c r="D63" s="250"/>
      <c r="E63" s="250"/>
      <c r="F63" s="250"/>
      <c r="G63" s="250"/>
      <c r="H63" s="250"/>
      <c r="I63" s="250"/>
      <c r="J63" s="250"/>
      <c r="K63" s="250"/>
      <c r="L63" s="250"/>
      <c r="M63" s="250"/>
      <c r="N63" s="250"/>
      <c r="O63" s="250"/>
      <c r="P63" s="250"/>
      <c r="Q63" s="250"/>
      <c r="R63" s="250"/>
    </row>
    <row r="64" spans="1:18">
      <c r="A64" s="60" t="s">
        <v>918</v>
      </c>
      <c r="B64" s="61" t="s">
        <v>899</v>
      </c>
      <c r="C64" s="8" t="s">
        <v>892</v>
      </c>
      <c r="D64" s="250"/>
      <c r="E64" s="250"/>
      <c r="F64" s="250"/>
      <c r="G64" s="250"/>
      <c r="H64" s="250"/>
      <c r="I64" s="250"/>
      <c r="J64" s="250"/>
      <c r="K64" s="250"/>
      <c r="L64" s="250"/>
      <c r="M64" s="250"/>
      <c r="N64" s="250"/>
      <c r="O64" s="250"/>
      <c r="P64" s="250"/>
      <c r="Q64" s="250"/>
      <c r="R64" s="250"/>
    </row>
    <row r="65" spans="1:18" ht="18" customHeight="1">
      <c r="A65" s="60" t="s">
        <v>919</v>
      </c>
      <c r="B65" s="61" t="s">
        <v>922</v>
      </c>
      <c r="C65" s="8" t="s">
        <v>892</v>
      </c>
      <c r="D65" s="250"/>
      <c r="E65" s="250"/>
      <c r="F65" s="250"/>
      <c r="G65" s="250"/>
      <c r="H65" s="250"/>
      <c r="I65" s="250"/>
      <c r="J65" s="250"/>
      <c r="K65" s="250"/>
      <c r="L65" s="250"/>
      <c r="M65" s="250"/>
      <c r="N65" s="250"/>
      <c r="O65" s="250"/>
      <c r="P65" s="250"/>
      <c r="Q65" s="250"/>
      <c r="R65" s="250"/>
    </row>
    <row r="66" spans="1:18">
      <c r="A66" s="60" t="s">
        <v>920</v>
      </c>
      <c r="B66" s="61" t="s">
        <v>925</v>
      </c>
      <c r="C66" s="8" t="s">
        <v>892</v>
      </c>
      <c r="D66" s="250"/>
      <c r="E66" s="250"/>
      <c r="F66" s="250"/>
      <c r="G66" s="250"/>
      <c r="H66" s="250"/>
      <c r="I66" s="250"/>
      <c r="J66" s="250"/>
      <c r="K66" s="250"/>
      <c r="L66" s="250"/>
      <c r="M66" s="250"/>
      <c r="N66" s="250"/>
      <c r="O66" s="250"/>
      <c r="P66" s="250"/>
      <c r="Q66" s="250"/>
      <c r="R66" s="250"/>
    </row>
    <row r="67" spans="1:18" ht="30">
      <c r="A67" s="60" t="s">
        <v>921</v>
      </c>
      <c r="B67" s="61" t="s">
        <v>909</v>
      </c>
      <c r="C67" s="8" t="s">
        <v>892</v>
      </c>
      <c r="D67" s="250"/>
      <c r="E67" s="250"/>
      <c r="F67" s="250"/>
      <c r="G67" s="250"/>
      <c r="H67" s="250"/>
      <c r="I67" s="250"/>
      <c r="J67" s="250"/>
      <c r="K67" s="250"/>
      <c r="L67" s="250"/>
      <c r="M67" s="250"/>
      <c r="N67" s="250"/>
      <c r="O67" s="250"/>
      <c r="P67" s="250"/>
      <c r="Q67" s="250"/>
      <c r="R67" s="250"/>
    </row>
    <row r="68" spans="1:18" ht="30">
      <c r="A68" s="60" t="s">
        <v>926</v>
      </c>
      <c r="B68" s="61" t="s">
        <v>909</v>
      </c>
      <c r="C68" s="8" t="s">
        <v>892</v>
      </c>
      <c r="D68" s="250"/>
      <c r="E68" s="250"/>
      <c r="F68" s="250"/>
      <c r="G68" s="250"/>
      <c r="H68" s="250"/>
      <c r="I68" s="250"/>
      <c r="J68" s="250"/>
      <c r="K68" s="250"/>
      <c r="L68" s="250"/>
      <c r="M68" s="250"/>
      <c r="N68" s="250"/>
      <c r="O68" s="250"/>
      <c r="P68" s="250"/>
      <c r="Q68" s="250"/>
      <c r="R68" s="250"/>
    </row>
    <row r="69" spans="1:18">
      <c r="A69" s="60" t="s">
        <v>927</v>
      </c>
      <c r="B69" s="61" t="s">
        <v>910</v>
      </c>
      <c r="C69" s="8" t="s">
        <v>892</v>
      </c>
      <c r="D69" s="250"/>
      <c r="E69" s="250"/>
      <c r="F69" s="250"/>
      <c r="G69" s="250"/>
      <c r="H69" s="250"/>
      <c r="I69" s="250"/>
      <c r="J69" s="250"/>
      <c r="K69" s="250"/>
      <c r="L69" s="250"/>
      <c r="M69" s="250"/>
      <c r="N69" s="250"/>
      <c r="O69" s="250"/>
      <c r="P69" s="250"/>
      <c r="Q69" s="250"/>
      <c r="R69" s="250"/>
    </row>
    <row r="70" spans="1:18">
      <c r="A70" s="60" t="s">
        <v>928</v>
      </c>
      <c r="B70" s="61" t="s">
        <v>911</v>
      </c>
      <c r="C70" s="8" t="s">
        <v>892</v>
      </c>
      <c r="D70" s="250"/>
      <c r="E70" s="250"/>
      <c r="F70" s="250"/>
      <c r="G70" s="250"/>
      <c r="H70" s="250"/>
      <c r="I70" s="250"/>
      <c r="J70" s="250"/>
      <c r="K70" s="250"/>
      <c r="L70" s="250"/>
      <c r="M70" s="250"/>
      <c r="N70" s="250"/>
      <c r="O70" s="250"/>
      <c r="P70" s="250"/>
      <c r="Q70" s="250"/>
      <c r="R70" s="250"/>
    </row>
    <row r="71" spans="1:18">
      <c r="A71" s="60" t="s">
        <v>921</v>
      </c>
      <c r="B71" s="61" t="s">
        <v>913</v>
      </c>
      <c r="C71" s="8" t="s">
        <v>892</v>
      </c>
      <c r="D71" s="250"/>
      <c r="E71" s="250"/>
      <c r="F71" s="250"/>
      <c r="G71" s="250"/>
      <c r="H71" s="250"/>
      <c r="I71" s="250"/>
      <c r="J71" s="250"/>
      <c r="K71" s="250"/>
      <c r="L71" s="250"/>
      <c r="M71" s="250"/>
      <c r="N71" s="250"/>
      <c r="O71" s="250"/>
      <c r="P71" s="250"/>
      <c r="Q71" s="250"/>
      <c r="R71" s="250"/>
    </row>
    <row r="72" spans="1:18" ht="30">
      <c r="A72" s="60" t="s">
        <v>929</v>
      </c>
      <c r="B72" s="61" t="s">
        <v>930</v>
      </c>
      <c r="C72" s="8" t="s">
        <v>138</v>
      </c>
      <c r="D72" s="250"/>
      <c r="E72" s="250"/>
      <c r="F72" s="250"/>
      <c r="G72" s="250"/>
      <c r="H72" s="250"/>
      <c r="I72" s="250"/>
      <c r="J72" s="250"/>
      <c r="K72" s="250"/>
      <c r="L72" s="250"/>
      <c r="M72" s="250"/>
      <c r="N72" s="250"/>
      <c r="O72" s="250"/>
      <c r="P72" s="250"/>
      <c r="Q72" s="250"/>
      <c r="R72" s="250"/>
    </row>
    <row r="74" spans="1:18" ht="64.5" customHeight="1">
      <c r="A74" s="1963" t="s">
        <v>931</v>
      </c>
      <c r="B74" s="1963"/>
      <c r="C74" s="1963"/>
      <c r="D74" s="1963"/>
      <c r="E74" s="1963"/>
      <c r="F74" s="1963"/>
      <c r="G74" s="1963"/>
      <c r="H74" s="1963"/>
      <c r="I74" s="1963"/>
      <c r="J74" s="1963"/>
      <c r="K74" s="1963"/>
      <c r="L74" s="1963"/>
      <c r="M74" s="1963"/>
      <c r="N74" s="1963"/>
      <c r="O74" s="1963"/>
    </row>
    <row r="76" spans="1:18">
      <c r="A76" s="1" t="s">
        <v>88</v>
      </c>
    </row>
    <row r="77" spans="1:18" ht="51.75" customHeight="1">
      <c r="A77" s="1963" t="s">
        <v>932</v>
      </c>
      <c r="B77" s="1963"/>
      <c r="C77" s="1963"/>
      <c r="D77" s="1963"/>
      <c r="E77" s="1963"/>
      <c r="F77" s="1963"/>
      <c r="G77" s="1963"/>
      <c r="H77" s="1963"/>
      <c r="I77" s="1963"/>
      <c r="J77" s="1963"/>
      <c r="K77" s="1963"/>
      <c r="L77" s="1963"/>
      <c r="M77" s="1963"/>
      <c r="N77" s="1963"/>
      <c r="O77" s="1963"/>
    </row>
    <row r="78" spans="1:18" ht="69" customHeight="1">
      <c r="A78" s="1963" t="s">
        <v>933</v>
      </c>
      <c r="B78" s="1963"/>
      <c r="C78" s="1963"/>
      <c r="D78" s="1963"/>
      <c r="E78" s="1963"/>
      <c r="F78" s="1963"/>
      <c r="G78" s="1963"/>
      <c r="H78" s="1963"/>
      <c r="I78" s="1963"/>
      <c r="J78" s="1963"/>
      <c r="K78" s="1963"/>
      <c r="L78" s="1963"/>
      <c r="M78" s="1963"/>
      <c r="N78" s="1963"/>
      <c r="O78" s="1963"/>
    </row>
  </sheetData>
  <mergeCells count="4">
    <mergeCell ref="A3:O3"/>
    <mergeCell ref="A74:O74"/>
    <mergeCell ref="A77:O77"/>
    <mergeCell ref="A78:O78"/>
  </mergeCells>
  <pageMargins left="0.78740157480314965" right="0.31496062992125984" top="0.51181102362204722" bottom="0.23622047244094491" header="0.62992125984251968" footer="0.19685039370078741"/>
  <pageSetup paperSize="9" scale="50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R78"/>
  <sheetViews>
    <sheetView view="pageBreakPreview" zoomScaleNormal="100" zoomScaleSheetLayoutView="100" workbookViewId="0">
      <pane xSplit="2" ySplit="5" topLeftCell="C6" activePane="bottomRight" state="frozen"/>
      <selection activeCell="T22" sqref="T22"/>
      <selection pane="topRight" activeCell="T22" sqref="T22"/>
      <selection pane="bottomLeft" activeCell="T22" sqref="T22"/>
      <selection pane="bottomRight" activeCell="T22" sqref="T22"/>
    </sheetView>
  </sheetViews>
  <sheetFormatPr defaultColWidth="2.85546875" defaultRowHeight="15"/>
  <cols>
    <col min="1" max="1" width="6.42578125" style="1" customWidth="1"/>
    <col min="2" max="2" width="36.42578125" style="1" customWidth="1"/>
    <col min="3" max="3" width="11.140625" style="21" customWidth="1"/>
    <col min="4" max="4" width="13.140625" style="1" hidden="1" customWidth="1"/>
    <col min="5" max="5" width="13" style="1" hidden="1" customWidth="1"/>
    <col min="6" max="6" width="13.140625" style="1" customWidth="1"/>
    <col min="7" max="8" width="13" style="1" customWidth="1"/>
    <col min="9" max="9" width="13" style="1" hidden="1" customWidth="1"/>
    <col min="10" max="11" width="13" style="1" customWidth="1"/>
    <col min="12" max="12" width="16" style="1" customWidth="1"/>
    <col min="13" max="13" width="12.5703125" style="1" customWidth="1"/>
    <col min="14" max="14" width="12.7109375" style="1" customWidth="1"/>
    <col min="15" max="15" width="12.85546875" style="1" customWidth="1"/>
    <col min="16" max="16" width="12.28515625" style="1" customWidth="1"/>
    <col min="17" max="93" width="11.140625" style="1" customWidth="1"/>
    <col min="94" max="16384" width="2.85546875" style="1"/>
  </cols>
  <sheetData>
    <row r="1" spans="1:18" s="5" customFormat="1" ht="18" customHeight="1">
      <c r="A1" s="74" t="s">
        <v>1860</v>
      </c>
      <c r="C1" s="20"/>
      <c r="M1" s="6"/>
      <c r="N1" s="6"/>
      <c r="O1" s="6" t="s">
        <v>1060</v>
      </c>
      <c r="R1" s="6" t="s">
        <v>1060</v>
      </c>
    </row>
    <row r="2" spans="1:18" s="5" customFormat="1" ht="12.75" customHeight="1">
      <c r="A2" s="105" t="str">
        <f>'3.1'!$A$2</f>
        <v>ПКГО - Комбинированная выработка КТЭЦ</v>
      </c>
      <c r="C2" s="20"/>
    </row>
    <row r="3" spans="1:18" ht="18.75">
      <c r="A3" s="1877" t="s">
        <v>1168</v>
      </c>
      <c r="B3" s="1877"/>
      <c r="C3" s="1877"/>
      <c r="D3" s="1877"/>
      <c r="E3" s="1877"/>
      <c r="F3" s="1877"/>
      <c r="G3" s="1877"/>
      <c r="H3" s="1877"/>
      <c r="I3" s="1877"/>
      <c r="J3" s="1877"/>
      <c r="K3" s="1877"/>
      <c r="L3" s="1877"/>
      <c r="M3" s="1877"/>
      <c r="N3" s="1877"/>
      <c r="O3" s="1877"/>
    </row>
    <row r="4" spans="1:18" ht="12.75" customHeight="1"/>
    <row r="5" spans="1:18" s="3" customFormat="1" ht="65.25" customHeight="1">
      <c r="A5" s="336" t="s">
        <v>451</v>
      </c>
      <c r="B5" s="336" t="s">
        <v>1</v>
      </c>
      <c r="C5" s="336" t="s">
        <v>2</v>
      </c>
      <c r="D5" s="540" t="s">
        <v>1129</v>
      </c>
      <c r="E5" s="540" t="s">
        <v>1130</v>
      </c>
      <c r="F5" s="540" t="s">
        <v>1520</v>
      </c>
      <c r="G5" s="1284" t="s">
        <v>1695</v>
      </c>
      <c r="H5" s="1310" t="s">
        <v>1702</v>
      </c>
      <c r="I5" s="1661" t="s">
        <v>1882</v>
      </c>
      <c r="J5" s="1576" t="s">
        <v>1828</v>
      </c>
      <c r="K5" s="1661" t="s">
        <v>1842</v>
      </c>
      <c r="L5" s="1631" t="s">
        <v>1861</v>
      </c>
      <c r="M5" s="1631" t="s">
        <v>1862</v>
      </c>
      <c r="N5" s="1631" t="s">
        <v>763</v>
      </c>
      <c r="O5" s="1631" t="s">
        <v>764</v>
      </c>
      <c r="P5" s="1631" t="s">
        <v>1863</v>
      </c>
      <c r="Q5" s="1631" t="s">
        <v>763</v>
      </c>
      <c r="R5" s="1631" t="s">
        <v>764</v>
      </c>
    </row>
    <row r="6" spans="1:18" s="2" customFormat="1">
      <c r="A6" s="13">
        <v>1</v>
      </c>
      <c r="B6" s="13">
        <v>2</v>
      </c>
      <c r="C6" s="13">
        <v>3</v>
      </c>
      <c r="D6" s="13">
        <v>4</v>
      </c>
      <c r="E6" s="13">
        <v>5</v>
      </c>
      <c r="F6" s="13">
        <v>4</v>
      </c>
      <c r="G6" s="13">
        <v>5</v>
      </c>
      <c r="H6" s="13">
        <v>6</v>
      </c>
      <c r="I6" s="13"/>
      <c r="J6" s="13">
        <v>7</v>
      </c>
      <c r="K6" s="13">
        <v>8</v>
      </c>
      <c r="L6" s="13">
        <v>9</v>
      </c>
      <c r="M6" s="13">
        <v>10</v>
      </c>
      <c r="N6" s="13">
        <v>11</v>
      </c>
      <c r="O6" s="13">
        <v>12</v>
      </c>
      <c r="P6" s="13">
        <v>13</v>
      </c>
      <c r="Q6" s="13">
        <v>14</v>
      </c>
      <c r="R6" s="13">
        <v>15</v>
      </c>
    </row>
    <row r="7" spans="1:18" s="36" customFormat="1" ht="15" customHeight="1">
      <c r="A7" s="60" t="s">
        <v>4</v>
      </c>
      <c r="B7" s="61" t="s">
        <v>452</v>
      </c>
      <c r="C7" s="8" t="s">
        <v>453</v>
      </c>
      <c r="D7" s="391"/>
      <c r="E7" s="391"/>
      <c r="F7" s="391"/>
      <c r="G7" s="391"/>
      <c r="H7" s="391"/>
      <c r="I7" s="391"/>
      <c r="J7" s="391"/>
      <c r="K7" s="391"/>
      <c r="L7" s="391"/>
      <c r="M7" s="388"/>
      <c r="N7" s="388"/>
      <c r="O7" s="388"/>
      <c r="P7" s="388"/>
      <c r="Q7" s="388"/>
      <c r="R7" s="388"/>
    </row>
    <row r="8" spans="1:18" s="36" customFormat="1" ht="15" customHeight="1">
      <c r="A8" s="60" t="s">
        <v>5</v>
      </c>
      <c r="B8" s="61" t="s">
        <v>454</v>
      </c>
      <c r="C8" s="8" t="s">
        <v>453</v>
      </c>
      <c r="D8" s="391"/>
      <c r="E8" s="391">
        <v>784</v>
      </c>
      <c r="F8" s="391"/>
      <c r="G8" s="391">
        <v>784</v>
      </c>
      <c r="H8" s="391"/>
      <c r="I8" s="391"/>
      <c r="J8" s="391">
        <v>784</v>
      </c>
      <c r="K8" s="391"/>
      <c r="L8" s="391">
        <v>825</v>
      </c>
      <c r="M8" s="391">
        <v>825</v>
      </c>
      <c r="N8" s="391">
        <v>825</v>
      </c>
      <c r="O8" s="391">
        <v>825</v>
      </c>
      <c r="P8" s="391">
        <v>866</v>
      </c>
      <c r="Q8" s="391">
        <v>866</v>
      </c>
      <c r="R8" s="391">
        <v>866</v>
      </c>
    </row>
    <row r="9" spans="1:18" s="36" customFormat="1" ht="15" customHeight="1">
      <c r="A9" s="60"/>
      <c r="B9" s="61" t="s">
        <v>455</v>
      </c>
      <c r="C9" s="8" t="s">
        <v>453</v>
      </c>
      <c r="D9" s="388"/>
      <c r="E9" s="391"/>
      <c r="F9" s="388"/>
      <c r="G9" s="391"/>
      <c r="H9" s="391"/>
      <c r="I9" s="391"/>
      <c r="J9" s="391"/>
      <c r="K9" s="391"/>
      <c r="L9" s="391"/>
      <c r="M9" s="391"/>
      <c r="N9" s="391"/>
      <c r="O9" s="391"/>
      <c r="P9" s="391"/>
      <c r="Q9" s="391"/>
      <c r="R9" s="391"/>
    </row>
    <row r="10" spans="1:18" s="36" customFormat="1" ht="15" customHeight="1">
      <c r="A10" s="60" t="s">
        <v>11</v>
      </c>
      <c r="B10" s="61" t="s">
        <v>456</v>
      </c>
      <c r="C10" s="8" t="s">
        <v>453</v>
      </c>
      <c r="D10" s="388"/>
      <c r="E10" s="391">
        <f>E8-53.1</f>
        <v>730.9</v>
      </c>
      <c r="F10" s="388"/>
      <c r="G10" s="391">
        <v>730.9</v>
      </c>
      <c r="H10" s="391"/>
      <c r="I10" s="391"/>
      <c r="J10" s="391">
        <v>730.9</v>
      </c>
      <c r="K10" s="391"/>
      <c r="L10" s="391">
        <v>771.9</v>
      </c>
      <c r="M10" s="391">
        <v>771.9</v>
      </c>
      <c r="N10" s="391">
        <v>771.9</v>
      </c>
      <c r="O10" s="391">
        <v>771.9</v>
      </c>
      <c r="P10" s="391">
        <v>812.9</v>
      </c>
      <c r="Q10" s="391">
        <v>812.9</v>
      </c>
      <c r="R10" s="391">
        <v>812.9</v>
      </c>
    </row>
    <row r="11" spans="1:18" s="36" customFormat="1" ht="15" customHeight="1">
      <c r="A11" s="60"/>
      <c r="B11" s="61" t="s">
        <v>457</v>
      </c>
      <c r="C11" s="8" t="s">
        <v>453</v>
      </c>
      <c r="D11" s="388"/>
      <c r="E11" s="388"/>
      <c r="F11" s="388"/>
      <c r="G11" s="388"/>
      <c r="H11" s="388"/>
      <c r="I11" s="388"/>
      <c r="J11" s="388"/>
      <c r="K11" s="388"/>
      <c r="L11" s="388"/>
      <c r="M11" s="388"/>
      <c r="N11" s="388"/>
      <c r="O11" s="388"/>
      <c r="P11" s="388"/>
      <c r="Q11" s="388"/>
      <c r="R11" s="388"/>
    </row>
    <row r="12" spans="1:18" s="36" customFormat="1" ht="15" customHeight="1">
      <c r="A12" s="60" t="s">
        <v>445</v>
      </c>
      <c r="B12" s="61" t="s">
        <v>458</v>
      </c>
      <c r="C12" s="8" t="s">
        <v>453</v>
      </c>
      <c r="D12" s="388"/>
      <c r="E12" s="388">
        <v>641.20000000000005</v>
      </c>
      <c r="F12" s="388"/>
      <c r="G12" s="388">
        <v>716.9</v>
      </c>
      <c r="H12" s="388"/>
      <c r="I12" s="388"/>
      <c r="J12" s="388">
        <v>716.9</v>
      </c>
      <c r="K12" s="388"/>
      <c r="L12" s="388">
        <v>0</v>
      </c>
      <c r="M12" s="388">
        <v>0</v>
      </c>
      <c r="N12" s="388">
        <v>0</v>
      </c>
      <c r="O12" s="388">
        <v>0</v>
      </c>
      <c r="P12" s="388">
        <v>0</v>
      </c>
      <c r="Q12" s="388">
        <v>0</v>
      </c>
      <c r="R12" s="388">
        <v>0</v>
      </c>
    </row>
    <row r="13" spans="1:18" s="36" customFormat="1" ht="15" customHeight="1">
      <c r="A13" s="60"/>
      <c r="B13" s="61" t="s">
        <v>459</v>
      </c>
      <c r="C13" s="8" t="s">
        <v>138</v>
      </c>
      <c r="D13" s="391" t="e">
        <f>D12/D8*100</f>
        <v>#DIV/0!</v>
      </c>
      <c r="E13" s="391">
        <f>E12/E8*100</f>
        <v>81.785714285714292</v>
      </c>
      <c r="F13" s="391"/>
      <c r="G13" s="391">
        <v>91.441326530612244</v>
      </c>
      <c r="H13" s="391"/>
      <c r="I13" s="391"/>
      <c r="J13" s="391">
        <v>91.441326530612244</v>
      </c>
      <c r="K13" s="388"/>
      <c r="L13" s="388">
        <v>0</v>
      </c>
      <c r="M13" s="388">
        <v>0</v>
      </c>
      <c r="N13" s="388">
        <v>0</v>
      </c>
      <c r="O13" s="388">
        <v>0</v>
      </c>
      <c r="P13" s="388">
        <v>0</v>
      </c>
      <c r="Q13" s="388">
        <v>0</v>
      </c>
      <c r="R13" s="388">
        <v>0</v>
      </c>
    </row>
    <row r="14" spans="1:18" s="36" customFormat="1" ht="15" customHeight="1">
      <c r="A14" s="60" t="s">
        <v>446</v>
      </c>
      <c r="B14" s="61" t="s">
        <v>460</v>
      </c>
      <c r="C14" s="8" t="s">
        <v>453</v>
      </c>
      <c r="D14" s="388"/>
      <c r="E14" s="388"/>
      <c r="F14" s="388"/>
      <c r="G14" s="388"/>
      <c r="H14" s="388"/>
      <c r="I14" s="388"/>
      <c r="J14" s="388"/>
      <c r="K14" s="388"/>
      <c r="L14" s="388"/>
      <c r="M14" s="388"/>
      <c r="N14" s="388"/>
      <c r="O14" s="388"/>
      <c r="P14" s="388"/>
      <c r="Q14" s="388"/>
      <c r="R14" s="388"/>
    </row>
    <row r="15" spans="1:18" s="36" customFormat="1" ht="15" customHeight="1">
      <c r="A15" s="60" t="s">
        <v>461</v>
      </c>
      <c r="B15" s="61" t="s">
        <v>462</v>
      </c>
      <c r="C15" s="8" t="s">
        <v>453</v>
      </c>
      <c r="D15" s="391">
        <v>618.29128919860625</v>
      </c>
      <c r="E15" s="391">
        <v>641.20000000000005</v>
      </c>
      <c r="F15" s="391"/>
      <c r="G15" s="391">
        <v>631.6</v>
      </c>
      <c r="H15" s="391"/>
      <c r="I15" s="391"/>
      <c r="J15" s="391">
        <v>630.4</v>
      </c>
      <c r="K15" s="391"/>
      <c r="L15" s="391">
        <v>631.79999999999995</v>
      </c>
      <c r="M15" s="388">
        <v>631.79999999999995</v>
      </c>
      <c r="N15" s="388">
        <v>631.79999999999995</v>
      </c>
      <c r="O15" s="388">
        <v>631.79999999999995</v>
      </c>
      <c r="P15" s="388">
        <v>631.79999999999995</v>
      </c>
      <c r="Q15" s="388">
        <v>631.79999999999995</v>
      </c>
      <c r="R15" s="388">
        <v>631.79999999999995</v>
      </c>
    </row>
    <row r="16" spans="1:18" s="36" customFormat="1" ht="15" customHeight="1">
      <c r="A16" s="60" t="s">
        <v>23</v>
      </c>
      <c r="B16" s="61" t="s">
        <v>463</v>
      </c>
      <c r="C16" s="8"/>
      <c r="D16" s="388"/>
      <c r="E16" s="388"/>
      <c r="F16" s="388"/>
      <c r="G16" s="388"/>
      <c r="H16" s="388"/>
      <c r="I16" s="388"/>
      <c r="J16" s="388"/>
      <c r="K16" s="388"/>
      <c r="L16" s="388"/>
      <c r="M16" s="388"/>
      <c r="N16" s="388"/>
      <c r="O16" s="388"/>
      <c r="P16" s="388"/>
      <c r="Q16" s="388"/>
      <c r="R16" s="388"/>
    </row>
    <row r="17" spans="1:18" s="36" customFormat="1" ht="15" customHeight="1">
      <c r="A17" s="60" t="s">
        <v>24</v>
      </c>
      <c r="B17" s="61" t="s">
        <v>464</v>
      </c>
      <c r="C17" s="8" t="s">
        <v>465</v>
      </c>
      <c r="D17" s="337">
        <v>4535.55</v>
      </c>
      <c r="E17" s="337">
        <v>4896</v>
      </c>
      <c r="F17" s="337"/>
      <c r="G17" s="337">
        <v>5628</v>
      </c>
      <c r="H17" s="337"/>
      <c r="I17" s="337"/>
      <c r="J17" s="337">
        <v>5778</v>
      </c>
      <c r="K17" s="337"/>
      <c r="L17" s="337">
        <v>6671</v>
      </c>
      <c r="M17" s="337">
        <v>7248</v>
      </c>
      <c r="N17" s="337">
        <v>7398</v>
      </c>
      <c r="O17" s="337">
        <v>7592</v>
      </c>
      <c r="P17" s="337">
        <v>7745</v>
      </c>
      <c r="Q17" s="337">
        <v>7899</v>
      </c>
      <c r="R17" s="337">
        <v>8105</v>
      </c>
    </row>
    <row r="18" spans="1:18" s="36" customFormat="1" ht="15" customHeight="1">
      <c r="A18" s="60" t="s">
        <v>24</v>
      </c>
      <c r="B18" s="61" t="s">
        <v>466</v>
      </c>
      <c r="C18" s="8"/>
      <c r="D18" s="389">
        <f t="shared" ref="D18" si="0">D19/D17</f>
        <v>1.071</v>
      </c>
      <c r="E18" s="389">
        <f>E19/E17</f>
        <v>1.0347222222222223</v>
      </c>
      <c r="F18" s="390"/>
      <c r="G18" s="389">
        <v>1.0266524520255864</v>
      </c>
      <c r="H18" s="389"/>
      <c r="I18" s="389"/>
      <c r="J18" s="389">
        <v>1.1545517480096918</v>
      </c>
      <c r="K18" s="389"/>
      <c r="L18" s="389">
        <v>1.0864937790436215</v>
      </c>
      <c r="M18" s="389">
        <v>1.0685706401766004</v>
      </c>
      <c r="N18" s="389">
        <v>1.0262233035955663</v>
      </c>
      <c r="O18" s="389">
        <v>1.0404373024236038</v>
      </c>
      <c r="P18" s="389">
        <v>1.0589412524209167</v>
      </c>
      <c r="Q18" s="389">
        <v>1.0260792505380427</v>
      </c>
      <c r="R18" s="389">
        <v>1.0238124614435533</v>
      </c>
    </row>
    <row r="19" spans="1:18" s="36" customFormat="1" ht="30" customHeight="1">
      <c r="A19" s="60" t="s">
        <v>139</v>
      </c>
      <c r="B19" s="61" t="s">
        <v>467</v>
      </c>
      <c r="C19" s="8" t="s">
        <v>465</v>
      </c>
      <c r="D19" s="337">
        <v>4857.5740500000002</v>
      </c>
      <c r="E19" s="337">
        <v>5066</v>
      </c>
      <c r="F19" s="337"/>
      <c r="G19" s="337">
        <v>5778</v>
      </c>
      <c r="H19" s="337"/>
      <c r="I19" s="337"/>
      <c r="J19" s="337">
        <v>6671</v>
      </c>
      <c r="K19" s="337"/>
      <c r="L19" s="337">
        <v>7248</v>
      </c>
      <c r="M19" s="337">
        <v>7745</v>
      </c>
      <c r="N19" s="337">
        <v>7592</v>
      </c>
      <c r="O19" s="337">
        <v>7899</v>
      </c>
      <c r="P19" s="337">
        <v>8201.5</v>
      </c>
      <c r="Q19" s="337">
        <v>8105</v>
      </c>
      <c r="R19" s="337">
        <v>8298</v>
      </c>
    </row>
    <row r="20" spans="1:18" s="36" customFormat="1" ht="15" customHeight="1">
      <c r="A20" s="60" t="s">
        <v>433</v>
      </c>
      <c r="B20" s="61" t="s">
        <v>468</v>
      </c>
      <c r="C20" s="8"/>
      <c r="D20" s="342">
        <v>7.8773333333333335</v>
      </c>
      <c r="E20" s="342">
        <v>7.2460000000000004</v>
      </c>
      <c r="F20" s="342"/>
      <c r="G20" s="342">
        <v>7.2469999999999999</v>
      </c>
      <c r="H20" s="342"/>
      <c r="I20" s="342"/>
      <c r="J20" s="342"/>
      <c r="K20" s="342"/>
      <c r="L20" s="342"/>
      <c r="M20" s="342"/>
      <c r="N20" s="342"/>
      <c r="O20" s="342"/>
      <c r="P20" s="342"/>
      <c r="Q20" s="342"/>
      <c r="R20" s="342"/>
    </row>
    <row r="21" spans="1:18" s="36" customFormat="1" ht="30" customHeight="1">
      <c r="A21" s="60" t="s">
        <v>433</v>
      </c>
      <c r="B21" s="61" t="s">
        <v>469</v>
      </c>
      <c r="C21" s="8"/>
      <c r="D21" s="342">
        <v>2.1805749999999997</v>
      </c>
      <c r="E21" s="342">
        <v>2.0209999999999999</v>
      </c>
      <c r="F21" s="342"/>
      <c r="G21" s="342">
        <v>2.0304000000000002</v>
      </c>
      <c r="H21" s="342"/>
      <c r="I21" s="342"/>
      <c r="J21" s="1699">
        <v>2.1</v>
      </c>
      <c r="K21" s="342"/>
      <c r="L21" s="1699">
        <v>2.1</v>
      </c>
      <c r="M21" s="1699">
        <v>2.1048</v>
      </c>
      <c r="N21" s="1699">
        <v>2.1048</v>
      </c>
      <c r="O21" s="1699">
        <v>2.1048</v>
      </c>
      <c r="P21" s="1699">
        <v>2.1051000000000002</v>
      </c>
      <c r="Q21" s="1699">
        <v>2.1051000000000002</v>
      </c>
      <c r="R21" s="1699">
        <v>2.1051000000000002</v>
      </c>
    </row>
    <row r="22" spans="1:18" s="36" customFormat="1" ht="15" customHeight="1">
      <c r="A22" s="60" t="s">
        <v>433</v>
      </c>
      <c r="B22" s="61" t="s">
        <v>470</v>
      </c>
      <c r="C22" s="8" t="s">
        <v>465</v>
      </c>
      <c r="D22" s="337">
        <f>D19*D21</f>
        <v>10592.304534078748</v>
      </c>
      <c r="E22" s="337">
        <f>E19*E21-1</f>
        <v>10237.386</v>
      </c>
      <c r="F22" s="337">
        <f t="shared" ref="F22:G22" si="1">F19*F21</f>
        <v>0</v>
      </c>
      <c r="G22" s="337">
        <v>11731.651200000002</v>
      </c>
      <c r="H22" s="337">
        <v>0</v>
      </c>
      <c r="I22" s="337"/>
      <c r="J22" s="337">
        <v>14009.1</v>
      </c>
      <c r="K22" s="337">
        <v>0</v>
      </c>
      <c r="L22" s="337">
        <v>15220.800000000001</v>
      </c>
      <c r="M22" s="337">
        <v>16301.675999999999</v>
      </c>
      <c r="N22" s="337">
        <v>15979.641600000001</v>
      </c>
      <c r="O22" s="337">
        <v>16625.815200000001</v>
      </c>
      <c r="P22" s="337">
        <v>17264.977650000001</v>
      </c>
      <c r="Q22" s="337">
        <v>17061.835500000001</v>
      </c>
      <c r="R22" s="337">
        <v>17468.1198</v>
      </c>
    </row>
    <row r="23" spans="1:18" s="36" customFormat="1" ht="30" customHeight="1">
      <c r="A23" s="60" t="s">
        <v>471</v>
      </c>
      <c r="B23" s="61" t="s">
        <v>472</v>
      </c>
      <c r="C23" s="8"/>
      <c r="D23" s="388"/>
      <c r="E23" s="388"/>
      <c r="F23" s="388"/>
      <c r="G23" s="388"/>
      <c r="H23" s="388"/>
      <c r="I23" s="388"/>
      <c r="J23" s="388"/>
      <c r="K23" s="388"/>
      <c r="L23" s="388"/>
      <c r="M23" s="388"/>
      <c r="N23" s="388"/>
      <c r="O23" s="388"/>
      <c r="P23" s="388"/>
      <c r="Q23" s="388"/>
      <c r="R23" s="388"/>
    </row>
    <row r="24" spans="1:18" s="36" customFormat="1" ht="15" customHeight="1">
      <c r="A24" s="60"/>
      <c r="B24" s="70" t="s">
        <v>473</v>
      </c>
      <c r="C24" s="8" t="s">
        <v>138</v>
      </c>
      <c r="D24" s="946">
        <v>18.401666666666667</v>
      </c>
      <c r="E24" s="946">
        <v>18</v>
      </c>
      <c r="F24" s="337"/>
      <c r="G24" s="337">
        <v>19.541</v>
      </c>
      <c r="H24" s="946"/>
      <c r="I24" s="946"/>
      <c r="J24" s="342">
        <v>13.996</v>
      </c>
      <c r="K24" s="946"/>
      <c r="L24" s="342">
        <v>13.12</v>
      </c>
      <c r="M24" s="342">
        <v>13.12</v>
      </c>
      <c r="N24" s="342">
        <v>13.12</v>
      </c>
      <c r="O24" s="342">
        <v>13.12</v>
      </c>
      <c r="P24" s="342">
        <v>13.12</v>
      </c>
      <c r="Q24" s="342">
        <v>13.12</v>
      </c>
      <c r="R24" s="342">
        <v>13.12</v>
      </c>
    </row>
    <row r="25" spans="1:18" s="36" customFormat="1" ht="15" customHeight="1">
      <c r="A25" s="60"/>
      <c r="B25" s="70" t="s">
        <v>474</v>
      </c>
      <c r="C25" s="8" t="s">
        <v>465</v>
      </c>
      <c r="D25" s="337">
        <f>(D24*D22)/100</f>
        <v>1949.1605726793912</v>
      </c>
      <c r="E25" s="337">
        <f>(E24*E22)/100-1</f>
        <v>1841.72948</v>
      </c>
      <c r="F25" s="337">
        <f t="shared" ref="F25" si="2">(F24*F22)/100</f>
        <v>0</v>
      </c>
      <c r="G25" s="337">
        <v>2292.4819609920005</v>
      </c>
      <c r="H25" s="337">
        <v>0</v>
      </c>
      <c r="I25" s="337"/>
      <c r="J25" s="337">
        <v>1961</v>
      </c>
      <c r="K25" s="337">
        <v>0</v>
      </c>
      <c r="L25" s="337">
        <v>1997</v>
      </c>
      <c r="M25" s="337">
        <v>2139</v>
      </c>
      <c r="N25" s="337">
        <v>2097</v>
      </c>
      <c r="O25" s="337">
        <v>2181</v>
      </c>
      <c r="P25" s="337">
        <v>2265</v>
      </c>
      <c r="Q25" s="337">
        <v>2239</v>
      </c>
      <c r="R25" s="337">
        <v>2292</v>
      </c>
    </row>
    <row r="26" spans="1:18" s="36" customFormat="1" ht="15" customHeight="1">
      <c r="A26" s="60" t="s">
        <v>475</v>
      </c>
      <c r="B26" s="61" t="s">
        <v>476</v>
      </c>
      <c r="C26" s="8"/>
      <c r="D26" s="337"/>
      <c r="E26" s="337"/>
      <c r="F26" s="337"/>
      <c r="G26" s="337"/>
      <c r="H26" s="337"/>
      <c r="I26" s="337"/>
      <c r="J26" s="337"/>
      <c r="K26" s="337"/>
      <c r="L26" s="337"/>
      <c r="M26" s="337"/>
      <c r="N26" s="337"/>
      <c r="O26" s="337"/>
      <c r="P26" s="337"/>
      <c r="Q26" s="337"/>
      <c r="R26" s="337"/>
    </row>
    <row r="27" spans="1:18" s="36" customFormat="1" ht="15" customHeight="1">
      <c r="A27" s="60"/>
      <c r="B27" s="70" t="s">
        <v>473</v>
      </c>
      <c r="C27" s="8" t="s">
        <v>138</v>
      </c>
      <c r="D27" s="337">
        <v>50</v>
      </c>
      <c r="E27" s="946">
        <v>48.05</v>
      </c>
      <c r="F27" s="337"/>
      <c r="G27" s="337">
        <v>48.47</v>
      </c>
      <c r="H27" s="946"/>
      <c r="I27" s="946"/>
      <c r="J27" s="342">
        <v>47.63</v>
      </c>
      <c r="K27" s="946"/>
      <c r="L27" s="342">
        <v>46.825000000000003</v>
      </c>
      <c r="M27" s="946">
        <v>50</v>
      </c>
      <c r="N27" s="946">
        <v>50</v>
      </c>
      <c r="O27" s="946">
        <v>50</v>
      </c>
      <c r="P27" s="946">
        <v>50</v>
      </c>
      <c r="Q27" s="946">
        <v>50</v>
      </c>
      <c r="R27" s="946">
        <v>50</v>
      </c>
    </row>
    <row r="28" spans="1:18" s="36" customFormat="1" ht="15" customHeight="1">
      <c r="A28" s="60"/>
      <c r="B28" s="70" t="s">
        <v>474</v>
      </c>
      <c r="C28" s="8" t="s">
        <v>465</v>
      </c>
      <c r="D28" s="337">
        <f>(D22+D25)*D27/100</f>
        <v>6270.7325533790699</v>
      </c>
      <c r="E28" s="337">
        <f>(E22+E25)*E27/100-1</f>
        <v>5803.0149881399993</v>
      </c>
      <c r="F28" s="337">
        <f t="shared" ref="F28" si="3">(F22+F25)*F27/100</f>
        <v>0</v>
      </c>
      <c r="G28" s="337">
        <v>6797.4973431328226</v>
      </c>
      <c r="H28" s="337">
        <v>0</v>
      </c>
      <c r="I28" s="337"/>
      <c r="J28" s="337">
        <v>7607</v>
      </c>
      <c r="K28" s="337">
        <v>0</v>
      </c>
      <c r="L28" s="337">
        <v>8062</v>
      </c>
      <c r="M28" s="337">
        <v>9220</v>
      </c>
      <c r="N28" s="337">
        <v>9038</v>
      </c>
      <c r="O28" s="337">
        <v>9403</v>
      </c>
      <c r="P28" s="337">
        <v>9765</v>
      </c>
      <c r="Q28" s="337">
        <v>9650</v>
      </c>
      <c r="R28" s="337">
        <v>9880</v>
      </c>
    </row>
    <row r="29" spans="1:18" s="36" customFormat="1" ht="15" customHeight="1">
      <c r="A29" s="60" t="s">
        <v>477</v>
      </c>
      <c r="B29" s="61" t="s">
        <v>478</v>
      </c>
      <c r="C29" s="8"/>
      <c r="D29" s="337"/>
      <c r="E29" s="337"/>
      <c r="F29" s="337"/>
      <c r="G29" s="337"/>
      <c r="H29" s="337"/>
      <c r="I29" s="337"/>
      <c r="J29" s="337"/>
      <c r="K29" s="337"/>
      <c r="L29" s="337"/>
      <c r="M29" s="337"/>
      <c r="N29" s="337"/>
      <c r="O29" s="337"/>
      <c r="P29" s="337"/>
      <c r="Q29" s="337"/>
      <c r="R29" s="337"/>
    </row>
    <row r="30" spans="1:18" s="36" customFormat="1" ht="15" customHeight="1">
      <c r="A30" s="60"/>
      <c r="B30" s="70" t="s">
        <v>473</v>
      </c>
      <c r="C30" s="8" t="s">
        <v>138</v>
      </c>
      <c r="D30" s="342">
        <v>10.49</v>
      </c>
      <c r="E30" s="946">
        <v>10.56</v>
      </c>
      <c r="F30" s="337"/>
      <c r="G30" s="337">
        <v>10.641999999999999</v>
      </c>
      <c r="H30" s="946"/>
      <c r="I30" s="946"/>
      <c r="J30" s="342">
        <v>10.901999999999999</v>
      </c>
      <c r="K30" s="946"/>
      <c r="L30" s="342">
        <v>10.904999999999999</v>
      </c>
      <c r="M30" s="342">
        <v>11</v>
      </c>
      <c r="N30" s="342">
        <v>11</v>
      </c>
      <c r="O30" s="342">
        <v>11</v>
      </c>
      <c r="P30" s="342">
        <v>11</v>
      </c>
      <c r="Q30" s="342">
        <v>11</v>
      </c>
      <c r="R30" s="342">
        <v>11</v>
      </c>
    </row>
    <row r="31" spans="1:18" s="36" customFormat="1" ht="15" customHeight="1">
      <c r="A31" s="60"/>
      <c r="B31" s="70" t="s">
        <v>474</v>
      </c>
      <c r="C31" s="8" t="s">
        <v>465</v>
      </c>
      <c r="D31" s="337">
        <f>(D22+D25)*D30/100</f>
        <v>1315.5996896989288</v>
      </c>
      <c r="E31" s="337">
        <f>(E22+E25)*E30/100</f>
        <v>1275.5545946880002</v>
      </c>
      <c r="F31" s="337">
        <f t="shared" ref="F31" si="4">(F22+F25)*F30/100</f>
        <v>0</v>
      </c>
      <c r="G31" s="337">
        <v>1492.4482509927686</v>
      </c>
      <c r="H31" s="337">
        <v>0</v>
      </c>
      <c r="I31" s="337"/>
      <c r="J31" s="337">
        <v>1741</v>
      </c>
      <c r="K31" s="337">
        <v>0</v>
      </c>
      <c r="L31" s="337">
        <v>1878</v>
      </c>
      <c r="M31" s="337">
        <v>2028</v>
      </c>
      <c r="N31" s="337">
        <v>1988</v>
      </c>
      <c r="O31" s="337">
        <v>2069</v>
      </c>
      <c r="P31" s="337">
        <v>2148</v>
      </c>
      <c r="Q31" s="337">
        <v>2123</v>
      </c>
      <c r="R31" s="337">
        <v>2174</v>
      </c>
    </row>
    <row r="32" spans="1:18" s="36" customFormat="1" ht="15" customHeight="1">
      <c r="A32" s="60" t="s">
        <v>479</v>
      </c>
      <c r="B32" s="61" t="s">
        <v>480</v>
      </c>
      <c r="C32" s="8"/>
      <c r="D32" s="337"/>
      <c r="E32" s="337"/>
      <c r="F32" s="337"/>
      <c r="G32" s="337"/>
      <c r="H32" s="337"/>
      <c r="I32" s="337"/>
      <c r="J32" s="337"/>
      <c r="K32" s="337"/>
      <c r="L32" s="337"/>
      <c r="M32" s="337"/>
      <c r="N32" s="337"/>
      <c r="O32" s="337"/>
      <c r="P32" s="337"/>
      <c r="Q32" s="337"/>
      <c r="R32" s="337"/>
    </row>
    <row r="33" spans="1:18" s="36" customFormat="1" ht="15" customHeight="1">
      <c r="A33" s="60"/>
      <c r="B33" s="70" t="s">
        <v>473</v>
      </c>
      <c r="C33" s="8" t="s">
        <v>138</v>
      </c>
      <c r="D33" s="337">
        <v>0</v>
      </c>
      <c r="E33" s="337">
        <v>0</v>
      </c>
      <c r="F33" s="337">
        <v>0</v>
      </c>
      <c r="G33" s="337">
        <v>0</v>
      </c>
      <c r="H33" s="337">
        <v>0</v>
      </c>
      <c r="I33" s="337"/>
      <c r="J33" s="337">
        <v>0</v>
      </c>
      <c r="K33" s="337"/>
      <c r="L33" s="337"/>
      <c r="M33" s="337">
        <v>0</v>
      </c>
      <c r="N33" s="337">
        <v>0</v>
      </c>
      <c r="O33" s="337">
        <v>0</v>
      </c>
      <c r="P33" s="337">
        <v>0</v>
      </c>
      <c r="Q33" s="337">
        <v>0</v>
      </c>
      <c r="R33" s="337">
        <v>0</v>
      </c>
    </row>
    <row r="34" spans="1:18" s="36" customFormat="1" ht="15" customHeight="1">
      <c r="A34" s="60"/>
      <c r="B34" s="70" t="s">
        <v>474</v>
      </c>
      <c r="C34" s="8" t="s">
        <v>465</v>
      </c>
      <c r="D34" s="337">
        <v>0</v>
      </c>
      <c r="E34" s="337">
        <v>113.8</v>
      </c>
      <c r="F34" s="337">
        <v>0</v>
      </c>
      <c r="G34" s="337">
        <v>0</v>
      </c>
      <c r="H34" s="337">
        <v>0</v>
      </c>
      <c r="I34" s="337"/>
      <c r="J34" s="337">
        <v>0</v>
      </c>
      <c r="K34" s="337">
        <v>0</v>
      </c>
      <c r="L34" s="337">
        <v>0</v>
      </c>
      <c r="M34" s="337">
        <v>0</v>
      </c>
      <c r="N34" s="337">
        <v>0</v>
      </c>
      <c r="O34" s="337">
        <v>0</v>
      </c>
      <c r="P34" s="337">
        <v>0</v>
      </c>
      <c r="Q34" s="337">
        <v>0</v>
      </c>
      <c r="R34" s="337">
        <v>0</v>
      </c>
    </row>
    <row r="35" spans="1:18" s="36" customFormat="1" hidden="1">
      <c r="A35" s="60" t="s">
        <v>481</v>
      </c>
      <c r="B35" s="61"/>
      <c r="C35" s="8"/>
      <c r="D35" s="337"/>
      <c r="E35" s="337"/>
      <c r="F35" s="337"/>
      <c r="G35" s="337"/>
      <c r="H35" s="337"/>
      <c r="I35" s="337"/>
      <c r="J35" s="337"/>
      <c r="K35" s="337"/>
      <c r="L35" s="337"/>
      <c r="M35" s="337"/>
      <c r="N35" s="337"/>
      <c r="O35" s="337"/>
      <c r="P35" s="337"/>
      <c r="Q35" s="337"/>
      <c r="R35" s="337"/>
    </row>
    <row r="36" spans="1:18" s="36" customFormat="1" ht="15" hidden="1" customHeight="1">
      <c r="A36" s="60"/>
      <c r="B36" s="70" t="s">
        <v>473</v>
      </c>
      <c r="C36" s="8" t="s">
        <v>138</v>
      </c>
      <c r="D36" s="388"/>
      <c r="E36" s="388"/>
      <c r="F36" s="388"/>
      <c r="G36" s="388"/>
      <c r="H36" s="388"/>
      <c r="I36" s="388"/>
      <c r="J36" s="388"/>
      <c r="K36" s="388"/>
      <c r="L36" s="388"/>
      <c r="M36" s="388"/>
      <c r="N36" s="388"/>
      <c r="O36" s="388"/>
      <c r="P36" s="388"/>
      <c r="Q36" s="388"/>
      <c r="R36" s="388"/>
    </row>
    <row r="37" spans="1:18" s="36" customFormat="1" ht="15" hidden="1" customHeight="1">
      <c r="A37" s="60"/>
      <c r="B37" s="70" t="s">
        <v>474</v>
      </c>
      <c r="C37" s="8" t="s">
        <v>465</v>
      </c>
      <c r="D37" s="388"/>
      <c r="E37" s="388"/>
      <c r="F37" s="388"/>
      <c r="G37" s="388"/>
      <c r="H37" s="388"/>
      <c r="I37" s="388"/>
      <c r="J37" s="388"/>
      <c r="K37" s="388"/>
      <c r="L37" s="388"/>
      <c r="M37" s="388"/>
      <c r="N37" s="388"/>
      <c r="O37" s="388"/>
      <c r="P37" s="388"/>
      <c r="Q37" s="388"/>
      <c r="R37" s="388"/>
    </row>
    <row r="38" spans="1:18" s="36" customFormat="1" hidden="1">
      <c r="A38" s="60" t="s">
        <v>482</v>
      </c>
      <c r="B38" s="61"/>
      <c r="C38" s="8"/>
      <c r="D38" s="388"/>
      <c r="E38" s="388"/>
      <c r="F38" s="388"/>
      <c r="G38" s="388"/>
      <c r="H38" s="388"/>
      <c r="I38" s="388"/>
      <c r="J38" s="388"/>
      <c r="K38" s="388"/>
      <c r="L38" s="388"/>
      <c r="M38" s="388"/>
      <c r="N38" s="388"/>
      <c r="O38" s="388"/>
      <c r="P38" s="388"/>
      <c r="Q38" s="388"/>
      <c r="R38" s="388"/>
    </row>
    <row r="39" spans="1:18" s="36" customFormat="1" ht="15" hidden="1" customHeight="1">
      <c r="A39" s="60"/>
      <c r="B39" s="70" t="s">
        <v>473</v>
      </c>
      <c r="C39" s="8" t="s">
        <v>138</v>
      </c>
      <c r="D39" s="388"/>
      <c r="E39" s="388"/>
      <c r="F39" s="388"/>
      <c r="G39" s="388"/>
      <c r="H39" s="388"/>
      <c r="I39" s="388"/>
      <c r="J39" s="388"/>
      <c r="K39" s="388"/>
      <c r="L39" s="388"/>
      <c r="M39" s="388"/>
      <c r="N39" s="388"/>
      <c r="O39" s="388"/>
      <c r="P39" s="388"/>
      <c r="Q39" s="388"/>
      <c r="R39" s="388"/>
    </row>
    <row r="40" spans="1:18" s="36" customFormat="1" ht="15" hidden="1" customHeight="1">
      <c r="A40" s="60"/>
      <c r="B40" s="70" t="s">
        <v>474</v>
      </c>
      <c r="C40" s="8" t="s">
        <v>465</v>
      </c>
      <c r="D40" s="388"/>
      <c r="E40" s="388"/>
      <c r="F40" s="388"/>
      <c r="G40" s="388"/>
      <c r="H40" s="388"/>
      <c r="I40" s="388"/>
      <c r="J40" s="388"/>
      <c r="K40" s="388"/>
      <c r="L40" s="388"/>
      <c r="M40" s="388"/>
      <c r="N40" s="388"/>
      <c r="O40" s="388"/>
      <c r="P40" s="388"/>
      <c r="Q40" s="388"/>
      <c r="R40" s="388"/>
    </row>
    <row r="41" spans="1:18" s="36" customFormat="1" ht="30" customHeight="1">
      <c r="A41" s="60" t="s">
        <v>483</v>
      </c>
      <c r="B41" s="61" t="s">
        <v>484</v>
      </c>
      <c r="C41" s="8"/>
      <c r="D41" s="388"/>
      <c r="E41" s="388"/>
      <c r="F41" s="388"/>
      <c r="G41" s="388"/>
      <c r="H41" s="388"/>
      <c r="I41" s="388"/>
      <c r="J41" s="388"/>
      <c r="K41" s="388"/>
      <c r="L41" s="388"/>
      <c r="M41" s="388"/>
      <c r="N41" s="388"/>
      <c r="O41" s="388"/>
      <c r="P41" s="388"/>
      <c r="Q41" s="388"/>
      <c r="R41" s="388"/>
    </row>
    <row r="42" spans="1:18" s="36" customFormat="1" ht="15" customHeight="1">
      <c r="A42" s="60"/>
      <c r="B42" s="70" t="s">
        <v>473</v>
      </c>
      <c r="C42" s="8" t="s">
        <v>138</v>
      </c>
      <c r="D42" s="337">
        <v>160</v>
      </c>
      <c r="E42" s="337">
        <v>160</v>
      </c>
      <c r="F42" s="337">
        <v>160</v>
      </c>
      <c r="G42" s="337">
        <v>160</v>
      </c>
      <c r="H42" s="337">
        <v>160</v>
      </c>
      <c r="I42" s="337"/>
      <c r="J42" s="337">
        <v>160</v>
      </c>
      <c r="K42" s="337">
        <v>160</v>
      </c>
      <c r="L42" s="337">
        <v>160</v>
      </c>
      <c r="M42" s="337">
        <v>160</v>
      </c>
      <c r="N42" s="337">
        <v>160</v>
      </c>
      <c r="O42" s="337">
        <v>160</v>
      </c>
      <c r="P42" s="337">
        <v>160</v>
      </c>
      <c r="Q42" s="337">
        <v>160</v>
      </c>
      <c r="R42" s="337">
        <v>160</v>
      </c>
    </row>
    <row r="43" spans="1:18" s="36" customFormat="1" ht="15" customHeight="1">
      <c r="A43" s="60"/>
      <c r="B43" s="70" t="s">
        <v>474</v>
      </c>
      <c r="C43" s="8" t="s">
        <v>465</v>
      </c>
      <c r="D43" s="250">
        <f>(D22+D25+D28+D31)*D42/100+1</f>
        <v>32205.475759737819</v>
      </c>
      <c r="E43" s="250">
        <f>(E22+E25+E28+E31)*E42/100</f>
        <v>30652.296100524803</v>
      </c>
      <c r="F43" s="250">
        <f t="shared" ref="F43" si="5">(F22+F25+F28+F31)*F42/100</f>
        <v>0</v>
      </c>
      <c r="G43" s="337">
        <v>35699.52600818815</v>
      </c>
      <c r="H43" s="250">
        <v>0</v>
      </c>
      <c r="I43" s="250"/>
      <c r="J43" s="250">
        <v>40509</v>
      </c>
      <c r="K43" s="337">
        <v>0</v>
      </c>
      <c r="L43" s="250">
        <v>43452</v>
      </c>
      <c r="M43" s="250">
        <v>47502</v>
      </c>
      <c r="N43" s="250">
        <v>46564</v>
      </c>
      <c r="O43" s="250">
        <v>48446</v>
      </c>
      <c r="P43" s="250">
        <v>50309</v>
      </c>
      <c r="Q43" s="250">
        <v>49718</v>
      </c>
      <c r="R43" s="250">
        <v>50903</v>
      </c>
    </row>
    <row r="44" spans="1:18" s="36" customFormat="1" ht="30" customHeight="1">
      <c r="A44" s="387" t="s">
        <v>27</v>
      </c>
      <c r="B44" s="386" t="s">
        <v>485</v>
      </c>
      <c r="C44" s="385" t="s">
        <v>465</v>
      </c>
      <c r="D44" s="384">
        <f>D22+D25+D28+D31+D43</f>
        <v>52333.273109573958</v>
      </c>
      <c r="E44" s="384">
        <f>E22+E25+E28+E31+E43+E34</f>
        <v>49923.781163352804</v>
      </c>
      <c r="F44" s="384">
        <f t="shared" ref="F44" si="6">F22+F25+F28+F31+F43</f>
        <v>0</v>
      </c>
      <c r="G44" s="384">
        <v>58013.604763305746</v>
      </c>
      <c r="H44" s="384">
        <v>0</v>
      </c>
      <c r="I44" s="384"/>
      <c r="J44" s="384">
        <v>65827.100000000006</v>
      </c>
      <c r="K44" s="384">
        <v>0</v>
      </c>
      <c r="L44" s="384">
        <v>70609.8</v>
      </c>
      <c r="M44" s="384">
        <v>77190.676000000007</v>
      </c>
      <c r="N44" s="384">
        <v>75666.641600000003</v>
      </c>
      <c r="O44" s="384">
        <v>78724.815199999997</v>
      </c>
      <c r="P44" s="384">
        <v>81751.977650000001</v>
      </c>
      <c r="Q44" s="384">
        <v>80791.835500000001</v>
      </c>
      <c r="R44" s="384">
        <v>82717.1198</v>
      </c>
    </row>
    <row r="45" spans="1:18" s="1368" customFormat="1" ht="30" customHeight="1">
      <c r="A45" s="1364" t="s">
        <v>95</v>
      </c>
      <c r="B45" s="1365" t="s">
        <v>905</v>
      </c>
      <c r="C45" s="1366" t="s">
        <v>465</v>
      </c>
      <c r="D45" s="1367">
        <f>(D44*D15*D54/1000)+D46+D47+D48-1</f>
        <v>393998.4827868148</v>
      </c>
      <c r="E45" s="1367">
        <f>(E44*E15*E54/1000)+E46+E47+E48-1</f>
        <v>400405.54178330186</v>
      </c>
      <c r="F45" s="1367">
        <f>(F44*F15*F54/1000)+F46+F47+F48</f>
        <v>0</v>
      </c>
      <c r="G45" s="1367">
        <v>452787.71322204696</v>
      </c>
      <c r="H45" s="1367">
        <v>0</v>
      </c>
      <c r="I45" s="1367"/>
      <c r="J45" s="1367">
        <v>507164.04608000006</v>
      </c>
      <c r="K45" s="1367">
        <v>0</v>
      </c>
      <c r="L45" s="1367">
        <v>546216.95967999997</v>
      </c>
      <c r="M45" s="1367">
        <v>610567.13443743996</v>
      </c>
      <c r="N45" s="1367">
        <v>293391.10497727996</v>
      </c>
      <c r="O45" s="1367">
        <v>317176.02946016</v>
      </c>
      <c r="P45" s="1367">
        <v>646440.74775123992</v>
      </c>
      <c r="Q45" s="1367">
        <v>313115.19001339993</v>
      </c>
      <c r="R45" s="1367">
        <v>333325.55773783993</v>
      </c>
    </row>
    <row r="46" spans="1:18">
      <c r="A46" s="60" t="s">
        <v>898</v>
      </c>
      <c r="B46" s="61" t="s">
        <v>899</v>
      </c>
      <c r="C46" s="8" t="s">
        <v>892</v>
      </c>
      <c r="D46" s="250">
        <v>5713</v>
      </c>
      <c r="E46" s="250">
        <v>7314</v>
      </c>
      <c r="F46" s="250"/>
      <c r="G46" s="250">
        <v>7919</v>
      </c>
      <c r="H46" s="250"/>
      <c r="I46" s="250"/>
      <c r="J46" s="250">
        <v>9067</v>
      </c>
      <c r="K46" s="250"/>
      <c r="L46" s="250">
        <v>10737</v>
      </c>
      <c r="M46" s="337">
        <v>12949</v>
      </c>
      <c r="N46" s="337">
        <v>6475</v>
      </c>
      <c r="O46" s="337">
        <v>6475</v>
      </c>
      <c r="P46" s="337">
        <v>13532</v>
      </c>
      <c r="Q46" s="337">
        <v>6766</v>
      </c>
      <c r="R46" s="337">
        <v>6766</v>
      </c>
    </row>
    <row r="47" spans="1:18" ht="60.75" customHeight="1">
      <c r="A47" s="60" t="s">
        <v>900</v>
      </c>
      <c r="B47" s="61" t="s">
        <v>902</v>
      </c>
      <c r="C47" s="8" t="s">
        <v>892</v>
      </c>
      <c r="D47" s="250"/>
      <c r="E47" s="250"/>
      <c r="F47" s="250"/>
      <c r="G47" s="250"/>
      <c r="H47" s="250"/>
      <c r="I47" s="250"/>
      <c r="J47" s="250"/>
      <c r="K47" s="250"/>
      <c r="L47" s="250"/>
      <c r="M47" s="337"/>
      <c r="N47" s="337"/>
      <c r="O47" s="337"/>
      <c r="P47" s="337"/>
      <c r="Q47" s="337"/>
      <c r="R47" s="337"/>
    </row>
    <row r="48" spans="1:18">
      <c r="A48" s="60" t="s">
        <v>901</v>
      </c>
      <c r="B48" s="61" t="s">
        <v>348</v>
      </c>
      <c r="C48" s="8" t="s">
        <v>892</v>
      </c>
      <c r="D48" s="250">
        <f>D49+D50+D51+D52+D53</f>
        <v>0</v>
      </c>
      <c r="E48" s="250">
        <f>E49+E50+E51+E52+E53</f>
        <v>8959</v>
      </c>
      <c r="F48" s="250">
        <f t="shared" ref="F48:O48" si="7">F49+F50+F51+F52+F53</f>
        <v>0</v>
      </c>
      <c r="G48" s="250">
        <v>5184</v>
      </c>
      <c r="H48" s="250">
        <v>0</v>
      </c>
      <c r="I48" s="250"/>
      <c r="J48" s="250">
        <v>143</v>
      </c>
      <c r="K48" s="250">
        <v>0</v>
      </c>
      <c r="L48" s="250">
        <v>153</v>
      </c>
      <c r="M48" s="250">
        <v>12350</v>
      </c>
      <c r="N48" s="250">
        <v>79</v>
      </c>
      <c r="O48" s="250">
        <v>12271</v>
      </c>
      <c r="P48" s="250">
        <v>13080</v>
      </c>
      <c r="Q48" s="250">
        <v>83.5</v>
      </c>
      <c r="R48" s="250">
        <v>12996.5</v>
      </c>
    </row>
    <row r="49" spans="1:18" ht="30">
      <c r="A49" s="60" t="s">
        <v>1024</v>
      </c>
      <c r="B49" s="61" t="s">
        <v>1023</v>
      </c>
      <c r="C49" s="8" t="s">
        <v>892</v>
      </c>
      <c r="D49" s="250"/>
      <c r="E49" s="337">
        <v>2438</v>
      </c>
      <c r="F49" s="250"/>
      <c r="G49" s="337"/>
      <c r="H49" s="337"/>
      <c r="I49" s="337"/>
      <c r="J49" s="337"/>
      <c r="K49" s="337"/>
      <c r="L49" s="337"/>
      <c r="M49" s="337">
        <v>0</v>
      </c>
      <c r="N49" s="337"/>
      <c r="O49" s="337"/>
      <c r="P49" s="337">
        <v>0</v>
      </c>
      <c r="Q49" s="337"/>
      <c r="R49" s="337"/>
    </row>
    <row r="50" spans="1:18" ht="30">
      <c r="A50" s="60" t="s">
        <v>1022</v>
      </c>
      <c r="B50" s="61" t="s">
        <v>1021</v>
      </c>
      <c r="C50" s="8" t="s">
        <v>892</v>
      </c>
      <c r="D50" s="250"/>
      <c r="E50" s="337">
        <v>0</v>
      </c>
      <c r="F50" s="250"/>
      <c r="G50" s="337">
        <v>226</v>
      </c>
      <c r="H50" s="337"/>
      <c r="I50" s="337"/>
      <c r="J50" s="337"/>
      <c r="K50" s="337"/>
      <c r="L50" s="337"/>
      <c r="M50" s="337">
        <v>0</v>
      </c>
      <c r="N50" s="337"/>
      <c r="O50" s="337"/>
      <c r="P50" s="337">
        <v>0</v>
      </c>
      <c r="Q50" s="337"/>
      <c r="R50" s="337"/>
    </row>
    <row r="51" spans="1:18">
      <c r="A51" s="60" t="s">
        <v>1020</v>
      </c>
      <c r="B51" s="61" t="s">
        <v>1019</v>
      </c>
      <c r="C51" s="8" t="s">
        <v>892</v>
      </c>
      <c r="D51" s="250"/>
      <c r="E51" s="337">
        <v>107</v>
      </c>
      <c r="F51" s="250"/>
      <c r="G51" s="337">
        <v>123</v>
      </c>
      <c r="H51" s="337"/>
      <c r="I51" s="337"/>
      <c r="J51" s="337">
        <v>143</v>
      </c>
      <c r="K51" s="337"/>
      <c r="L51" s="337">
        <v>153</v>
      </c>
      <c r="M51" s="337">
        <v>158</v>
      </c>
      <c r="N51" s="337">
        <v>79</v>
      </c>
      <c r="O51" s="337">
        <v>79</v>
      </c>
      <c r="P51" s="337">
        <v>167</v>
      </c>
      <c r="Q51" s="337">
        <v>83.5</v>
      </c>
      <c r="R51" s="337">
        <v>83.5</v>
      </c>
    </row>
    <row r="52" spans="1:18" ht="30">
      <c r="A52" s="60" t="s">
        <v>1018</v>
      </c>
      <c r="B52" s="61" t="s">
        <v>934</v>
      </c>
      <c r="C52" s="8" t="s">
        <v>892</v>
      </c>
      <c r="D52" s="250"/>
      <c r="E52" s="337"/>
      <c r="F52" s="250"/>
      <c r="G52" s="337"/>
      <c r="H52" s="250"/>
      <c r="I52" s="250"/>
      <c r="J52" s="250"/>
      <c r="K52" s="250"/>
      <c r="L52" s="250"/>
      <c r="M52" s="337">
        <v>12192</v>
      </c>
      <c r="N52" s="337"/>
      <c r="O52" s="337">
        <v>12192</v>
      </c>
      <c r="P52" s="337">
        <v>12913</v>
      </c>
      <c r="Q52" s="337"/>
      <c r="R52" s="337">
        <v>12913</v>
      </c>
    </row>
    <row r="53" spans="1:18" ht="75">
      <c r="A53" s="60" t="s">
        <v>1071</v>
      </c>
      <c r="B53" s="61" t="s">
        <v>1558</v>
      </c>
      <c r="C53" s="8" t="s">
        <v>892</v>
      </c>
      <c r="D53" s="241"/>
      <c r="E53" s="241">
        <v>6414</v>
      </c>
      <c r="F53" s="241"/>
      <c r="G53" s="241">
        <v>4835</v>
      </c>
      <c r="H53" s="241"/>
      <c r="I53" s="241"/>
      <c r="J53" s="308"/>
      <c r="K53" s="308"/>
      <c r="L53" s="308"/>
      <c r="M53" s="308"/>
      <c r="N53" s="308"/>
      <c r="O53" s="308"/>
      <c r="P53" s="308"/>
      <c r="Q53" s="308"/>
      <c r="R53" s="308"/>
    </row>
    <row r="54" spans="1:18" ht="30">
      <c r="A54" s="60"/>
      <c r="B54" s="61" t="s">
        <v>903</v>
      </c>
      <c r="C54" s="8" t="s">
        <v>892</v>
      </c>
      <c r="D54" s="250">
        <v>12</v>
      </c>
      <c r="E54" s="250">
        <v>12</v>
      </c>
      <c r="F54" s="250">
        <v>12</v>
      </c>
      <c r="G54" s="250">
        <v>12</v>
      </c>
      <c r="H54" s="250">
        <v>12</v>
      </c>
      <c r="I54" s="250"/>
      <c r="J54" s="250">
        <v>12</v>
      </c>
      <c r="K54" s="250">
        <v>12</v>
      </c>
      <c r="L54" s="250">
        <v>12</v>
      </c>
      <c r="M54" s="250">
        <v>12</v>
      </c>
      <c r="N54" s="250">
        <v>6</v>
      </c>
      <c r="O54" s="250">
        <v>6</v>
      </c>
      <c r="P54" s="250">
        <v>12</v>
      </c>
      <c r="Q54" s="250">
        <v>6</v>
      </c>
      <c r="R54" s="250">
        <v>6</v>
      </c>
    </row>
    <row r="55" spans="1:18" s="763" customFormat="1" ht="28.5">
      <c r="A55" s="1352" t="s">
        <v>904</v>
      </c>
      <c r="B55" s="1353" t="s">
        <v>905</v>
      </c>
      <c r="C55" s="1354" t="s">
        <v>892</v>
      </c>
      <c r="D55" s="1013">
        <f t="shared" ref="D55:F55" si="8">(D44*D15*D54/1000)</f>
        <v>388286.4827868148</v>
      </c>
      <c r="E55" s="1013">
        <f t="shared" si="8"/>
        <v>384133.54178330186</v>
      </c>
      <c r="F55" s="1013">
        <f t="shared" si="8"/>
        <v>0</v>
      </c>
      <c r="G55" s="1013">
        <v>444868.71322204696</v>
      </c>
      <c r="H55" s="1013">
        <v>0</v>
      </c>
      <c r="I55" s="1013">
        <v>-12</v>
      </c>
      <c r="J55" s="1013">
        <v>498097.04608000006</v>
      </c>
      <c r="K55" s="1013">
        <v>0</v>
      </c>
      <c r="L55" s="1013">
        <v>535479.95967999997</v>
      </c>
      <c r="M55" s="1013">
        <v>597617.13443743996</v>
      </c>
      <c r="N55" s="1013">
        <v>286916.10497727996</v>
      </c>
      <c r="O55" s="1013">
        <v>310701.02946016</v>
      </c>
      <c r="P55" s="1013">
        <v>632908.74775123992</v>
      </c>
      <c r="Q55" s="1013">
        <v>306349.19001339993</v>
      </c>
      <c r="R55" s="1013">
        <v>326559.55773783993</v>
      </c>
    </row>
    <row r="56" spans="1:18" ht="30">
      <c r="A56" s="60" t="s">
        <v>906</v>
      </c>
      <c r="B56" s="61" t="s">
        <v>909</v>
      </c>
      <c r="C56" s="8" t="s">
        <v>892</v>
      </c>
      <c r="D56" s="250"/>
      <c r="E56" s="250"/>
      <c r="F56" s="250"/>
      <c r="G56" s="250"/>
      <c r="H56" s="250"/>
      <c r="I56" s="250"/>
      <c r="J56" s="250"/>
      <c r="K56" s="250"/>
      <c r="L56" s="250"/>
      <c r="M56" s="250"/>
      <c r="N56" s="250"/>
      <c r="O56" s="250"/>
      <c r="P56" s="250"/>
      <c r="Q56" s="250"/>
      <c r="R56" s="250"/>
    </row>
    <row r="57" spans="1:18">
      <c r="A57" s="60" t="s">
        <v>907</v>
      </c>
      <c r="B57" s="61" t="s">
        <v>1025</v>
      </c>
      <c r="C57" s="8" t="s">
        <v>892</v>
      </c>
      <c r="D57" s="250">
        <f>D55</f>
        <v>388286.4827868148</v>
      </c>
      <c r="E57" s="250">
        <f t="shared" ref="E57:J57" si="9">E55</f>
        <v>384133.54178330186</v>
      </c>
      <c r="F57" s="250">
        <f t="shared" si="9"/>
        <v>0</v>
      </c>
      <c r="G57" s="250">
        <v>444868.71322204696</v>
      </c>
      <c r="H57" s="250">
        <v>0</v>
      </c>
      <c r="I57" s="250"/>
      <c r="J57" s="250">
        <v>498097.04608000006</v>
      </c>
      <c r="K57" s="250">
        <v>0</v>
      </c>
      <c r="L57" s="250">
        <v>535479.95967999997</v>
      </c>
      <c r="M57" s="250">
        <v>597617.13443743996</v>
      </c>
      <c r="N57" s="250">
        <v>286916.10497727996</v>
      </c>
      <c r="O57" s="250">
        <v>310701.02946016</v>
      </c>
      <c r="P57" s="250">
        <v>632908.74775123992</v>
      </c>
      <c r="Q57" s="250">
        <v>306349.19001339993</v>
      </c>
      <c r="R57" s="250">
        <v>326559.55773783993</v>
      </c>
    </row>
    <row r="58" spans="1:18">
      <c r="A58" s="60" t="s">
        <v>908</v>
      </c>
      <c r="B58" s="61" t="s">
        <v>911</v>
      </c>
      <c r="C58" s="8" t="s">
        <v>892</v>
      </c>
      <c r="D58" s="250"/>
      <c r="E58" s="250"/>
      <c r="F58" s="250"/>
      <c r="G58" s="250"/>
      <c r="H58" s="250"/>
      <c r="I58" s="250"/>
      <c r="J58" s="250"/>
      <c r="K58" s="250"/>
      <c r="L58" s="250"/>
      <c r="M58" s="250"/>
      <c r="N58" s="250"/>
      <c r="O58" s="250"/>
      <c r="P58" s="250"/>
      <c r="Q58" s="250"/>
      <c r="R58" s="250"/>
    </row>
    <row r="59" spans="1:18">
      <c r="A59" s="60" t="s">
        <v>912</v>
      </c>
      <c r="B59" s="61" t="s">
        <v>913</v>
      </c>
      <c r="C59" s="8" t="s">
        <v>892</v>
      </c>
      <c r="D59" s="250"/>
      <c r="E59" s="250"/>
      <c r="F59" s="250"/>
      <c r="G59" s="250"/>
      <c r="H59" s="250"/>
      <c r="I59" s="250"/>
      <c r="J59" s="250"/>
      <c r="K59" s="250"/>
      <c r="L59" s="250"/>
      <c r="M59" s="250"/>
      <c r="N59" s="250"/>
      <c r="O59" s="250"/>
      <c r="P59" s="250"/>
      <c r="Q59" s="250"/>
      <c r="R59" s="250"/>
    </row>
    <row r="60" spans="1:18" ht="30">
      <c r="A60" s="60" t="s">
        <v>97</v>
      </c>
      <c r="B60" s="61" t="s">
        <v>914</v>
      </c>
      <c r="C60" s="8" t="s">
        <v>846</v>
      </c>
      <c r="D60" s="250"/>
      <c r="E60" s="250"/>
      <c r="F60" s="250"/>
      <c r="G60" s="250"/>
      <c r="H60" s="250"/>
      <c r="I60" s="250"/>
      <c r="J60" s="250"/>
      <c r="K60" s="250"/>
      <c r="L60" s="250"/>
      <c r="M60" s="250"/>
      <c r="N60" s="250"/>
      <c r="O60" s="250"/>
      <c r="P60" s="250"/>
      <c r="Q60" s="250"/>
      <c r="R60" s="250"/>
    </row>
    <row r="61" spans="1:18">
      <c r="A61" s="60" t="s">
        <v>915</v>
      </c>
      <c r="B61" s="61" t="s">
        <v>458</v>
      </c>
      <c r="C61" s="8" t="s">
        <v>453</v>
      </c>
      <c r="D61" s="250"/>
      <c r="E61" s="250"/>
      <c r="F61" s="250"/>
      <c r="G61" s="250"/>
      <c r="H61" s="250"/>
      <c r="I61" s="250"/>
      <c r="J61" s="250"/>
      <c r="K61" s="250"/>
      <c r="L61" s="250"/>
      <c r="M61" s="250"/>
      <c r="N61" s="250"/>
      <c r="O61" s="250"/>
      <c r="P61" s="250"/>
      <c r="Q61" s="250"/>
      <c r="R61" s="250"/>
    </row>
    <row r="62" spans="1:18">
      <c r="A62" s="60" t="s">
        <v>916</v>
      </c>
      <c r="B62" s="253" t="s">
        <v>923</v>
      </c>
      <c r="C62" s="8" t="s">
        <v>453</v>
      </c>
      <c r="D62" s="250"/>
      <c r="E62" s="250"/>
      <c r="F62" s="250"/>
      <c r="G62" s="250"/>
      <c r="H62" s="250"/>
      <c r="I62" s="250"/>
      <c r="J62" s="250"/>
      <c r="K62" s="250"/>
      <c r="L62" s="250"/>
      <c r="M62" s="250"/>
      <c r="N62" s="250"/>
      <c r="O62" s="250"/>
      <c r="P62" s="250"/>
      <c r="Q62" s="250"/>
      <c r="R62" s="250"/>
    </row>
    <row r="63" spans="1:18">
      <c r="A63" s="60" t="s">
        <v>917</v>
      </c>
      <c r="B63" s="253" t="s">
        <v>924</v>
      </c>
      <c r="C63" s="8" t="s">
        <v>465</v>
      </c>
      <c r="D63" s="250"/>
      <c r="E63" s="250"/>
      <c r="F63" s="250"/>
      <c r="G63" s="250"/>
      <c r="H63" s="250"/>
      <c r="I63" s="250"/>
      <c r="J63" s="250"/>
      <c r="K63" s="250"/>
      <c r="L63" s="250"/>
      <c r="M63" s="250"/>
      <c r="N63" s="250"/>
      <c r="O63" s="250"/>
      <c r="P63" s="250"/>
      <c r="Q63" s="250"/>
      <c r="R63" s="250"/>
    </row>
    <row r="64" spans="1:18">
      <c r="A64" s="60" t="s">
        <v>918</v>
      </c>
      <c r="B64" s="61" t="s">
        <v>899</v>
      </c>
      <c r="C64" s="8" t="s">
        <v>892</v>
      </c>
      <c r="D64" s="250"/>
      <c r="E64" s="250"/>
      <c r="F64" s="250"/>
      <c r="G64" s="250"/>
      <c r="H64" s="250"/>
      <c r="I64" s="250"/>
      <c r="J64" s="250"/>
      <c r="K64" s="250"/>
      <c r="L64" s="250"/>
      <c r="M64" s="250"/>
      <c r="N64" s="250"/>
      <c r="O64" s="250"/>
      <c r="P64" s="250"/>
      <c r="Q64" s="250"/>
      <c r="R64" s="250"/>
    </row>
    <row r="65" spans="1:18" ht="18" customHeight="1">
      <c r="A65" s="60" t="s">
        <v>919</v>
      </c>
      <c r="B65" s="61" t="s">
        <v>922</v>
      </c>
      <c r="C65" s="8" t="s">
        <v>892</v>
      </c>
      <c r="D65" s="250"/>
      <c r="E65" s="250"/>
      <c r="F65" s="250"/>
      <c r="G65" s="250"/>
      <c r="H65" s="250"/>
      <c r="I65" s="250"/>
      <c r="J65" s="250"/>
      <c r="K65" s="250"/>
      <c r="L65" s="250"/>
      <c r="M65" s="250"/>
      <c r="N65" s="250"/>
      <c r="O65" s="250"/>
      <c r="P65" s="250"/>
      <c r="Q65" s="250"/>
      <c r="R65" s="250"/>
    </row>
    <row r="66" spans="1:18">
      <c r="A66" s="60" t="s">
        <v>920</v>
      </c>
      <c r="B66" s="61" t="s">
        <v>925</v>
      </c>
      <c r="C66" s="8" t="s">
        <v>892</v>
      </c>
      <c r="D66" s="250"/>
      <c r="E66" s="250"/>
      <c r="F66" s="250"/>
      <c r="G66" s="250"/>
      <c r="H66" s="250"/>
      <c r="I66" s="250"/>
      <c r="J66" s="250"/>
      <c r="K66" s="250"/>
      <c r="L66" s="250"/>
      <c r="M66" s="250"/>
      <c r="N66" s="250"/>
      <c r="O66" s="250"/>
      <c r="P66" s="250"/>
      <c r="Q66" s="250"/>
      <c r="R66" s="250"/>
    </row>
    <row r="67" spans="1:18" ht="30">
      <c r="A67" s="60" t="s">
        <v>921</v>
      </c>
      <c r="B67" s="61" t="s">
        <v>909</v>
      </c>
      <c r="C67" s="8" t="s">
        <v>892</v>
      </c>
      <c r="D67" s="250"/>
      <c r="E67" s="250"/>
      <c r="F67" s="250"/>
      <c r="G67" s="250"/>
      <c r="H67" s="250"/>
      <c r="I67" s="250"/>
      <c r="J67" s="250"/>
      <c r="K67" s="250"/>
      <c r="L67" s="250"/>
      <c r="M67" s="250"/>
      <c r="N67" s="250"/>
      <c r="O67" s="250"/>
      <c r="P67" s="250"/>
      <c r="Q67" s="250"/>
      <c r="R67" s="250"/>
    </row>
    <row r="68" spans="1:18" ht="30">
      <c r="A68" s="60" t="s">
        <v>926</v>
      </c>
      <c r="B68" s="61" t="s">
        <v>909</v>
      </c>
      <c r="C68" s="8" t="s">
        <v>892</v>
      </c>
      <c r="D68" s="250"/>
      <c r="E68" s="250"/>
      <c r="F68" s="250"/>
      <c r="G68" s="250"/>
      <c r="H68" s="250"/>
      <c r="I68" s="250"/>
      <c r="J68" s="250"/>
      <c r="K68" s="250"/>
      <c r="L68" s="250"/>
      <c r="M68" s="250"/>
      <c r="N68" s="250"/>
      <c r="O68" s="250"/>
      <c r="P68" s="250"/>
      <c r="Q68" s="250"/>
      <c r="R68" s="250"/>
    </row>
    <row r="69" spans="1:18">
      <c r="A69" s="60" t="s">
        <v>927</v>
      </c>
      <c r="B69" s="61" t="s">
        <v>910</v>
      </c>
      <c r="C69" s="8" t="s">
        <v>892</v>
      </c>
      <c r="D69" s="250"/>
      <c r="E69" s="250"/>
      <c r="F69" s="250"/>
      <c r="G69" s="250"/>
      <c r="H69" s="250"/>
      <c r="I69" s="250"/>
      <c r="J69" s="250"/>
      <c r="K69" s="250"/>
      <c r="L69" s="250"/>
      <c r="M69" s="250"/>
      <c r="N69" s="250"/>
      <c r="O69" s="250"/>
      <c r="P69" s="250"/>
      <c r="Q69" s="250"/>
      <c r="R69" s="250"/>
    </row>
    <row r="70" spans="1:18">
      <c r="A70" s="60" t="s">
        <v>928</v>
      </c>
      <c r="B70" s="61" t="s">
        <v>911</v>
      </c>
      <c r="C70" s="8" t="s">
        <v>892</v>
      </c>
      <c r="D70" s="250"/>
      <c r="E70" s="250"/>
      <c r="F70" s="250"/>
      <c r="G70" s="250"/>
      <c r="H70" s="250"/>
      <c r="I70" s="250"/>
      <c r="J70" s="250"/>
      <c r="K70" s="250"/>
      <c r="L70" s="250"/>
      <c r="M70" s="250"/>
      <c r="N70" s="250"/>
      <c r="O70" s="250"/>
      <c r="P70" s="250"/>
      <c r="Q70" s="250"/>
      <c r="R70" s="250"/>
    </row>
    <row r="71" spans="1:18">
      <c r="A71" s="60" t="s">
        <v>921</v>
      </c>
      <c r="B71" s="61" t="s">
        <v>913</v>
      </c>
      <c r="C71" s="8" t="s">
        <v>892</v>
      </c>
      <c r="D71" s="250"/>
      <c r="E71" s="250"/>
      <c r="F71" s="250"/>
      <c r="G71" s="250"/>
      <c r="H71" s="250"/>
      <c r="I71" s="250"/>
      <c r="J71" s="250"/>
      <c r="K71" s="250"/>
      <c r="L71" s="250"/>
      <c r="M71" s="250"/>
      <c r="N71" s="250"/>
      <c r="O71" s="250"/>
      <c r="P71" s="250"/>
      <c r="Q71" s="250"/>
      <c r="R71" s="250"/>
    </row>
    <row r="72" spans="1:18" ht="30">
      <c r="A72" s="60" t="s">
        <v>929</v>
      </c>
      <c r="B72" s="61" t="s">
        <v>930</v>
      </c>
      <c r="C72" s="8" t="s">
        <v>138</v>
      </c>
      <c r="D72" s="250"/>
      <c r="E72" s="250"/>
      <c r="F72" s="250"/>
      <c r="G72" s="250"/>
      <c r="H72" s="250"/>
      <c r="I72" s="250"/>
      <c r="J72" s="250"/>
      <c r="K72" s="250"/>
      <c r="L72" s="250"/>
      <c r="M72" s="250"/>
      <c r="N72" s="250"/>
      <c r="O72" s="250"/>
      <c r="P72" s="250"/>
      <c r="Q72" s="250"/>
      <c r="R72" s="250"/>
    </row>
    <row r="74" spans="1:18" ht="64.5" customHeight="1">
      <c r="A74" s="1963" t="s">
        <v>931</v>
      </c>
      <c r="B74" s="1963"/>
      <c r="C74" s="1963"/>
      <c r="D74" s="1963"/>
      <c r="E74" s="1963"/>
      <c r="F74" s="1963"/>
      <c r="G74" s="1963"/>
      <c r="H74" s="1963"/>
      <c r="I74" s="1963"/>
      <c r="J74" s="1963"/>
      <c r="K74" s="1963"/>
      <c r="L74" s="1963"/>
      <c r="M74" s="1963"/>
      <c r="N74" s="1963"/>
      <c r="O74" s="1963"/>
    </row>
    <row r="76" spans="1:18">
      <c r="A76" s="1" t="s">
        <v>88</v>
      </c>
    </row>
    <row r="77" spans="1:18" ht="51.75" customHeight="1">
      <c r="A77" s="1963" t="s">
        <v>932</v>
      </c>
      <c r="B77" s="1963"/>
      <c r="C77" s="1963"/>
      <c r="D77" s="1963"/>
      <c r="E77" s="1963"/>
      <c r="F77" s="1963"/>
      <c r="G77" s="1963"/>
      <c r="H77" s="1963"/>
      <c r="I77" s="1963"/>
      <c r="J77" s="1963"/>
      <c r="K77" s="1963"/>
      <c r="L77" s="1963"/>
      <c r="M77" s="1963"/>
      <c r="N77" s="1963"/>
      <c r="O77" s="1963"/>
    </row>
    <row r="78" spans="1:18" ht="69" customHeight="1">
      <c r="A78" s="1963" t="s">
        <v>933</v>
      </c>
      <c r="B78" s="1963"/>
      <c r="C78" s="1963"/>
      <c r="D78" s="1963"/>
      <c r="E78" s="1963"/>
      <c r="F78" s="1963"/>
      <c r="G78" s="1963"/>
      <c r="H78" s="1963"/>
      <c r="I78" s="1963"/>
      <c r="J78" s="1963"/>
      <c r="K78" s="1963"/>
      <c r="L78" s="1963"/>
      <c r="M78" s="1963"/>
      <c r="N78" s="1963"/>
      <c r="O78" s="1963"/>
    </row>
  </sheetData>
  <mergeCells count="4">
    <mergeCell ref="A3:O3"/>
    <mergeCell ref="A74:O74"/>
    <mergeCell ref="A77:O77"/>
    <mergeCell ref="A78:O78"/>
  </mergeCells>
  <pageMargins left="0.78740157480314965" right="0.31496062992125984" top="0.6692913385826772" bottom="0.23622047244094491" header="0.19685039370078741" footer="0.19685039370078741"/>
  <pageSetup paperSize="9" scale="50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R78"/>
  <sheetViews>
    <sheetView view="pageBreakPreview" zoomScaleNormal="100" zoomScaleSheetLayoutView="100" workbookViewId="0">
      <pane xSplit="2" ySplit="5" topLeftCell="C6" activePane="bottomRight" state="frozen"/>
      <selection activeCell="T22" sqref="T22"/>
      <selection pane="topRight" activeCell="T22" sqref="T22"/>
      <selection pane="bottomLeft" activeCell="T22" sqref="T22"/>
      <selection pane="bottomRight" activeCell="T22" sqref="T22"/>
    </sheetView>
  </sheetViews>
  <sheetFormatPr defaultColWidth="2.85546875" defaultRowHeight="15"/>
  <cols>
    <col min="1" max="1" width="6.42578125" style="1" customWidth="1"/>
    <col min="2" max="2" width="36.42578125" style="1" customWidth="1"/>
    <col min="3" max="3" width="11.140625" style="21" customWidth="1"/>
    <col min="4" max="4" width="13.140625" style="1" hidden="1" customWidth="1"/>
    <col min="5" max="5" width="13" style="1" hidden="1" customWidth="1"/>
    <col min="6" max="6" width="13.140625" style="1" customWidth="1"/>
    <col min="7" max="8" width="13" style="1" customWidth="1"/>
    <col min="9" max="9" width="13" style="1" hidden="1" customWidth="1"/>
    <col min="10" max="11" width="13" style="1" customWidth="1"/>
    <col min="12" max="12" width="16" style="1" customWidth="1"/>
    <col min="13" max="13" width="12.5703125" style="1" customWidth="1"/>
    <col min="14" max="14" width="12.7109375" style="1" customWidth="1"/>
    <col min="15" max="15" width="12.85546875" style="1" customWidth="1"/>
    <col min="16" max="16" width="12.28515625" style="1" customWidth="1"/>
    <col min="17" max="93" width="11.140625" style="1" customWidth="1"/>
    <col min="94" max="16384" width="2.85546875" style="1"/>
  </cols>
  <sheetData>
    <row r="1" spans="1:18" s="5" customFormat="1" ht="18" customHeight="1">
      <c r="A1" s="74" t="s">
        <v>1860</v>
      </c>
      <c r="C1" s="20"/>
      <c r="M1" s="6"/>
      <c r="N1" s="6"/>
      <c r="O1" s="6" t="s">
        <v>1060</v>
      </c>
      <c r="R1" s="6" t="s">
        <v>1060</v>
      </c>
    </row>
    <row r="2" spans="1:18" s="5" customFormat="1" ht="12.75" customHeight="1">
      <c r="A2" s="105" t="str">
        <f>'3.1'!$A$2</f>
        <v>ПКГО - Комбинированная выработка КТЭЦ</v>
      </c>
      <c r="C2" s="20"/>
    </row>
    <row r="3" spans="1:18" ht="18.75">
      <c r="A3" s="1877" t="s">
        <v>1169</v>
      </c>
      <c r="B3" s="1877"/>
      <c r="C3" s="1877"/>
      <c r="D3" s="1877"/>
      <c r="E3" s="1877"/>
      <c r="F3" s="1877"/>
      <c r="G3" s="1877"/>
      <c r="H3" s="1877"/>
      <c r="I3" s="1877"/>
      <c r="J3" s="1877"/>
      <c r="K3" s="1877"/>
      <c r="L3" s="1877"/>
      <c r="M3" s="1877"/>
      <c r="N3" s="1877"/>
      <c r="O3" s="1877"/>
    </row>
    <row r="4" spans="1:18" ht="12.75" customHeight="1"/>
    <row r="5" spans="1:18" s="3" customFormat="1" ht="71.25" customHeight="1">
      <c r="A5" s="336" t="s">
        <v>451</v>
      </c>
      <c r="B5" s="336" t="s">
        <v>1</v>
      </c>
      <c r="C5" s="336" t="s">
        <v>2</v>
      </c>
      <c r="D5" s="540" t="s">
        <v>1129</v>
      </c>
      <c r="E5" s="540" t="s">
        <v>1130</v>
      </c>
      <c r="F5" s="913" t="s">
        <v>1520</v>
      </c>
      <c r="G5" s="1284" t="s">
        <v>1695</v>
      </c>
      <c r="H5" s="1310" t="s">
        <v>1702</v>
      </c>
      <c r="I5" s="1661" t="s">
        <v>1882</v>
      </c>
      <c r="J5" s="1576" t="s">
        <v>1828</v>
      </c>
      <c r="K5" s="1661" t="s">
        <v>1842</v>
      </c>
      <c r="L5" s="1631" t="s">
        <v>1861</v>
      </c>
      <c r="M5" s="1631" t="s">
        <v>1862</v>
      </c>
      <c r="N5" s="1631" t="s">
        <v>763</v>
      </c>
      <c r="O5" s="1631" t="s">
        <v>764</v>
      </c>
      <c r="P5" s="1631" t="s">
        <v>1863</v>
      </c>
      <c r="Q5" s="1631" t="s">
        <v>763</v>
      </c>
      <c r="R5" s="1631" t="s">
        <v>764</v>
      </c>
    </row>
    <row r="6" spans="1:18" s="2" customFormat="1">
      <c r="A6" s="13">
        <v>1</v>
      </c>
      <c r="B6" s="13">
        <v>2</v>
      </c>
      <c r="C6" s="13">
        <v>3</v>
      </c>
      <c r="D6" s="13">
        <v>4</v>
      </c>
      <c r="E6" s="13">
        <v>5</v>
      </c>
      <c r="F6" s="13">
        <v>4</v>
      </c>
      <c r="G6" s="13">
        <v>5</v>
      </c>
      <c r="H6" s="13">
        <v>6</v>
      </c>
      <c r="I6" s="13"/>
      <c r="J6" s="13">
        <v>7</v>
      </c>
      <c r="K6" s="13">
        <v>8</v>
      </c>
      <c r="L6" s="13">
        <v>9</v>
      </c>
      <c r="M6" s="13">
        <v>10</v>
      </c>
      <c r="N6" s="13">
        <v>11</v>
      </c>
      <c r="O6" s="13">
        <v>12</v>
      </c>
      <c r="P6" s="13">
        <v>13</v>
      </c>
      <c r="Q6" s="13">
        <v>14</v>
      </c>
      <c r="R6" s="13">
        <v>15</v>
      </c>
    </row>
    <row r="7" spans="1:18" s="36" customFormat="1" ht="15" customHeight="1">
      <c r="A7" s="60" t="s">
        <v>4</v>
      </c>
      <c r="B7" s="61" t="s">
        <v>452</v>
      </c>
      <c r="C7" s="8" t="s">
        <v>453</v>
      </c>
      <c r="D7" s="391"/>
      <c r="E7" s="391"/>
      <c r="F7" s="391"/>
      <c r="G7" s="391"/>
      <c r="H7" s="391"/>
      <c r="I7" s="391"/>
      <c r="J7" s="391"/>
      <c r="K7" s="391"/>
      <c r="L7" s="391"/>
      <c r="M7" s="388"/>
      <c r="N7" s="388"/>
      <c r="O7" s="388"/>
      <c r="P7" s="388"/>
      <c r="Q7" s="388"/>
      <c r="R7" s="388"/>
    </row>
    <row r="8" spans="1:18" s="36" customFormat="1" ht="15" customHeight="1">
      <c r="A8" s="60" t="s">
        <v>5</v>
      </c>
      <c r="B8" s="61" t="s">
        <v>454</v>
      </c>
      <c r="C8" s="8" t="s">
        <v>453</v>
      </c>
      <c r="D8" s="391"/>
      <c r="E8" s="388">
        <v>38.25</v>
      </c>
      <c r="F8" s="391"/>
      <c r="G8" s="388">
        <v>38.25</v>
      </c>
      <c r="H8" s="388"/>
      <c r="I8" s="388"/>
      <c r="J8" s="388">
        <v>38.25</v>
      </c>
      <c r="K8" s="388"/>
      <c r="L8" s="388">
        <v>51.05</v>
      </c>
      <c r="M8" s="388">
        <v>51.05</v>
      </c>
      <c r="N8" s="388">
        <v>51.05</v>
      </c>
      <c r="O8" s="388">
        <v>51.05</v>
      </c>
      <c r="P8" s="388">
        <v>63.849999999999994</v>
      </c>
      <c r="Q8" s="388">
        <v>63.849999999999994</v>
      </c>
      <c r="R8" s="388">
        <v>63.849999999999994</v>
      </c>
    </row>
    <row r="9" spans="1:18" s="36" customFormat="1" ht="15" customHeight="1">
      <c r="A9" s="60"/>
      <c r="B9" s="61" t="s">
        <v>455</v>
      </c>
      <c r="C9" s="8" t="s">
        <v>453</v>
      </c>
      <c r="D9" s="388"/>
      <c r="E9" s="388"/>
      <c r="F9" s="388"/>
      <c r="G9" s="388"/>
      <c r="H9" s="388"/>
      <c r="I9" s="388"/>
      <c r="J9" s="388"/>
      <c r="K9" s="388"/>
      <c r="L9" s="388"/>
      <c r="M9" s="388"/>
      <c r="N9" s="388"/>
      <c r="O9" s="388"/>
      <c r="P9" s="388"/>
      <c r="Q9" s="388"/>
      <c r="R9" s="388"/>
    </row>
    <row r="10" spans="1:18" s="36" customFormat="1" ht="15" customHeight="1">
      <c r="A10" s="60" t="s">
        <v>11</v>
      </c>
      <c r="B10" s="61" t="s">
        <v>456</v>
      </c>
      <c r="C10" s="8" t="s">
        <v>453</v>
      </c>
      <c r="D10" s="388"/>
      <c r="E10" s="388">
        <f>E8-3</f>
        <v>35.25</v>
      </c>
      <c r="F10" s="388"/>
      <c r="G10" s="388">
        <v>35.25</v>
      </c>
      <c r="H10" s="388"/>
      <c r="I10" s="388"/>
      <c r="J10" s="388">
        <v>35.25</v>
      </c>
      <c r="K10" s="388"/>
      <c r="L10" s="388">
        <v>48.05</v>
      </c>
      <c r="M10" s="388">
        <v>48.05</v>
      </c>
      <c r="N10" s="388">
        <v>48.05</v>
      </c>
      <c r="O10" s="388">
        <v>48.05</v>
      </c>
      <c r="P10" s="388">
        <v>60.849999999999994</v>
      </c>
      <c r="Q10" s="388">
        <v>60.849999999999994</v>
      </c>
      <c r="R10" s="388">
        <v>60.849999999999994</v>
      </c>
    </row>
    <row r="11" spans="1:18" s="36" customFormat="1" ht="15" customHeight="1">
      <c r="A11" s="60"/>
      <c r="B11" s="61" t="s">
        <v>457</v>
      </c>
      <c r="C11" s="8" t="s">
        <v>453</v>
      </c>
      <c r="D11" s="388"/>
      <c r="E11" s="388"/>
      <c r="F11" s="388"/>
      <c r="G11" s="388"/>
      <c r="H11" s="388"/>
      <c r="I11" s="388"/>
      <c r="J11" s="388"/>
      <c r="K11" s="388"/>
      <c r="L11" s="388"/>
      <c r="M11" s="388"/>
      <c r="N11" s="388"/>
      <c r="O11" s="388"/>
      <c r="P11" s="388"/>
      <c r="Q11" s="388"/>
      <c r="R11" s="388"/>
    </row>
    <row r="12" spans="1:18" s="36" customFormat="1" ht="15" customHeight="1">
      <c r="A12" s="60" t="s">
        <v>445</v>
      </c>
      <c r="B12" s="61" t="s">
        <v>458</v>
      </c>
      <c r="C12" s="8" t="s">
        <v>453</v>
      </c>
      <c r="D12" s="388"/>
      <c r="E12" s="388">
        <v>45.8</v>
      </c>
      <c r="F12" s="388"/>
      <c r="G12" s="388">
        <v>35</v>
      </c>
      <c r="H12" s="388"/>
      <c r="I12" s="388"/>
      <c r="J12" s="388">
        <v>35</v>
      </c>
      <c r="K12" s="388"/>
      <c r="L12" s="388"/>
      <c r="M12" s="388"/>
      <c r="N12" s="388"/>
      <c r="O12" s="388"/>
      <c r="P12" s="388"/>
      <c r="Q12" s="388"/>
      <c r="R12" s="388"/>
    </row>
    <row r="13" spans="1:18" s="36" customFormat="1" ht="15" customHeight="1">
      <c r="A13" s="60"/>
      <c r="B13" s="61" t="s">
        <v>459</v>
      </c>
      <c r="C13" s="8" t="s">
        <v>138</v>
      </c>
      <c r="D13" s="391" t="e">
        <f>D12/D8*100</f>
        <v>#DIV/0!</v>
      </c>
      <c r="E13" s="391">
        <f>E12/E8*100</f>
        <v>119.73856209150327</v>
      </c>
      <c r="F13" s="391"/>
      <c r="G13" s="391">
        <v>91.503267973856211</v>
      </c>
      <c r="H13" s="391"/>
      <c r="I13" s="391"/>
      <c r="J13" s="391">
        <v>91.503267973856211</v>
      </c>
      <c r="K13" s="388"/>
      <c r="L13" s="388">
        <v>0</v>
      </c>
      <c r="M13" s="388">
        <v>0</v>
      </c>
      <c r="N13" s="388">
        <v>0</v>
      </c>
      <c r="O13" s="388">
        <v>0</v>
      </c>
      <c r="P13" s="388">
        <v>0</v>
      </c>
      <c r="Q13" s="388">
        <v>0</v>
      </c>
      <c r="R13" s="388">
        <v>0</v>
      </c>
    </row>
    <row r="14" spans="1:18" s="36" customFormat="1" ht="15" customHeight="1">
      <c r="A14" s="60" t="s">
        <v>446</v>
      </c>
      <c r="B14" s="61" t="s">
        <v>460</v>
      </c>
      <c r="C14" s="8" t="s">
        <v>453</v>
      </c>
      <c r="D14" s="388"/>
      <c r="E14" s="388"/>
      <c r="F14" s="388"/>
      <c r="G14" s="388"/>
      <c r="H14" s="388"/>
      <c r="I14" s="388"/>
      <c r="J14" s="388"/>
      <c r="K14" s="388"/>
      <c r="L14" s="388"/>
      <c r="M14" s="388"/>
      <c r="N14" s="388"/>
      <c r="O14" s="388"/>
      <c r="P14" s="388"/>
      <c r="Q14" s="388"/>
      <c r="R14" s="388"/>
    </row>
    <row r="15" spans="1:18" s="36" customFormat="1" ht="15" customHeight="1">
      <c r="A15" s="60" t="s">
        <v>461</v>
      </c>
      <c r="B15" s="61" t="s">
        <v>462</v>
      </c>
      <c r="C15" s="8" t="s">
        <v>453</v>
      </c>
      <c r="D15" s="391">
        <v>33.154750290360049</v>
      </c>
      <c r="E15" s="391">
        <v>45.8</v>
      </c>
      <c r="F15" s="391"/>
      <c r="G15" s="391">
        <v>46</v>
      </c>
      <c r="H15" s="391"/>
      <c r="I15" s="391"/>
      <c r="J15" s="391">
        <v>52</v>
      </c>
      <c r="K15" s="391"/>
      <c r="L15" s="391">
        <v>54</v>
      </c>
      <c r="M15" s="388">
        <v>54</v>
      </c>
      <c r="N15" s="388">
        <v>54</v>
      </c>
      <c r="O15" s="388">
        <v>54</v>
      </c>
      <c r="P15" s="388">
        <v>54</v>
      </c>
      <c r="Q15" s="388">
        <v>54</v>
      </c>
      <c r="R15" s="388">
        <v>54</v>
      </c>
    </row>
    <row r="16" spans="1:18" s="36" customFormat="1" ht="15" customHeight="1">
      <c r="A16" s="60" t="s">
        <v>23</v>
      </c>
      <c r="B16" s="61" t="s">
        <v>463</v>
      </c>
      <c r="C16" s="8"/>
      <c r="D16" s="388"/>
      <c r="E16" s="388"/>
      <c r="F16" s="388"/>
      <c r="G16" s="388"/>
      <c r="H16" s="388"/>
      <c r="I16" s="388"/>
      <c r="J16" s="388"/>
      <c r="K16" s="388"/>
      <c r="L16" s="388"/>
      <c r="M16" s="388"/>
      <c r="N16" s="388"/>
      <c r="O16" s="388"/>
      <c r="P16" s="388"/>
      <c r="Q16" s="388"/>
      <c r="R16" s="388"/>
    </row>
    <row r="17" spans="1:18" s="36" customFormat="1" ht="15" customHeight="1">
      <c r="A17" s="60" t="s">
        <v>24</v>
      </c>
      <c r="B17" s="61" t="s">
        <v>464</v>
      </c>
      <c r="C17" s="8" t="s">
        <v>465</v>
      </c>
      <c r="D17" s="337">
        <v>4535.55</v>
      </c>
      <c r="E17" s="337">
        <v>4896</v>
      </c>
      <c r="F17" s="337"/>
      <c r="G17" s="337">
        <v>5628</v>
      </c>
      <c r="H17" s="337"/>
      <c r="I17" s="337"/>
      <c r="J17" s="337">
        <v>5778</v>
      </c>
      <c r="K17" s="337"/>
      <c r="L17" s="337">
        <v>6671</v>
      </c>
      <c r="M17" s="337">
        <v>7248</v>
      </c>
      <c r="N17" s="337">
        <v>7398</v>
      </c>
      <c r="O17" s="337">
        <v>7592</v>
      </c>
      <c r="P17" s="337">
        <v>7745</v>
      </c>
      <c r="Q17" s="337">
        <v>7899</v>
      </c>
      <c r="R17" s="337">
        <v>8105</v>
      </c>
    </row>
    <row r="18" spans="1:18" s="36" customFormat="1" ht="15" customHeight="1">
      <c r="A18" s="60" t="s">
        <v>24</v>
      </c>
      <c r="B18" s="61" t="s">
        <v>466</v>
      </c>
      <c r="C18" s="8"/>
      <c r="D18" s="389">
        <f t="shared" ref="D18" si="0">D19/D17</f>
        <v>1.071</v>
      </c>
      <c r="E18" s="389">
        <f>E19/E17</f>
        <v>1.0347222222222223</v>
      </c>
      <c r="F18" s="390"/>
      <c r="G18" s="389">
        <v>1.0266524520255864</v>
      </c>
      <c r="H18" s="389"/>
      <c r="I18" s="389"/>
      <c r="J18" s="389">
        <v>1.1545517480096918</v>
      </c>
      <c r="K18" s="389"/>
      <c r="L18" s="389">
        <v>1.0864937790436215</v>
      </c>
      <c r="M18" s="389">
        <v>1.0685706401766004</v>
      </c>
      <c r="N18" s="389">
        <v>1.0262233035955663</v>
      </c>
      <c r="O18" s="389">
        <v>1.0404373024236038</v>
      </c>
      <c r="P18" s="389">
        <v>1.0589412524209167</v>
      </c>
      <c r="Q18" s="389">
        <v>1.0260792505380427</v>
      </c>
      <c r="R18" s="389">
        <v>1.0238124614435533</v>
      </c>
    </row>
    <row r="19" spans="1:18" s="36" customFormat="1" ht="30" customHeight="1">
      <c r="A19" s="60" t="s">
        <v>139</v>
      </c>
      <c r="B19" s="61" t="s">
        <v>467</v>
      </c>
      <c r="C19" s="8" t="s">
        <v>465</v>
      </c>
      <c r="D19" s="337">
        <v>4857.5740500000002</v>
      </c>
      <c r="E19" s="337">
        <v>5066</v>
      </c>
      <c r="F19" s="337"/>
      <c r="G19" s="337">
        <v>5778</v>
      </c>
      <c r="H19" s="337"/>
      <c r="I19" s="337"/>
      <c r="J19" s="337">
        <v>6671</v>
      </c>
      <c r="K19" s="337"/>
      <c r="L19" s="337">
        <v>7248</v>
      </c>
      <c r="M19" s="337">
        <v>7745</v>
      </c>
      <c r="N19" s="337">
        <v>7592</v>
      </c>
      <c r="O19" s="337">
        <v>7899</v>
      </c>
      <c r="P19" s="337">
        <v>8201.5</v>
      </c>
      <c r="Q19" s="337">
        <v>8105</v>
      </c>
      <c r="R19" s="337">
        <v>8298</v>
      </c>
    </row>
    <row r="20" spans="1:18" s="36" customFormat="1" ht="15" customHeight="1">
      <c r="A20" s="60" t="s">
        <v>433</v>
      </c>
      <c r="B20" s="61" t="s">
        <v>468</v>
      </c>
      <c r="C20" s="8"/>
      <c r="D20" s="342">
        <v>11.5</v>
      </c>
      <c r="E20" s="342">
        <v>15.61</v>
      </c>
      <c r="F20" s="342"/>
      <c r="G20" s="342">
        <v>15.634</v>
      </c>
      <c r="H20" s="342"/>
      <c r="I20" s="342"/>
      <c r="J20" s="342"/>
      <c r="K20" s="342"/>
      <c r="L20" s="342"/>
      <c r="M20" s="342"/>
      <c r="N20" s="342"/>
      <c r="O20" s="342"/>
      <c r="P20" s="342"/>
      <c r="Q20" s="342"/>
      <c r="R20" s="342"/>
    </row>
    <row r="21" spans="1:18" s="36" customFormat="1" ht="30" customHeight="1">
      <c r="A21" s="60" t="s">
        <v>433</v>
      </c>
      <c r="B21" s="61" t="s">
        <v>469</v>
      </c>
      <c r="C21" s="8"/>
      <c r="D21" s="342">
        <v>3.2900000000000005</v>
      </c>
      <c r="E21" s="342">
        <v>5.1609999999999996</v>
      </c>
      <c r="F21" s="342"/>
      <c r="G21" s="342">
        <v>5.3479999999999999</v>
      </c>
      <c r="H21" s="342"/>
      <c r="I21" s="342"/>
      <c r="J21" s="342">
        <v>4.3479999999999999</v>
      </c>
      <c r="K21" s="342"/>
      <c r="L21" s="342">
        <v>4.4800000000000004</v>
      </c>
      <c r="M21" s="342">
        <v>4.57</v>
      </c>
      <c r="N21" s="388">
        <v>4.57</v>
      </c>
      <c r="O21" s="388">
        <v>4.57</v>
      </c>
      <c r="P21" s="342">
        <v>4.57</v>
      </c>
      <c r="Q21" s="388">
        <v>4.57</v>
      </c>
      <c r="R21" s="388">
        <v>4.57</v>
      </c>
    </row>
    <row r="22" spans="1:18" s="36" customFormat="1" ht="15" customHeight="1">
      <c r="A22" s="60" t="s">
        <v>433</v>
      </c>
      <c r="B22" s="61" t="s">
        <v>470</v>
      </c>
      <c r="C22" s="8" t="s">
        <v>465</v>
      </c>
      <c r="D22" s="337">
        <f>D19*D21</f>
        <v>15981.418624500004</v>
      </c>
      <c r="E22" s="337">
        <f>(E19*E21)</f>
        <v>26145.625999999997</v>
      </c>
      <c r="F22" s="337">
        <f t="shared" ref="F22" si="1">F19*F21</f>
        <v>0</v>
      </c>
      <c r="G22" s="337">
        <v>30900.743999999999</v>
      </c>
      <c r="H22" s="337">
        <v>0</v>
      </c>
      <c r="I22" s="337"/>
      <c r="J22" s="337">
        <v>29005.507999999998</v>
      </c>
      <c r="K22" s="337">
        <v>0</v>
      </c>
      <c r="L22" s="337">
        <v>32471.040000000005</v>
      </c>
      <c r="M22" s="337">
        <v>35394.65</v>
      </c>
      <c r="N22" s="337">
        <v>34695.440000000002</v>
      </c>
      <c r="O22" s="337">
        <v>36098.43</v>
      </c>
      <c r="P22" s="337">
        <v>37480.855000000003</v>
      </c>
      <c r="Q22" s="337">
        <v>37039.850000000006</v>
      </c>
      <c r="R22" s="337">
        <v>37921.86</v>
      </c>
    </row>
    <row r="23" spans="1:18" s="36" customFormat="1" ht="30" customHeight="1">
      <c r="A23" s="60" t="s">
        <v>471</v>
      </c>
      <c r="B23" s="61" t="s">
        <v>472</v>
      </c>
      <c r="C23" s="8"/>
      <c r="D23" s="388"/>
      <c r="E23" s="388"/>
      <c r="F23" s="388"/>
      <c r="G23" s="388"/>
      <c r="H23" s="388"/>
      <c r="I23" s="388"/>
      <c r="J23" s="388"/>
      <c r="K23" s="388"/>
      <c r="L23" s="388"/>
      <c r="M23" s="388"/>
      <c r="N23" s="388"/>
      <c r="O23" s="388"/>
      <c r="P23" s="388"/>
      <c r="Q23" s="388"/>
      <c r="R23" s="388"/>
    </row>
    <row r="24" spans="1:18" s="36" customFormat="1" ht="15" customHeight="1">
      <c r="A24" s="60"/>
      <c r="B24" s="70" t="s">
        <v>473</v>
      </c>
      <c r="C24" s="8" t="s">
        <v>138</v>
      </c>
      <c r="D24" s="342">
        <v>9.9633333333333347</v>
      </c>
      <c r="E24" s="342">
        <v>7.0869999999999997</v>
      </c>
      <c r="F24" s="342"/>
      <c r="G24" s="342">
        <v>6.41</v>
      </c>
      <c r="H24" s="342"/>
      <c r="I24" s="342"/>
      <c r="J24" s="342">
        <v>5.17</v>
      </c>
      <c r="K24" s="342"/>
      <c r="L24" s="342">
        <v>6.923</v>
      </c>
      <c r="M24" s="342">
        <v>6.923</v>
      </c>
      <c r="N24" s="388">
        <v>6.923</v>
      </c>
      <c r="O24" s="388">
        <v>6.923</v>
      </c>
      <c r="P24" s="342">
        <v>6.923</v>
      </c>
      <c r="Q24" s="1025">
        <v>6.923</v>
      </c>
      <c r="R24" s="342">
        <v>6.923</v>
      </c>
    </row>
    <row r="25" spans="1:18" s="36" customFormat="1" ht="15" customHeight="1">
      <c r="A25" s="60"/>
      <c r="B25" s="70" t="s">
        <v>474</v>
      </c>
      <c r="C25" s="8" t="s">
        <v>465</v>
      </c>
      <c r="D25" s="337">
        <f>(D24*D22)/100</f>
        <v>1592.2820089543507</v>
      </c>
      <c r="E25" s="337">
        <f>(E24*E22)/100</f>
        <v>1852.9405146199997</v>
      </c>
      <c r="F25" s="337">
        <f t="shared" ref="F25" si="2">(F24*F22)/100</f>
        <v>0</v>
      </c>
      <c r="G25" s="337">
        <v>1980.7376903999998</v>
      </c>
      <c r="H25" s="337">
        <v>0</v>
      </c>
      <c r="I25" s="337"/>
      <c r="J25" s="337">
        <v>1500</v>
      </c>
      <c r="K25" s="337">
        <v>0</v>
      </c>
      <c r="L25" s="337">
        <v>2248</v>
      </c>
      <c r="M25" s="337">
        <v>2450</v>
      </c>
      <c r="N25" s="337">
        <v>2402</v>
      </c>
      <c r="O25" s="337">
        <v>2499</v>
      </c>
      <c r="P25" s="337">
        <v>2595</v>
      </c>
      <c r="Q25" s="337">
        <v>2564</v>
      </c>
      <c r="R25" s="337">
        <v>2625</v>
      </c>
    </row>
    <row r="26" spans="1:18" s="36" customFormat="1" ht="15" customHeight="1">
      <c r="A26" s="60" t="s">
        <v>475</v>
      </c>
      <c r="B26" s="61" t="s">
        <v>476</v>
      </c>
      <c r="C26" s="8"/>
      <c r="D26" s="337"/>
      <c r="E26" s="337"/>
      <c r="F26" s="337"/>
      <c r="G26" s="337"/>
      <c r="H26" s="337"/>
      <c r="I26" s="337"/>
      <c r="J26" s="337"/>
      <c r="K26" s="337"/>
      <c r="L26" s="337"/>
      <c r="M26" s="337"/>
      <c r="N26" s="337"/>
      <c r="O26" s="337"/>
      <c r="P26" s="337"/>
      <c r="Q26" s="337"/>
      <c r="R26" s="337"/>
    </row>
    <row r="27" spans="1:18" s="36" customFormat="1" ht="15" customHeight="1">
      <c r="A27" s="60"/>
      <c r="B27" s="70" t="s">
        <v>473</v>
      </c>
      <c r="C27" s="8" t="s">
        <v>138</v>
      </c>
      <c r="D27" s="337">
        <v>50</v>
      </c>
      <c r="E27" s="337">
        <v>42.62</v>
      </c>
      <c r="F27" s="337"/>
      <c r="G27" s="946">
        <v>47.7</v>
      </c>
      <c r="H27" s="337"/>
      <c r="I27" s="337"/>
      <c r="J27" s="342">
        <v>45.75</v>
      </c>
      <c r="K27" s="946"/>
      <c r="L27" s="342">
        <v>49.421999999999997</v>
      </c>
      <c r="M27" s="342">
        <v>50</v>
      </c>
      <c r="N27" s="391">
        <v>50</v>
      </c>
      <c r="O27" s="391">
        <v>50</v>
      </c>
      <c r="P27" s="342">
        <v>50</v>
      </c>
      <c r="Q27" s="1025">
        <v>50</v>
      </c>
      <c r="R27" s="391">
        <v>50</v>
      </c>
    </row>
    <row r="28" spans="1:18" s="36" customFormat="1" ht="15" customHeight="1">
      <c r="A28" s="60"/>
      <c r="B28" s="70" t="s">
        <v>474</v>
      </c>
      <c r="C28" s="8" t="s">
        <v>465</v>
      </c>
      <c r="D28" s="337">
        <f>(D22+D25)*D27/100</f>
        <v>8786.8503167271774</v>
      </c>
      <c r="E28" s="337">
        <f>(E22+E25)*E27/100</f>
        <v>11932.989048531041</v>
      </c>
      <c r="F28" s="337">
        <f t="shared" ref="F28" si="3">(F22+F25)*F27/100</f>
        <v>0</v>
      </c>
      <c r="G28" s="337">
        <v>15685.4667663208</v>
      </c>
      <c r="H28" s="337">
        <v>0</v>
      </c>
      <c r="I28" s="337"/>
      <c r="J28" s="337">
        <v>13956</v>
      </c>
      <c r="K28" s="337">
        <v>0</v>
      </c>
      <c r="L28" s="337">
        <v>17159</v>
      </c>
      <c r="M28" s="337">
        <v>18922</v>
      </c>
      <c r="N28" s="337">
        <v>18549</v>
      </c>
      <c r="O28" s="337">
        <v>19299</v>
      </c>
      <c r="P28" s="337">
        <v>20038</v>
      </c>
      <c r="Q28" s="337">
        <v>19802</v>
      </c>
      <c r="R28" s="337">
        <v>20273</v>
      </c>
    </row>
    <row r="29" spans="1:18" s="36" customFormat="1" ht="15" customHeight="1">
      <c r="A29" s="60" t="s">
        <v>477</v>
      </c>
      <c r="B29" s="61" t="s">
        <v>478</v>
      </c>
      <c r="C29" s="8"/>
      <c r="D29" s="337"/>
      <c r="E29" s="337"/>
      <c r="F29" s="337"/>
      <c r="G29" s="337"/>
      <c r="H29" s="337"/>
      <c r="I29" s="337"/>
      <c r="J29" s="337"/>
      <c r="K29" s="337"/>
      <c r="L29" s="337"/>
      <c r="M29" s="337"/>
      <c r="N29" s="337"/>
      <c r="O29" s="337"/>
      <c r="P29" s="337"/>
      <c r="Q29" s="337"/>
      <c r="R29" s="337"/>
    </row>
    <row r="30" spans="1:18" s="36" customFormat="1" ht="15" customHeight="1">
      <c r="A30" s="60"/>
      <c r="B30" s="70" t="s">
        <v>473</v>
      </c>
      <c r="C30" s="8" t="s">
        <v>138</v>
      </c>
      <c r="D30" s="946">
        <v>9.92</v>
      </c>
      <c r="E30" s="946">
        <v>7.91</v>
      </c>
      <c r="F30" s="337"/>
      <c r="G30" s="946">
        <v>7.84</v>
      </c>
      <c r="H30" s="946"/>
      <c r="I30" s="946"/>
      <c r="J30" s="342">
        <v>8.8949999999999996</v>
      </c>
      <c r="K30" s="946"/>
      <c r="L30" s="342">
        <v>9.0329999999999995</v>
      </c>
      <c r="M30" s="342">
        <v>9.2249999999999996</v>
      </c>
      <c r="N30" s="1025">
        <v>9.2249999999999996</v>
      </c>
      <c r="O30" s="1025">
        <v>9.2249999999999996</v>
      </c>
      <c r="P30" s="342">
        <v>9.2249999999999996</v>
      </c>
      <c r="Q30" s="1025">
        <v>9.2249999999999996</v>
      </c>
      <c r="R30" s="342">
        <v>9.2249999999999996</v>
      </c>
    </row>
    <row r="31" spans="1:18" s="36" customFormat="1" ht="15" customHeight="1">
      <c r="A31" s="60"/>
      <c r="B31" s="70" t="s">
        <v>474</v>
      </c>
      <c r="C31" s="8" t="s">
        <v>465</v>
      </c>
      <c r="D31" s="337">
        <f>(D22+D25)*D30/100</f>
        <v>1743.311102838672</v>
      </c>
      <c r="E31" s="337">
        <f>(E22+E25)*E30/100+1</f>
        <v>2215.6866113064416</v>
      </c>
      <c r="F31" s="337">
        <f t="shared" ref="F31" si="4">(F22+F25)*F30/100</f>
        <v>0</v>
      </c>
      <c r="G31" s="337">
        <v>2577.90816452736</v>
      </c>
      <c r="H31" s="337">
        <v>0</v>
      </c>
      <c r="I31" s="337"/>
      <c r="J31" s="337">
        <v>2713</v>
      </c>
      <c r="K31" s="337">
        <v>0</v>
      </c>
      <c r="L31" s="337">
        <v>3136</v>
      </c>
      <c r="M31" s="337">
        <v>3491</v>
      </c>
      <c r="N31" s="337">
        <v>3422</v>
      </c>
      <c r="O31" s="337">
        <v>3561</v>
      </c>
      <c r="P31" s="337">
        <v>3697</v>
      </c>
      <c r="Q31" s="337">
        <v>3653</v>
      </c>
      <c r="R31" s="337">
        <v>3740</v>
      </c>
    </row>
    <row r="32" spans="1:18" s="36" customFormat="1" ht="15" customHeight="1">
      <c r="A32" s="60" t="s">
        <v>479</v>
      </c>
      <c r="B32" s="61" t="s">
        <v>480</v>
      </c>
      <c r="C32" s="8"/>
      <c r="D32" s="337"/>
      <c r="E32" s="337"/>
      <c r="F32" s="337"/>
      <c r="G32" s="337"/>
      <c r="H32" s="337"/>
      <c r="I32" s="337"/>
      <c r="J32" s="337"/>
      <c r="K32" s="337"/>
      <c r="L32" s="337"/>
      <c r="M32" s="337"/>
      <c r="N32" s="337"/>
      <c r="O32" s="337"/>
      <c r="P32" s="337"/>
      <c r="Q32" s="337"/>
      <c r="R32" s="337"/>
    </row>
    <row r="33" spans="1:18" s="36" customFormat="1" ht="15" customHeight="1">
      <c r="A33" s="60"/>
      <c r="B33" s="70" t="s">
        <v>473</v>
      </c>
      <c r="C33" s="8" t="s">
        <v>138</v>
      </c>
      <c r="D33" s="337">
        <v>0</v>
      </c>
      <c r="E33" s="250">
        <v>0</v>
      </c>
      <c r="F33" s="337">
        <v>0</v>
      </c>
      <c r="G33" s="337">
        <v>0</v>
      </c>
      <c r="H33" s="250">
        <v>0</v>
      </c>
      <c r="I33" s="250"/>
      <c r="J33" s="250">
        <v>0</v>
      </c>
      <c r="K33" s="337"/>
      <c r="L33" s="250"/>
      <c r="M33" s="250">
        <v>0</v>
      </c>
      <c r="N33" s="250">
        <v>0</v>
      </c>
      <c r="O33" s="250">
        <v>0</v>
      </c>
      <c r="P33" s="250">
        <v>0</v>
      </c>
      <c r="Q33" s="250">
        <v>0</v>
      </c>
      <c r="R33" s="250">
        <v>0</v>
      </c>
    </row>
    <row r="34" spans="1:18" s="36" customFormat="1" ht="15" customHeight="1">
      <c r="A34" s="60"/>
      <c r="B34" s="70" t="s">
        <v>474</v>
      </c>
      <c r="C34" s="8" t="s">
        <v>465</v>
      </c>
      <c r="D34" s="337">
        <v>0</v>
      </c>
      <c r="E34" s="250">
        <v>328</v>
      </c>
      <c r="F34" s="337">
        <v>0</v>
      </c>
      <c r="G34" s="337">
        <v>0</v>
      </c>
      <c r="H34" s="250"/>
      <c r="I34" s="250"/>
      <c r="J34" s="250">
        <v>0</v>
      </c>
      <c r="K34" s="337">
        <v>0</v>
      </c>
      <c r="L34" s="250">
        <v>0</v>
      </c>
      <c r="M34" s="250">
        <v>0</v>
      </c>
      <c r="N34" s="250">
        <v>0</v>
      </c>
      <c r="O34" s="250">
        <v>0</v>
      </c>
      <c r="P34" s="250">
        <v>0</v>
      </c>
      <c r="Q34" s="250">
        <v>0</v>
      </c>
      <c r="R34" s="250">
        <v>0</v>
      </c>
    </row>
    <row r="35" spans="1:18" s="36" customFormat="1" hidden="1">
      <c r="A35" s="60" t="s">
        <v>481</v>
      </c>
      <c r="B35" s="61"/>
      <c r="C35" s="8"/>
      <c r="D35" s="337"/>
      <c r="E35" s="250"/>
      <c r="F35" s="337"/>
      <c r="G35" s="337"/>
      <c r="H35" s="250"/>
      <c r="I35" s="250"/>
      <c r="J35" s="250"/>
      <c r="K35" s="337"/>
      <c r="L35" s="250"/>
      <c r="M35" s="250"/>
      <c r="N35" s="250"/>
      <c r="O35" s="250"/>
      <c r="P35" s="250"/>
      <c r="Q35" s="250"/>
      <c r="R35" s="250"/>
    </row>
    <row r="36" spans="1:18" s="36" customFormat="1" ht="15" hidden="1" customHeight="1">
      <c r="A36" s="60"/>
      <c r="B36" s="70" t="s">
        <v>473</v>
      </c>
      <c r="C36" s="8" t="s">
        <v>138</v>
      </c>
      <c r="D36" s="388"/>
      <c r="E36" s="66"/>
      <c r="F36" s="388"/>
      <c r="G36" s="388"/>
      <c r="H36" s="66"/>
      <c r="I36" s="66"/>
      <c r="J36" s="66"/>
      <c r="K36" s="388"/>
      <c r="L36" s="66"/>
      <c r="M36" s="66"/>
      <c r="N36" s="66"/>
      <c r="O36" s="66"/>
      <c r="P36" s="66"/>
      <c r="Q36" s="66"/>
      <c r="R36" s="66"/>
    </row>
    <row r="37" spans="1:18" s="36" customFormat="1" ht="15" hidden="1" customHeight="1">
      <c r="A37" s="60"/>
      <c r="B37" s="70" t="s">
        <v>474</v>
      </c>
      <c r="C37" s="8" t="s">
        <v>465</v>
      </c>
      <c r="D37" s="388"/>
      <c r="E37" s="66"/>
      <c r="F37" s="388"/>
      <c r="G37" s="388"/>
      <c r="H37" s="66"/>
      <c r="I37" s="66"/>
      <c r="J37" s="66"/>
      <c r="K37" s="388"/>
      <c r="L37" s="66"/>
      <c r="M37" s="66"/>
      <c r="N37" s="66"/>
      <c r="O37" s="66"/>
      <c r="P37" s="66"/>
      <c r="Q37" s="66"/>
      <c r="R37" s="66"/>
    </row>
    <row r="38" spans="1:18" s="36" customFormat="1" hidden="1">
      <c r="A38" s="60" t="s">
        <v>482</v>
      </c>
      <c r="B38" s="61"/>
      <c r="C38" s="8"/>
      <c r="D38" s="388"/>
      <c r="E38" s="66"/>
      <c r="F38" s="388"/>
      <c r="G38" s="388"/>
      <c r="H38" s="66"/>
      <c r="I38" s="66"/>
      <c r="J38" s="66"/>
      <c r="K38" s="388"/>
      <c r="L38" s="66"/>
      <c r="M38" s="66"/>
      <c r="N38" s="66"/>
      <c r="O38" s="66"/>
      <c r="P38" s="66"/>
      <c r="Q38" s="66"/>
      <c r="R38" s="66"/>
    </row>
    <row r="39" spans="1:18" s="36" customFormat="1" ht="15" hidden="1" customHeight="1">
      <c r="A39" s="60"/>
      <c r="B39" s="70" t="s">
        <v>473</v>
      </c>
      <c r="C39" s="8" t="s">
        <v>138</v>
      </c>
      <c r="D39" s="388"/>
      <c r="E39" s="66"/>
      <c r="F39" s="388"/>
      <c r="G39" s="388"/>
      <c r="H39" s="66"/>
      <c r="I39" s="66"/>
      <c r="J39" s="66"/>
      <c r="K39" s="388"/>
      <c r="L39" s="66"/>
      <c r="M39" s="66"/>
      <c r="N39" s="66"/>
      <c r="O39" s="66"/>
      <c r="P39" s="66"/>
      <c r="Q39" s="66"/>
      <c r="R39" s="66"/>
    </row>
    <row r="40" spans="1:18" s="36" customFormat="1" ht="15" hidden="1" customHeight="1">
      <c r="A40" s="60"/>
      <c r="B40" s="70" t="s">
        <v>474</v>
      </c>
      <c r="C40" s="8" t="s">
        <v>465</v>
      </c>
      <c r="D40" s="388"/>
      <c r="E40" s="66"/>
      <c r="F40" s="388"/>
      <c r="G40" s="388"/>
      <c r="H40" s="66"/>
      <c r="I40" s="66"/>
      <c r="J40" s="66"/>
      <c r="K40" s="388"/>
      <c r="L40" s="66"/>
      <c r="M40" s="66"/>
      <c r="N40" s="66"/>
      <c r="O40" s="66"/>
      <c r="P40" s="66"/>
      <c r="Q40" s="66"/>
      <c r="R40" s="66"/>
    </row>
    <row r="41" spans="1:18" s="36" customFormat="1" ht="30" hidden="1" customHeight="1">
      <c r="A41" s="60" t="s">
        <v>483</v>
      </c>
      <c r="B41" s="61" t="s">
        <v>484</v>
      </c>
      <c r="C41" s="8"/>
      <c r="D41" s="388"/>
      <c r="E41" s="66"/>
      <c r="F41" s="388"/>
      <c r="G41" s="388"/>
      <c r="H41" s="66"/>
      <c r="I41" s="66"/>
      <c r="J41" s="66"/>
      <c r="K41" s="388"/>
      <c r="L41" s="66"/>
      <c r="M41" s="66"/>
      <c r="N41" s="66"/>
      <c r="O41" s="66"/>
      <c r="P41" s="66"/>
      <c r="Q41" s="66"/>
      <c r="R41" s="66"/>
    </row>
    <row r="42" spans="1:18" s="36" customFormat="1" ht="15" customHeight="1">
      <c r="A42" s="60"/>
      <c r="B42" s="70" t="s">
        <v>473</v>
      </c>
      <c r="C42" s="8" t="s">
        <v>138</v>
      </c>
      <c r="D42" s="337">
        <v>160</v>
      </c>
      <c r="E42" s="250">
        <v>160</v>
      </c>
      <c r="F42" s="337">
        <v>160</v>
      </c>
      <c r="G42" s="337">
        <v>160</v>
      </c>
      <c r="H42" s="250">
        <v>160</v>
      </c>
      <c r="I42" s="250"/>
      <c r="J42" s="250">
        <v>160</v>
      </c>
      <c r="K42" s="337">
        <v>160</v>
      </c>
      <c r="L42" s="250">
        <v>160</v>
      </c>
      <c r="M42" s="337">
        <v>160</v>
      </c>
      <c r="N42" s="337">
        <v>160</v>
      </c>
      <c r="O42" s="337">
        <v>160</v>
      </c>
      <c r="P42" s="337">
        <v>160</v>
      </c>
      <c r="Q42" s="337">
        <v>160</v>
      </c>
      <c r="R42" s="337">
        <v>160</v>
      </c>
    </row>
    <row r="43" spans="1:18" s="36" customFormat="1" ht="15" customHeight="1">
      <c r="A43" s="60"/>
      <c r="B43" s="70" t="s">
        <v>474</v>
      </c>
      <c r="C43" s="8" t="s">
        <v>465</v>
      </c>
      <c r="D43" s="250">
        <f>(D22+D25+D28+D31)*D42/100-1</f>
        <v>44965.179284832331</v>
      </c>
      <c r="E43" s="250">
        <f>(E22+E25+E28+E31)*E42/100+0.656</f>
        <v>67436.243479131954</v>
      </c>
      <c r="F43" s="250">
        <f t="shared" ref="F43" si="5">(F22+F25+F28+F31)*F42/100</f>
        <v>0</v>
      </c>
      <c r="G43" s="337">
        <v>81831.770593997047</v>
      </c>
      <c r="H43" s="250">
        <v>0</v>
      </c>
      <c r="I43" s="250"/>
      <c r="J43" s="250">
        <v>75479</v>
      </c>
      <c r="K43" s="337">
        <v>0</v>
      </c>
      <c r="L43" s="250">
        <v>88022</v>
      </c>
      <c r="M43" s="250">
        <v>96412</v>
      </c>
      <c r="N43" s="250">
        <v>94510</v>
      </c>
      <c r="O43" s="250">
        <v>98332</v>
      </c>
      <c r="P43" s="250">
        <v>102097</v>
      </c>
      <c r="Q43" s="250">
        <v>100894</v>
      </c>
      <c r="R43" s="250">
        <v>103296</v>
      </c>
    </row>
    <row r="44" spans="1:18" s="36" customFormat="1" ht="30" customHeight="1">
      <c r="A44" s="387" t="s">
        <v>27</v>
      </c>
      <c r="B44" s="386" t="s">
        <v>485</v>
      </c>
      <c r="C44" s="385" t="s">
        <v>465</v>
      </c>
      <c r="D44" s="384">
        <f>D22+D25+D28+D31+D43-1</f>
        <v>73068.041337852541</v>
      </c>
      <c r="E44" s="384">
        <f>E22+E25+E28+E31+E43+E34+1</f>
        <v>109912.48565358942</v>
      </c>
      <c r="F44" s="384">
        <f t="shared" ref="F44" si="6">F22+F25+F28+F31+F43</f>
        <v>0</v>
      </c>
      <c r="G44" s="384">
        <v>132976.62721524521</v>
      </c>
      <c r="H44" s="384">
        <v>0</v>
      </c>
      <c r="I44" s="384"/>
      <c r="J44" s="384">
        <v>122653.508</v>
      </c>
      <c r="K44" s="384">
        <v>0</v>
      </c>
      <c r="L44" s="384">
        <v>143036.04</v>
      </c>
      <c r="M44" s="384">
        <v>156669.65</v>
      </c>
      <c r="N44" s="384">
        <v>153578.44</v>
      </c>
      <c r="O44" s="384">
        <v>159789.43</v>
      </c>
      <c r="P44" s="384">
        <v>165907.85500000001</v>
      </c>
      <c r="Q44" s="384">
        <v>163952.85</v>
      </c>
      <c r="R44" s="384">
        <v>167855.86</v>
      </c>
    </row>
    <row r="45" spans="1:18" s="1368" customFormat="1" ht="30" customHeight="1">
      <c r="A45" s="1364" t="s">
        <v>95</v>
      </c>
      <c r="B45" s="1365" t="s">
        <v>905</v>
      </c>
      <c r="C45" s="1366" t="s">
        <v>465</v>
      </c>
      <c r="D45" s="1367">
        <f>(D44*D15*D54/1000)+D46+D47+D48</f>
        <v>29766.631977146477</v>
      </c>
      <c r="E45" s="1367">
        <f>(E44*E15*E54/1000)+E46+E47+E48-1</f>
        <v>64890.902115212739</v>
      </c>
      <c r="F45" s="1367">
        <f>(F44*F15*F54/1000)+F46+F47+F48</f>
        <v>0</v>
      </c>
      <c r="G45" s="1367">
        <v>84919.098222815359</v>
      </c>
      <c r="H45" s="1367">
        <v>0</v>
      </c>
      <c r="I45" s="1367"/>
      <c r="J45" s="1367">
        <v>79316.788992000002</v>
      </c>
      <c r="K45" s="1367">
        <v>0</v>
      </c>
      <c r="L45" s="1367">
        <v>94928.353920000009</v>
      </c>
      <c r="M45" s="1367">
        <v>105661.18987999999</v>
      </c>
      <c r="N45" s="1367">
        <v>50767.414560000005</v>
      </c>
      <c r="O45" s="1367">
        <v>54893.775319999993</v>
      </c>
      <c r="P45" s="1367">
        <v>111860.02204000001</v>
      </c>
      <c r="Q45" s="1367">
        <v>54178.223400000003</v>
      </c>
      <c r="R45" s="1367">
        <v>57681.798640000001</v>
      </c>
    </row>
    <row r="46" spans="1:18">
      <c r="A46" s="60" t="s">
        <v>898</v>
      </c>
      <c r="B46" s="61" t="s">
        <v>899</v>
      </c>
      <c r="C46" s="8" t="s">
        <v>892</v>
      </c>
      <c r="D46" s="250">
        <v>696</v>
      </c>
      <c r="E46" s="250">
        <v>1706</v>
      </c>
      <c r="F46" s="250"/>
      <c r="G46" s="250">
        <v>1357</v>
      </c>
      <c r="H46" s="250"/>
      <c r="I46" s="250"/>
      <c r="J46" s="250">
        <v>1890</v>
      </c>
      <c r="K46" s="250"/>
      <c r="L46" s="250">
        <v>1696</v>
      </c>
      <c r="M46" s="337">
        <v>1434</v>
      </c>
      <c r="N46" s="337">
        <v>717</v>
      </c>
      <c r="O46" s="337">
        <v>717</v>
      </c>
      <c r="P46" s="337">
        <v>1499</v>
      </c>
      <c r="Q46" s="337">
        <v>750</v>
      </c>
      <c r="R46" s="337">
        <v>750</v>
      </c>
    </row>
    <row r="47" spans="1:18" ht="60.75" customHeight="1">
      <c r="A47" s="60" t="s">
        <v>900</v>
      </c>
      <c r="B47" s="61" t="s">
        <v>902</v>
      </c>
      <c r="C47" s="8" t="s">
        <v>892</v>
      </c>
      <c r="D47" s="250"/>
      <c r="E47" s="250"/>
      <c r="F47" s="250"/>
      <c r="G47" s="250"/>
      <c r="H47" s="250"/>
      <c r="I47" s="250"/>
      <c r="J47" s="250"/>
      <c r="K47" s="250"/>
      <c r="L47" s="250"/>
      <c r="M47" s="337"/>
      <c r="N47" s="337"/>
      <c r="O47" s="337"/>
      <c r="P47" s="337"/>
      <c r="Q47" s="337"/>
      <c r="R47" s="337"/>
    </row>
    <row r="48" spans="1:18">
      <c r="A48" s="60" t="s">
        <v>901</v>
      </c>
      <c r="B48" s="61" t="s">
        <v>348</v>
      </c>
      <c r="C48" s="8" t="s">
        <v>892</v>
      </c>
      <c r="D48" s="250">
        <f>D49+D50+D51+D52+D53</f>
        <v>0</v>
      </c>
      <c r="E48" s="250">
        <f>E49+E50+E51+E52+E53</f>
        <v>2778</v>
      </c>
      <c r="F48" s="250">
        <f t="shared" ref="F48:O48" si="7">F49+F50+F51+F52+F53</f>
        <v>0</v>
      </c>
      <c r="G48" s="250">
        <v>10157</v>
      </c>
      <c r="H48" s="250">
        <v>0</v>
      </c>
      <c r="I48" s="250"/>
      <c r="J48" s="250">
        <v>888</v>
      </c>
      <c r="K48" s="250">
        <v>0</v>
      </c>
      <c r="L48" s="250">
        <v>544</v>
      </c>
      <c r="M48" s="250">
        <v>2695</v>
      </c>
      <c r="N48" s="250">
        <v>290</v>
      </c>
      <c r="O48" s="250">
        <v>2405</v>
      </c>
      <c r="P48" s="250">
        <v>2855</v>
      </c>
      <c r="Q48" s="250">
        <v>307.5</v>
      </c>
      <c r="R48" s="250">
        <v>2547.5</v>
      </c>
    </row>
    <row r="49" spans="1:18" ht="30">
      <c r="A49" s="60" t="s">
        <v>1024</v>
      </c>
      <c r="B49" s="61" t="s">
        <v>1023</v>
      </c>
      <c r="C49" s="8" t="s">
        <v>892</v>
      </c>
      <c r="D49" s="250"/>
      <c r="E49" s="337">
        <v>819</v>
      </c>
      <c r="F49" s="250"/>
      <c r="G49" s="337"/>
      <c r="H49" s="337"/>
      <c r="I49" s="337"/>
      <c r="J49" s="337"/>
      <c r="K49" s="337"/>
      <c r="L49" s="337"/>
      <c r="M49" s="337">
        <v>0</v>
      </c>
      <c r="N49" s="337"/>
      <c r="O49" s="337"/>
      <c r="P49" s="337">
        <v>0</v>
      </c>
      <c r="Q49" s="337"/>
      <c r="R49" s="337"/>
    </row>
    <row r="50" spans="1:18" ht="30">
      <c r="A50" s="60" t="s">
        <v>1022</v>
      </c>
      <c r="B50" s="61" t="s">
        <v>1021</v>
      </c>
      <c r="C50" s="8" t="s">
        <v>892</v>
      </c>
      <c r="D50" s="250"/>
      <c r="E50" s="337">
        <v>0</v>
      </c>
      <c r="F50" s="250"/>
      <c r="G50" s="337">
        <v>51</v>
      </c>
      <c r="H50" s="337"/>
      <c r="I50" s="337"/>
      <c r="J50" s="337"/>
      <c r="K50" s="337"/>
      <c r="L50" s="337"/>
      <c r="M50" s="337">
        <v>0</v>
      </c>
      <c r="N50" s="337"/>
      <c r="O50" s="337"/>
      <c r="P50" s="337">
        <v>0</v>
      </c>
      <c r="Q50" s="337"/>
      <c r="R50" s="337"/>
    </row>
    <row r="51" spans="1:18">
      <c r="A51" s="60" t="s">
        <v>1020</v>
      </c>
      <c r="B51" s="61" t="s">
        <v>1019</v>
      </c>
      <c r="C51" s="8" t="s">
        <v>892</v>
      </c>
      <c r="D51" s="250"/>
      <c r="E51" s="337">
        <v>682</v>
      </c>
      <c r="F51" s="250"/>
      <c r="G51" s="337">
        <v>1245</v>
      </c>
      <c r="H51" s="337"/>
      <c r="I51" s="337"/>
      <c r="J51" s="337">
        <v>888</v>
      </c>
      <c r="K51" s="337"/>
      <c r="L51" s="337">
        <v>544</v>
      </c>
      <c r="M51" s="337">
        <v>580</v>
      </c>
      <c r="N51" s="337">
        <v>290</v>
      </c>
      <c r="O51" s="337">
        <v>290</v>
      </c>
      <c r="P51" s="337">
        <v>615</v>
      </c>
      <c r="Q51" s="337">
        <v>307.5</v>
      </c>
      <c r="R51" s="337">
        <v>307.5</v>
      </c>
    </row>
    <row r="52" spans="1:18" ht="30">
      <c r="A52" s="60" t="s">
        <v>1018</v>
      </c>
      <c r="B52" s="61" t="s">
        <v>934</v>
      </c>
      <c r="C52" s="8" t="s">
        <v>892</v>
      </c>
      <c r="D52" s="250"/>
      <c r="E52" s="337"/>
      <c r="F52" s="250"/>
      <c r="G52" s="337"/>
      <c r="H52" s="337"/>
      <c r="I52" s="337"/>
      <c r="J52" s="337"/>
      <c r="K52" s="337"/>
      <c r="L52" s="337"/>
      <c r="M52" s="337">
        <v>2115</v>
      </c>
      <c r="N52" s="337"/>
      <c r="O52" s="337">
        <v>2115</v>
      </c>
      <c r="P52" s="337">
        <v>2240</v>
      </c>
      <c r="Q52" s="337"/>
      <c r="R52" s="337">
        <v>2240</v>
      </c>
    </row>
    <row r="53" spans="1:18" ht="75">
      <c r="A53" s="60" t="s">
        <v>1071</v>
      </c>
      <c r="B53" s="61" t="s">
        <v>1558</v>
      </c>
      <c r="C53" s="8" t="s">
        <v>892</v>
      </c>
      <c r="D53" s="241"/>
      <c r="E53" s="241">
        <v>1277</v>
      </c>
      <c r="F53" s="241"/>
      <c r="G53" s="241">
        <v>8861</v>
      </c>
      <c r="H53" s="241"/>
      <c r="I53" s="241"/>
      <c r="J53" s="308"/>
      <c r="K53" s="308"/>
      <c r="L53" s="308"/>
      <c r="M53" s="308"/>
      <c r="N53" s="308"/>
      <c r="O53" s="308"/>
      <c r="P53" s="308"/>
      <c r="Q53" s="308"/>
      <c r="R53" s="308"/>
    </row>
    <row r="54" spans="1:18" ht="30">
      <c r="A54" s="60"/>
      <c r="B54" s="61" t="s">
        <v>903</v>
      </c>
      <c r="C54" s="8" t="s">
        <v>892</v>
      </c>
      <c r="D54" s="250">
        <v>12</v>
      </c>
      <c r="E54" s="250">
        <v>12</v>
      </c>
      <c r="F54" s="250">
        <v>12</v>
      </c>
      <c r="G54" s="250">
        <v>12</v>
      </c>
      <c r="H54" s="250">
        <v>12</v>
      </c>
      <c r="I54" s="250"/>
      <c r="J54" s="250">
        <v>12</v>
      </c>
      <c r="K54" s="250">
        <v>12</v>
      </c>
      <c r="L54" s="250">
        <v>12</v>
      </c>
      <c r="M54" s="250">
        <v>12</v>
      </c>
      <c r="N54" s="250">
        <v>6</v>
      </c>
      <c r="O54" s="250">
        <v>6</v>
      </c>
      <c r="P54" s="250">
        <v>12</v>
      </c>
      <c r="Q54" s="250">
        <v>6</v>
      </c>
      <c r="R54" s="250">
        <v>6</v>
      </c>
    </row>
    <row r="55" spans="1:18" s="763" customFormat="1" ht="28.5">
      <c r="A55" s="1352" t="s">
        <v>904</v>
      </c>
      <c r="B55" s="1353" t="s">
        <v>905</v>
      </c>
      <c r="C55" s="1354" t="s">
        <v>892</v>
      </c>
      <c r="D55" s="1013">
        <f t="shared" ref="D55:H55" si="8">(D44*D15*D54/1000)</f>
        <v>29070.631977146477</v>
      </c>
      <c r="E55" s="1013">
        <f t="shared" si="8"/>
        <v>60407.902115212739</v>
      </c>
      <c r="F55" s="1013">
        <f t="shared" si="8"/>
        <v>0</v>
      </c>
      <c r="G55" s="1013">
        <v>83560.098222815359</v>
      </c>
      <c r="H55" s="1013">
        <v>0</v>
      </c>
      <c r="I55" s="1013"/>
      <c r="J55" s="1013">
        <v>77426.788992000002</v>
      </c>
      <c r="K55" s="1013">
        <v>0</v>
      </c>
      <c r="L55" s="1013">
        <v>93232.353920000009</v>
      </c>
      <c r="M55" s="1013">
        <v>104226.18987999999</v>
      </c>
      <c r="N55" s="1013">
        <v>50049.414560000005</v>
      </c>
      <c r="O55" s="1013">
        <v>54176.775319999993</v>
      </c>
      <c r="P55" s="1013">
        <v>110361.02204000001</v>
      </c>
      <c r="Q55" s="1013">
        <v>53428.223400000003</v>
      </c>
      <c r="R55" s="1013">
        <v>56932.798640000001</v>
      </c>
    </row>
    <row r="56" spans="1:18" ht="30">
      <c r="A56" s="60" t="s">
        <v>906</v>
      </c>
      <c r="B56" s="61" t="s">
        <v>909</v>
      </c>
      <c r="C56" s="8" t="s">
        <v>892</v>
      </c>
      <c r="D56" s="250"/>
      <c r="E56" s="250"/>
      <c r="F56" s="250"/>
      <c r="G56" s="250"/>
      <c r="H56" s="250"/>
      <c r="I56" s="250"/>
      <c r="J56" s="250"/>
      <c r="K56" s="250"/>
      <c r="L56" s="250"/>
      <c r="M56" s="250"/>
      <c r="N56" s="250"/>
      <c r="O56" s="250"/>
      <c r="P56" s="250"/>
      <c r="Q56" s="250"/>
      <c r="R56" s="250"/>
    </row>
    <row r="57" spans="1:18">
      <c r="A57" s="60" t="s">
        <v>907</v>
      </c>
      <c r="B57" s="61" t="s">
        <v>1026</v>
      </c>
      <c r="C57" s="8" t="s">
        <v>892</v>
      </c>
      <c r="D57" s="250">
        <f>D55</f>
        <v>29070.631977146477</v>
      </c>
      <c r="E57" s="250">
        <f t="shared" ref="E57:J57" si="9">E55</f>
        <v>60407.902115212739</v>
      </c>
      <c r="F57" s="250">
        <f t="shared" si="9"/>
        <v>0</v>
      </c>
      <c r="G57" s="250">
        <v>83560.098222815359</v>
      </c>
      <c r="H57" s="250">
        <v>0</v>
      </c>
      <c r="I57" s="250"/>
      <c r="J57" s="250">
        <v>77426.788992000002</v>
      </c>
      <c r="K57" s="250">
        <v>0</v>
      </c>
      <c r="L57" s="250">
        <v>93232.353920000009</v>
      </c>
      <c r="M57" s="250">
        <v>104226.18987999999</v>
      </c>
      <c r="N57" s="250">
        <v>50049.414560000005</v>
      </c>
      <c r="O57" s="250">
        <v>54176.775319999993</v>
      </c>
      <c r="P57" s="250">
        <v>110361.02204000001</v>
      </c>
      <c r="Q57" s="250">
        <v>53428.223400000003</v>
      </c>
      <c r="R57" s="250">
        <v>56932.798640000001</v>
      </c>
    </row>
    <row r="58" spans="1:18">
      <c r="A58" s="60" t="s">
        <v>908</v>
      </c>
      <c r="B58" s="61" t="s">
        <v>911</v>
      </c>
      <c r="C58" s="8" t="s">
        <v>892</v>
      </c>
      <c r="D58" s="250"/>
      <c r="E58" s="250"/>
      <c r="F58" s="250"/>
      <c r="G58" s="250"/>
      <c r="H58" s="250"/>
      <c r="I58" s="250"/>
      <c r="J58" s="250"/>
      <c r="K58" s="250"/>
      <c r="L58" s="250"/>
      <c r="M58" s="250"/>
      <c r="N58" s="250"/>
      <c r="O58" s="250"/>
      <c r="P58" s="250"/>
      <c r="Q58" s="250"/>
      <c r="R58" s="250"/>
    </row>
    <row r="59" spans="1:18">
      <c r="A59" s="60" t="s">
        <v>912</v>
      </c>
      <c r="B59" s="61" t="s">
        <v>913</v>
      </c>
      <c r="C59" s="8" t="s">
        <v>892</v>
      </c>
      <c r="D59" s="250"/>
      <c r="E59" s="250"/>
      <c r="F59" s="250"/>
      <c r="G59" s="250"/>
      <c r="H59" s="250"/>
      <c r="I59" s="250"/>
      <c r="J59" s="250"/>
      <c r="K59" s="250"/>
      <c r="L59" s="250"/>
      <c r="M59" s="250"/>
      <c r="N59" s="250"/>
      <c r="O59" s="250"/>
      <c r="P59" s="250"/>
      <c r="Q59" s="250"/>
      <c r="R59" s="250"/>
    </row>
    <row r="60" spans="1:18" ht="30">
      <c r="A60" s="60" t="s">
        <v>97</v>
      </c>
      <c r="B60" s="61" t="s">
        <v>914</v>
      </c>
      <c r="C60" s="8" t="s">
        <v>846</v>
      </c>
      <c r="D60" s="250"/>
      <c r="E60" s="250"/>
      <c r="F60" s="250"/>
      <c r="G60" s="250"/>
      <c r="H60" s="250"/>
      <c r="I60" s="250"/>
      <c r="J60" s="250"/>
      <c r="K60" s="250"/>
      <c r="L60" s="250"/>
      <c r="M60" s="250"/>
      <c r="N60" s="250"/>
      <c r="O60" s="250"/>
      <c r="P60" s="250"/>
      <c r="Q60" s="250"/>
      <c r="R60" s="250"/>
    </row>
    <row r="61" spans="1:18">
      <c r="A61" s="60" t="s">
        <v>915</v>
      </c>
      <c r="B61" s="61" t="s">
        <v>458</v>
      </c>
      <c r="C61" s="8" t="s">
        <v>453</v>
      </c>
      <c r="D61" s="250"/>
      <c r="E61" s="250"/>
      <c r="F61" s="250"/>
      <c r="G61" s="250"/>
      <c r="H61" s="250"/>
      <c r="I61" s="250"/>
      <c r="J61" s="250"/>
      <c r="K61" s="250"/>
      <c r="L61" s="250"/>
      <c r="M61" s="250"/>
      <c r="N61" s="250"/>
      <c r="O61" s="250"/>
      <c r="P61" s="250"/>
      <c r="Q61" s="250"/>
      <c r="R61" s="250"/>
    </row>
    <row r="62" spans="1:18">
      <c r="A62" s="60" t="s">
        <v>916</v>
      </c>
      <c r="B62" s="253" t="s">
        <v>923</v>
      </c>
      <c r="C62" s="8" t="s">
        <v>453</v>
      </c>
      <c r="D62" s="250"/>
      <c r="E62" s="250"/>
      <c r="F62" s="250"/>
      <c r="G62" s="250"/>
      <c r="H62" s="250"/>
      <c r="I62" s="250"/>
      <c r="J62" s="250"/>
      <c r="K62" s="250"/>
      <c r="L62" s="250"/>
      <c r="M62" s="250"/>
      <c r="N62" s="250"/>
      <c r="O62" s="250"/>
      <c r="P62" s="250"/>
      <c r="Q62" s="250"/>
      <c r="R62" s="250"/>
    </row>
    <row r="63" spans="1:18">
      <c r="A63" s="60" t="s">
        <v>917</v>
      </c>
      <c r="B63" s="253" t="s">
        <v>924</v>
      </c>
      <c r="C63" s="8" t="s">
        <v>465</v>
      </c>
      <c r="D63" s="250"/>
      <c r="E63" s="250"/>
      <c r="F63" s="250"/>
      <c r="G63" s="250"/>
      <c r="H63" s="250"/>
      <c r="I63" s="250"/>
      <c r="J63" s="250"/>
      <c r="K63" s="250"/>
      <c r="L63" s="250"/>
      <c r="M63" s="250"/>
      <c r="N63" s="250"/>
      <c r="O63" s="250"/>
      <c r="P63" s="250"/>
      <c r="Q63" s="250"/>
      <c r="R63" s="250"/>
    </row>
    <row r="64" spans="1:18">
      <c r="A64" s="60" t="s">
        <v>918</v>
      </c>
      <c r="B64" s="61" t="s">
        <v>899</v>
      </c>
      <c r="C64" s="8" t="s">
        <v>892</v>
      </c>
      <c r="D64" s="250"/>
      <c r="E64" s="250"/>
      <c r="F64" s="250"/>
      <c r="G64" s="250"/>
      <c r="H64" s="250"/>
      <c r="I64" s="250"/>
      <c r="J64" s="250"/>
      <c r="K64" s="250"/>
      <c r="L64" s="250"/>
      <c r="M64" s="250"/>
      <c r="N64" s="250"/>
      <c r="O64" s="250"/>
      <c r="P64" s="250"/>
      <c r="Q64" s="250"/>
      <c r="R64" s="250"/>
    </row>
    <row r="65" spans="1:18" ht="18" customHeight="1">
      <c r="A65" s="60" t="s">
        <v>919</v>
      </c>
      <c r="B65" s="61" t="s">
        <v>922</v>
      </c>
      <c r="C65" s="8" t="s">
        <v>892</v>
      </c>
      <c r="D65" s="250"/>
      <c r="E65" s="250"/>
      <c r="F65" s="250"/>
      <c r="G65" s="250"/>
      <c r="H65" s="250"/>
      <c r="I65" s="250"/>
      <c r="J65" s="250"/>
      <c r="K65" s="250"/>
      <c r="L65" s="250"/>
      <c r="M65" s="250"/>
      <c r="N65" s="250"/>
      <c r="O65" s="250"/>
      <c r="P65" s="250"/>
      <c r="Q65" s="250"/>
      <c r="R65" s="250"/>
    </row>
    <row r="66" spans="1:18">
      <c r="A66" s="60" t="s">
        <v>920</v>
      </c>
      <c r="B66" s="61" t="s">
        <v>925</v>
      </c>
      <c r="C66" s="8" t="s">
        <v>892</v>
      </c>
      <c r="D66" s="250"/>
      <c r="E66" s="250"/>
      <c r="F66" s="250"/>
      <c r="G66" s="250"/>
      <c r="H66" s="250"/>
      <c r="I66" s="250"/>
      <c r="J66" s="250"/>
      <c r="K66" s="250"/>
      <c r="L66" s="250"/>
      <c r="M66" s="250"/>
      <c r="N66" s="250"/>
      <c r="O66" s="250"/>
      <c r="P66" s="250"/>
      <c r="Q66" s="250"/>
      <c r="R66" s="250"/>
    </row>
    <row r="67" spans="1:18" ht="30">
      <c r="A67" s="60" t="s">
        <v>921</v>
      </c>
      <c r="B67" s="61" t="s">
        <v>909</v>
      </c>
      <c r="C67" s="8" t="s">
        <v>892</v>
      </c>
      <c r="D67" s="250"/>
      <c r="E67" s="250"/>
      <c r="F67" s="250"/>
      <c r="G67" s="250"/>
      <c r="H67" s="250"/>
      <c r="I67" s="250"/>
      <c r="J67" s="250"/>
      <c r="K67" s="250"/>
      <c r="L67" s="250"/>
      <c r="M67" s="250"/>
      <c r="N67" s="250"/>
      <c r="O67" s="250"/>
      <c r="P67" s="250"/>
      <c r="Q67" s="250"/>
      <c r="R67" s="250"/>
    </row>
    <row r="68" spans="1:18" ht="30">
      <c r="A68" s="60" t="s">
        <v>926</v>
      </c>
      <c r="B68" s="61" t="s">
        <v>909</v>
      </c>
      <c r="C68" s="8" t="s">
        <v>892</v>
      </c>
      <c r="D68" s="250"/>
      <c r="E68" s="250"/>
      <c r="F68" s="250"/>
      <c r="G68" s="250"/>
      <c r="H68" s="250"/>
      <c r="I68" s="250"/>
      <c r="J68" s="250"/>
      <c r="K68" s="250"/>
      <c r="L68" s="250"/>
      <c r="M68" s="250"/>
      <c r="N68" s="250"/>
      <c r="O68" s="250"/>
      <c r="P68" s="250"/>
      <c r="Q68" s="250"/>
      <c r="R68" s="250"/>
    </row>
    <row r="69" spans="1:18">
      <c r="A69" s="60" t="s">
        <v>927</v>
      </c>
      <c r="B69" s="61" t="s">
        <v>910</v>
      </c>
      <c r="C69" s="8" t="s">
        <v>892</v>
      </c>
      <c r="D69" s="250"/>
      <c r="E69" s="250"/>
      <c r="F69" s="250"/>
      <c r="G69" s="250"/>
      <c r="H69" s="250"/>
      <c r="I69" s="250"/>
      <c r="J69" s="250"/>
      <c r="K69" s="250"/>
      <c r="L69" s="250"/>
      <c r="M69" s="250"/>
      <c r="N69" s="250"/>
      <c r="O69" s="250"/>
      <c r="P69" s="250"/>
      <c r="Q69" s="250"/>
      <c r="R69" s="250"/>
    </row>
    <row r="70" spans="1:18">
      <c r="A70" s="60" t="s">
        <v>928</v>
      </c>
      <c r="B70" s="61" t="s">
        <v>911</v>
      </c>
      <c r="C70" s="8" t="s">
        <v>892</v>
      </c>
      <c r="D70" s="250"/>
      <c r="E70" s="250"/>
      <c r="F70" s="250"/>
      <c r="G70" s="250"/>
      <c r="H70" s="250"/>
      <c r="I70" s="250"/>
      <c r="J70" s="250"/>
      <c r="K70" s="250"/>
      <c r="L70" s="250"/>
      <c r="M70" s="250"/>
      <c r="N70" s="250"/>
      <c r="O70" s="250"/>
      <c r="P70" s="250"/>
      <c r="Q70" s="250"/>
      <c r="R70" s="250"/>
    </row>
    <row r="71" spans="1:18">
      <c r="A71" s="60" t="s">
        <v>921</v>
      </c>
      <c r="B71" s="61" t="s">
        <v>913</v>
      </c>
      <c r="C71" s="8" t="s">
        <v>892</v>
      </c>
      <c r="D71" s="250"/>
      <c r="E71" s="250"/>
      <c r="F71" s="250"/>
      <c r="G71" s="250"/>
      <c r="H71" s="250"/>
      <c r="I71" s="250"/>
      <c r="J71" s="250"/>
      <c r="K71" s="250"/>
      <c r="L71" s="250"/>
      <c r="M71" s="250"/>
      <c r="N71" s="250"/>
      <c r="O71" s="250"/>
      <c r="P71" s="250"/>
      <c r="Q71" s="250"/>
      <c r="R71" s="250"/>
    </row>
    <row r="72" spans="1:18" ht="30">
      <c r="A72" s="60" t="s">
        <v>929</v>
      </c>
      <c r="B72" s="61" t="s">
        <v>930</v>
      </c>
      <c r="C72" s="8" t="s">
        <v>138</v>
      </c>
      <c r="D72" s="250"/>
      <c r="E72" s="250"/>
      <c r="F72" s="250"/>
      <c r="G72" s="250"/>
      <c r="H72" s="250"/>
      <c r="I72" s="250"/>
      <c r="J72" s="250"/>
      <c r="K72" s="250"/>
      <c r="L72" s="250"/>
      <c r="M72" s="250"/>
      <c r="N72" s="250"/>
      <c r="O72" s="250"/>
      <c r="P72" s="250"/>
      <c r="Q72" s="250"/>
      <c r="R72" s="250"/>
    </row>
    <row r="74" spans="1:18" ht="64.5" customHeight="1">
      <c r="A74" s="1963" t="s">
        <v>931</v>
      </c>
      <c r="B74" s="1963"/>
      <c r="C74" s="1963"/>
      <c r="D74" s="1963"/>
      <c r="E74" s="1963"/>
      <c r="F74" s="1963"/>
      <c r="G74" s="1963"/>
      <c r="H74" s="1963"/>
      <c r="I74" s="1963"/>
      <c r="J74" s="1963"/>
      <c r="K74" s="1963"/>
      <c r="L74" s="1963"/>
      <c r="M74" s="1963"/>
      <c r="N74" s="1963"/>
      <c r="O74" s="1963"/>
    </row>
    <row r="76" spans="1:18">
      <c r="A76" s="1" t="s">
        <v>88</v>
      </c>
    </row>
    <row r="77" spans="1:18" ht="51.75" customHeight="1">
      <c r="A77" s="1963" t="s">
        <v>932</v>
      </c>
      <c r="B77" s="1963"/>
      <c r="C77" s="1963"/>
      <c r="D77" s="1963"/>
      <c r="E77" s="1963"/>
      <c r="F77" s="1963"/>
      <c r="G77" s="1963"/>
      <c r="H77" s="1963"/>
      <c r="I77" s="1963"/>
      <c r="J77" s="1963"/>
      <c r="K77" s="1963"/>
      <c r="L77" s="1963"/>
      <c r="M77" s="1963"/>
      <c r="N77" s="1963"/>
      <c r="O77" s="1963"/>
    </row>
    <row r="78" spans="1:18" ht="69" customHeight="1">
      <c r="A78" s="1963" t="s">
        <v>933</v>
      </c>
      <c r="B78" s="1963"/>
      <c r="C78" s="1963"/>
      <c r="D78" s="1963"/>
      <c r="E78" s="1963"/>
      <c r="F78" s="1963"/>
      <c r="G78" s="1963"/>
      <c r="H78" s="1963"/>
      <c r="I78" s="1963"/>
      <c r="J78" s="1963"/>
      <c r="K78" s="1963"/>
      <c r="L78" s="1963"/>
      <c r="M78" s="1963"/>
      <c r="N78" s="1963"/>
      <c r="O78" s="1963"/>
    </row>
  </sheetData>
  <mergeCells count="4">
    <mergeCell ref="A3:O3"/>
    <mergeCell ref="A74:O74"/>
    <mergeCell ref="A77:O77"/>
    <mergeCell ref="A78:O78"/>
  </mergeCells>
  <pageMargins left="0.78740157480314965" right="0.31496062992125984" top="0.59055118110236227" bottom="0.23622047244094491" header="0.62992125984251968" footer="0.19685039370078741"/>
  <pageSetup paperSize="9" scale="50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99FF"/>
  </sheetPr>
  <dimension ref="A1:R78"/>
  <sheetViews>
    <sheetView view="pageBreakPreview" zoomScaleNormal="100" zoomScaleSheetLayoutView="100" workbookViewId="0">
      <pane xSplit="2" ySplit="5" topLeftCell="C6" activePane="bottomRight" state="frozen"/>
      <selection activeCell="M9" sqref="M9"/>
      <selection pane="topRight" activeCell="M9" sqref="M9"/>
      <selection pane="bottomLeft" activeCell="M9" sqref="M9"/>
      <selection pane="bottomRight" activeCell="N68" sqref="N68"/>
    </sheetView>
  </sheetViews>
  <sheetFormatPr defaultColWidth="2.85546875" defaultRowHeight="15"/>
  <cols>
    <col min="1" max="1" width="6.42578125" style="1" customWidth="1"/>
    <col min="2" max="2" width="36.42578125" style="1" customWidth="1"/>
    <col min="3" max="3" width="11.140625" style="21" customWidth="1"/>
    <col min="4" max="4" width="12.5703125" style="1" hidden="1" customWidth="1"/>
    <col min="5" max="5" width="12.85546875" style="1" hidden="1" customWidth="1"/>
    <col min="6" max="8" width="12.28515625" style="1" customWidth="1"/>
    <col min="9" max="9" width="12.28515625" style="1" hidden="1" customWidth="1"/>
    <col min="10" max="11" width="12.28515625" style="1" customWidth="1"/>
    <col min="12" max="12" width="16" style="1" customWidth="1"/>
    <col min="13" max="13" width="12.5703125" style="1" customWidth="1"/>
    <col min="14" max="14" width="12.28515625" style="1" customWidth="1"/>
    <col min="15" max="15" width="12" style="1" customWidth="1"/>
    <col min="16" max="16" width="12.28515625" style="1" customWidth="1"/>
    <col min="17" max="93" width="11.140625" style="1" customWidth="1"/>
    <col min="94" max="16384" width="2.85546875" style="1"/>
  </cols>
  <sheetData>
    <row r="1" spans="1:18" s="5" customFormat="1" ht="18" customHeight="1">
      <c r="A1" s="74" t="s">
        <v>1860</v>
      </c>
      <c r="C1" s="20"/>
      <c r="M1" s="6"/>
      <c r="N1" s="6"/>
      <c r="O1" s="6" t="s">
        <v>1060</v>
      </c>
      <c r="R1" s="6" t="s">
        <v>1060</v>
      </c>
    </row>
    <row r="2" spans="1:18" s="5" customFormat="1" ht="12.75" customHeight="1">
      <c r="A2" s="105" t="s">
        <v>1160</v>
      </c>
      <c r="C2" s="20"/>
    </row>
    <row r="3" spans="1:18" ht="18.75">
      <c r="A3" s="1877" t="s">
        <v>1170</v>
      </c>
      <c r="B3" s="1877"/>
      <c r="C3" s="1877"/>
      <c r="D3" s="1877"/>
      <c r="E3" s="1877"/>
      <c r="F3" s="1877"/>
      <c r="G3" s="1877"/>
      <c r="H3" s="1877"/>
      <c r="I3" s="1877"/>
      <c r="J3" s="1877"/>
      <c r="K3" s="1877"/>
      <c r="L3" s="1877"/>
      <c r="M3" s="1877"/>
      <c r="N3" s="1877"/>
      <c r="O3" s="1877"/>
    </row>
    <row r="4" spans="1:18" ht="12.75" customHeight="1"/>
    <row r="5" spans="1:18" s="3" customFormat="1" ht="66.75" customHeight="1">
      <c r="A5" s="542" t="s">
        <v>451</v>
      </c>
      <c r="B5" s="542" t="s">
        <v>1</v>
      </c>
      <c r="C5" s="542" t="s">
        <v>2</v>
      </c>
      <c r="D5" s="540" t="s">
        <v>1129</v>
      </c>
      <c r="E5" s="540" t="s">
        <v>1130</v>
      </c>
      <c r="F5" s="913" t="s">
        <v>1131</v>
      </c>
      <c r="G5" s="1284" t="s">
        <v>1695</v>
      </c>
      <c r="H5" s="1310" t="s">
        <v>1702</v>
      </c>
      <c r="I5" s="1661" t="s">
        <v>1882</v>
      </c>
      <c r="J5" s="1576" t="s">
        <v>1828</v>
      </c>
      <c r="K5" s="1661" t="s">
        <v>1842</v>
      </c>
      <c r="L5" s="1631" t="s">
        <v>1861</v>
      </c>
      <c r="M5" s="1631" t="s">
        <v>1862</v>
      </c>
      <c r="N5" s="1631" t="s">
        <v>763</v>
      </c>
      <c r="O5" s="1631" t="s">
        <v>764</v>
      </c>
      <c r="P5" s="1631" t="s">
        <v>1863</v>
      </c>
      <c r="Q5" s="1631" t="s">
        <v>763</v>
      </c>
      <c r="R5" s="1631" t="s">
        <v>764</v>
      </c>
    </row>
    <row r="6" spans="1:18" s="2" customFormat="1">
      <c r="A6" s="13">
        <v>1</v>
      </c>
      <c r="B6" s="13">
        <v>2</v>
      </c>
      <c r="C6" s="13">
        <v>3</v>
      </c>
      <c r="D6" s="13">
        <v>4</v>
      </c>
      <c r="E6" s="13">
        <v>5</v>
      </c>
      <c r="F6" s="13">
        <v>4</v>
      </c>
      <c r="G6" s="13">
        <v>5</v>
      </c>
      <c r="H6" s="13">
        <v>6</v>
      </c>
      <c r="I6" s="13"/>
      <c r="J6" s="13">
        <v>7</v>
      </c>
      <c r="K6" s="13">
        <v>8</v>
      </c>
      <c r="L6" s="13">
        <v>9</v>
      </c>
      <c r="M6" s="13">
        <v>10</v>
      </c>
      <c r="N6" s="13">
        <v>11</v>
      </c>
      <c r="O6" s="13">
        <v>12</v>
      </c>
      <c r="P6" s="13">
        <v>13</v>
      </c>
      <c r="Q6" s="13">
        <v>14</v>
      </c>
      <c r="R6" s="13">
        <v>15</v>
      </c>
    </row>
    <row r="7" spans="1:18" s="36" customFormat="1" ht="15" customHeight="1">
      <c r="A7" s="60" t="s">
        <v>4</v>
      </c>
      <c r="B7" s="61" t="s">
        <v>452</v>
      </c>
      <c r="C7" s="8" t="s">
        <v>453</v>
      </c>
      <c r="D7" s="254"/>
      <c r="E7" s="254"/>
      <c r="F7" s="254"/>
      <c r="G7" s="254"/>
      <c r="H7" s="254"/>
      <c r="I7" s="254"/>
      <c r="J7" s="254"/>
      <c r="K7" s="254"/>
      <c r="L7" s="254"/>
      <c r="M7" s="254"/>
      <c r="N7" s="254"/>
      <c r="O7" s="254"/>
      <c r="P7" s="254"/>
      <c r="Q7" s="254"/>
      <c r="R7" s="254"/>
    </row>
    <row r="8" spans="1:18" s="36" customFormat="1" ht="15" customHeight="1">
      <c r="A8" s="60" t="s">
        <v>5</v>
      </c>
      <c r="B8" s="61" t="s">
        <v>454</v>
      </c>
      <c r="C8" s="8" t="s">
        <v>453</v>
      </c>
      <c r="D8" s="255">
        <f>'4.9_пр-во ККЭ'!D8+'4.9_транзит ККЭ'!D8+'4.9_сбыт ККЭ'!D8</f>
        <v>0</v>
      </c>
      <c r="E8" s="255">
        <f>'4.9_пр-во ККЭ'!E8+'4.9_транзит ККЭ'!E8+'4.9_сбыт ККЭ'!E8</f>
        <v>1144.9000000000001</v>
      </c>
      <c r="F8" s="255">
        <v>1185.0027115599926</v>
      </c>
      <c r="G8" s="255">
        <v>1144.9000000000001</v>
      </c>
      <c r="H8" s="1355">
        <v>0</v>
      </c>
      <c r="I8" s="1355"/>
      <c r="J8" s="255">
        <v>1144.9000000000001</v>
      </c>
      <c r="K8" s="255">
        <v>0</v>
      </c>
      <c r="L8" s="255">
        <v>1257.9000000000001</v>
      </c>
      <c r="M8" s="255">
        <v>1257.9000000000001</v>
      </c>
      <c r="N8" s="255">
        <v>1257.9000000000001</v>
      </c>
      <c r="O8" s="255">
        <v>1257.9000000000001</v>
      </c>
      <c r="P8" s="255">
        <v>1370.9</v>
      </c>
      <c r="Q8" s="255">
        <v>1370.9</v>
      </c>
      <c r="R8" s="255">
        <v>1370.9</v>
      </c>
    </row>
    <row r="9" spans="1:18" s="36" customFormat="1" ht="15" customHeight="1">
      <c r="A9" s="60"/>
      <c r="B9" s="61" t="s">
        <v>455</v>
      </c>
      <c r="C9" s="8" t="s">
        <v>453</v>
      </c>
      <c r="D9" s="254"/>
      <c r="E9" s="254"/>
      <c r="F9" s="254"/>
      <c r="G9" s="254"/>
      <c r="H9" s="1356"/>
      <c r="I9" s="1356"/>
      <c r="J9" s="254"/>
      <c r="K9" s="254"/>
      <c r="L9" s="254"/>
      <c r="M9" s="254"/>
      <c r="N9" s="254"/>
      <c r="O9" s="254"/>
      <c r="P9" s="254"/>
      <c r="Q9" s="254"/>
      <c r="R9" s="254"/>
    </row>
    <row r="10" spans="1:18" s="36" customFormat="1" ht="15" customHeight="1">
      <c r="A10" s="60" t="s">
        <v>11</v>
      </c>
      <c r="B10" s="61" t="s">
        <v>456</v>
      </c>
      <c r="C10" s="8" t="s">
        <v>453</v>
      </c>
      <c r="D10" s="255">
        <f>'4.9_пр-во ККЭ'!D10+'4.9_транзит ККЭ'!D10+'4.9_сбыт ККЭ'!D10</f>
        <v>0</v>
      </c>
      <c r="E10" s="255">
        <f>'4.9_пр-во ККЭ'!E10+'4.9_транзит ККЭ'!E10+'4.9_сбыт ККЭ'!E10</f>
        <v>961.4</v>
      </c>
      <c r="F10" s="255">
        <v>1011.1947774771413</v>
      </c>
      <c r="G10" s="255">
        <v>961.4</v>
      </c>
      <c r="H10" s="1355">
        <v>0</v>
      </c>
      <c r="I10" s="1355"/>
      <c r="J10" s="255">
        <v>961.4</v>
      </c>
      <c r="K10" s="255">
        <v>0</v>
      </c>
      <c r="L10" s="255">
        <v>1074.4000000000001</v>
      </c>
      <c r="M10" s="255">
        <v>1074.4000000000001</v>
      </c>
      <c r="N10" s="255">
        <v>1074.4000000000001</v>
      </c>
      <c r="O10" s="255">
        <v>1074.4000000000001</v>
      </c>
      <c r="P10" s="255">
        <v>1187.4000000000001</v>
      </c>
      <c r="Q10" s="255">
        <v>1187.4000000000001</v>
      </c>
      <c r="R10" s="255">
        <v>1187.4000000000001</v>
      </c>
    </row>
    <row r="11" spans="1:18" s="36" customFormat="1" ht="15" customHeight="1">
      <c r="A11" s="60"/>
      <c r="B11" s="61" t="s">
        <v>457</v>
      </c>
      <c r="C11" s="8" t="s">
        <v>453</v>
      </c>
      <c r="D11" s="254"/>
      <c r="E11" s="254"/>
      <c r="F11" s="254"/>
      <c r="G11" s="254"/>
      <c r="H11" s="1356"/>
      <c r="I11" s="1356"/>
      <c r="J11" s="254"/>
      <c r="K11" s="254"/>
      <c r="L11" s="254"/>
      <c r="M11" s="254"/>
      <c r="N11" s="254"/>
      <c r="O11" s="254"/>
      <c r="P11" s="254"/>
      <c r="Q11" s="254"/>
      <c r="R11" s="254"/>
    </row>
    <row r="12" spans="1:18" s="36" customFormat="1" ht="15" customHeight="1">
      <c r="A12" s="60" t="s">
        <v>445</v>
      </c>
      <c r="B12" s="61" t="s">
        <v>458</v>
      </c>
      <c r="C12" s="8" t="s">
        <v>453</v>
      </c>
      <c r="D12" s="255">
        <f>'4.9_пр-во ККЭ'!D12+'4.9_транзит ККЭ'!D12+'4.9_сбыт ККЭ'!D12</f>
        <v>0</v>
      </c>
      <c r="E12" s="255">
        <f>'4.9_пр-во ККЭ'!E12+'4.9_транзит ККЭ'!E12+'4.9_сбыт ККЭ'!E12</f>
        <v>1086.4000000000001</v>
      </c>
      <c r="F12" s="255">
        <v>0</v>
      </c>
      <c r="G12" s="255">
        <v>1073</v>
      </c>
      <c r="H12" s="1355">
        <v>0</v>
      </c>
      <c r="I12" s="1355"/>
      <c r="J12" s="255">
        <v>1073</v>
      </c>
      <c r="K12" s="255">
        <v>0</v>
      </c>
      <c r="L12" s="255">
        <v>0</v>
      </c>
      <c r="M12" s="255">
        <v>0</v>
      </c>
      <c r="N12" s="255">
        <v>0</v>
      </c>
      <c r="O12" s="255">
        <v>0</v>
      </c>
      <c r="P12" s="255">
        <v>0</v>
      </c>
      <c r="Q12" s="255">
        <v>0</v>
      </c>
      <c r="R12" s="255">
        <v>0</v>
      </c>
    </row>
    <row r="13" spans="1:18" s="36" customFormat="1" ht="15" customHeight="1">
      <c r="A13" s="60"/>
      <c r="B13" s="61" t="s">
        <v>459</v>
      </c>
      <c r="C13" s="8" t="s">
        <v>138</v>
      </c>
      <c r="D13" s="254" t="e">
        <f>D12/D8*100</f>
        <v>#DIV/0!</v>
      </c>
      <c r="E13" s="254">
        <f t="shared" ref="E13:G13" si="0">E12/E8*100</f>
        <v>94.890383439601706</v>
      </c>
      <c r="F13" s="254">
        <v>0</v>
      </c>
      <c r="G13" s="254">
        <v>93.719975543715606</v>
      </c>
      <c r="H13" s="1356" t="e">
        <v>#DIV/0!</v>
      </c>
      <c r="I13" s="1356"/>
      <c r="J13" s="254">
        <v>93.719975543715606</v>
      </c>
      <c r="K13" s="254" t="e">
        <v>#DIV/0!</v>
      </c>
      <c r="L13" s="254">
        <v>0</v>
      </c>
      <c r="M13" s="254">
        <v>0</v>
      </c>
      <c r="N13" s="254">
        <v>0</v>
      </c>
      <c r="O13" s="254">
        <v>0</v>
      </c>
      <c r="P13" s="254">
        <v>0</v>
      </c>
      <c r="Q13" s="254">
        <v>0</v>
      </c>
      <c r="R13" s="254">
        <v>0</v>
      </c>
    </row>
    <row r="14" spans="1:18" s="36" customFormat="1" ht="15" customHeight="1">
      <c r="A14" s="60" t="s">
        <v>446</v>
      </c>
      <c r="B14" s="61" t="s">
        <v>460</v>
      </c>
      <c r="C14" s="8" t="s">
        <v>453</v>
      </c>
      <c r="D14" s="255">
        <f>'4.9_пр-во ККЭ'!D14+'4.9_транзит ККЭ'!D14+'4.9_сбыт ККЭ'!D14</f>
        <v>0</v>
      </c>
      <c r="E14" s="255">
        <f>'4.9_пр-во ККЭ'!E14+'4.9_транзит ККЭ'!E14+'4.9_сбыт ККЭ'!E14</f>
        <v>0</v>
      </c>
      <c r="F14" s="255">
        <v>0</v>
      </c>
      <c r="G14" s="255">
        <v>0</v>
      </c>
      <c r="H14" s="1355">
        <v>0</v>
      </c>
      <c r="I14" s="1355"/>
      <c r="J14" s="255">
        <v>0</v>
      </c>
      <c r="K14" s="255">
        <v>0</v>
      </c>
      <c r="L14" s="255">
        <v>0</v>
      </c>
      <c r="M14" s="255">
        <v>0</v>
      </c>
      <c r="N14" s="255">
        <v>0</v>
      </c>
      <c r="O14" s="255">
        <v>0</v>
      </c>
      <c r="P14" s="255">
        <v>0</v>
      </c>
      <c r="Q14" s="255">
        <v>0</v>
      </c>
      <c r="R14" s="255">
        <v>0</v>
      </c>
    </row>
    <row r="15" spans="1:18" s="36" customFormat="1" ht="15" customHeight="1">
      <c r="A15" s="60" t="s">
        <v>461</v>
      </c>
      <c r="B15" s="61" t="s">
        <v>462</v>
      </c>
      <c r="C15" s="8" t="s">
        <v>453</v>
      </c>
      <c r="D15" s="255">
        <f>'4.9_пр-во ККЭ'!D15+'4.9_транзит ККЭ'!D15+'4.9_сбыт ККЭ'!D15</f>
        <v>1017.4924041811846</v>
      </c>
      <c r="E15" s="255">
        <f>'4.9_пр-во ККЭ'!E15+'4.9_транзит ККЭ'!E15+'4.9_сбыт ККЭ'!E15</f>
        <v>1086.4000000000001</v>
      </c>
      <c r="F15" s="255">
        <v>996.96984628662062</v>
      </c>
      <c r="G15" s="255">
        <v>1096.4000000000001</v>
      </c>
      <c r="H15" s="1355">
        <v>814.98141751779644</v>
      </c>
      <c r="I15" s="1355"/>
      <c r="J15" s="255">
        <v>1099.6000000000001</v>
      </c>
      <c r="K15" s="255">
        <v>0</v>
      </c>
      <c r="L15" s="255">
        <v>1093.7</v>
      </c>
      <c r="M15" s="255">
        <v>1092.7</v>
      </c>
      <c r="N15" s="255">
        <v>1092.7</v>
      </c>
      <c r="O15" s="255">
        <v>1092.7</v>
      </c>
      <c r="P15" s="255">
        <v>1092.7</v>
      </c>
      <c r="Q15" s="255">
        <v>1092.7</v>
      </c>
      <c r="R15" s="255">
        <v>1092.7</v>
      </c>
    </row>
    <row r="16" spans="1:18" s="36" customFormat="1" ht="15" customHeight="1">
      <c r="A16" s="60" t="s">
        <v>23</v>
      </c>
      <c r="B16" s="61" t="s">
        <v>463</v>
      </c>
      <c r="C16" s="8"/>
      <c r="D16" s="66"/>
      <c r="E16" s="66"/>
      <c r="F16" s="66"/>
      <c r="G16" s="66"/>
      <c r="H16" s="990"/>
      <c r="I16" s="990"/>
      <c r="J16" s="66"/>
      <c r="K16" s="66"/>
      <c r="L16" s="66"/>
      <c r="M16" s="66"/>
      <c r="N16" s="66"/>
      <c r="O16" s="66"/>
      <c r="P16" s="66"/>
      <c r="Q16" s="66"/>
      <c r="R16" s="66"/>
    </row>
    <row r="17" spans="1:18" s="36" customFormat="1" ht="15" customHeight="1">
      <c r="A17" s="60" t="s">
        <v>24</v>
      </c>
      <c r="B17" s="61" t="s">
        <v>464</v>
      </c>
      <c r="C17" s="8" t="s">
        <v>465</v>
      </c>
      <c r="D17" s="250">
        <f>'4.9_пр-во ККЭ'!D17</f>
        <v>4535.55</v>
      </c>
      <c r="E17" s="250">
        <f>'4.9_пр-во ККЭ'!E17</f>
        <v>4896</v>
      </c>
      <c r="F17" s="250">
        <v>0</v>
      </c>
      <c r="G17" s="250">
        <v>5628</v>
      </c>
      <c r="H17" s="1357">
        <v>0</v>
      </c>
      <c r="I17" s="1357"/>
      <c r="J17" s="250">
        <v>5778</v>
      </c>
      <c r="K17" s="250">
        <v>0</v>
      </c>
      <c r="L17" s="250">
        <v>6671</v>
      </c>
      <c r="M17" s="250">
        <v>7248</v>
      </c>
      <c r="N17" s="250">
        <v>7398</v>
      </c>
      <c r="O17" s="250">
        <v>7592</v>
      </c>
      <c r="P17" s="250">
        <v>7745</v>
      </c>
      <c r="Q17" s="250">
        <v>7899</v>
      </c>
      <c r="R17" s="250">
        <v>8105</v>
      </c>
    </row>
    <row r="18" spans="1:18" s="36" customFormat="1" ht="15" customHeight="1">
      <c r="A18" s="60" t="s">
        <v>24</v>
      </c>
      <c r="B18" s="61" t="s">
        <v>466</v>
      </c>
      <c r="C18" s="8"/>
      <c r="D18" s="251">
        <f>'4.9_пр-во ККЭ'!D18</f>
        <v>1.071</v>
      </c>
      <c r="E18" s="251">
        <f>'4.9_пр-во ККЭ'!E18</f>
        <v>1.0347222222222223</v>
      </c>
      <c r="F18" s="250" t="e">
        <v>#DIV/0!</v>
      </c>
      <c r="G18" s="251">
        <v>1.0266524520255864</v>
      </c>
      <c r="H18" s="1359">
        <v>0</v>
      </c>
      <c r="I18" s="1359"/>
      <c r="J18" s="251">
        <v>1.1545517480096918</v>
      </c>
      <c r="K18" s="251">
        <v>0</v>
      </c>
      <c r="L18" s="251">
        <v>1.0864937790436215</v>
      </c>
      <c r="M18" s="251">
        <v>1.0685706401766004</v>
      </c>
      <c r="N18" s="251">
        <v>1.0262233035955663</v>
      </c>
      <c r="O18" s="251">
        <v>1.0404373024236038</v>
      </c>
      <c r="P18" s="251">
        <v>1.0589412524209167</v>
      </c>
      <c r="Q18" s="251">
        <v>1.0260792505380427</v>
      </c>
      <c r="R18" s="251">
        <v>1.0238124614435533</v>
      </c>
    </row>
    <row r="19" spans="1:18" s="36" customFormat="1" ht="30" customHeight="1">
      <c r="A19" s="60" t="s">
        <v>139</v>
      </c>
      <c r="B19" s="61" t="s">
        <v>467</v>
      </c>
      <c r="C19" s="8" t="s">
        <v>465</v>
      </c>
      <c r="D19" s="250">
        <f>'4.9_пр-во ККЭ'!D19</f>
        <v>4857.5740500000002</v>
      </c>
      <c r="E19" s="250">
        <f>'4.9_пр-во ККЭ'!E19</f>
        <v>5066</v>
      </c>
      <c r="F19" s="250">
        <v>5700</v>
      </c>
      <c r="G19" s="250">
        <v>5778</v>
      </c>
      <c r="H19" s="1357">
        <v>6328</v>
      </c>
      <c r="I19" s="1357"/>
      <c r="J19" s="250">
        <v>6671</v>
      </c>
      <c r="K19" s="250">
        <v>0</v>
      </c>
      <c r="L19" s="250">
        <v>7248</v>
      </c>
      <c r="M19" s="250">
        <v>7745</v>
      </c>
      <c r="N19" s="250">
        <v>7592</v>
      </c>
      <c r="O19" s="250">
        <v>7899</v>
      </c>
      <c r="P19" s="250">
        <v>8201.5</v>
      </c>
      <c r="Q19" s="250">
        <v>8105</v>
      </c>
      <c r="R19" s="250">
        <v>8298</v>
      </c>
    </row>
    <row r="20" spans="1:18" s="36" customFormat="1" ht="15" customHeight="1">
      <c r="A20" s="60" t="s">
        <v>433</v>
      </c>
      <c r="B20" s="61" t="s">
        <v>468</v>
      </c>
      <c r="C20" s="8"/>
      <c r="D20" s="251">
        <f>('4.9_пр-во ККЭ'!$D$15*'4.9_пр-во ККЭ'!D20+'4.9_транзит ККЭ'!$D$15*'4.9_транзит ККЭ'!D20+'4.9_сбыт ККЭ'!$D$15*'4.9_сбыт ККЭ'!D20)/'4.9_свод ККЭ'!$D$15</f>
        <v>6.3686344488477893</v>
      </c>
      <c r="E20" s="251">
        <f>('4.9_пр-во ККЭ'!$E$15*'4.9_пр-во ККЭ'!E20+'4.9_транзит ККЭ'!$E$15*'4.9_транзит ККЭ'!E20+'4.9_сбыт ККЭ'!$E$15*'4.9_сбыт ККЭ'!E20)/'4.9_свод ККЭ'!$E$15</f>
        <v>6.3668391016200294</v>
      </c>
      <c r="F20" s="251">
        <v>7.2539104536489161</v>
      </c>
      <c r="G20" s="251">
        <v>6.2993640094855889</v>
      </c>
      <c r="H20" s="1359">
        <v>0</v>
      </c>
      <c r="I20" s="1359"/>
      <c r="J20" s="251">
        <v>0</v>
      </c>
      <c r="K20" s="251" t="e">
        <v>#DIV/0!</v>
      </c>
      <c r="L20" s="251">
        <v>0</v>
      </c>
      <c r="M20" s="251">
        <v>0</v>
      </c>
      <c r="N20" s="251">
        <v>0</v>
      </c>
      <c r="O20" s="251">
        <v>0</v>
      </c>
      <c r="P20" s="251">
        <v>0</v>
      </c>
      <c r="Q20" s="251">
        <v>0</v>
      </c>
      <c r="R20" s="251">
        <v>0</v>
      </c>
    </row>
    <row r="21" spans="1:18" s="36" customFormat="1" ht="30" customHeight="1">
      <c r="A21" s="60" t="s">
        <v>433</v>
      </c>
      <c r="B21" s="61" t="s">
        <v>469</v>
      </c>
      <c r="C21" s="8"/>
      <c r="D21" s="251">
        <f>('4.9_пр-во ККЭ'!$D$15*'4.9_пр-во ККЭ'!D21+'4.9_транзит ККЭ'!$D$15*'4.9_транзит ККЭ'!D21+'4.9_сбыт ККЭ'!$D$15*'4.9_сбыт ККЭ'!D21)/'4.9_свод ККЭ'!$D$15</f>
        <v>1.8406948907970062</v>
      </c>
      <c r="E21" s="251">
        <f>('4.9_пр-во ККЭ'!$E$15*'4.9_пр-во ККЭ'!E21+'4.9_транзит ККЭ'!$E$15*'4.9_транзит ККЭ'!E21+'4.9_сбыт ККЭ'!$E$15*'4.9_сбыт ККЭ'!E21)/'4.9_свод ККЭ'!$E$15</f>
        <v>1.8796389911634757</v>
      </c>
      <c r="F21" s="251">
        <v>2.0927489992603552</v>
      </c>
      <c r="G21" s="251">
        <v>1.8691180226194817</v>
      </c>
      <c r="H21" s="1359">
        <v>0</v>
      </c>
      <c r="I21" s="1359"/>
      <c r="J21" s="251">
        <v>1.8725652100763912</v>
      </c>
      <c r="K21" s="252" t="e">
        <v>#DIV/0!</v>
      </c>
      <c r="L21" s="252">
        <v>1.898582792356222</v>
      </c>
      <c r="M21" s="251">
        <v>1.9059256886611147</v>
      </c>
      <c r="N21" s="251">
        <v>1.9059256886611147</v>
      </c>
      <c r="O21" s="251">
        <v>1.9059256886611147</v>
      </c>
      <c r="P21" s="251">
        <v>1.9059256886611147</v>
      </c>
      <c r="Q21" s="251">
        <v>1.9059256886611147</v>
      </c>
      <c r="R21" s="251">
        <v>1.9059256886611147</v>
      </c>
    </row>
    <row r="22" spans="1:18" s="36" customFormat="1" ht="15" customHeight="1">
      <c r="A22" s="60" t="s">
        <v>433</v>
      </c>
      <c r="B22" s="61" t="s">
        <v>470</v>
      </c>
      <c r="C22" s="8" t="s">
        <v>465</v>
      </c>
      <c r="D22" s="250">
        <f>('4.9_пр-во ККЭ'!$D$15*'4.9_пр-во ККЭ'!D22+'4.9_транзит ККЭ'!$D$15*'4.9_транзит ККЭ'!D22+'4.9_сбыт ККЭ'!$D$15*'4.9_сбыт ККЭ'!D22)/'4.9_свод ККЭ'!$D$15</f>
        <v>8941.3117355031209</v>
      </c>
      <c r="E22" s="250">
        <f>('4.9_пр-во ККЭ'!$E$15*'4.9_пр-во ККЭ'!E22+'4.9_транзит ККЭ'!$E$15*'4.9_транзит ККЭ'!E22+'4.9_сбыт ККЭ'!$E$15*'4.9_сбыт ККЭ'!E22)/'4.9_свод ККЭ'!$E$15</f>
        <v>9524.2919981590567</v>
      </c>
      <c r="F22" s="250">
        <v>11928.669295784024</v>
      </c>
      <c r="G22" s="250">
        <v>10799.763934695367</v>
      </c>
      <c r="H22" s="1357">
        <v>0</v>
      </c>
      <c r="I22" s="1357"/>
      <c r="J22" s="250">
        <v>12491.882516419604</v>
      </c>
      <c r="K22" s="250" t="e">
        <v>#DIV/0!</v>
      </c>
      <c r="L22" s="250">
        <v>13760.928078997898</v>
      </c>
      <c r="M22" s="250">
        <v>14761.394458680334</v>
      </c>
      <c r="N22" s="250">
        <v>14469.78782831518</v>
      </c>
      <c r="O22" s="250">
        <v>15054.907014734146</v>
      </c>
      <c r="P22" s="250">
        <v>15631.449535554129</v>
      </c>
      <c r="Q22" s="250">
        <v>15447.527706598332</v>
      </c>
      <c r="R22" s="250">
        <v>15815.371364509931</v>
      </c>
    </row>
    <row r="23" spans="1:18" s="36" customFormat="1" ht="30" customHeight="1">
      <c r="A23" s="60" t="s">
        <v>471</v>
      </c>
      <c r="B23" s="61" t="s">
        <v>472</v>
      </c>
      <c r="C23" s="8"/>
      <c r="D23" s="66"/>
      <c r="E23" s="66"/>
      <c r="F23" s="66"/>
      <c r="G23" s="66"/>
      <c r="H23" s="990"/>
      <c r="I23" s="990"/>
      <c r="J23" s="66"/>
      <c r="K23" s="66"/>
      <c r="L23" s="66"/>
      <c r="M23" s="66"/>
      <c r="N23" s="66"/>
      <c r="O23" s="66"/>
      <c r="P23" s="66"/>
      <c r="Q23" s="66"/>
      <c r="R23" s="66"/>
    </row>
    <row r="24" spans="1:18" s="36" customFormat="1" ht="15" customHeight="1">
      <c r="A24" s="60"/>
      <c r="B24" s="70" t="s">
        <v>473</v>
      </c>
      <c r="C24" s="8" t="s">
        <v>138</v>
      </c>
      <c r="D24" s="250">
        <f>('4.9_пр-во ККЭ'!$D$15*'4.9_пр-во ККЭ'!D24+'4.9_транзит ККЭ'!$D$15*'4.9_транзит ККЭ'!D24+'4.9_сбыт ККЭ'!$D$15*'4.9_сбыт ККЭ'!D24)/'4.9_свод ККЭ'!$D$15</f>
        <v>20.244622192866576</v>
      </c>
      <c r="E24" s="251">
        <f>('4.9_пр-во ККЭ'!$E$15*'4.9_пр-во ККЭ'!E24+'4.9_транзит ККЭ'!$E$15*'4.9_транзит ККЭ'!E24+'4.9_сбыт ККЭ'!$E$15*'4.9_сбыт ККЭ'!E24)/'4.9_свод ККЭ'!$E$15</f>
        <v>18.6670471281296</v>
      </c>
      <c r="F24" s="251">
        <v>17.865389053254432</v>
      </c>
      <c r="G24" s="251">
        <v>21.214374315943086</v>
      </c>
      <c r="H24" s="1359">
        <v>0</v>
      </c>
      <c r="I24" s="1359"/>
      <c r="J24" s="251">
        <v>20.015378319388866</v>
      </c>
      <c r="K24" s="252" t="e">
        <v>#DIV/0!</v>
      </c>
      <c r="L24" s="252">
        <v>21.41739050928042</v>
      </c>
      <c r="M24" s="947">
        <v>21.41846252402306</v>
      </c>
      <c r="N24" s="947">
        <v>21.41846252402306</v>
      </c>
      <c r="O24" s="947">
        <v>21.41846252402306</v>
      </c>
      <c r="P24" s="251">
        <v>21.41846252402306</v>
      </c>
      <c r="Q24" s="251">
        <v>21.41846252402306</v>
      </c>
      <c r="R24" s="251">
        <v>21.41846252402306</v>
      </c>
    </row>
    <row r="25" spans="1:18" s="36" customFormat="1" ht="15" customHeight="1">
      <c r="A25" s="60"/>
      <c r="B25" s="70" t="s">
        <v>474</v>
      </c>
      <c r="C25" s="8" t="s">
        <v>465</v>
      </c>
      <c r="D25" s="250">
        <f>('4.9_пр-во ККЭ'!$D$15*'4.9_пр-во ККЭ'!D25+'4.9_транзит ККЭ'!$D$15*'4.9_транзит ККЭ'!D25+'4.9_сбыт ККЭ'!$D$15*'4.9_сбыт ККЭ'!D25)/'4.9_свод ККЭ'!$D$15</f>
        <v>1807.5521148215828</v>
      </c>
      <c r="E25" s="250">
        <f>('4.9_пр-во ККЭ'!$E$15*'4.9_пр-во ККЭ'!E25+'4.9_транзит ККЭ'!$E$15*'4.9_транзит ККЭ'!E25+'4.9_сбыт ККЭ'!$E$15*'4.9_сбыт ККЭ'!E25)/'4.9_свод ККЭ'!$E$15</f>
        <v>1751.2926542426358</v>
      </c>
      <c r="F25" s="250">
        <v>2131.1031785679215</v>
      </c>
      <c r="G25" s="250">
        <v>2267.5980441736592</v>
      </c>
      <c r="H25" s="1357">
        <v>0</v>
      </c>
      <c r="I25" s="1357"/>
      <c r="J25" s="250">
        <v>2461.4583484903601</v>
      </c>
      <c r="K25" s="250" t="e">
        <v>#DIV/0!</v>
      </c>
      <c r="L25" s="250">
        <v>2906.1644875194293</v>
      </c>
      <c r="M25" s="250">
        <v>3117.380525304292</v>
      </c>
      <c r="N25" s="250">
        <v>3055.9118696806077</v>
      </c>
      <c r="O25" s="250">
        <v>3179.829504896129</v>
      </c>
      <c r="P25" s="250">
        <v>3301.2517616912232</v>
      </c>
      <c r="Q25" s="250">
        <v>3262.4080717488787</v>
      </c>
      <c r="R25" s="250">
        <v>3340.0954516335678</v>
      </c>
    </row>
    <row r="26" spans="1:18" s="36" customFormat="1" ht="15" customHeight="1">
      <c r="A26" s="60" t="s">
        <v>475</v>
      </c>
      <c r="B26" s="61" t="s">
        <v>476</v>
      </c>
      <c r="C26" s="8"/>
      <c r="D26" s="250"/>
      <c r="E26" s="250"/>
      <c r="F26" s="250"/>
      <c r="G26" s="250"/>
      <c r="H26" s="1357"/>
      <c r="I26" s="1357"/>
      <c r="J26" s="250"/>
      <c r="K26" s="250"/>
      <c r="L26" s="250"/>
      <c r="M26" s="250"/>
      <c r="N26" s="250"/>
      <c r="O26" s="250"/>
      <c r="P26" s="250"/>
      <c r="Q26" s="250"/>
      <c r="R26" s="250"/>
    </row>
    <row r="27" spans="1:18" s="36" customFormat="1" ht="15" customHeight="1">
      <c r="A27" s="60"/>
      <c r="B27" s="70" t="s">
        <v>473</v>
      </c>
      <c r="C27" s="8" t="s">
        <v>138</v>
      </c>
      <c r="D27" s="250">
        <f>('4.9_пр-во ККЭ'!$D$15*'4.9_пр-во ККЭ'!D27+'4.9_транзит ККЭ'!$D$15*'4.9_транзит ККЭ'!D27+'4.9_сбыт ККЭ'!$D$15*'4.9_сбыт ККЭ'!D27)/'4.9_свод ККЭ'!$D$15</f>
        <v>49.999999999999993</v>
      </c>
      <c r="E27" s="251">
        <f>('4.9_пр-во ККЭ'!$E$15*'4.9_пр-во ККЭ'!E27+'4.9_транзит ККЭ'!$E$15*'4.9_транзит ККЭ'!E27+'4.9_сбыт ККЭ'!$E$15*'4.9_сбыт ККЭ'!E27)/'4.9_свод ККЭ'!$E$15</f>
        <v>47.663089101620017</v>
      </c>
      <c r="F27" s="251">
        <v>47.182878698224847</v>
      </c>
      <c r="G27" s="251">
        <v>47.989216982852973</v>
      </c>
      <c r="H27" s="1359">
        <v>0</v>
      </c>
      <c r="I27" s="1359"/>
      <c r="J27" s="251">
        <v>48.62462713714077</v>
      </c>
      <c r="K27" s="252" t="e">
        <v>#DIV/0!</v>
      </c>
      <c r="L27" s="252">
        <v>47.856103136143368</v>
      </c>
      <c r="M27" s="250">
        <v>50</v>
      </c>
      <c r="N27" s="250">
        <v>50</v>
      </c>
      <c r="O27" s="250">
        <v>50</v>
      </c>
      <c r="P27" s="251">
        <v>50</v>
      </c>
      <c r="Q27" s="251">
        <v>50</v>
      </c>
      <c r="R27" s="251">
        <v>50</v>
      </c>
    </row>
    <row r="28" spans="1:18" s="36" customFormat="1" ht="15" customHeight="1">
      <c r="A28" s="60"/>
      <c r="B28" s="70" t="s">
        <v>474</v>
      </c>
      <c r="C28" s="8" t="s">
        <v>465</v>
      </c>
      <c r="D28" s="250">
        <f>('4.9_пр-во ККЭ'!$D$15*'4.9_пр-во ККЭ'!D28+'4.9_транзит ККЭ'!$D$15*'4.9_транзит ККЭ'!D28+'4.9_сбыт ККЭ'!$D$15*'4.9_сбыт ККЭ'!D28)/'4.9_свод ККЭ'!$D$15</f>
        <v>5374.4319251623529</v>
      </c>
      <c r="E28" s="250">
        <f>('4.9_пр-во ККЭ'!$E$15*'4.9_пр-во ККЭ'!E28+'4.9_транзит ККЭ'!$E$15*'4.9_транзит ККЭ'!E28+'4.9_сбыт ККЭ'!$E$15*'4.9_сбыт ККЭ'!E28)/'4.9_свод ККЭ'!$E$15</f>
        <v>5359.5992711362069</v>
      </c>
      <c r="F28" s="250">
        <v>6633.8053918198848</v>
      </c>
      <c r="G28" s="250">
        <v>6271.6000386745118</v>
      </c>
      <c r="H28" s="1357">
        <v>0</v>
      </c>
      <c r="I28" s="1357"/>
      <c r="J28" s="250">
        <v>7260.643052018916</v>
      </c>
      <c r="K28" s="250" t="e">
        <v>#DIV/0!</v>
      </c>
      <c r="L28" s="250">
        <v>7972.3027338392612</v>
      </c>
      <c r="M28" s="250">
        <v>8939.384368994235</v>
      </c>
      <c r="N28" s="250">
        <v>8763.1899881028639</v>
      </c>
      <c r="O28" s="250">
        <v>9117.7917086116959</v>
      </c>
      <c r="P28" s="250">
        <v>9466.3344010249839</v>
      </c>
      <c r="Q28" s="250">
        <v>9354.8112931271171</v>
      </c>
      <c r="R28" s="250">
        <v>9578.0901436807908</v>
      </c>
    </row>
    <row r="29" spans="1:18" s="36" customFormat="1" ht="15" customHeight="1">
      <c r="A29" s="60" t="s">
        <v>477</v>
      </c>
      <c r="B29" s="61" t="s">
        <v>478</v>
      </c>
      <c r="C29" s="8"/>
      <c r="D29" s="250"/>
      <c r="E29" s="250"/>
      <c r="F29" s="250"/>
      <c r="G29" s="250"/>
      <c r="H29" s="1357"/>
      <c r="I29" s="1357"/>
      <c r="J29" s="250"/>
      <c r="K29" s="250"/>
      <c r="L29" s="250"/>
      <c r="M29" s="250"/>
      <c r="N29" s="250"/>
      <c r="O29" s="250"/>
      <c r="P29" s="250"/>
      <c r="Q29" s="250"/>
      <c r="R29" s="250"/>
    </row>
    <row r="30" spans="1:18" s="36" customFormat="1" ht="15" customHeight="1">
      <c r="A30" s="60"/>
      <c r="B30" s="70" t="s">
        <v>473</v>
      </c>
      <c r="C30" s="8" t="s">
        <v>138</v>
      </c>
      <c r="D30" s="250">
        <f>('4.9_пр-во ККЭ'!$D$15*'4.9_пр-во ККЭ'!D30+'4.9_транзит ККЭ'!$D$15*'4.9_транзит ККЭ'!D30+'4.9_сбыт ККЭ'!$D$15*'4.9_сбыт ККЭ'!D30)/'4.9_свод ККЭ'!$D$15</f>
        <v>7.8789255834427196</v>
      </c>
      <c r="E30" s="251">
        <f>('4.9_пр-во ККЭ'!$E$15*'4.9_пр-во ККЭ'!E30+'4.9_транзит ККЭ'!$E$15*'4.9_транзит ККЭ'!E30+'4.9_сбыт ККЭ'!$E$15*'4.9_сбыт ККЭ'!E30)/'4.9_свод ККЭ'!$E$15</f>
        <v>8.6754786450662724</v>
      </c>
      <c r="F30" s="251">
        <v>9.8049182938856028</v>
      </c>
      <c r="G30" s="251">
        <v>8.6631019700839111</v>
      </c>
      <c r="H30" s="1359">
        <v>0</v>
      </c>
      <c r="I30" s="1359"/>
      <c r="J30" s="251">
        <v>8.9005903965078197</v>
      </c>
      <c r="K30" s="252" t="e">
        <v>#DIV/0!</v>
      </c>
      <c r="L30" s="252">
        <v>8.988205175093718</v>
      </c>
      <c r="M30" s="250">
        <v>9.0998261187883216</v>
      </c>
      <c r="N30" s="250">
        <v>9.0998261187883216</v>
      </c>
      <c r="O30" s="250">
        <v>9.0998261187883216</v>
      </c>
      <c r="P30" s="251">
        <v>9.0998261187883216</v>
      </c>
      <c r="Q30" s="251">
        <v>9.0998261187883216</v>
      </c>
      <c r="R30" s="251">
        <v>9.0998261187883216</v>
      </c>
    </row>
    <row r="31" spans="1:18" s="36" customFormat="1" ht="15" customHeight="1">
      <c r="A31" s="60"/>
      <c r="B31" s="70" t="s">
        <v>474</v>
      </c>
      <c r="C31" s="8" t="s">
        <v>465</v>
      </c>
      <c r="D31" s="250">
        <f>('4.9_пр-во ККЭ'!$D$15*'4.9_пр-во ККЭ'!D31+'4.9_транзит ККЭ'!$D$15*'4.9_транзит ККЭ'!D31+'4.9_сбыт ККЭ'!$D$15*'4.9_сбыт ККЭ'!D31)/'4.9_свод ККЭ'!$D$15</f>
        <v>847.22449813709852</v>
      </c>
      <c r="E31" s="250">
        <f>('4.9_пр-во ККЭ'!$E$15*'4.9_пр-во ККЭ'!E31+'4.9_транзит ККЭ'!$E$15*'4.9_транзит ККЭ'!E31+'4.9_сбыт ККЭ'!$E$15*'4.9_сбыт ККЭ'!E31)/'4.9_свод ККЭ'!$E$15</f>
        <v>975.53964797360084</v>
      </c>
      <c r="F31" s="250">
        <v>1378.5492034164265</v>
      </c>
      <c r="G31" s="250">
        <v>1129.6897978655963</v>
      </c>
      <c r="H31" s="1357">
        <v>0</v>
      </c>
      <c r="I31" s="1357"/>
      <c r="J31" s="250">
        <v>1329.240178246635</v>
      </c>
      <c r="K31" s="250" t="e">
        <v>#DIV/0!</v>
      </c>
      <c r="L31" s="250">
        <v>1496.2326963518331</v>
      </c>
      <c r="M31" s="250">
        <v>1625.1555779262376</v>
      </c>
      <c r="N31" s="250">
        <v>1593.7921661938317</v>
      </c>
      <c r="O31" s="250">
        <v>1657.5189896586437</v>
      </c>
      <c r="P31" s="250">
        <v>1721.2261370916078</v>
      </c>
      <c r="Q31" s="250">
        <v>1701.2527683719227</v>
      </c>
      <c r="R31" s="250">
        <v>1741.7145602635671</v>
      </c>
    </row>
    <row r="32" spans="1:18" s="36" customFormat="1" ht="15" customHeight="1">
      <c r="A32" s="60" t="s">
        <v>479</v>
      </c>
      <c r="B32" s="61" t="s">
        <v>480</v>
      </c>
      <c r="C32" s="8"/>
      <c r="D32" s="250"/>
      <c r="E32" s="250"/>
      <c r="F32" s="250"/>
      <c r="G32" s="250"/>
      <c r="H32" s="1357"/>
      <c r="I32" s="1357"/>
      <c r="J32" s="250"/>
      <c r="K32" s="250"/>
      <c r="L32" s="250"/>
      <c r="M32" s="250"/>
      <c r="N32" s="250"/>
      <c r="O32" s="250"/>
      <c r="P32" s="250"/>
      <c r="Q32" s="250"/>
      <c r="R32" s="250"/>
    </row>
    <row r="33" spans="1:18" s="36" customFormat="1" ht="15" customHeight="1">
      <c r="A33" s="60"/>
      <c r="B33" s="70" t="s">
        <v>473</v>
      </c>
      <c r="C33" s="8" t="s">
        <v>138</v>
      </c>
      <c r="D33" s="250">
        <f>('4.9_пр-во ККЭ'!$D$15*'4.9_пр-во ККЭ'!D33+'4.9_транзит ККЭ'!$D$15*'4.9_транзит ККЭ'!D33+'4.9_сбыт ККЭ'!$D$15*'4.9_сбыт ККЭ'!D33)/'4.9_свод ККЭ'!$D$15</f>
        <v>0</v>
      </c>
      <c r="E33" s="251">
        <f>('4.9_пр-во ККЭ'!$E$15*'4.9_пр-во ККЭ'!E33+'4.9_транзит ККЭ'!$E$15*'4.9_транзит ККЭ'!E33+'4.9_сбыт ККЭ'!$E$15*'4.9_сбыт ККЭ'!E33)/'4.9_свод ККЭ'!$E$15</f>
        <v>0</v>
      </c>
      <c r="F33" s="251">
        <v>0</v>
      </c>
      <c r="G33" s="251">
        <v>0</v>
      </c>
      <c r="H33" s="1359">
        <v>0</v>
      </c>
      <c r="I33" s="1359"/>
      <c r="J33" s="251">
        <v>0</v>
      </c>
      <c r="K33" s="252" t="e">
        <v>#DIV/0!</v>
      </c>
      <c r="L33" s="252">
        <v>0</v>
      </c>
      <c r="M33" s="250">
        <v>0</v>
      </c>
      <c r="N33" s="250">
        <v>0</v>
      </c>
      <c r="O33" s="250">
        <v>0</v>
      </c>
      <c r="P33" s="251">
        <v>0</v>
      </c>
      <c r="Q33" s="251">
        <v>0</v>
      </c>
      <c r="R33" s="251">
        <v>0</v>
      </c>
    </row>
    <row r="34" spans="1:18" s="36" customFormat="1" ht="15" customHeight="1">
      <c r="A34" s="60"/>
      <c r="B34" s="70" t="s">
        <v>474</v>
      </c>
      <c r="C34" s="8" t="s">
        <v>465</v>
      </c>
      <c r="D34" s="250">
        <f>('4.9_пр-во ККЭ'!$D$15*'4.9_пр-во ККЭ'!D34+'4.9_транзит ККЭ'!$D$15*'4.9_транзит ККЭ'!D34+'4.9_сбыт ККЭ'!$D$15*'4.9_сбыт ККЭ'!D34)/'4.9_свод ККЭ'!$D$15</f>
        <v>0</v>
      </c>
      <c r="E34" s="250">
        <f>('4.9_пр-во ККЭ'!$E$15*'4.9_пр-во ККЭ'!E34+'4.9_транзит ККЭ'!$E$15*'4.9_транзит ККЭ'!E34+'4.9_сбыт ККЭ'!$E$15*'4.9_сбыт ККЭ'!E34)/'4.9_свод ККЭ'!$E$15</f>
        <v>95.655568851251829</v>
      </c>
      <c r="F34" s="250">
        <v>0</v>
      </c>
      <c r="G34" s="250">
        <v>0</v>
      </c>
      <c r="H34" s="1357">
        <v>0</v>
      </c>
      <c r="I34" s="1357"/>
      <c r="J34" s="250">
        <v>0</v>
      </c>
      <c r="K34" s="250" t="e">
        <v>#DIV/0!</v>
      </c>
      <c r="L34" s="250">
        <v>0</v>
      </c>
      <c r="M34" s="250">
        <v>0</v>
      </c>
      <c r="N34" s="250">
        <v>0</v>
      </c>
      <c r="O34" s="250">
        <v>0</v>
      </c>
      <c r="P34" s="250">
        <v>0</v>
      </c>
      <c r="Q34" s="250">
        <v>0</v>
      </c>
      <c r="R34" s="250">
        <v>0</v>
      </c>
    </row>
    <row r="35" spans="1:18" s="36" customFormat="1" hidden="1">
      <c r="A35" s="60" t="s">
        <v>481</v>
      </c>
      <c r="B35" s="61"/>
      <c r="C35" s="8"/>
      <c r="D35" s="250"/>
      <c r="E35" s="250"/>
      <c r="F35" s="250"/>
      <c r="G35" s="250"/>
      <c r="H35" s="1357"/>
      <c r="I35" s="1357"/>
      <c r="J35" s="250"/>
      <c r="K35" s="250"/>
      <c r="L35" s="250"/>
      <c r="M35" s="250"/>
      <c r="N35" s="250"/>
      <c r="O35" s="250"/>
      <c r="P35" s="250"/>
      <c r="Q35" s="250"/>
      <c r="R35" s="250"/>
    </row>
    <row r="36" spans="1:18" s="36" customFormat="1" ht="15" hidden="1" customHeight="1">
      <c r="A36" s="60"/>
      <c r="B36" s="70" t="s">
        <v>473</v>
      </c>
      <c r="C36" s="8" t="s">
        <v>138</v>
      </c>
      <c r="D36" s="66">
        <f>('4.9_пр-во ККЭ'!$D$15*'4.9_пр-во ККЭ'!D36+'4.9_транзит ККЭ'!$D$15*'4.9_транзит ККЭ'!D36+'4.9_сбыт ККЭ'!$D$15*'4.9_сбыт ККЭ'!D36)/'4.9_свод ККЭ'!$D$15</f>
        <v>0</v>
      </c>
      <c r="E36" s="251">
        <f>('4.9_пр-во ККЭ'!$E$15*'4.9_пр-во ККЭ'!E36+'4.9_транзит ККЭ'!$E$15*'4.9_транзит ККЭ'!E36+'4.9_сбыт ККЭ'!$E$15*'4.9_сбыт ККЭ'!E36)/'4.9_свод ККЭ'!$E$15</f>
        <v>0</v>
      </c>
      <c r="F36" s="251">
        <v>0</v>
      </c>
      <c r="G36" s="251">
        <v>0</v>
      </c>
      <c r="H36" s="1359">
        <v>0</v>
      </c>
      <c r="I36" s="1359"/>
      <c r="J36" s="251">
        <v>0</v>
      </c>
      <c r="K36" s="251"/>
      <c r="L36" s="251"/>
      <c r="M36" s="66">
        <v>0</v>
      </c>
      <c r="N36" s="66">
        <v>0</v>
      </c>
      <c r="O36" s="66">
        <v>0</v>
      </c>
      <c r="P36" s="66">
        <v>0</v>
      </c>
      <c r="Q36" s="66">
        <v>0</v>
      </c>
      <c r="R36" s="66">
        <v>0</v>
      </c>
    </row>
    <row r="37" spans="1:18" s="36" customFormat="1" ht="15" hidden="1" customHeight="1">
      <c r="A37" s="60"/>
      <c r="B37" s="70" t="s">
        <v>474</v>
      </c>
      <c r="C37" s="8" t="s">
        <v>465</v>
      </c>
      <c r="D37" s="66">
        <f>('4.9_пр-во ККЭ'!$D$15*'4.9_пр-во ККЭ'!D37+'4.9_транзит ККЭ'!$D$15*'4.9_транзит ККЭ'!D37+'4.9_сбыт ККЭ'!$D$15*'4.9_сбыт ККЭ'!D37)/'4.9_свод ККЭ'!$D$15</f>
        <v>0</v>
      </c>
      <c r="E37" s="250">
        <f>('4.9_пр-во ККЭ'!$E$15*'4.9_пр-во ККЭ'!E37+'4.9_транзит ККЭ'!$E$15*'4.9_транзит ККЭ'!E37+'4.9_сбыт ККЭ'!$E$15*'4.9_сбыт ККЭ'!E37)/'4.9_свод ККЭ'!$E$15</f>
        <v>0</v>
      </c>
      <c r="F37" s="250">
        <v>0</v>
      </c>
      <c r="G37" s="250">
        <v>0</v>
      </c>
      <c r="H37" s="1357">
        <v>0</v>
      </c>
      <c r="I37" s="1357"/>
      <c r="J37" s="250">
        <v>0</v>
      </c>
      <c r="K37" s="250"/>
      <c r="L37" s="250"/>
      <c r="M37" s="66">
        <v>0</v>
      </c>
      <c r="N37" s="66">
        <v>0</v>
      </c>
      <c r="O37" s="66">
        <v>0</v>
      </c>
      <c r="P37" s="66">
        <v>0</v>
      </c>
      <c r="Q37" s="66">
        <v>0</v>
      </c>
      <c r="R37" s="66">
        <v>0</v>
      </c>
    </row>
    <row r="38" spans="1:18" s="36" customFormat="1" hidden="1">
      <c r="A38" s="60" t="s">
        <v>482</v>
      </c>
      <c r="B38" s="61"/>
      <c r="C38" s="8"/>
      <c r="D38" s="66"/>
      <c r="E38" s="66"/>
      <c r="F38" s="66"/>
      <c r="G38" s="66"/>
      <c r="H38" s="990"/>
      <c r="I38" s="990"/>
      <c r="J38" s="66"/>
      <c r="K38" s="66"/>
      <c r="L38" s="66"/>
      <c r="M38" s="66"/>
      <c r="N38" s="66"/>
      <c r="O38" s="66"/>
      <c r="P38" s="66"/>
      <c r="Q38" s="66"/>
      <c r="R38" s="66"/>
    </row>
    <row r="39" spans="1:18" s="36" customFormat="1" ht="15" hidden="1" customHeight="1">
      <c r="A39" s="60"/>
      <c r="B39" s="70" t="s">
        <v>473</v>
      </c>
      <c r="C39" s="8" t="s">
        <v>138</v>
      </c>
      <c r="D39" s="66">
        <f>('4.9_пр-во ККЭ'!$D$15*'4.9_пр-во ККЭ'!D39+'4.9_транзит ККЭ'!$D$15*'4.9_транзит ККЭ'!D39+'4.9_сбыт ККЭ'!$D$15*'4.9_сбыт ККЭ'!D39)/'4.9_свод ККЭ'!$D$15</f>
        <v>0</v>
      </c>
      <c r="E39" s="251">
        <f>('4.9_пр-во ККЭ'!$E$15*'4.9_пр-во ККЭ'!E39+'4.9_транзит ККЭ'!$E$15*'4.9_транзит ККЭ'!E39+'4.9_сбыт ККЭ'!$E$15*'4.9_сбыт ККЭ'!E39)/'4.9_свод ККЭ'!$E$15</f>
        <v>0</v>
      </c>
      <c r="F39" s="251">
        <v>0</v>
      </c>
      <c r="G39" s="251">
        <v>0</v>
      </c>
      <c r="H39" s="1359">
        <v>0</v>
      </c>
      <c r="I39" s="1359"/>
      <c r="J39" s="251">
        <v>0</v>
      </c>
      <c r="K39" s="251"/>
      <c r="L39" s="251"/>
      <c r="M39" s="66">
        <v>0</v>
      </c>
      <c r="N39" s="66">
        <v>0</v>
      </c>
      <c r="O39" s="66">
        <v>0</v>
      </c>
      <c r="P39" s="66">
        <v>0</v>
      </c>
      <c r="Q39" s="66">
        <v>0</v>
      </c>
      <c r="R39" s="66">
        <v>0</v>
      </c>
    </row>
    <row r="40" spans="1:18" s="36" customFormat="1" ht="15" hidden="1" customHeight="1">
      <c r="A40" s="60"/>
      <c r="B40" s="70" t="s">
        <v>474</v>
      </c>
      <c r="C40" s="8" t="s">
        <v>465</v>
      </c>
      <c r="D40" s="66">
        <f>('4.9_пр-во ККЭ'!$D$15*'4.9_пр-во ККЭ'!D40+'4.9_транзит ККЭ'!$D$15*'4.9_транзит ККЭ'!D40+'4.9_сбыт ККЭ'!$D$15*'4.9_сбыт ККЭ'!D40)/'4.9_свод ККЭ'!$D$15</f>
        <v>0</v>
      </c>
      <c r="E40" s="250">
        <f>('4.9_пр-во ККЭ'!$E$15*'4.9_пр-во ККЭ'!E40+'4.9_транзит ККЭ'!$E$15*'4.9_транзит ККЭ'!E40+'4.9_сбыт ККЭ'!$E$15*'4.9_сбыт ККЭ'!E40)/'4.9_свод ККЭ'!$E$15</f>
        <v>0</v>
      </c>
      <c r="F40" s="250">
        <v>0</v>
      </c>
      <c r="G40" s="250">
        <v>0</v>
      </c>
      <c r="H40" s="1357">
        <v>0</v>
      </c>
      <c r="I40" s="1357"/>
      <c r="J40" s="250">
        <v>0</v>
      </c>
      <c r="K40" s="250"/>
      <c r="L40" s="250"/>
      <c r="M40" s="66">
        <v>0</v>
      </c>
      <c r="N40" s="66">
        <v>0</v>
      </c>
      <c r="O40" s="66">
        <v>0</v>
      </c>
      <c r="P40" s="66">
        <v>0</v>
      </c>
      <c r="Q40" s="66">
        <v>0</v>
      </c>
      <c r="R40" s="66">
        <v>0</v>
      </c>
    </row>
    <row r="41" spans="1:18" s="36" customFormat="1" ht="30" customHeight="1">
      <c r="A41" s="60" t="s">
        <v>483</v>
      </c>
      <c r="B41" s="61" t="s">
        <v>484</v>
      </c>
      <c r="C41" s="8"/>
      <c r="D41" s="66"/>
      <c r="E41" s="66"/>
      <c r="F41" s="66"/>
      <c r="G41" s="66"/>
      <c r="H41" s="990"/>
      <c r="I41" s="990"/>
      <c r="J41" s="66"/>
      <c r="K41" s="66"/>
      <c r="L41" s="66"/>
      <c r="M41" s="66"/>
      <c r="N41" s="66"/>
      <c r="O41" s="66"/>
      <c r="P41" s="66"/>
      <c r="Q41" s="66"/>
      <c r="R41" s="66"/>
    </row>
    <row r="42" spans="1:18" s="36" customFormat="1" ht="15" customHeight="1">
      <c r="A42" s="60"/>
      <c r="B42" s="70" t="s">
        <v>473</v>
      </c>
      <c r="C42" s="8" t="s">
        <v>138</v>
      </c>
      <c r="D42" s="250">
        <f>('4.9_пр-во ККЭ'!$D$15*'4.9_пр-во ККЭ'!D42+'4.9_транзит ККЭ'!$D$15*'4.9_транзит ККЭ'!D42+'4.9_сбыт ККЭ'!$D$15*'4.9_сбыт ККЭ'!D42)/'4.9_свод ККЭ'!$D$15</f>
        <v>160</v>
      </c>
      <c r="E42" s="250">
        <f>('4.9_пр-во ККЭ'!$E$15*'4.9_пр-во ККЭ'!E42+'4.9_транзит ККЭ'!$E$15*'4.9_транзит ККЭ'!E42+'4.9_сбыт ККЭ'!$E$15*'4.9_сбыт ККЭ'!E42)/'4.9_свод ККЭ'!$E$15</f>
        <v>160</v>
      </c>
      <c r="F42" s="250">
        <v>160</v>
      </c>
      <c r="G42" s="250">
        <v>160</v>
      </c>
      <c r="H42" s="1357">
        <v>160</v>
      </c>
      <c r="I42" s="1357"/>
      <c r="J42" s="250">
        <v>160</v>
      </c>
      <c r="K42" s="250">
        <v>160</v>
      </c>
      <c r="L42" s="250">
        <v>160</v>
      </c>
      <c r="M42" s="250">
        <v>160</v>
      </c>
      <c r="N42" s="250">
        <v>160</v>
      </c>
      <c r="O42" s="250">
        <v>160</v>
      </c>
      <c r="P42" s="250">
        <v>160</v>
      </c>
      <c r="Q42" s="250">
        <v>160</v>
      </c>
      <c r="R42" s="250">
        <v>160</v>
      </c>
    </row>
    <row r="43" spans="1:18" s="36" customFormat="1" ht="15" customHeight="1">
      <c r="A43" s="60"/>
      <c r="B43" s="70" t="s">
        <v>474</v>
      </c>
      <c r="C43" s="8" t="s">
        <v>465</v>
      </c>
      <c r="D43" s="250">
        <f>('4.9_пр-во ККЭ'!$D$15*'4.9_пр-во ККЭ'!D43+'4.9_транзит ККЭ'!$D$15*'4.9_транзит ККЭ'!D43+'4.9_сбыт ККЭ'!$D$15*'4.9_сбыт ККЭ'!D43)/'4.9_свод ККЭ'!$D$15</f>
        <v>27153.135123840038</v>
      </c>
      <c r="E43" s="250">
        <f>('4.9_пр-во ККЭ'!$E$15*'4.9_пр-во ККЭ'!E43+'4.9_транзит ККЭ'!$E$15*'4.9_транзит ККЭ'!E43+'4.9_сбыт ККЭ'!$E$15*'4.9_сбыт ККЭ'!E43)/'4.9_свод ККЭ'!$E$15</f>
        <v>28178.935696745346</v>
      </c>
      <c r="F43" s="250">
        <v>35315.403311341215</v>
      </c>
      <c r="G43" s="250">
        <v>32749.100930922399</v>
      </c>
      <c r="H43" s="1357">
        <v>0</v>
      </c>
      <c r="I43" s="1357"/>
      <c r="J43" s="250">
        <v>37669.274736267726</v>
      </c>
      <c r="K43" s="250" t="e">
        <v>#DIV/0!</v>
      </c>
      <c r="L43" s="250">
        <v>41817.011063362894</v>
      </c>
      <c r="M43" s="250">
        <v>45508.854305847897</v>
      </c>
      <c r="N43" s="250">
        <v>44611.853482200051</v>
      </c>
      <c r="O43" s="250">
        <v>46416.068088221837</v>
      </c>
      <c r="P43" s="250">
        <v>48192.646105976019</v>
      </c>
      <c r="Q43" s="250">
        <v>47625.447240779722</v>
      </c>
      <c r="R43" s="250">
        <v>48760.805619108622</v>
      </c>
    </row>
    <row r="44" spans="1:18" s="36" customFormat="1" ht="30" customHeight="1">
      <c r="A44" s="387" t="s">
        <v>27</v>
      </c>
      <c r="B44" s="386" t="s">
        <v>485</v>
      </c>
      <c r="C44" s="385" t="s">
        <v>465</v>
      </c>
      <c r="D44" s="384">
        <f>D22+D25+D28+D31+D34+D37+D40+D43</f>
        <v>44123.655397464194</v>
      </c>
      <c r="E44" s="384">
        <f t="shared" ref="E44:G44" si="1">E22+E25+E28+E31+E34+E37+E40+E43</f>
        <v>45885.314837108104</v>
      </c>
      <c r="F44" s="384">
        <v>57388.730380929468</v>
      </c>
      <c r="G44" s="384">
        <v>53217.752746331535</v>
      </c>
      <c r="H44" s="1361">
        <v>0</v>
      </c>
      <c r="I44" s="1361"/>
      <c r="J44" s="384">
        <v>61212.498831443241</v>
      </c>
      <c r="K44" s="384" t="e">
        <v>#DIV/0!</v>
      </c>
      <c r="L44" s="384">
        <v>67952.63906007132</v>
      </c>
      <c r="M44" s="384">
        <v>73952.16923675299</v>
      </c>
      <c r="N44" s="384">
        <v>72494.535334492539</v>
      </c>
      <c r="O44" s="384">
        <v>75426.115306122461</v>
      </c>
      <c r="P44" s="384">
        <v>78312.907941337966</v>
      </c>
      <c r="Q44" s="384">
        <v>77391.447080625978</v>
      </c>
      <c r="R44" s="384">
        <v>79236.077139196481</v>
      </c>
    </row>
    <row r="45" spans="1:18" s="1368" customFormat="1" ht="30" customHeight="1">
      <c r="A45" s="1364" t="s">
        <v>95</v>
      </c>
      <c r="B45" s="1365" t="s">
        <v>905</v>
      </c>
      <c r="C45" s="1366" t="s">
        <v>465</v>
      </c>
      <c r="D45" s="1367">
        <f>'4.9_пр-во ККЭ'!D45+'4.9_транзит ККЭ'!D45+'4.9_сбыт ККЭ'!D45+1</f>
        <v>546979.83881928446</v>
      </c>
      <c r="E45" s="1367">
        <f>'4.9_пр-во ККЭ'!E45+'4.9_транзит ККЭ'!E45+'4.9_сбыт ККЭ'!E45</f>
        <v>627587.08126841101</v>
      </c>
      <c r="F45" s="1367">
        <v>581712.37342644029</v>
      </c>
      <c r="G45" s="1367">
        <v>737808.56733293494</v>
      </c>
      <c r="H45" s="1373">
        <v>566096.58122717077</v>
      </c>
      <c r="I45" s="1373"/>
      <c r="J45" s="1367">
        <v>824759.86458066013</v>
      </c>
      <c r="K45" s="1367">
        <v>0</v>
      </c>
      <c r="L45" s="1367">
        <v>912314.71607999993</v>
      </c>
      <c r="M45" s="1367">
        <v>1015328.3697300002</v>
      </c>
      <c r="N45" s="1367">
        <v>487952.17256000004</v>
      </c>
      <c r="O45" s="1367">
        <v>527374.19717000006</v>
      </c>
      <c r="P45" s="1367">
        <v>1074772.97429</v>
      </c>
      <c r="Q45" s="1367">
        <v>520642.80534999998</v>
      </c>
      <c r="R45" s="1367">
        <v>554130.16894</v>
      </c>
    </row>
    <row r="46" spans="1:18">
      <c r="A46" s="60" t="s">
        <v>898</v>
      </c>
      <c r="B46" s="61" t="s">
        <v>899</v>
      </c>
      <c r="C46" s="8" t="s">
        <v>892</v>
      </c>
      <c r="D46" s="250">
        <f>'4.9_пр-во ККЭ'!D46+'4.9_транзит ККЭ'!D46+'4.9_сбыт ККЭ'!D46</f>
        <v>8217</v>
      </c>
      <c r="E46" s="250">
        <f>'4.9_пр-во ККЭ'!E46+'4.9_транзит ККЭ'!E46+'4.9_сбыт ККЭ'!E46</f>
        <v>11343</v>
      </c>
      <c r="F46" s="250">
        <v>11418.375617513464</v>
      </c>
      <c r="G46" s="250">
        <v>14726</v>
      </c>
      <c r="H46" s="1357">
        <v>10764</v>
      </c>
      <c r="I46" s="1357"/>
      <c r="J46" s="250">
        <v>16556</v>
      </c>
      <c r="K46" s="250">
        <v>0</v>
      </c>
      <c r="L46" s="250">
        <v>20172</v>
      </c>
      <c r="M46" s="250">
        <v>25049</v>
      </c>
      <c r="N46" s="250">
        <v>12525</v>
      </c>
      <c r="O46" s="250">
        <v>12525</v>
      </c>
      <c r="P46" s="250">
        <v>26177</v>
      </c>
      <c r="Q46" s="250">
        <v>13088.5</v>
      </c>
      <c r="R46" s="250">
        <v>13088.5</v>
      </c>
    </row>
    <row r="47" spans="1:18" ht="60.75" customHeight="1">
      <c r="A47" s="60" t="s">
        <v>900</v>
      </c>
      <c r="B47" s="61" t="s">
        <v>902</v>
      </c>
      <c r="C47" s="8" t="s">
        <v>892</v>
      </c>
      <c r="D47" s="250"/>
      <c r="E47" s="250"/>
      <c r="F47" s="250"/>
      <c r="G47" s="250"/>
      <c r="H47" s="1357"/>
      <c r="I47" s="1357"/>
      <c r="J47" s="250"/>
      <c r="K47" s="250"/>
      <c r="L47" s="250"/>
      <c r="M47" s="250">
        <v>0</v>
      </c>
      <c r="N47" s="250">
        <v>0</v>
      </c>
      <c r="O47" s="250">
        <v>0</v>
      </c>
      <c r="P47" s="250">
        <v>0</v>
      </c>
      <c r="Q47" s="250">
        <v>0</v>
      </c>
      <c r="R47" s="250">
        <v>0</v>
      </c>
    </row>
    <row r="48" spans="1:18">
      <c r="A48" s="60" t="s">
        <v>901</v>
      </c>
      <c r="B48" s="61" t="s">
        <v>348</v>
      </c>
      <c r="C48" s="8" t="s">
        <v>892</v>
      </c>
      <c r="D48" s="250">
        <f>D49+D50+D51+D52+D53</f>
        <v>0</v>
      </c>
      <c r="E48" s="250">
        <f t="shared" ref="E48:O48" si="2">E49+E50+E51+E52+E53</f>
        <v>18033</v>
      </c>
      <c r="F48" s="250">
        <v>0</v>
      </c>
      <c r="G48" s="250">
        <v>22928</v>
      </c>
      <c r="H48" s="1357">
        <v>0</v>
      </c>
      <c r="I48" s="1357"/>
      <c r="J48" s="250">
        <v>493</v>
      </c>
      <c r="K48" s="250">
        <v>0</v>
      </c>
      <c r="L48" s="250">
        <v>286</v>
      </c>
      <c r="M48" s="250">
        <v>20507</v>
      </c>
      <c r="N48" s="250">
        <v>152.5</v>
      </c>
      <c r="O48" s="250">
        <v>20354.5</v>
      </c>
      <c r="P48" s="250">
        <v>21716</v>
      </c>
      <c r="Q48" s="250">
        <v>161.5</v>
      </c>
      <c r="R48" s="250">
        <v>21554.5</v>
      </c>
    </row>
    <row r="49" spans="1:18" ht="30">
      <c r="A49" s="60" t="s">
        <v>1024</v>
      </c>
      <c r="B49" s="61" t="s">
        <v>1023</v>
      </c>
      <c r="C49" s="8" t="s">
        <v>892</v>
      </c>
      <c r="D49" s="250">
        <f>'4.9_пр-во ККЭ'!D49+'4.9_транзит ККЭ'!D49+'4.9_сбыт ККЭ'!D49</f>
        <v>0</v>
      </c>
      <c r="E49" s="250">
        <f>'4.9_пр-во ККЭ'!E49+'4.9_транзит ККЭ'!E49+'4.9_сбыт ККЭ'!E49</f>
        <v>4207</v>
      </c>
      <c r="F49" s="250">
        <v>0</v>
      </c>
      <c r="G49" s="250">
        <v>0</v>
      </c>
      <c r="H49" s="1357">
        <v>0</v>
      </c>
      <c r="I49" s="1357"/>
      <c r="J49" s="250">
        <v>0</v>
      </c>
      <c r="K49" s="250">
        <v>0</v>
      </c>
      <c r="L49" s="250">
        <v>0</v>
      </c>
      <c r="M49" s="250">
        <v>0</v>
      </c>
      <c r="N49" s="250">
        <v>0</v>
      </c>
      <c r="O49" s="250">
        <v>0</v>
      </c>
      <c r="P49" s="250">
        <v>0</v>
      </c>
      <c r="Q49" s="250">
        <v>0</v>
      </c>
      <c r="R49" s="250">
        <v>0</v>
      </c>
    </row>
    <row r="50" spans="1:18" ht="30">
      <c r="A50" s="60" t="s">
        <v>1022</v>
      </c>
      <c r="B50" s="61" t="s">
        <v>1021</v>
      </c>
      <c r="C50" s="8" t="s">
        <v>892</v>
      </c>
      <c r="D50" s="250">
        <f>'4.9_пр-во ККЭ'!D50+'4.9_транзит ККЭ'!D50+'4.9_сбыт ККЭ'!D50</f>
        <v>0</v>
      </c>
      <c r="E50" s="250">
        <f>'4.9_пр-во ККЭ'!E50+'4.9_транзит ККЭ'!E50+'4.9_сбыт ККЭ'!E50</f>
        <v>54</v>
      </c>
      <c r="F50" s="250">
        <v>0</v>
      </c>
      <c r="G50" s="250">
        <v>58</v>
      </c>
      <c r="H50" s="1357">
        <v>0</v>
      </c>
      <c r="I50" s="1357"/>
      <c r="J50" s="250">
        <v>0</v>
      </c>
      <c r="K50" s="250">
        <v>0</v>
      </c>
      <c r="L50" s="250">
        <v>0</v>
      </c>
      <c r="M50" s="250">
        <v>0</v>
      </c>
      <c r="N50" s="250">
        <v>0</v>
      </c>
      <c r="O50" s="250">
        <v>0</v>
      </c>
      <c r="P50" s="250">
        <v>0</v>
      </c>
      <c r="Q50" s="250">
        <v>0</v>
      </c>
      <c r="R50" s="250">
        <v>0</v>
      </c>
    </row>
    <row r="51" spans="1:18">
      <c r="A51" s="60" t="s">
        <v>1020</v>
      </c>
      <c r="B51" s="61" t="s">
        <v>1019</v>
      </c>
      <c r="C51" s="8" t="s">
        <v>892</v>
      </c>
      <c r="D51" s="250">
        <f>'4.9_пр-во ККЭ'!D51+'4.9_транзит ККЭ'!D51+'4.9_сбыт ККЭ'!D51</f>
        <v>0</v>
      </c>
      <c r="E51" s="250">
        <f>'4.9_пр-во ККЭ'!E51+'4.9_транзит ККЭ'!E51+'4.9_сбыт ККЭ'!E51</f>
        <v>446</v>
      </c>
      <c r="F51" s="250">
        <v>0</v>
      </c>
      <c r="G51" s="250">
        <v>1080</v>
      </c>
      <c r="H51" s="1357">
        <v>0</v>
      </c>
      <c r="I51" s="1357"/>
      <c r="J51" s="250">
        <v>493</v>
      </c>
      <c r="K51" s="250">
        <v>0</v>
      </c>
      <c r="L51" s="250">
        <v>286</v>
      </c>
      <c r="M51" s="250">
        <v>305</v>
      </c>
      <c r="N51" s="250">
        <v>152.5</v>
      </c>
      <c r="O51" s="250">
        <v>152.5</v>
      </c>
      <c r="P51" s="250">
        <v>323</v>
      </c>
      <c r="Q51" s="250">
        <v>161.5</v>
      </c>
      <c r="R51" s="250">
        <v>161.5</v>
      </c>
    </row>
    <row r="52" spans="1:18" ht="30">
      <c r="A52" s="60" t="s">
        <v>1018</v>
      </c>
      <c r="B52" s="61" t="s">
        <v>934</v>
      </c>
      <c r="C52" s="8" t="s">
        <v>892</v>
      </c>
      <c r="D52" s="250">
        <f>'4.9_пр-во ККЭ'!D52+'4.9_транзит ККЭ'!D52+'4.9_сбыт ККЭ'!D52</f>
        <v>0</v>
      </c>
      <c r="E52" s="250">
        <f>'4.9_пр-во ККЭ'!E52+'4.9_транзит ККЭ'!E52+'4.9_сбыт ККЭ'!E52</f>
        <v>0</v>
      </c>
      <c r="F52" s="250">
        <v>0</v>
      </c>
      <c r="G52" s="250">
        <v>0</v>
      </c>
      <c r="H52" s="1357">
        <v>0</v>
      </c>
      <c r="I52" s="1357"/>
      <c r="J52" s="250">
        <v>0</v>
      </c>
      <c r="K52" s="250">
        <v>0</v>
      </c>
      <c r="L52" s="250">
        <v>0</v>
      </c>
      <c r="M52" s="250">
        <v>20202</v>
      </c>
      <c r="N52" s="250">
        <v>0</v>
      </c>
      <c r="O52" s="250">
        <v>20202</v>
      </c>
      <c r="P52" s="250">
        <v>21393</v>
      </c>
      <c r="Q52" s="250">
        <v>0</v>
      </c>
      <c r="R52" s="250">
        <v>21393</v>
      </c>
    </row>
    <row r="53" spans="1:18" ht="75">
      <c r="A53" s="60" t="s">
        <v>1071</v>
      </c>
      <c r="B53" s="61" t="s">
        <v>1558</v>
      </c>
      <c r="C53" s="8" t="s">
        <v>892</v>
      </c>
      <c r="D53" s="250">
        <f>'4.9_пр-во ККЭ'!D53+'4.9_транзит ККЭ'!D53+'4.9_сбыт ККЭ'!D53</f>
        <v>0</v>
      </c>
      <c r="E53" s="250">
        <f>'4.9_пр-во ККЭ'!E53+'4.9_транзит ККЭ'!E53+'4.9_сбыт ККЭ'!E53</f>
        <v>13326</v>
      </c>
      <c r="F53" s="250">
        <v>0</v>
      </c>
      <c r="G53" s="250">
        <v>21790</v>
      </c>
      <c r="H53" s="1357">
        <v>0</v>
      </c>
      <c r="I53" s="1357"/>
      <c r="J53" s="250">
        <v>0</v>
      </c>
      <c r="K53" s="250">
        <v>0</v>
      </c>
      <c r="L53" s="250">
        <v>0</v>
      </c>
      <c r="M53" s="250">
        <v>0</v>
      </c>
      <c r="N53" s="250">
        <v>0</v>
      </c>
      <c r="O53" s="250">
        <v>0</v>
      </c>
      <c r="P53" s="250">
        <v>0</v>
      </c>
      <c r="Q53" s="250">
        <v>0</v>
      </c>
      <c r="R53" s="250">
        <v>0</v>
      </c>
    </row>
    <row r="54" spans="1:18" ht="30">
      <c r="A54" s="60"/>
      <c r="B54" s="61" t="s">
        <v>903</v>
      </c>
      <c r="C54" s="8"/>
      <c r="D54" s="250">
        <v>12</v>
      </c>
      <c r="E54" s="250">
        <v>12</v>
      </c>
      <c r="F54" s="250">
        <v>12</v>
      </c>
      <c r="G54" s="250">
        <v>12</v>
      </c>
      <c r="H54" s="1357">
        <v>12</v>
      </c>
      <c r="I54" s="1357"/>
      <c r="J54" s="250">
        <v>12</v>
      </c>
      <c r="K54" s="250">
        <v>12</v>
      </c>
      <c r="L54" s="250">
        <v>12</v>
      </c>
      <c r="M54" s="250">
        <v>12</v>
      </c>
      <c r="N54" s="250">
        <v>6</v>
      </c>
      <c r="O54" s="250">
        <v>6</v>
      </c>
      <c r="P54" s="250">
        <v>12</v>
      </c>
      <c r="Q54" s="250">
        <v>6</v>
      </c>
      <c r="R54" s="250">
        <v>6</v>
      </c>
    </row>
    <row r="55" spans="1:18" s="763" customFormat="1" ht="28.5">
      <c r="A55" s="1352" t="s">
        <v>904</v>
      </c>
      <c r="B55" s="1353" t="s">
        <v>905</v>
      </c>
      <c r="C55" s="1354" t="s">
        <v>892</v>
      </c>
      <c r="D55" s="1013">
        <f>'4.9_пр-во ККЭ'!D55+'4.9_транзит ККЭ'!D55+'4.9_сбыт ККЭ'!D55+1</f>
        <v>538761.83881928446</v>
      </c>
      <c r="E55" s="1013">
        <f>'4.9_пр-во ККЭ'!E55+'4.9_транзит ККЭ'!E55+'4.9_сбыт ККЭ'!E55</f>
        <v>598208.0812684109</v>
      </c>
      <c r="F55" s="1013">
        <v>697995.3800950282</v>
      </c>
      <c r="G55" s="1013">
        <v>723093.56733293482</v>
      </c>
      <c r="H55" s="1360">
        <v>555333.58122717077</v>
      </c>
      <c r="I55" s="1360"/>
      <c r="J55" s="1013">
        <v>808203.86458066013</v>
      </c>
      <c r="K55" s="1013">
        <v>0</v>
      </c>
      <c r="L55" s="1013">
        <v>892142.71607999993</v>
      </c>
      <c r="M55" s="1013">
        <v>990276.36973000003</v>
      </c>
      <c r="N55" s="1013">
        <v>475427.17256000004</v>
      </c>
      <c r="O55" s="1013">
        <v>514849.19717000006</v>
      </c>
      <c r="P55" s="1013">
        <v>1048597.97429</v>
      </c>
      <c r="Q55" s="1013">
        <v>507553.30534999998</v>
      </c>
      <c r="R55" s="1013">
        <v>541043.66894</v>
      </c>
    </row>
    <row r="56" spans="1:18" ht="30">
      <c r="A56" s="60" t="s">
        <v>906</v>
      </c>
      <c r="B56" s="61" t="s">
        <v>909</v>
      </c>
      <c r="C56" s="8" t="s">
        <v>892</v>
      </c>
      <c r="D56" s="250"/>
      <c r="E56" s="250"/>
      <c r="F56" s="250"/>
      <c r="G56" s="250"/>
      <c r="H56" s="1357"/>
      <c r="I56" s="1357"/>
      <c r="J56" s="250"/>
      <c r="K56" s="250"/>
      <c r="L56" s="250"/>
      <c r="M56" s="250"/>
      <c r="N56" s="250"/>
      <c r="O56" s="250"/>
      <c r="P56" s="250"/>
      <c r="Q56" s="250"/>
      <c r="R56" s="250"/>
    </row>
    <row r="57" spans="1:18">
      <c r="A57" s="60" t="s">
        <v>907</v>
      </c>
      <c r="B57" s="61" t="s">
        <v>910</v>
      </c>
      <c r="C57" s="8" t="s">
        <v>892</v>
      </c>
      <c r="D57" s="250">
        <f>'4.9_пр-во ККЭ'!D57+'4.9_транзит ККЭ'!D57+'4.9_сбыт ККЭ'!D57+1</f>
        <v>538761.83881928446</v>
      </c>
      <c r="E57" s="250">
        <f>'4.9_пр-во ККЭ'!E57+'4.9_транзит ККЭ'!E57+'4.9_сбыт ККЭ'!E57</f>
        <v>598208.0812684109</v>
      </c>
      <c r="F57" s="250">
        <v>697995</v>
      </c>
      <c r="G57" s="250">
        <v>723093.56733293482</v>
      </c>
      <c r="H57" s="1357">
        <v>555333.58122717077</v>
      </c>
      <c r="I57" s="1357"/>
      <c r="J57" s="250">
        <v>808203.86458066013</v>
      </c>
      <c r="K57" s="250">
        <v>0</v>
      </c>
      <c r="L57" s="250">
        <v>892142.71607999993</v>
      </c>
      <c r="M57" s="250">
        <v>990274.36973000003</v>
      </c>
      <c r="N57" s="250">
        <v>475426.17256000004</v>
      </c>
      <c r="O57" s="250">
        <v>514848.19717000006</v>
      </c>
      <c r="P57" s="250">
        <v>1048597.97429</v>
      </c>
      <c r="Q57" s="250">
        <v>507553.30534999998</v>
      </c>
      <c r="R57" s="250">
        <v>541043.66894</v>
      </c>
    </row>
    <row r="58" spans="1:18">
      <c r="A58" s="60" t="s">
        <v>908</v>
      </c>
      <c r="B58" s="61" t="s">
        <v>911</v>
      </c>
      <c r="C58" s="8" t="s">
        <v>892</v>
      </c>
      <c r="D58" s="250">
        <f>'4.9_пр-во ККЭ'!D58+'4.9_транзит ККЭ'!D58+'4.9_сбыт ККЭ'!D58</f>
        <v>0</v>
      </c>
      <c r="E58" s="250">
        <f>'4.9_пр-во ККЭ'!E58+'4.9_транзит ККЭ'!E58+'4.9_сбыт ККЭ'!E58</f>
        <v>0</v>
      </c>
      <c r="F58" s="250">
        <v>0</v>
      </c>
      <c r="G58" s="250">
        <v>0</v>
      </c>
      <c r="H58" s="1357">
        <v>0</v>
      </c>
      <c r="I58" s="1357"/>
      <c r="J58" s="250">
        <v>0</v>
      </c>
      <c r="K58" s="250">
        <v>0</v>
      </c>
      <c r="L58" s="250">
        <v>0</v>
      </c>
      <c r="M58" s="250">
        <v>0</v>
      </c>
      <c r="N58" s="250">
        <v>0</v>
      </c>
      <c r="O58" s="250">
        <v>0</v>
      </c>
      <c r="P58" s="250">
        <v>0</v>
      </c>
      <c r="Q58" s="250">
        <v>0</v>
      </c>
      <c r="R58" s="250">
        <v>0</v>
      </c>
    </row>
    <row r="59" spans="1:18">
      <c r="A59" s="60" t="s">
        <v>912</v>
      </c>
      <c r="B59" s="61" t="s">
        <v>913</v>
      </c>
      <c r="C59" s="8" t="s">
        <v>892</v>
      </c>
      <c r="D59" s="250">
        <f>'4.9_пр-во ККЭ'!D59+'4.9_транзит ККЭ'!D59+'4.9_сбыт ККЭ'!D59</f>
        <v>0</v>
      </c>
      <c r="E59" s="250">
        <f>'4.9_пр-во ККЭ'!E59+'4.9_транзит ККЭ'!E59+'4.9_сбыт ККЭ'!E59</f>
        <v>0</v>
      </c>
      <c r="F59" s="250">
        <v>0</v>
      </c>
      <c r="G59" s="250">
        <v>0</v>
      </c>
      <c r="H59" s="1357">
        <v>0</v>
      </c>
      <c r="I59" s="1357"/>
      <c r="J59" s="250">
        <v>0</v>
      </c>
      <c r="K59" s="250">
        <v>0</v>
      </c>
      <c r="L59" s="250">
        <v>0</v>
      </c>
      <c r="M59" s="250">
        <v>0</v>
      </c>
      <c r="N59" s="250">
        <v>0</v>
      </c>
      <c r="O59" s="250">
        <v>0</v>
      </c>
      <c r="P59" s="250">
        <v>0</v>
      </c>
      <c r="Q59" s="250">
        <v>0</v>
      </c>
      <c r="R59" s="250">
        <v>0</v>
      </c>
    </row>
    <row r="60" spans="1:18" ht="30">
      <c r="A60" s="60" t="s">
        <v>97</v>
      </c>
      <c r="B60" s="61" t="s">
        <v>914</v>
      </c>
      <c r="C60" s="8" t="s">
        <v>846</v>
      </c>
      <c r="D60" s="250"/>
      <c r="E60" s="250"/>
      <c r="F60" s="250"/>
      <c r="G60" s="250"/>
      <c r="H60" s="250"/>
      <c r="I60" s="250"/>
      <c r="J60" s="250"/>
      <c r="K60" s="250"/>
      <c r="L60" s="250"/>
      <c r="M60" s="250"/>
      <c r="N60" s="250"/>
      <c r="O60" s="250"/>
      <c r="P60" s="250"/>
      <c r="Q60" s="250"/>
      <c r="R60" s="250"/>
    </row>
    <row r="61" spans="1:18">
      <c r="A61" s="60" t="s">
        <v>915</v>
      </c>
      <c r="B61" s="61" t="s">
        <v>458</v>
      </c>
      <c r="C61" s="8" t="s">
        <v>453</v>
      </c>
      <c r="D61" s="250"/>
      <c r="E61" s="250"/>
      <c r="F61" s="250"/>
      <c r="G61" s="250"/>
      <c r="H61" s="250"/>
      <c r="I61" s="250"/>
      <c r="J61" s="250"/>
      <c r="K61" s="250"/>
      <c r="L61" s="250"/>
      <c r="M61" s="250"/>
      <c r="N61" s="250"/>
      <c r="O61" s="250"/>
      <c r="P61" s="250"/>
      <c r="Q61" s="250"/>
      <c r="R61" s="250"/>
    </row>
    <row r="62" spans="1:18">
      <c r="A62" s="60" t="s">
        <v>916</v>
      </c>
      <c r="B62" s="253" t="s">
        <v>923</v>
      </c>
      <c r="C62" s="8" t="s">
        <v>453</v>
      </c>
      <c r="D62" s="250"/>
      <c r="E62" s="250"/>
      <c r="F62" s="250"/>
      <c r="G62" s="250"/>
      <c r="H62" s="250"/>
      <c r="I62" s="250"/>
      <c r="J62" s="250"/>
      <c r="K62" s="250"/>
      <c r="L62" s="250"/>
      <c r="M62" s="250"/>
      <c r="N62" s="250"/>
      <c r="O62" s="250"/>
      <c r="P62" s="250"/>
      <c r="Q62" s="250"/>
      <c r="R62" s="250"/>
    </row>
    <row r="63" spans="1:18">
      <c r="A63" s="60" t="s">
        <v>917</v>
      </c>
      <c r="B63" s="253" t="s">
        <v>924</v>
      </c>
      <c r="C63" s="8" t="s">
        <v>465</v>
      </c>
      <c r="D63" s="250"/>
      <c r="E63" s="250"/>
      <c r="F63" s="250"/>
      <c r="G63" s="250"/>
      <c r="H63" s="250"/>
      <c r="I63" s="250"/>
      <c r="J63" s="250"/>
      <c r="K63" s="250"/>
      <c r="L63" s="250"/>
      <c r="M63" s="250"/>
      <c r="N63" s="250"/>
      <c r="O63" s="250"/>
      <c r="P63" s="250"/>
      <c r="Q63" s="250"/>
      <c r="R63" s="250"/>
    </row>
    <row r="64" spans="1:18">
      <c r="A64" s="60" t="s">
        <v>918</v>
      </c>
      <c r="B64" s="61" t="s">
        <v>899</v>
      </c>
      <c r="C64" s="8" t="s">
        <v>892</v>
      </c>
      <c r="D64" s="250"/>
      <c r="E64" s="250"/>
      <c r="F64" s="250"/>
      <c r="G64" s="250"/>
      <c r="H64" s="250"/>
      <c r="I64" s="250"/>
      <c r="J64" s="250"/>
      <c r="K64" s="250"/>
      <c r="L64" s="250"/>
      <c r="M64" s="250"/>
      <c r="N64" s="250"/>
      <c r="O64" s="250"/>
      <c r="P64" s="250"/>
      <c r="Q64" s="250"/>
      <c r="R64" s="250"/>
    </row>
    <row r="65" spans="1:18">
      <c r="A65" s="60" t="s">
        <v>919</v>
      </c>
      <c r="B65" s="61" t="s">
        <v>922</v>
      </c>
      <c r="C65" s="8" t="s">
        <v>892</v>
      </c>
      <c r="D65" s="250"/>
      <c r="E65" s="250"/>
      <c r="F65" s="250"/>
      <c r="G65" s="250"/>
      <c r="H65" s="250"/>
      <c r="I65" s="250"/>
      <c r="J65" s="250"/>
      <c r="K65" s="250"/>
      <c r="L65" s="250"/>
      <c r="M65" s="250"/>
      <c r="N65" s="250"/>
      <c r="O65" s="250"/>
      <c r="P65" s="250"/>
      <c r="Q65" s="250"/>
      <c r="R65" s="250"/>
    </row>
    <row r="66" spans="1:18">
      <c r="A66" s="60" t="s">
        <v>920</v>
      </c>
      <c r="B66" s="61" t="s">
        <v>925</v>
      </c>
      <c r="C66" s="8" t="s">
        <v>892</v>
      </c>
      <c r="D66" s="250"/>
      <c r="E66" s="250"/>
      <c r="F66" s="250"/>
      <c r="G66" s="250"/>
      <c r="H66" s="250"/>
      <c r="I66" s="250"/>
      <c r="J66" s="250"/>
      <c r="K66" s="250"/>
      <c r="L66" s="250"/>
      <c r="M66" s="250"/>
      <c r="N66" s="250"/>
      <c r="O66" s="250"/>
      <c r="P66" s="250"/>
      <c r="Q66" s="250"/>
      <c r="R66" s="250"/>
    </row>
    <row r="67" spans="1:18" ht="30">
      <c r="A67" s="60" t="s">
        <v>921</v>
      </c>
      <c r="B67" s="61" t="s">
        <v>909</v>
      </c>
      <c r="C67" s="8" t="s">
        <v>892</v>
      </c>
      <c r="D67" s="250"/>
      <c r="E67" s="250"/>
      <c r="F67" s="250"/>
      <c r="G67" s="250"/>
      <c r="H67" s="250"/>
      <c r="I67" s="250"/>
      <c r="J67" s="250"/>
      <c r="K67" s="250"/>
      <c r="L67" s="250"/>
      <c r="M67" s="250"/>
      <c r="N67" s="250"/>
      <c r="O67" s="250"/>
      <c r="P67" s="250"/>
      <c r="Q67" s="250"/>
      <c r="R67" s="250"/>
    </row>
    <row r="68" spans="1:18" ht="30">
      <c r="A68" s="60" t="s">
        <v>926</v>
      </c>
      <c r="B68" s="61" t="s">
        <v>909</v>
      </c>
      <c r="C68" s="8" t="s">
        <v>892</v>
      </c>
      <c r="D68" s="250"/>
      <c r="E68" s="250"/>
      <c r="F68" s="250"/>
      <c r="G68" s="250"/>
      <c r="H68" s="250"/>
      <c r="I68" s="250"/>
      <c r="J68" s="250"/>
      <c r="K68" s="250"/>
      <c r="L68" s="250"/>
      <c r="M68" s="250"/>
      <c r="N68" s="250"/>
      <c r="O68" s="250"/>
      <c r="P68" s="250"/>
      <c r="Q68" s="250"/>
      <c r="R68" s="250"/>
    </row>
    <row r="69" spans="1:18">
      <c r="A69" s="60" t="s">
        <v>927</v>
      </c>
      <c r="B69" s="61" t="s">
        <v>910</v>
      </c>
      <c r="C69" s="8" t="s">
        <v>892</v>
      </c>
      <c r="D69" s="250"/>
      <c r="E69" s="250"/>
      <c r="F69" s="250"/>
      <c r="G69" s="250"/>
      <c r="H69" s="250"/>
      <c r="I69" s="250"/>
      <c r="J69" s="250"/>
      <c r="K69" s="250"/>
      <c r="L69" s="250"/>
      <c r="M69" s="250"/>
      <c r="N69" s="250"/>
      <c r="O69" s="250"/>
      <c r="P69" s="250"/>
      <c r="Q69" s="250"/>
      <c r="R69" s="250"/>
    </row>
    <row r="70" spans="1:18">
      <c r="A70" s="60" t="s">
        <v>928</v>
      </c>
      <c r="B70" s="61" t="s">
        <v>911</v>
      </c>
      <c r="C70" s="8" t="s">
        <v>892</v>
      </c>
      <c r="D70" s="250"/>
      <c r="E70" s="250"/>
      <c r="F70" s="250"/>
      <c r="G70" s="250"/>
      <c r="H70" s="250"/>
      <c r="I70" s="250"/>
      <c r="J70" s="250"/>
      <c r="K70" s="250"/>
      <c r="L70" s="250"/>
      <c r="M70" s="250"/>
      <c r="N70" s="250"/>
      <c r="O70" s="250"/>
      <c r="P70" s="250"/>
      <c r="Q70" s="250"/>
      <c r="R70" s="250"/>
    </row>
    <row r="71" spans="1:18">
      <c r="A71" s="60" t="s">
        <v>921</v>
      </c>
      <c r="B71" s="61" t="s">
        <v>913</v>
      </c>
      <c r="C71" s="8" t="s">
        <v>892</v>
      </c>
      <c r="D71" s="250"/>
      <c r="E71" s="250"/>
      <c r="F71" s="250"/>
      <c r="G71" s="250"/>
      <c r="H71" s="250"/>
      <c r="I71" s="250"/>
      <c r="J71" s="250"/>
      <c r="K71" s="250"/>
      <c r="L71" s="250"/>
      <c r="M71" s="250"/>
      <c r="N71" s="250"/>
      <c r="O71" s="250"/>
      <c r="P71" s="250"/>
      <c r="Q71" s="250"/>
      <c r="R71" s="250"/>
    </row>
    <row r="72" spans="1:18" ht="30">
      <c r="A72" s="60" t="s">
        <v>929</v>
      </c>
      <c r="B72" s="61" t="s">
        <v>930</v>
      </c>
      <c r="C72" s="8" t="s">
        <v>138</v>
      </c>
      <c r="D72" s="250"/>
      <c r="E72" s="250"/>
      <c r="F72" s="250"/>
      <c r="G72" s="250"/>
      <c r="H72" s="250"/>
      <c r="I72" s="250"/>
      <c r="J72" s="250"/>
      <c r="K72" s="250"/>
      <c r="L72" s="250"/>
      <c r="M72" s="250"/>
      <c r="N72" s="250"/>
      <c r="O72" s="250"/>
      <c r="P72" s="250"/>
      <c r="Q72" s="250"/>
      <c r="R72" s="250"/>
    </row>
    <row r="74" spans="1:18" ht="64.5" customHeight="1">
      <c r="A74" s="1963" t="s">
        <v>931</v>
      </c>
      <c r="B74" s="1963"/>
      <c r="C74" s="1963"/>
      <c r="D74" s="1963"/>
      <c r="E74" s="1963"/>
      <c r="F74" s="1963"/>
      <c r="G74" s="1963"/>
      <c r="H74" s="1963"/>
      <c r="I74" s="1963"/>
      <c r="J74" s="1963"/>
      <c r="K74" s="1963"/>
      <c r="L74" s="1963"/>
      <c r="M74" s="1963"/>
      <c r="N74" s="1963"/>
      <c r="O74" s="1963"/>
    </row>
    <row r="76" spans="1:18">
      <c r="A76" s="1" t="s">
        <v>88</v>
      </c>
    </row>
    <row r="77" spans="1:18" ht="51.75" customHeight="1">
      <c r="A77" s="1963" t="s">
        <v>932</v>
      </c>
      <c r="B77" s="1963"/>
      <c r="C77" s="1963"/>
      <c r="D77" s="1963"/>
      <c r="E77" s="1963"/>
      <c r="F77" s="1963"/>
      <c r="G77" s="1963"/>
      <c r="H77" s="1963"/>
      <c r="I77" s="1963"/>
      <c r="J77" s="1963"/>
      <c r="K77" s="1963"/>
      <c r="L77" s="1963"/>
      <c r="M77" s="1963"/>
      <c r="N77" s="1963"/>
      <c r="O77" s="1963"/>
    </row>
    <row r="78" spans="1:18" ht="69" customHeight="1">
      <c r="A78" s="1963" t="s">
        <v>933</v>
      </c>
      <c r="B78" s="1963"/>
      <c r="C78" s="1963"/>
      <c r="D78" s="1963"/>
      <c r="E78" s="1963"/>
      <c r="F78" s="1963"/>
      <c r="G78" s="1963"/>
      <c r="H78" s="1963"/>
      <c r="I78" s="1963"/>
      <c r="J78" s="1963"/>
      <c r="K78" s="1963"/>
      <c r="L78" s="1963"/>
      <c r="M78" s="1963"/>
      <c r="N78" s="1963"/>
      <c r="O78" s="1963"/>
    </row>
  </sheetData>
  <mergeCells count="4">
    <mergeCell ref="A3:O3"/>
    <mergeCell ref="A74:O74"/>
    <mergeCell ref="A77:O77"/>
    <mergeCell ref="A78:O78"/>
  </mergeCells>
  <pageMargins left="0.78740157480314965" right="0.31496062992125984" top="0.47244094488188981" bottom="0.23622047244094491" header="0.55118110236220474" footer="0.19685039370078741"/>
  <pageSetup paperSize="9" scale="50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FF00"/>
  </sheetPr>
  <dimension ref="A1:EZ36"/>
  <sheetViews>
    <sheetView view="pageBreakPreview" zoomScale="90" zoomScaleNormal="100" zoomScaleSheetLayoutView="90" workbookViewId="0">
      <pane xSplit="2" ySplit="8" topLeftCell="EB9" activePane="bottomRight" state="frozen"/>
      <selection activeCell="BH26" sqref="BH26"/>
      <selection pane="topRight" activeCell="BH26" sqref="BH26"/>
      <selection pane="bottomLeft" activeCell="BH26" sqref="BH26"/>
      <selection pane="bottomRight" activeCell="FA2" sqref="FA2"/>
    </sheetView>
  </sheetViews>
  <sheetFormatPr defaultColWidth="4.85546875" defaultRowHeight="12" customHeight="1" outlineLevelCol="1"/>
  <cols>
    <col min="1" max="1" width="4.85546875" style="26" customWidth="1"/>
    <col min="2" max="2" width="40.140625" style="26" customWidth="1"/>
    <col min="3" max="3" width="10.28515625" style="26" hidden="1" customWidth="1"/>
    <col min="4" max="7" width="10" style="26" hidden="1" customWidth="1"/>
    <col min="8" max="8" width="7.85546875" style="26" hidden="1" customWidth="1"/>
    <col min="9" max="9" width="3.85546875" style="26" hidden="1" customWidth="1"/>
    <col min="10" max="10" width="7.140625" style="26" hidden="1" customWidth="1"/>
    <col min="11" max="12" width="3.85546875" style="26" hidden="1" customWidth="1"/>
    <col min="13" max="13" width="3.140625" style="26" hidden="1" customWidth="1"/>
    <col min="14" max="14" width="10.7109375" style="26" hidden="1" customWidth="1"/>
    <col min="15" max="18" width="9.7109375" style="26" hidden="1" customWidth="1"/>
    <col min="19" max="19" width="7.140625" style="26" hidden="1" customWidth="1"/>
    <col min="20" max="20" width="2.7109375" style="26" hidden="1" customWidth="1" outlineLevel="1"/>
    <col min="21" max="21" width="8.7109375" style="26" hidden="1" customWidth="1" outlineLevel="1"/>
    <col min="22" max="24" width="3.140625" style="26" hidden="1" customWidth="1" outlineLevel="1"/>
    <col min="25" max="25" width="10.5703125" style="26" customWidth="1" outlineLevel="1"/>
    <col min="26" max="26" width="10.140625" style="26" customWidth="1" outlineLevel="1"/>
    <col min="27" max="29" width="10.140625" style="26" hidden="1" customWidth="1" outlineLevel="1"/>
    <col min="30" max="30" width="7" style="26" customWidth="1" outlineLevel="1"/>
    <col min="31" max="31" width="3.140625" style="26" customWidth="1" outlineLevel="1"/>
    <col min="32" max="32" width="7.140625" style="26" customWidth="1" outlineLevel="1"/>
    <col min="33" max="35" width="3.140625" style="26" customWidth="1" outlineLevel="1"/>
    <col min="36" max="36" width="10.28515625" style="26" customWidth="1" outlineLevel="1"/>
    <col min="37" max="40" width="9.85546875" style="26" customWidth="1" outlineLevel="1"/>
    <col min="41" max="41" width="7" style="26" customWidth="1" outlineLevel="1"/>
    <col min="42" max="42" width="3.140625" style="26" customWidth="1" outlineLevel="1"/>
    <col min="43" max="43" width="7.5703125" style="26" customWidth="1" outlineLevel="1"/>
    <col min="44" max="46" width="3.140625" style="26" customWidth="1" outlineLevel="1"/>
    <col min="47" max="47" width="11.7109375" style="26" customWidth="1" outlineLevel="1"/>
    <col min="48" max="48" width="11.28515625" style="26" customWidth="1" outlineLevel="1"/>
    <col min="49" max="51" width="11.28515625" style="26" hidden="1" customWidth="1" outlineLevel="1"/>
    <col min="52" max="52" width="7.7109375" style="26" customWidth="1" outlineLevel="1"/>
    <col min="53" max="53" width="3.140625" style="26" customWidth="1" outlineLevel="1"/>
    <col min="54" max="54" width="8.28515625" style="26" customWidth="1" outlineLevel="1"/>
    <col min="55" max="57" width="3.140625" style="26" customWidth="1" outlineLevel="1"/>
    <col min="58" max="58" width="10.28515625" style="26" customWidth="1" outlineLevel="1"/>
    <col min="59" max="62" width="10.7109375" style="26" customWidth="1" outlineLevel="1"/>
    <col min="63" max="63" width="8" style="26" customWidth="1" outlineLevel="1"/>
    <col min="64" max="64" width="3.140625" style="26" customWidth="1" outlineLevel="1"/>
    <col min="65" max="65" width="7.5703125" style="26" customWidth="1" outlineLevel="1"/>
    <col min="66" max="68" width="3.140625" style="26" customWidth="1" outlineLevel="1"/>
    <col min="69" max="69" width="10.28515625" style="26" customWidth="1" outlineLevel="1"/>
    <col min="70" max="70" width="10.42578125" style="26" customWidth="1" outlineLevel="1"/>
    <col min="71" max="71" width="11.140625" style="26" customWidth="1" outlineLevel="1"/>
    <col min="72" max="72" width="10.42578125" style="26" customWidth="1" outlineLevel="1"/>
    <col min="73" max="73" width="11.28515625" style="26" customWidth="1" outlineLevel="1"/>
    <col min="74" max="74" width="9.7109375" style="26" customWidth="1" outlineLevel="1"/>
    <col min="75" max="75" width="3.140625" style="26" customWidth="1" outlineLevel="1"/>
    <col min="76" max="76" width="9.42578125" style="26" customWidth="1" outlineLevel="1"/>
    <col min="77" max="79" width="3.140625" style="26" customWidth="1" outlineLevel="1"/>
    <col min="80" max="80" width="10.7109375" style="26" customWidth="1" outlineLevel="1"/>
    <col min="81" max="81" width="11.28515625" style="26" customWidth="1" outlineLevel="1"/>
    <col min="82" max="82" width="11" style="26" customWidth="1" outlineLevel="1"/>
    <col min="83" max="83" width="9.7109375" style="26" customWidth="1" outlineLevel="1"/>
    <col min="84" max="84" width="11.140625" style="26" customWidth="1" outlineLevel="1"/>
    <col min="85" max="85" width="8.7109375" style="26" customWidth="1" outlineLevel="1"/>
    <col min="86" max="86" width="3.140625" style="26" customWidth="1" outlineLevel="1"/>
    <col min="87" max="87" width="8.7109375" style="26" customWidth="1" outlineLevel="1"/>
    <col min="88" max="90" width="3.140625" style="26" customWidth="1" outlineLevel="1"/>
    <col min="91" max="91" width="10.7109375" style="300" customWidth="1"/>
    <col min="92" max="95" width="10.42578125" style="300" customWidth="1"/>
    <col min="96" max="96" width="7" style="300" customWidth="1"/>
    <col min="97" max="97" width="3.7109375" style="300" customWidth="1" outlineLevel="1"/>
    <col min="98" max="98" width="7.28515625" style="300" customWidth="1" outlineLevel="1"/>
    <col min="99" max="101" width="2.7109375" style="300" customWidth="1" outlineLevel="1"/>
    <col min="102" max="102" width="9.85546875" style="26" customWidth="1"/>
    <col min="103" max="106" width="10" style="26" customWidth="1"/>
    <col min="107" max="107" width="8.28515625" style="26" customWidth="1"/>
    <col min="108" max="108" width="3.140625" style="26" customWidth="1" outlineLevel="1"/>
    <col min="109" max="109" width="7" style="26" customWidth="1" outlineLevel="1"/>
    <col min="110" max="112" width="2.42578125" style="26" customWidth="1" outlineLevel="1"/>
    <col min="113" max="113" width="9.85546875" style="26" customWidth="1"/>
    <col min="114" max="117" width="9.7109375" style="26" customWidth="1"/>
    <col min="118" max="118" width="7.42578125" style="26" customWidth="1"/>
    <col min="119" max="119" width="2.5703125" style="26" customWidth="1" outlineLevel="1"/>
    <col min="120" max="120" width="7.140625" style="26" customWidth="1" outlineLevel="1"/>
    <col min="121" max="121" width="2.85546875" style="26" customWidth="1" outlineLevel="1"/>
    <col min="122" max="122" width="3" style="26" customWidth="1" outlineLevel="1"/>
    <col min="123" max="123" width="3.140625" style="26" customWidth="1" outlineLevel="1"/>
    <col min="124" max="124" width="10.140625" style="26" customWidth="1"/>
    <col min="125" max="128" width="9.85546875" style="26" customWidth="1"/>
    <col min="129" max="129" width="7.28515625" style="26" customWidth="1"/>
    <col min="130" max="130" width="3" style="26" customWidth="1"/>
    <col min="131" max="131" width="6.85546875" style="26" customWidth="1"/>
    <col min="132" max="133" width="4.5703125" style="26" customWidth="1"/>
    <col min="134" max="134" width="4.85546875" style="26"/>
    <col min="135" max="135" width="10.85546875" style="26" customWidth="1"/>
    <col min="136" max="136" width="11.42578125" style="26" customWidth="1"/>
    <col min="137" max="137" width="9.140625" style="26" customWidth="1"/>
    <col min="138" max="138" width="9.42578125" style="26" customWidth="1"/>
    <col min="139" max="139" width="10" style="26" customWidth="1"/>
    <col min="140" max="140" width="8.7109375" style="26" customWidth="1"/>
    <col min="141" max="141" width="3.85546875" style="26" customWidth="1"/>
    <col min="142" max="142" width="8.5703125" style="26" customWidth="1"/>
    <col min="143" max="143" width="3.5703125" style="26" customWidth="1"/>
    <col min="144" max="144" width="3.7109375" style="26" customWidth="1"/>
    <col min="145" max="145" width="5" style="26" customWidth="1"/>
    <col min="146" max="146" width="11.5703125" style="26" customWidth="1"/>
    <col min="147" max="147" width="10.28515625" style="26" customWidth="1"/>
    <col min="148" max="148" width="9.140625" style="26" customWidth="1"/>
    <col min="149" max="149" width="9.7109375" style="26" customWidth="1"/>
    <col min="150" max="150" width="11.85546875" style="26" customWidth="1"/>
    <col min="151" max="151" width="8.85546875" style="26" customWidth="1"/>
    <col min="152" max="152" width="3.7109375" style="26" customWidth="1"/>
    <col min="153" max="153" width="9.42578125" style="26" customWidth="1"/>
    <col min="154" max="16384" width="4.85546875" style="26"/>
  </cols>
  <sheetData>
    <row r="1" spans="1:156" s="24" customFormat="1" ht="14.25">
      <c r="A1" s="74" t="s">
        <v>1860</v>
      </c>
      <c r="BD1" s="25" t="s">
        <v>60</v>
      </c>
      <c r="CL1" s="25" t="s">
        <v>60</v>
      </c>
      <c r="CM1" s="298"/>
      <c r="CN1" s="298"/>
      <c r="CO1" s="298"/>
      <c r="CP1" s="298"/>
      <c r="CQ1" s="298"/>
      <c r="CR1" s="298"/>
      <c r="CS1" s="298"/>
      <c r="CU1" s="298"/>
      <c r="CV1" s="298"/>
      <c r="CW1" s="25"/>
      <c r="DH1" s="25"/>
      <c r="DS1" s="25" t="s">
        <v>60</v>
      </c>
      <c r="EZ1" s="25" t="s">
        <v>60</v>
      </c>
    </row>
    <row r="2" spans="1:156" ht="15" customHeight="1">
      <c r="A2" s="105" t="str">
        <f>'3.1'!$A$2</f>
        <v>ПКГО - Комбинированная выработка КТЭЦ</v>
      </c>
    </row>
    <row r="3" spans="1:156" ht="18.75">
      <c r="A3" s="1622"/>
      <c r="B3" s="1622"/>
      <c r="C3" s="1622"/>
      <c r="D3" s="1622" t="s">
        <v>61</v>
      </c>
      <c r="E3" s="1622"/>
      <c r="F3" s="1622"/>
      <c r="G3" s="1622"/>
      <c r="H3" s="1622"/>
      <c r="I3" s="1622"/>
      <c r="J3" s="1622"/>
      <c r="K3" s="1622"/>
      <c r="L3" s="1622"/>
      <c r="M3" s="1622"/>
      <c r="N3" s="1622"/>
      <c r="O3" s="1622"/>
      <c r="P3" s="1622"/>
      <c r="Q3" s="1622"/>
      <c r="R3" s="1622"/>
      <c r="S3" s="1622"/>
      <c r="T3" s="1622"/>
      <c r="U3" s="1622"/>
      <c r="V3" s="1622"/>
      <c r="W3" s="1622"/>
      <c r="X3" s="1622"/>
      <c r="Y3" s="1622"/>
      <c r="Z3" s="1622"/>
      <c r="AA3" s="1622"/>
      <c r="AB3" s="1622"/>
      <c r="AC3" s="1622"/>
      <c r="AD3" s="1622"/>
      <c r="AE3" s="1622"/>
      <c r="AF3" s="1622"/>
      <c r="AG3" s="1622"/>
      <c r="AH3" s="1622"/>
      <c r="AI3" s="1622"/>
      <c r="AJ3" s="1622"/>
      <c r="AK3" s="1622"/>
      <c r="AL3" s="1622"/>
      <c r="AM3" s="1622"/>
      <c r="AN3" s="1622"/>
      <c r="AO3" s="1622"/>
      <c r="AP3" s="1622"/>
      <c r="AQ3" s="1622"/>
      <c r="AR3" s="1622"/>
      <c r="AS3" s="1622"/>
      <c r="AT3" s="1622"/>
      <c r="AU3" s="1622"/>
      <c r="AV3" s="1622"/>
      <c r="AW3" s="1622"/>
      <c r="AX3" s="1622"/>
      <c r="AY3" s="1622"/>
      <c r="AZ3" s="1622"/>
      <c r="BA3" s="1622"/>
      <c r="BB3" s="1622"/>
      <c r="BC3" s="1622"/>
      <c r="BD3" s="1622"/>
      <c r="BE3" s="1622"/>
      <c r="BF3" s="1622"/>
      <c r="BG3" s="1622"/>
      <c r="BH3" s="1622"/>
      <c r="BI3" s="1622"/>
      <c r="BJ3" s="1622" t="s">
        <v>61</v>
      </c>
      <c r="BK3" s="1622"/>
      <c r="BL3" s="1622"/>
      <c r="BM3" s="1622"/>
      <c r="BN3" s="1622"/>
      <c r="BO3" s="1622"/>
      <c r="BP3" s="1622"/>
      <c r="BQ3" s="1622"/>
      <c r="BR3" s="1622"/>
      <c r="BS3" s="1622"/>
      <c r="BT3" s="1622"/>
      <c r="BU3" s="1622"/>
      <c r="BV3" s="1622"/>
      <c r="BW3" s="1622"/>
      <c r="BX3" s="1622"/>
      <c r="BY3" s="1622"/>
      <c r="BZ3" s="1622"/>
      <c r="CA3" s="1622"/>
      <c r="CB3" s="1622"/>
      <c r="CC3" s="1622"/>
      <c r="CD3" s="1622"/>
      <c r="CE3" s="1622"/>
      <c r="CF3" s="1622"/>
      <c r="CG3" s="1622"/>
      <c r="CH3" s="1622"/>
      <c r="CI3" s="1622"/>
      <c r="CJ3" s="1622"/>
      <c r="CK3" s="1622"/>
      <c r="CL3" s="1622"/>
      <c r="CM3" s="1622"/>
      <c r="CN3" s="1622"/>
      <c r="CO3" s="1622"/>
      <c r="CP3" s="1622"/>
      <c r="CQ3" s="1622" t="s">
        <v>61</v>
      </c>
      <c r="CR3" s="1622"/>
      <c r="CS3" s="1622"/>
      <c r="CT3" s="1622"/>
      <c r="CU3" s="1622"/>
      <c r="CV3" s="1622"/>
      <c r="CW3" s="1622"/>
      <c r="CX3" s="1622"/>
      <c r="CY3" s="1622"/>
      <c r="CZ3" s="1622"/>
      <c r="DA3" s="1622"/>
      <c r="DB3" s="1622"/>
      <c r="DC3" s="1622"/>
      <c r="DD3" s="1622"/>
      <c r="DE3" s="1622"/>
      <c r="DF3" s="1622"/>
      <c r="DG3" s="1622"/>
      <c r="DH3" s="1622"/>
      <c r="DI3" s="1622"/>
      <c r="DJ3" s="1622"/>
      <c r="DK3" s="1622"/>
      <c r="DL3" s="1622"/>
      <c r="DM3" s="1622"/>
      <c r="DN3" s="1622"/>
      <c r="DO3" s="1622"/>
      <c r="DP3" s="1622"/>
      <c r="DQ3" s="1622"/>
      <c r="DR3" s="1622"/>
      <c r="DS3" s="1622"/>
      <c r="DX3" s="1622" t="s">
        <v>61</v>
      </c>
    </row>
    <row r="4" spans="1:156" s="28" customFormat="1" ht="15.75" customHeight="1">
      <c r="C4" s="541"/>
      <c r="D4" s="541"/>
      <c r="E4" s="1382"/>
      <c r="F4" s="1382"/>
      <c r="G4" s="1382"/>
      <c r="H4" s="541"/>
      <c r="I4" s="541"/>
      <c r="J4" s="541"/>
      <c r="K4" s="541"/>
      <c r="L4" s="541"/>
      <c r="M4" s="541"/>
      <c r="P4" s="1382"/>
      <c r="Q4" s="1382"/>
      <c r="R4" s="1382"/>
      <c r="Y4" s="541"/>
      <c r="Z4" s="541"/>
      <c r="AA4" s="1382"/>
      <c r="AB4" s="1382"/>
      <c r="AC4" s="1382"/>
      <c r="AD4" s="541"/>
      <c r="AE4" s="541"/>
      <c r="AF4" s="541"/>
      <c r="AG4" s="541"/>
      <c r="AH4" s="541"/>
      <c r="AI4" s="541"/>
      <c r="AJ4" s="541"/>
      <c r="AK4" s="541"/>
      <c r="AL4" s="1382"/>
      <c r="AM4" s="1382"/>
      <c r="AN4" s="1382"/>
      <c r="AO4" s="541"/>
      <c r="AP4" s="541"/>
      <c r="AQ4" s="541"/>
      <c r="AR4" s="541"/>
      <c r="AS4" s="541"/>
      <c r="AT4" s="541"/>
      <c r="AU4" s="1275"/>
      <c r="AV4" s="1275"/>
      <c r="AW4" s="1382"/>
      <c r="AX4" s="1382"/>
      <c r="AY4" s="1382"/>
      <c r="AZ4" s="1275"/>
      <c r="BA4" s="1275"/>
      <c r="BB4" s="1275"/>
      <c r="BC4" s="1275"/>
      <c r="BD4" s="29" t="s">
        <v>62</v>
      </c>
      <c r="BE4" s="1275"/>
      <c r="BF4" s="1275"/>
      <c r="BG4" s="1275"/>
      <c r="BH4" s="1382"/>
      <c r="BI4" s="1382"/>
      <c r="BJ4" s="1382"/>
      <c r="BK4" s="1275"/>
      <c r="BL4" s="1275"/>
      <c r="BM4" s="1275"/>
      <c r="BN4" s="1275"/>
      <c r="BO4" s="1275"/>
      <c r="BP4" s="1275"/>
      <c r="BQ4" s="1579"/>
      <c r="BR4" s="1579"/>
      <c r="BS4" s="1579"/>
      <c r="BT4" s="1579"/>
      <c r="BU4" s="1579"/>
      <c r="BV4" s="1579"/>
      <c r="BW4" s="1579"/>
      <c r="BX4" s="1579"/>
      <c r="BY4" s="1579"/>
      <c r="BZ4" s="1579"/>
      <c r="CA4" s="1579"/>
      <c r="CB4" s="1579"/>
      <c r="CC4" s="1579"/>
      <c r="CD4" s="1579"/>
      <c r="CE4" s="1579"/>
      <c r="CF4" s="1579"/>
      <c r="CG4" s="1579"/>
      <c r="CH4" s="1579"/>
      <c r="CI4" s="1579"/>
      <c r="CJ4" s="1579"/>
      <c r="CK4" s="1579"/>
      <c r="CL4" s="29" t="s">
        <v>62</v>
      </c>
      <c r="CM4" s="294"/>
      <c r="CN4" s="294"/>
      <c r="CO4" s="294"/>
      <c r="CP4" s="294"/>
      <c r="CQ4" s="294"/>
      <c r="CR4" s="294"/>
      <c r="CS4" s="294"/>
      <c r="CT4" s="294"/>
      <c r="CU4" s="294"/>
      <c r="CV4" s="294"/>
      <c r="CW4" s="301"/>
      <c r="CZ4" s="1382"/>
      <c r="DA4" s="1382"/>
      <c r="DB4" s="1382"/>
      <c r="DH4" s="29"/>
      <c r="DK4" s="1382"/>
      <c r="DL4" s="1382"/>
      <c r="DM4" s="1382"/>
      <c r="DS4" s="29" t="s">
        <v>62</v>
      </c>
      <c r="DV4" s="1382"/>
      <c r="DW4" s="1382"/>
      <c r="DX4" s="1382"/>
      <c r="EZ4" s="29" t="s">
        <v>62</v>
      </c>
    </row>
    <row r="5" spans="1:156" s="31" customFormat="1" ht="19.5" customHeight="1">
      <c r="A5" s="1858" t="s">
        <v>0</v>
      </c>
      <c r="B5" s="1858" t="s">
        <v>1</v>
      </c>
      <c r="C5" s="1834" t="s">
        <v>1126</v>
      </c>
      <c r="D5" s="1835"/>
      <c r="E5" s="1835"/>
      <c r="F5" s="1835"/>
      <c r="G5" s="1835"/>
      <c r="H5" s="1835"/>
      <c r="I5" s="1835"/>
      <c r="J5" s="1835"/>
      <c r="K5" s="1835"/>
      <c r="L5" s="1835"/>
      <c r="M5" s="1836"/>
      <c r="N5" s="1834" t="s">
        <v>1127</v>
      </c>
      <c r="O5" s="1835"/>
      <c r="P5" s="1835"/>
      <c r="Q5" s="1835"/>
      <c r="R5" s="1835"/>
      <c r="S5" s="1835"/>
      <c r="T5" s="1835"/>
      <c r="U5" s="1835"/>
      <c r="V5" s="1835"/>
      <c r="W5" s="1835"/>
      <c r="X5" s="1836"/>
      <c r="Y5" s="1834" t="s">
        <v>1128</v>
      </c>
      <c r="Z5" s="1835"/>
      <c r="AA5" s="1835"/>
      <c r="AB5" s="1835"/>
      <c r="AC5" s="1835"/>
      <c r="AD5" s="1835"/>
      <c r="AE5" s="1835"/>
      <c r="AF5" s="1835"/>
      <c r="AG5" s="1835"/>
      <c r="AH5" s="1835"/>
      <c r="AI5" s="1836"/>
      <c r="AJ5" s="1834" t="s">
        <v>1691</v>
      </c>
      <c r="AK5" s="1835"/>
      <c r="AL5" s="1835"/>
      <c r="AM5" s="1835"/>
      <c r="AN5" s="1835"/>
      <c r="AO5" s="1835"/>
      <c r="AP5" s="1835"/>
      <c r="AQ5" s="1835"/>
      <c r="AR5" s="1835"/>
      <c r="AS5" s="1835"/>
      <c r="AT5" s="1836"/>
      <c r="AU5" s="1834" t="s">
        <v>1692</v>
      </c>
      <c r="AV5" s="1835"/>
      <c r="AW5" s="1835"/>
      <c r="AX5" s="1835"/>
      <c r="AY5" s="1835"/>
      <c r="AZ5" s="1835"/>
      <c r="BA5" s="1835"/>
      <c r="BB5" s="1835"/>
      <c r="BC5" s="1835"/>
      <c r="BD5" s="1835"/>
      <c r="BE5" s="1836"/>
      <c r="BF5" s="1834" t="s">
        <v>1832</v>
      </c>
      <c r="BG5" s="1835"/>
      <c r="BH5" s="1835"/>
      <c r="BI5" s="1835"/>
      <c r="BJ5" s="1835"/>
      <c r="BK5" s="1835"/>
      <c r="BL5" s="1835"/>
      <c r="BM5" s="1835"/>
      <c r="BN5" s="1835"/>
      <c r="BO5" s="1835"/>
      <c r="BP5" s="1836"/>
      <c r="BQ5" s="1834" t="s">
        <v>1829</v>
      </c>
      <c r="BR5" s="1835"/>
      <c r="BS5" s="1835"/>
      <c r="BT5" s="1835"/>
      <c r="BU5" s="1835"/>
      <c r="BV5" s="1835"/>
      <c r="BW5" s="1835"/>
      <c r="BX5" s="1835"/>
      <c r="BY5" s="1835"/>
      <c r="BZ5" s="1835"/>
      <c r="CA5" s="1836"/>
      <c r="CB5" s="1834" t="s">
        <v>1861</v>
      </c>
      <c r="CC5" s="1835"/>
      <c r="CD5" s="1835"/>
      <c r="CE5" s="1835"/>
      <c r="CF5" s="1835"/>
      <c r="CG5" s="1835"/>
      <c r="CH5" s="1835"/>
      <c r="CI5" s="1835"/>
      <c r="CJ5" s="1835"/>
      <c r="CK5" s="1835"/>
      <c r="CL5" s="1836"/>
      <c r="CM5" s="1844" t="s">
        <v>1862</v>
      </c>
      <c r="CN5" s="1845"/>
      <c r="CO5" s="1845"/>
      <c r="CP5" s="1845"/>
      <c r="CQ5" s="1845"/>
      <c r="CR5" s="1845"/>
      <c r="CS5" s="1845"/>
      <c r="CT5" s="1845"/>
      <c r="CU5" s="1845"/>
      <c r="CV5" s="1845"/>
      <c r="CW5" s="1845"/>
      <c r="CX5" s="1834" t="s">
        <v>1830</v>
      </c>
      <c r="CY5" s="1835"/>
      <c r="CZ5" s="1835"/>
      <c r="DA5" s="1835"/>
      <c r="DB5" s="1835"/>
      <c r="DC5" s="1835"/>
      <c r="DD5" s="1835"/>
      <c r="DE5" s="1835"/>
      <c r="DF5" s="1835"/>
      <c r="DG5" s="1835"/>
      <c r="DH5" s="1835"/>
      <c r="DI5" s="1846" t="s">
        <v>1831</v>
      </c>
      <c r="DJ5" s="1846"/>
      <c r="DK5" s="1846"/>
      <c r="DL5" s="1846"/>
      <c r="DM5" s="1846"/>
      <c r="DN5" s="1846"/>
      <c r="DO5" s="1846"/>
      <c r="DP5" s="1846"/>
      <c r="DQ5" s="1846"/>
      <c r="DR5" s="1846"/>
      <c r="DS5" s="1846"/>
      <c r="DT5" s="1844" t="s">
        <v>1863</v>
      </c>
      <c r="DU5" s="1845"/>
      <c r="DV5" s="1845"/>
      <c r="DW5" s="1845"/>
      <c r="DX5" s="1845"/>
      <c r="DY5" s="1845"/>
      <c r="DZ5" s="1845"/>
      <c r="EA5" s="1845"/>
      <c r="EB5" s="1845"/>
      <c r="EC5" s="1845"/>
      <c r="ED5" s="1845"/>
      <c r="EE5" s="1834" t="s">
        <v>1864</v>
      </c>
      <c r="EF5" s="1835"/>
      <c r="EG5" s="1835"/>
      <c r="EH5" s="1835"/>
      <c r="EI5" s="1835"/>
      <c r="EJ5" s="1835"/>
      <c r="EK5" s="1835"/>
      <c r="EL5" s="1835"/>
      <c r="EM5" s="1835"/>
      <c r="EN5" s="1835"/>
      <c r="EO5" s="1835"/>
      <c r="EP5" s="1846" t="s">
        <v>1865</v>
      </c>
      <c r="EQ5" s="1846"/>
      <c r="ER5" s="1846"/>
      <c r="ES5" s="1846"/>
      <c r="ET5" s="1846"/>
      <c r="EU5" s="1846"/>
      <c r="EV5" s="1846"/>
      <c r="EW5" s="1846"/>
      <c r="EX5" s="1846"/>
      <c r="EY5" s="1846"/>
      <c r="EZ5" s="1846"/>
    </row>
    <row r="6" spans="1:156" s="31" customFormat="1" ht="15" customHeight="1">
      <c r="A6" s="1859"/>
      <c r="B6" s="1859"/>
      <c r="C6" s="1837" t="s">
        <v>63</v>
      </c>
      <c r="D6" s="1834" t="s">
        <v>64</v>
      </c>
      <c r="E6" s="1835"/>
      <c r="F6" s="1835"/>
      <c r="G6" s="1835"/>
      <c r="H6" s="1835"/>
      <c r="I6" s="1835"/>
      <c r="J6" s="1835"/>
      <c r="K6" s="1835"/>
      <c r="L6" s="1835"/>
      <c r="M6" s="1836"/>
      <c r="N6" s="1837" t="s">
        <v>63</v>
      </c>
      <c r="O6" s="1834" t="s">
        <v>64</v>
      </c>
      <c r="P6" s="1835"/>
      <c r="Q6" s="1835"/>
      <c r="R6" s="1835"/>
      <c r="S6" s="1835"/>
      <c r="T6" s="1835"/>
      <c r="U6" s="1835"/>
      <c r="V6" s="1835"/>
      <c r="W6" s="1835"/>
      <c r="X6" s="1836"/>
      <c r="Y6" s="1837" t="s">
        <v>63</v>
      </c>
      <c r="Z6" s="1834" t="s">
        <v>64</v>
      </c>
      <c r="AA6" s="1835"/>
      <c r="AB6" s="1835"/>
      <c r="AC6" s="1835"/>
      <c r="AD6" s="1835"/>
      <c r="AE6" s="1835"/>
      <c r="AF6" s="1835"/>
      <c r="AG6" s="1835"/>
      <c r="AH6" s="1835"/>
      <c r="AI6" s="1836"/>
      <c r="AJ6" s="1837" t="s">
        <v>63</v>
      </c>
      <c r="AK6" s="1834" t="s">
        <v>64</v>
      </c>
      <c r="AL6" s="1835"/>
      <c r="AM6" s="1835"/>
      <c r="AN6" s="1835"/>
      <c r="AO6" s="1835"/>
      <c r="AP6" s="1835"/>
      <c r="AQ6" s="1835"/>
      <c r="AR6" s="1835"/>
      <c r="AS6" s="1835"/>
      <c r="AT6" s="1836"/>
      <c r="AU6" s="1837" t="s">
        <v>63</v>
      </c>
      <c r="AV6" s="1834" t="s">
        <v>64</v>
      </c>
      <c r="AW6" s="1835"/>
      <c r="AX6" s="1835"/>
      <c r="AY6" s="1835"/>
      <c r="AZ6" s="1835"/>
      <c r="BA6" s="1835"/>
      <c r="BB6" s="1835"/>
      <c r="BC6" s="1835"/>
      <c r="BD6" s="1835"/>
      <c r="BE6" s="1836"/>
      <c r="BF6" s="1837" t="s">
        <v>63</v>
      </c>
      <c r="BG6" s="1834" t="s">
        <v>64</v>
      </c>
      <c r="BH6" s="1835"/>
      <c r="BI6" s="1835"/>
      <c r="BJ6" s="1835"/>
      <c r="BK6" s="1835"/>
      <c r="BL6" s="1835"/>
      <c r="BM6" s="1835"/>
      <c r="BN6" s="1835"/>
      <c r="BO6" s="1835"/>
      <c r="BP6" s="1836"/>
      <c r="BQ6" s="1837" t="s">
        <v>63</v>
      </c>
      <c r="BR6" s="1834" t="s">
        <v>64</v>
      </c>
      <c r="BS6" s="1835"/>
      <c r="BT6" s="1835"/>
      <c r="BU6" s="1835"/>
      <c r="BV6" s="1835"/>
      <c r="BW6" s="1835"/>
      <c r="BX6" s="1835"/>
      <c r="BY6" s="1835"/>
      <c r="BZ6" s="1835"/>
      <c r="CA6" s="1836"/>
      <c r="CB6" s="1837" t="s">
        <v>63</v>
      </c>
      <c r="CC6" s="1834" t="s">
        <v>64</v>
      </c>
      <c r="CD6" s="1835"/>
      <c r="CE6" s="1835"/>
      <c r="CF6" s="1835"/>
      <c r="CG6" s="1835"/>
      <c r="CH6" s="1835"/>
      <c r="CI6" s="1835"/>
      <c r="CJ6" s="1835"/>
      <c r="CK6" s="1835"/>
      <c r="CL6" s="1836"/>
      <c r="CM6" s="1851" t="s">
        <v>63</v>
      </c>
      <c r="CN6" s="1844" t="s">
        <v>64</v>
      </c>
      <c r="CO6" s="1845"/>
      <c r="CP6" s="1845"/>
      <c r="CQ6" s="1845"/>
      <c r="CR6" s="1845"/>
      <c r="CS6" s="1845"/>
      <c r="CT6" s="1845"/>
      <c r="CU6" s="1845"/>
      <c r="CV6" s="1845"/>
      <c r="CW6" s="1845"/>
      <c r="CX6" s="1837" t="s">
        <v>63</v>
      </c>
      <c r="CY6" s="1834" t="s">
        <v>64</v>
      </c>
      <c r="CZ6" s="1835"/>
      <c r="DA6" s="1835"/>
      <c r="DB6" s="1835"/>
      <c r="DC6" s="1835"/>
      <c r="DD6" s="1835"/>
      <c r="DE6" s="1835"/>
      <c r="DF6" s="1835"/>
      <c r="DG6" s="1835"/>
      <c r="DH6" s="1835"/>
      <c r="DI6" s="1846" t="s">
        <v>63</v>
      </c>
      <c r="DJ6" s="1846" t="s">
        <v>64</v>
      </c>
      <c r="DK6" s="1846"/>
      <c r="DL6" s="1846"/>
      <c r="DM6" s="1846"/>
      <c r="DN6" s="1846"/>
      <c r="DO6" s="1846"/>
      <c r="DP6" s="1846"/>
      <c r="DQ6" s="1846"/>
      <c r="DR6" s="1846"/>
      <c r="DS6" s="1846"/>
      <c r="DT6" s="1851" t="s">
        <v>63</v>
      </c>
      <c r="DU6" s="1844" t="s">
        <v>64</v>
      </c>
      <c r="DV6" s="1845"/>
      <c r="DW6" s="1845"/>
      <c r="DX6" s="1845"/>
      <c r="DY6" s="1845"/>
      <c r="DZ6" s="1845"/>
      <c r="EA6" s="1845"/>
      <c r="EB6" s="1845"/>
      <c r="EC6" s="1845"/>
      <c r="ED6" s="1845"/>
      <c r="EE6" s="1837" t="s">
        <v>63</v>
      </c>
      <c r="EF6" s="1834" t="s">
        <v>64</v>
      </c>
      <c r="EG6" s="1835"/>
      <c r="EH6" s="1835"/>
      <c r="EI6" s="1835"/>
      <c r="EJ6" s="1835"/>
      <c r="EK6" s="1835"/>
      <c r="EL6" s="1835"/>
      <c r="EM6" s="1835"/>
      <c r="EN6" s="1835"/>
      <c r="EO6" s="1835"/>
      <c r="EP6" s="1846" t="s">
        <v>63</v>
      </c>
      <c r="EQ6" s="1846" t="s">
        <v>64</v>
      </c>
      <c r="ER6" s="1846"/>
      <c r="ES6" s="1846"/>
      <c r="ET6" s="1846"/>
      <c r="EU6" s="1846"/>
      <c r="EV6" s="1846"/>
      <c r="EW6" s="1846"/>
      <c r="EX6" s="1846"/>
      <c r="EY6" s="1846"/>
      <c r="EZ6" s="1846"/>
    </row>
    <row r="7" spans="1:156" s="31" customFormat="1" ht="15" customHeight="1">
      <c r="A7" s="1859"/>
      <c r="B7" s="1859"/>
      <c r="C7" s="1838"/>
      <c r="D7" s="1840" t="s">
        <v>65</v>
      </c>
      <c r="E7" s="1834" t="s">
        <v>64</v>
      </c>
      <c r="F7" s="1835"/>
      <c r="G7" s="1835"/>
      <c r="H7" s="1840" t="s">
        <v>66</v>
      </c>
      <c r="I7" s="1834" t="s">
        <v>64</v>
      </c>
      <c r="J7" s="1835"/>
      <c r="K7" s="1835"/>
      <c r="L7" s="1835"/>
      <c r="M7" s="1836"/>
      <c r="N7" s="1838"/>
      <c r="O7" s="1840" t="s">
        <v>65</v>
      </c>
      <c r="P7" s="1834" t="s">
        <v>64</v>
      </c>
      <c r="Q7" s="1835"/>
      <c r="R7" s="1835"/>
      <c r="S7" s="1840" t="s">
        <v>66</v>
      </c>
      <c r="T7" s="1834" t="s">
        <v>64</v>
      </c>
      <c r="U7" s="1835"/>
      <c r="V7" s="1835"/>
      <c r="W7" s="1835"/>
      <c r="X7" s="1836"/>
      <c r="Y7" s="1838"/>
      <c r="Z7" s="1840" t="s">
        <v>65</v>
      </c>
      <c r="AA7" s="1834" t="s">
        <v>64</v>
      </c>
      <c r="AB7" s="1835"/>
      <c r="AC7" s="1835"/>
      <c r="AD7" s="1840" t="s">
        <v>66</v>
      </c>
      <c r="AE7" s="1834" t="s">
        <v>64</v>
      </c>
      <c r="AF7" s="1835"/>
      <c r="AG7" s="1835"/>
      <c r="AH7" s="1835"/>
      <c r="AI7" s="1836"/>
      <c r="AJ7" s="1838"/>
      <c r="AK7" s="1840" t="s">
        <v>65</v>
      </c>
      <c r="AL7" s="1834" t="s">
        <v>64</v>
      </c>
      <c r="AM7" s="1835"/>
      <c r="AN7" s="1835"/>
      <c r="AO7" s="1840" t="s">
        <v>66</v>
      </c>
      <c r="AP7" s="1834" t="s">
        <v>64</v>
      </c>
      <c r="AQ7" s="1835"/>
      <c r="AR7" s="1835"/>
      <c r="AS7" s="1835"/>
      <c r="AT7" s="1836"/>
      <c r="AU7" s="1838"/>
      <c r="AV7" s="1840" t="s">
        <v>65</v>
      </c>
      <c r="AW7" s="1834" t="s">
        <v>64</v>
      </c>
      <c r="AX7" s="1835"/>
      <c r="AY7" s="1835"/>
      <c r="AZ7" s="1840" t="s">
        <v>66</v>
      </c>
      <c r="BA7" s="1834" t="s">
        <v>64</v>
      </c>
      <c r="BB7" s="1835"/>
      <c r="BC7" s="1835"/>
      <c r="BD7" s="1835"/>
      <c r="BE7" s="1836"/>
      <c r="BF7" s="1838"/>
      <c r="BG7" s="1840" t="s">
        <v>65</v>
      </c>
      <c r="BH7" s="1834" t="s">
        <v>64</v>
      </c>
      <c r="BI7" s="1835"/>
      <c r="BJ7" s="1835"/>
      <c r="BK7" s="1840" t="s">
        <v>66</v>
      </c>
      <c r="BL7" s="1834" t="s">
        <v>64</v>
      </c>
      <c r="BM7" s="1835"/>
      <c r="BN7" s="1835"/>
      <c r="BO7" s="1835"/>
      <c r="BP7" s="1836"/>
      <c r="BQ7" s="1838"/>
      <c r="BR7" s="1840" t="s">
        <v>65</v>
      </c>
      <c r="BS7" s="1834" t="s">
        <v>64</v>
      </c>
      <c r="BT7" s="1835"/>
      <c r="BU7" s="1835"/>
      <c r="BV7" s="1840" t="s">
        <v>66</v>
      </c>
      <c r="BW7" s="1834" t="s">
        <v>64</v>
      </c>
      <c r="BX7" s="1835"/>
      <c r="BY7" s="1835"/>
      <c r="BZ7" s="1835"/>
      <c r="CA7" s="1836"/>
      <c r="CB7" s="1838"/>
      <c r="CC7" s="1840" t="s">
        <v>65</v>
      </c>
      <c r="CD7" s="1834" t="s">
        <v>64</v>
      </c>
      <c r="CE7" s="1835"/>
      <c r="CF7" s="1835"/>
      <c r="CG7" s="1840" t="s">
        <v>66</v>
      </c>
      <c r="CH7" s="1834" t="s">
        <v>64</v>
      </c>
      <c r="CI7" s="1835"/>
      <c r="CJ7" s="1835"/>
      <c r="CK7" s="1835"/>
      <c r="CL7" s="1836"/>
      <c r="CM7" s="1852"/>
      <c r="CN7" s="1854" t="s">
        <v>65</v>
      </c>
      <c r="CO7" s="1834" t="s">
        <v>64</v>
      </c>
      <c r="CP7" s="1835"/>
      <c r="CQ7" s="1835"/>
      <c r="CR7" s="1856" t="s">
        <v>66</v>
      </c>
      <c r="CS7" s="1844" t="s">
        <v>64</v>
      </c>
      <c r="CT7" s="1845"/>
      <c r="CU7" s="1845"/>
      <c r="CV7" s="1845"/>
      <c r="CW7" s="1845"/>
      <c r="CX7" s="1838"/>
      <c r="CY7" s="1840" t="s">
        <v>65</v>
      </c>
      <c r="CZ7" s="1834" t="s">
        <v>64</v>
      </c>
      <c r="DA7" s="1835"/>
      <c r="DB7" s="1835"/>
      <c r="DC7" s="1847" t="s">
        <v>66</v>
      </c>
      <c r="DD7" s="1834" t="s">
        <v>64</v>
      </c>
      <c r="DE7" s="1835"/>
      <c r="DF7" s="1835"/>
      <c r="DG7" s="1835"/>
      <c r="DH7" s="1835"/>
      <c r="DI7" s="1846"/>
      <c r="DJ7" s="1849" t="s">
        <v>65</v>
      </c>
      <c r="DK7" s="1834" t="s">
        <v>64</v>
      </c>
      <c r="DL7" s="1835"/>
      <c r="DM7" s="1835"/>
      <c r="DN7" s="1850" t="s">
        <v>66</v>
      </c>
      <c r="DO7" s="1846" t="s">
        <v>64</v>
      </c>
      <c r="DP7" s="1846"/>
      <c r="DQ7" s="1846"/>
      <c r="DR7" s="1846"/>
      <c r="DS7" s="1846"/>
      <c r="DT7" s="1852"/>
      <c r="DU7" s="1854" t="s">
        <v>65</v>
      </c>
      <c r="DV7" s="1834" t="s">
        <v>64</v>
      </c>
      <c r="DW7" s="1835"/>
      <c r="DX7" s="1835"/>
      <c r="DY7" s="1856" t="s">
        <v>66</v>
      </c>
      <c r="DZ7" s="1844" t="s">
        <v>64</v>
      </c>
      <c r="EA7" s="1845"/>
      <c r="EB7" s="1845"/>
      <c r="EC7" s="1845"/>
      <c r="ED7" s="1845"/>
      <c r="EE7" s="1838"/>
      <c r="EF7" s="1840" t="s">
        <v>65</v>
      </c>
      <c r="EG7" s="1834" t="s">
        <v>64</v>
      </c>
      <c r="EH7" s="1835"/>
      <c r="EI7" s="1835"/>
      <c r="EJ7" s="1847" t="s">
        <v>66</v>
      </c>
      <c r="EK7" s="1834" t="s">
        <v>64</v>
      </c>
      <c r="EL7" s="1835"/>
      <c r="EM7" s="1835"/>
      <c r="EN7" s="1835"/>
      <c r="EO7" s="1835"/>
      <c r="EP7" s="1846"/>
      <c r="EQ7" s="1849" t="s">
        <v>65</v>
      </c>
      <c r="ER7" s="1834" t="s">
        <v>64</v>
      </c>
      <c r="ES7" s="1835"/>
      <c r="ET7" s="1835"/>
      <c r="EU7" s="1850" t="s">
        <v>66</v>
      </c>
      <c r="EV7" s="1846" t="s">
        <v>64</v>
      </c>
      <c r="EW7" s="1846"/>
      <c r="EX7" s="1846"/>
      <c r="EY7" s="1846"/>
      <c r="EZ7" s="1846"/>
    </row>
    <row r="8" spans="1:156" s="31" customFormat="1" ht="84.75" customHeight="1">
      <c r="A8" s="1860"/>
      <c r="B8" s="1860"/>
      <c r="C8" s="1839"/>
      <c r="D8" s="1841"/>
      <c r="E8" s="1380" t="s">
        <v>1697</v>
      </c>
      <c r="F8" s="1380" t="s">
        <v>1512</v>
      </c>
      <c r="G8" s="1380" t="s">
        <v>1513</v>
      </c>
      <c r="H8" s="1841"/>
      <c r="I8" s="277" t="s">
        <v>942</v>
      </c>
      <c r="J8" s="284" t="s">
        <v>67</v>
      </c>
      <c r="K8" s="277" t="s">
        <v>940</v>
      </c>
      <c r="L8" s="277" t="s">
        <v>941</v>
      </c>
      <c r="M8" s="277" t="s">
        <v>68</v>
      </c>
      <c r="N8" s="1839"/>
      <c r="O8" s="1841"/>
      <c r="P8" s="1380" t="s">
        <v>1697</v>
      </c>
      <c r="Q8" s="1380" t="s">
        <v>1512</v>
      </c>
      <c r="R8" s="1380" t="s">
        <v>1513</v>
      </c>
      <c r="S8" s="1841"/>
      <c r="T8" s="277" t="s">
        <v>942</v>
      </c>
      <c r="U8" s="284" t="s">
        <v>67</v>
      </c>
      <c r="V8" s="277" t="s">
        <v>940</v>
      </c>
      <c r="W8" s="277" t="s">
        <v>941</v>
      </c>
      <c r="X8" s="277" t="s">
        <v>68</v>
      </c>
      <c r="Y8" s="1839"/>
      <c r="Z8" s="1841"/>
      <c r="AA8" s="1380" t="s">
        <v>1697</v>
      </c>
      <c r="AB8" s="1380" t="s">
        <v>1512</v>
      </c>
      <c r="AC8" s="1380" t="s">
        <v>1513</v>
      </c>
      <c r="AD8" s="1841"/>
      <c r="AE8" s="277" t="s">
        <v>942</v>
      </c>
      <c r="AF8" s="284" t="s">
        <v>67</v>
      </c>
      <c r="AG8" s="277" t="s">
        <v>940</v>
      </c>
      <c r="AH8" s="277" t="s">
        <v>941</v>
      </c>
      <c r="AI8" s="277" t="s">
        <v>68</v>
      </c>
      <c r="AJ8" s="1839"/>
      <c r="AK8" s="1841"/>
      <c r="AL8" s="1380" t="s">
        <v>1697</v>
      </c>
      <c r="AM8" s="1380" t="s">
        <v>1512</v>
      </c>
      <c r="AN8" s="1380" t="s">
        <v>1513</v>
      </c>
      <c r="AO8" s="1841"/>
      <c r="AP8" s="277" t="s">
        <v>942</v>
      </c>
      <c r="AQ8" s="284" t="s">
        <v>67</v>
      </c>
      <c r="AR8" s="277" t="s">
        <v>940</v>
      </c>
      <c r="AS8" s="277" t="s">
        <v>941</v>
      </c>
      <c r="AT8" s="277" t="s">
        <v>68</v>
      </c>
      <c r="AU8" s="1839"/>
      <c r="AV8" s="1841"/>
      <c r="AW8" s="1380" t="s">
        <v>1697</v>
      </c>
      <c r="AX8" s="1380" t="s">
        <v>1512</v>
      </c>
      <c r="AY8" s="1380" t="s">
        <v>1513</v>
      </c>
      <c r="AZ8" s="1841"/>
      <c r="BA8" s="277" t="s">
        <v>942</v>
      </c>
      <c r="BB8" s="284" t="s">
        <v>67</v>
      </c>
      <c r="BC8" s="277" t="s">
        <v>940</v>
      </c>
      <c r="BD8" s="277" t="s">
        <v>941</v>
      </c>
      <c r="BE8" s="277" t="s">
        <v>68</v>
      </c>
      <c r="BF8" s="1839"/>
      <c r="BG8" s="1841"/>
      <c r="BH8" s="1380" t="s">
        <v>1697</v>
      </c>
      <c r="BI8" s="1380" t="s">
        <v>1512</v>
      </c>
      <c r="BJ8" s="1380" t="s">
        <v>1513</v>
      </c>
      <c r="BK8" s="1841"/>
      <c r="BL8" s="277" t="s">
        <v>942</v>
      </c>
      <c r="BM8" s="284" t="s">
        <v>67</v>
      </c>
      <c r="BN8" s="277" t="s">
        <v>940</v>
      </c>
      <c r="BO8" s="277" t="s">
        <v>941</v>
      </c>
      <c r="BP8" s="277" t="s">
        <v>68</v>
      </c>
      <c r="BQ8" s="1839"/>
      <c r="BR8" s="1841"/>
      <c r="BS8" s="1573" t="s">
        <v>1697</v>
      </c>
      <c r="BT8" s="1573" t="s">
        <v>1512</v>
      </c>
      <c r="BU8" s="1573" t="s">
        <v>1513</v>
      </c>
      <c r="BV8" s="1841"/>
      <c r="BW8" s="277" t="s">
        <v>942</v>
      </c>
      <c r="BX8" s="284" t="s">
        <v>67</v>
      </c>
      <c r="BY8" s="277" t="s">
        <v>940</v>
      </c>
      <c r="BZ8" s="277" t="s">
        <v>941</v>
      </c>
      <c r="CA8" s="277" t="s">
        <v>68</v>
      </c>
      <c r="CB8" s="1839"/>
      <c r="CC8" s="1841"/>
      <c r="CD8" s="1573" t="s">
        <v>1697</v>
      </c>
      <c r="CE8" s="1573" t="s">
        <v>1512</v>
      </c>
      <c r="CF8" s="1573" t="s">
        <v>1513</v>
      </c>
      <c r="CG8" s="1841"/>
      <c r="CH8" s="277" t="s">
        <v>942</v>
      </c>
      <c r="CI8" s="284" t="s">
        <v>67</v>
      </c>
      <c r="CJ8" s="277" t="s">
        <v>940</v>
      </c>
      <c r="CK8" s="277" t="s">
        <v>941</v>
      </c>
      <c r="CL8" s="277" t="s">
        <v>68</v>
      </c>
      <c r="CM8" s="1853"/>
      <c r="CN8" s="1855"/>
      <c r="CO8" s="1380" t="s">
        <v>1697</v>
      </c>
      <c r="CP8" s="1380" t="s">
        <v>1512</v>
      </c>
      <c r="CQ8" s="1380" t="s">
        <v>1513</v>
      </c>
      <c r="CR8" s="1857"/>
      <c r="CS8" s="302" t="s">
        <v>942</v>
      </c>
      <c r="CT8" s="303" t="s">
        <v>67</v>
      </c>
      <c r="CU8" s="302" t="s">
        <v>940</v>
      </c>
      <c r="CV8" s="302" t="s">
        <v>941</v>
      </c>
      <c r="CW8" s="302" t="s">
        <v>68</v>
      </c>
      <c r="CX8" s="1839"/>
      <c r="CY8" s="1841"/>
      <c r="CZ8" s="1380" t="s">
        <v>1697</v>
      </c>
      <c r="DA8" s="1380" t="s">
        <v>1512</v>
      </c>
      <c r="DB8" s="1380" t="s">
        <v>1513</v>
      </c>
      <c r="DC8" s="1848"/>
      <c r="DD8" s="277" t="s">
        <v>942</v>
      </c>
      <c r="DE8" s="284" t="s">
        <v>67</v>
      </c>
      <c r="DF8" s="277" t="s">
        <v>940</v>
      </c>
      <c r="DG8" s="277" t="s">
        <v>941</v>
      </c>
      <c r="DH8" s="277" t="s">
        <v>68</v>
      </c>
      <c r="DI8" s="1846"/>
      <c r="DJ8" s="1849"/>
      <c r="DK8" s="1380" t="s">
        <v>1697</v>
      </c>
      <c r="DL8" s="1380" t="s">
        <v>1512</v>
      </c>
      <c r="DM8" s="1380" t="s">
        <v>1513</v>
      </c>
      <c r="DN8" s="1850"/>
      <c r="DO8" s="278" t="s">
        <v>942</v>
      </c>
      <c r="DP8" s="65" t="s">
        <v>67</v>
      </c>
      <c r="DQ8" s="278" t="s">
        <v>940</v>
      </c>
      <c r="DR8" s="278" t="s">
        <v>941</v>
      </c>
      <c r="DS8" s="278" t="s">
        <v>68</v>
      </c>
      <c r="DT8" s="1853"/>
      <c r="DU8" s="1855"/>
      <c r="DV8" s="1624" t="s">
        <v>1697</v>
      </c>
      <c r="DW8" s="1624" t="s">
        <v>1512</v>
      </c>
      <c r="DX8" s="1624" t="s">
        <v>1513</v>
      </c>
      <c r="DY8" s="1857"/>
      <c r="DZ8" s="302" t="s">
        <v>942</v>
      </c>
      <c r="EA8" s="303" t="s">
        <v>67</v>
      </c>
      <c r="EB8" s="302" t="s">
        <v>940</v>
      </c>
      <c r="EC8" s="302" t="s">
        <v>941</v>
      </c>
      <c r="ED8" s="302" t="s">
        <v>68</v>
      </c>
      <c r="EE8" s="1839"/>
      <c r="EF8" s="1841"/>
      <c r="EG8" s="1624" t="s">
        <v>1697</v>
      </c>
      <c r="EH8" s="1624" t="s">
        <v>1512</v>
      </c>
      <c r="EI8" s="1624" t="s">
        <v>1513</v>
      </c>
      <c r="EJ8" s="1848"/>
      <c r="EK8" s="277" t="s">
        <v>942</v>
      </c>
      <c r="EL8" s="284" t="s">
        <v>67</v>
      </c>
      <c r="EM8" s="277" t="s">
        <v>940</v>
      </c>
      <c r="EN8" s="277" t="s">
        <v>941</v>
      </c>
      <c r="EO8" s="277" t="s">
        <v>68</v>
      </c>
      <c r="EP8" s="1846"/>
      <c r="EQ8" s="1849"/>
      <c r="ER8" s="1624" t="s">
        <v>1697</v>
      </c>
      <c r="ES8" s="1624" t="s">
        <v>1512</v>
      </c>
      <c r="ET8" s="1624" t="s">
        <v>1513</v>
      </c>
      <c r="EU8" s="1850"/>
      <c r="EV8" s="278" t="s">
        <v>942</v>
      </c>
      <c r="EW8" s="1620" t="s">
        <v>67</v>
      </c>
      <c r="EX8" s="278" t="s">
        <v>940</v>
      </c>
      <c r="EY8" s="278" t="s">
        <v>941</v>
      </c>
      <c r="EZ8" s="278" t="s">
        <v>68</v>
      </c>
    </row>
    <row r="9" spans="1:156" s="48" customFormat="1" ht="15">
      <c r="A9" s="13">
        <v>1</v>
      </c>
      <c r="B9" s="13">
        <v>2</v>
      </c>
      <c r="C9" s="33">
        <v>3</v>
      </c>
      <c r="D9" s="33">
        <v>4</v>
      </c>
      <c r="E9" s="33"/>
      <c r="F9" s="33"/>
      <c r="G9" s="33"/>
      <c r="H9" s="33">
        <v>5</v>
      </c>
      <c r="I9" s="33">
        <v>6</v>
      </c>
      <c r="J9" s="33">
        <v>7</v>
      </c>
      <c r="K9" s="33">
        <v>8</v>
      </c>
      <c r="L9" s="33">
        <v>9</v>
      </c>
      <c r="M9" s="33">
        <v>10</v>
      </c>
      <c r="N9" s="281">
        <v>11</v>
      </c>
      <c r="O9" s="281">
        <v>12</v>
      </c>
      <c r="P9" s="281"/>
      <c r="Q9" s="281"/>
      <c r="R9" s="281"/>
      <c r="S9" s="281">
        <v>13</v>
      </c>
      <c r="T9" s="281">
        <v>14</v>
      </c>
      <c r="U9" s="281">
        <v>15</v>
      </c>
      <c r="V9" s="281">
        <v>16</v>
      </c>
      <c r="W9" s="281">
        <v>17</v>
      </c>
      <c r="X9" s="281">
        <v>18</v>
      </c>
      <c r="Y9" s="281">
        <v>3</v>
      </c>
      <c r="Z9" s="281">
        <v>4</v>
      </c>
      <c r="AA9" s="281"/>
      <c r="AB9" s="281"/>
      <c r="AC9" s="281"/>
      <c r="AD9" s="281">
        <v>5</v>
      </c>
      <c r="AE9" s="281">
        <v>6</v>
      </c>
      <c r="AF9" s="281">
        <v>7</v>
      </c>
      <c r="AG9" s="281">
        <v>8</v>
      </c>
      <c r="AH9" s="281">
        <v>9</v>
      </c>
      <c r="AI9" s="281">
        <v>10</v>
      </c>
      <c r="AJ9" s="281">
        <v>11</v>
      </c>
      <c r="AK9" s="281">
        <v>12</v>
      </c>
      <c r="AL9" s="281">
        <v>13</v>
      </c>
      <c r="AM9" s="281">
        <v>14</v>
      </c>
      <c r="AN9" s="281">
        <v>15</v>
      </c>
      <c r="AO9" s="281">
        <v>16</v>
      </c>
      <c r="AP9" s="281">
        <v>17</v>
      </c>
      <c r="AQ9" s="281">
        <v>18</v>
      </c>
      <c r="AR9" s="281">
        <v>19</v>
      </c>
      <c r="AS9" s="281">
        <v>20</v>
      </c>
      <c r="AT9" s="281">
        <v>21</v>
      </c>
      <c r="AU9" s="281">
        <v>22</v>
      </c>
      <c r="AV9" s="281">
        <v>23</v>
      </c>
      <c r="AW9" s="281">
        <v>21</v>
      </c>
      <c r="AX9" s="281">
        <v>22</v>
      </c>
      <c r="AY9" s="281">
        <v>23</v>
      </c>
      <c r="AZ9" s="281">
        <v>24</v>
      </c>
      <c r="BA9" s="281">
        <v>25</v>
      </c>
      <c r="BB9" s="281">
        <v>26</v>
      </c>
      <c r="BC9" s="281">
        <v>27</v>
      </c>
      <c r="BD9" s="281">
        <v>28</v>
      </c>
      <c r="BE9" s="281">
        <v>29</v>
      </c>
      <c r="BF9" s="281">
        <v>30</v>
      </c>
      <c r="BG9" s="281">
        <v>31</v>
      </c>
      <c r="BH9" s="281">
        <v>32</v>
      </c>
      <c r="BI9" s="281">
        <v>33</v>
      </c>
      <c r="BJ9" s="281">
        <v>34</v>
      </c>
      <c r="BK9" s="281">
        <v>35</v>
      </c>
      <c r="BL9" s="281">
        <v>36</v>
      </c>
      <c r="BM9" s="281">
        <v>37</v>
      </c>
      <c r="BN9" s="281">
        <v>38</v>
      </c>
      <c r="BO9" s="281">
        <v>39</v>
      </c>
      <c r="BP9" s="281">
        <v>40</v>
      </c>
      <c r="BQ9" s="281">
        <v>41</v>
      </c>
      <c r="BR9" s="281">
        <v>42</v>
      </c>
      <c r="BS9" s="281">
        <v>40</v>
      </c>
      <c r="BT9" s="281">
        <v>41</v>
      </c>
      <c r="BU9" s="281">
        <v>42</v>
      </c>
      <c r="BV9" s="281">
        <v>43</v>
      </c>
      <c r="BW9" s="281">
        <v>44</v>
      </c>
      <c r="BX9" s="281">
        <v>45</v>
      </c>
      <c r="BY9" s="281">
        <v>46</v>
      </c>
      <c r="BZ9" s="281">
        <v>47</v>
      </c>
      <c r="CA9" s="281">
        <v>48</v>
      </c>
      <c r="CB9" s="281">
        <v>49</v>
      </c>
      <c r="CC9" s="281">
        <v>50</v>
      </c>
      <c r="CD9" s="281">
        <v>51</v>
      </c>
      <c r="CE9" s="281">
        <v>52</v>
      </c>
      <c r="CF9" s="281">
        <v>53</v>
      </c>
      <c r="CG9" s="281">
        <v>54</v>
      </c>
      <c r="CH9" s="281">
        <v>55</v>
      </c>
      <c r="CI9" s="281">
        <v>56</v>
      </c>
      <c r="CJ9" s="281">
        <v>57</v>
      </c>
      <c r="CK9" s="281">
        <v>58</v>
      </c>
      <c r="CL9" s="281">
        <v>59</v>
      </c>
      <c r="CM9" s="281">
        <v>60</v>
      </c>
      <c r="CN9" s="281">
        <v>61</v>
      </c>
      <c r="CO9" s="281">
        <v>62</v>
      </c>
      <c r="CP9" s="281">
        <v>63</v>
      </c>
      <c r="CQ9" s="281">
        <v>64</v>
      </c>
      <c r="CR9" s="281">
        <v>65</v>
      </c>
      <c r="CS9" s="281">
        <v>66</v>
      </c>
      <c r="CT9" s="281">
        <v>67</v>
      </c>
      <c r="CU9" s="281">
        <v>68</v>
      </c>
      <c r="CV9" s="281">
        <v>69</v>
      </c>
      <c r="CW9" s="281">
        <v>70</v>
      </c>
      <c r="CX9" s="281">
        <v>71</v>
      </c>
      <c r="CY9" s="281">
        <v>72</v>
      </c>
      <c r="CZ9" s="281">
        <v>73</v>
      </c>
      <c r="DA9" s="281">
        <v>74</v>
      </c>
      <c r="DB9" s="281">
        <v>75</v>
      </c>
      <c r="DC9" s="281">
        <v>76</v>
      </c>
      <c r="DD9" s="281">
        <v>77</v>
      </c>
      <c r="DE9" s="281">
        <v>78</v>
      </c>
      <c r="DF9" s="281">
        <v>79</v>
      </c>
      <c r="DG9" s="281">
        <v>80</v>
      </c>
      <c r="DH9" s="281">
        <v>81</v>
      </c>
      <c r="DI9" s="281">
        <v>82</v>
      </c>
      <c r="DJ9" s="281">
        <v>83</v>
      </c>
      <c r="DK9" s="281">
        <v>84</v>
      </c>
      <c r="DL9" s="281">
        <v>85</v>
      </c>
      <c r="DM9" s="281">
        <v>86</v>
      </c>
      <c r="DN9" s="281">
        <v>87</v>
      </c>
      <c r="DO9" s="281">
        <v>88</v>
      </c>
      <c r="DP9" s="281">
        <v>89</v>
      </c>
      <c r="DQ9" s="281">
        <v>90</v>
      </c>
      <c r="DR9" s="281">
        <v>91</v>
      </c>
      <c r="DS9" s="281">
        <v>92</v>
      </c>
      <c r="DT9" s="281">
        <v>93</v>
      </c>
      <c r="DU9" s="281">
        <v>94</v>
      </c>
      <c r="DV9" s="281">
        <v>95</v>
      </c>
      <c r="DW9" s="281">
        <v>96</v>
      </c>
      <c r="DX9" s="281">
        <v>97</v>
      </c>
      <c r="DY9" s="281">
        <v>98</v>
      </c>
      <c r="DZ9" s="281">
        <v>99</v>
      </c>
      <c r="EA9" s="281">
        <v>100</v>
      </c>
      <c r="EB9" s="281">
        <v>101</v>
      </c>
      <c r="EC9" s="281">
        <v>102</v>
      </c>
      <c r="ED9" s="281">
        <v>103</v>
      </c>
      <c r="EE9" s="281">
        <v>104</v>
      </c>
      <c r="EF9" s="281">
        <v>105</v>
      </c>
      <c r="EG9" s="281">
        <v>106</v>
      </c>
      <c r="EH9" s="281">
        <v>107</v>
      </c>
      <c r="EI9" s="281">
        <v>108</v>
      </c>
      <c r="EJ9" s="281">
        <v>109</v>
      </c>
      <c r="EK9" s="281">
        <v>110</v>
      </c>
      <c r="EL9" s="281">
        <v>111</v>
      </c>
      <c r="EM9" s="281">
        <v>112</v>
      </c>
      <c r="EN9" s="281">
        <v>113</v>
      </c>
      <c r="EO9" s="281">
        <v>114</v>
      </c>
      <c r="EP9" s="281">
        <v>115</v>
      </c>
      <c r="EQ9" s="281">
        <v>116</v>
      </c>
      <c r="ER9" s="281">
        <v>117</v>
      </c>
      <c r="ES9" s="281">
        <v>118</v>
      </c>
      <c r="ET9" s="281">
        <v>119</v>
      </c>
      <c r="EU9" s="281">
        <v>120</v>
      </c>
      <c r="EV9" s="281">
        <v>121</v>
      </c>
      <c r="EW9" s="281">
        <v>122</v>
      </c>
      <c r="EX9" s="281">
        <v>123</v>
      </c>
      <c r="EY9" s="281">
        <v>124</v>
      </c>
      <c r="EZ9" s="281">
        <v>125</v>
      </c>
    </row>
    <row r="10" spans="1:156" s="106" customFormat="1" ht="42.75">
      <c r="A10" s="110" t="s">
        <v>4</v>
      </c>
      <c r="B10" s="111" t="s">
        <v>69</v>
      </c>
      <c r="C10" s="286">
        <f>C12</f>
        <v>1206.213</v>
      </c>
      <c r="D10" s="286">
        <f>D12</f>
        <v>1203.8309999999999</v>
      </c>
      <c r="E10" s="286"/>
      <c r="F10" s="286"/>
      <c r="G10" s="286"/>
      <c r="H10" s="286">
        <f>H12</f>
        <v>2.3820000000000001</v>
      </c>
      <c r="I10" s="286"/>
      <c r="J10" s="286">
        <f>J12</f>
        <v>2.3820000000000001</v>
      </c>
      <c r="K10" s="111"/>
      <c r="L10" s="111"/>
      <c r="M10" s="111"/>
      <c r="N10" s="286">
        <f>N12</f>
        <v>1184.578</v>
      </c>
      <c r="O10" s="286">
        <f>O12</f>
        <v>1152.606</v>
      </c>
      <c r="P10" s="286"/>
      <c r="Q10" s="286"/>
      <c r="R10" s="286"/>
      <c r="S10" s="286">
        <f>S12</f>
        <v>31.972000000000001</v>
      </c>
      <c r="T10" s="286"/>
      <c r="U10" s="286">
        <f>U12</f>
        <v>31.972000000000001</v>
      </c>
      <c r="V10" s="286"/>
      <c r="W10" s="286"/>
      <c r="X10" s="286"/>
      <c r="Y10" s="286">
        <v>1193.42</v>
      </c>
      <c r="Z10" s="286">
        <v>1160.451</v>
      </c>
      <c r="AA10" s="286"/>
      <c r="AB10" s="286"/>
      <c r="AC10" s="286"/>
      <c r="AD10" s="286">
        <v>32.969000000000001</v>
      </c>
      <c r="AE10" s="286"/>
      <c r="AF10" s="286">
        <v>32.969000000000001</v>
      </c>
      <c r="AG10" s="286"/>
      <c r="AH10" s="286"/>
      <c r="AI10" s="286"/>
      <c r="AJ10" s="286">
        <v>1159.758</v>
      </c>
      <c r="AK10" s="286">
        <v>1127.979</v>
      </c>
      <c r="AL10" s="286">
        <v>1127.979</v>
      </c>
      <c r="AM10" s="286"/>
      <c r="AN10" s="286"/>
      <c r="AO10" s="286">
        <v>31.779</v>
      </c>
      <c r="AP10" s="286"/>
      <c r="AQ10" s="286">
        <v>31.779</v>
      </c>
      <c r="AR10" s="286"/>
      <c r="AS10" s="286"/>
      <c r="AT10" s="286"/>
      <c r="AU10" s="286">
        <v>1184.578</v>
      </c>
      <c r="AV10" s="286">
        <v>1151.6610000000001</v>
      </c>
      <c r="AW10" s="286"/>
      <c r="AX10" s="286"/>
      <c r="AY10" s="286"/>
      <c r="AZ10" s="286">
        <v>32.917000000000002</v>
      </c>
      <c r="BA10" s="286"/>
      <c r="BB10" s="286">
        <v>32.917000000000002</v>
      </c>
      <c r="BC10" s="286"/>
      <c r="BD10" s="286"/>
      <c r="BE10" s="286"/>
      <c r="BF10" s="286">
        <v>1137.2080000000001</v>
      </c>
      <c r="BG10" s="286">
        <v>1103.9190000000001</v>
      </c>
      <c r="BH10" s="286">
        <v>1103.9190000000001</v>
      </c>
      <c r="BI10" s="286"/>
      <c r="BJ10" s="286"/>
      <c r="BK10" s="286">
        <v>33.289000000000001</v>
      </c>
      <c r="BL10" s="286"/>
      <c r="BM10" s="286">
        <v>33.289000000000001</v>
      </c>
      <c r="BN10" s="286"/>
      <c r="BO10" s="286"/>
      <c r="BP10" s="286"/>
      <c r="BQ10" s="286">
        <v>1135.2</v>
      </c>
      <c r="BR10" s="286">
        <v>1103.0642550980065</v>
      </c>
      <c r="BS10" s="286">
        <v>1103.0642550980065</v>
      </c>
      <c r="BT10" s="286"/>
      <c r="BU10" s="286"/>
      <c r="BV10" s="286">
        <v>32.135744901993526</v>
      </c>
      <c r="BW10" s="286"/>
      <c r="BX10" s="286">
        <v>32.135744901993526</v>
      </c>
      <c r="BY10" s="286"/>
      <c r="BZ10" s="286"/>
      <c r="CA10" s="286"/>
      <c r="CB10" s="286">
        <v>1135.2</v>
      </c>
      <c r="CC10" s="286">
        <v>1101.934</v>
      </c>
      <c r="CD10" s="286">
        <v>1101.934</v>
      </c>
      <c r="CE10" s="286"/>
      <c r="CF10" s="286"/>
      <c r="CG10" s="286">
        <v>33.265999999999998</v>
      </c>
      <c r="CH10" s="286"/>
      <c r="CI10" s="286">
        <v>33.265999999999998</v>
      </c>
      <c r="CJ10" s="286"/>
      <c r="CK10" s="286"/>
      <c r="CL10" s="286"/>
      <c r="CM10" s="304">
        <v>1135.2</v>
      </c>
      <c r="CN10" s="304">
        <v>1101.934</v>
      </c>
      <c r="CO10" s="304">
        <v>1101.934</v>
      </c>
      <c r="CP10" s="304">
        <v>0</v>
      </c>
      <c r="CQ10" s="304">
        <v>0</v>
      </c>
      <c r="CR10" s="304">
        <v>33.266000000000005</v>
      </c>
      <c r="CS10" s="304"/>
      <c r="CT10" s="304">
        <v>33.266000000000005</v>
      </c>
      <c r="CU10" s="304"/>
      <c r="CV10" s="304"/>
      <c r="CW10" s="304"/>
      <c r="CX10" s="286">
        <v>691.89599999999996</v>
      </c>
      <c r="CY10" s="286">
        <v>673.56099999999992</v>
      </c>
      <c r="CZ10" s="286">
        <v>673.56099999999992</v>
      </c>
      <c r="DA10" s="286"/>
      <c r="DB10" s="286"/>
      <c r="DC10" s="286">
        <v>18.335000000000001</v>
      </c>
      <c r="DD10" s="286"/>
      <c r="DE10" s="286">
        <v>18.335000000000001</v>
      </c>
      <c r="DF10" s="112"/>
      <c r="DG10" s="112"/>
      <c r="DH10" s="112"/>
      <c r="DI10" s="286">
        <v>443.30399999999997</v>
      </c>
      <c r="DJ10" s="286">
        <v>428.37299999999999</v>
      </c>
      <c r="DK10" s="286">
        <v>428.37299999999999</v>
      </c>
      <c r="DL10" s="286"/>
      <c r="DM10" s="286"/>
      <c r="DN10" s="286">
        <v>14.931000000000001</v>
      </c>
      <c r="DO10" s="286"/>
      <c r="DP10" s="286">
        <v>14.931000000000001</v>
      </c>
      <c r="DQ10" s="112"/>
      <c r="DR10" s="112"/>
      <c r="DS10" s="112"/>
      <c r="DT10" s="304">
        <v>1135.2</v>
      </c>
      <c r="DU10" s="304">
        <v>1101.934</v>
      </c>
      <c r="DV10" s="304">
        <v>1101.934</v>
      </c>
      <c r="DW10" s="304">
        <v>0</v>
      </c>
      <c r="DX10" s="304">
        <v>0</v>
      </c>
      <c r="DY10" s="304">
        <v>33.266000000000005</v>
      </c>
      <c r="DZ10" s="304"/>
      <c r="EA10" s="304">
        <v>33.266000000000005</v>
      </c>
      <c r="EB10" s="304"/>
      <c r="EC10" s="304"/>
      <c r="ED10" s="304"/>
      <c r="EE10" s="286">
        <v>691.89599999999996</v>
      </c>
      <c r="EF10" s="286">
        <v>673.56099999999992</v>
      </c>
      <c r="EG10" s="286">
        <v>673.56099999999992</v>
      </c>
      <c r="EH10" s="286"/>
      <c r="EI10" s="286"/>
      <c r="EJ10" s="286">
        <v>18.335000000000001</v>
      </c>
      <c r="EK10" s="286"/>
      <c r="EL10" s="286">
        <v>18.335000000000001</v>
      </c>
      <c r="EM10" s="112"/>
      <c r="EN10" s="112"/>
      <c r="EO10" s="112"/>
      <c r="EP10" s="286">
        <v>443.30399999999997</v>
      </c>
      <c r="EQ10" s="286">
        <v>428.37299999999999</v>
      </c>
      <c r="ER10" s="286">
        <v>428.37299999999999</v>
      </c>
      <c r="ES10" s="286"/>
      <c r="ET10" s="286"/>
      <c r="EU10" s="286">
        <v>14.931000000000001</v>
      </c>
      <c r="EV10" s="286"/>
      <c r="EW10" s="286">
        <v>14.931000000000001</v>
      </c>
      <c r="EX10" s="112"/>
      <c r="EY10" s="112"/>
      <c r="EZ10" s="112"/>
    </row>
    <row r="11" spans="1:156" ht="15" customHeight="1">
      <c r="A11" s="17"/>
      <c r="B11" s="16" t="s">
        <v>70</v>
      </c>
      <c r="C11" s="260"/>
      <c r="D11" s="260"/>
      <c r="E11" s="260"/>
      <c r="F11" s="260"/>
      <c r="G11" s="260"/>
      <c r="H11" s="283"/>
      <c r="I11" s="283"/>
      <c r="J11" s="283"/>
      <c r="K11" s="16"/>
      <c r="L11" s="16"/>
      <c r="M11" s="16"/>
      <c r="N11" s="260"/>
      <c r="O11" s="260"/>
      <c r="P11" s="260"/>
      <c r="Q11" s="260"/>
      <c r="R11" s="260"/>
      <c r="S11" s="283"/>
      <c r="T11" s="283"/>
      <c r="U11" s="283"/>
      <c r="V11" s="283"/>
      <c r="W11" s="283"/>
      <c r="X11" s="283"/>
      <c r="Y11" s="260"/>
      <c r="Z11" s="260"/>
      <c r="AA11" s="260"/>
      <c r="AB11" s="260"/>
      <c r="AC11" s="260"/>
      <c r="AD11" s="283"/>
      <c r="AE11" s="283"/>
      <c r="AF11" s="283"/>
      <c r="AG11" s="283"/>
      <c r="AH11" s="283"/>
      <c r="AI11" s="283"/>
      <c r="AJ11" s="260"/>
      <c r="AK11" s="260"/>
      <c r="AL11" s="260"/>
      <c r="AM11" s="260"/>
      <c r="AN11" s="260"/>
      <c r="AO11" s="283"/>
      <c r="AP11" s="283"/>
      <c r="AQ11" s="283"/>
      <c r="AR11" s="283"/>
      <c r="AS11" s="283"/>
      <c r="AT11" s="283"/>
      <c r="AU11" s="260"/>
      <c r="AV11" s="260"/>
      <c r="AW11" s="260"/>
      <c r="AX11" s="260"/>
      <c r="AY11" s="260"/>
      <c r="AZ11" s="283"/>
      <c r="BA11" s="283"/>
      <c r="BB11" s="283"/>
      <c r="BC11" s="283"/>
      <c r="BD11" s="283"/>
      <c r="BE11" s="283"/>
      <c r="BF11" s="260"/>
      <c r="BG11" s="260"/>
      <c r="BH11" s="260"/>
      <c r="BI11" s="260"/>
      <c r="BJ11" s="260"/>
      <c r="BK11" s="283"/>
      <c r="BL11" s="283"/>
      <c r="BM11" s="283"/>
      <c r="BN11" s="283"/>
      <c r="BO11" s="283"/>
      <c r="BP11" s="283"/>
      <c r="BQ11" s="260"/>
      <c r="BR11" s="260"/>
      <c r="BS11" s="260"/>
      <c r="BT11" s="260"/>
      <c r="BU11" s="260"/>
      <c r="BV11" s="283"/>
      <c r="BW11" s="283"/>
      <c r="BX11" s="283"/>
      <c r="BY11" s="283"/>
      <c r="BZ11" s="283"/>
      <c r="CA11" s="283"/>
      <c r="CB11" s="260"/>
      <c r="CC11" s="260"/>
      <c r="CD11" s="260"/>
      <c r="CE11" s="260"/>
      <c r="CF11" s="260"/>
      <c r="CG11" s="283"/>
      <c r="CH11" s="283"/>
      <c r="CI11" s="283"/>
      <c r="CJ11" s="283"/>
      <c r="CK11" s="283"/>
      <c r="CL11" s="283"/>
      <c r="CM11" s="305"/>
      <c r="CN11" s="305"/>
      <c r="CO11" s="305"/>
      <c r="CP11" s="305"/>
      <c r="CQ11" s="305"/>
      <c r="CR11" s="306"/>
      <c r="CS11" s="305"/>
      <c r="CT11" s="305"/>
      <c r="CU11" s="305"/>
      <c r="CV11" s="305"/>
      <c r="CW11" s="305"/>
      <c r="CX11" s="260"/>
      <c r="CY11" s="260"/>
      <c r="CZ11" s="260"/>
      <c r="DA11" s="260"/>
      <c r="DB11" s="260"/>
      <c r="DC11" s="283"/>
      <c r="DD11" s="283"/>
      <c r="DE11" s="283"/>
      <c r="DF11" s="50"/>
      <c r="DG11" s="50"/>
      <c r="DH11" s="50"/>
      <c r="DI11" s="260"/>
      <c r="DJ11" s="260"/>
      <c r="DK11" s="260"/>
      <c r="DL11" s="260"/>
      <c r="DM11" s="260"/>
      <c r="DN11" s="283"/>
      <c r="DO11" s="283"/>
      <c r="DP11" s="283"/>
      <c r="DQ11" s="50"/>
      <c r="DR11" s="50"/>
      <c r="DS11" s="50"/>
      <c r="DT11" s="305"/>
      <c r="DU11" s="305"/>
      <c r="DV11" s="305"/>
      <c r="DW11" s="305"/>
      <c r="DX11" s="305"/>
      <c r="DY11" s="306"/>
      <c r="DZ11" s="305"/>
      <c r="EA11" s="305"/>
      <c r="EB11" s="305"/>
      <c r="EC11" s="305"/>
      <c r="ED11" s="305"/>
      <c r="EE11" s="260"/>
      <c r="EF11" s="260"/>
      <c r="EG11" s="260"/>
      <c r="EH11" s="260"/>
      <c r="EI11" s="260"/>
      <c r="EJ11" s="283"/>
      <c r="EK11" s="283"/>
      <c r="EL11" s="283"/>
      <c r="EM11" s="50"/>
      <c r="EN11" s="50"/>
      <c r="EO11" s="50"/>
      <c r="EP11" s="260"/>
      <c r="EQ11" s="260"/>
      <c r="ER11" s="260"/>
      <c r="ES11" s="260"/>
      <c r="ET11" s="260"/>
      <c r="EU11" s="283"/>
      <c r="EV11" s="283"/>
      <c r="EW11" s="283"/>
      <c r="EX11" s="50"/>
      <c r="EY11" s="50"/>
      <c r="EZ11" s="50"/>
    </row>
    <row r="12" spans="1:156" ht="15" customHeight="1">
      <c r="A12" s="17"/>
      <c r="B12" s="51" t="s">
        <v>71</v>
      </c>
      <c r="C12" s="260">
        <f>D12+H12</f>
        <v>1206.213</v>
      </c>
      <c r="D12" s="260">
        <f>1157.33+46.501</f>
        <v>1203.8309999999999</v>
      </c>
      <c r="E12" s="260"/>
      <c r="F12" s="260"/>
      <c r="G12" s="260"/>
      <c r="H12" s="260">
        <f>J12</f>
        <v>2.3820000000000001</v>
      </c>
      <c r="I12" s="283"/>
      <c r="J12" s="283">
        <v>2.3820000000000001</v>
      </c>
      <c r="K12" s="51"/>
      <c r="L12" s="51"/>
      <c r="M12" s="51"/>
      <c r="N12" s="260">
        <f>O12+S12</f>
        <v>1184.578</v>
      </c>
      <c r="O12" s="260">
        <v>1152.606</v>
      </c>
      <c r="P12" s="260"/>
      <c r="Q12" s="260"/>
      <c r="R12" s="260"/>
      <c r="S12" s="260">
        <f>U12</f>
        <v>31.972000000000001</v>
      </c>
      <c r="T12" s="283"/>
      <c r="U12" s="283">
        <v>31.972000000000001</v>
      </c>
      <c r="V12" s="283"/>
      <c r="W12" s="283"/>
      <c r="X12" s="283"/>
      <c r="Y12" s="260">
        <v>1193.42</v>
      </c>
      <c r="Z12" s="260">
        <v>1160.451</v>
      </c>
      <c r="AA12" s="260"/>
      <c r="AB12" s="260"/>
      <c r="AC12" s="260"/>
      <c r="AD12" s="260">
        <v>32.969000000000001</v>
      </c>
      <c r="AE12" s="283"/>
      <c r="AF12" s="283">
        <v>32.969000000000001</v>
      </c>
      <c r="AG12" s="283"/>
      <c r="AH12" s="283"/>
      <c r="AI12" s="283"/>
      <c r="AJ12" s="260">
        <v>1159.758</v>
      </c>
      <c r="AK12" s="269">
        <v>1127.979</v>
      </c>
      <c r="AL12" s="269">
        <v>1127.979</v>
      </c>
      <c r="AM12" s="269"/>
      <c r="AN12" s="269"/>
      <c r="AO12" s="260">
        <v>31.779</v>
      </c>
      <c r="AP12" s="283"/>
      <c r="AQ12" s="1393">
        <v>31.779</v>
      </c>
      <c r="AR12" s="283"/>
      <c r="AS12" s="283"/>
      <c r="AT12" s="283"/>
      <c r="AU12" s="260">
        <v>1184.578</v>
      </c>
      <c r="AV12" s="269">
        <v>1151.6610000000001</v>
      </c>
      <c r="AW12" s="269"/>
      <c r="AX12" s="269"/>
      <c r="AY12" s="269"/>
      <c r="AZ12" s="260">
        <v>32.917000000000002</v>
      </c>
      <c r="BA12" s="283"/>
      <c r="BB12" s="288">
        <v>32.917000000000002</v>
      </c>
      <c r="BC12" s="283"/>
      <c r="BD12" s="283"/>
      <c r="BE12" s="283"/>
      <c r="BF12" s="260">
        <v>1137.2080000000001</v>
      </c>
      <c r="BG12" s="269">
        <v>1103.9190000000001</v>
      </c>
      <c r="BH12" s="269">
        <v>1103.9190000000001</v>
      </c>
      <c r="BI12" s="269"/>
      <c r="BJ12" s="269"/>
      <c r="BK12" s="260">
        <v>33.289000000000001</v>
      </c>
      <c r="BL12" s="283"/>
      <c r="BM12" s="1399">
        <v>33.289000000000001</v>
      </c>
      <c r="BN12" s="283"/>
      <c r="BO12" s="283"/>
      <c r="BP12" s="283"/>
      <c r="BQ12" s="260">
        <v>1135.2</v>
      </c>
      <c r="BR12" s="269">
        <v>1103.0642550980065</v>
      </c>
      <c r="BS12" s="269">
        <v>1103.0642550980065</v>
      </c>
      <c r="BT12" s="269"/>
      <c r="BU12" s="269"/>
      <c r="BV12" s="260">
        <v>32.135744901993526</v>
      </c>
      <c r="BW12" s="283"/>
      <c r="BX12" s="1399">
        <v>32.135744901993526</v>
      </c>
      <c r="BY12" s="283"/>
      <c r="BZ12" s="283"/>
      <c r="CA12" s="283"/>
      <c r="CB12" s="260">
        <v>1135.2</v>
      </c>
      <c r="CC12" s="269">
        <v>1101.934</v>
      </c>
      <c r="CD12" s="269">
        <v>1101.934</v>
      </c>
      <c r="CE12" s="269"/>
      <c r="CF12" s="269"/>
      <c r="CG12" s="260">
        <v>33.265999999999998</v>
      </c>
      <c r="CH12" s="283"/>
      <c r="CI12" s="1399">
        <v>33.265999999999998</v>
      </c>
      <c r="CJ12" s="283"/>
      <c r="CK12" s="283"/>
      <c r="CL12" s="283"/>
      <c r="CM12" s="306">
        <v>1135.2</v>
      </c>
      <c r="CN12" s="305">
        <v>1101.934</v>
      </c>
      <c r="CO12" s="305">
        <v>1101.934</v>
      </c>
      <c r="CP12" s="305">
        <v>0</v>
      </c>
      <c r="CQ12" s="305">
        <v>0</v>
      </c>
      <c r="CR12" s="306">
        <v>33.266000000000005</v>
      </c>
      <c r="CS12" s="305"/>
      <c r="CT12" s="305">
        <v>33.266000000000005</v>
      </c>
      <c r="CU12" s="305"/>
      <c r="CV12" s="305"/>
      <c r="CW12" s="305"/>
      <c r="CX12" s="260">
        <v>691.89599999999996</v>
      </c>
      <c r="CY12" s="1393">
        <v>673.56099999999992</v>
      </c>
      <c r="CZ12" s="1393">
        <v>673.56099999999992</v>
      </c>
      <c r="DA12" s="269"/>
      <c r="DB12" s="269"/>
      <c r="DC12" s="260">
        <v>18.335000000000001</v>
      </c>
      <c r="DD12" s="283"/>
      <c r="DE12" s="1399">
        <v>18.335000000000001</v>
      </c>
      <c r="DF12" s="50"/>
      <c r="DG12" s="50"/>
      <c r="DH12" s="50"/>
      <c r="DI12" s="260">
        <v>443.30399999999997</v>
      </c>
      <c r="DJ12" s="269">
        <v>428.37299999999999</v>
      </c>
      <c r="DK12" s="269">
        <v>428.37299999999999</v>
      </c>
      <c r="DL12" s="269"/>
      <c r="DM12" s="269"/>
      <c r="DN12" s="260">
        <v>14.931000000000001</v>
      </c>
      <c r="DO12" s="283"/>
      <c r="DP12" s="1399">
        <v>14.931000000000001</v>
      </c>
      <c r="DQ12" s="50"/>
      <c r="DR12" s="50"/>
      <c r="DS12" s="50"/>
      <c r="DT12" s="306">
        <v>1135.2</v>
      </c>
      <c r="DU12" s="305">
        <v>1101.934</v>
      </c>
      <c r="DV12" s="305">
        <v>1101.934</v>
      </c>
      <c r="DW12" s="305">
        <v>0</v>
      </c>
      <c r="DX12" s="305">
        <v>0</v>
      </c>
      <c r="DY12" s="306">
        <v>33.266000000000005</v>
      </c>
      <c r="DZ12" s="305"/>
      <c r="EA12" s="305">
        <v>33.266000000000005</v>
      </c>
      <c r="EB12" s="305"/>
      <c r="EC12" s="305"/>
      <c r="ED12" s="305"/>
      <c r="EE12" s="260">
        <v>691.89599999999996</v>
      </c>
      <c r="EF12" s="1393">
        <v>673.56099999999992</v>
      </c>
      <c r="EG12" s="1393">
        <v>673.56099999999992</v>
      </c>
      <c r="EH12" s="269"/>
      <c r="EI12" s="269"/>
      <c r="EJ12" s="260">
        <v>18.335000000000001</v>
      </c>
      <c r="EK12" s="283"/>
      <c r="EL12" s="1399">
        <v>18.335000000000001</v>
      </c>
      <c r="EM12" s="50"/>
      <c r="EN12" s="50"/>
      <c r="EO12" s="50"/>
      <c r="EP12" s="260">
        <v>443.30399999999997</v>
      </c>
      <c r="EQ12" s="269">
        <v>428.37299999999999</v>
      </c>
      <c r="ER12" s="269">
        <v>428.37299999999999</v>
      </c>
      <c r="ES12" s="269"/>
      <c r="ET12" s="269"/>
      <c r="EU12" s="260">
        <v>14.931000000000001</v>
      </c>
      <c r="EV12" s="283"/>
      <c r="EW12" s="1399">
        <v>14.931000000000001</v>
      </c>
      <c r="EX12" s="50"/>
      <c r="EY12" s="50"/>
      <c r="EZ12" s="50"/>
    </row>
    <row r="13" spans="1:156" ht="15" customHeight="1">
      <c r="A13" s="17"/>
      <c r="B13" s="51" t="s">
        <v>72</v>
      </c>
      <c r="C13" s="260"/>
      <c r="D13" s="260"/>
      <c r="E13" s="260"/>
      <c r="F13" s="260"/>
      <c r="G13" s="260"/>
      <c r="H13" s="260"/>
      <c r="I13" s="260"/>
      <c r="J13" s="260"/>
      <c r="K13" s="51"/>
      <c r="L13" s="51"/>
      <c r="M13" s="51"/>
      <c r="N13" s="260"/>
      <c r="O13" s="260"/>
      <c r="P13" s="260"/>
      <c r="Q13" s="260"/>
      <c r="R13" s="260"/>
      <c r="S13" s="260"/>
      <c r="T13" s="260"/>
      <c r="U13" s="260"/>
      <c r="V13" s="260"/>
      <c r="W13" s="260"/>
      <c r="X13" s="260"/>
      <c r="Y13" s="260"/>
      <c r="Z13" s="260"/>
      <c r="AA13" s="260"/>
      <c r="AB13" s="260"/>
      <c r="AC13" s="260"/>
      <c r="AD13" s="260"/>
      <c r="AE13" s="260"/>
      <c r="AF13" s="260"/>
      <c r="AG13" s="260"/>
      <c r="AH13" s="260"/>
      <c r="AI13" s="260"/>
      <c r="AJ13" s="260"/>
      <c r="AK13" s="260"/>
      <c r="AL13" s="260"/>
      <c r="AM13" s="260"/>
      <c r="AN13" s="260"/>
      <c r="AO13" s="260"/>
      <c r="AP13" s="260"/>
      <c r="AQ13" s="260"/>
      <c r="AR13" s="260"/>
      <c r="AS13" s="260"/>
      <c r="AT13" s="260"/>
      <c r="AU13" s="260"/>
      <c r="AV13" s="260"/>
      <c r="AW13" s="260"/>
      <c r="AX13" s="260"/>
      <c r="AY13" s="260"/>
      <c r="AZ13" s="260"/>
      <c r="BA13" s="260"/>
      <c r="BB13" s="260"/>
      <c r="BC13" s="260"/>
      <c r="BD13" s="260"/>
      <c r="BE13" s="260"/>
      <c r="BF13" s="260"/>
      <c r="BG13" s="260"/>
      <c r="BH13" s="260"/>
      <c r="BI13" s="260"/>
      <c r="BJ13" s="260"/>
      <c r="BK13" s="260"/>
      <c r="BL13" s="260"/>
      <c r="BM13" s="260"/>
      <c r="BN13" s="260"/>
      <c r="BO13" s="260"/>
      <c r="BP13" s="260"/>
      <c r="BQ13" s="260"/>
      <c r="BR13" s="260"/>
      <c r="BS13" s="260"/>
      <c r="BT13" s="260"/>
      <c r="BU13" s="260"/>
      <c r="BV13" s="260"/>
      <c r="BW13" s="260"/>
      <c r="BX13" s="260"/>
      <c r="BY13" s="260"/>
      <c r="BZ13" s="260"/>
      <c r="CA13" s="260"/>
      <c r="CB13" s="260"/>
      <c r="CC13" s="260"/>
      <c r="CD13" s="260"/>
      <c r="CE13" s="260"/>
      <c r="CF13" s="260"/>
      <c r="CG13" s="260"/>
      <c r="CH13" s="260"/>
      <c r="CI13" s="260"/>
      <c r="CJ13" s="260"/>
      <c r="CK13" s="260"/>
      <c r="CL13" s="260"/>
      <c r="CM13" s="306"/>
      <c r="CN13" s="306"/>
      <c r="CO13" s="306"/>
      <c r="CP13" s="306"/>
      <c r="CQ13" s="306"/>
      <c r="CR13" s="306"/>
      <c r="CS13" s="306"/>
      <c r="CT13" s="306"/>
      <c r="CU13" s="306"/>
      <c r="CV13" s="306"/>
      <c r="CW13" s="306"/>
      <c r="CX13" s="260"/>
      <c r="CY13" s="260"/>
      <c r="CZ13" s="260"/>
      <c r="DA13" s="260"/>
      <c r="DB13" s="260"/>
      <c r="DC13" s="260"/>
      <c r="DD13" s="260"/>
      <c r="DE13" s="260"/>
      <c r="DF13" s="49"/>
      <c r="DG13" s="49"/>
      <c r="DH13" s="49"/>
      <c r="DI13" s="260"/>
      <c r="DJ13" s="260"/>
      <c r="DK13" s="260"/>
      <c r="DL13" s="260"/>
      <c r="DM13" s="260"/>
      <c r="DN13" s="260"/>
      <c r="DO13" s="260"/>
      <c r="DP13" s="260"/>
      <c r="DQ13" s="49"/>
      <c r="DR13" s="49"/>
      <c r="DS13" s="49"/>
      <c r="DT13" s="306"/>
      <c r="DU13" s="306"/>
      <c r="DV13" s="306"/>
      <c r="DW13" s="306"/>
      <c r="DX13" s="306"/>
      <c r="DY13" s="306"/>
      <c r="DZ13" s="306"/>
      <c r="EA13" s="306"/>
      <c r="EB13" s="306"/>
      <c r="EC13" s="306"/>
      <c r="ED13" s="306"/>
      <c r="EE13" s="260"/>
      <c r="EF13" s="260"/>
      <c r="EG13" s="260"/>
      <c r="EH13" s="260"/>
      <c r="EI13" s="260"/>
      <c r="EJ13" s="260"/>
      <c r="EK13" s="260"/>
      <c r="EL13" s="260"/>
      <c r="EM13" s="49"/>
      <c r="EN13" s="49"/>
      <c r="EO13" s="49"/>
      <c r="EP13" s="260"/>
      <c r="EQ13" s="260"/>
      <c r="ER13" s="260"/>
      <c r="ES13" s="260"/>
      <c r="ET13" s="260"/>
      <c r="EU13" s="260"/>
      <c r="EV13" s="260"/>
      <c r="EW13" s="260"/>
      <c r="EX13" s="49"/>
      <c r="EY13" s="49"/>
      <c r="EZ13" s="49"/>
    </row>
    <row r="14" spans="1:156" ht="15" customHeight="1">
      <c r="A14" s="17"/>
      <c r="B14" s="51" t="s">
        <v>73</v>
      </c>
      <c r="C14" s="260"/>
      <c r="D14" s="260"/>
      <c r="E14" s="260"/>
      <c r="F14" s="260"/>
      <c r="G14" s="260"/>
      <c r="H14" s="260"/>
      <c r="I14" s="260"/>
      <c r="J14" s="260"/>
      <c r="K14" s="51"/>
      <c r="L14" s="51"/>
      <c r="M14" s="51"/>
      <c r="N14" s="260"/>
      <c r="O14" s="260"/>
      <c r="P14" s="260"/>
      <c r="Q14" s="260"/>
      <c r="R14" s="260"/>
      <c r="S14" s="260"/>
      <c r="T14" s="260"/>
      <c r="U14" s="260"/>
      <c r="V14" s="260"/>
      <c r="W14" s="260"/>
      <c r="X14" s="260"/>
      <c r="Y14" s="260"/>
      <c r="Z14" s="260"/>
      <c r="AA14" s="260"/>
      <c r="AB14" s="260"/>
      <c r="AC14" s="260"/>
      <c r="AD14" s="260"/>
      <c r="AE14" s="260"/>
      <c r="AF14" s="260"/>
      <c r="AG14" s="260"/>
      <c r="AH14" s="260"/>
      <c r="AI14" s="260"/>
      <c r="AJ14" s="260"/>
      <c r="AK14" s="260"/>
      <c r="AL14" s="260"/>
      <c r="AM14" s="260"/>
      <c r="AN14" s="260"/>
      <c r="AO14" s="260"/>
      <c r="AP14" s="260"/>
      <c r="AQ14" s="260"/>
      <c r="AR14" s="260"/>
      <c r="AS14" s="260"/>
      <c r="AT14" s="260"/>
      <c r="AU14" s="260"/>
      <c r="AV14" s="260"/>
      <c r="AW14" s="260"/>
      <c r="AX14" s="260"/>
      <c r="AY14" s="260"/>
      <c r="AZ14" s="260"/>
      <c r="BA14" s="260"/>
      <c r="BB14" s="260"/>
      <c r="BC14" s="260"/>
      <c r="BD14" s="260"/>
      <c r="BE14" s="260"/>
      <c r="BF14" s="260"/>
      <c r="BG14" s="260"/>
      <c r="BH14" s="260"/>
      <c r="BI14" s="260"/>
      <c r="BJ14" s="260"/>
      <c r="BK14" s="260"/>
      <c r="BL14" s="260"/>
      <c r="BM14" s="260"/>
      <c r="BN14" s="260"/>
      <c r="BO14" s="260"/>
      <c r="BP14" s="260"/>
      <c r="BQ14" s="260"/>
      <c r="BR14" s="260"/>
      <c r="BS14" s="260"/>
      <c r="BT14" s="260"/>
      <c r="BU14" s="260"/>
      <c r="BV14" s="260"/>
      <c r="BW14" s="260"/>
      <c r="BX14" s="260"/>
      <c r="BY14" s="260"/>
      <c r="BZ14" s="260"/>
      <c r="CA14" s="260"/>
      <c r="CB14" s="260"/>
      <c r="CC14" s="260"/>
      <c r="CD14" s="260"/>
      <c r="CE14" s="260"/>
      <c r="CF14" s="260"/>
      <c r="CG14" s="260"/>
      <c r="CH14" s="260"/>
      <c r="CI14" s="260"/>
      <c r="CJ14" s="260"/>
      <c r="CK14" s="260"/>
      <c r="CL14" s="260"/>
      <c r="CM14" s="306"/>
      <c r="CN14" s="306"/>
      <c r="CO14" s="306"/>
      <c r="CP14" s="306"/>
      <c r="CQ14" s="306"/>
      <c r="CR14" s="306"/>
      <c r="CS14" s="306"/>
      <c r="CT14" s="306"/>
      <c r="CU14" s="306"/>
      <c r="CV14" s="306"/>
      <c r="CW14" s="306"/>
      <c r="CX14" s="260"/>
      <c r="CY14" s="260"/>
      <c r="CZ14" s="260"/>
      <c r="DA14" s="260"/>
      <c r="DB14" s="260"/>
      <c r="DC14" s="260"/>
      <c r="DD14" s="260"/>
      <c r="DE14" s="260"/>
      <c r="DF14" s="49"/>
      <c r="DG14" s="49"/>
      <c r="DH14" s="49"/>
      <c r="DI14" s="260"/>
      <c r="DJ14" s="260"/>
      <c r="DK14" s="260"/>
      <c r="DL14" s="260"/>
      <c r="DM14" s="260"/>
      <c r="DN14" s="260"/>
      <c r="DO14" s="260"/>
      <c r="DP14" s="260"/>
      <c r="DQ14" s="49"/>
      <c r="DR14" s="49"/>
      <c r="DS14" s="49"/>
      <c r="DT14" s="306"/>
      <c r="DU14" s="306"/>
      <c r="DV14" s="306"/>
      <c r="DW14" s="306"/>
      <c r="DX14" s="306"/>
      <c r="DY14" s="306"/>
      <c r="DZ14" s="306"/>
      <c r="EA14" s="306"/>
      <c r="EB14" s="306"/>
      <c r="EC14" s="306"/>
      <c r="ED14" s="306"/>
      <c r="EE14" s="260"/>
      <c r="EF14" s="260"/>
      <c r="EG14" s="260"/>
      <c r="EH14" s="260"/>
      <c r="EI14" s="260"/>
      <c r="EJ14" s="260"/>
      <c r="EK14" s="260"/>
      <c r="EL14" s="260"/>
      <c r="EM14" s="49"/>
      <c r="EN14" s="49"/>
      <c r="EO14" s="49"/>
      <c r="EP14" s="260"/>
      <c r="EQ14" s="260"/>
      <c r="ER14" s="260"/>
      <c r="ES14" s="260"/>
      <c r="ET14" s="260"/>
      <c r="EU14" s="260"/>
      <c r="EV14" s="260"/>
      <c r="EW14" s="260"/>
      <c r="EX14" s="49"/>
      <c r="EY14" s="49"/>
      <c r="EZ14" s="49"/>
    </row>
    <row r="15" spans="1:156" ht="15" customHeight="1">
      <c r="A15" s="17"/>
      <c r="B15" s="51" t="s">
        <v>74</v>
      </c>
      <c r="C15" s="260"/>
      <c r="D15" s="260"/>
      <c r="E15" s="260"/>
      <c r="F15" s="260"/>
      <c r="G15" s="260"/>
      <c r="H15" s="260"/>
      <c r="I15" s="260"/>
      <c r="J15" s="260"/>
      <c r="K15" s="51"/>
      <c r="L15" s="51"/>
      <c r="M15" s="51"/>
      <c r="N15" s="260"/>
      <c r="O15" s="260"/>
      <c r="P15" s="260"/>
      <c r="Q15" s="260"/>
      <c r="R15" s="260"/>
      <c r="S15" s="260"/>
      <c r="T15" s="260"/>
      <c r="U15" s="260"/>
      <c r="V15" s="260"/>
      <c r="W15" s="260"/>
      <c r="X15" s="260"/>
      <c r="Y15" s="260"/>
      <c r="Z15" s="260"/>
      <c r="AA15" s="260"/>
      <c r="AB15" s="260"/>
      <c r="AC15" s="260"/>
      <c r="AD15" s="260"/>
      <c r="AE15" s="260"/>
      <c r="AF15" s="260"/>
      <c r="AG15" s="260"/>
      <c r="AH15" s="260"/>
      <c r="AI15" s="260"/>
      <c r="AJ15" s="260"/>
      <c r="AK15" s="260"/>
      <c r="AL15" s="260"/>
      <c r="AM15" s="260"/>
      <c r="AN15" s="260"/>
      <c r="AO15" s="260"/>
      <c r="AP15" s="260"/>
      <c r="AQ15" s="260"/>
      <c r="AR15" s="260"/>
      <c r="AS15" s="260"/>
      <c r="AT15" s="260"/>
      <c r="AU15" s="260"/>
      <c r="AV15" s="260"/>
      <c r="AW15" s="260"/>
      <c r="AX15" s="260"/>
      <c r="AY15" s="260"/>
      <c r="AZ15" s="260"/>
      <c r="BA15" s="260"/>
      <c r="BB15" s="260"/>
      <c r="BC15" s="260"/>
      <c r="BD15" s="260"/>
      <c r="BE15" s="260"/>
      <c r="BF15" s="260"/>
      <c r="BG15" s="260"/>
      <c r="BH15" s="260"/>
      <c r="BI15" s="260"/>
      <c r="BJ15" s="260"/>
      <c r="BK15" s="260"/>
      <c r="BL15" s="260"/>
      <c r="BM15" s="260"/>
      <c r="BN15" s="260"/>
      <c r="BO15" s="260"/>
      <c r="BP15" s="260"/>
      <c r="BQ15" s="260"/>
      <c r="BR15" s="260"/>
      <c r="BS15" s="260"/>
      <c r="BT15" s="260"/>
      <c r="BU15" s="260"/>
      <c r="BV15" s="260"/>
      <c r="BW15" s="260"/>
      <c r="BX15" s="260"/>
      <c r="BY15" s="260"/>
      <c r="BZ15" s="260"/>
      <c r="CA15" s="260"/>
      <c r="CB15" s="260"/>
      <c r="CC15" s="260"/>
      <c r="CD15" s="260"/>
      <c r="CE15" s="260"/>
      <c r="CF15" s="260"/>
      <c r="CG15" s="260"/>
      <c r="CH15" s="260"/>
      <c r="CI15" s="260"/>
      <c r="CJ15" s="260"/>
      <c r="CK15" s="260"/>
      <c r="CL15" s="260"/>
      <c r="CM15" s="306"/>
      <c r="CN15" s="306"/>
      <c r="CO15" s="306"/>
      <c r="CP15" s="306"/>
      <c r="CQ15" s="306"/>
      <c r="CR15" s="306"/>
      <c r="CS15" s="306"/>
      <c r="CT15" s="306"/>
      <c r="CU15" s="306"/>
      <c r="CV15" s="306"/>
      <c r="CW15" s="306"/>
      <c r="CX15" s="260"/>
      <c r="CY15" s="260"/>
      <c r="CZ15" s="260"/>
      <c r="DA15" s="260"/>
      <c r="DB15" s="260"/>
      <c r="DC15" s="260"/>
      <c r="DD15" s="260"/>
      <c r="DE15" s="260"/>
      <c r="DF15" s="49"/>
      <c r="DG15" s="49"/>
      <c r="DH15" s="49"/>
      <c r="DI15" s="260"/>
      <c r="DJ15" s="260"/>
      <c r="DK15" s="260"/>
      <c r="DL15" s="260"/>
      <c r="DM15" s="260"/>
      <c r="DN15" s="260"/>
      <c r="DO15" s="260"/>
      <c r="DP15" s="260"/>
      <c r="DQ15" s="49"/>
      <c r="DR15" s="49"/>
      <c r="DS15" s="49"/>
      <c r="DT15" s="306"/>
      <c r="DU15" s="306"/>
      <c r="DV15" s="306"/>
      <c r="DW15" s="306"/>
      <c r="DX15" s="306"/>
      <c r="DY15" s="306"/>
      <c r="DZ15" s="306"/>
      <c r="EA15" s="306"/>
      <c r="EB15" s="306"/>
      <c r="EC15" s="306"/>
      <c r="ED15" s="306"/>
      <c r="EE15" s="260"/>
      <c r="EF15" s="260"/>
      <c r="EG15" s="260"/>
      <c r="EH15" s="260"/>
      <c r="EI15" s="260"/>
      <c r="EJ15" s="260"/>
      <c r="EK15" s="260"/>
      <c r="EL15" s="260"/>
      <c r="EM15" s="49"/>
      <c r="EN15" s="49"/>
      <c r="EO15" s="49"/>
      <c r="EP15" s="260"/>
      <c r="EQ15" s="260"/>
      <c r="ER15" s="260"/>
      <c r="ES15" s="260"/>
      <c r="ET15" s="260"/>
      <c r="EU15" s="260"/>
      <c r="EV15" s="260"/>
      <c r="EW15" s="260"/>
      <c r="EX15" s="49"/>
      <c r="EY15" s="49"/>
      <c r="EZ15" s="49"/>
    </row>
    <row r="16" spans="1:156" ht="15" customHeight="1">
      <c r="A16" s="17" t="s">
        <v>23</v>
      </c>
      <c r="B16" s="16" t="s">
        <v>75</v>
      </c>
      <c r="C16" s="260"/>
      <c r="D16" s="260"/>
      <c r="E16" s="260"/>
      <c r="F16" s="260"/>
      <c r="G16" s="260"/>
      <c r="H16" s="260"/>
      <c r="I16" s="260"/>
      <c r="J16" s="260"/>
      <c r="K16" s="16"/>
      <c r="L16" s="16"/>
      <c r="M16" s="16"/>
      <c r="N16" s="260"/>
      <c r="O16" s="260"/>
      <c r="P16" s="260"/>
      <c r="Q16" s="260"/>
      <c r="R16" s="260"/>
      <c r="S16" s="260"/>
      <c r="T16" s="260"/>
      <c r="U16" s="260"/>
      <c r="V16" s="260"/>
      <c r="W16" s="260"/>
      <c r="X16" s="260"/>
      <c r="Y16" s="260"/>
      <c r="Z16" s="260"/>
      <c r="AA16" s="260"/>
      <c r="AB16" s="260"/>
      <c r="AC16" s="260"/>
      <c r="AD16" s="260"/>
      <c r="AE16" s="260"/>
      <c r="AF16" s="260"/>
      <c r="AG16" s="260"/>
      <c r="AH16" s="260"/>
      <c r="AI16" s="260"/>
      <c r="AJ16" s="260"/>
      <c r="AK16" s="260"/>
      <c r="AL16" s="260"/>
      <c r="AM16" s="260"/>
      <c r="AN16" s="260"/>
      <c r="AO16" s="260"/>
      <c r="AP16" s="260"/>
      <c r="AQ16" s="260"/>
      <c r="AR16" s="260"/>
      <c r="AS16" s="260"/>
      <c r="AT16" s="260"/>
      <c r="AU16" s="260"/>
      <c r="AV16" s="260"/>
      <c r="AW16" s="260"/>
      <c r="AX16" s="260"/>
      <c r="AY16" s="260"/>
      <c r="AZ16" s="260"/>
      <c r="BA16" s="260"/>
      <c r="BB16" s="260"/>
      <c r="BC16" s="260"/>
      <c r="BD16" s="260"/>
      <c r="BE16" s="260"/>
      <c r="BF16" s="260"/>
      <c r="BG16" s="260"/>
      <c r="BH16" s="260"/>
      <c r="BI16" s="260"/>
      <c r="BJ16" s="260"/>
      <c r="BK16" s="260"/>
      <c r="BL16" s="260"/>
      <c r="BM16" s="260"/>
      <c r="BN16" s="260"/>
      <c r="BO16" s="260"/>
      <c r="BP16" s="260"/>
      <c r="BQ16" s="260"/>
      <c r="BR16" s="260"/>
      <c r="BS16" s="260"/>
      <c r="BT16" s="260"/>
      <c r="BU16" s="260"/>
      <c r="BV16" s="260"/>
      <c r="BW16" s="260"/>
      <c r="BX16" s="260"/>
      <c r="BY16" s="260"/>
      <c r="BZ16" s="260"/>
      <c r="CA16" s="260"/>
      <c r="CB16" s="260"/>
      <c r="CC16" s="260"/>
      <c r="CD16" s="260"/>
      <c r="CE16" s="260"/>
      <c r="CF16" s="260"/>
      <c r="CG16" s="260"/>
      <c r="CH16" s="260"/>
      <c r="CI16" s="260"/>
      <c r="CJ16" s="260"/>
      <c r="CK16" s="260"/>
      <c r="CL16" s="260"/>
      <c r="CM16" s="306"/>
      <c r="CN16" s="306"/>
      <c r="CO16" s="306"/>
      <c r="CP16" s="306"/>
      <c r="CQ16" s="306"/>
      <c r="CR16" s="306"/>
      <c r="CS16" s="306"/>
      <c r="CT16" s="306"/>
      <c r="CU16" s="306"/>
      <c r="CV16" s="306"/>
      <c r="CW16" s="306"/>
      <c r="CX16" s="260"/>
      <c r="CY16" s="260"/>
      <c r="CZ16" s="260"/>
      <c r="DA16" s="260"/>
      <c r="DB16" s="260"/>
      <c r="DC16" s="260"/>
      <c r="DD16" s="260"/>
      <c r="DE16" s="260"/>
      <c r="DF16" s="49"/>
      <c r="DG16" s="49"/>
      <c r="DH16" s="49"/>
      <c r="DI16" s="260"/>
      <c r="DJ16" s="260"/>
      <c r="DK16" s="260"/>
      <c r="DL16" s="260"/>
      <c r="DM16" s="260"/>
      <c r="DN16" s="260"/>
      <c r="DO16" s="260"/>
      <c r="DP16" s="260"/>
      <c r="DQ16" s="49"/>
      <c r="DR16" s="49"/>
      <c r="DS16" s="49"/>
      <c r="DT16" s="306"/>
      <c r="DU16" s="306"/>
      <c r="DV16" s="306"/>
      <c r="DW16" s="306"/>
      <c r="DX16" s="306"/>
      <c r="DY16" s="306"/>
      <c r="DZ16" s="306"/>
      <c r="EA16" s="306"/>
      <c r="EB16" s="306"/>
      <c r="EC16" s="306"/>
      <c r="ED16" s="306"/>
      <c r="EE16" s="260"/>
      <c r="EF16" s="260"/>
      <c r="EG16" s="260"/>
      <c r="EH16" s="260"/>
      <c r="EI16" s="260"/>
      <c r="EJ16" s="260"/>
      <c r="EK16" s="260"/>
      <c r="EL16" s="260"/>
      <c r="EM16" s="49"/>
      <c r="EN16" s="49"/>
      <c r="EO16" s="49"/>
      <c r="EP16" s="260"/>
      <c r="EQ16" s="260"/>
      <c r="ER16" s="260"/>
      <c r="ES16" s="260"/>
      <c r="ET16" s="260"/>
      <c r="EU16" s="260"/>
      <c r="EV16" s="260"/>
      <c r="EW16" s="260"/>
      <c r="EX16" s="49"/>
      <c r="EY16" s="49"/>
      <c r="EZ16" s="49"/>
    </row>
    <row r="17" spans="1:156" ht="15" customHeight="1">
      <c r="A17" s="17"/>
      <c r="B17" s="16" t="s">
        <v>70</v>
      </c>
      <c r="C17" s="260"/>
      <c r="D17" s="260"/>
      <c r="E17" s="260"/>
      <c r="F17" s="260"/>
      <c r="G17" s="260"/>
      <c r="H17" s="260"/>
      <c r="I17" s="260"/>
      <c r="J17" s="260"/>
      <c r="K17" s="16"/>
      <c r="L17" s="16"/>
      <c r="M17" s="16"/>
      <c r="N17" s="260"/>
      <c r="O17" s="260"/>
      <c r="P17" s="260"/>
      <c r="Q17" s="260"/>
      <c r="R17" s="260"/>
      <c r="S17" s="260"/>
      <c r="T17" s="260"/>
      <c r="U17" s="260"/>
      <c r="V17" s="260"/>
      <c r="W17" s="260"/>
      <c r="X17" s="260"/>
      <c r="Y17" s="260"/>
      <c r="Z17" s="260"/>
      <c r="AA17" s="260"/>
      <c r="AB17" s="260"/>
      <c r="AC17" s="260"/>
      <c r="AD17" s="260"/>
      <c r="AE17" s="260"/>
      <c r="AF17" s="260"/>
      <c r="AG17" s="260"/>
      <c r="AH17" s="260"/>
      <c r="AI17" s="260"/>
      <c r="AJ17" s="260"/>
      <c r="AK17" s="260"/>
      <c r="AL17" s="260"/>
      <c r="AM17" s="260"/>
      <c r="AN17" s="260"/>
      <c r="AO17" s="260"/>
      <c r="AP17" s="260"/>
      <c r="AQ17" s="260"/>
      <c r="AR17" s="260"/>
      <c r="AS17" s="260"/>
      <c r="AT17" s="260"/>
      <c r="AU17" s="260"/>
      <c r="AV17" s="260"/>
      <c r="AW17" s="260"/>
      <c r="AX17" s="260"/>
      <c r="AY17" s="260"/>
      <c r="AZ17" s="260"/>
      <c r="BA17" s="260"/>
      <c r="BB17" s="260"/>
      <c r="BC17" s="260"/>
      <c r="BD17" s="260"/>
      <c r="BE17" s="260"/>
      <c r="BF17" s="260"/>
      <c r="BG17" s="260"/>
      <c r="BH17" s="260"/>
      <c r="BI17" s="260"/>
      <c r="BJ17" s="260"/>
      <c r="BK17" s="260"/>
      <c r="BL17" s="260"/>
      <c r="BM17" s="260"/>
      <c r="BN17" s="260"/>
      <c r="BO17" s="260"/>
      <c r="BP17" s="260"/>
      <c r="BQ17" s="260"/>
      <c r="BR17" s="260"/>
      <c r="BS17" s="260"/>
      <c r="BT17" s="260"/>
      <c r="BU17" s="260"/>
      <c r="BV17" s="260"/>
      <c r="BW17" s="260"/>
      <c r="BX17" s="260"/>
      <c r="BY17" s="260"/>
      <c r="BZ17" s="260"/>
      <c r="CA17" s="260"/>
      <c r="CB17" s="260"/>
      <c r="CC17" s="260"/>
      <c r="CD17" s="260"/>
      <c r="CE17" s="260"/>
      <c r="CF17" s="260"/>
      <c r="CG17" s="260"/>
      <c r="CH17" s="260"/>
      <c r="CI17" s="260"/>
      <c r="CJ17" s="260"/>
      <c r="CK17" s="260"/>
      <c r="CL17" s="260"/>
      <c r="CM17" s="306"/>
      <c r="CN17" s="306"/>
      <c r="CO17" s="306"/>
      <c r="CP17" s="306"/>
      <c r="CQ17" s="306"/>
      <c r="CR17" s="306"/>
      <c r="CS17" s="306"/>
      <c r="CT17" s="306"/>
      <c r="CU17" s="306"/>
      <c r="CV17" s="306"/>
      <c r="CW17" s="306"/>
      <c r="CX17" s="260"/>
      <c r="CY17" s="260"/>
      <c r="CZ17" s="260"/>
      <c r="DA17" s="260"/>
      <c r="DB17" s="260"/>
      <c r="DC17" s="260"/>
      <c r="DD17" s="260"/>
      <c r="DE17" s="260"/>
      <c r="DF17" s="49"/>
      <c r="DG17" s="49"/>
      <c r="DH17" s="49"/>
      <c r="DI17" s="260"/>
      <c r="DJ17" s="260"/>
      <c r="DK17" s="260"/>
      <c r="DL17" s="260"/>
      <c r="DM17" s="260"/>
      <c r="DN17" s="260"/>
      <c r="DO17" s="260"/>
      <c r="DP17" s="260"/>
      <c r="DQ17" s="49"/>
      <c r="DR17" s="49"/>
      <c r="DS17" s="49"/>
      <c r="DT17" s="306"/>
      <c r="DU17" s="306"/>
      <c r="DV17" s="306"/>
      <c r="DW17" s="306"/>
      <c r="DX17" s="306"/>
      <c r="DY17" s="306"/>
      <c r="DZ17" s="306"/>
      <c r="EA17" s="306"/>
      <c r="EB17" s="306"/>
      <c r="EC17" s="306"/>
      <c r="ED17" s="306"/>
      <c r="EE17" s="260"/>
      <c r="EF17" s="260"/>
      <c r="EG17" s="260"/>
      <c r="EH17" s="260"/>
      <c r="EI17" s="260"/>
      <c r="EJ17" s="260"/>
      <c r="EK17" s="260"/>
      <c r="EL17" s="260"/>
      <c r="EM17" s="49"/>
      <c r="EN17" s="49"/>
      <c r="EO17" s="49"/>
      <c r="EP17" s="260"/>
      <c r="EQ17" s="260"/>
      <c r="ER17" s="260"/>
      <c r="ES17" s="260"/>
      <c r="ET17" s="260"/>
      <c r="EU17" s="260"/>
      <c r="EV17" s="260"/>
      <c r="EW17" s="260"/>
      <c r="EX17" s="49"/>
      <c r="EY17" s="49"/>
      <c r="EZ17" s="49"/>
    </row>
    <row r="18" spans="1:156" ht="15">
      <c r="A18" s="17"/>
      <c r="B18" s="16" t="s">
        <v>26</v>
      </c>
      <c r="C18" s="260"/>
      <c r="D18" s="260"/>
      <c r="E18" s="260"/>
      <c r="F18" s="260"/>
      <c r="G18" s="260"/>
      <c r="H18" s="260"/>
      <c r="I18" s="260"/>
      <c r="J18" s="260"/>
      <c r="K18" s="16"/>
      <c r="L18" s="16"/>
      <c r="M18" s="16"/>
      <c r="N18" s="260"/>
      <c r="O18" s="260"/>
      <c r="P18" s="260"/>
      <c r="Q18" s="260"/>
      <c r="R18" s="260"/>
      <c r="S18" s="260"/>
      <c r="T18" s="260"/>
      <c r="U18" s="260"/>
      <c r="V18" s="260"/>
      <c r="W18" s="260"/>
      <c r="X18" s="260"/>
      <c r="Y18" s="260"/>
      <c r="Z18" s="260"/>
      <c r="AA18" s="260"/>
      <c r="AB18" s="260"/>
      <c r="AC18" s="260"/>
      <c r="AD18" s="260"/>
      <c r="AE18" s="260"/>
      <c r="AF18" s="260"/>
      <c r="AG18" s="260"/>
      <c r="AH18" s="260"/>
      <c r="AI18" s="260"/>
      <c r="AJ18" s="260"/>
      <c r="AK18" s="260"/>
      <c r="AL18" s="260"/>
      <c r="AM18" s="260"/>
      <c r="AN18" s="260"/>
      <c r="AO18" s="260"/>
      <c r="AP18" s="260"/>
      <c r="AQ18" s="260"/>
      <c r="AR18" s="260"/>
      <c r="AS18" s="260"/>
      <c r="AT18" s="260"/>
      <c r="AU18" s="260"/>
      <c r="AV18" s="260"/>
      <c r="AW18" s="260"/>
      <c r="AX18" s="260"/>
      <c r="AY18" s="260"/>
      <c r="AZ18" s="260"/>
      <c r="BA18" s="260"/>
      <c r="BB18" s="260"/>
      <c r="BC18" s="260"/>
      <c r="BD18" s="260"/>
      <c r="BE18" s="260"/>
      <c r="BF18" s="260"/>
      <c r="BG18" s="260"/>
      <c r="BH18" s="260"/>
      <c r="BI18" s="260"/>
      <c r="BJ18" s="260"/>
      <c r="BK18" s="260"/>
      <c r="BL18" s="260"/>
      <c r="BM18" s="260"/>
      <c r="BN18" s="260"/>
      <c r="BO18" s="260"/>
      <c r="BP18" s="260"/>
      <c r="BQ18" s="260"/>
      <c r="BR18" s="260"/>
      <c r="BS18" s="260"/>
      <c r="BT18" s="260"/>
      <c r="BU18" s="260"/>
      <c r="BV18" s="260"/>
      <c r="BW18" s="260"/>
      <c r="BX18" s="260"/>
      <c r="BY18" s="260"/>
      <c r="BZ18" s="260"/>
      <c r="CA18" s="260"/>
      <c r="CB18" s="260"/>
      <c r="CC18" s="260"/>
      <c r="CD18" s="260"/>
      <c r="CE18" s="260"/>
      <c r="CF18" s="260"/>
      <c r="CG18" s="260"/>
      <c r="CH18" s="260"/>
      <c r="CI18" s="260"/>
      <c r="CJ18" s="260"/>
      <c r="CK18" s="260"/>
      <c r="CL18" s="260"/>
      <c r="CM18" s="306"/>
      <c r="CN18" s="306"/>
      <c r="CO18" s="306"/>
      <c r="CP18" s="306"/>
      <c r="CQ18" s="306"/>
      <c r="CR18" s="306"/>
      <c r="CS18" s="306"/>
      <c r="CT18" s="306"/>
      <c r="CU18" s="306"/>
      <c r="CV18" s="306"/>
      <c r="CW18" s="306"/>
      <c r="CX18" s="260"/>
      <c r="CY18" s="260"/>
      <c r="CZ18" s="260"/>
      <c r="DA18" s="260"/>
      <c r="DB18" s="260"/>
      <c r="DC18" s="260"/>
      <c r="DD18" s="260"/>
      <c r="DE18" s="260"/>
      <c r="DF18" s="49"/>
      <c r="DG18" s="49"/>
      <c r="DH18" s="49"/>
      <c r="DI18" s="260"/>
      <c r="DJ18" s="260"/>
      <c r="DK18" s="260"/>
      <c r="DL18" s="260"/>
      <c r="DM18" s="260"/>
      <c r="DN18" s="260"/>
      <c r="DO18" s="260"/>
      <c r="DP18" s="260"/>
      <c r="DQ18" s="49"/>
      <c r="DR18" s="49"/>
      <c r="DS18" s="49"/>
      <c r="DT18" s="306"/>
      <c r="DU18" s="306"/>
      <c r="DV18" s="306"/>
      <c r="DW18" s="306"/>
      <c r="DX18" s="306"/>
      <c r="DY18" s="306"/>
      <c r="DZ18" s="306"/>
      <c r="EA18" s="306"/>
      <c r="EB18" s="306"/>
      <c r="EC18" s="306"/>
      <c r="ED18" s="306"/>
      <c r="EE18" s="260"/>
      <c r="EF18" s="260"/>
      <c r="EG18" s="260"/>
      <c r="EH18" s="260"/>
      <c r="EI18" s="260"/>
      <c r="EJ18" s="260"/>
      <c r="EK18" s="260"/>
      <c r="EL18" s="260"/>
      <c r="EM18" s="49"/>
      <c r="EN18" s="49"/>
      <c r="EO18" s="49"/>
      <c r="EP18" s="260"/>
      <c r="EQ18" s="260"/>
      <c r="ER18" s="260"/>
      <c r="ES18" s="260"/>
      <c r="ET18" s="260"/>
      <c r="EU18" s="260"/>
      <c r="EV18" s="260"/>
      <c r="EW18" s="260"/>
      <c r="EX18" s="49"/>
      <c r="EY18" s="49"/>
      <c r="EZ18" s="49"/>
    </row>
    <row r="19" spans="1:156" s="106" customFormat="1" ht="30" customHeight="1">
      <c r="A19" s="110" t="s">
        <v>27</v>
      </c>
      <c r="B19" s="111" t="s">
        <v>76</v>
      </c>
      <c r="C19" s="286">
        <f t="shared" ref="C19" si="0">D19+H19</f>
        <v>46.500999999999998</v>
      </c>
      <c r="D19" s="286">
        <v>46.500999999999998</v>
      </c>
      <c r="E19" s="286"/>
      <c r="F19" s="286"/>
      <c r="G19" s="286"/>
      <c r="H19" s="286">
        <f t="shared" ref="H19" si="1">J19</f>
        <v>0</v>
      </c>
      <c r="I19" s="286"/>
      <c r="J19" s="286"/>
      <c r="K19" s="111"/>
      <c r="L19" s="111"/>
      <c r="M19" s="111"/>
      <c r="N19" s="286">
        <f t="shared" ref="N19" si="2">O19+S19</f>
        <v>44.25</v>
      </c>
      <c r="O19" s="286">
        <f>8.338+6.63</f>
        <v>14.968</v>
      </c>
      <c r="P19" s="286"/>
      <c r="Q19" s="286"/>
      <c r="R19" s="286"/>
      <c r="S19" s="286">
        <f t="shared" ref="S19" si="3">U19</f>
        <v>29.282</v>
      </c>
      <c r="T19" s="286"/>
      <c r="U19" s="286">
        <v>29.282</v>
      </c>
      <c r="V19" s="286"/>
      <c r="W19" s="286"/>
      <c r="X19" s="286"/>
      <c r="Y19" s="286">
        <v>47.733000000000004</v>
      </c>
      <c r="Z19" s="286">
        <v>17.146000000000001</v>
      </c>
      <c r="AA19" s="286"/>
      <c r="AB19" s="286"/>
      <c r="AC19" s="286"/>
      <c r="AD19" s="286">
        <v>30.587</v>
      </c>
      <c r="AE19" s="286"/>
      <c r="AF19" s="286">
        <v>30.587</v>
      </c>
      <c r="AG19" s="286"/>
      <c r="AH19" s="286"/>
      <c r="AI19" s="286"/>
      <c r="AJ19" s="286">
        <v>43.930999999999997</v>
      </c>
      <c r="AK19" s="1394">
        <v>15.036000000000001</v>
      </c>
      <c r="AL19" s="287">
        <v>15.036</v>
      </c>
      <c r="AM19" s="287"/>
      <c r="AN19" s="287"/>
      <c r="AO19" s="286">
        <v>28.895</v>
      </c>
      <c r="AP19" s="286"/>
      <c r="AQ19" s="287">
        <v>28.895</v>
      </c>
      <c r="AR19" s="286"/>
      <c r="AS19" s="286"/>
      <c r="AT19" s="286"/>
      <c r="AU19" s="286">
        <v>44.250000000000398</v>
      </c>
      <c r="AV19" s="287">
        <v>13.7150000000004</v>
      </c>
      <c r="AW19" s="287"/>
      <c r="AX19" s="287"/>
      <c r="AY19" s="287"/>
      <c r="AZ19" s="286">
        <v>30.535</v>
      </c>
      <c r="BA19" s="286"/>
      <c r="BB19" s="287">
        <v>30.535</v>
      </c>
      <c r="BC19" s="286"/>
      <c r="BD19" s="286"/>
      <c r="BE19" s="286"/>
      <c r="BF19" s="286">
        <v>45.469000000000001</v>
      </c>
      <c r="BG19" s="1394">
        <v>15.101000000000001</v>
      </c>
      <c r="BH19" s="287">
        <v>15.101000000000001</v>
      </c>
      <c r="BI19" s="287"/>
      <c r="BJ19" s="287"/>
      <c r="BK19" s="286">
        <v>30.367999999999999</v>
      </c>
      <c r="BL19" s="286"/>
      <c r="BM19" s="1394">
        <v>30.367999999999999</v>
      </c>
      <c r="BN19" s="286"/>
      <c r="BO19" s="286"/>
      <c r="BP19" s="286"/>
      <c r="BQ19" s="286">
        <v>43.930999999999983</v>
      </c>
      <c r="BR19" s="1394">
        <v>14.591769804126118</v>
      </c>
      <c r="BS19" s="287">
        <v>14.591769804126118</v>
      </c>
      <c r="BT19" s="287"/>
      <c r="BU19" s="287"/>
      <c r="BV19" s="286">
        <v>29.339230195873867</v>
      </c>
      <c r="BW19" s="286"/>
      <c r="BX19" s="1394">
        <v>29.339230195873867</v>
      </c>
      <c r="BY19" s="286"/>
      <c r="BZ19" s="286"/>
      <c r="CA19" s="286"/>
      <c r="CB19" s="286">
        <v>43.930999999999997</v>
      </c>
      <c r="CC19" s="1394">
        <v>13.565000000000001</v>
      </c>
      <c r="CD19" s="287">
        <v>13.565000000000001</v>
      </c>
      <c r="CE19" s="287"/>
      <c r="CF19" s="287"/>
      <c r="CG19" s="286">
        <v>30.366</v>
      </c>
      <c r="CH19" s="286"/>
      <c r="CI19" s="1394">
        <v>30.366</v>
      </c>
      <c r="CJ19" s="286"/>
      <c r="CK19" s="286"/>
      <c r="CL19" s="286"/>
      <c r="CM19" s="304">
        <v>43.930999999999997</v>
      </c>
      <c r="CN19" s="304">
        <v>13.565</v>
      </c>
      <c r="CO19" s="304">
        <v>13.565</v>
      </c>
      <c r="CP19" s="304">
        <v>0</v>
      </c>
      <c r="CQ19" s="304">
        <v>0</v>
      </c>
      <c r="CR19" s="304">
        <v>30.366</v>
      </c>
      <c r="CS19" s="304"/>
      <c r="CT19" s="304">
        <v>30.366</v>
      </c>
      <c r="CU19" s="304"/>
      <c r="CV19" s="304"/>
      <c r="CW19" s="304"/>
      <c r="CX19" s="286">
        <v>25.125999999999998</v>
      </c>
      <c r="CY19" s="1398">
        <v>8.2309999999999999</v>
      </c>
      <c r="CZ19" s="287">
        <v>8.2309999999999999</v>
      </c>
      <c r="DA19" s="287"/>
      <c r="DB19" s="287"/>
      <c r="DC19" s="286">
        <v>16.895</v>
      </c>
      <c r="DD19" s="286"/>
      <c r="DE19" s="287">
        <v>16.895</v>
      </c>
      <c r="DF19" s="112"/>
      <c r="DG19" s="112"/>
      <c r="DH19" s="112"/>
      <c r="DI19" s="286">
        <v>18.805</v>
      </c>
      <c r="DJ19" s="1398">
        <v>5.3339999999999996</v>
      </c>
      <c r="DK19" s="287">
        <v>5.3339999999999996</v>
      </c>
      <c r="DL19" s="287"/>
      <c r="DM19" s="287"/>
      <c r="DN19" s="286">
        <v>13.471</v>
      </c>
      <c r="DO19" s="286"/>
      <c r="DP19" s="287">
        <v>13.471</v>
      </c>
      <c r="DQ19" s="112"/>
      <c r="DR19" s="112"/>
      <c r="DS19" s="112"/>
      <c r="DT19" s="304">
        <v>43.930999999999997</v>
      </c>
      <c r="DU19" s="304">
        <v>13.565</v>
      </c>
      <c r="DV19" s="304">
        <v>13.565</v>
      </c>
      <c r="DW19" s="304">
        <v>0</v>
      </c>
      <c r="DX19" s="304">
        <v>0</v>
      </c>
      <c r="DY19" s="304">
        <v>30.366</v>
      </c>
      <c r="DZ19" s="304"/>
      <c r="EA19" s="304">
        <v>30.366</v>
      </c>
      <c r="EB19" s="304"/>
      <c r="EC19" s="304"/>
      <c r="ED19" s="304"/>
      <c r="EE19" s="286">
        <v>25.125999999999998</v>
      </c>
      <c r="EF19" s="1398">
        <v>8.2309999999999999</v>
      </c>
      <c r="EG19" s="287">
        <v>8.2309999999999999</v>
      </c>
      <c r="EH19" s="287"/>
      <c r="EI19" s="287"/>
      <c r="EJ19" s="286">
        <v>16.895</v>
      </c>
      <c r="EK19" s="286"/>
      <c r="EL19" s="287">
        <v>16.895</v>
      </c>
      <c r="EM19" s="112"/>
      <c r="EN19" s="112"/>
      <c r="EO19" s="112"/>
      <c r="EP19" s="286">
        <v>18.805</v>
      </c>
      <c r="EQ19" s="1398">
        <v>5.3339999999999996</v>
      </c>
      <c r="ER19" s="287">
        <v>5.3339999999999996</v>
      </c>
      <c r="ES19" s="287"/>
      <c r="ET19" s="287"/>
      <c r="EU19" s="286">
        <v>13.471</v>
      </c>
      <c r="EV19" s="286"/>
      <c r="EW19" s="287">
        <v>13.471</v>
      </c>
      <c r="EX19" s="112"/>
      <c r="EY19" s="112"/>
      <c r="EZ19" s="112"/>
    </row>
    <row r="20" spans="1:156" s="106" customFormat="1" ht="42.75">
      <c r="A20" s="110" t="s">
        <v>30</v>
      </c>
      <c r="B20" s="111" t="s">
        <v>77</v>
      </c>
      <c r="C20" s="286">
        <f>C10+C16-C19</f>
        <v>1159.712</v>
      </c>
      <c r="D20" s="286">
        <f>D10+D16-D19</f>
        <v>1157.33</v>
      </c>
      <c r="E20" s="286"/>
      <c r="F20" s="286"/>
      <c r="G20" s="286"/>
      <c r="H20" s="286">
        <f>H10+H16-H19</f>
        <v>2.3820000000000001</v>
      </c>
      <c r="I20" s="286"/>
      <c r="J20" s="286">
        <f t="shared" ref="J20" si="4">J10+J16-J19</f>
        <v>2.3820000000000001</v>
      </c>
      <c r="K20" s="111"/>
      <c r="L20" s="111"/>
      <c r="M20" s="111"/>
      <c r="N20" s="286">
        <f>N10+N16-N19</f>
        <v>1140.328</v>
      </c>
      <c r="O20" s="286">
        <f>O10+O16-O19</f>
        <v>1137.6379999999999</v>
      </c>
      <c r="P20" s="286"/>
      <c r="Q20" s="286"/>
      <c r="R20" s="286"/>
      <c r="S20" s="286">
        <f>S10+S16-S19</f>
        <v>2.6900000000000013</v>
      </c>
      <c r="T20" s="286"/>
      <c r="U20" s="286">
        <f t="shared" ref="U20" si="5">U10+U16-U19</f>
        <v>2.6900000000000013</v>
      </c>
      <c r="V20" s="286"/>
      <c r="W20" s="286"/>
      <c r="X20" s="286"/>
      <c r="Y20" s="286">
        <v>1145.6870000000001</v>
      </c>
      <c r="Z20" s="286">
        <v>1143.3050000000001</v>
      </c>
      <c r="AA20" s="286"/>
      <c r="AB20" s="286"/>
      <c r="AC20" s="286"/>
      <c r="AD20" s="286">
        <v>2.3820000000000014</v>
      </c>
      <c r="AE20" s="286"/>
      <c r="AF20" s="286">
        <v>2.3820000000000014</v>
      </c>
      <c r="AG20" s="286"/>
      <c r="AH20" s="286"/>
      <c r="AI20" s="286"/>
      <c r="AJ20" s="286">
        <v>1115.827</v>
      </c>
      <c r="AK20" s="286">
        <v>1112.943</v>
      </c>
      <c r="AL20" s="286">
        <v>1112.943</v>
      </c>
      <c r="AM20" s="286">
        <v>1108.6289999999999</v>
      </c>
      <c r="AN20" s="286">
        <v>946.2059999999999</v>
      </c>
      <c r="AO20" s="286">
        <v>2.8840000000000003</v>
      </c>
      <c r="AP20" s="286"/>
      <c r="AQ20" s="286">
        <v>2.8840000000000003</v>
      </c>
      <c r="AR20" s="286"/>
      <c r="AS20" s="286"/>
      <c r="AT20" s="286"/>
      <c r="AU20" s="286">
        <v>1140.3279999999995</v>
      </c>
      <c r="AV20" s="286">
        <v>1137.9459999999997</v>
      </c>
      <c r="AW20" s="286"/>
      <c r="AX20" s="286"/>
      <c r="AY20" s="286"/>
      <c r="AZ20" s="286">
        <v>2.3820000000000014</v>
      </c>
      <c r="BA20" s="286"/>
      <c r="BB20" s="286">
        <v>2.3820000000000014</v>
      </c>
      <c r="BC20" s="286"/>
      <c r="BD20" s="286"/>
      <c r="BE20" s="286"/>
      <c r="BF20" s="286">
        <v>1091.739</v>
      </c>
      <c r="BG20" s="286">
        <v>1088.818</v>
      </c>
      <c r="BH20" s="286">
        <v>1088.818</v>
      </c>
      <c r="BI20" s="286">
        <v>1084.403</v>
      </c>
      <c r="BJ20" s="286">
        <v>914.5150000000001</v>
      </c>
      <c r="BK20" s="286">
        <v>2.9210000000000029</v>
      </c>
      <c r="BL20" s="286"/>
      <c r="BM20" s="286">
        <v>2.9210000000000029</v>
      </c>
      <c r="BN20" s="286"/>
      <c r="BO20" s="286"/>
      <c r="BP20" s="286"/>
      <c r="BQ20" s="286">
        <v>1091.269</v>
      </c>
      <c r="BR20" s="286">
        <v>1088.4724852938803</v>
      </c>
      <c r="BS20" s="286">
        <v>1088.4724852938805</v>
      </c>
      <c r="BT20" s="286">
        <v>1084.02075128146</v>
      </c>
      <c r="BU20" s="286">
        <v>924.83813488070825</v>
      </c>
      <c r="BV20" s="286">
        <v>2.7965147061196607</v>
      </c>
      <c r="BW20" s="286"/>
      <c r="BX20" s="286">
        <v>2.7965147061196607</v>
      </c>
      <c r="BY20" s="286"/>
      <c r="BZ20" s="286"/>
      <c r="CA20" s="286"/>
      <c r="CB20" s="286">
        <v>1091.269</v>
      </c>
      <c r="CC20" s="286">
        <v>1088.3689999999999</v>
      </c>
      <c r="CD20" s="286">
        <v>1088.3689999999999</v>
      </c>
      <c r="CE20" s="286">
        <v>1083.9689999999998</v>
      </c>
      <c r="CF20" s="286">
        <v>920.41199999999981</v>
      </c>
      <c r="CG20" s="286">
        <v>2.8999999999999986</v>
      </c>
      <c r="CH20" s="286"/>
      <c r="CI20" s="304">
        <v>2.9</v>
      </c>
      <c r="CJ20" s="286"/>
      <c r="CK20" s="286"/>
      <c r="CL20" s="286"/>
      <c r="CM20" s="304">
        <v>1091.269</v>
      </c>
      <c r="CN20" s="304">
        <v>1088.3689999999999</v>
      </c>
      <c r="CO20" s="286">
        <v>1088.3689999999999</v>
      </c>
      <c r="CP20" s="286">
        <v>1083.9689999999998</v>
      </c>
      <c r="CQ20" s="286">
        <v>920.41199999999981</v>
      </c>
      <c r="CR20" s="304">
        <v>2.9000000000000057</v>
      </c>
      <c r="CS20" s="304"/>
      <c r="CT20" s="304">
        <v>2.9000000000000057</v>
      </c>
      <c r="CU20" s="304"/>
      <c r="CV20" s="304"/>
      <c r="CW20" s="304"/>
      <c r="CX20" s="286">
        <v>666.77</v>
      </c>
      <c r="CY20" s="286">
        <v>665.32999999999993</v>
      </c>
      <c r="CZ20" s="286">
        <v>665.32999999999993</v>
      </c>
      <c r="DA20" s="286">
        <v>662.33999999999992</v>
      </c>
      <c r="DB20" s="286">
        <v>568.77499999999998</v>
      </c>
      <c r="DC20" s="286">
        <v>1.4400000000000013</v>
      </c>
      <c r="DD20" s="286"/>
      <c r="DE20" s="286">
        <v>1.4400000000000013</v>
      </c>
      <c r="DF20" s="112"/>
      <c r="DG20" s="112"/>
      <c r="DH20" s="112"/>
      <c r="DI20" s="286">
        <v>424.49899999999997</v>
      </c>
      <c r="DJ20" s="304">
        <v>423.03899999999999</v>
      </c>
      <c r="DK20" s="286">
        <v>423.03899999999999</v>
      </c>
      <c r="DL20" s="286">
        <v>421.62899999999996</v>
      </c>
      <c r="DM20" s="286">
        <v>351.63699999999994</v>
      </c>
      <c r="DN20" s="286">
        <v>1.4600000000000009</v>
      </c>
      <c r="DO20" s="286"/>
      <c r="DP20" s="304">
        <v>1.46</v>
      </c>
      <c r="DQ20" s="112"/>
      <c r="DR20" s="112"/>
      <c r="DS20" s="112"/>
      <c r="DT20" s="304">
        <v>1091.269</v>
      </c>
      <c r="DU20" s="304">
        <v>1088.3689999999999</v>
      </c>
      <c r="DV20" s="286">
        <v>1088.3689999999999</v>
      </c>
      <c r="DW20" s="286">
        <v>1083.9689999999998</v>
      </c>
      <c r="DX20" s="286">
        <v>920.41199999999981</v>
      </c>
      <c r="DY20" s="304">
        <v>2.9000000000000057</v>
      </c>
      <c r="DZ20" s="304"/>
      <c r="EA20" s="304">
        <v>2.9000000000000057</v>
      </c>
      <c r="EB20" s="304"/>
      <c r="EC20" s="304"/>
      <c r="ED20" s="304"/>
      <c r="EE20" s="286">
        <v>666.77</v>
      </c>
      <c r="EF20" s="286">
        <v>665.32999999999993</v>
      </c>
      <c r="EG20" s="286">
        <v>665.32999999999993</v>
      </c>
      <c r="EH20" s="286">
        <v>662.33999999999992</v>
      </c>
      <c r="EI20" s="286">
        <v>568.77499999999998</v>
      </c>
      <c r="EJ20" s="286">
        <v>1.4400000000000013</v>
      </c>
      <c r="EK20" s="286"/>
      <c r="EL20" s="286">
        <v>1.4400000000000013</v>
      </c>
      <c r="EM20" s="112"/>
      <c r="EN20" s="112"/>
      <c r="EO20" s="112"/>
      <c r="EP20" s="286">
        <v>424.49899999999997</v>
      </c>
      <c r="EQ20" s="304">
        <v>423.03899999999999</v>
      </c>
      <c r="ER20" s="286">
        <v>423.03899999999999</v>
      </c>
      <c r="ES20" s="286">
        <v>421.62899999999996</v>
      </c>
      <c r="ET20" s="286">
        <v>351.63699999999994</v>
      </c>
      <c r="EU20" s="286">
        <v>1.4600000000000009</v>
      </c>
      <c r="EV20" s="286"/>
      <c r="EW20" s="304">
        <v>1.46</v>
      </c>
      <c r="EX20" s="112"/>
      <c r="EY20" s="112"/>
      <c r="EZ20" s="112"/>
    </row>
    <row r="21" spans="1:156" s="106" customFormat="1" ht="30" customHeight="1">
      <c r="A21" s="110" t="s">
        <v>78</v>
      </c>
      <c r="B21" s="111" t="s">
        <v>79</v>
      </c>
      <c r="C21" s="286">
        <f>SUM(C23:C24)</f>
        <v>237.06200000000001</v>
      </c>
      <c r="D21" s="286">
        <f t="shared" ref="D21:H21" si="6">SUM(D23:D24)</f>
        <v>237.06200000000001</v>
      </c>
      <c r="E21" s="286"/>
      <c r="F21" s="286"/>
      <c r="G21" s="286"/>
      <c r="H21" s="286">
        <f t="shared" si="6"/>
        <v>0</v>
      </c>
      <c r="I21" s="286"/>
      <c r="J21" s="286">
        <f t="shared" ref="J21" si="7">SUM(J23:J24)</f>
        <v>0</v>
      </c>
      <c r="K21" s="111"/>
      <c r="L21" s="111"/>
      <c r="M21" s="111"/>
      <c r="N21" s="286">
        <f>SUM(N23:N24)</f>
        <v>230.036</v>
      </c>
      <c r="O21" s="286">
        <f t="shared" ref="O21:U21" si="8">SUM(O23:O24)</f>
        <v>230.036</v>
      </c>
      <c r="P21" s="286"/>
      <c r="Q21" s="286"/>
      <c r="R21" s="286"/>
      <c r="S21" s="286">
        <f t="shared" si="8"/>
        <v>0</v>
      </c>
      <c r="T21" s="286"/>
      <c r="U21" s="286">
        <f t="shared" si="8"/>
        <v>0</v>
      </c>
      <c r="V21" s="286"/>
      <c r="W21" s="286"/>
      <c r="X21" s="286"/>
      <c r="Y21" s="286">
        <v>234.49</v>
      </c>
      <c r="Z21" s="286">
        <v>234.49</v>
      </c>
      <c r="AA21" s="286"/>
      <c r="AB21" s="286"/>
      <c r="AC21" s="286"/>
      <c r="AD21" s="286">
        <v>0</v>
      </c>
      <c r="AE21" s="286"/>
      <c r="AF21" s="286">
        <v>0</v>
      </c>
      <c r="AG21" s="286"/>
      <c r="AH21" s="286"/>
      <c r="AI21" s="286"/>
      <c r="AJ21" s="286">
        <v>231.65299999999996</v>
      </c>
      <c r="AK21" s="286">
        <v>231.65299999999996</v>
      </c>
      <c r="AL21" s="286">
        <v>0</v>
      </c>
      <c r="AM21" s="286">
        <v>122.33199999999999</v>
      </c>
      <c r="AN21" s="286">
        <v>109.321</v>
      </c>
      <c r="AO21" s="286">
        <v>0</v>
      </c>
      <c r="AP21" s="286"/>
      <c r="AQ21" s="286">
        <v>0</v>
      </c>
      <c r="AR21" s="286"/>
      <c r="AS21" s="286"/>
      <c r="AT21" s="286"/>
      <c r="AU21" s="286">
        <v>235.88002409999996</v>
      </c>
      <c r="AV21" s="286">
        <v>235.88002409999996</v>
      </c>
      <c r="AW21" s="286"/>
      <c r="AX21" s="286"/>
      <c r="AY21" s="286"/>
      <c r="AZ21" s="286">
        <v>0</v>
      </c>
      <c r="BA21" s="286"/>
      <c r="BB21" s="286">
        <v>0</v>
      </c>
      <c r="BC21" s="286"/>
      <c r="BD21" s="286"/>
      <c r="BE21" s="286"/>
      <c r="BF21" s="286">
        <v>226.21</v>
      </c>
      <c r="BG21" s="286">
        <v>226.21</v>
      </c>
      <c r="BH21" s="286">
        <v>0</v>
      </c>
      <c r="BI21" s="286">
        <v>124.319</v>
      </c>
      <c r="BJ21" s="286">
        <v>101.89100000000001</v>
      </c>
      <c r="BK21" s="286">
        <v>0</v>
      </c>
      <c r="BL21" s="286"/>
      <c r="BM21" s="286">
        <v>0</v>
      </c>
      <c r="BN21" s="286"/>
      <c r="BO21" s="286"/>
      <c r="BP21" s="286"/>
      <c r="BQ21" s="286">
        <v>230.53800000000001</v>
      </c>
      <c r="BR21" s="286">
        <v>230.53799999999998</v>
      </c>
      <c r="BS21" s="286"/>
      <c r="BT21" s="286">
        <v>121.88200000000001</v>
      </c>
      <c r="BU21" s="286">
        <v>108.65599999999998</v>
      </c>
      <c r="BV21" s="286"/>
      <c r="BW21" s="286"/>
      <c r="BX21" s="286"/>
      <c r="BY21" s="286"/>
      <c r="BZ21" s="286"/>
      <c r="CA21" s="286"/>
      <c r="CB21" s="286">
        <v>230.53800000000001</v>
      </c>
      <c r="CC21" s="286">
        <v>230.53800000000001</v>
      </c>
      <c r="CD21" s="286">
        <v>0</v>
      </c>
      <c r="CE21" s="286">
        <v>121.88200000000001</v>
      </c>
      <c r="CF21" s="286">
        <v>108.65600000000001</v>
      </c>
      <c r="CG21" s="286">
        <v>0</v>
      </c>
      <c r="CH21" s="286"/>
      <c r="CI21" s="286">
        <v>0</v>
      </c>
      <c r="CJ21" s="286"/>
      <c r="CK21" s="286"/>
      <c r="CL21" s="286"/>
      <c r="CM21" s="304">
        <v>230.53800000000001</v>
      </c>
      <c r="CN21" s="304">
        <v>230.53800000000001</v>
      </c>
      <c r="CO21" s="304">
        <v>0</v>
      </c>
      <c r="CP21" s="304">
        <v>121.88200000000001</v>
      </c>
      <c r="CQ21" s="304">
        <v>108.65599999999999</v>
      </c>
      <c r="CR21" s="304">
        <v>0</v>
      </c>
      <c r="CS21" s="304"/>
      <c r="CT21" s="304">
        <v>0</v>
      </c>
      <c r="CU21" s="304"/>
      <c r="CV21" s="304"/>
      <c r="CW21" s="304"/>
      <c r="CX21" s="286">
        <v>132.42500000000001</v>
      </c>
      <c r="CY21" s="286">
        <v>132.42500000000001</v>
      </c>
      <c r="CZ21" s="286">
        <v>0</v>
      </c>
      <c r="DA21" s="286">
        <v>66.948000000000008</v>
      </c>
      <c r="DB21" s="286">
        <v>65.477000000000004</v>
      </c>
      <c r="DC21" s="286">
        <v>0</v>
      </c>
      <c r="DD21" s="286"/>
      <c r="DE21" s="286">
        <v>0</v>
      </c>
      <c r="DF21" s="112"/>
      <c r="DG21" s="112"/>
      <c r="DH21" s="112"/>
      <c r="DI21" s="286">
        <v>98.113</v>
      </c>
      <c r="DJ21" s="286">
        <v>98.113</v>
      </c>
      <c r="DK21" s="286">
        <v>0</v>
      </c>
      <c r="DL21" s="286">
        <v>54.933999999999997</v>
      </c>
      <c r="DM21" s="286">
        <v>43.178999999999995</v>
      </c>
      <c r="DN21" s="286">
        <v>0</v>
      </c>
      <c r="DO21" s="286"/>
      <c r="DP21" s="286">
        <v>0</v>
      </c>
      <c r="DQ21" s="112"/>
      <c r="DR21" s="112"/>
      <c r="DS21" s="112"/>
      <c r="DT21" s="304">
        <v>230.53800000000001</v>
      </c>
      <c r="DU21" s="304">
        <v>230.53800000000001</v>
      </c>
      <c r="DV21" s="304">
        <v>0</v>
      </c>
      <c r="DW21" s="304">
        <v>121.88200000000001</v>
      </c>
      <c r="DX21" s="304">
        <v>108.65599999999999</v>
      </c>
      <c r="DY21" s="304">
        <v>0</v>
      </c>
      <c r="DZ21" s="304"/>
      <c r="EA21" s="304">
        <v>0</v>
      </c>
      <c r="EB21" s="304"/>
      <c r="EC21" s="304"/>
      <c r="ED21" s="304"/>
      <c r="EE21" s="286">
        <v>132.42500000000001</v>
      </c>
      <c r="EF21" s="286">
        <v>132.42500000000001</v>
      </c>
      <c r="EG21" s="286">
        <v>0</v>
      </c>
      <c r="EH21" s="286">
        <v>66.948000000000008</v>
      </c>
      <c r="EI21" s="286">
        <v>65.477000000000004</v>
      </c>
      <c r="EJ21" s="286">
        <v>0</v>
      </c>
      <c r="EK21" s="286"/>
      <c r="EL21" s="286">
        <v>0</v>
      </c>
      <c r="EM21" s="112"/>
      <c r="EN21" s="112"/>
      <c r="EO21" s="112"/>
      <c r="EP21" s="286">
        <v>98.113</v>
      </c>
      <c r="EQ21" s="286">
        <v>98.113</v>
      </c>
      <c r="ER21" s="286">
        <v>0</v>
      </c>
      <c r="ES21" s="286">
        <v>54.933999999999997</v>
      </c>
      <c r="ET21" s="286">
        <v>43.178999999999995</v>
      </c>
      <c r="EU21" s="286">
        <v>0</v>
      </c>
      <c r="EV21" s="286"/>
      <c r="EW21" s="286">
        <v>0</v>
      </c>
      <c r="EX21" s="112"/>
      <c r="EY21" s="112"/>
      <c r="EZ21" s="112"/>
    </row>
    <row r="22" spans="1:156" ht="15" customHeight="1">
      <c r="A22" s="17" t="s">
        <v>80</v>
      </c>
      <c r="B22" s="16" t="s">
        <v>70</v>
      </c>
      <c r="C22" s="283"/>
      <c r="D22" s="283"/>
      <c r="E22" s="283"/>
      <c r="F22" s="283"/>
      <c r="G22" s="283"/>
      <c r="H22" s="283"/>
      <c r="I22" s="283"/>
      <c r="J22" s="283"/>
      <c r="K22" s="16"/>
      <c r="L22" s="16"/>
      <c r="M22" s="16"/>
      <c r="N22" s="283"/>
      <c r="O22" s="283"/>
      <c r="P22" s="283"/>
      <c r="Q22" s="283"/>
      <c r="R22" s="283"/>
      <c r="S22" s="283"/>
      <c r="T22" s="283"/>
      <c r="U22" s="283"/>
      <c r="V22" s="283"/>
      <c r="W22" s="283"/>
      <c r="X22" s="283"/>
      <c r="Y22" s="283"/>
      <c r="Z22" s="283"/>
      <c r="AA22" s="283"/>
      <c r="AB22" s="283"/>
      <c r="AC22" s="283"/>
      <c r="AD22" s="283"/>
      <c r="AE22" s="283"/>
      <c r="AF22" s="283"/>
      <c r="AG22" s="283"/>
      <c r="AH22" s="283"/>
      <c r="AI22" s="283"/>
      <c r="AJ22" s="283"/>
      <c r="AK22" s="283"/>
      <c r="AL22" s="283"/>
      <c r="AM22" s="283"/>
      <c r="AN22" s="283"/>
      <c r="AO22" s="283"/>
      <c r="AP22" s="283"/>
      <c r="AQ22" s="283"/>
      <c r="AR22" s="283"/>
      <c r="AS22" s="283"/>
      <c r="AT22" s="283"/>
      <c r="AU22" s="283"/>
      <c r="AV22" s="283"/>
      <c r="AW22" s="283"/>
      <c r="AX22" s="283"/>
      <c r="AY22" s="283"/>
      <c r="AZ22" s="283"/>
      <c r="BA22" s="283"/>
      <c r="BB22" s="283"/>
      <c r="BC22" s="283"/>
      <c r="BD22" s="283"/>
      <c r="BE22" s="283"/>
      <c r="BF22" s="283"/>
      <c r="BG22" s="283"/>
      <c r="BH22" s="283"/>
      <c r="BI22" s="283"/>
      <c r="BJ22" s="283"/>
      <c r="BK22" s="283"/>
      <c r="BL22" s="283"/>
      <c r="BM22" s="283"/>
      <c r="BN22" s="283"/>
      <c r="BO22" s="283"/>
      <c r="BP22" s="283"/>
      <c r="BQ22" s="283"/>
      <c r="BR22" s="283"/>
      <c r="BS22" s="283"/>
      <c r="BT22" s="283"/>
      <c r="BU22" s="283"/>
      <c r="BV22" s="283"/>
      <c r="BW22" s="283"/>
      <c r="BX22" s="283"/>
      <c r="BY22" s="283"/>
      <c r="BZ22" s="283"/>
      <c r="CA22" s="283"/>
      <c r="CB22" s="283"/>
      <c r="CC22" s="283"/>
      <c r="CD22" s="283"/>
      <c r="CE22" s="283"/>
      <c r="CF22" s="283"/>
      <c r="CG22" s="283"/>
      <c r="CH22" s="283"/>
      <c r="CI22" s="283"/>
      <c r="CJ22" s="283"/>
      <c r="CK22" s="283"/>
      <c r="CL22" s="283"/>
      <c r="CM22" s="305"/>
      <c r="CN22" s="305"/>
      <c r="CO22" s="305"/>
      <c r="CP22" s="305"/>
      <c r="CQ22" s="305"/>
      <c r="CR22" s="305"/>
      <c r="CS22" s="305"/>
      <c r="CT22" s="305"/>
      <c r="CU22" s="305"/>
      <c r="CV22" s="305"/>
      <c r="CW22" s="305"/>
      <c r="CX22" s="283"/>
      <c r="CY22" s="283"/>
      <c r="CZ22" s="283"/>
      <c r="DA22" s="283"/>
      <c r="DB22" s="283"/>
      <c r="DC22" s="283"/>
      <c r="DD22" s="283"/>
      <c r="DE22" s="283"/>
      <c r="DF22" s="50"/>
      <c r="DG22" s="50"/>
      <c r="DH22" s="50"/>
      <c r="DI22" s="283"/>
      <c r="DJ22" s="283"/>
      <c r="DK22" s="283"/>
      <c r="DL22" s="283"/>
      <c r="DM22" s="283"/>
      <c r="DN22" s="283"/>
      <c r="DO22" s="283"/>
      <c r="DP22" s="283"/>
      <c r="DQ22" s="50"/>
      <c r="DR22" s="50"/>
      <c r="DS22" s="50"/>
      <c r="DT22" s="305"/>
      <c r="DU22" s="305"/>
      <c r="DV22" s="305"/>
      <c r="DW22" s="305"/>
      <c r="DX22" s="305"/>
      <c r="DY22" s="305"/>
      <c r="DZ22" s="305"/>
      <c r="EA22" s="305"/>
      <c r="EB22" s="305"/>
      <c r="EC22" s="305"/>
      <c r="ED22" s="305"/>
      <c r="EE22" s="283"/>
      <c r="EF22" s="283"/>
      <c r="EG22" s="283"/>
      <c r="EH22" s="283"/>
      <c r="EI22" s="283"/>
      <c r="EJ22" s="283"/>
      <c r="EK22" s="283"/>
      <c r="EL22" s="283"/>
      <c r="EM22" s="50"/>
      <c r="EN22" s="50"/>
      <c r="EO22" s="50"/>
      <c r="EP22" s="283"/>
      <c r="EQ22" s="283"/>
      <c r="ER22" s="283"/>
      <c r="ES22" s="283"/>
      <c r="ET22" s="283"/>
      <c r="EU22" s="283"/>
      <c r="EV22" s="283"/>
      <c r="EW22" s="283"/>
      <c r="EX22" s="50"/>
      <c r="EY22" s="50"/>
      <c r="EZ22" s="50"/>
    </row>
    <row r="23" spans="1:156" ht="15" customHeight="1">
      <c r="A23" s="17"/>
      <c r="B23" s="51" t="s">
        <v>81</v>
      </c>
      <c r="C23" s="260">
        <f t="shared" ref="C23:C25" si="9">D23+H23</f>
        <v>203.50700000000001</v>
      </c>
      <c r="D23" s="283">
        <v>203.50700000000001</v>
      </c>
      <c r="E23" s="283"/>
      <c r="F23" s="283"/>
      <c r="G23" s="283"/>
      <c r="H23" s="260">
        <f t="shared" ref="H23" si="10">J23</f>
        <v>0</v>
      </c>
      <c r="I23" s="283"/>
      <c r="J23" s="283"/>
      <c r="K23" s="51"/>
      <c r="L23" s="51"/>
      <c r="M23" s="51"/>
      <c r="N23" s="260">
        <f t="shared" ref="N23:N28" si="11">O23+S23</f>
        <v>201.40199999999999</v>
      </c>
      <c r="O23" s="283">
        <v>201.40199999999999</v>
      </c>
      <c r="P23" s="283"/>
      <c r="Q23" s="283"/>
      <c r="R23" s="283"/>
      <c r="S23" s="260">
        <f t="shared" ref="S23:S25" si="12">U23</f>
        <v>0</v>
      </c>
      <c r="T23" s="283"/>
      <c r="U23" s="283"/>
      <c r="V23" s="283"/>
      <c r="W23" s="283"/>
      <c r="X23" s="283"/>
      <c r="Y23" s="260">
        <v>201.566</v>
      </c>
      <c r="Z23" s="283">
        <v>201.566</v>
      </c>
      <c r="AA23" s="283"/>
      <c r="AB23" s="283"/>
      <c r="AC23" s="283"/>
      <c r="AD23" s="260">
        <v>0</v>
      </c>
      <c r="AE23" s="283"/>
      <c r="AF23" s="283"/>
      <c r="AG23" s="283"/>
      <c r="AH23" s="283"/>
      <c r="AI23" s="283"/>
      <c r="AJ23" s="260">
        <v>200.58499999999998</v>
      </c>
      <c r="AK23" s="288">
        <v>200.58499999999998</v>
      </c>
      <c r="AL23" s="283"/>
      <c r="AM23" s="1396">
        <v>96.620999999999995</v>
      </c>
      <c r="AN23" s="1396">
        <v>103.964</v>
      </c>
      <c r="AO23" s="260">
        <v>0</v>
      </c>
      <c r="AP23" s="283"/>
      <c r="AQ23" s="283"/>
      <c r="AR23" s="283"/>
      <c r="AS23" s="283"/>
      <c r="AT23" s="283"/>
      <c r="AU23" s="260">
        <v>202.45962714572474</v>
      </c>
      <c r="AV23" s="288">
        <v>202.45962714572474</v>
      </c>
      <c r="AW23" s="288"/>
      <c r="AX23" s="288"/>
      <c r="AY23" s="288"/>
      <c r="AZ23" s="260">
        <v>0</v>
      </c>
      <c r="BA23" s="283"/>
      <c r="BB23" s="283"/>
      <c r="BC23" s="283"/>
      <c r="BD23" s="283"/>
      <c r="BE23" s="283"/>
      <c r="BF23" s="260">
        <v>194.01400000000001</v>
      </c>
      <c r="BG23" s="1399">
        <v>194.01400000000001</v>
      </c>
      <c r="BH23" s="1396"/>
      <c r="BI23" s="1668">
        <v>96.68</v>
      </c>
      <c r="BJ23" s="1592">
        <v>97.334000000000003</v>
      </c>
      <c r="BK23" s="260">
        <v>0</v>
      </c>
      <c r="BL23" s="283"/>
      <c r="BM23" s="283"/>
      <c r="BN23" s="283"/>
      <c r="BO23" s="283"/>
      <c r="BP23" s="283"/>
      <c r="BQ23" s="260">
        <v>192.62142628129808</v>
      </c>
      <c r="BR23" s="1399">
        <v>192.62142628129808</v>
      </c>
      <c r="BS23" s="1396"/>
      <c r="BT23" s="1668">
        <v>93.748079110523861</v>
      </c>
      <c r="BU23" s="1668">
        <v>98.873347170774224</v>
      </c>
      <c r="BV23" s="260"/>
      <c r="BW23" s="283"/>
      <c r="BX23" s="283"/>
      <c r="BY23" s="283"/>
      <c r="BZ23" s="283"/>
      <c r="CA23" s="283"/>
      <c r="CB23" s="260">
        <v>192.62</v>
      </c>
      <c r="CC23" s="1399">
        <v>192.62</v>
      </c>
      <c r="CD23" s="1396"/>
      <c r="CE23" s="1592">
        <v>93.747</v>
      </c>
      <c r="CF23" s="1592">
        <v>98.873000000000005</v>
      </c>
      <c r="CG23" s="260">
        <v>0</v>
      </c>
      <c r="CH23" s="283"/>
      <c r="CI23" s="283"/>
      <c r="CJ23" s="283"/>
      <c r="CK23" s="283"/>
      <c r="CL23" s="283"/>
      <c r="CM23" s="306">
        <v>192.62</v>
      </c>
      <c r="CN23" s="305">
        <v>192.62</v>
      </c>
      <c r="CO23" s="305">
        <v>0</v>
      </c>
      <c r="CP23" s="305">
        <v>93.747</v>
      </c>
      <c r="CQ23" s="305">
        <v>98.87299999999999</v>
      </c>
      <c r="CR23" s="306">
        <v>0</v>
      </c>
      <c r="CS23" s="305"/>
      <c r="CT23" s="305">
        <v>0</v>
      </c>
      <c r="CU23" s="305"/>
      <c r="CV23" s="305"/>
      <c r="CW23" s="305"/>
      <c r="CX23" s="260">
        <v>112.86799999999999</v>
      </c>
      <c r="CY23" s="1399">
        <v>112.86799999999999</v>
      </c>
      <c r="CZ23" s="1396"/>
      <c r="DA23" s="1393">
        <v>52.85</v>
      </c>
      <c r="DB23" s="1393">
        <v>60.018000000000001</v>
      </c>
      <c r="DC23" s="260">
        <v>0</v>
      </c>
      <c r="DD23" s="283"/>
      <c r="DE23" s="283"/>
      <c r="DF23" s="50"/>
      <c r="DG23" s="50"/>
      <c r="DH23" s="50"/>
      <c r="DI23" s="260">
        <v>79.751999999999995</v>
      </c>
      <c r="DJ23" s="1399">
        <v>79.751999999999995</v>
      </c>
      <c r="DK23" s="1396"/>
      <c r="DL23" s="1393">
        <v>40.896999999999998</v>
      </c>
      <c r="DM23" s="1393">
        <v>38.854999999999997</v>
      </c>
      <c r="DN23" s="260">
        <v>0</v>
      </c>
      <c r="DO23" s="283"/>
      <c r="DP23" s="283"/>
      <c r="DQ23" s="50"/>
      <c r="DR23" s="50"/>
      <c r="DS23" s="50"/>
      <c r="DT23" s="306">
        <v>192.62</v>
      </c>
      <c r="DU23" s="305">
        <v>192.62</v>
      </c>
      <c r="DV23" s="305">
        <v>0</v>
      </c>
      <c r="DW23" s="305">
        <v>93.747</v>
      </c>
      <c r="DX23" s="305">
        <v>98.87299999999999</v>
      </c>
      <c r="DY23" s="306">
        <v>0</v>
      </c>
      <c r="DZ23" s="305"/>
      <c r="EA23" s="305">
        <v>0</v>
      </c>
      <c r="EB23" s="305"/>
      <c r="EC23" s="305"/>
      <c r="ED23" s="305"/>
      <c r="EE23" s="260">
        <v>112.86799999999999</v>
      </c>
      <c r="EF23" s="1399">
        <v>112.86799999999999</v>
      </c>
      <c r="EG23" s="1396"/>
      <c r="EH23" s="1393">
        <v>52.85</v>
      </c>
      <c r="EI23" s="1393">
        <v>60.018000000000001</v>
      </c>
      <c r="EJ23" s="260">
        <v>0</v>
      </c>
      <c r="EK23" s="283"/>
      <c r="EL23" s="283"/>
      <c r="EM23" s="50"/>
      <c r="EN23" s="50"/>
      <c r="EO23" s="50"/>
      <c r="EP23" s="260">
        <v>79.751999999999995</v>
      </c>
      <c r="EQ23" s="1399">
        <v>79.751999999999995</v>
      </c>
      <c r="ER23" s="1396"/>
      <c r="ES23" s="1393">
        <v>40.896999999999998</v>
      </c>
      <c r="ET23" s="1393">
        <v>38.854999999999997</v>
      </c>
      <c r="EU23" s="260">
        <v>0</v>
      </c>
      <c r="EV23" s="283"/>
      <c r="EW23" s="283"/>
      <c r="EX23" s="50"/>
      <c r="EY23" s="50"/>
      <c r="EZ23" s="50"/>
    </row>
    <row r="24" spans="1:156" ht="15" customHeight="1">
      <c r="A24" s="17" t="s">
        <v>82</v>
      </c>
      <c r="B24" s="51" t="s">
        <v>83</v>
      </c>
      <c r="C24" s="260">
        <f t="shared" si="9"/>
        <v>33.555</v>
      </c>
      <c r="D24" s="260">
        <v>33.555</v>
      </c>
      <c r="E24" s="260"/>
      <c r="F24" s="260"/>
      <c r="G24" s="260"/>
      <c r="H24" s="260"/>
      <c r="I24" s="260"/>
      <c r="J24" s="260"/>
      <c r="K24" s="51"/>
      <c r="L24" s="51"/>
      <c r="M24" s="51"/>
      <c r="N24" s="260">
        <f t="shared" si="11"/>
        <v>28.634</v>
      </c>
      <c r="O24" s="260">
        <v>28.634</v>
      </c>
      <c r="P24" s="260"/>
      <c r="Q24" s="260"/>
      <c r="R24" s="260"/>
      <c r="S24" s="260"/>
      <c r="T24" s="260"/>
      <c r="U24" s="260"/>
      <c r="V24" s="260"/>
      <c r="W24" s="260"/>
      <c r="X24" s="260"/>
      <c r="Y24" s="260">
        <v>32.923999999999999</v>
      </c>
      <c r="Z24" s="260">
        <v>32.923999999999999</v>
      </c>
      <c r="AA24" s="260"/>
      <c r="AB24" s="260"/>
      <c r="AC24" s="260"/>
      <c r="AD24" s="260"/>
      <c r="AE24" s="260"/>
      <c r="AF24" s="260"/>
      <c r="AG24" s="260"/>
      <c r="AH24" s="260"/>
      <c r="AI24" s="260"/>
      <c r="AJ24" s="260">
        <v>31.067999999999998</v>
      </c>
      <c r="AK24" s="269">
        <v>31.067999999999998</v>
      </c>
      <c r="AL24" s="260"/>
      <c r="AM24" s="1397">
        <v>25.710999999999999</v>
      </c>
      <c r="AN24" s="1397">
        <v>5.3570000000000002</v>
      </c>
      <c r="AO24" s="260"/>
      <c r="AP24" s="260"/>
      <c r="AQ24" s="260"/>
      <c r="AR24" s="260"/>
      <c r="AS24" s="260"/>
      <c r="AT24" s="260"/>
      <c r="AU24" s="260">
        <v>33.420396954275205</v>
      </c>
      <c r="AV24" s="269">
        <v>33.420396954275205</v>
      </c>
      <c r="AW24" s="269"/>
      <c r="AX24" s="269"/>
      <c r="AY24" s="269"/>
      <c r="AZ24" s="260"/>
      <c r="BA24" s="260"/>
      <c r="BB24" s="260"/>
      <c r="BC24" s="260"/>
      <c r="BD24" s="260"/>
      <c r="BE24" s="260"/>
      <c r="BF24" s="260">
        <v>32.195999999999998</v>
      </c>
      <c r="BG24" s="1399">
        <v>32.195999999999998</v>
      </c>
      <c r="BH24" s="1397"/>
      <c r="BI24" s="1592">
        <v>27.638999999999999</v>
      </c>
      <c r="BJ24" s="1592">
        <v>4.5570000000000004</v>
      </c>
      <c r="BK24" s="260"/>
      <c r="BL24" s="260"/>
      <c r="BM24" s="260"/>
      <c r="BN24" s="260"/>
      <c r="BO24" s="260"/>
      <c r="BP24" s="260"/>
      <c r="BQ24" s="260">
        <v>37.916573718701898</v>
      </c>
      <c r="BR24" s="1399">
        <v>37.916573718701898</v>
      </c>
      <c r="BS24" s="1397"/>
      <c r="BT24" s="1668">
        <v>28.133920889476137</v>
      </c>
      <c r="BU24" s="1668">
        <v>9.7826528292257624</v>
      </c>
      <c r="BV24" s="260"/>
      <c r="BW24" s="260"/>
      <c r="BX24" s="260"/>
      <c r="BY24" s="260"/>
      <c r="BZ24" s="260"/>
      <c r="CA24" s="260"/>
      <c r="CB24" s="260">
        <v>37.917999999999999</v>
      </c>
      <c r="CC24" s="1399">
        <v>37.917999999999999</v>
      </c>
      <c r="CD24" s="1397"/>
      <c r="CE24" s="1592">
        <v>28.135000000000002</v>
      </c>
      <c r="CF24" s="1592">
        <v>9.7829999999999995</v>
      </c>
      <c r="CG24" s="260"/>
      <c r="CH24" s="260"/>
      <c r="CI24" s="260"/>
      <c r="CJ24" s="260"/>
      <c r="CK24" s="260"/>
      <c r="CL24" s="260"/>
      <c r="CM24" s="306">
        <v>37.918000000000006</v>
      </c>
      <c r="CN24" s="305">
        <v>37.918000000000006</v>
      </c>
      <c r="CO24" s="305">
        <v>0</v>
      </c>
      <c r="CP24" s="305">
        <v>28.135000000000002</v>
      </c>
      <c r="CQ24" s="305">
        <v>9.7829999999999995</v>
      </c>
      <c r="CR24" s="306"/>
      <c r="CS24" s="306"/>
      <c r="CT24" s="305">
        <v>0</v>
      </c>
      <c r="CU24" s="306"/>
      <c r="CV24" s="306"/>
      <c r="CW24" s="306"/>
      <c r="CX24" s="260">
        <v>19.557000000000002</v>
      </c>
      <c r="CY24" s="1399">
        <v>19.557000000000002</v>
      </c>
      <c r="CZ24" s="1397"/>
      <c r="DA24" s="1591">
        <v>14.098000000000001</v>
      </c>
      <c r="DB24" s="1591">
        <v>5.4589999999999996</v>
      </c>
      <c r="DC24" s="260"/>
      <c r="DD24" s="260"/>
      <c r="DE24" s="260"/>
      <c r="DF24" s="49"/>
      <c r="DG24" s="49"/>
      <c r="DH24" s="49"/>
      <c r="DI24" s="260">
        <v>18.361000000000001</v>
      </c>
      <c r="DJ24" s="1399">
        <v>18.361000000000001</v>
      </c>
      <c r="DK24" s="1397"/>
      <c r="DL24" s="1591">
        <v>14.037000000000001</v>
      </c>
      <c r="DM24" s="1591">
        <v>4.3239999999999998</v>
      </c>
      <c r="DN24" s="260"/>
      <c r="DO24" s="260"/>
      <c r="DP24" s="260"/>
      <c r="DQ24" s="49"/>
      <c r="DR24" s="49"/>
      <c r="DS24" s="49"/>
      <c r="DT24" s="306">
        <v>37.918000000000006</v>
      </c>
      <c r="DU24" s="305">
        <v>37.918000000000006</v>
      </c>
      <c r="DV24" s="305">
        <v>0</v>
      </c>
      <c r="DW24" s="305">
        <v>28.135000000000002</v>
      </c>
      <c r="DX24" s="305">
        <v>9.7829999999999995</v>
      </c>
      <c r="DY24" s="306"/>
      <c r="DZ24" s="306"/>
      <c r="EA24" s="305">
        <v>0</v>
      </c>
      <c r="EB24" s="306"/>
      <c r="EC24" s="306"/>
      <c r="ED24" s="306"/>
      <c r="EE24" s="260">
        <v>19.557000000000002</v>
      </c>
      <c r="EF24" s="1399">
        <v>19.557000000000002</v>
      </c>
      <c r="EG24" s="1397"/>
      <c r="EH24" s="1591">
        <v>14.098000000000001</v>
      </c>
      <c r="EI24" s="1591">
        <v>5.4589999999999996</v>
      </c>
      <c r="EJ24" s="260"/>
      <c r="EK24" s="260"/>
      <c r="EL24" s="260"/>
      <c r="EM24" s="49"/>
      <c r="EN24" s="49"/>
      <c r="EO24" s="49"/>
      <c r="EP24" s="260">
        <v>18.361000000000001</v>
      </c>
      <c r="EQ24" s="1399">
        <v>18.361000000000001</v>
      </c>
      <c r="ER24" s="1397"/>
      <c r="ES24" s="1591">
        <v>14.037000000000001</v>
      </c>
      <c r="ET24" s="1591">
        <v>4.3239999999999998</v>
      </c>
      <c r="EU24" s="260"/>
      <c r="EV24" s="260"/>
      <c r="EW24" s="260"/>
      <c r="EX24" s="49"/>
      <c r="EY24" s="49"/>
      <c r="EZ24" s="49"/>
    </row>
    <row r="25" spans="1:156" ht="30">
      <c r="A25" s="17" t="s">
        <v>84</v>
      </c>
      <c r="B25" s="16" t="s">
        <v>85</v>
      </c>
      <c r="C25" s="260">
        <f t="shared" si="9"/>
        <v>20.483526738268257</v>
      </c>
      <c r="D25" s="260">
        <f t="shared" ref="D25" si="13">D21/D20*100</f>
        <v>20.483526738268257</v>
      </c>
      <c r="E25" s="260"/>
      <c r="F25" s="260"/>
      <c r="G25" s="260"/>
      <c r="H25" s="260">
        <f t="shared" ref="H25" si="14">J25</f>
        <v>0</v>
      </c>
      <c r="I25" s="260"/>
      <c r="J25" s="260">
        <f t="shared" ref="J25" si="15">J21/J20*100</f>
        <v>0</v>
      </c>
      <c r="K25" s="16"/>
      <c r="L25" s="16"/>
      <c r="M25" s="16"/>
      <c r="N25" s="260">
        <f t="shared" si="11"/>
        <v>20.220491931528308</v>
      </c>
      <c r="O25" s="260">
        <f t="shared" ref="O25:U25" si="16">O21/O20*100</f>
        <v>20.220491931528308</v>
      </c>
      <c r="P25" s="260"/>
      <c r="Q25" s="260"/>
      <c r="R25" s="260"/>
      <c r="S25" s="260">
        <f t="shared" si="12"/>
        <v>0</v>
      </c>
      <c r="T25" s="260"/>
      <c r="U25" s="260">
        <f t="shared" si="16"/>
        <v>0</v>
      </c>
      <c r="V25" s="260"/>
      <c r="W25" s="260"/>
      <c r="X25" s="260"/>
      <c r="Y25" s="260">
        <v>20.509837707348431</v>
      </c>
      <c r="Z25" s="260">
        <v>20.509837707348431</v>
      </c>
      <c r="AA25" s="260"/>
      <c r="AB25" s="260"/>
      <c r="AC25" s="260"/>
      <c r="AD25" s="260">
        <v>0</v>
      </c>
      <c r="AE25" s="260"/>
      <c r="AF25" s="260">
        <v>0</v>
      </c>
      <c r="AG25" s="260"/>
      <c r="AH25" s="260"/>
      <c r="AI25" s="260"/>
      <c r="AJ25" s="260">
        <v>20.814453210991037</v>
      </c>
      <c r="AK25" s="260">
        <v>20.814453210991037</v>
      </c>
      <c r="AL25" s="260">
        <v>0</v>
      </c>
      <c r="AM25" s="260">
        <v>11.034530036648871</v>
      </c>
      <c r="AN25" s="260">
        <v>11.553615174708257</v>
      </c>
      <c r="AO25" s="260">
        <v>0</v>
      </c>
      <c r="AP25" s="260"/>
      <c r="AQ25" s="260">
        <v>0</v>
      </c>
      <c r="AR25" s="260"/>
      <c r="AS25" s="260"/>
      <c r="AT25" s="260"/>
      <c r="AU25" s="428">
        <v>20.728577990519764</v>
      </c>
      <c r="AV25" s="428">
        <v>20.728577990519764</v>
      </c>
      <c r="AW25" s="428"/>
      <c r="AX25" s="428"/>
      <c r="AY25" s="428"/>
      <c r="AZ25" s="428">
        <v>0</v>
      </c>
      <c r="BA25" s="428"/>
      <c r="BB25" s="428">
        <v>0</v>
      </c>
      <c r="BC25" s="260"/>
      <c r="BD25" s="260"/>
      <c r="BE25" s="260"/>
      <c r="BF25" s="260">
        <v>20.775740298194926</v>
      </c>
      <c r="BG25" s="260">
        <v>20.775740298194926</v>
      </c>
      <c r="BH25" s="260">
        <v>0</v>
      </c>
      <c r="BI25" s="260">
        <v>11.464280345959942</v>
      </c>
      <c r="BJ25" s="260">
        <v>11.141534037167242</v>
      </c>
      <c r="BK25" s="260">
        <v>0</v>
      </c>
      <c r="BL25" s="260"/>
      <c r="BM25" s="260"/>
      <c r="BN25" s="260"/>
      <c r="BO25" s="260"/>
      <c r="BP25" s="260"/>
      <c r="BQ25" s="260">
        <v>21.179956601085443</v>
      </c>
      <c r="BR25" s="260">
        <v>21.179956601085443</v>
      </c>
      <c r="BS25" s="260"/>
      <c r="BT25" s="260">
        <v>11.243511699929996</v>
      </c>
      <c r="BU25" s="260">
        <v>11.748650482931822</v>
      </c>
      <c r="BV25" s="260"/>
      <c r="BW25" s="260"/>
      <c r="BX25" s="260"/>
      <c r="BY25" s="260"/>
      <c r="BZ25" s="260"/>
      <c r="CA25" s="260"/>
      <c r="CB25" s="260">
        <v>21.181970453035692</v>
      </c>
      <c r="CC25" s="260">
        <v>21.181970453035692</v>
      </c>
      <c r="CD25" s="260">
        <v>0</v>
      </c>
      <c r="CE25" s="260">
        <v>11.24404849216168</v>
      </c>
      <c r="CF25" s="260">
        <v>11.805148129316006</v>
      </c>
      <c r="CG25" s="260">
        <v>0</v>
      </c>
      <c r="CH25" s="260"/>
      <c r="CI25" s="260">
        <v>0</v>
      </c>
      <c r="CJ25" s="260"/>
      <c r="CK25" s="260"/>
      <c r="CL25" s="260"/>
      <c r="CM25" s="307">
        <v>21.181970453035692</v>
      </c>
      <c r="CN25" s="307">
        <v>21.181970453035692</v>
      </c>
      <c r="CO25" s="307">
        <v>0</v>
      </c>
      <c r="CP25" s="307">
        <v>11.24404849216168</v>
      </c>
      <c r="CQ25" s="307">
        <v>11.805148129316004</v>
      </c>
      <c r="CR25" s="306">
        <v>0</v>
      </c>
      <c r="CS25" s="306"/>
      <c r="CT25" s="306">
        <v>0</v>
      </c>
      <c r="CU25" s="306"/>
      <c r="CV25" s="306"/>
      <c r="CW25" s="306"/>
      <c r="CX25" s="260">
        <v>19.903656831948062</v>
      </c>
      <c r="CY25" s="260">
        <v>19.903656831948062</v>
      </c>
      <c r="CZ25" s="260">
        <v>0</v>
      </c>
      <c r="DA25" s="260">
        <v>10.107799619530757</v>
      </c>
      <c r="DB25" s="260">
        <v>11.511933541382797</v>
      </c>
      <c r="DC25" s="260">
        <v>0</v>
      </c>
      <c r="DD25" s="260"/>
      <c r="DE25" s="260">
        <v>0</v>
      </c>
      <c r="DF25" s="49"/>
      <c r="DG25" s="49"/>
      <c r="DH25" s="49"/>
      <c r="DI25" s="260">
        <v>23.192424339127125</v>
      </c>
      <c r="DJ25" s="260">
        <v>23.192424339127125</v>
      </c>
      <c r="DK25" s="260">
        <v>0</v>
      </c>
      <c r="DL25" s="260">
        <v>13.028989941393975</v>
      </c>
      <c r="DM25" s="260">
        <v>12.279424520172793</v>
      </c>
      <c r="DN25" s="260">
        <v>0</v>
      </c>
      <c r="DO25" s="260"/>
      <c r="DP25" s="260">
        <v>0</v>
      </c>
      <c r="DQ25" s="49"/>
      <c r="DR25" s="49"/>
      <c r="DS25" s="49"/>
      <c r="DT25" s="307">
        <v>21.181970453035692</v>
      </c>
      <c r="DU25" s="307">
        <v>21.181970453035692</v>
      </c>
      <c r="DV25" s="307">
        <v>0</v>
      </c>
      <c r="DW25" s="307">
        <v>11.24404849216168</v>
      </c>
      <c r="DX25" s="307">
        <v>11.805148129316004</v>
      </c>
      <c r="DY25" s="306">
        <v>0</v>
      </c>
      <c r="DZ25" s="306"/>
      <c r="EA25" s="306">
        <v>0</v>
      </c>
      <c r="EB25" s="306"/>
      <c r="EC25" s="306"/>
      <c r="ED25" s="306"/>
      <c r="EE25" s="260">
        <v>19.903656831948062</v>
      </c>
      <c r="EF25" s="260">
        <v>19.903656831948062</v>
      </c>
      <c r="EG25" s="260">
        <v>0</v>
      </c>
      <c r="EH25" s="260">
        <v>10.107799619530757</v>
      </c>
      <c r="EI25" s="260">
        <v>11.511933541382797</v>
      </c>
      <c r="EJ25" s="260">
        <v>0</v>
      </c>
      <c r="EK25" s="260"/>
      <c r="EL25" s="260">
        <v>0</v>
      </c>
      <c r="EM25" s="49"/>
      <c r="EN25" s="49"/>
      <c r="EO25" s="49"/>
      <c r="EP25" s="260">
        <v>23.192424339127125</v>
      </c>
      <c r="EQ25" s="260">
        <v>23.192424339127125</v>
      </c>
      <c r="ER25" s="260">
        <v>0</v>
      </c>
      <c r="ES25" s="260">
        <v>13.028989941393975</v>
      </c>
      <c r="ET25" s="260">
        <v>12.279424520172793</v>
      </c>
      <c r="EU25" s="260">
        <v>0</v>
      </c>
      <c r="EV25" s="260"/>
      <c r="EW25" s="260">
        <v>0</v>
      </c>
      <c r="EX25" s="49"/>
      <c r="EY25" s="49"/>
      <c r="EZ25" s="49"/>
    </row>
    <row r="26" spans="1:156" ht="30">
      <c r="A26" s="17"/>
      <c r="B26" s="113" t="s">
        <v>787</v>
      </c>
      <c r="C26" s="260">
        <f>D26+H26</f>
        <v>0</v>
      </c>
      <c r="D26" s="260"/>
      <c r="E26" s="260"/>
      <c r="F26" s="260"/>
      <c r="G26" s="260"/>
      <c r="H26" s="260"/>
      <c r="I26" s="260"/>
      <c r="J26" s="260"/>
      <c r="K26" s="113"/>
      <c r="L26" s="113"/>
      <c r="M26" s="113"/>
      <c r="N26" s="260">
        <f>O26+S26</f>
        <v>0</v>
      </c>
      <c r="O26" s="260"/>
      <c r="P26" s="260"/>
      <c r="Q26" s="260"/>
      <c r="R26" s="260"/>
      <c r="S26" s="260"/>
      <c r="T26" s="260"/>
      <c r="U26" s="260"/>
      <c r="V26" s="260"/>
      <c r="W26" s="260"/>
      <c r="X26" s="260"/>
      <c r="Y26" s="260">
        <v>0</v>
      </c>
      <c r="Z26" s="260"/>
      <c r="AA26" s="260"/>
      <c r="AB26" s="260"/>
      <c r="AC26" s="260"/>
      <c r="AD26" s="260"/>
      <c r="AE26" s="260"/>
      <c r="AF26" s="260"/>
      <c r="AG26" s="260"/>
      <c r="AH26" s="260"/>
      <c r="AI26" s="260"/>
      <c r="AJ26" s="260">
        <v>0</v>
      </c>
      <c r="AK26" s="260"/>
      <c r="AL26" s="260"/>
      <c r="AM26" s="260"/>
      <c r="AN26" s="260"/>
      <c r="AO26" s="260"/>
      <c r="AP26" s="260"/>
      <c r="AQ26" s="260"/>
      <c r="AR26" s="260"/>
      <c r="AS26" s="260"/>
      <c r="AT26" s="260"/>
      <c r="AU26" s="260">
        <v>0</v>
      </c>
      <c r="AV26" s="260"/>
      <c r="AW26" s="260"/>
      <c r="AX26" s="260"/>
      <c r="AY26" s="260"/>
      <c r="AZ26" s="260"/>
      <c r="BA26" s="260"/>
      <c r="BB26" s="260"/>
      <c r="BC26" s="260"/>
      <c r="BD26" s="260"/>
      <c r="BE26" s="260"/>
      <c r="BF26" s="260">
        <v>0</v>
      </c>
      <c r="BG26" s="260"/>
      <c r="BH26" s="260"/>
      <c r="BI26" s="260"/>
      <c r="BJ26" s="260"/>
      <c r="BK26" s="260"/>
      <c r="BL26" s="260"/>
      <c r="BM26" s="260"/>
      <c r="BN26" s="260"/>
      <c r="BO26" s="260"/>
      <c r="BP26" s="260"/>
      <c r="BQ26" s="260"/>
      <c r="BR26" s="260"/>
      <c r="BS26" s="260"/>
      <c r="BT26" s="260"/>
      <c r="BU26" s="260"/>
      <c r="BV26" s="260"/>
      <c r="BW26" s="260"/>
      <c r="BX26" s="260"/>
      <c r="BY26" s="260"/>
      <c r="BZ26" s="260"/>
      <c r="CA26" s="260"/>
      <c r="CB26" s="260">
        <v>0</v>
      </c>
      <c r="CC26" s="260"/>
      <c r="CD26" s="260"/>
      <c r="CE26" s="260"/>
      <c r="CF26" s="260"/>
      <c r="CG26" s="260"/>
      <c r="CH26" s="260"/>
      <c r="CI26" s="260"/>
      <c r="CJ26" s="260"/>
      <c r="CK26" s="260"/>
      <c r="CL26" s="260"/>
      <c r="CM26" s="306">
        <v>0</v>
      </c>
      <c r="CN26" s="306">
        <v>0</v>
      </c>
      <c r="CO26" s="306">
        <v>0</v>
      </c>
      <c r="CP26" s="306">
        <v>0</v>
      </c>
      <c r="CQ26" s="306">
        <v>0</v>
      </c>
      <c r="CR26" s="306"/>
      <c r="CS26" s="306"/>
      <c r="CT26" s="306">
        <v>0</v>
      </c>
      <c r="CU26" s="306"/>
      <c r="CV26" s="306"/>
      <c r="CW26" s="306"/>
      <c r="CX26" s="260">
        <v>0</v>
      </c>
      <c r="CY26" s="260"/>
      <c r="CZ26" s="260"/>
      <c r="DA26" s="260"/>
      <c r="DB26" s="260"/>
      <c r="DC26" s="260"/>
      <c r="DD26" s="260"/>
      <c r="DE26" s="260"/>
      <c r="DF26" s="49"/>
      <c r="DG26" s="49"/>
      <c r="DH26" s="49"/>
      <c r="DI26" s="260">
        <v>0</v>
      </c>
      <c r="DJ26" s="260"/>
      <c r="DK26" s="260"/>
      <c r="DL26" s="260"/>
      <c r="DM26" s="260"/>
      <c r="DN26" s="260"/>
      <c r="DO26" s="260"/>
      <c r="DP26" s="260"/>
      <c r="DQ26" s="49"/>
      <c r="DR26" s="49"/>
      <c r="DS26" s="49"/>
      <c r="DT26" s="306">
        <v>0</v>
      </c>
      <c r="DU26" s="306">
        <v>0</v>
      </c>
      <c r="DV26" s="306">
        <v>0</v>
      </c>
      <c r="DW26" s="306">
        <v>0</v>
      </c>
      <c r="DX26" s="306">
        <v>0</v>
      </c>
      <c r="DY26" s="306"/>
      <c r="DZ26" s="306"/>
      <c r="EA26" s="306">
        <v>0</v>
      </c>
      <c r="EB26" s="306"/>
      <c r="EC26" s="306"/>
      <c r="ED26" s="306"/>
      <c r="EE26" s="260">
        <v>0</v>
      </c>
      <c r="EF26" s="260"/>
      <c r="EG26" s="260"/>
      <c r="EH26" s="260"/>
      <c r="EI26" s="260"/>
      <c r="EJ26" s="260"/>
      <c r="EK26" s="260"/>
      <c r="EL26" s="260"/>
      <c r="EM26" s="49"/>
      <c r="EN26" s="49"/>
      <c r="EO26" s="49"/>
      <c r="EP26" s="260">
        <v>0</v>
      </c>
      <c r="EQ26" s="260"/>
      <c r="ER26" s="260"/>
      <c r="ES26" s="260"/>
      <c r="ET26" s="260"/>
      <c r="EU26" s="260"/>
      <c r="EV26" s="260"/>
      <c r="EW26" s="260"/>
      <c r="EX26" s="49"/>
      <c r="EY26" s="49"/>
      <c r="EZ26" s="49"/>
    </row>
    <row r="27" spans="1:156" ht="15" hidden="1">
      <c r="A27" s="17"/>
      <c r="B27" s="113" t="s">
        <v>788</v>
      </c>
      <c r="C27" s="260">
        <f>D27+H27</f>
        <v>0</v>
      </c>
      <c r="D27" s="260"/>
      <c r="E27" s="260"/>
      <c r="F27" s="260"/>
      <c r="G27" s="260"/>
      <c r="H27" s="260">
        <f>J27</f>
        <v>0</v>
      </c>
      <c r="I27" s="260"/>
      <c r="J27" s="260"/>
      <c r="K27" s="113"/>
      <c r="L27" s="113"/>
      <c r="M27" s="113"/>
      <c r="N27" s="260">
        <f>O27+S27</f>
        <v>3.1789999999999998</v>
      </c>
      <c r="O27" s="260">
        <v>3.1789999999999998</v>
      </c>
      <c r="P27" s="260"/>
      <c r="Q27" s="260"/>
      <c r="R27" s="260"/>
      <c r="S27" s="260">
        <f>U27</f>
        <v>0</v>
      </c>
      <c r="T27" s="260"/>
      <c r="U27" s="260"/>
      <c r="V27" s="260"/>
      <c r="W27" s="260"/>
      <c r="X27" s="260"/>
      <c r="Y27" s="260">
        <v>0</v>
      </c>
      <c r="Z27" s="260"/>
      <c r="AA27" s="260"/>
      <c r="AB27" s="260"/>
      <c r="AC27" s="260"/>
      <c r="AD27" s="260">
        <v>0</v>
      </c>
      <c r="AE27" s="260"/>
      <c r="AF27" s="260"/>
      <c r="AG27" s="260"/>
      <c r="AH27" s="260"/>
      <c r="AI27" s="260"/>
      <c r="AJ27" s="260">
        <v>0</v>
      </c>
      <c r="AK27" s="269"/>
      <c r="AL27" s="260"/>
      <c r="AM27" s="260"/>
      <c r="AN27" s="260"/>
      <c r="AO27" s="260">
        <v>0</v>
      </c>
      <c r="AP27" s="260"/>
      <c r="AQ27" s="260"/>
      <c r="AR27" s="260"/>
      <c r="AS27" s="260"/>
      <c r="AT27" s="260"/>
      <c r="AU27" s="260">
        <v>0</v>
      </c>
      <c r="AV27" s="260"/>
      <c r="AW27" s="260"/>
      <c r="AX27" s="260"/>
      <c r="AY27" s="260"/>
      <c r="AZ27" s="260">
        <v>0</v>
      </c>
      <c r="BA27" s="260"/>
      <c r="BB27" s="260"/>
      <c r="BC27" s="260"/>
      <c r="BD27" s="260"/>
      <c r="BE27" s="260"/>
      <c r="BF27" s="260">
        <v>29.277999999999999</v>
      </c>
      <c r="BG27" s="269">
        <v>29.277999999999999</v>
      </c>
      <c r="BH27" s="260"/>
      <c r="BI27" s="260"/>
      <c r="BJ27" s="269">
        <v>29.277999999999999</v>
      </c>
      <c r="BK27" s="260">
        <v>0</v>
      </c>
      <c r="BL27" s="260"/>
      <c r="BM27" s="260"/>
      <c r="BN27" s="260"/>
      <c r="BO27" s="260"/>
      <c r="BP27" s="260"/>
      <c r="BQ27" s="260"/>
      <c r="BR27" s="269"/>
      <c r="BS27" s="260"/>
      <c r="BT27" s="260"/>
      <c r="BU27" s="260"/>
      <c r="BV27" s="260"/>
      <c r="BW27" s="260"/>
      <c r="BX27" s="260"/>
      <c r="BY27" s="260"/>
      <c r="BZ27" s="260"/>
      <c r="CA27" s="260"/>
      <c r="CB27" s="260">
        <v>5.9999999998581188E-3</v>
      </c>
      <c r="CC27" s="269">
        <v>5.9999999998581188E-3</v>
      </c>
      <c r="CD27" s="260"/>
      <c r="CE27" s="260"/>
      <c r="CF27" s="269">
        <v>5.9999999998581188E-3</v>
      </c>
      <c r="CG27" s="260">
        <v>0</v>
      </c>
      <c r="CH27" s="260"/>
      <c r="CI27" s="260"/>
      <c r="CJ27" s="260"/>
      <c r="CK27" s="260"/>
      <c r="CL27" s="260"/>
      <c r="CM27" s="306">
        <v>6.0000000000002274E-3</v>
      </c>
      <c r="CN27" s="305">
        <v>6.0000000000002274E-3</v>
      </c>
      <c r="CO27" s="305">
        <v>0</v>
      </c>
      <c r="CP27" s="305">
        <v>0</v>
      </c>
      <c r="CQ27" s="305">
        <v>6.0000000000002274E-3</v>
      </c>
      <c r="CR27" s="306">
        <v>0</v>
      </c>
      <c r="CS27" s="306"/>
      <c r="CT27" s="305">
        <v>0</v>
      </c>
      <c r="CU27" s="306"/>
      <c r="CV27" s="306"/>
      <c r="CW27" s="306"/>
      <c r="CX27" s="260">
        <v>11.287000000000001</v>
      </c>
      <c r="CY27" s="269">
        <v>11.287000000000001</v>
      </c>
      <c r="CZ27" s="260"/>
      <c r="DA27" s="260"/>
      <c r="DB27" s="269">
        <v>11.287000000000001</v>
      </c>
      <c r="DC27" s="260">
        <v>0</v>
      </c>
      <c r="DD27" s="260"/>
      <c r="DE27" s="260"/>
      <c r="DF27" s="49"/>
      <c r="DG27" s="49"/>
      <c r="DH27" s="49"/>
      <c r="DI27" s="260">
        <v>-11.281000000000001</v>
      </c>
      <c r="DJ27" s="269">
        <v>-11.281000000000001</v>
      </c>
      <c r="DK27" s="260"/>
      <c r="DL27" s="260"/>
      <c r="DM27" s="269">
        <v>-11.281000000000001</v>
      </c>
      <c r="DN27" s="260">
        <v>0</v>
      </c>
      <c r="DO27" s="260"/>
      <c r="DP27" s="260"/>
      <c r="DQ27" s="49"/>
      <c r="DR27" s="49"/>
      <c r="DS27" s="49"/>
      <c r="DT27" s="306">
        <v>6.0000000000002274E-3</v>
      </c>
      <c r="DU27" s="305">
        <v>6.0000000000002274E-3</v>
      </c>
      <c r="DV27" s="305">
        <v>0</v>
      </c>
      <c r="DW27" s="305">
        <v>0</v>
      </c>
      <c r="DX27" s="305">
        <v>6.0000000000002274E-3</v>
      </c>
      <c r="DY27" s="306">
        <v>0</v>
      </c>
      <c r="DZ27" s="306"/>
      <c r="EA27" s="305">
        <v>0</v>
      </c>
      <c r="EB27" s="306"/>
      <c r="EC27" s="306"/>
      <c r="ED27" s="306"/>
      <c r="EE27" s="260">
        <v>11.287000000000001</v>
      </c>
      <c r="EF27" s="269">
        <v>11.287000000000001</v>
      </c>
      <c r="EG27" s="260"/>
      <c r="EH27" s="260"/>
      <c r="EI27" s="269">
        <v>11.287000000000001</v>
      </c>
      <c r="EJ27" s="260">
        <v>0</v>
      </c>
      <c r="EK27" s="260"/>
      <c r="EL27" s="260"/>
      <c r="EM27" s="49"/>
      <c r="EN27" s="49"/>
      <c r="EO27" s="49"/>
      <c r="EP27" s="260">
        <v>-11.281000000000001</v>
      </c>
      <c r="EQ27" s="269">
        <v>-11.281000000000001</v>
      </c>
      <c r="ER27" s="260"/>
      <c r="ES27" s="260"/>
      <c r="ET27" s="269">
        <v>-11.281000000000001</v>
      </c>
      <c r="EU27" s="260">
        <v>0</v>
      </c>
      <c r="EV27" s="260"/>
      <c r="EW27" s="260"/>
      <c r="EX27" s="49"/>
      <c r="EY27" s="49"/>
      <c r="EZ27" s="49"/>
    </row>
    <row r="28" spans="1:156" ht="42.75">
      <c r="A28" s="110" t="s">
        <v>86</v>
      </c>
      <c r="B28" s="111" t="s">
        <v>87</v>
      </c>
      <c r="C28" s="286">
        <f t="shared" ref="C28" si="17">D28+H28</f>
        <v>922.64999999999986</v>
      </c>
      <c r="D28" s="286">
        <f>D20-D21-D26-D27</f>
        <v>920.26799999999992</v>
      </c>
      <c r="E28" s="286"/>
      <c r="F28" s="286"/>
      <c r="G28" s="286"/>
      <c r="H28" s="286">
        <f t="shared" ref="H28" si="18">H20-H21-H26-H27</f>
        <v>2.3820000000000001</v>
      </c>
      <c r="I28" s="286"/>
      <c r="J28" s="286">
        <f t="shared" ref="J28" si="19">J20-J21-J26-J27</f>
        <v>2.3820000000000001</v>
      </c>
      <c r="K28" s="111"/>
      <c r="L28" s="111"/>
      <c r="M28" s="111"/>
      <c r="N28" s="286">
        <f t="shared" si="11"/>
        <v>907.11299999999994</v>
      </c>
      <c r="O28" s="286">
        <f>O20-O21-O26-O27</f>
        <v>904.42299999999989</v>
      </c>
      <c r="P28" s="286"/>
      <c r="Q28" s="286"/>
      <c r="R28" s="286"/>
      <c r="S28" s="286">
        <f t="shared" ref="S28:U28" si="20">S20-S21-S26-S27</f>
        <v>2.6900000000000013</v>
      </c>
      <c r="T28" s="286"/>
      <c r="U28" s="286">
        <f t="shared" si="20"/>
        <v>2.6900000000000013</v>
      </c>
      <c r="V28" s="286"/>
      <c r="W28" s="286"/>
      <c r="X28" s="286"/>
      <c r="Y28" s="286">
        <v>911.197</v>
      </c>
      <c r="Z28" s="286">
        <v>908.81500000000005</v>
      </c>
      <c r="AA28" s="286"/>
      <c r="AB28" s="286"/>
      <c r="AC28" s="286"/>
      <c r="AD28" s="286">
        <v>2.3820000000000014</v>
      </c>
      <c r="AE28" s="286"/>
      <c r="AF28" s="286">
        <v>2.3820000000000014</v>
      </c>
      <c r="AG28" s="286"/>
      <c r="AH28" s="286"/>
      <c r="AI28" s="286"/>
      <c r="AJ28" s="286">
        <v>884.17399999999998</v>
      </c>
      <c r="AK28" s="1395">
        <v>881.29</v>
      </c>
      <c r="AL28" s="1395">
        <v>4.3140000000000001</v>
      </c>
      <c r="AM28" s="1395">
        <v>40.091000000000001</v>
      </c>
      <c r="AN28" s="1395">
        <v>836.88499999999999</v>
      </c>
      <c r="AO28" s="1395">
        <v>2.8839999999999999</v>
      </c>
      <c r="AP28" s="1395"/>
      <c r="AQ28" s="1395">
        <v>2.8839999999999999</v>
      </c>
      <c r="AR28" s="286"/>
      <c r="AS28" s="286"/>
      <c r="AT28" s="286"/>
      <c r="AU28" s="286">
        <v>904.44797589999973</v>
      </c>
      <c r="AV28" s="286">
        <v>902.06597589999978</v>
      </c>
      <c r="AW28" s="286"/>
      <c r="AX28" s="286"/>
      <c r="AY28" s="286"/>
      <c r="AZ28" s="286">
        <v>2.3820000000000014</v>
      </c>
      <c r="BA28" s="286"/>
      <c r="BB28" s="286">
        <v>2.3820000000000014</v>
      </c>
      <c r="BC28" s="286"/>
      <c r="BD28" s="286"/>
      <c r="BE28" s="286"/>
      <c r="BF28" s="286">
        <v>836.25300000000004</v>
      </c>
      <c r="BG28" s="1398">
        <v>833.33199999999999</v>
      </c>
      <c r="BH28" s="1394">
        <v>4.415</v>
      </c>
      <c r="BI28" s="1394">
        <v>45.569000000000003</v>
      </c>
      <c r="BJ28" s="1394">
        <v>783.34799999999996</v>
      </c>
      <c r="BK28" s="1395">
        <v>2.9209999999999998</v>
      </c>
      <c r="BL28" s="1395"/>
      <c r="BM28" s="1394">
        <v>2.9209999999999998</v>
      </c>
      <c r="BN28" s="286"/>
      <c r="BO28" s="286"/>
      <c r="BP28" s="286"/>
      <c r="BQ28" s="286">
        <v>860.73099999999988</v>
      </c>
      <c r="BR28" s="1394">
        <v>857.93448529388024</v>
      </c>
      <c r="BS28" s="1394">
        <v>4.4267086048777111</v>
      </c>
      <c r="BT28" s="1394">
        <v>39.637880107234672</v>
      </c>
      <c r="BU28" s="1395">
        <v>816.1821348807083</v>
      </c>
      <c r="BV28" s="1395">
        <v>2.7965147061196607</v>
      </c>
      <c r="BW28" s="1395"/>
      <c r="BX28" s="1394">
        <v>2.4649999999999999</v>
      </c>
      <c r="BY28" s="286"/>
      <c r="BZ28" s="286"/>
      <c r="CA28" s="286"/>
      <c r="CB28" s="286">
        <v>860.72500000000002</v>
      </c>
      <c r="CC28" s="1394">
        <v>857.82500000000005</v>
      </c>
      <c r="CD28" s="1394">
        <v>4.4000000000000004</v>
      </c>
      <c r="CE28" s="1394">
        <v>41.674999999999997</v>
      </c>
      <c r="CF28" s="1394">
        <v>811.75</v>
      </c>
      <c r="CG28" s="1395">
        <v>2.9</v>
      </c>
      <c r="CH28" s="1395"/>
      <c r="CI28" s="1394">
        <v>2.9</v>
      </c>
      <c r="CJ28" s="286"/>
      <c r="CK28" s="286"/>
      <c r="CL28" s="286"/>
      <c r="CM28" s="304">
        <v>860.72499999999991</v>
      </c>
      <c r="CN28" s="1398">
        <v>857.82499999999993</v>
      </c>
      <c r="CO28" s="1398">
        <v>4.3999999999999995</v>
      </c>
      <c r="CP28" s="1398">
        <v>41.674999999999997</v>
      </c>
      <c r="CQ28" s="1398">
        <v>811.75</v>
      </c>
      <c r="CR28" s="1398">
        <v>2.9000000000000021</v>
      </c>
      <c r="CS28" s="1398">
        <v>0</v>
      </c>
      <c r="CT28" s="1398">
        <v>2.9</v>
      </c>
      <c r="CU28" s="304"/>
      <c r="CV28" s="304"/>
      <c r="CW28" s="304"/>
      <c r="CX28" s="286">
        <v>523.05799999999999</v>
      </c>
      <c r="CY28" s="1398">
        <v>521.61799999999994</v>
      </c>
      <c r="CZ28" s="1394">
        <v>2.9899999999999998</v>
      </c>
      <c r="DA28" s="1394">
        <v>26.617000000000001</v>
      </c>
      <c r="DB28" s="1394">
        <v>492.01100000000002</v>
      </c>
      <c r="DC28" s="1398">
        <v>1.4400000000000013</v>
      </c>
      <c r="DD28" s="1398"/>
      <c r="DE28" s="1394">
        <v>1.44</v>
      </c>
      <c r="DF28" s="112"/>
      <c r="DG28" s="112"/>
      <c r="DH28" s="112"/>
      <c r="DI28" s="286">
        <v>337.66699999999997</v>
      </c>
      <c r="DJ28" s="1398">
        <v>336.20699999999999</v>
      </c>
      <c r="DK28" s="1394">
        <v>1.41</v>
      </c>
      <c r="DL28" s="1394">
        <v>15.058</v>
      </c>
      <c r="DM28" s="1394">
        <v>319.73899999999998</v>
      </c>
      <c r="DN28" s="1398">
        <v>1.4600000000000009</v>
      </c>
      <c r="DO28" s="1398"/>
      <c r="DP28" s="1394">
        <v>1.46</v>
      </c>
      <c r="DQ28" s="112"/>
      <c r="DR28" s="112"/>
      <c r="DS28" s="112"/>
      <c r="DT28" s="304">
        <v>860.72499999999991</v>
      </c>
      <c r="DU28" s="1398">
        <v>857.82499999999993</v>
      </c>
      <c r="DV28" s="1398">
        <v>4.3999999999999995</v>
      </c>
      <c r="DW28" s="1398">
        <v>41.674999999999997</v>
      </c>
      <c r="DX28" s="1398">
        <v>811.75</v>
      </c>
      <c r="DY28" s="1398">
        <v>2.9000000000000021</v>
      </c>
      <c r="DZ28" s="1398">
        <v>0</v>
      </c>
      <c r="EA28" s="1398">
        <v>2.9</v>
      </c>
      <c r="EB28" s="304"/>
      <c r="EC28" s="304"/>
      <c r="ED28" s="304"/>
      <c r="EE28" s="286">
        <v>523.05799999999999</v>
      </c>
      <c r="EF28" s="1398">
        <v>521.61799999999994</v>
      </c>
      <c r="EG28" s="1394">
        <v>2.9899999999999998</v>
      </c>
      <c r="EH28" s="1394">
        <v>26.617000000000001</v>
      </c>
      <c r="EI28" s="1394">
        <v>492.01100000000002</v>
      </c>
      <c r="EJ28" s="1398">
        <v>1.4400000000000013</v>
      </c>
      <c r="EK28" s="1398"/>
      <c r="EL28" s="1394">
        <v>1.44</v>
      </c>
      <c r="EM28" s="112"/>
      <c r="EN28" s="112"/>
      <c r="EO28" s="112"/>
      <c r="EP28" s="286">
        <v>337.66699999999997</v>
      </c>
      <c r="EQ28" s="1398">
        <v>336.20699999999999</v>
      </c>
      <c r="ER28" s="1394">
        <v>1.41</v>
      </c>
      <c r="ES28" s="1394">
        <v>15.058</v>
      </c>
      <c r="ET28" s="1394">
        <v>319.73899999999998</v>
      </c>
      <c r="EU28" s="1398">
        <v>1.4600000000000009</v>
      </c>
      <c r="EV28" s="1398"/>
      <c r="EW28" s="1394">
        <v>1.46</v>
      </c>
      <c r="EX28" s="112"/>
      <c r="EY28" s="112"/>
      <c r="EZ28" s="112"/>
    </row>
    <row r="29" spans="1:156" ht="15">
      <c r="AJ29" s="26">
        <v>228.358</v>
      </c>
      <c r="CN29" s="1446">
        <f>CN20-CO29</f>
        <v>1083.9689999999998</v>
      </c>
      <c r="CO29" s="1569">
        <f>CZ29+DK29</f>
        <v>4.3999999999999995</v>
      </c>
      <c r="CY29" s="1446">
        <f>CY20-CZ29</f>
        <v>662.33999999999992</v>
      </c>
      <c r="CZ29" s="1569">
        <f>'4.3_КТЭЦ'!AO10</f>
        <v>2.9899999999999998</v>
      </c>
      <c r="DJ29" s="1446">
        <f>DJ20-DK29</f>
        <v>421.62899999999996</v>
      </c>
      <c r="DK29" s="1569">
        <f>'4.3_КТЭЦ'!AS10</f>
        <v>1.41</v>
      </c>
    </row>
    <row r="30" spans="1:156" ht="15">
      <c r="A30" s="26" t="s">
        <v>88</v>
      </c>
      <c r="AJ30" s="1446">
        <f>AJ19+AJ28+AJ29</f>
        <v>1156.463</v>
      </c>
      <c r="CZ30" s="1446"/>
    </row>
    <row r="31" spans="1:156" s="28" customFormat="1" ht="46.5" customHeight="1">
      <c r="A31" s="45" t="s">
        <v>89</v>
      </c>
      <c r="B31" s="1842" t="s">
        <v>90</v>
      </c>
      <c r="C31" s="1842"/>
      <c r="D31" s="1842"/>
      <c r="E31" s="1842"/>
      <c r="F31" s="1842"/>
      <c r="G31" s="1842"/>
      <c r="H31" s="1842"/>
      <c r="I31" s="1842"/>
      <c r="J31" s="1842"/>
      <c r="K31" s="1842"/>
      <c r="L31" s="1842"/>
      <c r="M31" s="1842"/>
      <c r="N31" s="1843"/>
      <c r="O31" s="1843"/>
      <c r="P31" s="1843"/>
      <c r="Q31" s="1843"/>
      <c r="R31" s="1843"/>
      <c r="S31" s="1843"/>
      <c r="T31" s="1843"/>
      <c r="U31" s="1843"/>
      <c r="V31" s="1843"/>
      <c r="W31" s="1843"/>
      <c r="X31" s="1843"/>
      <c r="Y31" s="1843"/>
      <c r="Z31" s="1843"/>
      <c r="AA31" s="1843"/>
      <c r="AB31" s="1843"/>
      <c r="AC31" s="1843"/>
      <c r="AD31" s="1843"/>
      <c r="AE31" s="1843"/>
      <c r="AF31" s="1843"/>
      <c r="AG31" s="1843"/>
      <c r="AH31" s="1843"/>
      <c r="AI31" s="1843"/>
      <c r="AJ31" s="1843"/>
      <c r="AK31" s="1843"/>
      <c r="AL31" s="1843"/>
      <c r="AM31" s="1843"/>
      <c r="AN31" s="1843"/>
      <c r="AO31" s="1843"/>
      <c r="AP31" s="1843"/>
      <c r="AQ31" s="1843"/>
      <c r="AR31" s="1843"/>
      <c r="AS31" s="1843"/>
      <c r="AT31" s="1843"/>
      <c r="AU31" s="1843"/>
      <c r="AV31" s="1843"/>
      <c r="AW31" s="1843"/>
      <c r="AX31" s="1843"/>
      <c r="AY31" s="1843"/>
      <c r="AZ31" s="1843"/>
      <c r="BA31" s="1843"/>
      <c r="BB31" s="1843"/>
      <c r="BC31" s="1843"/>
      <c r="BD31" s="1843"/>
      <c r="BE31" s="1843"/>
      <c r="BF31" s="1843"/>
      <c r="BG31" s="1843"/>
      <c r="BH31" s="1843"/>
      <c r="BI31" s="1843"/>
      <c r="BJ31" s="1843"/>
      <c r="BK31" s="1843"/>
      <c r="BL31" s="1843"/>
      <c r="BM31" s="1843"/>
      <c r="BN31" s="1843"/>
      <c r="BO31" s="1843"/>
      <c r="BP31" s="1843"/>
      <c r="BQ31" s="1843"/>
      <c r="BR31" s="1843"/>
      <c r="BS31" s="1843"/>
      <c r="BT31" s="1843"/>
      <c r="BU31" s="1843"/>
      <c r="BV31" s="1843"/>
      <c r="BW31" s="1843"/>
      <c r="BX31" s="1843"/>
      <c r="BY31" s="1843"/>
      <c r="BZ31" s="1843"/>
      <c r="CA31" s="1843"/>
      <c r="CB31" s="1843"/>
      <c r="CC31" s="1843"/>
      <c r="CD31" s="1843"/>
      <c r="CE31" s="1843"/>
      <c r="CF31" s="1843"/>
      <c r="CG31" s="1843"/>
      <c r="CH31" s="1843"/>
      <c r="CI31" s="1843"/>
      <c r="CJ31" s="1843"/>
      <c r="CK31" s="1843"/>
      <c r="CL31" s="1843"/>
      <c r="CM31" s="1843"/>
      <c r="CN31" s="1843"/>
      <c r="CO31" s="1843"/>
      <c r="CP31" s="1843"/>
      <c r="CQ31" s="1843"/>
      <c r="CR31" s="1843"/>
      <c r="CS31" s="1843"/>
      <c r="CT31" s="1843"/>
      <c r="CU31" s="1843"/>
      <c r="CV31" s="1843"/>
      <c r="CW31" s="1843"/>
      <c r="CX31" s="441"/>
      <c r="CY31" s="441"/>
      <c r="CZ31" s="1381"/>
      <c r="DA31" s="1381"/>
      <c r="DB31" s="1381"/>
      <c r="DC31" s="441"/>
      <c r="DD31" s="441"/>
      <c r="DE31" s="441"/>
      <c r="DF31" s="441"/>
      <c r="DG31" s="441"/>
      <c r="DH31" s="441"/>
      <c r="DI31" s="441"/>
      <c r="DJ31" s="441"/>
      <c r="DK31" s="1381"/>
      <c r="DL31" s="1381"/>
      <c r="DM31" s="1381"/>
      <c r="DN31" s="441"/>
      <c r="DO31" s="441"/>
      <c r="DP31" s="441"/>
      <c r="DQ31" s="441"/>
      <c r="DR31" s="441"/>
      <c r="DS31" s="441"/>
      <c r="DV31" s="1382"/>
      <c r="DW31" s="1382"/>
      <c r="DX31" s="1382"/>
    </row>
    <row r="32" spans="1:156" s="28" customFormat="1" ht="15" customHeight="1">
      <c r="A32" s="45" t="s">
        <v>91</v>
      </c>
      <c r="B32" s="28" t="s">
        <v>92</v>
      </c>
      <c r="C32" s="541"/>
      <c r="D32" s="541"/>
      <c r="E32" s="1382"/>
      <c r="F32" s="1382"/>
      <c r="G32" s="1382"/>
      <c r="H32" s="541"/>
      <c r="I32" s="541"/>
      <c r="J32" s="541"/>
      <c r="K32" s="541"/>
      <c r="L32" s="541"/>
      <c r="M32" s="541"/>
      <c r="P32" s="1382"/>
      <c r="Q32" s="1382"/>
      <c r="R32" s="1382"/>
      <c r="Y32" s="541"/>
      <c r="Z32" s="541"/>
      <c r="AA32" s="1382"/>
      <c r="AB32" s="1382"/>
      <c r="AC32" s="1382"/>
      <c r="AD32" s="541"/>
      <c r="AE32" s="541"/>
      <c r="AF32" s="541"/>
      <c r="AG32" s="541"/>
      <c r="AH32" s="541"/>
      <c r="AI32" s="541"/>
      <c r="AJ32" s="541"/>
      <c r="AK32" s="541"/>
      <c r="AL32" s="1382"/>
      <c r="AM32" s="1382"/>
      <c r="AN32" s="1382"/>
      <c r="AO32" s="541"/>
      <c r="AP32" s="541"/>
      <c r="AQ32" s="541"/>
      <c r="AR32" s="541"/>
      <c r="AS32" s="541"/>
      <c r="AT32" s="541"/>
      <c r="AU32" s="1275"/>
      <c r="AV32" s="1275"/>
      <c r="AW32" s="1382"/>
      <c r="AX32" s="1382"/>
      <c r="AY32" s="1382"/>
      <c r="AZ32" s="1275"/>
      <c r="BA32" s="1275"/>
      <c r="BB32" s="1275"/>
      <c r="BC32" s="1275"/>
      <c r="BD32" s="1275"/>
      <c r="BE32" s="1275"/>
      <c r="BF32" s="1275"/>
      <c r="BG32" s="1275"/>
      <c r="BH32" s="1382"/>
      <c r="BI32" s="1382"/>
      <c r="BJ32" s="1382"/>
      <c r="BK32" s="1275"/>
      <c r="BL32" s="1275"/>
      <c r="BM32" s="1275"/>
      <c r="BN32" s="1275"/>
      <c r="BO32" s="1275"/>
      <c r="BP32" s="1275"/>
      <c r="BQ32" s="1579"/>
      <c r="BR32" s="1579"/>
      <c r="BS32" s="1579"/>
      <c r="BT32" s="1579"/>
      <c r="BU32" s="1579"/>
      <c r="BV32" s="1579"/>
      <c r="BW32" s="1579"/>
      <c r="BX32" s="1579"/>
      <c r="BY32" s="1579"/>
      <c r="BZ32" s="1579"/>
      <c r="CA32" s="1579"/>
      <c r="CB32" s="1579"/>
      <c r="CC32" s="1579"/>
      <c r="CD32" s="1579"/>
      <c r="CE32" s="1579"/>
      <c r="CF32" s="1579"/>
      <c r="CG32" s="1579"/>
      <c r="CH32" s="1579"/>
      <c r="CI32" s="1579"/>
      <c r="CJ32" s="1579"/>
      <c r="CK32" s="1579"/>
      <c r="CL32" s="1579"/>
      <c r="CM32" s="294"/>
      <c r="CN32" s="294"/>
      <c r="CO32" s="294"/>
      <c r="CP32" s="294"/>
      <c r="CQ32" s="294"/>
      <c r="CR32" s="294"/>
      <c r="CS32" s="294"/>
      <c r="CT32" s="294"/>
      <c r="CU32" s="294"/>
      <c r="CV32" s="294"/>
      <c r="CW32" s="294"/>
      <c r="CZ32" s="1382"/>
      <c r="DA32" s="1382"/>
      <c r="DB32" s="1382"/>
      <c r="DK32" s="1382"/>
      <c r="DL32" s="1382"/>
      <c r="DM32" s="1382"/>
      <c r="DV32" s="1382"/>
      <c r="DW32" s="1382"/>
      <c r="DX32" s="1382"/>
    </row>
    <row r="33" spans="1:128" s="28" customFormat="1" ht="15" customHeight="1">
      <c r="A33" s="45" t="s">
        <v>93</v>
      </c>
      <c r="B33" s="28" t="s">
        <v>94</v>
      </c>
      <c r="C33" s="541"/>
      <c r="D33" s="541"/>
      <c r="E33" s="1382"/>
      <c r="F33" s="1382"/>
      <c r="G33" s="1382"/>
      <c r="H33" s="541"/>
      <c r="I33" s="541"/>
      <c r="J33" s="541"/>
      <c r="K33" s="541"/>
      <c r="L33" s="541"/>
      <c r="M33" s="541"/>
      <c r="P33" s="1382"/>
      <c r="Q33" s="1382"/>
      <c r="R33" s="1382"/>
      <c r="Y33" s="541"/>
      <c r="Z33" s="541"/>
      <c r="AA33" s="1382"/>
      <c r="AB33" s="1382"/>
      <c r="AC33" s="1382"/>
      <c r="AD33" s="541"/>
      <c r="AE33" s="541"/>
      <c r="AF33" s="541"/>
      <c r="AG33" s="541"/>
      <c r="AH33" s="541"/>
      <c r="AI33" s="541"/>
      <c r="AJ33" s="541"/>
      <c r="AK33" s="541"/>
      <c r="AL33" s="1382"/>
      <c r="AM33" s="1382"/>
      <c r="AN33" s="1382"/>
      <c r="AO33" s="541"/>
      <c r="AP33" s="541"/>
      <c r="AQ33" s="541"/>
      <c r="AR33" s="541"/>
      <c r="AS33" s="541"/>
      <c r="AT33" s="541"/>
      <c r="AU33" s="1275"/>
      <c r="AV33" s="1275"/>
      <c r="AW33" s="1382"/>
      <c r="AX33" s="1382"/>
      <c r="AY33" s="1382"/>
      <c r="AZ33" s="1275"/>
      <c r="BA33" s="1275"/>
      <c r="BB33" s="1275"/>
      <c r="BC33" s="1275"/>
      <c r="BD33" s="1275"/>
      <c r="BE33" s="1275"/>
      <c r="BF33" s="1275"/>
      <c r="BG33" s="1275"/>
      <c r="BH33" s="1382"/>
      <c r="BI33" s="1382"/>
      <c r="BJ33" s="1382"/>
      <c r="BK33" s="1275"/>
      <c r="BL33" s="1275"/>
      <c r="BM33" s="1275"/>
      <c r="BN33" s="1275"/>
      <c r="BO33" s="1275"/>
      <c r="BP33" s="1275"/>
      <c r="BQ33" s="1579"/>
      <c r="BR33" s="1579"/>
      <c r="BS33" s="1579"/>
      <c r="BT33" s="1579"/>
      <c r="BU33" s="1579"/>
      <c r="BV33" s="1579"/>
      <c r="BW33" s="1579"/>
      <c r="BX33" s="1579"/>
      <c r="BY33" s="1579"/>
      <c r="BZ33" s="1579"/>
      <c r="CA33" s="1579"/>
      <c r="CB33" s="1579"/>
      <c r="CC33" s="1579"/>
      <c r="CD33" s="1579"/>
      <c r="CE33" s="1579"/>
      <c r="CF33" s="1579"/>
      <c r="CG33" s="1579"/>
      <c r="CH33" s="1579"/>
      <c r="CI33" s="1579"/>
      <c r="CJ33" s="1579"/>
      <c r="CK33" s="1579"/>
      <c r="CL33" s="1579"/>
      <c r="CM33" s="294"/>
      <c r="CN33" s="294"/>
      <c r="CO33" s="294"/>
      <c r="CP33" s="294"/>
      <c r="CQ33" s="294"/>
      <c r="CR33" s="294"/>
      <c r="CS33" s="294"/>
      <c r="CT33" s="294"/>
      <c r="CU33" s="294"/>
      <c r="CV33" s="294"/>
      <c r="CW33" s="294"/>
      <c r="CZ33" s="1382"/>
      <c r="DA33" s="1382"/>
      <c r="DB33" s="1382"/>
      <c r="DK33" s="1382"/>
      <c r="DL33" s="1382"/>
      <c r="DM33" s="1382"/>
      <c r="DV33" s="1382"/>
      <c r="DW33" s="1382"/>
      <c r="DX33" s="1382"/>
    </row>
    <row r="34" spans="1:128" s="28" customFormat="1" ht="15" customHeight="1">
      <c r="A34" s="45" t="s">
        <v>95</v>
      </c>
      <c r="B34" s="28" t="s">
        <v>96</v>
      </c>
      <c r="C34" s="541"/>
      <c r="D34" s="541"/>
      <c r="E34" s="1382"/>
      <c r="F34" s="1382"/>
      <c r="G34" s="1382"/>
      <c r="H34" s="541"/>
      <c r="I34" s="541"/>
      <c r="J34" s="541"/>
      <c r="K34" s="541"/>
      <c r="L34" s="541"/>
      <c r="M34" s="541"/>
      <c r="P34" s="1382"/>
      <c r="Q34" s="1382"/>
      <c r="R34" s="1382"/>
      <c r="Y34" s="541"/>
      <c r="Z34" s="541"/>
      <c r="AA34" s="1382"/>
      <c r="AB34" s="1382"/>
      <c r="AC34" s="1382"/>
      <c r="AD34" s="541"/>
      <c r="AE34" s="541"/>
      <c r="AF34" s="541"/>
      <c r="AG34" s="541"/>
      <c r="AH34" s="541"/>
      <c r="AI34" s="541"/>
      <c r="AJ34" s="541"/>
      <c r="AK34" s="541"/>
      <c r="AL34" s="1382"/>
      <c r="AM34" s="1382"/>
      <c r="AN34" s="1382"/>
      <c r="AO34" s="541"/>
      <c r="AP34" s="541"/>
      <c r="AQ34" s="541"/>
      <c r="AR34" s="541"/>
      <c r="AS34" s="541"/>
      <c r="AT34" s="541"/>
      <c r="AU34" s="1275"/>
      <c r="AV34" s="1275"/>
      <c r="AW34" s="1382"/>
      <c r="AX34" s="1382"/>
      <c r="AY34" s="1382"/>
      <c r="AZ34" s="1275"/>
      <c r="BA34" s="1275"/>
      <c r="BB34" s="1275"/>
      <c r="BC34" s="1275"/>
      <c r="BD34" s="1275"/>
      <c r="BE34" s="1275"/>
      <c r="BF34" s="1275"/>
      <c r="BG34" s="1275"/>
      <c r="BH34" s="1382"/>
      <c r="BI34" s="1382"/>
      <c r="BJ34" s="1382"/>
      <c r="BK34" s="1275"/>
      <c r="BL34" s="1275"/>
      <c r="BM34" s="1275"/>
      <c r="BN34" s="1275"/>
      <c r="BO34" s="1275"/>
      <c r="BP34" s="1275"/>
      <c r="BQ34" s="1579"/>
      <c r="BR34" s="1579"/>
      <c r="BS34" s="1579"/>
      <c r="BT34" s="1579"/>
      <c r="BU34" s="1579"/>
      <c r="BV34" s="1579"/>
      <c r="BW34" s="1579"/>
      <c r="BX34" s="1579"/>
      <c r="BY34" s="1579"/>
      <c r="BZ34" s="1579"/>
      <c r="CA34" s="1579"/>
      <c r="CB34" s="1579"/>
      <c r="CC34" s="1579"/>
      <c r="CD34" s="1579"/>
      <c r="CE34" s="1579"/>
      <c r="CF34" s="1579"/>
      <c r="CG34" s="1579"/>
      <c r="CH34" s="1579"/>
      <c r="CI34" s="1579"/>
      <c r="CJ34" s="1579"/>
      <c r="CK34" s="1579"/>
      <c r="CL34" s="1579"/>
      <c r="CM34" s="294"/>
      <c r="CN34" s="294"/>
      <c r="CO34" s="294"/>
      <c r="CP34" s="294"/>
      <c r="CQ34" s="294"/>
      <c r="CR34" s="294"/>
      <c r="CS34" s="294"/>
      <c r="CT34" s="294"/>
      <c r="CU34" s="294"/>
      <c r="CV34" s="294"/>
      <c r="CW34" s="294"/>
      <c r="CZ34" s="1382"/>
      <c r="DA34" s="1382"/>
      <c r="DB34" s="1382"/>
      <c r="DK34" s="1382"/>
      <c r="DL34" s="1382"/>
      <c r="DM34" s="1382"/>
      <c r="DV34" s="1382"/>
      <c r="DW34" s="1382"/>
      <c r="DX34" s="1382"/>
    </row>
    <row r="35" spans="1:128" s="28" customFormat="1" ht="35.25" customHeight="1">
      <c r="A35" s="45" t="s">
        <v>97</v>
      </c>
      <c r="B35" s="1842" t="s">
        <v>98</v>
      </c>
      <c r="C35" s="1842"/>
      <c r="D35" s="1842"/>
      <c r="E35" s="1842"/>
      <c r="F35" s="1842"/>
      <c r="G35" s="1842"/>
      <c r="H35" s="1842"/>
      <c r="I35" s="1842"/>
      <c r="J35" s="1842"/>
      <c r="K35" s="1842"/>
      <c r="L35" s="1842"/>
      <c r="M35" s="1842"/>
      <c r="N35" s="1843"/>
      <c r="O35" s="1843"/>
      <c r="P35" s="1843"/>
      <c r="Q35" s="1843"/>
      <c r="R35" s="1843"/>
      <c r="S35" s="1843"/>
      <c r="T35" s="1843"/>
      <c r="U35" s="1843"/>
      <c r="V35" s="1843"/>
      <c r="W35" s="1843"/>
      <c r="X35" s="1843"/>
      <c r="Y35" s="1843"/>
      <c r="Z35" s="1843"/>
      <c r="AA35" s="1843"/>
      <c r="AB35" s="1843"/>
      <c r="AC35" s="1843"/>
      <c r="AD35" s="1843"/>
      <c r="AE35" s="1843"/>
      <c r="AF35" s="1843"/>
      <c r="AG35" s="1843"/>
      <c r="AH35" s="1843"/>
      <c r="AI35" s="1843"/>
      <c r="AJ35" s="1843"/>
      <c r="AK35" s="1843"/>
      <c r="AL35" s="1843"/>
      <c r="AM35" s="1843"/>
      <c r="AN35" s="1843"/>
      <c r="AO35" s="1843"/>
      <c r="AP35" s="1843"/>
      <c r="AQ35" s="1843"/>
      <c r="AR35" s="1843"/>
      <c r="AS35" s="1843"/>
      <c r="AT35" s="1843"/>
      <c r="AU35" s="1843"/>
      <c r="AV35" s="1843"/>
      <c r="AW35" s="1843"/>
      <c r="AX35" s="1843"/>
      <c r="AY35" s="1843"/>
      <c r="AZ35" s="1843"/>
      <c r="BA35" s="1843"/>
      <c r="BB35" s="1843"/>
      <c r="BC35" s="1843"/>
      <c r="BD35" s="1843"/>
      <c r="BE35" s="1843"/>
      <c r="BF35" s="1843"/>
      <c r="BG35" s="1843"/>
      <c r="BH35" s="1843"/>
      <c r="BI35" s="1843"/>
      <c r="BJ35" s="1843"/>
      <c r="BK35" s="1843"/>
      <c r="BL35" s="1843"/>
      <c r="BM35" s="1843"/>
      <c r="BN35" s="1843"/>
      <c r="BO35" s="1843"/>
      <c r="BP35" s="1843"/>
      <c r="BQ35" s="1843"/>
      <c r="BR35" s="1843"/>
      <c r="BS35" s="1843"/>
      <c r="BT35" s="1843"/>
      <c r="BU35" s="1843"/>
      <c r="BV35" s="1843"/>
      <c r="BW35" s="1843"/>
      <c r="BX35" s="1843"/>
      <c r="BY35" s="1843"/>
      <c r="BZ35" s="1843"/>
      <c r="CA35" s="1843"/>
      <c r="CB35" s="1843"/>
      <c r="CC35" s="1843"/>
      <c r="CD35" s="1843"/>
      <c r="CE35" s="1843"/>
      <c r="CF35" s="1843"/>
      <c r="CG35" s="1843"/>
      <c r="CH35" s="1843"/>
      <c r="CI35" s="1843"/>
      <c r="CJ35" s="1843"/>
      <c r="CK35" s="1843"/>
      <c r="CL35" s="1843"/>
      <c r="CM35" s="1843"/>
      <c r="CN35" s="1843"/>
      <c r="CO35" s="1843"/>
      <c r="CP35" s="1843"/>
      <c r="CQ35" s="1843"/>
      <c r="CR35" s="1843"/>
      <c r="CS35" s="1843"/>
      <c r="CT35" s="1843"/>
      <c r="CU35" s="1843"/>
      <c r="CV35" s="1843"/>
      <c r="CW35" s="1843"/>
      <c r="CX35" s="441"/>
      <c r="CY35" s="441"/>
      <c r="CZ35" s="1381"/>
      <c r="DA35" s="1381"/>
      <c r="DB35" s="1381"/>
      <c r="DC35" s="441"/>
      <c r="DD35" s="441"/>
      <c r="DE35" s="441"/>
      <c r="DF35" s="441"/>
      <c r="DG35" s="441"/>
      <c r="DH35" s="441"/>
      <c r="DI35" s="441"/>
      <c r="DJ35" s="441"/>
      <c r="DK35" s="1381"/>
      <c r="DL35" s="1381"/>
      <c r="DM35" s="1381"/>
      <c r="DN35" s="441"/>
      <c r="DO35" s="441"/>
      <c r="DP35" s="441"/>
      <c r="DQ35" s="441"/>
      <c r="DR35" s="441"/>
      <c r="DS35" s="441"/>
      <c r="DV35" s="1382"/>
      <c r="DW35" s="1382"/>
      <c r="DX35" s="1382"/>
    </row>
    <row r="36" spans="1:128" s="28" customFormat="1" ht="26.25" customHeight="1">
      <c r="C36" s="541"/>
      <c r="D36" s="541"/>
      <c r="E36" s="1382"/>
      <c r="F36" s="1382"/>
      <c r="G36" s="1382"/>
      <c r="H36" s="541"/>
      <c r="I36" s="541"/>
      <c r="J36" s="541"/>
      <c r="K36" s="541"/>
      <c r="L36" s="541"/>
      <c r="M36" s="541"/>
      <c r="P36" s="1382"/>
      <c r="Q36" s="1382"/>
      <c r="R36" s="1382"/>
      <c r="Y36" s="541"/>
      <c r="Z36" s="541"/>
      <c r="AA36" s="1382"/>
      <c r="AB36" s="1382"/>
      <c r="AC36" s="1382"/>
      <c r="AD36" s="541"/>
      <c r="AE36" s="541"/>
      <c r="AF36" s="541"/>
      <c r="AG36" s="541"/>
      <c r="AH36" s="541"/>
      <c r="AI36" s="541"/>
      <c r="AJ36" s="541"/>
      <c r="AK36" s="541"/>
      <c r="AL36" s="1382"/>
      <c r="AM36" s="1382"/>
      <c r="AN36" s="1382"/>
      <c r="AO36" s="541"/>
      <c r="AP36" s="541"/>
      <c r="AQ36" s="541"/>
      <c r="AR36" s="541"/>
      <c r="AS36" s="541"/>
      <c r="AT36" s="541"/>
      <c r="AU36" s="1275"/>
      <c r="AV36" s="1275"/>
      <c r="AW36" s="1382"/>
      <c r="AX36" s="1382"/>
      <c r="AY36" s="1382"/>
      <c r="AZ36" s="1275"/>
      <c r="BA36" s="1275"/>
      <c r="BB36" s="1275"/>
      <c r="BC36" s="1275"/>
      <c r="BD36" s="1275"/>
      <c r="BE36" s="1275"/>
      <c r="BF36" s="1275"/>
      <c r="BG36" s="1275"/>
      <c r="BH36" s="1382"/>
      <c r="BI36" s="1382"/>
      <c r="BJ36" s="1382"/>
      <c r="BK36" s="1275"/>
      <c r="BL36" s="1275"/>
      <c r="BM36" s="1275"/>
      <c r="BN36" s="1275"/>
      <c r="BO36" s="1275"/>
      <c r="BP36" s="1275"/>
      <c r="BQ36" s="1579"/>
      <c r="BR36" s="1579"/>
      <c r="BS36" s="1579"/>
      <c r="BT36" s="1579"/>
      <c r="BU36" s="1579"/>
      <c r="BV36" s="1579"/>
      <c r="BW36" s="1579"/>
      <c r="BX36" s="1579"/>
      <c r="BY36" s="1579"/>
      <c r="BZ36" s="1579"/>
      <c r="CA36" s="1579"/>
      <c r="CB36" s="1579"/>
      <c r="CC36" s="1579"/>
      <c r="CD36" s="1579"/>
      <c r="CE36" s="1579"/>
      <c r="CF36" s="1579"/>
      <c r="CG36" s="1579"/>
      <c r="CH36" s="1579"/>
      <c r="CI36" s="1579"/>
      <c r="CJ36" s="1579"/>
      <c r="CK36" s="1579"/>
      <c r="CL36" s="1579"/>
      <c r="CM36" s="294"/>
      <c r="CN36" s="294"/>
      <c r="CO36" s="294"/>
      <c r="CP36" s="294"/>
      <c r="CQ36" s="294"/>
      <c r="CR36" s="294"/>
      <c r="CS36" s="294"/>
      <c r="CT36" s="294"/>
      <c r="CU36" s="294"/>
      <c r="CV36" s="294"/>
      <c r="CW36" s="294"/>
      <c r="CZ36" s="1382"/>
      <c r="DA36" s="1382"/>
      <c r="DB36" s="1382"/>
      <c r="DK36" s="1382"/>
      <c r="DL36" s="1382"/>
      <c r="DM36" s="1382"/>
      <c r="DV36" s="1382"/>
      <c r="DW36" s="1382"/>
      <c r="DX36" s="1382"/>
    </row>
  </sheetData>
  <mergeCells count="102">
    <mergeCell ref="EE5:EO5"/>
    <mergeCell ref="EP5:EZ5"/>
    <mergeCell ref="EE6:EE8"/>
    <mergeCell ref="EF6:EO6"/>
    <mergeCell ref="EP6:EP8"/>
    <mergeCell ref="EQ6:EZ6"/>
    <mergeCell ref="EF7:EF8"/>
    <mergeCell ref="EG7:EI7"/>
    <mergeCell ref="EJ7:EJ8"/>
    <mergeCell ref="EK7:EO7"/>
    <mergeCell ref="EQ7:EQ8"/>
    <mergeCell ref="ER7:ET7"/>
    <mergeCell ref="EU7:EU8"/>
    <mergeCell ref="EV7:EZ7"/>
    <mergeCell ref="CZ7:DB7"/>
    <mergeCell ref="DK7:DM7"/>
    <mergeCell ref="DV7:DX7"/>
    <mergeCell ref="B5:B8"/>
    <mergeCell ref="CM6:CM8"/>
    <mergeCell ref="CM5:CW5"/>
    <mergeCell ref="CN7:CN8"/>
    <mergeCell ref="CR7:CR8"/>
    <mergeCell ref="CS7:CW7"/>
    <mergeCell ref="CO7:CQ7"/>
    <mergeCell ref="Y5:AI5"/>
    <mergeCell ref="Y6:Y8"/>
    <mergeCell ref="Z6:AI6"/>
    <mergeCell ref="Z7:Z8"/>
    <mergeCell ref="AD7:AD8"/>
    <mergeCell ref="AE7:AI7"/>
    <mergeCell ref="DT5:ED5"/>
    <mergeCell ref="DT6:DT8"/>
    <mergeCell ref="DU6:ED6"/>
    <mergeCell ref="DU7:DU8"/>
    <mergeCell ref="DY7:DY8"/>
    <mergeCell ref="DZ7:ED7"/>
    <mergeCell ref="BF5:BP5"/>
    <mergeCell ref="AU6:AU8"/>
    <mergeCell ref="A5:A8"/>
    <mergeCell ref="T7:X7"/>
    <mergeCell ref="O7:O8"/>
    <mergeCell ref="S7:S8"/>
    <mergeCell ref="O6:X6"/>
    <mergeCell ref="N6:N8"/>
    <mergeCell ref="N5:X5"/>
    <mergeCell ref="C5:M5"/>
    <mergeCell ref="C6:C8"/>
    <mergeCell ref="D6:M6"/>
    <mergeCell ref="D7:D8"/>
    <mergeCell ref="H7:H8"/>
    <mergeCell ref="I7:M7"/>
    <mergeCell ref="E7:G7"/>
    <mergeCell ref="P7:R7"/>
    <mergeCell ref="B31:CW31"/>
    <mergeCell ref="B35:CW35"/>
    <mergeCell ref="DI5:DS5"/>
    <mergeCell ref="DI6:DI8"/>
    <mergeCell ref="DJ6:DS6"/>
    <mergeCell ref="DJ7:DJ8"/>
    <mergeCell ref="DN7:DN8"/>
    <mergeCell ref="DO7:DS7"/>
    <mergeCell ref="CX5:DH5"/>
    <mergeCell ref="CX6:CX8"/>
    <mergeCell ref="CY6:DH6"/>
    <mergeCell ref="CY7:CY8"/>
    <mergeCell ref="DC7:DC8"/>
    <mergeCell ref="DD7:DH7"/>
    <mergeCell ref="CN6:CW6"/>
    <mergeCell ref="AA7:AC7"/>
    <mergeCell ref="AJ5:AT5"/>
    <mergeCell ref="AJ6:AJ8"/>
    <mergeCell ref="AK6:AT6"/>
    <mergeCell ref="AK7:AK8"/>
    <mergeCell ref="AO7:AO8"/>
    <mergeCell ref="AP7:AT7"/>
    <mergeCell ref="AL7:AN7"/>
    <mergeCell ref="AU5:BE5"/>
    <mergeCell ref="AV6:BE6"/>
    <mergeCell ref="BF6:BF8"/>
    <mergeCell ref="BG6:BP6"/>
    <mergeCell ref="AV7:AV8"/>
    <mergeCell ref="AZ7:AZ8"/>
    <mergeCell ref="BA7:BE7"/>
    <mergeCell ref="BG7:BG8"/>
    <mergeCell ref="BK7:BK8"/>
    <mergeCell ref="BL7:BP7"/>
    <mergeCell ref="AW7:AY7"/>
    <mergeCell ref="BH7:BJ7"/>
    <mergeCell ref="BQ5:CA5"/>
    <mergeCell ref="BQ6:BQ8"/>
    <mergeCell ref="BR6:CA6"/>
    <mergeCell ref="BR7:BR8"/>
    <mergeCell ref="BS7:BU7"/>
    <mergeCell ref="BV7:BV8"/>
    <mergeCell ref="BW7:CA7"/>
    <mergeCell ref="CB5:CL5"/>
    <mergeCell ref="CB6:CB8"/>
    <mergeCell ref="CC6:CL6"/>
    <mergeCell ref="CC7:CC8"/>
    <mergeCell ref="CD7:CF7"/>
    <mergeCell ref="CG7:CG8"/>
    <mergeCell ref="CH7:CL7"/>
  </mergeCells>
  <pageMargins left="0.47244094488188981" right="0.15748031496062992" top="0.78740157480314965" bottom="0.39370078740157483" header="0.19685039370078741" footer="0.19685039370078741"/>
  <pageSetup paperSize="9" scale="45" orientation="landscape" r:id="rId1"/>
  <headerFooter alignWithMargins="0"/>
  <rowBreaks count="1" manualBreakCount="1">
    <brk id="35" max="33" man="1"/>
  </rowBreaks>
  <colBreaks count="3" manualBreakCount="3">
    <brk id="57" max="27" man="1"/>
    <brk id="90" max="27" man="1"/>
    <brk id="123" max="27" man="1"/>
  </colBreaks>
  <ignoredErrors>
    <ignoredError sqref="A10 A16 A19:A21 A28" numberStoredAsText="1"/>
    <ignoredError sqref="N21:O21" formulaRange="1"/>
  </ignoredErrors>
  <legacy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99FF"/>
  </sheetPr>
  <dimension ref="A1:R78"/>
  <sheetViews>
    <sheetView view="pageBreakPreview" zoomScaleNormal="100" zoomScaleSheetLayoutView="100" workbookViewId="0">
      <pane xSplit="2" ySplit="5" topLeftCell="C6" activePane="bottomRight" state="frozen"/>
      <selection activeCell="M9" sqref="M9"/>
      <selection pane="topRight" activeCell="M9" sqref="M9"/>
      <selection pane="bottomLeft" activeCell="M9" sqref="M9"/>
      <selection pane="bottomRight" activeCell="O60" sqref="O60"/>
    </sheetView>
  </sheetViews>
  <sheetFormatPr defaultColWidth="2.85546875" defaultRowHeight="15"/>
  <cols>
    <col min="1" max="1" width="6.42578125" style="1" customWidth="1"/>
    <col min="2" max="2" width="36.42578125" style="1" customWidth="1"/>
    <col min="3" max="3" width="11.140625" style="21" customWidth="1"/>
    <col min="4" max="4" width="12.5703125" style="1" hidden="1" customWidth="1"/>
    <col min="5" max="5" width="11.85546875" style="1" hidden="1" customWidth="1"/>
    <col min="6" max="8" width="12.28515625" style="1" customWidth="1"/>
    <col min="9" max="9" width="12.28515625" style="1" hidden="1" customWidth="1"/>
    <col min="10" max="11" width="12.28515625" style="1" customWidth="1"/>
    <col min="12" max="12" width="16" style="1" customWidth="1"/>
    <col min="13" max="13" width="12.5703125" style="1" customWidth="1"/>
    <col min="14" max="14" width="12.7109375" style="1" customWidth="1"/>
    <col min="15" max="15" width="12.85546875" style="1" customWidth="1"/>
    <col min="16" max="16" width="12.28515625" style="1" customWidth="1"/>
    <col min="17" max="93" width="11.140625" style="1" customWidth="1"/>
    <col min="94" max="16384" width="2.85546875" style="1"/>
  </cols>
  <sheetData>
    <row r="1" spans="1:18" s="5" customFormat="1" ht="18" customHeight="1">
      <c r="A1" s="74" t="s">
        <v>1860</v>
      </c>
      <c r="C1" s="20"/>
      <c r="M1" s="6"/>
      <c r="N1" s="6"/>
      <c r="O1" s="6" t="s">
        <v>1060</v>
      </c>
      <c r="R1" s="6" t="s">
        <v>1060</v>
      </c>
    </row>
    <row r="2" spans="1:18" s="5" customFormat="1" ht="12.75" customHeight="1">
      <c r="A2" s="105" t="s">
        <v>1160</v>
      </c>
      <c r="C2" s="20"/>
    </row>
    <row r="3" spans="1:18" ht="18.75">
      <c r="A3" s="1877" t="s">
        <v>1171</v>
      </c>
      <c r="B3" s="1877"/>
      <c r="C3" s="1877"/>
      <c r="D3" s="1877"/>
      <c r="E3" s="1877"/>
      <c r="F3" s="1877"/>
      <c r="G3" s="1877"/>
      <c r="H3" s="1877"/>
      <c r="I3" s="1877"/>
      <c r="J3" s="1877"/>
      <c r="K3" s="1877"/>
      <c r="L3" s="1877"/>
      <c r="M3" s="1877"/>
      <c r="N3" s="1877"/>
      <c r="O3" s="1877"/>
    </row>
    <row r="4" spans="1:18" ht="12.75" customHeight="1"/>
    <row r="5" spans="1:18" s="3" customFormat="1" ht="68.25" customHeight="1">
      <c r="A5" s="542" t="s">
        <v>451</v>
      </c>
      <c r="B5" s="542" t="s">
        <v>1</v>
      </c>
      <c r="C5" s="542" t="s">
        <v>2</v>
      </c>
      <c r="D5" s="540" t="s">
        <v>1129</v>
      </c>
      <c r="E5" s="540" t="s">
        <v>1130</v>
      </c>
      <c r="F5" s="540" t="s">
        <v>1131</v>
      </c>
      <c r="G5" s="1284" t="s">
        <v>1695</v>
      </c>
      <c r="H5" s="1284" t="s">
        <v>1696</v>
      </c>
      <c r="I5" s="1661" t="s">
        <v>1882</v>
      </c>
      <c r="J5" s="1576" t="s">
        <v>1828</v>
      </c>
      <c r="K5" s="1661" t="s">
        <v>1842</v>
      </c>
      <c r="L5" s="1631" t="s">
        <v>1861</v>
      </c>
      <c r="M5" s="1631" t="s">
        <v>1862</v>
      </c>
      <c r="N5" s="1631" t="s">
        <v>763</v>
      </c>
      <c r="O5" s="1631" t="s">
        <v>764</v>
      </c>
      <c r="P5" s="1631" t="s">
        <v>1863</v>
      </c>
      <c r="Q5" s="1631" t="s">
        <v>763</v>
      </c>
      <c r="R5" s="1631" t="s">
        <v>764</v>
      </c>
    </row>
    <row r="6" spans="1:18" s="2" customFormat="1">
      <c r="A6" s="13">
        <v>1</v>
      </c>
      <c r="B6" s="13">
        <v>2</v>
      </c>
      <c r="C6" s="13">
        <v>3</v>
      </c>
      <c r="D6" s="13">
        <v>4</v>
      </c>
      <c r="E6" s="13">
        <v>5</v>
      </c>
      <c r="F6" s="13">
        <v>4</v>
      </c>
      <c r="G6" s="13">
        <v>5</v>
      </c>
      <c r="H6" s="13">
        <v>6</v>
      </c>
      <c r="I6" s="13"/>
      <c r="J6" s="13">
        <v>7</v>
      </c>
      <c r="K6" s="13">
        <v>8</v>
      </c>
      <c r="L6" s="13">
        <v>9</v>
      </c>
      <c r="M6" s="13">
        <v>10</v>
      </c>
      <c r="N6" s="13">
        <v>11</v>
      </c>
      <c r="O6" s="13">
        <v>12</v>
      </c>
      <c r="P6" s="13">
        <v>13</v>
      </c>
      <c r="Q6" s="13">
        <v>14</v>
      </c>
      <c r="R6" s="13">
        <v>15</v>
      </c>
    </row>
    <row r="7" spans="1:18" s="36" customFormat="1" ht="15" customHeight="1">
      <c r="A7" s="60" t="s">
        <v>4</v>
      </c>
      <c r="B7" s="61" t="s">
        <v>452</v>
      </c>
      <c r="C7" s="8" t="s">
        <v>453</v>
      </c>
      <c r="D7" s="391"/>
      <c r="E7" s="391"/>
      <c r="F7" s="391"/>
      <c r="G7" s="391"/>
      <c r="H7" s="391"/>
      <c r="I7" s="391"/>
      <c r="J7" s="391"/>
      <c r="K7" s="391"/>
      <c r="L7" s="391"/>
      <c r="M7" s="388"/>
      <c r="N7" s="388"/>
      <c r="O7" s="388"/>
      <c r="P7" s="388"/>
      <c r="Q7" s="388"/>
      <c r="R7" s="388"/>
    </row>
    <row r="8" spans="1:18" s="36" customFormat="1" ht="15" customHeight="1">
      <c r="A8" s="60" t="s">
        <v>5</v>
      </c>
      <c r="B8" s="61" t="s">
        <v>454</v>
      </c>
      <c r="C8" s="8" t="s">
        <v>453</v>
      </c>
      <c r="D8" s="391"/>
      <c r="E8" s="388">
        <v>954</v>
      </c>
      <c r="F8" s="391">
        <v>982.55650541145735</v>
      </c>
      <c r="G8" s="388">
        <v>954</v>
      </c>
      <c r="H8" s="388"/>
      <c r="I8" s="388"/>
      <c r="J8" s="391">
        <v>954</v>
      </c>
      <c r="K8" s="391"/>
      <c r="L8" s="391">
        <v>1043</v>
      </c>
      <c r="M8" s="391">
        <v>1043</v>
      </c>
      <c r="N8" s="391">
        <v>1043</v>
      </c>
      <c r="O8" s="391">
        <v>1043</v>
      </c>
      <c r="P8" s="391">
        <v>1132</v>
      </c>
      <c r="Q8" s="391">
        <v>1132</v>
      </c>
      <c r="R8" s="391">
        <v>1132</v>
      </c>
    </row>
    <row r="9" spans="1:18" s="36" customFormat="1" ht="15" customHeight="1">
      <c r="A9" s="60"/>
      <c r="B9" s="61" t="s">
        <v>455</v>
      </c>
      <c r="C9" s="8" t="s">
        <v>453</v>
      </c>
      <c r="D9" s="388"/>
      <c r="E9" s="388"/>
      <c r="F9" s="388"/>
      <c r="G9" s="388"/>
      <c r="H9" s="388"/>
      <c r="I9" s="388"/>
      <c r="J9" s="388"/>
      <c r="K9" s="388"/>
      <c r="L9" s="388"/>
      <c r="M9" s="388"/>
      <c r="N9" s="388"/>
      <c r="O9" s="388"/>
      <c r="P9" s="388"/>
      <c r="Q9" s="388"/>
      <c r="R9" s="388"/>
    </row>
    <row r="10" spans="1:18" s="36" customFormat="1" ht="15" customHeight="1">
      <c r="A10" s="60" t="s">
        <v>11</v>
      </c>
      <c r="B10" s="61" t="s">
        <v>456</v>
      </c>
      <c r="C10" s="8" t="s">
        <v>453</v>
      </c>
      <c r="D10" s="388"/>
      <c r="E10" s="388">
        <f>E8-181.5</f>
        <v>772.5</v>
      </c>
      <c r="F10" s="391">
        <v>811.57471659824591</v>
      </c>
      <c r="G10" s="388">
        <v>772.5</v>
      </c>
      <c r="H10" s="388"/>
      <c r="I10" s="388"/>
      <c r="J10" s="388">
        <v>772.5</v>
      </c>
      <c r="K10" s="388"/>
      <c r="L10" s="388">
        <v>861.5</v>
      </c>
      <c r="M10" s="388">
        <v>861.5</v>
      </c>
      <c r="N10" s="388">
        <v>861.5</v>
      </c>
      <c r="O10" s="388">
        <v>861.5</v>
      </c>
      <c r="P10" s="388">
        <v>950.5</v>
      </c>
      <c r="Q10" s="388">
        <v>950.5</v>
      </c>
      <c r="R10" s="388">
        <v>950.5</v>
      </c>
    </row>
    <row r="11" spans="1:18" s="36" customFormat="1" ht="15" customHeight="1">
      <c r="A11" s="60"/>
      <c r="B11" s="61" t="s">
        <v>457</v>
      </c>
      <c r="C11" s="8" t="s">
        <v>453</v>
      </c>
      <c r="D11" s="388"/>
      <c r="E11" s="388"/>
      <c r="F11" s="388"/>
      <c r="G11" s="388"/>
      <c r="H11" s="388"/>
      <c r="I11" s="388"/>
      <c r="J11" s="388"/>
      <c r="K11" s="388"/>
      <c r="L11" s="388"/>
      <c r="M11" s="388"/>
      <c r="N11" s="388"/>
      <c r="O11" s="388"/>
      <c r="P11" s="388"/>
      <c r="Q11" s="388"/>
      <c r="R11" s="388"/>
    </row>
    <row r="12" spans="1:18" s="36" customFormat="1" ht="15" customHeight="1">
      <c r="A12" s="60" t="s">
        <v>445</v>
      </c>
      <c r="B12" s="61" t="s">
        <v>458</v>
      </c>
      <c r="C12" s="8" t="s">
        <v>453</v>
      </c>
      <c r="D12" s="388"/>
      <c r="E12" s="388">
        <v>823</v>
      </c>
      <c r="F12" s="388"/>
      <c r="G12" s="388">
        <v>891</v>
      </c>
      <c r="H12" s="388"/>
      <c r="I12" s="388"/>
      <c r="J12" s="388">
        <v>891</v>
      </c>
      <c r="K12" s="388"/>
      <c r="L12" s="388"/>
      <c r="M12" s="388"/>
      <c r="N12" s="388"/>
      <c r="O12" s="388"/>
      <c r="P12" s="388"/>
      <c r="Q12" s="388"/>
      <c r="R12" s="388"/>
    </row>
    <row r="13" spans="1:18" s="36" customFormat="1" ht="15" customHeight="1">
      <c r="A13" s="60"/>
      <c r="B13" s="61" t="s">
        <v>459</v>
      </c>
      <c r="C13" s="8" t="s">
        <v>138</v>
      </c>
      <c r="D13" s="391" t="e">
        <f>D12/D8*100</f>
        <v>#DIV/0!</v>
      </c>
      <c r="E13" s="391">
        <f>E12/E8*100</f>
        <v>86.268343815513632</v>
      </c>
      <c r="F13" s="391">
        <v>0</v>
      </c>
      <c r="G13" s="391">
        <v>93.396226415094347</v>
      </c>
      <c r="H13" s="391"/>
      <c r="I13" s="391"/>
      <c r="J13" s="391">
        <v>93.396226415094347</v>
      </c>
      <c r="K13" s="391"/>
      <c r="L13" s="391">
        <v>0</v>
      </c>
      <c r="M13" s="388">
        <v>0</v>
      </c>
      <c r="N13" s="388">
        <v>0</v>
      </c>
      <c r="O13" s="388">
        <v>0</v>
      </c>
      <c r="P13" s="388">
        <v>0</v>
      </c>
      <c r="Q13" s="388">
        <v>0</v>
      </c>
      <c r="R13" s="388">
        <v>0</v>
      </c>
    </row>
    <row r="14" spans="1:18" s="36" customFormat="1" ht="15" customHeight="1">
      <c r="A14" s="60" t="s">
        <v>446</v>
      </c>
      <c r="B14" s="61" t="s">
        <v>460</v>
      </c>
      <c r="C14" s="8" t="s">
        <v>453</v>
      </c>
      <c r="D14" s="388"/>
      <c r="E14" s="388"/>
      <c r="F14" s="388"/>
      <c r="G14" s="388"/>
      <c r="H14" s="388"/>
      <c r="I14" s="388"/>
      <c r="J14" s="388"/>
      <c r="K14" s="388"/>
      <c r="L14" s="388"/>
      <c r="M14" s="388"/>
      <c r="N14" s="388"/>
      <c r="O14" s="388"/>
      <c r="P14" s="388"/>
      <c r="Q14" s="388"/>
      <c r="R14" s="388"/>
    </row>
    <row r="15" spans="1:18" s="36" customFormat="1" ht="15" customHeight="1">
      <c r="A15" s="60" t="s">
        <v>461</v>
      </c>
      <c r="B15" s="61" t="s">
        <v>462</v>
      </c>
      <c r="C15" s="8" t="s">
        <v>453</v>
      </c>
      <c r="D15" s="391">
        <v>709.51165621370501</v>
      </c>
      <c r="E15" s="391">
        <v>823</v>
      </c>
      <c r="F15" s="391">
        <v>830.80820523885052</v>
      </c>
      <c r="G15" s="391">
        <v>813.5</v>
      </c>
      <c r="H15" s="1025">
        <v>814.98141751779644</v>
      </c>
      <c r="I15" s="1025"/>
      <c r="J15" s="391">
        <v>818.7</v>
      </c>
      <c r="K15" s="391"/>
      <c r="L15" s="391">
        <v>818</v>
      </c>
      <c r="M15" s="391">
        <v>817</v>
      </c>
      <c r="N15" s="391">
        <v>817</v>
      </c>
      <c r="O15" s="391">
        <v>817</v>
      </c>
      <c r="P15" s="388">
        <v>817</v>
      </c>
      <c r="Q15" s="946">
        <v>817</v>
      </c>
      <c r="R15" s="946">
        <v>817</v>
      </c>
    </row>
    <row r="16" spans="1:18" s="36" customFormat="1" ht="15" customHeight="1">
      <c r="A16" s="60" t="s">
        <v>23</v>
      </c>
      <c r="B16" s="61" t="s">
        <v>463</v>
      </c>
      <c r="C16" s="8"/>
      <c r="D16" s="388"/>
      <c r="E16" s="388"/>
      <c r="F16" s="388"/>
      <c r="G16" s="388"/>
      <c r="H16" s="388"/>
      <c r="I16" s="388"/>
      <c r="J16" s="388"/>
      <c r="K16" s="388"/>
      <c r="L16" s="388"/>
      <c r="M16" s="388"/>
      <c r="N16" s="388"/>
      <c r="O16" s="388"/>
      <c r="P16" s="388"/>
      <c r="Q16" s="388"/>
      <c r="R16" s="388"/>
    </row>
    <row r="17" spans="1:18" s="36" customFormat="1" ht="15" customHeight="1">
      <c r="A17" s="60" t="s">
        <v>24</v>
      </c>
      <c r="B17" s="61" t="s">
        <v>464</v>
      </c>
      <c r="C17" s="8" t="s">
        <v>465</v>
      </c>
      <c r="D17" s="337">
        <v>4535.55</v>
      </c>
      <c r="E17" s="337">
        <v>4896</v>
      </c>
      <c r="F17" s="337"/>
      <c r="G17" s="337">
        <v>5628</v>
      </c>
      <c r="H17" s="337"/>
      <c r="I17" s="337"/>
      <c r="J17" s="337">
        <v>5778</v>
      </c>
      <c r="K17" s="337"/>
      <c r="L17" s="337">
        <v>6671</v>
      </c>
      <c r="M17" s="337">
        <v>7248</v>
      </c>
      <c r="N17" s="337">
        <v>7398</v>
      </c>
      <c r="O17" s="337">
        <v>7592</v>
      </c>
      <c r="P17" s="337">
        <v>7745</v>
      </c>
      <c r="Q17" s="337">
        <v>7899</v>
      </c>
      <c r="R17" s="337">
        <v>8105</v>
      </c>
    </row>
    <row r="18" spans="1:18" s="36" customFormat="1" ht="15" customHeight="1">
      <c r="A18" s="60" t="s">
        <v>24</v>
      </c>
      <c r="B18" s="61" t="s">
        <v>466</v>
      </c>
      <c r="C18" s="8"/>
      <c r="D18" s="389">
        <f t="shared" ref="D18:F18" si="0">D19/D17</f>
        <v>1.071</v>
      </c>
      <c r="E18" s="389">
        <f>E19/E17</f>
        <v>1.0347222222222223</v>
      </c>
      <c r="F18" s="390" t="e">
        <v>#DIV/0!</v>
      </c>
      <c r="G18" s="389">
        <v>1.0266524520255864</v>
      </c>
      <c r="H18" s="389"/>
      <c r="I18" s="389"/>
      <c r="J18" s="389">
        <v>1.1545517480096918</v>
      </c>
      <c r="K18" s="389"/>
      <c r="L18" s="389">
        <v>1.0864937790436215</v>
      </c>
      <c r="M18" s="389">
        <v>1.0685706401766004</v>
      </c>
      <c r="N18" s="389">
        <v>1.0262233035955663</v>
      </c>
      <c r="O18" s="389">
        <v>1.0404373024236038</v>
      </c>
      <c r="P18" s="389">
        <v>1.0589412524209167</v>
      </c>
      <c r="Q18" s="389">
        <v>1.0260792505380427</v>
      </c>
      <c r="R18" s="389">
        <v>1.0238124614435533</v>
      </c>
    </row>
    <row r="19" spans="1:18" s="36" customFormat="1" ht="30" customHeight="1">
      <c r="A19" s="60" t="s">
        <v>139</v>
      </c>
      <c r="B19" s="61" t="s">
        <v>467</v>
      </c>
      <c r="C19" s="8" t="s">
        <v>465</v>
      </c>
      <c r="D19" s="337">
        <v>4857.5740500000002</v>
      </c>
      <c r="E19" s="337">
        <v>5066</v>
      </c>
      <c r="F19" s="337">
        <v>5700</v>
      </c>
      <c r="G19" s="337">
        <v>5778</v>
      </c>
      <c r="H19" s="337">
        <v>6328</v>
      </c>
      <c r="I19" s="337"/>
      <c r="J19" s="337">
        <v>6671</v>
      </c>
      <c r="K19" s="337"/>
      <c r="L19" s="337">
        <v>7248</v>
      </c>
      <c r="M19" s="337">
        <v>7745</v>
      </c>
      <c r="N19" s="337">
        <v>7592</v>
      </c>
      <c r="O19" s="337">
        <v>7899</v>
      </c>
      <c r="P19" s="337">
        <v>8201.5</v>
      </c>
      <c r="Q19" s="337">
        <v>8105</v>
      </c>
      <c r="R19" s="337">
        <v>8298</v>
      </c>
    </row>
    <row r="20" spans="1:18" s="36" customFormat="1" ht="15" customHeight="1">
      <c r="A20" s="60" t="s">
        <v>433</v>
      </c>
      <c r="B20" s="61" t="s">
        <v>468</v>
      </c>
      <c r="C20" s="8"/>
      <c r="D20" s="342">
        <v>6.3651666666666671</v>
      </c>
      <c r="E20" s="342">
        <v>6.218</v>
      </c>
      <c r="F20" s="342">
        <v>7.2539104536489161</v>
      </c>
      <c r="G20" s="342">
        <v>6.2169999999999996</v>
      </c>
      <c r="H20" s="342"/>
      <c r="I20" s="342"/>
      <c r="J20" s="342"/>
      <c r="K20" s="342"/>
      <c r="L20" s="342"/>
      <c r="M20" s="342"/>
      <c r="N20" s="342"/>
      <c r="O20" s="342"/>
      <c r="P20" s="342"/>
      <c r="Q20" s="342"/>
      <c r="R20" s="342"/>
    </row>
    <row r="21" spans="1:18" s="36" customFormat="1" ht="30" customHeight="1">
      <c r="A21" s="60" t="s">
        <v>433</v>
      </c>
      <c r="B21" s="61" t="s">
        <v>469</v>
      </c>
      <c r="C21" s="8"/>
      <c r="D21" s="342">
        <v>1.84</v>
      </c>
      <c r="E21" s="342">
        <v>1.831</v>
      </c>
      <c r="F21" s="342">
        <v>2.0927489992603552</v>
      </c>
      <c r="G21" s="342">
        <v>1.82</v>
      </c>
      <c r="H21" s="342"/>
      <c r="I21" s="342"/>
      <c r="J21" s="342">
        <v>1.8201499999999999</v>
      </c>
      <c r="K21" s="342"/>
      <c r="L21" s="342">
        <v>1.83</v>
      </c>
      <c r="M21" s="342">
        <v>1.84</v>
      </c>
      <c r="N21" s="342">
        <v>1.84</v>
      </c>
      <c r="O21" s="342">
        <v>1.84</v>
      </c>
      <c r="P21" s="342">
        <v>1.84</v>
      </c>
      <c r="Q21" s="342">
        <v>1.84</v>
      </c>
      <c r="R21" s="342">
        <v>1.84</v>
      </c>
    </row>
    <row r="22" spans="1:18" s="36" customFormat="1" ht="15" customHeight="1">
      <c r="A22" s="60" t="s">
        <v>433</v>
      </c>
      <c r="B22" s="61" t="s">
        <v>470</v>
      </c>
      <c r="C22" s="8" t="s">
        <v>465</v>
      </c>
      <c r="D22" s="337">
        <f>D19*D21</f>
        <v>8937.9362520000013</v>
      </c>
      <c r="E22" s="337">
        <f>E19*E21+2</f>
        <v>9277.8459999999995</v>
      </c>
      <c r="F22" s="337">
        <v>11928.669295784024</v>
      </c>
      <c r="G22" s="337">
        <v>10515.960000000001</v>
      </c>
      <c r="H22" s="337">
        <v>0</v>
      </c>
      <c r="I22" s="337"/>
      <c r="J22" s="337">
        <v>12142.220649999999</v>
      </c>
      <c r="K22" s="337">
        <v>0</v>
      </c>
      <c r="L22" s="337">
        <v>13263.84</v>
      </c>
      <c r="M22" s="337">
        <v>14250.800000000001</v>
      </c>
      <c r="N22" s="337">
        <v>13969.28</v>
      </c>
      <c r="O22" s="342">
        <v>14534.16</v>
      </c>
      <c r="P22" s="337">
        <v>15090.76</v>
      </c>
      <c r="Q22" s="337">
        <v>14913.2</v>
      </c>
      <c r="R22" s="337">
        <v>15268.320000000002</v>
      </c>
    </row>
    <row r="23" spans="1:18" s="36" customFormat="1" ht="30" customHeight="1">
      <c r="A23" s="60" t="s">
        <v>471</v>
      </c>
      <c r="B23" s="61" t="s">
        <v>472</v>
      </c>
      <c r="C23" s="8"/>
      <c r="D23" s="388"/>
      <c r="E23" s="388"/>
      <c r="F23" s="388"/>
      <c r="G23" s="388"/>
      <c r="H23" s="388"/>
      <c r="I23" s="388"/>
      <c r="J23" s="388"/>
      <c r="K23" s="388"/>
      <c r="L23" s="388"/>
      <c r="M23" s="388"/>
      <c r="N23" s="388"/>
      <c r="O23" s="388"/>
      <c r="P23" s="388"/>
      <c r="Q23" s="388"/>
      <c r="R23" s="388"/>
    </row>
    <row r="24" spans="1:18" s="36" customFormat="1" ht="15" customHeight="1">
      <c r="A24" s="60"/>
      <c r="B24" s="70" t="s">
        <v>473</v>
      </c>
      <c r="C24" s="8" t="s">
        <v>138</v>
      </c>
      <c r="D24" s="946">
        <v>20.45</v>
      </c>
      <c r="E24" s="946">
        <v>18.899999999999999</v>
      </c>
      <c r="F24" s="337">
        <v>17.865389053254432</v>
      </c>
      <c r="G24" s="946">
        <v>21.6</v>
      </c>
      <c r="H24" s="342"/>
      <c r="I24" s="342"/>
      <c r="J24" s="342">
        <v>20.55</v>
      </c>
      <c r="K24" s="946"/>
      <c r="L24" s="342">
        <v>20.245999999999999</v>
      </c>
      <c r="M24" s="342">
        <v>20.245999999999999</v>
      </c>
      <c r="N24" s="342">
        <v>20.245999999999999</v>
      </c>
      <c r="O24" s="342">
        <v>20.245999999999999</v>
      </c>
      <c r="P24" s="342">
        <v>20.245999999999999</v>
      </c>
      <c r="Q24" s="342">
        <v>20.245999999999999</v>
      </c>
      <c r="R24" s="342">
        <v>20.245999999999999</v>
      </c>
    </row>
    <row r="25" spans="1:18" s="36" customFormat="1" ht="15" customHeight="1">
      <c r="A25" s="60"/>
      <c r="B25" s="70" t="s">
        <v>474</v>
      </c>
      <c r="C25" s="8" t="s">
        <v>465</v>
      </c>
      <c r="D25" s="337">
        <f>(D24*D22)/100</f>
        <v>1827.8079635340002</v>
      </c>
      <c r="E25" s="337">
        <f>(E24*E22)/100-1</f>
        <v>1752.5128939999997</v>
      </c>
      <c r="F25" s="337">
        <v>2131.1031785679215</v>
      </c>
      <c r="G25" s="337">
        <v>2271.4473600000001</v>
      </c>
      <c r="H25" s="337">
        <v>0</v>
      </c>
      <c r="I25" s="337"/>
      <c r="J25" s="337">
        <v>2495</v>
      </c>
      <c r="K25" s="337">
        <v>0</v>
      </c>
      <c r="L25" s="337">
        <v>2685</v>
      </c>
      <c r="M25" s="337">
        <v>2885</v>
      </c>
      <c r="N25" s="337">
        <v>2828</v>
      </c>
      <c r="O25" s="337">
        <v>2943</v>
      </c>
      <c r="P25" s="337">
        <v>3055</v>
      </c>
      <c r="Q25" s="337">
        <v>3019</v>
      </c>
      <c r="R25" s="337">
        <v>3091</v>
      </c>
    </row>
    <row r="26" spans="1:18" s="36" customFormat="1" ht="15" customHeight="1">
      <c r="A26" s="60" t="s">
        <v>475</v>
      </c>
      <c r="B26" s="61" t="s">
        <v>476</v>
      </c>
      <c r="C26" s="8"/>
      <c r="D26" s="337"/>
      <c r="E26" s="337"/>
      <c r="F26" s="337"/>
      <c r="G26" s="337"/>
      <c r="H26" s="337"/>
      <c r="I26" s="337"/>
      <c r="J26" s="337"/>
      <c r="K26" s="337"/>
      <c r="L26" s="337"/>
      <c r="M26" s="337"/>
      <c r="N26" s="337"/>
      <c r="O26" s="337"/>
      <c r="P26" s="337"/>
      <c r="Q26" s="337"/>
      <c r="R26" s="337"/>
    </row>
    <row r="27" spans="1:18" s="36" customFormat="1" ht="15" customHeight="1">
      <c r="A27" s="60"/>
      <c r="B27" s="70" t="s">
        <v>473</v>
      </c>
      <c r="C27" s="8" t="s">
        <v>138</v>
      </c>
      <c r="D27" s="337">
        <v>50</v>
      </c>
      <c r="E27" s="946">
        <v>47.8</v>
      </c>
      <c r="F27" s="337">
        <v>47.182878698224847</v>
      </c>
      <c r="G27" s="946">
        <v>47.954999999999998</v>
      </c>
      <c r="H27" s="946"/>
      <c r="I27" s="946"/>
      <c r="J27" s="342">
        <v>48.7</v>
      </c>
      <c r="K27" s="946"/>
      <c r="L27" s="342">
        <v>47.7</v>
      </c>
      <c r="M27" s="342">
        <v>50</v>
      </c>
      <c r="N27" s="342">
        <v>50</v>
      </c>
      <c r="O27" s="342">
        <v>50</v>
      </c>
      <c r="P27" s="342">
        <v>50</v>
      </c>
      <c r="Q27" s="342">
        <v>50</v>
      </c>
      <c r="R27" s="342">
        <v>50</v>
      </c>
    </row>
    <row r="28" spans="1:18" s="36" customFormat="1" ht="15" customHeight="1">
      <c r="A28" s="60"/>
      <c r="B28" s="70" t="s">
        <v>474</v>
      </c>
      <c r="C28" s="8" t="s">
        <v>465</v>
      </c>
      <c r="D28" s="337">
        <f>(D22+D25)*D27/100</f>
        <v>5382.8721077670007</v>
      </c>
      <c r="E28" s="337">
        <f>(E22+E25)*E27/100</f>
        <v>5272.5115513319988</v>
      </c>
      <c r="F28" s="337">
        <v>6633.8053918198857</v>
      </c>
      <c r="G28" s="337">
        <v>6132.2011994880004</v>
      </c>
      <c r="H28" s="337">
        <v>0</v>
      </c>
      <c r="I28" s="337"/>
      <c r="J28" s="337">
        <v>7128</v>
      </c>
      <c r="K28" s="337">
        <v>0</v>
      </c>
      <c r="L28" s="337">
        <v>7608</v>
      </c>
      <c r="M28" s="337">
        <v>8568</v>
      </c>
      <c r="N28" s="337">
        <v>8399</v>
      </c>
      <c r="O28" s="337">
        <v>8739</v>
      </c>
      <c r="P28" s="337">
        <v>9073</v>
      </c>
      <c r="Q28" s="337">
        <v>8966</v>
      </c>
      <c r="R28" s="337">
        <v>9180</v>
      </c>
    </row>
    <row r="29" spans="1:18" s="36" customFormat="1" ht="15" customHeight="1">
      <c r="A29" s="60" t="s">
        <v>477</v>
      </c>
      <c r="B29" s="61" t="s">
        <v>478</v>
      </c>
      <c r="C29" s="8"/>
      <c r="D29" s="337"/>
      <c r="E29" s="337"/>
      <c r="F29" s="337"/>
      <c r="G29" s="337"/>
      <c r="H29" s="337"/>
      <c r="I29" s="337"/>
      <c r="J29" s="337"/>
      <c r="K29" s="337"/>
      <c r="L29" s="337"/>
      <c r="M29" s="337"/>
      <c r="N29" s="337"/>
      <c r="O29" s="337"/>
      <c r="P29" s="337"/>
      <c r="Q29" s="337"/>
      <c r="R29" s="337"/>
    </row>
    <row r="30" spans="1:18" s="36" customFormat="1" ht="15" customHeight="1">
      <c r="A30" s="60"/>
      <c r="B30" s="70" t="s">
        <v>473</v>
      </c>
      <c r="C30" s="8" t="s">
        <v>138</v>
      </c>
      <c r="D30" s="946">
        <v>7.9999999999989999</v>
      </c>
      <c r="E30" s="946">
        <v>8.6999999999999993</v>
      </c>
      <c r="F30" s="337">
        <v>9.8049182938856028</v>
      </c>
      <c r="G30" s="946">
        <v>8.6999999999999993</v>
      </c>
      <c r="H30" s="946"/>
      <c r="I30" s="946"/>
      <c r="J30" s="342">
        <v>8.9109999999999996</v>
      </c>
      <c r="K30" s="946"/>
      <c r="L30" s="342">
        <v>9</v>
      </c>
      <c r="M30" s="342">
        <v>9.1</v>
      </c>
      <c r="N30" s="342">
        <v>9.1</v>
      </c>
      <c r="O30" s="342">
        <v>9.1</v>
      </c>
      <c r="P30" s="342">
        <v>9.1</v>
      </c>
      <c r="Q30" s="342">
        <v>9.1</v>
      </c>
      <c r="R30" s="342">
        <v>9.1</v>
      </c>
    </row>
    <row r="31" spans="1:18" s="36" customFormat="1" ht="15" customHeight="1">
      <c r="A31" s="60"/>
      <c r="B31" s="70" t="s">
        <v>474</v>
      </c>
      <c r="C31" s="8" t="s">
        <v>465</v>
      </c>
      <c r="D31" s="337">
        <f>(D22+D25)*D30/100</f>
        <v>861.2595372426124</v>
      </c>
      <c r="E31" s="337">
        <f>(E22+E25)*E30/100</f>
        <v>959.64122377799981</v>
      </c>
      <c r="F31" s="337">
        <v>1378.5492034164265</v>
      </c>
      <c r="G31" s="337">
        <v>1112.50444032</v>
      </c>
      <c r="H31" s="337">
        <v>0</v>
      </c>
      <c r="I31" s="337"/>
      <c r="J31" s="337">
        <v>1304</v>
      </c>
      <c r="K31" s="337">
        <v>0</v>
      </c>
      <c r="L31" s="337">
        <v>1435</v>
      </c>
      <c r="M31" s="337">
        <v>1559</v>
      </c>
      <c r="N31" s="337">
        <v>1529</v>
      </c>
      <c r="O31" s="337">
        <v>1590</v>
      </c>
      <c r="P31" s="337">
        <v>1651</v>
      </c>
      <c r="Q31" s="337">
        <v>1632</v>
      </c>
      <c r="R31" s="337">
        <v>1671</v>
      </c>
    </row>
    <row r="32" spans="1:18" s="36" customFormat="1" ht="15" customHeight="1">
      <c r="A32" s="60" t="s">
        <v>479</v>
      </c>
      <c r="B32" s="61" t="s">
        <v>480</v>
      </c>
      <c r="C32" s="8"/>
      <c r="D32" s="337"/>
      <c r="E32" s="337"/>
      <c r="F32" s="337"/>
      <c r="G32" s="337"/>
      <c r="H32" s="337"/>
      <c r="I32" s="337"/>
      <c r="J32" s="337"/>
      <c r="K32" s="337"/>
      <c r="L32" s="337"/>
      <c r="M32" s="337"/>
      <c r="N32" s="337"/>
      <c r="O32" s="337"/>
      <c r="P32" s="337"/>
      <c r="Q32" s="337"/>
      <c r="R32" s="337"/>
    </row>
    <row r="33" spans="1:18" s="36" customFormat="1" ht="15" customHeight="1">
      <c r="A33" s="60"/>
      <c r="B33" s="70" t="s">
        <v>473</v>
      </c>
      <c r="C33" s="8" t="s">
        <v>138</v>
      </c>
      <c r="D33" s="337">
        <v>0</v>
      </c>
      <c r="E33" s="337">
        <v>0</v>
      </c>
      <c r="F33" s="337">
        <v>0</v>
      </c>
      <c r="G33" s="337">
        <v>0</v>
      </c>
      <c r="H33" s="337">
        <v>0</v>
      </c>
      <c r="I33" s="337"/>
      <c r="J33" s="337">
        <v>0</v>
      </c>
      <c r="K33" s="337"/>
      <c r="L33" s="337"/>
      <c r="M33" s="337">
        <v>0</v>
      </c>
      <c r="N33" s="337">
        <v>0</v>
      </c>
      <c r="O33" s="337">
        <v>0</v>
      </c>
      <c r="P33" s="337">
        <v>0</v>
      </c>
      <c r="Q33" s="337">
        <v>0</v>
      </c>
      <c r="R33" s="337">
        <v>0</v>
      </c>
    </row>
    <row r="34" spans="1:18" s="36" customFormat="1" ht="15" customHeight="1">
      <c r="A34" s="60"/>
      <c r="B34" s="70" t="s">
        <v>474</v>
      </c>
      <c r="C34" s="8" t="s">
        <v>465</v>
      </c>
      <c r="D34" s="337">
        <v>0</v>
      </c>
      <c r="E34" s="337">
        <v>126.27</v>
      </c>
      <c r="F34" s="337">
        <v>0</v>
      </c>
      <c r="G34" s="337">
        <v>0</v>
      </c>
      <c r="H34" s="337">
        <v>0</v>
      </c>
      <c r="I34" s="337"/>
      <c r="J34" s="337">
        <v>0</v>
      </c>
      <c r="K34" s="337">
        <v>0</v>
      </c>
      <c r="L34" s="337">
        <v>0</v>
      </c>
      <c r="M34" s="337">
        <v>0</v>
      </c>
      <c r="N34" s="337">
        <v>0</v>
      </c>
      <c r="O34" s="337">
        <v>0</v>
      </c>
      <c r="P34" s="337">
        <v>0</v>
      </c>
      <c r="Q34" s="337">
        <v>0</v>
      </c>
      <c r="R34" s="337">
        <v>0</v>
      </c>
    </row>
    <row r="35" spans="1:18" s="36" customFormat="1" hidden="1">
      <c r="A35" s="60" t="s">
        <v>481</v>
      </c>
      <c r="B35" s="61"/>
      <c r="C35" s="8"/>
      <c r="D35" s="337"/>
      <c r="E35" s="337"/>
      <c r="F35" s="337"/>
      <c r="G35" s="337"/>
      <c r="H35" s="337"/>
      <c r="I35" s="337"/>
      <c r="J35" s="337"/>
      <c r="K35" s="337"/>
      <c r="L35" s="337"/>
      <c r="M35" s="337"/>
      <c r="N35" s="337"/>
      <c r="O35" s="337"/>
      <c r="P35" s="337"/>
      <c r="Q35" s="337"/>
      <c r="R35" s="337"/>
    </row>
    <row r="36" spans="1:18" s="36" customFormat="1" ht="15" hidden="1" customHeight="1">
      <c r="A36" s="60"/>
      <c r="B36" s="70" t="s">
        <v>473</v>
      </c>
      <c r="C36" s="8" t="s">
        <v>138</v>
      </c>
      <c r="D36" s="388"/>
      <c r="E36" s="388"/>
      <c r="F36" s="388"/>
      <c r="G36" s="388"/>
      <c r="H36" s="388"/>
      <c r="I36" s="388"/>
      <c r="J36" s="388"/>
      <c r="K36" s="388"/>
      <c r="L36" s="388"/>
      <c r="M36" s="388"/>
      <c r="N36" s="388"/>
      <c r="O36" s="388"/>
      <c r="P36" s="388"/>
      <c r="Q36" s="388"/>
      <c r="R36" s="388"/>
    </row>
    <row r="37" spans="1:18" s="36" customFormat="1" ht="15" hidden="1" customHeight="1">
      <c r="A37" s="60"/>
      <c r="B37" s="70" t="s">
        <v>474</v>
      </c>
      <c r="C37" s="8" t="s">
        <v>465</v>
      </c>
      <c r="D37" s="388"/>
      <c r="E37" s="388"/>
      <c r="F37" s="388"/>
      <c r="G37" s="388"/>
      <c r="H37" s="388"/>
      <c r="I37" s="388"/>
      <c r="J37" s="388"/>
      <c r="K37" s="388"/>
      <c r="L37" s="388"/>
      <c r="M37" s="388"/>
      <c r="N37" s="388"/>
      <c r="O37" s="388"/>
      <c r="P37" s="388"/>
      <c r="Q37" s="388"/>
      <c r="R37" s="388"/>
    </row>
    <row r="38" spans="1:18" s="36" customFormat="1" hidden="1">
      <c r="A38" s="60" t="s">
        <v>482</v>
      </c>
      <c r="B38" s="61"/>
      <c r="C38" s="8"/>
      <c r="D38" s="388"/>
      <c r="E38" s="388"/>
      <c r="F38" s="388"/>
      <c r="G38" s="388"/>
      <c r="H38" s="388"/>
      <c r="I38" s="388"/>
      <c r="J38" s="388"/>
      <c r="K38" s="388"/>
      <c r="L38" s="388"/>
      <c r="M38" s="388"/>
      <c r="N38" s="388"/>
      <c r="O38" s="388"/>
      <c r="P38" s="388"/>
      <c r="Q38" s="388"/>
      <c r="R38" s="388"/>
    </row>
    <row r="39" spans="1:18" s="36" customFormat="1" ht="15" hidden="1" customHeight="1">
      <c r="A39" s="60"/>
      <c r="B39" s="70" t="s">
        <v>473</v>
      </c>
      <c r="C39" s="8" t="s">
        <v>138</v>
      </c>
      <c r="D39" s="388"/>
      <c r="E39" s="388"/>
      <c r="F39" s="388"/>
      <c r="G39" s="388"/>
      <c r="H39" s="388"/>
      <c r="I39" s="388"/>
      <c r="J39" s="388"/>
      <c r="K39" s="388"/>
      <c r="L39" s="388"/>
      <c r="M39" s="388"/>
      <c r="N39" s="388"/>
      <c r="O39" s="388"/>
      <c r="P39" s="388"/>
      <c r="Q39" s="388"/>
      <c r="R39" s="388"/>
    </row>
    <row r="40" spans="1:18" s="36" customFormat="1" ht="15" hidden="1" customHeight="1">
      <c r="A40" s="60"/>
      <c r="B40" s="70" t="s">
        <v>474</v>
      </c>
      <c r="C40" s="8" t="s">
        <v>465</v>
      </c>
      <c r="D40" s="388"/>
      <c r="E40" s="388"/>
      <c r="F40" s="388"/>
      <c r="G40" s="388"/>
      <c r="H40" s="388"/>
      <c r="I40" s="388"/>
      <c r="J40" s="388"/>
      <c r="K40" s="388"/>
      <c r="L40" s="388"/>
      <c r="M40" s="388"/>
      <c r="N40" s="388"/>
      <c r="O40" s="388"/>
      <c r="P40" s="388"/>
      <c r="Q40" s="388"/>
      <c r="R40" s="388"/>
    </row>
    <row r="41" spans="1:18" s="36" customFormat="1" ht="30" customHeight="1">
      <c r="A41" s="60" t="s">
        <v>483</v>
      </c>
      <c r="B41" s="61" t="s">
        <v>484</v>
      </c>
      <c r="C41" s="8"/>
      <c r="D41" s="388"/>
      <c r="E41" s="388"/>
      <c r="F41" s="388"/>
      <c r="G41" s="388"/>
      <c r="H41" s="388"/>
      <c r="I41" s="388"/>
      <c r="J41" s="388"/>
      <c r="K41" s="388"/>
      <c r="L41" s="388"/>
      <c r="M41" s="388"/>
      <c r="N41" s="388"/>
      <c r="O41" s="388"/>
      <c r="P41" s="388"/>
      <c r="Q41" s="388"/>
      <c r="R41" s="388"/>
    </row>
    <row r="42" spans="1:18" s="36" customFormat="1" ht="15" customHeight="1">
      <c r="A42" s="60"/>
      <c r="B42" s="70" t="s">
        <v>473</v>
      </c>
      <c r="C42" s="8" t="s">
        <v>138</v>
      </c>
      <c r="D42" s="337">
        <v>160</v>
      </c>
      <c r="E42" s="337">
        <v>160</v>
      </c>
      <c r="F42" s="337">
        <v>160</v>
      </c>
      <c r="G42" s="337">
        <v>160</v>
      </c>
      <c r="H42" s="337">
        <v>160</v>
      </c>
      <c r="I42" s="337"/>
      <c r="J42" s="337">
        <v>160</v>
      </c>
      <c r="K42" s="337">
        <v>160</v>
      </c>
      <c r="L42" s="337">
        <v>160</v>
      </c>
      <c r="M42" s="337">
        <v>160</v>
      </c>
      <c r="N42" s="337">
        <v>160</v>
      </c>
      <c r="O42" s="337">
        <v>160</v>
      </c>
      <c r="P42" s="337">
        <v>160</v>
      </c>
      <c r="Q42" s="337">
        <v>160</v>
      </c>
      <c r="R42" s="337">
        <v>160</v>
      </c>
    </row>
    <row r="43" spans="1:18" s="36" customFormat="1" ht="15" customHeight="1">
      <c r="A43" s="60"/>
      <c r="B43" s="70" t="s">
        <v>474</v>
      </c>
      <c r="C43" s="8" t="s">
        <v>465</v>
      </c>
      <c r="D43" s="250">
        <f>(D22+D25+D28+D31)*D42/100</f>
        <v>27215.801376869782</v>
      </c>
      <c r="E43" s="250">
        <f>(E22+E25+E28+E31)*E42/100+2</f>
        <v>27622.018670575995</v>
      </c>
      <c r="F43" s="250">
        <v>35315.403311341215</v>
      </c>
      <c r="G43" s="337">
        <v>32050.380799692804</v>
      </c>
      <c r="H43" s="250">
        <v>0</v>
      </c>
      <c r="I43" s="250"/>
      <c r="J43" s="250">
        <v>36911</v>
      </c>
      <c r="K43" s="337">
        <v>0</v>
      </c>
      <c r="L43" s="250">
        <v>39987</v>
      </c>
      <c r="M43" s="250">
        <v>43620</v>
      </c>
      <c r="N43" s="250">
        <v>42760</v>
      </c>
      <c r="O43" s="250">
        <v>44490</v>
      </c>
      <c r="P43" s="250">
        <v>46192</v>
      </c>
      <c r="Q43" s="250">
        <v>45648</v>
      </c>
      <c r="R43" s="250">
        <v>46737</v>
      </c>
    </row>
    <row r="44" spans="1:18" s="36" customFormat="1" ht="30" customHeight="1">
      <c r="A44" s="387" t="s">
        <v>27</v>
      </c>
      <c r="B44" s="386" t="s">
        <v>485</v>
      </c>
      <c r="C44" s="385" t="s">
        <v>465</v>
      </c>
      <c r="D44" s="384">
        <f>D22+D25+D28+D31+D43+2</f>
        <v>44227.677237413394</v>
      </c>
      <c r="E44" s="384">
        <f>E22+E25+E28+E31+E43+E34+1</f>
        <v>45011.800339685993</v>
      </c>
      <c r="F44" s="384">
        <v>57387.530380929471</v>
      </c>
      <c r="G44" s="384">
        <v>52081.493799500808</v>
      </c>
      <c r="H44" s="384">
        <v>56783.869473425162</v>
      </c>
      <c r="I44" s="384"/>
      <c r="J44" s="384">
        <v>59980.220650000003</v>
      </c>
      <c r="K44" s="384">
        <v>0</v>
      </c>
      <c r="L44" s="384">
        <v>64978.84</v>
      </c>
      <c r="M44" s="384">
        <v>70882.8</v>
      </c>
      <c r="N44" s="384">
        <v>69485.279999999999</v>
      </c>
      <c r="O44" s="384">
        <v>72296.160000000003</v>
      </c>
      <c r="P44" s="384">
        <v>75061.760000000009</v>
      </c>
      <c r="Q44" s="384">
        <v>74178.2</v>
      </c>
      <c r="R44" s="384">
        <v>75947.320000000007</v>
      </c>
    </row>
    <row r="45" spans="1:18" s="1368" customFormat="1" ht="30" customHeight="1">
      <c r="A45" s="1364" t="s">
        <v>95</v>
      </c>
      <c r="B45" s="1365" t="s">
        <v>905</v>
      </c>
      <c r="C45" s="1366" t="s">
        <v>465</v>
      </c>
      <c r="D45" s="1367">
        <f>(D44*D15*D54/1000)+D46+D47+D48-2</f>
        <v>383555.63032642828</v>
      </c>
      <c r="E45" s="1367">
        <f>(E44*E15*E54/1000)+E46+E47+E48+1</f>
        <v>467280.54015473882</v>
      </c>
      <c r="F45" s="1367">
        <v>581712.37342644029</v>
      </c>
      <c r="G45" s="1367">
        <v>533090.54247072688</v>
      </c>
      <c r="H45" s="1367">
        <v>566096.58122717077</v>
      </c>
      <c r="I45" s="1367"/>
      <c r="J45" s="1367">
        <v>600380.97975386016</v>
      </c>
      <c r="K45" s="1367">
        <v>0</v>
      </c>
      <c r="L45" s="1367">
        <v>651988.99343999987</v>
      </c>
      <c r="M45" s="1367">
        <v>728154.61888000008</v>
      </c>
      <c r="N45" s="1367">
        <v>349948.84256000002</v>
      </c>
      <c r="O45" s="1367">
        <v>378205.77632000006</v>
      </c>
      <c r="P45" s="1367">
        <v>770753.29903999995</v>
      </c>
      <c r="Q45" s="1367">
        <v>373374.53639999998</v>
      </c>
      <c r="R45" s="1367">
        <v>397377.76264000003</v>
      </c>
    </row>
    <row r="46" spans="1:18">
      <c r="A46" s="60" t="s">
        <v>898</v>
      </c>
      <c r="B46" s="61" t="s">
        <v>899</v>
      </c>
      <c r="C46" s="8" t="s">
        <v>892</v>
      </c>
      <c r="D46" s="250">
        <v>6997</v>
      </c>
      <c r="E46" s="337">
        <v>8589</v>
      </c>
      <c r="F46" s="250">
        <v>9565</v>
      </c>
      <c r="G46" s="337">
        <v>10314</v>
      </c>
      <c r="H46" s="337">
        <v>10764</v>
      </c>
      <c r="I46" s="337"/>
      <c r="J46" s="337">
        <v>11116</v>
      </c>
      <c r="K46" s="337"/>
      <c r="L46" s="337">
        <v>14145</v>
      </c>
      <c r="M46" s="337">
        <v>18665</v>
      </c>
      <c r="N46" s="337">
        <v>9333</v>
      </c>
      <c r="O46" s="337">
        <v>9333</v>
      </c>
      <c r="P46" s="337">
        <v>19506</v>
      </c>
      <c r="Q46" s="337">
        <v>9753</v>
      </c>
      <c r="R46" s="337">
        <v>9753</v>
      </c>
    </row>
    <row r="47" spans="1:18" ht="60.75" customHeight="1">
      <c r="A47" s="60" t="s">
        <v>900</v>
      </c>
      <c r="B47" s="61" t="s">
        <v>902</v>
      </c>
      <c r="C47" s="8" t="s">
        <v>892</v>
      </c>
      <c r="D47" s="250"/>
      <c r="E47" s="337"/>
      <c r="F47" s="250"/>
      <c r="G47" s="337"/>
      <c r="H47" s="337"/>
      <c r="I47" s="337"/>
      <c r="J47" s="337"/>
      <c r="K47" s="337"/>
      <c r="L47" s="337"/>
      <c r="M47" s="337"/>
      <c r="N47" s="337"/>
      <c r="O47" s="337"/>
      <c r="P47" s="337"/>
      <c r="Q47" s="337"/>
      <c r="R47" s="337"/>
    </row>
    <row r="48" spans="1:18">
      <c r="A48" s="60" t="s">
        <v>901</v>
      </c>
      <c r="B48" s="61" t="s">
        <v>348</v>
      </c>
      <c r="C48" s="8" t="s">
        <v>892</v>
      </c>
      <c r="D48" s="250">
        <f>D49+D50+D51+D52+D53</f>
        <v>0</v>
      </c>
      <c r="E48" s="250">
        <f t="shared" ref="E48:O48" si="1">E49+E50+E51+E52+E53</f>
        <v>14154</v>
      </c>
      <c r="F48" s="250">
        <v>0</v>
      </c>
      <c r="G48" s="250">
        <v>14370</v>
      </c>
      <c r="H48" s="250">
        <v>0</v>
      </c>
      <c r="I48" s="250"/>
      <c r="J48" s="250">
        <v>0</v>
      </c>
      <c r="K48" s="250">
        <v>0</v>
      </c>
      <c r="L48" s="250">
        <v>0</v>
      </c>
      <c r="M48" s="250">
        <v>14478</v>
      </c>
      <c r="N48" s="250">
        <v>0</v>
      </c>
      <c r="O48" s="250">
        <v>14478</v>
      </c>
      <c r="P48" s="250">
        <v>15331</v>
      </c>
      <c r="Q48" s="250">
        <v>0</v>
      </c>
      <c r="R48" s="250">
        <v>15331</v>
      </c>
    </row>
    <row r="49" spans="1:18" ht="30">
      <c r="A49" s="60" t="s">
        <v>1024</v>
      </c>
      <c r="B49" s="61" t="s">
        <v>1023</v>
      </c>
      <c r="C49" s="8" t="s">
        <v>892</v>
      </c>
      <c r="D49" s="250"/>
      <c r="E49" s="337">
        <v>2881</v>
      </c>
      <c r="F49" s="250"/>
      <c r="G49" s="337"/>
      <c r="H49" s="337"/>
      <c r="I49" s="337"/>
      <c r="J49" s="337"/>
      <c r="K49" s="337"/>
      <c r="L49" s="337"/>
      <c r="M49" s="337">
        <v>0</v>
      </c>
      <c r="N49" s="337"/>
      <c r="O49" s="337"/>
      <c r="P49" s="337">
        <v>0</v>
      </c>
      <c r="Q49" s="337"/>
      <c r="R49" s="337"/>
    </row>
    <row r="50" spans="1:18" ht="30">
      <c r="A50" s="60" t="s">
        <v>1022</v>
      </c>
      <c r="B50" s="61" t="s">
        <v>1021</v>
      </c>
      <c r="C50" s="8" t="s">
        <v>892</v>
      </c>
      <c r="D50" s="250"/>
      <c r="E50" s="337">
        <v>42</v>
      </c>
      <c r="F50" s="250"/>
      <c r="G50" s="337">
        <v>53</v>
      </c>
      <c r="H50" s="337"/>
      <c r="I50" s="337"/>
      <c r="J50" s="337"/>
      <c r="K50" s="337"/>
      <c r="L50" s="337"/>
      <c r="M50" s="337">
        <v>0</v>
      </c>
      <c r="N50" s="337"/>
      <c r="O50" s="337"/>
      <c r="P50" s="337">
        <v>0</v>
      </c>
      <c r="Q50" s="337"/>
      <c r="R50" s="337"/>
    </row>
    <row r="51" spans="1:18">
      <c r="A51" s="60" t="s">
        <v>1020</v>
      </c>
      <c r="B51" s="61" t="s">
        <v>1019</v>
      </c>
      <c r="C51" s="8" t="s">
        <v>892</v>
      </c>
      <c r="D51" s="250"/>
      <c r="E51" s="337"/>
      <c r="F51" s="250"/>
      <c r="G51" s="337"/>
      <c r="H51" s="337"/>
      <c r="I51" s="337"/>
      <c r="J51" s="337"/>
      <c r="K51" s="337"/>
      <c r="L51" s="337"/>
      <c r="M51" s="337">
        <v>0</v>
      </c>
      <c r="N51" s="337"/>
      <c r="O51" s="337"/>
      <c r="P51" s="337">
        <v>0</v>
      </c>
      <c r="Q51" s="337"/>
      <c r="R51" s="337"/>
    </row>
    <row r="52" spans="1:18" ht="30">
      <c r="A52" s="60" t="s">
        <v>1018</v>
      </c>
      <c r="B52" s="61" t="s">
        <v>934</v>
      </c>
      <c r="C52" s="8" t="s">
        <v>892</v>
      </c>
      <c r="D52" s="250"/>
      <c r="E52" s="337"/>
      <c r="F52" s="250"/>
      <c r="G52" s="337"/>
      <c r="H52" s="337"/>
      <c r="I52" s="337"/>
      <c r="J52" s="337"/>
      <c r="K52" s="337"/>
      <c r="L52" s="337"/>
      <c r="M52" s="337">
        <v>14478</v>
      </c>
      <c r="N52" s="337"/>
      <c r="O52" s="337">
        <v>14478</v>
      </c>
      <c r="P52" s="337">
        <v>15331</v>
      </c>
      <c r="Q52" s="337"/>
      <c r="R52" s="337">
        <v>15331</v>
      </c>
    </row>
    <row r="53" spans="1:18" ht="75">
      <c r="A53" s="60" t="s">
        <v>1071</v>
      </c>
      <c r="B53" s="61" t="s">
        <v>1558</v>
      </c>
      <c r="C53" s="8" t="s">
        <v>892</v>
      </c>
      <c r="D53" s="241"/>
      <c r="E53" s="241">
        <v>11231</v>
      </c>
      <c r="F53" s="241"/>
      <c r="G53" s="308">
        <v>14317</v>
      </c>
      <c r="H53" s="241"/>
      <c r="I53" s="241"/>
      <c r="J53" s="308"/>
      <c r="K53" s="308"/>
      <c r="L53" s="308"/>
      <c r="M53" s="308"/>
      <c r="N53" s="308"/>
      <c r="O53" s="308"/>
      <c r="P53" s="308"/>
      <c r="Q53" s="308"/>
      <c r="R53" s="308"/>
    </row>
    <row r="54" spans="1:18" ht="30">
      <c r="A54" s="60"/>
      <c r="B54" s="61" t="s">
        <v>903</v>
      </c>
      <c r="C54" s="8" t="s">
        <v>892</v>
      </c>
      <c r="D54" s="250">
        <v>12</v>
      </c>
      <c r="E54" s="250">
        <v>12</v>
      </c>
      <c r="F54" s="250">
        <v>12</v>
      </c>
      <c r="G54" s="250">
        <v>12</v>
      </c>
      <c r="H54" s="250">
        <v>12</v>
      </c>
      <c r="I54" s="250"/>
      <c r="J54" s="250">
        <v>12</v>
      </c>
      <c r="K54" s="250">
        <v>12</v>
      </c>
      <c r="L54" s="250">
        <v>12</v>
      </c>
      <c r="M54" s="250">
        <v>12</v>
      </c>
      <c r="N54" s="250">
        <v>6</v>
      </c>
      <c r="O54" s="250">
        <v>6</v>
      </c>
      <c r="P54" s="250">
        <v>12</v>
      </c>
      <c r="Q54" s="250">
        <v>6</v>
      </c>
      <c r="R54" s="250">
        <v>6</v>
      </c>
    </row>
    <row r="55" spans="1:18" s="763" customFormat="1" ht="28.5">
      <c r="A55" s="1352" t="s">
        <v>904</v>
      </c>
      <c r="B55" s="1353" t="s">
        <v>905</v>
      </c>
      <c r="C55" s="1354" t="s">
        <v>892</v>
      </c>
      <c r="D55" s="1013">
        <f>(D44*D15*D54/1000)-2</f>
        <v>376558.63032642828</v>
      </c>
      <c r="E55" s="1013">
        <f>(E44*E15*E54/1000)</f>
        <v>444536.54015473882</v>
      </c>
      <c r="F55" s="1013">
        <v>572136.37342644029</v>
      </c>
      <c r="G55" s="1013">
        <v>522789.54247072682</v>
      </c>
      <c r="H55" s="1013">
        <v>555333.58122717077</v>
      </c>
      <c r="I55" s="1013">
        <v>0</v>
      </c>
      <c r="J55" s="1013">
        <v>589264.97975386016</v>
      </c>
      <c r="K55" s="1013">
        <v>0</v>
      </c>
      <c r="L55" s="1013">
        <v>637843.99343999987</v>
      </c>
      <c r="M55" s="1013">
        <v>709488.61888000008</v>
      </c>
      <c r="N55" s="1013">
        <v>340615.84256000002</v>
      </c>
      <c r="O55" s="1013">
        <v>368872.77632000006</v>
      </c>
      <c r="P55" s="1013">
        <v>751249.29903999995</v>
      </c>
      <c r="Q55" s="1013">
        <v>363620.53639999998</v>
      </c>
      <c r="R55" s="1013">
        <v>387627.76264000003</v>
      </c>
    </row>
    <row r="56" spans="1:18" ht="30">
      <c r="A56" s="60" t="s">
        <v>906</v>
      </c>
      <c r="B56" s="61" t="s">
        <v>909</v>
      </c>
      <c r="C56" s="8" t="s">
        <v>892</v>
      </c>
      <c r="D56" s="250"/>
      <c r="E56" s="250"/>
      <c r="F56" s="250"/>
      <c r="G56" s="250"/>
      <c r="H56" s="250"/>
      <c r="I56" s="250"/>
      <c r="J56" s="250"/>
      <c r="K56" s="250"/>
      <c r="L56" s="250"/>
      <c r="M56" s="250"/>
      <c r="N56" s="250"/>
      <c r="O56" s="250"/>
      <c r="P56" s="250"/>
      <c r="Q56" s="250"/>
      <c r="R56" s="250"/>
    </row>
    <row r="57" spans="1:18">
      <c r="A57" s="60" t="s">
        <v>907</v>
      </c>
      <c r="B57" s="61" t="s">
        <v>910</v>
      </c>
      <c r="C57" s="8" t="s">
        <v>892</v>
      </c>
      <c r="D57" s="250">
        <f>D55</f>
        <v>376558.63032642828</v>
      </c>
      <c r="E57" s="250">
        <f t="shared" ref="E57:J57" si="2">E55</f>
        <v>444536.54015473882</v>
      </c>
      <c r="F57" s="250">
        <v>572136.37342644029</v>
      </c>
      <c r="G57" s="250">
        <v>522789.54247072682</v>
      </c>
      <c r="H57" s="250">
        <v>555333.58122717077</v>
      </c>
      <c r="I57" s="250"/>
      <c r="J57" s="250">
        <v>589264.97975386016</v>
      </c>
      <c r="K57" s="250">
        <v>0</v>
      </c>
      <c r="L57" s="250">
        <v>637843.99343999987</v>
      </c>
      <c r="M57" s="250">
        <v>709488.61888000008</v>
      </c>
      <c r="N57" s="250">
        <v>340615.84256000002</v>
      </c>
      <c r="O57" s="250">
        <v>368872.77632000006</v>
      </c>
      <c r="P57" s="250">
        <v>751249.29903999995</v>
      </c>
      <c r="Q57" s="250">
        <v>363620.53639999998</v>
      </c>
      <c r="R57" s="250">
        <v>387627.76264000003</v>
      </c>
    </row>
    <row r="58" spans="1:18">
      <c r="A58" s="60" t="s">
        <v>908</v>
      </c>
      <c r="B58" s="61" t="s">
        <v>911</v>
      </c>
      <c r="C58" s="8" t="s">
        <v>892</v>
      </c>
      <c r="D58" s="250"/>
      <c r="E58" s="250"/>
      <c r="F58" s="250"/>
      <c r="G58" s="250"/>
      <c r="H58" s="250"/>
      <c r="I58" s="250"/>
      <c r="J58" s="250"/>
      <c r="K58" s="250"/>
      <c r="L58" s="250"/>
      <c r="M58" s="250"/>
      <c r="N58" s="250"/>
      <c r="O58" s="250"/>
      <c r="P58" s="250"/>
      <c r="Q58" s="250"/>
      <c r="R58" s="250"/>
    </row>
    <row r="59" spans="1:18">
      <c r="A59" s="60" t="s">
        <v>912</v>
      </c>
      <c r="B59" s="61" t="s">
        <v>913</v>
      </c>
      <c r="C59" s="8" t="s">
        <v>892</v>
      </c>
      <c r="D59" s="250"/>
      <c r="E59" s="250"/>
      <c r="F59" s="250"/>
      <c r="G59" s="250"/>
      <c r="H59" s="250"/>
      <c r="I59" s="250"/>
      <c r="J59" s="250"/>
      <c r="K59" s="250"/>
      <c r="L59" s="250"/>
      <c r="M59" s="250"/>
      <c r="N59" s="250"/>
      <c r="O59" s="250"/>
      <c r="P59" s="250"/>
      <c r="Q59" s="250"/>
      <c r="R59" s="250"/>
    </row>
    <row r="60" spans="1:18" ht="30">
      <c r="A60" s="60" t="s">
        <v>97</v>
      </c>
      <c r="B60" s="61" t="s">
        <v>914</v>
      </c>
      <c r="C60" s="8" t="s">
        <v>846</v>
      </c>
      <c r="D60" s="250"/>
      <c r="E60" s="250"/>
      <c r="F60" s="250"/>
      <c r="G60" s="250"/>
      <c r="H60" s="250"/>
      <c r="I60" s="250"/>
      <c r="J60" s="250"/>
      <c r="K60" s="250"/>
      <c r="L60" s="250"/>
      <c r="M60" s="250"/>
      <c r="N60" s="250"/>
      <c r="O60" s="250"/>
      <c r="P60" s="250"/>
      <c r="Q60" s="250"/>
      <c r="R60" s="250"/>
    </row>
    <row r="61" spans="1:18">
      <c r="A61" s="60" t="s">
        <v>915</v>
      </c>
      <c r="B61" s="61" t="s">
        <v>458</v>
      </c>
      <c r="C61" s="8" t="s">
        <v>453</v>
      </c>
      <c r="D61" s="250"/>
      <c r="E61" s="250"/>
      <c r="F61" s="250"/>
      <c r="G61" s="250"/>
      <c r="H61" s="250"/>
      <c r="I61" s="250"/>
      <c r="J61" s="250"/>
      <c r="K61" s="250"/>
      <c r="L61" s="250"/>
      <c r="M61" s="250"/>
      <c r="N61" s="250"/>
      <c r="O61" s="250"/>
      <c r="P61" s="250"/>
      <c r="Q61" s="250"/>
      <c r="R61" s="250"/>
    </row>
    <row r="62" spans="1:18">
      <c r="A62" s="60" t="s">
        <v>916</v>
      </c>
      <c r="B62" s="253" t="s">
        <v>923</v>
      </c>
      <c r="C62" s="8" t="s">
        <v>453</v>
      </c>
      <c r="D62" s="250"/>
      <c r="E62" s="250"/>
      <c r="F62" s="250"/>
      <c r="G62" s="250"/>
      <c r="H62" s="250"/>
      <c r="I62" s="250"/>
      <c r="J62" s="250"/>
      <c r="K62" s="250"/>
      <c r="L62" s="250"/>
      <c r="M62" s="250"/>
      <c r="N62" s="250"/>
      <c r="O62" s="250"/>
      <c r="P62" s="250"/>
      <c r="Q62" s="250"/>
      <c r="R62" s="250"/>
    </row>
    <row r="63" spans="1:18">
      <c r="A63" s="60" t="s">
        <v>917</v>
      </c>
      <c r="B63" s="253" t="s">
        <v>924</v>
      </c>
      <c r="C63" s="8" t="s">
        <v>465</v>
      </c>
      <c r="D63" s="250"/>
      <c r="E63" s="250"/>
      <c r="F63" s="250"/>
      <c r="G63" s="250"/>
      <c r="H63" s="250"/>
      <c r="I63" s="250"/>
      <c r="J63" s="250"/>
      <c r="K63" s="250"/>
      <c r="L63" s="250"/>
      <c r="M63" s="250"/>
      <c r="N63" s="250"/>
      <c r="O63" s="250"/>
      <c r="P63" s="250"/>
      <c r="Q63" s="250"/>
      <c r="R63" s="250"/>
    </row>
    <row r="64" spans="1:18">
      <c r="A64" s="60" t="s">
        <v>918</v>
      </c>
      <c r="B64" s="61" t="s">
        <v>899</v>
      </c>
      <c r="C64" s="8" t="s">
        <v>892</v>
      </c>
      <c r="D64" s="250"/>
      <c r="E64" s="250"/>
      <c r="F64" s="250"/>
      <c r="G64" s="250"/>
      <c r="H64" s="250"/>
      <c r="I64" s="250"/>
      <c r="J64" s="250"/>
      <c r="K64" s="250"/>
      <c r="L64" s="250"/>
      <c r="M64" s="250"/>
      <c r="N64" s="250"/>
      <c r="O64" s="250"/>
      <c r="P64" s="250"/>
      <c r="Q64" s="250"/>
      <c r="R64" s="250"/>
    </row>
    <row r="65" spans="1:18" ht="18" customHeight="1">
      <c r="A65" s="60" t="s">
        <v>919</v>
      </c>
      <c r="B65" s="61" t="s">
        <v>922</v>
      </c>
      <c r="C65" s="8" t="s">
        <v>892</v>
      </c>
      <c r="D65" s="250"/>
      <c r="E65" s="250"/>
      <c r="F65" s="250"/>
      <c r="G65" s="250"/>
      <c r="H65" s="250"/>
      <c r="I65" s="250"/>
      <c r="J65" s="250"/>
      <c r="K65" s="250"/>
      <c r="L65" s="250"/>
      <c r="M65" s="250"/>
      <c r="N65" s="250"/>
      <c r="O65" s="250"/>
      <c r="P65" s="250"/>
      <c r="Q65" s="250"/>
      <c r="R65" s="250"/>
    </row>
    <row r="66" spans="1:18">
      <c r="A66" s="60" t="s">
        <v>920</v>
      </c>
      <c r="B66" s="61" t="s">
        <v>925</v>
      </c>
      <c r="C66" s="8" t="s">
        <v>892</v>
      </c>
      <c r="D66" s="250"/>
      <c r="E66" s="250"/>
      <c r="F66" s="250"/>
      <c r="G66" s="250"/>
      <c r="H66" s="250"/>
      <c r="I66" s="250"/>
      <c r="J66" s="250"/>
      <c r="K66" s="250"/>
      <c r="L66" s="250"/>
      <c r="M66" s="250"/>
      <c r="N66" s="250"/>
      <c r="O66" s="250"/>
      <c r="P66" s="250"/>
      <c r="Q66" s="250"/>
      <c r="R66" s="250"/>
    </row>
    <row r="67" spans="1:18" ht="30">
      <c r="A67" s="60" t="s">
        <v>921</v>
      </c>
      <c r="B67" s="61" t="s">
        <v>909</v>
      </c>
      <c r="C67" s="8" t="s">
        <v>892</v>
      </c>
      <c r="D67" s="250"/>
      <c r="E67" s="250"/>
      <c r="F67" s="250"/>
      <c r="G67" s="250"/>
      <c r="H67" s="250"/>
      <c r="I67" s="250"/>
      <c r="J67" s="250"/>
      <c r="K67" s="250"/>
      <c r="L67" s="250"/>
      <c r="M67" s="250"/>
      <c r="N67" s="250"/>
      <c r="O67" s="250"/>
      <c r="P67" s="250"/>
      <c r="Q67" s="250"/>
      <c r="R67" s="250"/>
    </row>
    <row r="68" spans="1:18" ht="30">
      <c r="A68" s="60" t="s">
        <v>926</v>
      </c>
      <c r="B68" s="61" t="s">
        <v>909</v>
      </c>
      <c r="C68" s="8" t="s">
        <v>892</v>
      </c>
      <c r="D68" s="250"/>
      <c r="E68" s="250"/>
      <c r="F68" s="250"/>
      <c r="G68" s="250"/>
      <c r="H68" s="250"/>
      <c r="I68" s="250"/>
      <c r="J68" s="250"/>
      <c r="K68" s="250"/>
      <c r="L68" s="250"/>
      <c r="M68" s="250"/>
      <c r="N68" s="250"/>
      <c r="O68" s="250"/>
      <c r="P68" s="250"/>
      <c r="Q68" s="250"/>
      <c r="R68" s="250"/>
    </row>
    <row r="69" spans="1:18">
      <c r="A69" s="60" t="s">
        <v>927</v>
      </c>
      <c r="B69" s="61" t="s">
        <v>910</v>
      </c>
      <c r="C69" s="8" t="s">
        <v>892</v>
      </c>
      <c r="D69" s="250"/>
      <c r="E69" s="250"/>
      <c r="F69" s="250"/>
      <c r="G69" s="250"/>
      <c r="H69" s="250"/>
      <c r="I69" s="250"/>
      <c r="J69" s="250"/>
      <c r="K69" s="250"/>
      <c r="L69" s="250"/>
      <c r="M69" s="250"/>
      <c r="N69" s="250"/>
      <c r="O69" s="250"/>
      <c r="P69" s="250"/>
      <c r="Q69" s="250"/>
      <c r="R69" s="250"/>
    </row>
    <row r="70" spans="1:18">
      <c r="A70" s="60" t="s">
        <v>928</v>
      </c>
      <c r="B70" s="61" t="s">
        <v>911</v>
      </c>
      <c r="C70" s="8" t="s">
        <v>892</v>
      </c>
      <c r="D70" s="250"/>
      <c r="E70" s="250"/>
      <c r="F70" s="250"/>
      <c r="G70" s="250"/>
      <c r="H70" s="250"/>
      <c r="I70" s="250"/>
      <c r="J70" s="250"/>
      <c r="K70" s="250"/>
      <c r="L70" s="250"/>
      <c r="M70" s="250"/>
      <c r="N70" s="250"/>
      <c r="O70" s="250"/>
      <c r="P70" s="250"/>
      <c r="Q70" s="250"/>
      <c r="R70" s="250"/>
    </row>
    <row r="71" spans="1:18">
      <c r="A71" s="60" t="s">
        <v>921</v>
      </c>
      <c r="B71" s="61" t="s">
        <v>913</v>
      </c>
      <c r="C71" s="8" t="s">
        <v>892</v>
      </c>
      <c r="D71" s="250"/>
      <c r="E71" s="250"/>
      <c r="F71" s="250"/>
      <c r="G71" s="250"/>
      <c r="H71" s="250"/>
      <c r="I71" s="250"/>
      <c r="J71" s="250"/>
      <c r="K71" s="250"/>
      <c r="L71" s="250"/>
      <c r="M71" s="250"/>
      <c r="N71" s="250"/>
      <c r="O71" s="250"/>
      <c r="P71" s="250"/>
      <c r="Q71" s="250"/>
      <c r="R71" s="250"/>
    </row>
    <row r="72" spans="1:18" ht="30">
      <c r="A72" s="60" t="s">
        <v>929</v>
      </c>
      <c r="B72" s="61" t="s">
        <v>930</v>
      </c>
      <c r="C72" s="8" t="s">
        <v>138</v>
      </c>
      <c r="D72" s="250"/>
      <c r="E72" s="250"/>
      <c r="F72" s="250"/>
      <c r="G72" s="250"/>
      <c r="H72" s="250"/>
      <c r="I72" s="250"/>
      <c r="J72" s="250"/>
      <c r="K72" s="250"/>
      <c r="L72" s="250"/>
      <c r="M72" s="250"/>
      <c r="N72" s="250"/>
      <c r="O72" s="250"/>
      <c r="P72" s="250"/>
      <c r="Q72" s="250"/>
      <c r="R72" s="250"/>
    </row>
    <row r="74" spans="1:18" ht="64.5" customHeight="1">
      <c r="A74" s="1963" t="s">
        <v>931</v>
      </c>
      <c r="B74" s="1963"/>
      <c r="C74" s="1963"/>
      <c r="D74" s="1963"/>
      <c r="E74" s="1963"/>
      <c r="F74" s="1963"/>
      <c r="G74" s="1963"/>
      <c r="H74" s="1963"/>
      <c r="I74" s="1963"/>
      <c r="J74" s="1963"/>
      <c r="K74" s="1963"/>
      <c r="L74" s="1963"/>
      <c r="M74" s="1963"/>
      <c r="N74" s="1963"/>
      <c r="O74" s="1963"/>
    </row>
    <row r="76" spans="1:18">
      <c r="A76" s="1" t="s">
        <v>88</v>
      </c>
    </row>
    <row r="77" spans="1:18" ht="51.75" customHeight="1">
      <c r="A77" s="1963" t="s">
        <v>932</v>
      </c>
      <c r="B77" s="1963"/>
      <c r="C77" s="1963"/>
      <c r="D77" s="1963"/>
      <c r="E77" s="1963"/>
      <c r="F77" s="1963"/>
      <c r="G77" s="1963"/>
      <c r="H77" s="1963"/>
      <c r="I77" s="1963"/>
      <c r="J77" s="1963"/>
      <c r="K77" s="1963"/>
      <c r="L77" s="1963"/>
      <c r="M77" s="1963"/>
      <c r="N77" s="1963"/>
      <c r="O77" s="1963"/>
    </row>
    <row r="78" spans="1:18" ht="69" customHeight="1">
      <c r="A78" s="1963" t="s">
        <v>933</v>
      </c>
      <c r="B78" s="1963"/>
      <c r="C78" s="1963"/>
      <c r="D78" s="1963"/>
      <c r="E78" s="1963"/>
      <c r="F78" s="1963"/>
      <c r="G78" s="1963"/>
      <c r="H78" s="1963"/>
      <c r="I78" s="1963"/>
      <c r="J78" s="1963"/>
      <c r="K78" s="1963"/>
      <c r="L78" s="1963"/>
      <c r="M78" s="1963"/>
      <c r="N78" s="1963"/>
      <c r="O78" s="1963"/>
    </row>
  </sheetData>
  <mergeCells count="4">
    <mergeCell ref="A3:O3"/>
    <mergeCell ref="A74:O74"/>
    <mergeCell ref="A77:O77"/>
    <mergeCell ref="A78:O78"/>
  </mergeCells>
  <pageMargins left="0.78740157480314965" right="0.31496062992125984" top="0.55118110236220474" bottom="0.15748031496062992" header="0.55118110236220474" footer="0.19685039370078741"/>
  <pageSetup paperSize="9" scale="50"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99FF"/>
  </sheetPr>
  <dimension ref="A1:R78"/>
  <sheetViews>
    <sheetView view="pageBreakPreview" zoomScaleNormal="100" zoomScaleSheetLayoutView="100" workbookViewId="0">
      <pane xSplit="2" ySplit="5" topLeftCell="C6" activePane="bottomRight" state="frozen"/>
      <selection activeCell="M9" sqref="M9"/>
      <selection pane="topRight" activeCell="M9" sqref="M9"/>
      <selection pane="bottomLeft" activeCell="M9" sqref="M9"/>
      <selection pane="bottomRight" activeCell="F64" sqref="F64"/>
    </sheetView>
  </sheetViews>
  <sheetFormatPr defaultColWidth="2.85546875" defaultRowHeight="15"/>
  <cols>
    <col min="1" max="1" width="6.42578125" style="1" customWidth="1"/>
    <col min="2" max="2" width="36.42578125" style="1" customWidth="1"/>
    <col min="3" max="3" width="11.140625" style="21" customWidth="1"/>
    <col min="4" max="4" width="13.140625" style="1" hidden="1" customWidth="1"/>
    <col min="5" max="5" width="13" style="1" hidden="1" customWidth="1"/>
    <col min="6" max="6" width="13.140625" style="1" customWidth="1"/>
    <col min="7" max="8" width="13" style="1" customWidth="1"/>
    <col min="9" max="9" width="13" style="1" hidden="1" customWidth="1"/>
    <col min="10" max="11" width="13" style="1" customWidth="1"/>
    <col min="12" max="12" width="16" style="1" customWidth="1"/>
    <col min="13" max="13" width="12.5703125" style="1" customWidth="1"/>
    <col min="14" max="14" width="12.7109375" style="1" customWidth="1"/>
    <col min="15" max="15" width="12.85546875" style="1" customWidth="1"/>
    <col min="16" max="16" width="12.28515625" style="1" customWidth="1"/>
    <col min="17" max="93" width="11.140625" style="1" customWidth="1"/>
    <col min="94" max="16384" width="2.85546875" style="1"/>
  </cols>
  <sheetData>
    <row r="1" spans="1:18" s="5" customFormat="1" ht="18" customHeight="1">
      <c r="A1" s="74" t="s">
        <v>1860</v>
      </c>
      <c r="C1" s="20"/>
      <c r="M1" s="6"/>
      <c r="N1" s="6"/>
      <c r="O1" s="6" t="s">
        <v>1060</v>
      </c>
      <c r="R1" s="6" t="s">
        <v>1060</v>
      </c>
    </row>
    <row r="2" spans="1:18" s="5" customFormat="1" ht="12.75" customHeight="1">
      <c r="A2" s="759" t="str">
        <f>'4.9_пр-во ККЭ'!A2</f>
        <v>ПКГО - котельные</v>
      </c>
      <c r="C2" s="20"/>
    </row>
    <row r="3" spans="1:18" ht="18.75">
      <c r="A3" s="1877" t="s">
        <v>1523</v>
      </c>
      <c r="B3" s="1877"/>
      <c r="C3" s="1877"/>
      <c r="D3" s="1877"/>
      <c r="E3" s="1877"/>
      <c r="F3" s="1877"/>
      <c r="G3" s="1877"/>
      <c r="H3" s="1877"/>
      <c r="I3" s="1877"/>
      <c r="J3" s="1877"/>
      <c r="K3" s="1877"/>
      <c r="L3" s="1877"/>
      <c r="M3" s="1877"/>
      <c r="N3" s="1877"/>
      <c r="O3" s="1877"/>
    </row>
    <row r="4" spans="1:18" ht="12.75" customHeight="1"/>
    <row r="5" spans="1:18" s="3" customFormat="1" ht="72" customHeight="1">
      <c r="A5" s="915" t="s">
        <v>451</v>
      </c>
      <c r="B5" s="915" t="s">
        <v>1</v>
      </c>
      <c r="C5" s="915" t="s">
        <v>2</v>
      </c>
      <c r="D5" s="913" t="s">
        <v>1129</v>
      </c>
      <c r="E5" s="913" t="s">
        <v>1130</v>
      </c>
      <c r="F5" s="913" t="s">
        <v>1520</v>
      </c>
      <c r="G5" s="1284" t="s">
        <v>1695</v>
      </c>
      <c r="H5" s="1310" t="s">
        <v>1702</v>
      </c>
      <c r="I5" s="1661" t="s">
        <v>1882</v>
      </c>
      <c r="J5" s="1576" t="s">
        <v>1828</v>
      </c>
      <c r="K5" s="1661" t="s">
        <v>1842</v>
      </c>
      <c r="L5" s="1631" t="s">
        <v>1861</v>
      </c>
      <c r="M5" s="1631" t="s">
        <v>1862</v>
      </c>
      <c r="N5" s="1631" t="s">
        <v>763</v>
      </c>
      <c r="O5" s="1631" t="s">
        <v>764</v>
      </c>
      <c r="P5" s="1631" t="s">
        <v>1863</v>
      </c>
      <c r="Q5" s="1631" t="s">
        <v>763</v>
      </c>
      <c r="R5" s="1631" t="s">
        <v>764</v>
      </c>
    </row>
    <row r="6" spans="1:18" s="2" customFormat="1">
      <c r="A6" s="13">
        <v>1</v>
      </c>
      <c r="B6" s="13">
        <v>2</v>
      </c>
      <c r="C6" s="13">
        <v>3</v>
      </c>
      <c r="D6" s="13">
        <v>4</v>
      </c>
      <c r="E6" s="13">
        <v>5</v>
      </c>
      <c r="F6" s="13">
        <v>4</v>
      </c>
      <c r="G6" s="13">
        <v>5</v>
      </c>
      <c r="H6" s="13">
        <v>6</v>
      </c>
      <c r="I6" s="13"/>
      <c r="J6" s="13">
        <v>7</v>
      </c>
      <c r="K6" s="13">
        <v>8</v>
      </c>
      <c r="L6" s="13">
        <v>9</v>
      </c>
      <c r="M6" s="13">
        <v>10</v>
      </c>
      <c r="N6" s="13">
        <v>11</v>
      </c>
      <c r="O6" s="13">
        <v>12</v>
      </c>
      <c r="P6" s="13">
        <v>13</v>
      </c>
      <c r="Q6" s="13">
        <v>14</v>
      </c>
      <c r="R6" s="13">
        <v>15</v>
      </c>
    </row>
    <row r="7" spans="1:18" s="36" customFormat="1" ht="15" customHeight="1">
      <c r="A7" s="60" t="s">
        <v>4</v>
      </c>
      <c r="B7" s="61" t="s">
        <v>452</v>
      </c>
      <c r="C7" s="8" t="s">
        <v>453</v>
      </c>
      <c r="D7" s="391"/>
      <c r="E7" s="391"/>
      <c r="F7" s="391"/>
      <c r="G7" s="391"/>
      <c r="H7" s="391"/>
      <c r="I7" s="391"/>
      <c r="J7" s="391"/>
      <c r="K7" s="391"/>
      <c r="L7" s="391"/>
      <c r="M7" s="388"/>
      <c r="N7" s="388"/>
      <c r="O7" s="388"/>
      <c r="P7" s="388"/>
      <c r="Q7" s="388"/>
      <c r="R7" s="388"/>
    </row>
    <row r="8" spans="1:18" s="36" customFormat="1" ht="15" customHeight="1">
      <c r="A8" s="60" t="s">
        <v>5</v>
      </c>
      <c r="B8" s="61" t="s">
        <v>454</v>
      </c>
      <c r="C8" s="8" t="s">
        <v>453</v>
      </c>
      <c r="D8" s="391">
        <f>'4.9_транзит ККЭ'!D8+'4.9_сбыт ККЭ'!D8</f>
        <v>0</v>
      </c>
      <c r="E8" s="391">
        <f>'4.9_транзит ККЭ'!E8+'4.9_сбыт ККЭ'!E8</f>
        <v>190.9</v>
      </c>
      <c r="F8" s="391">
        <f>'4.9_транзит ККЭ'!F8+'4.9_сбыт ККЭ'!F8</f>
        <v>0</v>
      </c>
      <c r="G8" s="391">
        <v>190.9</v>
      </c>
      <c r="H8" s="391">
        <v>0</v>
      </c>
      <c r="I8" s="391"/>
      <c r="J8" s="391">
        <v>190.9</v>
      </c>
      <c r="K8" s="391">
        <v>0</v>
      </c>
      <c r="L8" s="391">
        <v>214.9</v>
      </c>
      <c r="M8" s="391">
        <v>214.9</v>
      </c>
      <c r="N8" s="391">
        <v>214.9</v>
      </c>
      <c r="O8" s="391">
        <v>214.9</v>
      </c>
      <c r="P8" s="391">
        <v>238.9</v>
      </c>
      <c r="Q8" s="391">
        <v>238.9</v>
      </c>
      <c r="R8" s="391">
        <v>238.9</v>
      </c>
    </row>
    <row r="9" spans="1:18" s="36" customFormat="1" ht="15" customHeight="1">
      <c r="A9" s="60"/>
      <c r="B9" s="61" t="s">
        <v>455</v>
      </c>
      <c r="C9" s="8" t="s">
        <v>453</v>
      </c>
      <c r="D9" s="391"/>
      <c r="E9" s="391"/>
      <c r="F9" s="391"/>
      <c r="G9" s="391"/>
      <c r="H9" s="391"/>
      <c r="I9" s="391"/>
      <c r="J9" s="391"/>
      <c r="K9" s="391"/>
      <c r="L9" s="391"/>
      <c r="M9" s="391"/>
      <c r="N9" s="391"/>
      <c r="O9" s="391"/>
      <c r="P9" s="391"/>
      <c r="Q9" s="391"/>
      <c r="R9" s="391"/>
    </row>
    <row r="10" spans="1:18" s="36" customFormat="1" ht="15" customHeight="1">
      <c r="A10" s="60" t="s">
        <v>11</v>
      </c>
      <c r="B10" s="61" t="s">
        <v>456</v>
      </c>
      <c r="C10" s="8" t="s">
        <v>453</v>
      </c>
      <c r="D10" s="391">
        <f>'4.9_транзит ККЭ'!D10+'4.9_сбыт ККЭ'!D10</f>
        <v>0</v>
      </c>
      <c r="E10" s="391">
        <f>'4.9_транзит ККЭ'!E10+'4.9_сбыт ККЭ'!E10</f>
        <v>188.9</v>
      </c>
      <c r="F10" s="391">
        <f>'4.9_транзит ККЭ'!F10+'4.9_сбыт ККЭ'!F10</f>
        <v>0</v>
      </c>
      <c r="G10" s="391">
        <v>188.9</v>
      </c>
      <c r="H10" s="391">
        <v>0</v>
      </c>
      <c r="I10" s="391"/>
      <c r="J10" s="391">
        <v>188.9</v>
      </c>
      <c r="K10" s="391">
        <v>0</v>
      </c>
      <c r="L10" s="391">
        <v>212.9</v>
      </c>
      <c r="M10" s="391">
        <v>212.9</v>
      </c>
      <c r="N10" s="391">
        <v>212.9</v>
      </c>
      <c r="O10" s="391">
        <v>212.9</v>
      </c>
      <c r="P10" s="391">
        <v>236.9</v>
      </c>
      <c r="Q10" s="391">
        <v>236.9</v>
      </c>
      <c r="R10" s="391">
        <v>236.9</v>
      </c>
    </row>
    <row r="11" spans="1:18" s="36" customFormat="1" ht="15" customHeight="1">
      <c r="A11" s="60"/>
      <c r="B11" s="61" t="s">
        <v>457</v>
      </c>
      <c r="C11" s="8" t="s">
        <v>453</v>
      </c>
      <c r="D11" s="388"/>
      <c r="E11" s="388"/>
      <c r="F11" s="388"/>
      <c r="G11" s="388"/>
      <c r="H11" s="388"/>
      <c r="I11" s="388"/>
      <c r="J11" s="388"/>
      <c r="K11" s="388"/>
      <c r="L11" s="388"/>
      <c r="M11" s="388"/>
      <c r="N11" s="388"/>
      <c r="O11" s="388"/>
      <c r="P11" s="388"/>
      <c r="Q11" s="388"/>
      <c r="R11" s="388"/>
    </row>
    <row r="12" spans="1:18" s="36" customFormat="1" ht="15" customHeight="1">
      <c r="A12" s="60" t="s">
        <v>445</v>
      </c>
      <c r="B12" s="61" t="s">
        <v>458</v>
      </c>
      <c r="C12" s="8" t="s">
        <v>453</v>
      </c>
      <c r="D12" s="391">
        <f>'4.9_транзит ККЭ'!D12+'4.9_сбыт ККЭ'!D12</f>
        <v>0</v>
      </c>
      <c r="E12" s="391">
        <f>'4.9_транзит ККЭ'!E12+'4.9_сбыт ККЭ'!E12</f>
        <v>263.39999999999998</v>
      </c>
      <c r="F12" s="391">
        <f>'4.9_транзит ККЭ'!F12+'4.9_сбыт ККЭ'!F12</f>
        <v>0</v>
      </c>
      <c r="G12" s="391">
        <v>182</v>
      </c>
      <c r="H12" s="391">
        <v>0</v>
      </c>
      <c r="I12" s="391"/>
      <c r="J12" s="391">
        <v>182</v>
      </c>
      <c r="K12" s="391">
        <v>0</v>
      </c>
      <c r="L12" s="391">
        <v>0</v>
      </c>
      <c r="M12" s="391">
        <v>0</v>
      </c>
      <c r="N12" s="391">
        <v>0</v>
      </c>
      <c r="O12" s="391">
        <v>0</v>
      </c>
      <c r="P12" s="391">
        <v>0</v>
      </c>
      <c r="Q12" s="391">
        <v>0</v>
      </c>
      <c r="R12" s="391">
        <v>0</v>
      </c>
    </row>
    <row r="13" spans="1:18" s="36" customFormat="1" ht="15" customHeight="1">
      <c r="A13" s="60"/>
      <c r="B13" s="61" t="s">
        <v>459</v>
      </c>
      <c r="C13" s="8" t="s">
        <v>138</v>
      </c>
      <c r="D13" s="391" t="e">
        <f>D12/D8*100</f>
        <v>#DIV/0!</v>
      </c>
      <c r="E13" s="391">
        <f t="shared" ref="E13:O13" si="0">E12/E8*100</f>
        <v>137.97799895233106</v>
      </c>
      <c r="F13" s="391" t="e">
        <f t="shared" si="0"/>
        <v>#DIV/0!</v>
      </c>
      <c r="G13" s="391">
        <v>95.337873232058669</v>
      </c>
      <c r="H13" s="391" t="e">
        <v>#DIV/0!</v>
      </c>
      <c r="I13" s="391"/>
      <c r="J13" s="391">
        <v>95.337873232058669</v>
      </c>
      <c r="K13" s="391" t="e">
        <v>#DIV/0!</v>
      </c>
      <c r="L13" s="391">
        <v>0</v>
      </c>
      <c r="M13" s="391">
        <v>0</v>
      </c>
      <c r="N13" s="391">
        <v>0</v>
      </c>
      <c r="O13" s="391">
        <v>0</v>
      </c>
      <c r="P13" s="391">
        <v>0</v>
      </c>
      <c r="Q13" s="391">
        <v>0</v>
      </c>
      <c r="R13" s="391">
        <v>0</v>
      </c>
    </row>
    <row r="14" spans="1:18" s="36" customFormat="1" ht="15" customHeight="1">
      <c r="A14" s="60" t="s">
        <v>446</v>
      </c>
      <c r="B14" s="61" t="s">
        <v>460</v>
      </c>
      <c r="C14" s="8" t="s">
        <v>453</v>
      </c>
      <c r="D14" s="388"/>
      <c r="E14" s="388"/>
      <c r="F14" s="388"/>
      <c r="G14" s="388"/>
      <c r="H14" s="388"/>
      <c r="I14" s="388"/>
      <c r="J14" s="388"/>
      <c r="K14" s="388"/>
      <c r="L14" s="388"/>
      <c r="M14" s="388"/>
      <c r="N14" s="388"/>
      <c r="O14" s="388"/>
      <c r="P14" s="388"/>
      <c r="Q14" s="388"/>
      <c r="R14" s="388"/>
    </row>
    <row r="15" spans="1:18" s="36" customFormat="1" ht="15" customHeight="1">
      <c r="A15" s="60" t="s">
        <v>461</v>
      </c>
      <c r="B15" s="61" t="s">
        <v>462</v>
      </c>
      <c r="C15" s="8" t="s">
        <v>453</v>
      </c>
      <c r="D15" s="391">
        <f>'4.9_транзит ККЭ'!D15+'4.9_сбыт ККЭ'!D15</f>
        <v>307.98074796747966</v>
      </c>
      <c r="E15" s="391">
        <f>'4.9_транзит ККЭ'!E15+'4.9_сбыт ККЭ'!E15</f>
        <v>263.39999999999998</v>
      </c>
      <c r="F15" s="391">
        <f>'4.9_транзит ККЭ'!F15+'4.9_сбыт ККЭ'!F15</f>
        <v>0</v>
      </c>
      <c r="G15" s="391">
        <v>282.89999999999998</v>
      </c>
      <c r="H15" s="391">
        <v>0</v>
      </c>
      <c r="I15" s="391"/>
      <c r="J15" s="391">
        <v>280.89999999999998</v>
      </c>
      <c r="K15" s="391">
        <v>0</v>
      </c>
      <c r="L15" s="391">
        <v>275.7</v>
      </c>
      <c r="M15" s="391">
        <v>275.7</v>
      </c>
      <c r="N15" s="391">
        <v>275.7</v>
      </c>
      <c r="O15" s="391">
        <v>275.7</v>
      </c>
      <c r="P15" s="391">
        <v>275.7</v>
      </c>
      <c r="Q15" s="391">
        <v>275.7</v>
      </c>
      <c r="R15" s="391">
        <v>275.7</v>
      </c>
    </row>
    <row r="16" spans="1:18" s="36" customFormat="1" ht="15" customHeight="1">
      <c r="A16" s="60" t="s">
        <v>23</v>
      </c>
      <c r="B16" s="61" t="s">
        <v>463</v>
      </c>
      <c r="C16" s="8"/>
      <c r="D16" s="388"/>
      <c r="E16" s="388"/>
      <c r="F16" s="388"/>
      <c r="G16" s="388"/>
      <c r="H16" s="388"/>
      <c r="I16" s="388"/>
      <c r="J16" s="388"/>
      <c r="K16" s="388"/>
      <c r="L16" s="388"/>
      <c r="M16" s="388"/>
      <c r="N16" s="388"/>
      <c r="O16" s="388"/>
      <c r="P16" s="388"/>
      <c r="Q16" s="388"/>
      <c r="R16" s="388"/>
    </row>
    <row r="17" spans="1:18" s="36" customFormat="1" ht="15" customHeight="1">
      <c r="A17" s="60" t="s">
        <v>24</v>
      </c>
      <c r="B17" s="61" t="s">
        <v>464</v>
      </c>
      <c r="C17" s="8" t="s">
        <v>465</v>
      </c>
      <c r="D17" s="337">
        <f>'4.9_пр-во ККЭ'!D17</f>
        <v>4535.55</v>
      </c>
      <c r="E17" s="337">
        <f>'4.9_пр-во ККЭ'!E17</f>
        <v>4896</v>
      </c>
      <c r="F17" s="337">
        <f>'4.9_пр-во ККЭ'!F17</f>
        <v>0</v>
      </c>
      <c r="G17" s="337">
        <v>5628</v>
      </c>
      <c r="H17" s="337">
        <v>0</v>
      </c>
      <c r="I17" s="337"/>
      <c r="J17" s="337">
        <v>5778</v>
      </c>
      <c r="K17" s="337">
        <v>0</v>
      </c>
      <c r="L17" s="337">
        <v>6671</v>
      </c>
      <c r="M17" s="337">
        <v>7248</v>
      </c>
      <c r="N17" s="337">
        <v>7398</v>
      </c>
      <c r="O17" s="337">
        <v>7592</v>
      </c>
      <c r="P17" s="337">
        <v>7745</v>
      </c>
      <c r="Q17" s="337">
        <v>7899</v>
      </c>
      <c r="R17" s="337">
        <v>8105</v>
      </c>
    </row>
    <row r="18" spans="1:18" s="36" customFormat="1" ht="15" customHeight="1">
      <c r="A18" s="60" t="s">
        <v>24</v>
      </c>
      <c r="B18" s="61" t="s">
        <v>466</v>
      </c>
      <c r="C18" s="8"/>
      <c r="D18" s="389">
        <f>D19/D17</f>
        <v>1.071</v>
      </c>
      <c r="E18" s="389">
        <f t="shared" ref="E18:O18" si="1">E19/E17</f>
        <v>1.0347222222222223</v>
      </c>
      <c r="F18" s="389" t="e">
        <f t="shared" si="1"/>
        <v>#DIV/0!</v>
      </c>
      <c r="G18" s="389">
        <v>1.0266524520255864</v>
      </c>
      <c r="H18" s="389" t="e">
        <v>#DIV/0!</v>
      </c>
      <c r="I18" s="389"/>
      <c r="J18" s="389">
        <v>1.1545517480096918</v>
      </c>
      <c r="K18" s="389" t="e">
        <v>#DIV/0!</v>
      </c>
      <c r="L18" s="389">
        <v>1.0864937790436215</v>
      </c>
      <c r="M18" s="389">
        <v>1.0685706401766004</v>
      </c>
      <c r="N18" s="389">
        <v>1.0262233035955663</v>
      </c>
      <c r="O18" s="389">
        <v>1.0404373024236038</v>
      </c>
      <c r="P18" s="389">
        <v>1.0589412524209167</v>
      </c>
      <c r="Q18" s="389">
        <v>1.0260792505380427</v>
      </c>
      <c r="R18" s="389">
        <v>1.0238124614435533</v>
      </c>
    </row>
    <row r="19" spans="1:18" s="36" customFormat="1" ht="30" customHeight="1">
      <c r="A19" s="60" t="s">
        <v>139</v>
      </c>
      <c r="B19" s="61" t="s">
        <v>467</v>
      </c>
      <c r="C19" s="8" t="s">
        <v>465</v>
      </c>
      <c r="D19" s="337">
        <f>'4.9_пр-во ККЭ'!D19</f>
        <v>4857.5740500000002</v>
      </c>
      <c r="E19" s="337">
        <f>'4.9_пр-во ККЭ'!E19</f>
        <v>5066</v>
      </c>
      <c r="F19" s="337">
        <f>'4.9_пр-во ККЭ'!F19</f>
        <v>5700</v>
      </c>
      <c r="G19" s="337">
        <v>5778</v>
      </c>
      <c r="H19" s="337">
        <v>6328</v>
      </c>
      <c r="I19" s="337"/>
      <c r="J19" s="337">
        <v>6671</v>
      </c>
      <c r="K19" s="337">
        <v>0</v>
      </c>
      <c r="L19" s="337">
        <v>7248</v>
      </c>
      <c r="M19" s="337">
        <v>7745</v>
      </c>
      <c r="N19" s="337">
        <v>7592</v>
      </c>
      <c r="O19" s="337">
        <v>7899</v>
      </c>
      <c r="P19" s="337">
        <v>8201.5</v>
      </c>
      <c r="Q19" s="337">
        <v>8105</v>
      </c>
      <c r="R19" s="337">
        <v>8298</v>
      </c>
    </row>
    <row r="20" spans="1:18" s="36" customFormat="1" ht="15" customHeight="1">
      <c r="A20" s="60" t="s">
        <v>433</v>
      </c>
      <c r="B20" s="61" t="s">
        <v>468</v>
      </c>
      <c r="C20" s="8"/>
      <c r="D20" s="251">
        <f>('4.9_транзит ККЭ'!$D$15*'4.9_транзит ККЭ'!D20+'4.9_сбыт ККЭ'!$D$15*'4.9_сбыт ККЭ'!D20)/'4.9_транзит+сбыт (ККЭ)'!$D$15</f>
        <v>6.3766233633983056</v>
      </c>
      <c r="E20" s="251">
        <f>('4.9_транзит ККЭ'!$E$15*'4.9_транзит ККЭ'!E20+'4.9_сбыт ККЭ'!$E$15*'4.9_сбыт ККЭ'!E20)/'4.9_транзит+сбыт (ККЭ)'!$E$15</f>
        <v>6.831890660592256</v>
      </c>
      <c r="F20" s="251" t="e">
        <f>('4.9_транзит ККЭ'!$F$15*'4.9_транзит ККЭ'!F20+'4.9_сбыт ККЭ'!$F$15*'4.9_сбыт ККЭ'!F20)/'4.9_транзит+сбыт (ККЭ)'!$F$15</f>
        <v>#DIV/0!</v>
      </c>
      <c r="G20" s="251">
        <v>6.5362078472958647</v>
      </c>
      <c r="H20" s="251" t="e">
        <v>#DIV/0!</v>
      </c>
      <c r="I20" s="251"/>
      <c r="J20" s="251">
        <v>0</v>
      </c>
      <c r="K20" s="251" t="e">
        <v>#DIV/0!</v>
      </c>
      <c r="L20" s="251">
        <v>0</v>
      </c>
      <c r="M20" s="251">
        <v>0</v>
      </c>
      <c r="N20" s="251">
        <v>0</v>
      </c>
      <c r="O20" s="251">
        <v>0</v>
      </c>
      <c r="P20" s="251">
        <v>0</v>
      </c>
      <c r="Q20" s="251">
        <v>0</v>
      </c>
      <c r="R20" s="251">
        <v>0</v>
      </c>
    </row>
    <row r="21" spans="1:18" s="36" customFormat="1" ht="30" customHeight="1">
      <c r="A21" s="60" t="s">
        <v>433</v>
      </c>
      <c r="B21" s="61" t="s">
        <v>469</v>
      </c>
      <c r="C21" s="8"/>
      <c r="D21" s="251">
        <f>('4.9_транзит ККЭ'!$D$15*'4.9_транзит ККЭ'!D21+'4.9_сбыт ККЭ'!$D$15*'4.9_сбыт ККЭ'!D21)/'4.9_транзит+сбыт (ККЭ)'!$D$15</f>
        <v>1.8422957477451276</v>
      </c>
      <c r="E21" s="251">
        <f>('4.9_транзит ККЭ'!$E$15*'4.9_транзит ККЭ'!E21+'4.9_сбыт ККЭ'!$E$15*'4.9_сбыт ККЭ'!E21)/'4.9_транзит+сбыт (ККЭ)'!$E$15</f>
        <v>2.031612756264237</v>
      </c>
      <c r="F21" s="251" t="e">
        <f>('4.9_транзит ККЭ'!$F$15*'4.9_транзит ККЭ'!F21+'4.9_сбыт ККЭ'!$F$15*'4.9_сбыт ККЭ'!F21)/'4.9_транзит+сбыт (ККЭ)'!$F$15</f>
        <v>#DIV/0!</v>
      </c>
      <c r="G21" s="251">
        <v>2.0103605514316012</v>
      </c>
      <c r="H21" s="251" t="e">
        <v>#DIV/0!</v>
      </c>
      <c r="I21" s="251"/>
      <c r="J21" s="251">
        <v>2.0253325026699893</v>
      </c>
      <c r="K21" s="251" t="e">
        <v>#DIV/0!</v>
      </c>
      <c r="L21" s="251">
        <v>2.1020674646354731</v>
      </c>
      <c r="M21" s="251">
        <v>2.1012876314834963</v>
      </c>
      <c r="N21" s="251">
        <v>2.1012876314834963</v>
      </c>
      <c r="O21" s="251">
        <v>2.1012876314834963</v>
      </c>
      <c r="P21" s="251">
        <v>2.1012876314834963</v>
      </c>
      <c r="Q21" s="251">
        <v>2.1012876314834963</v>
      </c>
      <c r="R21" s="251">
        <v>2.1012876314834963</v>
      </c>
    </row>
    <row r="22" spans="1:18" s="36" customFormat="1" ht="15" customHeight="1">
      <c r="A22" s="60" t="s">
        <v>433</v>
      </c>
      <c r="B22" s="61" t="s">
        <v>470</v>
      </c>
      <c r="C22" s="8" t="s">
        <v>465</v>
      </c>
      <c r="D22" s="250">
        <f>('4.9_транзит ККЭ'!$D$15*'4.9_транзит ККЭ'!D22+'4.9_сбыт ККЭ'!$D$15*'4.9_сбыт ККЭ'!D22)/'4.9_транзит+сбыт (ККЭ)'!$D$15</f>
        <v>8949.0880166720799</v>
      </c>
      <c r="E22" s="250">
        <f>('4.9_транзит ККЭ'!$E$15*'4.9_транзит ККЭ'!E22+'4.9_сбыт ККЭ'!$E$15*'4.9_сбыт ККЭ'!E22)/'4.9_транзит+сбыт (ККЭ)'!$E$15</f>
        <v>10294.318788154897</v>
      </c>
      <c r="F22" s="250" t="e">
        <f>('4.9_транзит ККЭ'!$F$15*'4.9_транзит ККЭ'!F22+'4.9_сбыт ККЭ'!$F$15*'4.9_сбыт ККЭ'!F22)/'4.9_транзит+сбыт (ККЭ)'!$F$15</f>
        <v>#DIV/0!</v>
      </c>
      <c r="G22" s="250">
        <v>11615.863266171795</v>
      </c>
      <c r="H22" s="250" t="e">
        <v>#DIV/0!</v>
      </c>
      <c r="I22" s="250"/>
      <c r="J22" s="250">
        <v>13510.993125311501</v>
      </c>
      <c r="K22" s="250" t="e">
        <v>#DIV/0!</v>
      </c>
      <c r="L22" s="250">
        <v>15235.784983677911</v>
      </c>
      <c r="M22" s="250">
        <v>16274.472705839682</v>
      </c>
      <c r="N22" s="250">
        <v>15952.975698222705</v>
      </c>
      <c r="O22" s="250">
        <v>16598.071001088138</v>
      </c>
      <c r="P22" s="250">
        <v>17233.710509611898</v>
      </c>
      <c r="Q22" s="250">
        <v>17030.936253173739</v>
      </c>
      <c r="R22" s="250">
        <v>17436.484766050053</v>
      </c>
    </row>
    <row r="23" spans="1:18" s="36" customFormat="1" ht="30" customHeight="1">
      <c r="A23" s="60" t="s">
        <v>471</v>
      </c>
      <c r="B23" s="61" t="s">
        <v>472</v>
      </c>
      <c r="C23" s="8"/>
      <c r="D23" s="388"/>
      <c r="E23" s="388"/>
      <c r="F23" s="388"/>
      <c r="G23" s="388"/>
      <c r="H23" s="388"/>
      <c r="I23" s="388"/>
      <c r="J23" s="388"/>
      <c r="K23" s="388"/>
      <c r="L23" s="388"/>
      <c r="M23" s="388"/>
      <c r="N23" s="388"/>
      <c r="O23" s="388"/>
      <c r="P23" s="388"/>
      <c r="Q23" s="388"/>
      <c r="R23" s="388"/>
    </row>
    <row r="24" spans="1:18" s="36" customFormat="1" ht="15" customHeight="1">
      <c r="A24" s="60"/>
      <c r="B24" s="70" t="s">
        <v>473</v>
      </c>
      <c r="C24" s="8" t="s">
        <v>138</v>
      </c>
      <c r="D24" s="251">
        <f>('4.9_транзит ККЭ'!$D$15*'4.9_транзит ККЭ'!D24+'4.9_сбыт ККЭ'!$D$15*'4.9_сбыт ККЭ'!D24)/'4.9_транзит+сбыт (ККЭ)'!$D$15</f>
        <v>19.771482397439623</v>
      </c>
      <c r="E24" s="251">
        <f>('4.9_транзит ККЭ'!$E$15*'4.9_транзит ККЭ'!E24+'4.9_сбыт ККЭ'!$E$15*'4.9_сбыт ККЭ'!E24)/'4.9_транзит+сбыт (ККЭ)'!$E$15</f>
        <v>17.939179954441911</v>
      </c>
      <c r="F24" s="251" t="e">
        <f>('4.9_транзит ККЭ'!$F$15*'4.9_транзит ККЭ'!F24+'4.9_сбыт ККЭ'!$F$15*'4.9_сбыт ККЭ'!F24)/'4.9_транзит+сбыт (ККЭ)'!$F$15</f>
        <v>#DIV/0!</v>
      </c>
      <c r="G24" s="251">
        <v>20.105478967833157</v>
      </c>
      <c r="H24" s="251" t="e">
        <v>#DIV/0!</v>
      </c>
      <c r="I24" s="251"/>
      <c r="J24" s="251">
        <v>18.457191171235316</v>
      </c>
      <c r="K24" s="251" t="e">
        <v>#DIV/0!</v>
      </c>
      <c r="L24" s="251">
        <v>24.892898077620604</v>
      </c>
      <c r="M24" s="251">
        <v>24.892898077620604</v>
      </c>
      <c r="N24" s="251">
        <v>24.892898077620604</v>
      </c>
      <c r="O24" s="251">
        <v>24.892898077620604</v>
      </c>
      <c r="P24" s="251">
        <v>24.892898077620604</v>
      </c>
      <c r="Q24" s="251">
        <v>24.892898077620604</v>
      </c>
      <c r="R24" s="251">
        <v>24.892898077620604</v>
      </c>
    </row>
    <row r="25" spans="1:18" s="36" customFormat="1" ht="15" customHeight="1">
      <c r="A25" s="60"/>
      <c r="B25" s="70" t="s">
        <v>474</v>
      </c>
      <c r="C25" s="8" t="s">
        <v>465</v>
      </c>
      <c r="D25" s="250">
        <f>('4.9_транзит ККЭ'!$D$15*'4.9_транзит ККЭ'!D25+'4.9_сбыт ККЭ'!$D$15*'4.9_сбыт ККЭ'!D25)/'4.9_транзит+сбыт (ККЭ)'!$D$15</f>
        <v>1760.8876370488385</v>
      </c>
      <c r="E25" s="250">
        <f>('4.9_транзит ККЭ'!$E$15*'4.9_транзит ККЭ'!E25+'4.9_сбыт ККЭ'!$E$15*'4.9_сбыт ККЭ'!E25)/'4.9_транзит+сбыт (ККЭ)'!$E$15</f>
        <v>1747.4799840820044</v>
      </c>
      <c r="F25" s="250" t="e">
        <f>('4.9_транзит ККЭ'!$F$15*'4.9_транзит ККЭ'!F25+'4.9_сбыт ККЭ'!$F$15*'4.9_сбыт ККЭ'!F25)/'4.9_транзит+сбыт (ККЭ)'!$F$15</f>
        <v>#DIV/0!</v>
      </c>
      <c r="G25" s="250">
        <v>2256.5290500954402</v>
      </c>
      <c r="H25" s="250" t="e">
        <v>#DIV/0!</v>
      </c>
      <c r="I25" s="250"/>
      <c r="J25" s="250">
        <v>2363.6991812032752</v>
      </c>
      <c r="K25" s="250" t="e">
        <v>#DIV/0!</v>
      </c>
      <c r="L25" s="250">
        <v>3562.3579978237217</v>
      </c>
      <c r="M25" s="250">
        <v>3806.0090678273486</v>
      </c>
      <c r="N25" s="250">
        <v>3731.2981501632207</v>
      </c>
      <c r="O25" s="250">
        <v>3881.6420021762788</v>
      </c>
      <c r="P25" s="250">
        <v>4030.9858541893364</v>
      </c>
      <c r="Q25" s="250">
        <v>3983.7152702212552</v>
      </c>
      <c r="R25" s="250">
        <v>4078.256438157418</v>
      </c>
    </row>
    <row r="26" spans="1:18" s="36" customFormat="1" ht="15" customHeight="1">
      <c r="A26" s="60" t="s">
        <v>475</v>
      </c>
      <c r="B26" s="61" t="s">
        <v>476</v>
      </c>
      <c r="C26" s="8"/>
      <c r="D26" s="337"/>
      <c r="E26" s="337"/>
      <c r="F26" s="337"/>
      <c r="G26" s="337"/>
      <c r="H26" s="337"/>
      <c r="I26" s="337"/>
      <c r="J26" s="337"/>
      <c r="K26" s="337"/>
      <c r="L26" s="337"/>
      <c r="M26" s="337"/>
      <c r="N26" s="337"/>
      <c r="O26" s="337"/>
      <c r="P26" s="337"/>
      <c r="Q26" s="337"/>
      <c r="R26" s="337"/>
    </row>
    <row r="27" spans="1:18" s="36" customFormat="1" ht="15" customHeight="1">
      <c r="A27" s="60"/>
      <c r="B27" s="70" t="s">
        <v>473</v>
      </c>
      <c r="C27" s="8" t="s">
        <v>138</v>
      </c>
      <c r="D27" s="947">
        <f>('4.9_транзит ККЭ'!$D$15*'4.9_транзит ККЭ'!D27+'4.9_сбыт ККЭ'!$D$15*'4.9_сбыт ККЭ'!D27)/'4.9_транзит+сбыт (ККЭ)'!$D$15</f>
        <v>50</v>
      </c>
      <c r="E27" s="947">
        <f>('4.9_транзит ККЭ'!$E$15*'4.9_транзит ККЭ'!E27+'4.9_сбыт ККЭ'!$E$15*'4.9_сбыт ККЭ'!E27)/'4.9_транзит+сбыт (ККЭ)'!$E$15</f>
        <v>47.23530751708428</v>
      </c>
      <c r="F27" s="947" t="e">
        <f>('4.9_транзит ККЭ'!$F$15*'4.9_транзит ККЭ'!F27+'4.9_сбыт ККЭ'!$F$15*'4.9_сбыт ККЭ'!F27)/'4.9_транзит+сбыт (ККЭ)'!$F$15</f>
        <v>#DIV/0!</v>
      </c>
      <c r="G27" s="947">
        <v>48.087610463061161</v>
      </c>
      <c r="H27" s="251" t="e">
        <v>#DIV/0!</v>
      </c>
      <c r="I27" s="251"/>
      <c r="J27" s="251">
        <v>48.404948380206484</v>
      </c>
      <c r="K27" s="251" t="e">
        <v>#DIV/0!</v>
      </c>
      <c r="L27" s="251">
        <v>48.319260065288354</v>
      </c>
      <c r="M27" s="251">
        <v>50</v>
      </c>
      <c r="N27" s="947">
        <v>50</v>
      </c>
      <c r="O27" s="947">
        <v>50</v>
      </c>
      <c r="P27" s="251">
        <v>50</v>
      </c>
      <c r="Q27" s="251">
        <v>50</v>
      </c>
      <c r="R27" s="251">
        <v>50</v>
      </c>
    </row>
    <row r="28" spans="1:18" s="36" customFormat="1" ht="15" customHeight="1">
      <c r="A28" s="60"/>
      <c r="B28" s="70" t="s">
        <v>474</v>
      </c>
      <c r="C28" s="8" t="s">
        <v>465</v>
      </c>
      <c r="D28" s="250">
        <f>('4.9_транзит ККЭ'!$D$15*'4.9_транзит ККЭ'!D28+'4.9_сбыт ККЭ'!$D$15*'4.9_сбыт ККЭ'!D28)/'4.9_транзит+сбыт (ККЭ)'!$D$15</f>
        <v>5354.9878268604589</v>
      </c>
      <c r="E28" s="250">
        <f>('4.9_транзит ККЭ'!$E$15*'4.9_транзит ККЭ'!E28+'4.9_сбыт ККЭ'!$E$15*'4.9_сбыт ККЭ'!E28)/'4.9_транзит+сбыт (ККЭ)'!$E$15</f>
        <v>5631.7070668798087</v>
      </c>
      <c r="F28" s="250" t="e">
        <f>('4.9_транзит ККЭ'!$F$15*'4.9_транзит ККЭ'!F28+'4.9_сбыт ККЭ'!$F$15*'4.9_сбыт ККЭ'!F28)/'4.9_транзит+сбыт (ККЭ)'!$F$15</f>
        <v>#DIV/0!</v>
      </c>
      <c r="G28" s="250">
        <v>6672.451773132726</v>
      </c>
      <c r="H28" s="250" t="e">
        <v>#DIV/0!</v>
      </c>
      <c r="I28" s="250"/>
      <c r="J28" s="250">
        <v>7647.2392310430769</v>
      </c>
      <c r="K28" s="250" t="e">
        <v>#DIV/0!</v>
      </c>
      <c r="L28" s="250">
        <v>9053.1864345302874</v>
      </c>
      <c r="M28" s="250">
        <v>10039.932172651432</v>
      </c>
      <c r="N28" s="250">
        <v>9842.4182081973158</v>
      </c>
      <c r="O28" s="250">
        <v>10240.290170475155</v>
      </c>
      <c r="P28" s="250">
        <v>10631.9281828074</v>
      </c>
      <c r="Q28" s="250">
        <v>10507.001450852376</v>
      </c>
      <c r="R28" s="250">
        <v>10757.776931447226</v>
      </c>
    </row>
    <row r="29" spans="1:18" s="36" customFormat="1" ht="15" customHeight="1">
      <c r="A29" s="60" t="s">
        <v>477</v>
      </c>
      <c r="B29" s="61" t="s">
        <v>478</v>
      </c>
      <c r="C29" s="8"/>
      <c r="D29" s="337"/>
      <c r="E29" s="337"/>
      <c r="F29" s="337"/>
      <c r="G29" s="337"/>
      <c r="H29" s="337"/>
      <c r="I29" s="337"/>
      <c r="J29" s="337"/>
      <c r="K29" s="337"/>
      <c r="L29" s="337"/>
      <c r="M29" s="337"/>
      <c r="N29" s="337"/>
      <c r="O29" s="337"/>
      <c r="P29" s="337"/>
      <c r="Q29" s="337"/>
      <c r="R29" s="337"/>
    </row>
    <row r="30" spans="1:18" s="36" customFormat="1" ht="15" customHeight="1">
      <c r="A30" s="60"/>
      <c r="B30" s="70" t="s">
        <v>473</v>
      </c>
      <c r="C30" s="8" t="s">
        <v>138</v>
      </c>
      <c r="D30" s="251">
        <f>('4.9_транзит ККЭ'!$D$15*'4.9_транзит ККЭ'!D30+'4.9_сбыт ККЭ'!$D$15*'4.9_сбыт ККЭ'!D30)/'4.9_транзит+сбыт (ККЭ)'!$D$15</f>
        <v>7.5999999999999979</v>
      </c>
      <c r="E30" s="251">
        <f>('4.9_транзит ККЭ'!$E$15*'4.9_транзит ККЭ'!E30+'4.9_сбыт ККЭ'!$E$15*'4.9_сбыт ККЭ'!E30)/'4.9_транзит+сбыт (ККЭ)'!$E$15</f>
        <v>8.5988610478359906</v>
      </c>
      <c r="F30" s="251" t="e">
        <f>('4.9_транзит ККЭ'!$F$15*'4.9_транзит ККЭ'!F30+'4.9_сбыт ККЭ'!$F$15*'4.9_сбыт ККЭ'!F30)/'4.9_транзит+сбыт (ККЭ)'!$F$15</f>
        <v>#DIV/0!</v>
      </c>
      <c r="G30" s="251">
        <v>8.5569989395546138</v>
      </c>
      <c r="H30" s="251" t="e">
        <v>#DIV/0!</v>
      </c>
      <c r="I30" s="251"/>
      <c r="J30" s="251">
        <v>8.8702509789960846</v>
      </c>
      <c r="K30" s="251" t="e">
        <v>#DIV/0!</v>
      </c>
      <c r="L30" s="251">
        <v>8.9532100108813921</v>
      </c>
      <c r="M30" s="251">
        <v>9.0993108451215079</v>
      </c>
      <c r="N30" s="251">
        <v>9.0993108451215079</v>
      </c>
      <c r="O30" s="251">
        <v>9.0993108451215079</v>
      </c>
      <c r="P30" s="251">
        <v>9.0993108451215079</v>
      </c>
      <c r="Q30" s="251">
        <v>9.0993108451215079</v>
      </c>
      <c r="R30" s="251">
        <v>9.0993108451215079</v>
      </c>
    </row>
    <row r="31" spans="1:18" s="36" customFormat="1" ht="15" customHeight="1">
      <c r="A31" s="60"/>
      <c r="B31" s="70" t="s">
        <v>474</v>
      </c>
      <c r="C31" s="8" t="s">
        <v>465</v>
      </c>
      <c r="D31" s="250">
        <f>('4.9_транзит ККЭ'!$D$15*'4.9_транзит ККЭ'!D31+'4.9_сбыт ККЭ'!$D$15*'4.9_сбыт ККЭ'!D31)/'4.9_транзит+сбыт (ККЭ)'!$D$15</f>
        <v>814.89123085823326</v>
      </c>
      <c r="E31" s="250">
        <f>('4.9_транзит ККЭ'!$E$15*'4.9_транзит ККЭ'!E31+'4.9_сбыт ККЭ'!$E$15*'4.9_сбыт ККЭ'!E31)/'4.9_транзит+сбыт (ККЭ)'!$E$15</f>
        <v>1025.2146787745876</v>
      </c>
      <c r="F31" s="250" t="e">
        <f>('4.9_транзит ККЭ'!$F$15*'4.9_транзит ККЭ'!F31+'4.9_сбыт ККЭ'!$F$15*'4.9_сбыт ККЭ'!F31)/'4.9_транзит+сбыт (ККЭ)'!$F$15</f>
        <v>#DIV/0!</v>
      </c>
      <c r="G31" s="250">
        <v>1179.1075722146343</v>
      </c>
      <c r="H31" s="250" t="e">
        <v>#DIV/0!</v>
      </c>
      <c r="I31" s="250"/>
      <c r="J31" s="250">
        <v>1402.8042007831971</v>
      </c>
      <c r="K31" s="250" t="e">
        <v>#DIV/0!</v>
      </c>
      <c r="L31" s="250">
        <v>1677.9096844396081</v>
      </c>
      <c r="M31" s="250">
        <v>1821.1987667754806</v>
      </c>
      <c r="N31" s="250">
        <v>1785.7950671019223</v>
      </c>
      <c r="O31" s="250">
        <v>1857.602466449039</v>
      </c>
      <c r="P31" s="250">
        <v>1929.3318824809578</v>
      </c>
      <c r="Q31" s="250">
        <v>1906.4740660137829</v>
      </c>
      <c r="R31" s="250">
        <v>1951.2676822633298</v>
      </c>
    </row>
    <row r="32" spans="1:18" s="36" customFormat="1" ht="15" customHeight="1">
      <c r="A32" s="60" t="s">
        <v>479</v>
      </c>
      <c r="B32" s="61" t="s">
        <v>480</v>
      </c>
      <c r="C32" s="8"/>
      <c r="D32" s="337"/>
      <c r="E32" s="337"/>
      <c r="F32" s="337"/>
      <c r="G32" s="337"/>
      <c r="H32" s="337"/>
      <c r="I32" s="337"/>
      <c r="J32" s="337"/>
      <c r="K32" s="337"/>
      <c r="L32" s="337"/>
      <c r="M32" s="337"/>
      <c r="N32" s="337"/>
      <c r="O32" s="337"/>
      <c r="P32" s="337"/>
      <c r="Q32" s="337"/>
      <c r="R32" s="337"/>
    </row>
    <row r="33" spans="1:18" s="36" customFormat="1" ht="15" customHeight="1">
      <c r="A33" s="60"/>
      <c r="B33" s="70" t="s">
        <v>473</v>
      </c>
      <c r="C33" s="8" t="s">
        <v>138</v>
      </c>
      <c r="D33" s="251">
        <f>('4.9_транзит ККЭ'!$D$15*'4.9_транзит ККЭ'!D33+'4.9_сбыт ККЭ'!$D$15*'4.9_сбыт ККЭ'!D33)/'4.9_транзит+сбыт (ККЭ)'!$D$15</f>
        <v>0</v>
      </c>
      <c r="E33" s="251">
        <f>('4.9_транзит ККЭ'!$E$15*'4.9_транзит ККЭ'!E33+'4.9_сбыт ККЭ'!$E$15*'4.9_сбыт ККЭ'!E33)/'4.9_транзит+сбыт (ККЭ)'!$E$15</f>
        <v>0</v>
      </c>
      <c r="F33" s="251" t="e">
        <f>('4.9_транзит ККЭ'!$F$15*'4.9_транзит ККЭ'!F33+'4.9_сбыт ККЭ'!$F$15*'4.9_сбыт ККЭ'!F33)/'4.9_транзит+сбыт (ККЭ)'!$F$15</f>
        <v>#DIV/0!</v>
      </c>
      <c r="G33" s="251">
        <v>0</v>
      </c>
      <c r="H33" s="251" t="e">
        <v>#DIV/0!</v>
      </c>
      <c r="I33" s="251"/>
      <c r="J33" s="251">
        <v>0</v>
      </c>
      <c r="K33" s="251" t="e">
        <v>#DIV/0!</v>
      </c>
      <c r="L33" s="251">
        <v>0</v>
      </c>
      <c r="M33" s="251">
        <v>0</v>
      </c>
      <c r="N33" s="251">
        <v>0</v>
      </c>
      <c r="O33" s="251">
        <v>0</v>
      </c>
      <c r="P33" s="251">
        <v>0</v>
      </c>
      <c r="Q33" s="251">
        <v>0</v>
      </c>
      <c r="R33" s="251">
        <v>0</v>
      </c>
    </row>
    <row r="34" spans="1:18" s="36" customFormat="1" ht="15" customHeight="1">
      <c r="A34" s="60"/>
      <c r="B34" s="70" t="s">
        <v>474</v>
      </c>
      <c r="C34" s="8" t="s">
        <v>465</v>
      </c>
      <c r="D34" s="250">
        <f>('4.9_транзит ККЭ'!$D$15*'4.9_транзит ККЭ'!D34+'4.9_сбыт ККЭ'!$D$15*'4.9_сбыт ККЭ'!D34)/'4.9_транзит+сбыт (ККЭ)'!$D$15</f>
        <v>0</v>
      </c>
      <c r="E34" s="250">
        <f>('4.9_транзит ККЭ'!$E$15*'4.9_транзит ККЭ'!E34+'4.9_сбыт ККЭ'!$E$15*'4.9_сбыт ККЭ'!E34)/'4.9_транзит+сбыт (ККЭ)'!$E$15</f>
        <v>0</v>
      </c>
      <c r="F34" s="250" t="e">
        <f>('4.9_транзит ККЭ'!$F$15*'4.9_транзит ККЭ'!F34+'4.9_сбыт ККЭ'!$F$15*'4.9_сбыт ККЭ'!F34)/'4.9_транзит+сбыт (ККЭ)'!$F$15</f>
        <v>#DIV/0!</v>
      </c>
      <c r="G34" s="250">
        <v>0</v>
      </c>
      <c r="H34" s="250" t="e">
        <v>#DIV/0!</v>
      </c>
      <c r="I34" s="250"/>
      <c r="J34" s="250">
        <v>0</v>
      </c>
      <c r="K34" s="250" t="e">
        <v>#DIV/0!</v>
      </c>
      <c r="L34" s="250">
        <v>0</v>
      </c>
      <c r="M34" s="250">
        <v>0</v>
      </c>
      <c r="N34" s="250">
        <v>0</v>
      </c>
      <c r="O34" s="250">
        <v>0</v>
      </c>
      <c r="P34" s="250">
        <v>0</v>
      </c>
      <c r="Q34" s="250">
        <v>0</v>
      </c>
      <c r="R34" s="250">
        <v>0</v>
      </c>
    </row>
    <row r="35" spans="1:18" s="36" customFormat="1" hidden="1">
      <c r="A35" s="60" t="s">
        <v>481</v>
      </c>
      <c r="B35" s="61"/>
      <c r="C35" s="8"/>
      <c r="D35" s="337"/>
      <c r="E35" s="337"/>
      <c r="F35" s="337"/>
      <c r="G35" s="337"/>
      <c r="H35" s="337"/>
      <c r="I35" s="337"/>
      <c r="J35" s="337"/>
      <c r="K35" s="337"/>
      <c r="L35" s="337"/>
      <c r="M35" s="337"/>
      <c r="N35" s="337"/>
      <c r="O35" s="337"/>
      <c r="P35" s="337"/>
      <c r="Q35" s="337"/>
      <c r="R35" s="337"/>
    </row>
    <row r="36" spans="1:18" s="36" customFormat="1" ht="15" hidden="1" customHeight="1">
      <c r="A36" s="60"/>
      <c r="B36" s="70" t="s">
        <v>473</v>
      </c>
      <c r="C36" s="8" t="s">
        <v>138</v>
      </c>
      <c r="D36" s="251">
        <f>('4.9_транзит ККЭ'!$D$15*'4.9_транзит ККЭ'!D36+'4.9_сбыт ККЭ'!$D$15*'4.9_сбыт ККЭ'!D36)/'4.9_транзит+сбыт (ККЭ)'!$D$15</f>
        <v>0</v>
      </c>
      <c r="E36" s="251">
        <f>('4.9_транзит ККЭ'!$E$15*'4.9_транзит ККЭ'!E36+'4.9_сбыт ККЭ'!$E$15*'4.9_сбыт ККЭ'!E36)/'4.9_транзит+сбыт (ККЭ)'!$E$15</f>
        <v>0</v>
      </c>
      <c r="F36" s="251" t="e">
        <f>('4.9_транзит ККЭ'!$F$15*'4.9_транзит ККЭ'!F36+'4.9_сбыт ККЭ'!$F$15*'4.9_сбыт ККЭ'!F36)/'4.9_транзит+сбыт (ККЭ)'!$F$15</f>
        <v>#DIV/0!</v>
      </c>
      <c r="G36" s="251">
        <v>0</v>
      </c>
      <c r="H36" s="251">
        <v>0</v>
      </c>
      <c r="I36" s="251"/>
      <c r="J36" s="251">
        <v>0</v>
      </c>
      <c r="K36" s="251">
        <v>0</v>
      </c>
      <c r="L36" s="251">
        <v>0</v>
      </c>
      <c r="M36" s="251">
        <v>0</v>
      </c>
      <c r="N36" s="251">
        <v>0</v>
      </c>
      <c r="O36" s="251">
        <v>0</v>
      </c>
      <c r="P36" s="251">
        <v>0</v>
      </c>
      <c r="Q36" s="251">
        <v>0</v>
      </c>
      <c r="R36" s="251">
        <v>0</v>
      </c>
    </row>
    <row r="37" spans="1:18" s="36" customFormat="1" ht="15" hidden="1" customHeight="1">
      <c r="A37" s="60"/>
      <c r="B37" s="70" t="s">
        <v>474</v>
      </c>
      <c r="C37" s="8" t="s">
        <v>465</v>
      </c>
      <c r="D37" s="250">
        <f>('4.9_транзит ККЭ'!$D$15*'4.9_транзит ККЭ'!D37+'4.9_сбыт ККЭ'!$D$15*'4.9_сбыт ККЭ'!D37)/'4.9_транзит+сбыт (ККЭ)'!$D$15</f>
        <v>0</v>
      </c>
      <c r="E37" s="250">
        <f>('4.9_транзит ККЭ'!$E$15*'4.9_транзит ККЭ'!E37+'4.9_сбыт ККЭ'!$E$15*'4.9_сбыт ККЭ'!E37)/'4.9_транзит+сбыт (ККЭ)'!$E$15</f>
        <v>0</v>
      </c>
      <c r="F37" s="250" t="e">
        <f>('4.9_транзит ККЭ'!$F$15*'4.9_транзит ККЭ'!F37+'4.9_сбыт ККЭ'!$F$15*'4.9_сбыт ККЭ'!F37)/'4.9_транзит+сбыт (ККЭ)'!$F$15</f>
        <v>#DIV/0!</v>
      </c>
      <c r="G37" s="250">
        <v>0</v>
      </c>
      <c r="H37" s="250">
        <v>0</v>
      </c>
      <c r="I37" s="250"/>
      <c r="J37" s="250">
        <v>0</v>
      </c>
      <c r="K37" s="250">
        <v>0</v>
      </c>
      <c r="L37" s="250">
        <v>0</v>
      </c>
      <c r="M37" s="250">
        <v>0</v>
      </c>
      <c r="N37" s="250">
        <v>0</v>
      </c>
      <c r="O37" s="250">
        <v>0</v>
      </c>
      <c r="P37" s="250">
        <v>0</v>
      </c>
      <c r="Q37" s="250">
        <v>0</v>
      </c>
      <c r="R37" s="250">
        <v>0</v>
      </c>
    </row>
    <row r="38" spans="1:18" s="36" customFormat="1" hidden="1">
      <c r="A38" s="60" t="s">
        <v>482</v>
      </c>
      <c r="B38" s="61"/>
      <c r="C38" s="8"/>
      <c r="D38" s="388"/>
      <c r="E38" s="388"/>
      <c r="F38" s="388"/>
      <c r="G38" s="388"/>
      <c r="H38" s="388"/>
      <c r="I38" s="388"/>
      <c r="J38" s="388"/>
      <c r="K38" s="388"/>
      <c r="L38" s="388"/>
      <c r="M38" s="388"/>
      <c r="N38" s="388"/>
      <c r="O38" s="388"/>
      <c r="P38" s="388"/>
      <c r="Q38" s="388"/>
      <c r="R38" s="388"/>
    </row>
    <row r="39" spans="1:18" s="36" customFormat="1" ht="15" hidden="1" customHeight="1">
      <c r="A39" s="60"/>
      <c r="B39" s="70" t="s">
        <v>473</v>
      </c>
      <c r="C39" s="8" t="s">
        <v>138</v>
      </c>
      <c r="D39" s="251">
        <f>('4.9_транзит ККЭ'!$D$15*'4.9_транзит ККЭ'!D39+'4.9_сбыт ККЭ'!$D$15*'4.9_сбыт ККЭ'!D39)/'4.9_транзит+сбыт (ККЭ)'!$D$15</f>
        <v>0</v>
      </c>
      <c r="E39" s="251">
        <f>('4.9_транзит ККЭ'!$E$15*'4.9_транзит ККЭ'!E39+'4.9_сбыт ККЭ'!$E$15*'4.9_сбыт ККЭ'!E39)/'4.9_транзит+сбыт (ККЭ)'!$E$15</f>
        <v>0</v>
      </c>
      <c r="F39" s="251" t="e">
        <f>('4.9_транзит ККЭ'!$F$15*'4.9_транзит ККЭ'!F39+'4.9_сбыт ККЭ'!$F$15*'4.9_сбыт ККЭ'!F39)/'4.9_транзит+сбыт (ККЭ)'!$F$15</f>
        <v>#DIV/0!</v>
      </c>
      <c r="G39" s="251">
        <v>0</v>
      </c>
      <c r="H39" s="251">
        <v>0</v>
      </c>
      <c r="I39" s="251"/>
      <c r="J39" s="251">
        <v>0</v>
      </c>
      <c r="K39" s="251">
        <v>0</v>
      </c>
      <c r="L39" s="251">
        <v>0</v>
      </c>
      <c r="M39" s="251">
        <v>0</v>
      </c>
      <c r="N39" s="251">
        <v>0</v>
      </c>
      <c r="O39" s="251">
        <v>0</v>
      </c>
      <c r="P39" s="251">
        <v>0</v>
      </c>
      <c r="Q39" s="251">
        <v>0</v>
      </c>
      <c r="R39" s="251">
        <v>0</v>
      </c>
    </row>
    <row r="40" spans="1:18" s="36" customFormat="1" ht="15" hidden="1" customHeight="1">
      <c r="A40" s="60"/>
      <c r="B40" s="70" t="s">
        <v>474</v>
      </c>
      <c r="C40" s="8" t="s">
        <v>465</v>
      </c>
      <c r="D40" s="250">
        <f>('4.9_транзит ККЭ'!$D$15*'4.9_транзит ККЭ'!D40+'4.9_сбыт ККЭ'!$D$15*'4.9_сбыт ККЭ'!D40)/'4.9_транзит+сбыт (ККЭ)'!$D$15</f>
        <v>0</v>
      </c>
      <c r="E40" s="250">
        <f>('4.9_транзит ККЭ'!$E$15*'4.9_транзит ККЭ'!E40+'4.9_сбыт ККЭ'!$E$15*'4.9_сбыт ККЭ'!E40)/'4.9_транзит+сбыт (ККЭ)'!$E$15</f>
        <v>0</v>
      </c>
      <c r="F40" s="250" t="e">
        <f>('4.9_транзит ККЭ'!$F$15*'4.9_транзит ККЭ'!F40+'4.9_сбыт ККЭ'!$F$15*'4.9_сбыт ККЭ'!F40)/'4.9_транзит+сбыт (ККЭ)'!$F$15</f>
        <v>#DIV/0!</v>
      </c>
      <c r="G40" s="250">
        <v>0</v>
      </c>
      <c r="H40" s="250">
        <v>0</v>
      </c>
      <c r="I40" s="250"/>
      <c r="J40" s="250">
        <v>0</v>
      </c>
      <c r="K40" s="250">
        <v>0</v>
      </c>
      <c r="L40" s="250">
        <v>0</v>
      </c>
      <c r="M40" s="250">
        <v>0</v>
      </c>
      <c r="N40" s="250">
        <v>0</v>
      </c>
      <c r="O40" s="250">
        <v>0</v>
      </c>
      <c r="P40" s="250">
        <v>0</v>
      </c>
      <c r="Q40" s="250">
        <v>0</v>
      </c>
      <c r="R40" s="250">
        <v>0</v>
      </c>
    </row>
    <row r="41" spans="1:18" s="36" customFormat="1" ht="30" customHeight="1">
      <c r="A41" s="60" t="s">
        <v>483</v>
      </c>
      <c r="B41" s="61" t="s">
        <v>484</v>
      </c>
      <c r="C41" s="8"/>
      <c r="D41" s="388"/>
      <c r="E41" s="388"/>
      <c r="F41" s="388"/>
      <c r="G41" s="388"/>
      <c r="H41" s="388"/>
      <c r="I41" s="388"/>
      <c r="J41" s="388"/>
      <c r="K41" s="388"/>
      <c r="L41" s="388"/>
      <c r="M41" s="388"/>
      <c r="N41" s="388"/>
      <c r="O41" s="388"/>
      <c r="P41" s="388"/>
      <c r="Q41" s="388"/>
      <c r="R41" s="388"/>
    </row>
    <row r="42" spans="1:18" s="36" customFormat="1" ht="15" customHeight="1">
      <c r="A42" s="60"/>
      <c r="B42" s="70" t="s">
        <v>473</v>
      </c>
      <c r="C42" s="8" t="s">
        <v>138</v>
      </c>
      <c r="D42" s="337">
        <v>160</v>
      </c>
      <c r="E42" s="337">
        <v>160</v>
      </c>
      <c r="F42" s="337">
        <v>160</v>
      </c>
      <c r="G42" s="337">
        <v>160</v>
      </c>
      <c r="H42" s="337">
        <v>160</v>
      </c>
      <c r="I42" s="337"/>
      <c r="J42" s="337">
        <v>160</v>
      </c>
      <c r="K42" s="337">
        <v>160</v>
      </c>
      <c r="L42" s="337">
        <v>160</v>
      </c>
      <c r="M42" s="337">
        <v>160</v>
      </c>
      <c r="N42" s="337">
        <v>160</v>
      </c>
      <c r="O42" s="337">
        <v>160</v>
      </c>
      <c r="P42" s="337">
        <v>160</v>
      </c>
      <c r="Q42" s="337">
        <v>160</v>
      </c>
      <c r="R42" s="337">
        <v>160</v>
      </c>
    </row>
    <row r="43" spans="1:18" s="36" customFormat="1" ht="15" customHeight="1">
      <c r="A43" s="60"/>
      <c r="B43" s="70" t="s">
        <v>474</v>
      </c>
      <c r="C43" s="8" t="s">
        <v>465</v>
      </c>
      <c r="D43" s="250">
        <f>('4.9_транзит ККЭ'!$D$15*'4.9_транзит ККЭ'!D43+'4.9_сбыт ККЭ'!$D$15*'4.9_сбыт ККЭ'!D43)/'4.9_транзит+сбыт (ККЭ)'!$D$15</f>
        <v>27008.767538303375</v>
      </c>
      <c r="E43" s="250">
        <f>('4.9_транзит ККЭ'!$E$15*'4.9_транзит ККЭ'!E43+'4.9_сбыт ККЭ'!$E$15*'4.9_сбыт ККЭ'!E43)/'4.9_транзит+сбыт (ККЭ)'!$E$15</f>
        <v>29919.037111086211</v>
      </c>
      <c r="F43" s="250" t="e">
        <f>('4.9_транзит ККЭ'!$F$15*'4.9_транзит ККЭ'!F43+'4.9_сбыт ККЭ'!$F$15*'4.9_сбыт ККЭ'!F43)/'4.9_транзит+сбыт (ККЭ)'!$F$15</f>
        <v>#DIV/0!</v>
      </c>
      <c r="G43" s="250">
        <v>34758.322658583347</v>
      </c>
      <c r="H43" s="250" t="e">
        <v>#DIV/0!</v>
      </c>
      <c r="I43" s="250"/>
      <c r="J43" s="250">
        <v>39879.312210751166</v>
      </c>
      <c r="K43" s="250" t="e">
        <v>#DIV/0!</v>
      </c>
      <c r="L43" s="250">
        <v>47246.641276750095</v>
      </c>
      <c r="M43" s="250">
        <v>51106.220892274214</v>
      </c>
      <c r="N43" s="250">
        <v>50099.573086688426</v>
      </c>
      <c r="O43" s="250">
        <v>52123.7127312296</v>
      </c>
      <c r="P43" s="250">
        <v>54121.292709466812</v>
      </c>
      <c r="Q43" s="250">
        <v>53485.347116430901</v>
      </c>
      <c r="R43" s="250">
        <v>54758.082335872321</v>
      </c>
    </row>
    <row r="44" spans="1:18" s="36" customFormat="1" ht="30" customHeight="1">
      <c r="A44" s="387" t="s">
        <v>27</v>
      </c>
      <c r="B44" s="386" t="s">
        <v>485</v>
      </c>
      <c r="C44" s="385" t="s">
        <v>465</v>
      </c>
      <c r="D44" s="384">
        <f>D22+D25+D28+D31+D43</f>
        <v>43888.622249742984</v>
      </c>
      <c r="E44" s="384">
        <f t="shared" ref="E44:G44" si="2">E22+E25+E28+E31+E43</f>
        <v>48617.75762897751</v>
      </c>
      <c r="F44" s="384" t="e">
        <f t="shared" si="2"/>
        <v>#DIV/0!</v>
      </c>
      <c r="G44" s="384">
        <v>56482.274320197947</v>
      </c>
      <c r="H44" s="384" t="e">
        <v>#DIV/0!</v>
      </c>
      <c r="I44" s="384"/>
      <c r="J44" s="384">
        <v>64804.047949092215</v>
      </c>
      <c r="K44" s="384" t="e">
        <v>#DIV/0!</v>
      </c>
      <c r="L44" s="384">
        <v>76775.88037722162</v>
      </c>
      <c r="M44" s="384">
        <v>83047.833605368156</v>
      </c>
      <c r="N44" s="384">
        <v>81412.060210373587</v>
      </c>
      <c r="O44" s="384">
        <v>84701.318371418209</v>
      </c>
      <c r="P44" s="384">
        <v>87947.249138556406</v>
      </c>
      <c r="Q44" s="384">
        <v>86913.474156692057</v>
      </c>
      <c r="R44" s="384">
        <v>88981.868153790347</v>
      </c>
    </row>
    <row r="45" spans="1:18" s="1368" customFormat="1" ht="30" customHeight="1">
      <c r="A45" s="1364" t="s">
        <v>95</v>
      </c>
      <c r="B45" s="1365" t="s">
        <v>905</v>
      </c>
      <c r="C45" s="1366" t="s">
        <v>465</v>
      </c>
      <c r="D45" s="1367">
        <f>'4.9_транзит ККЭ'!D45+'4.9_сбыт ККЭ'!D45-3</f>
        <v>163420.20849285615</v>
      </c>
      <c r="E45" s="1367">
        <f>'4.9_транзит ККЭ'!E45+'4.9_сбыт ККЭ'!E45+3</f>
        <v>160309.54111367211</v>
      </c>
      <c r="F45" s="1367">
        <f>'4.9_транзит ККЭ'!F45+'4.9_сбыт ККЭ'!F45</f>
        <v>0</v>
      </c>
      <c r="G45" s="1367">
        <v>204718.02486220797</v>
      </c>
      <c r="H45" s="1367">
        <v>0</v>
      </c>
      <c r="I45" s="1367"/>
      <c r="J45" s="1367">
        <v>224378.88482679997</v>
      </c>
      <c r="K45" s="1367">
        <v>0</v>
      </c>
      <c r="L45" s="1367">
        <v>260325.72264000002</v>
      </c>
      <c r="M45" s="1367">
        <v>287169.75084999995</v>
      </c>
      <c r="N45" s="1367">
        <v>138002.32999999999</v>
      </c>
      <c r="O45" s="1367">
        <v>149167.42084999999</v>
      </c>
      <c r="P45" s="1367">
        <v>304019.67525000003</v>
      </c>
      <c r="Q45" s="1367">
        <v>147268.26895</v>
      </c>
      <c r="R45" s="1367">
        <v>156752.40630000003</v>
      </c>
    </row>
    <row r="46" spans="1:18">
      <c r="A46" s="60" t="s">
        <v>898</v>
      </c>
      <c r="B46" s="61" t="s">
        <v>899</v>
      </c>
      <c r="C46" s="8" t="s">
        <v>892</v>
      </c>
      <c r="D46" s="250">
        <f>'4.9_транзит ККЭ'!D46+'4.9_сбыт ККЭ'!D46</f>
        <v>1220</v>
      </c>
      <c r="E46" s="250">
        <f>'4.9_транзит ККЭ'!E46+'4.9_сбыт ККЭ'!E46</f>
        <v>2754</v>
      </c>
      <c r="F46" s="250">
        <f>'4.9_транзит ККЭ'!F46+'4.9_сбыт ККЭ'!F46</f>
        <v>0</v>
      </c>
      <c r="G46" s="250">
        <v>4412</v>
      </c>
      <c r="H46" s="250">
        <v>0</v>
      </c>
      <c r="I46" s="250"/>
      <c r="J46" s="250">
        <v>5440</v>
      </c>
      <c r="K46" s="250">
        <v>0</v>
      </c>
      <c r="L46" s="250">
        <v>6027</v>
      </c>
      <c r="M46" s="250">
        <v>6384</v>
      </c>
      <c r="N46" s="250">
        <v>3192</v>
      </c>
      <c r="O46" s="250">
        <v>3192</v>
      </c>
      <c r="P46" s="250">
        <v>6671</v>
      </c>
      <c r="Q46" s="250">
        <v>3335.5</v>
      </c>
      <c r="R46" s="250">
        <v>3335.5</v>
      </c>
    </row>
    <row r="47" spans="1:18" ht="60.75" customHeight="1">
      <c r="A47" s="60" t="s">
        <v>900</v>
      </c>
      <c r="B47" s="61" t="s">
        <v>902</v>
      </c>
      <c r="C47" s="8" t="s">
        <v>892</v>
      </c>
      <c r="D47" s="250">
        <f>'4.9_транзит ККЭ'!D47+'4.9_сбыт ККЭ'!D47</f>
        <v>0</v>
      </c>
      <c r="E47" s="250">
        <f>'4.9_транзит ККЭ'!E47+'4.9_сбыт ККЭ'!E47</f>
        <v>0</v>
      </c>
      <c r="F47" s="250">
        <f>'4.9_транзит ККЭ'!F47+'4.9_сбыт ККЭ'!F47</f>
        <v>0</v>
      </c>
      <c r="G47" s="250">
        <v>0</v>
      </c>
      <c r="H47" s="250">
        <v>0</v>
      </c>
      <c r="I47" s="250"/>
      <c r="J47" s="250">
        <v>0</v>
      </c>
      <c r="K47" s="250">
        <v>0</v>
      </c>
      <c r="L47" s="250">
        <v>0</v>
      </c>
      <c r="M47" s="250">
        <v>0</v>
      </c>
      <c r="N47" s="250">
        <v>0</v>
      </c>
      <c r="O47" s="250">
        <v>0</v>
      </c>
      <c r="P47" s="250">
        <v>0</v>
      </c>
      <c r="Q47" s="250">
        <v>0</v>
      </c>
      <c r="R47" s="250">
        <v>0</v>
      </c>
    </row>
    <row r="48" spans="1:18">
      <c r="A48" s="60" t="s">
        <v>901</v>
      </c>
      <c r="B48" s="61" t="s">
        <v>348</v>
      </c>
      <c r="C48" s="8" t="s">
        <v>892</v>
      </c>
      <c r="D48" s="250">
        <f>D49+D50+D51+D52+D53</f>
        <v>0</v>
      </c>
      <c r="E48" s="250">
        <f t="shared" ref="E48:O48" si="3">E49+E50+E51+E52+E53</f>
        <v>3879</v>
      </c>
      <c r="F48" s="250">
        <f t="shared" si="3"/>
        <v>0</v>
      </c>
      <c r="G48" s="250">
        <v>8558</v>
      </c>
      <c r="H48" s="250">
        <v>0</v>
      </c>
      <c r="I48" s="250"/>
      <c r="J48" s="250">
        <v>493</v>
      </c>
      <c r="K48" s="250">
        <v>0</v>
      </c>
      <c r="L48" s="250">
        <v>286</v>
      </c>
      <c r="M48" s="250">
        <v>6029</v>
      </c>
      <c r="N48" s="250">
        <v>152.5</v>
      </c>
      <c r="O48" s="250">
        <v>5876.5</v>
      </c>
      <c r="P48" s="250">
        <v>6385</v>
      </c>
      <c r="Q48" s="250">
        <v>161.5</v>
      </c>
      <c r="R48" s="250">
        <v>6223.5</v>
      </c>
    </row>
    <row r="49" spans="1:18" ht="30">
      <c r="A49" s="60" t="s">
        <v>1024</v>
      </c>
      <c r="B49" s="61" t="s">
        <v>1023</v>
      </c>
      <c r="C49" s="8" t="s">
        <v>892</v>
      </c>
      <c r="D49" s="250">
        <f>'4.9_транзит ККЭ'!D49+'4.9_сбыт ККЭ'!D49</f>
        <v>0</v>
      </c>
      <c r="E49" s="250">
        <f>'4.9_транзит ККЭ'!E49+'4.9_сбыт ККЭ'!E49</f>
        <v>1326</v>
      </c>
      <c r="F49" s="250">
        <f>'4.9_транзит ККЭ'!F49+'4.9_сбыт ККЭ'!F49</f>
        <v>0</v>
      </c>
      <c r="G49" s="250">
        <v>0</v>
      </c>
      <c r="H49" s="250">
        <v>0</v>
      </c>
      <c r="I49" s="250"/>
      <c r="J49" s="250">
        <v>0</v>
      </c>
      <c r="K49" s="250">
        <v>0</v>
      </c>
      <c r="L49" s="250">
        <v>0</v>
      </c>
      <c r="M49" s="250">
        <v>0</v>
      </c>
      <c r="N49" s="250">
        <v>0</v>
      </c>
      <c r="O49" s="250">
        <v>0</v>
      </c>
      <c r="P49" s="250">
        <v>0</v>
      </c>
      <c r="Q49" s="250">
        <v>0</v>
      </c>
      <c r="R49" s="250">
        <v>0</v>
      </c>
    </row>
    <row r="50" spans="1:18" ht="30">
      <c r="A50" s="60" t="s">
        <v>1022</v>
      </c>
      <c r="B50" s="61" t="s">
        <v>1021</v>
      </c>
      <c r="C50" s="8" t="s">
        <v>892</v>
      </c>
      <c r="D50" s="250">
        <f>'4.9_транзит ККЭ'!D50+'4.9_сбыт ККЭ'!D50</f>
        <v>0</v>
      </c>
      <c r="E50" s="250">
        <f>'4.9_транзит ККЭ'!E50+'4.9_сбыт ККЭ'!E50</f>
        <v>12</v>
      </c>
      <c r="F50" s="250">
        <f>'4.9_транзит ККЭ'!F50+'4.9_сбыт ККЭ'!F50</f>
        <v>0</v>
      </c>
      <c r="G50" s="250">
        <v>5</v>
      </c>
      <c r="H50" s="250">
        <v>0</v>
      </c>
      <c r="I50" s="250"/>
      <c r="J50" s="250">
        <v>0</v>
      </c>
      <c r="K50" s="250">
        <v>0</v>
      </c>
      <c r="L50" s="250">
        <v>0</v>
      </c>
      <c r="M50" s="250">
        <v>0</v>
      </c>
      <c r="N50" s="250">
        <v>0</v>
      </c>
      <c r="O50" s="250">
        <v>0</v>
      </c>
      <c r="P50" s="250">
        <v>0</v>
      </c>
      <c r="Q50" s="250">
        <v>0</v>
      </c>
      <c r="R50" s="250">
        <v>0</v>
      </c>
    </row>
    <row r="51" spans="1:18">
      <c r="A51" s="60" t="s">
        <v>1020</v>
      </c>
      <c r="B51" s="61" t="s">
        <v>1019</v>
      </c>
      <c r="C51" s="8" t="s">
        <v>892</v>
      </c>
      <c r="D51" s="250">
        <f>'4.9_транзит ККЭ'!D51+'4.9_сбыт ККЭ'!D51</f>
        <v>0</v>
      </c>
      <c r="E51" s="250">
        <f>'4.9_транзит ККЭ'!E51+'4.9_сбыт ККЭ'!E51</f>
        <v>446</v>
      </c>
      <c r="F51" s="250">
        <f>'4.9_транзит ККЭ'!F51+'4.9_сбыт ККЭ'!F51</f>
        <v>0</v>
      </c>
      <c r="G51" s="250">
        <v>1080</v>
      </c>
      <c r="H51" s="250">
        <v>0</v>
      </c>
      <c r="I51" s="250"/>
      <c r="J51" s="250">
        <v>493</v>
      </c>
      <c r="K51" s="250">
        <v>0</v>
      </c>
      <c r="L51" s="250">
        <v>286</v>
      </c>
      <c r="M51" s="250">
        <v>305</v>
      </c>
      <c r="N51" s="250">
        <v>152.5</v>
      </c>
      <c r="O51" s="250">
        <v>152.5</v>
      </c>
      <c r="P51" s="250">
        <v>323</v>
      </c>
      <c r="Q51" s="250">
        <v>161.5</v>
      </c>
      <c r="R51" s="250">
        <v>161.5</v>
      </c>
    </row>
    <row r="52" spans="1:18" ht="30">
      <c r="A52" s="60" t="s">
        <v>1018</v>
      </c>
      <c r="B52" s="61" t="s">
        <v>934</v>
      </c>
      <c r="C52" s="8" t="s">
        <v>892</v>
      </c>
      <c r="D52" s="250">
        <f>'4.9_транзит ККЭ'!D52+'4.9_сбыт ККЭ'!D52</f>
        <v>0</v>
      </c>
      <c r="E52" s="250">
        <f>'4.9_транзит ККЭ'!E52+'4.9_сбыт ККЭ'!E52</f>
        <v>0</v>
      </c>
      <c r="F52" s="250">
        <f>'4.9_транзит ККЭ'!F52+'4.9_сбыт ККЭ'!F52</f>
        <v>0</v>
      </c>
      <c r="G52" s="250">
        <v>0</v>
      </c>
      <c r="H52" s="250">
        <v>0</v>
      </c>
      <c r="I52" s="250"/>
      <c r="J52" s="250">
        <v>0</v>
      </c>
      <c r="K52" s="250">
        <v>0</v>
      </c>
      <c r="L52" s="250">
        <v>0</v>
      </c>
      <c r="M52" s="250">
        <v>5724</v>
      </c>
      <c r="N52" s="250">
        <v>0</v>
      </c>
      <c r="O52" s="250">
        <v>5724</v>
      </c>
      <c r="P52" s="250">
        <v>6062</v>
      </c>
      <c r="Q52" s="250">
        <v>0</v>
      </c>
      <c r="R52" s="250">
        <v>6062</v>
      </c>
    </row>
    <row r="53" spans="1:18" ht="75">
      <c r="A53" s="60" t="s">
        <v>1071</v>
      </c>
      <c r="B53" s="61" t="s">
        <v>1558</v>
      </c>
      <c r="C53" s="8" t="s">
        <v>892</v>
      </c>
      <c r="D53" s="250">
        <f>'4.9_транзит ККЭ'!D53+'4.9_сбыт ККЭ'!D53</f>
        <v>0</v>
      </c>
      <c r="E53" s="250">
        <f>'4.9_транзит ККЭ'!E53+'4.9_сбыт ККЭ'!E53</f>
        <v>2095</v>
      </c>
      <c r="F53" s="250">
        <f>'4.9_транзит ККЭ'!F53+'4.9_сбыт ККЭ'!F53</f>
        <v>0</v>
      </c>
      <c r="G53" s="250">
        <v>7473</v>
      </c>
      <c r="H53" s="250">
        <v>0</v>
      </c>
      <c r="I53" s="250"/>
      <c r="J53" s="250">
        <v>0</v>
      </c>
      <c r="K53" s="250">
        <v>0</v>
      </c>
      <c r="L53" s="250">
        <v>0</v>
      </c>
      <c r="M53" s="250">
        <v>0</v>
      </c>
      <c r="N53" s="250">
        <v>0</v>
      </c>
      <c r="O53" s="250">
        <v>0</v>
      </c>
      <c r="P53" s="250">
        <v>0</v>
      </c>
      <c r="Q53" s="250">
        <v>0</v>
      </c>
      <c r="R53" s="250">
        <v>0</v>
      </c>
    </row>
    <row r="54" spans="1:18" ht="30">
      <c r="A54" s="60"/>
      <c r="B54" s="61" t="s">
        <v>903</v>
      </c>
      <c r="C54" s="8" t="s">
        <v>892</v>
      </c>
      <c r="D54" s="250">
        <v>12</v>
      </c>
      <c r="E54" s="250">
        <v>12</v>
      </c>
      <c r="F54" s="250">
        <v>12</v>
      </c>
      <c r="G54" s="250">
        <v>12</v>
      </c>
      <c r="H54" s="250">
        <v>12</v>
      </c>
      <c r="I54" s="250"/>
      <c r="J54" s="250">
        <v>12</v>
      </c>
      <c r="K54" s="250">
        <v>13</v>
      </c>
      <c r="L54" s="250">
        <v>14</v>
      </c>
      <c r="M54" s="250">
        <v>12</v>
      </c>
      <c r="N54" s="250">
        <v>6</v>
      </c>
      <c r="O54" s="250">
        <v>6</v>
      </c>
      <c r="P54" s="250">
        <v>12</v>
      </c>
      <c r="Q54" s="250">
        <v>6</v>
      </c>
      <c r="R54" s="250">
        <v>6</v>
      </c>
    </row>
    <row r="55" spans="1:18" s="341" customFormat="1" ht="28.5">
      <c r="A55" s="1362" t="s">
        <v>904</v>
      </c>
      <c r="B55" s="1363" t="s">
        <v>905</v>
      </c>
      <c r="C55" s="1354" t="s">
        <v>892</v>
      </c>
      <c r="D55" s="1013">
        <f>'4.9_транзит ККЭ'!D55+'4.9_сбыт ККЭ'!D55-3</f>
        <v>162199.20849285615</v>
      </c>
      <c r="E55" s="1013">
        <f>'4.9_транзит ККЭ'!E55+'4.9_сбыт ККЭ'!E55</f>
        <v>153671.54111367211</v>
      </c>
      <c r="F55" s="1013">
        <f>'4.9_транзит ККЭ'!F55+'4.9_сбыт ККЭ'!F55</f>
        <v>0</v>
      </c>
      <c r="G55" s="1013">
        <v>200304.02486220797</v>
      </c>
      <c r="H55" s="1013">
        <v>0</v>
      </c>
      <c r="I55" s="1013"/>
      <c r="J55" s="1013">
        <v>218938.88482679997</v>
      </c>
      <c r="K55" s="1013">
        <v>0</v>
      </c>
      <c r="L55" s="1013">
        <v>254298.72264000002</v>
      </c>
      <c r="M55" s="1013">
        <v>280785.75084999995</v>
      </c>
      <c r="N55" s="1013">
        <v>134810.32999999999</v>
      </c>
      <c r="O55" s="1013">
        <v>145975.42084999999</v>
      </c>
      <c r="P55" s="1013">
        <v>297348.67525000003</v>
      </c>
      <c r="Q55" s="1013">
        <v>143932.76895</v>
      </c>
      <c r="R55" s="1013">
        <v>153415.90630000003</v>
      </c>
    </row>
    <row r="56" spans="1:18" ht="30">
      <c r="A56" s="60" t="s">
        <v>906</v>
      </c>
      <c r="B56" s="61" t="s">
        <v>909</v>
      </c>
      <c r="C56" s="8" t="s">
        <v>892</v>
      </c>
      <c r="D56" s="250"/>
      <c r="E56" s="250"/>
      <c r="F56" s="250"/>
      <c r="G56" s="250"/>
      <c r="H56" s="250"/>
      <c r="I56" s="250"/>
      <c r="J56" s="250"/>
      <c r="K56" s="250"/>
      <c r="L56" s="250"/>
      <c r="M56" s="250"/>
      <c r="N56" s="250"/>
      <c r="O56" s="250"/>
      <c r="P56" s="250"/>
      <c r="Q56" s="250"/>
      <c r="R56" s="250"/>
    </row>
    <row r="57" spans="1:18">
      <c r="A57" s="60" t="s">
        <v>907</v>
      </c>
      <c r="B57" s="61" t="s">
        <v>1025</v>
      </c>
      <c r="C57" s="8" t="s">
        <v>892</v>
      </c>
      <c r="D57" s="250">
        <f>'4.9_транзит ККЭ'!D57+'4.9_сбыт ККЭ'!D57-3</f>
        <v>162199.20849285615</v>
      </c>
      <c r="E57" s="250">
        <f>'4.9_транзит ККЭ'!E57+'4.9_сбыт ККЭ'!E57</f>
        <v>153671.54111367211</v>
      </c>
      <c r="F57" s="250">
        <f>'4.9_транзит ККЭ'!F57+'4.9_сбыт ККЭ'!F57</f>
        <v>0</v>
      </c>
      <c r="G57" s="250">
        <v>200304.02486220797</v>
      </c>
      <c r="H57" s="250">
        <v>0</v>
      </c>
      <c r="I57" s="250"/>
      <c r="J57" s="250">
        <v>218938.88482679997</v>
      </c>
      <c r="K57" s="250">
        <v>0</v>
      </c>
      <c r="L57" s="250">
        <v>254298.72264000002</v>
      </c>
      <c r="M57" s="250">
        <v>280785.75084999995</v>
      </c>
      <c r="N57" s="250">
        <v>134810.32999999999</v>
      </c>
      <c r="O57" s="250">
        <v>145975.42084999999</v>
      </c>
      <c r="P57" s="250">
        <v>297348.67525000003</v>
      </c>
      <c r="Q57" s="250">
        <v>143932.76895</v>
      </c>
      <c r="R57" s="250">
        <v>153415.90630000003</v>
      </c>
    </row>
    <row r="58" spans="1:18">
      <c r="A58" s="60" t="s">
        <v>908</v>
      </c>
      <c r="B58" s="61" t="s">
        <v>911</v>
      </c>
      <c r="C58" s="8" t="s">
        <v>892</v>
      </c>
      <c r="D58" s="609">
        <f>'4.9_транзит КТЭЦ '!D58+'4.9_транзит ККЭ'!D58</f>
        <v>0</v>
      </c>
      <c r="E58" s="609">
        <f>'4.9_транзит КТЭЦ '!E58+'4.9_транзит ККЭ'!E58</f>
        <v>0</v>
      </c>
      <c r="F58" s="609">
        <f>'4.9_транзит КТЭЦ '!F58+'4.9_транзит ККЭ'!F58</f>
        <v>0</v>
      </c>
      <c r="G58" s="609">
        <v>0</v>
      </c>
      <c r="H58" s="609">
        <v>0</v>
      </c>
      <c r="I58" s="609"/>
      <c r="J58" s="609">
        <v>0</v>
      </c>
      <c r="K58" s="609">
        <v>0</v>
      </c>
      <c r="L58" s="609">
        <v>0</v>
      </c>
      <c r="M58" s="609">
        <v>0</v>
      </c>
      <c r="N58" s="609">
        <v>0</v>
      </c>
      <c r="O58" s="609">
        <v>0</v>
      </c>
      <c r="P58" s="609">
        <v>0</v>
      </c>
      <c r="Q58" s="609">
        <v>0</v>
      </c>
      <c r="R58" s="609">
        <v>0</v>
      </c>
    </row>
    <row r="59" spans="1:18">
      <c r="A59" s="60" t="s">
        <v>912</v>
      </c>
      <c r="B59" s="61" t="s">
        <v>913</v>
      </c>
      <c r="C59" s="8" t="s">
        <v>892</v>
      </c>
      <c r="D59" s="609">
        <f>'4.9_транзит КТЭЦ '!D59+'4.9_транзит ККЭ'!D59</f>
        <v>0</v>
      </c>
      <c r="E59" s="609">
        <f>'4.9_транзит КТЭЦ '!E59+'4.9_транзит ККЭ'!E59</f>
        <v>0</v>
      </c>
      <c r="F59" s="609">
        <f>'4.9_транзит КТЭЦ '!F59+'4.9_транзит ККЭ'!F59</f>
        <v>0</v>
      </c>
      <c r="G59" s="609">
        <v>0</v>
      </c>
      <c r="H59" s="609">
        <v>0</v>
      </c>
      <c r="I59" s="609"/>
      <c r="J59" s="609">
        <v>0</v>
      </c>
      <c r="K59" s="609">
        <v>0</v>
      </c>
      <c r="L59" s="609">
        <v>0</v>
      </c>
      <c r="M59" s="609">
        <v>0</v>
      </c>
      <c r="N59" s="609">
        <v>0</v>
      </c>
      <c r="O59" s="609">
        <v>0</v>
      </c>
      <c r="P59" s="609">
        <v>0</v>
      </c>
      <c r="Q59" s="609">
        <v>0</v>
      </c>
      <c r="R59" s="609">
        <v>0</v>
      </c>
    </row>
    <row r="60" spans="1:18" ht="30">
      <c r="A60" s="60" t="s">
        <v>97</v>
      </c>
      <c r="B60" s="61" t="s">
        <v>914</v>
      </c>
      <c r="C60" s="8" t="s">
        <v>846</v>
      </c>
      <c r="D60" s="250"/>
      <c r="E60" s="250"/>
      <c r="F60" s="250"/>
      <c r="G60" s="250"/>
      <c r="H60" s="250"/>
      <c r="I60" s="250"/>
      <c r="J60" s="250"/>
      <c r="K60" s="250"/>
      <c r="L60" s="250"/>
      <c r="M60" s="250"/>
      <c r="N60" s="250"/>
      <c r="O60" s="250"/>
      <c r="P60" s="250"/>
      <c r="Q60" s="250"/>
      <c r="R60" s="250"/>
    </row>
    <row r="61" spans="1:18">
      <c r="A61" s="60" t="s">
        <v>915</v>
      </c>
      <c r="B61" s="61" t="s">
        <v>458</v>
      </c>
      <c r="C61" s="8" t="s">
        <v>453</v>
      </c>
      <c r="D61" s="250"/>
      <c r="E61" s="250"/>
      <c r="F61" s="250"/>
      <c r="G61" s="250"/>
      <c r="H61" s="250"/>
      <c r="I61" s="250"/>
      <c r="J61" s="250"/>
      <c r="K61" s="250"/>
      <c r="L61" s="250"/>
      <c r="M61" s="250"/>
      <c r="N61" s="250"/>
      <c r="O61" s="250"/>
      <c r="P61" s="250"/>
      <c r="Q61" s="250"/>
      <c r="R61" s="250"/>
    </row>
    <row r="62" spans="1:18">
      <c r="A62" s="60" t="s">
        <v>916</v>
      </c>
      <c r="B62" s="253" t="s">
        <v>923</v>
      </c>
      <c r="C62" s="8" t="s">
        <v>453</v>
      </c>
      <c r="D62" s="250"/>
      <c r="E62" s="250"/>
      <c r="F62" s="250"/>
      <c r="G62" s="250"/>
      <c r="H62" s="250"/>
      <c r="I62" s="250"/>
      <c r="J62" s="250"/>
      <c r="K62" s="250"/>
      <c r="L62" s="250"/>
      <c r="M62" s="250"/>
      <c r="N62" s="250"/>
      <c r="O62" s="250"/>
      <c r="P62" s="250"/>
      <c r="Q62" s="250"/>
      <c r="R62" s="250"/>
    </row>
    <row r="63" spans="1:18">
      <c r="A63" s="60" t="s">
        <v>917</v>
      </c>
      <c r="B63" s="253" t="s">
        <v>924</v>
      </c>
      <c r="C63" s="8" t="s">
        <v>465</v>
      </c>
      <c r="D63" s="250"/>
      <c r="E63" s="250"/>
      <c r="F63" s="250"/>
      <c r="G63" s="250"/>
      <c r="H63" s="250"/>
      <c r="I63" s="250"/>
      <c r="J63" s="250"/>
      <c r="K63" s="250"/>
      <c r="L63" s="250"/>
      <c r="M63" s="250"/>
      <c r="N63" s="250"/>
      <c r="O63" s="250"/>
      <c r="P63" s="250"/>
      <c r="Q63" s="250"/>
      <c r="R63" s="250"/>
    </row>
    <row r="64" spans="1:18">
      <c r="A64" s="60" t="s">
        <v>918</v>
      </c>
      <c r="B64" s="61" t="s">
        <v>899</v>
      </c>
      <c r="C64" s="8" t="s">
        <v>892</v>
      </c>
      <c r="D64" s="250"/>
      <c r="E64" s="250"/>
      <c r="F64" s="250"/>
      <c r="G64" s="250"/>
      <c r="H64" s="250"/>
      <c r="I64" s="250"/>
      <c r="J64" s="250"/>
      <c r="K64" s="250"/>
      <c r="L64" s="250"/>
      <c r="M64" s="250"/>
      <c r="N64" s="250"/>
      <c r="O64" s="250"/>
      <c r="P64" s="250"/>
      <c r="Q64" s="250"/>
      <c r="R64" s="250"/>
    </row>
    <row r="65" spans="1:18" ht="18" customHeight="1">
      <c r="A65" s="60" t="s">
        <v>919</v>
      </c>
      <c r="B65" s="61" t="s">
        <v>922</v>
      </c>
      <c r="C65" s="8" t="s">
        <v>892</v>
      </c>
      <c r="D65" s="250"/>
      <c r="E65" s="250"/>
      <c r="F65" s="250"/>
      <c r="G65" s="250"/>
      <c r="H65" s="250"/>
      <c r="I65" s="250"/>
      <c r="J65" s="250"/>
      <c r="K65" s="250"/>
      <c r="L65" s="250"/>
      <c r="M65" s="250"/>
      <c r="N65" s="250"/>
      <c r="O65" s="250"/>
      <c r="P65" s="250"/>
      <c r="Q65" s="250"/>
      <c r="R65" s="250"/>
    </row>
    <row r="66" spans="1:18">
      <c r="A66" s="60" t="s">
        <v>920</v>
      </c>
      <c r="B66" s="61" t="s">
        <v>925</v>
      </c>
      <c r="C66" s="8" t="s">
        <v>892</v>
      </c>
      <c r="D66" s="250"/>
      <c r="E66" s="250"/>
      <c r="F66" s="250"/>
      <c r="G66" s="250"/>
      <c r="H66" s="250"/>
      <c r="I66" s="250"/>
      <c r="J66" s="250"/>
      <c r="K66" s="250"/>
      <c r="L66" s="250"/>
      <c r="M66" s="250"/>
      <c r="N66" s="250"/>
      <c r="O66" s="250"/>
      <c r="P66" s="250"/>
      <c r="Q66" s="250"/>
      <c r="R66" s="250"/>
    </row>
    <row r="67" spans="1:18" ht="30">
      <c r="A67" s="60" t="s">
        <v>921</v>
      </c>
      <c r="B67" s="61" t="s">
        <v>909</v>
      </c>
      <c r="C67" s="8" t="s">
        <v>892</v>
      </c>
      <c r="D67" s="250"/>
      <c r="E67" s="250"/>
      <c r="F67" s="250"/>
      <c r="G67" s="250"/>
      <c r="H67" s="250"/>
      <c r="I67" s="250"/>
      <c r="J67" s="250"/>
      <c r="K67" s="250"/>
      <c r="L67" s="250"/>
      <c r="M67" s="250"/>
      <c r="N67" s="250"/>
      <c r="O67" s="250"/>
      <c r="P67" s="250"/>
      <c r="Q67" s="250"/>
      <c r="R67" s="250"/>
    </row>
    <row r="68" spans="1:18" ht="30">
      <c r="A68" s="60" t="s">
        <v>926</v>
      </c>
      <c r="B68" s="61" t="s">
        <v>909</v>
      </c>
      <c r="C68" s="8" t="s">
        <v>892</v>
      </c>
      <c r="D68" s="250"/>
      <c r="E68" s="250"/>
      <c r="F68" s="250"/>
      <c r="G68" s="250"/>
      <c r="H68" s="250"/>
      <c r="I68" s="250"/>
      <c r="J68" s="250"/>
      <c r="K68" s="250"/>
      <c r="L68" s="250"/>
      <c r="M68" s="250"/>
      <c r="N68" s="250"/>
      <c r="O68" s="250"/>
      <c r="P68" s="250"/>
      <c r="Q68" s="250"/>
      <c r="R68" s="250"/>
    </row>
    <row r="69" spans="1:18">
      <c r="A69" s="60" t="s">
        <v>927</v>
      </c>
      <c r="B69" s="61" t="s">
        <v>910</v>
      </c>
      <c r="C69" s="8" t="s">
        <v>892</v>
      </c>
      <c r="D69" s="250"/>
      <c r="E69" s="250"/>
      <c r="F69" s="250"/>
      <c r="G69" s="250"/>
      <c r="H69" s="250"/>
      <c r="I69" s="250"/>
      <c r="J69" s="250"/>
      <c r="K69" s="250"/>
      <c r="L69" s="250"/>
      <c r="M69" s="250"/>
      <c r="N69" s="250"/>
      <c r="O69" s="250"/>
      <c r="P69" s="250"/>
      <c r="Q69" s="250"/>
      <c r="R69" s="250"/>
    </row>
    <row r="70" spans="1:18">
      <c r="A70" s="60" t="s">
        <v>928</v>
      </c>
      <c r="B70" s="61" t="s">
        <v>911</v>
      </c>
      <c r="C70" s="8" t="s">
        <v>892</v>
      </c>
      <c r="D70" s="250"/>
      <c r="E70" s="250"/>
      <c r="F70" s="250"/>
      <c r="G70" s="250"/>
      <c r="H70" s="250"/>
      <c r="I70" s="250"/>
      <c r="J70" s="250"/>
      <c r="K70" s="250"/>
      <c r="L70" s="250"/>
      <c r="M70" s="250"/>
      <c r="N70" s="250"/>
      <c r="O70" s="250"/>
      <c r="P70" s="250"/>
      <c r="Q70" s="250"/>
      <c r="R70" s="250"/>
    </row>
    <row r="71" spans="1:18">
      <c r="A71" s="60" t="s">
        <v>921</v>
      </c>
      <c r="B71" s="61" t="s">
        <v>913</v>
      </c>
      <c r="C71" s="8" t="s">
        <v>892</v>
      </c>
      <c r="D71" s="250"/>
      <c r="E71" s="250"/>
      <c r="F71" s="250"/>
      <c r="G71" s="250"/>
      <c r="H71" s="250"/>
      <c r="I71" s="250"/>
      <c r="J71" s="250"/>
      <c r="K71" s="250"/>
      <c r="L71" s="250"/>
      <c r="M71" s="250"/>
      <c r="N71" s="250"/>
      <c r="O71" s="250"/>
      <c r="P71" s="250"/>
      <c r="Q71" s="250"/>
      <c r="R71" s="250"/>
    </row>
    <row r="72" spans="1:18" ht="30">
      <c r="A72" s="60" t="s">
        <v>929</v>
      </c>
      <c r="B72" s="61" t="s">
        <v>930</v>
      </c>
      <c r="C72" s="8" t="s">
        <v>138</v>
      </c>
      <c r="D72" s="250"/>
      <c r="E72" s="250"/>
      <c r="F72" s="250"/>
      <c r="G72" s="250"/>
      <c r="H72" s="250"/>
      <c r="I72" s="250"/>
      <c r="J72" s="250"/>
      <c r="K72" s="250"/>
      <c r="L72" s="250"/>
      <c r="M72" s="250"/>
      <c r="N72" s="250"/>
      <c r="O72" s="250"/>
      <c r="P72" s="250"/>
      <c r="Q72" s="250"/>
      <c r="R72" s="250"/>
    </row>
    <row r="74" spans="1:18" ht="64.5" customHeight="1">
      <c r="A74" s="1963" t="s">
        <v>931</v>
      </c>
      <c r="B74" s="1963"/>
      <c r="C74" s="1963"/>
      <c r="D74" s="1963"/>
      <c r="E74" s="1963"/>
      <c r="F74" s="1963"/>
      <c r="G74" s="1963"/>
      <c r="H74" s="1963"/>
      <c r="I74" s="1963"/>
      <c r="J74" s="1963"/>
      <c r="K74" s="1963"/>
      <c r="L74" s="1963"/>
      <c r="M74" s="1963"/>
      <c r="N74" s="1963"/>
      <c r="O74" s="1963"/>
    </row>
    <row r="76" spans="1:18">
      <c r="A76" s="1" t="s">
        <v>88</v>
      </c>
    </row>
    <row r="77" spans="1:18" ht="51.75" customHeight="1">
      <c r="A77" s="1963" t="s">
        <v>932</v>
      </c>
      <c r="B77" s="1963"/>
      <c r="C77" s="1963"/>
      <c r="D77" s="1963"/>
      <c r="E77" s="1963"/>
      <c r="F77" s="1963"/>
      <c r="G77" s="1963"/>
      <c r="H77" s="1963"/>
      <c r="I77" s="1963"/>
      <c r="J77" s="1963"/>
      <c r="K77" s="1963"/>
      <c r="L77" s="1963"/>
      <c r="M77" s="1963"/>
      <c r="N77" s="1963"/>
      <c r="O77" s="1963"/>
    </row>
    <row r="78" spans="1:18" ht="69" customHeight="1">
      <c r="A78" s="1963" t="s">
        <v>933</v>
      </c>
      <c r="B78" s="1963"/>
      <c r="C78" s="1963"/>
      <c r="D78" s="1963"/>
      <c r="E78" s="1963"/>
      <c r="F78" s="1963"/>
      <c r="G78" s="1963"/>
      <c r="H78" s="1963"/>
      <c r="I78" s="1963"/>
      <c r="J78" s="1963"/>
      <c r="K78" s="1963"/>
      <c r="L78" s="1963"/>
      <c r="M78" s="1963"/>
      <c r="N78" s="1963"/>
      <c r="O78" s="1963"/>
    </row>
  </sheetData>
  <mergeCells count="4">
    <mergeCell ref="A3:O3"/>
    <mergeCell ref="A74:O74"/>
    <mergeCell ref="A77:O77"/>
    <mergeCell ref="A78:O78"/>
  </mergeCells>
  <pageMargins left="0.78740157480314965" right="0.31496062992125984" top="0.51181102362204722" bottom="0.23622047244094491" header="0.59055118110236227" footer="0.19685039370078741"/>
  <pageSetup paperSize="9" scale="50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99FF"/>
  </sheetPr>
  <dimension ref="A1:R78"/>
  <sheetViews>
    <sheetView view="pageBreakPreview" zoomScaleNormal="100" zoomScaleSheetLayoutView="100" workbookViewId="0">
      <pane xSplit="2" ySplit="5" topLeftCell="C6" activePane="bottomRight" state="frozen"/>
      <selection activeCell="T22" sqref="T22"/>
      <selection pane="topRight" activeCell="T22" sqref="T22"/>
      <selection pane="bottomLeft" activeCell="T22" sqref="T22"/>
      <selection pane="bottomRight" activeCell="T22" sqref="T22"/>
    </sheetView>
  </sheetViews>
  <sheetFormatPr defaultColWidth="2.85546875" defaultRowHeight="15"/>
  <cols>
    <col min="1" max="1" width="6.42578125" style="1" customWidth="1"/>
    <col min="2" max="2" width="36.42578125" style="1" customWidth="1"/>
    <col min="3" max="3" width="11.140625" style="21" customWidth="1"/>
    <col min="4" max="4" width="12.5703125" style="1" hidden="1" customWidth="1"/>
    <col min="5" max="5" width="11.85546875" style="1" hidden="1" customWidth="1"/>
    <col min="6" max="8" width="12.28515625" style="1" customWidth="1"/>
    <col min="9" max="9" width="12.28515625" style="1" hidden="1" customWidth="1"/>
    <col min="10" max="11" width="12.28515625" style="1" customWidth="1"/>
    <col min="12" max="12" width="16" style="1" customWidth="1"/>
    <col min="13" max="13" width="12.5703125" style="1" customWidth="1"/>
    <col min="14" max="14" width="12.7109375" style="1" customWidth="1"/>
    <col min="15" max="15" width="12.85546875" style="1" customWidth="1"/>
    <col min="16" max="16" width="12.28515625" style="1" customWidth="1"/>
    <col min="17" max="93" width="11.140625" style="1" customWidth="1"/>
    <col min="94" max="16384" width="2.85546875" style="1"/>
  </cols>
  <sheetData>
    <row r="1" spans="1:18" s="5" customFormat="1" ht="18" customHeight="1">
      <c r="A1" s="74" t="s">
        <v>1860</v>
      </c>
      <c r="C1" s="20"/>
      <c r="M1" s="6"/>
      <c r="N1" s="6"/>
      <c r="O1" s="6" t="s">
        <v>1060</v>
      </c>
      <c r="R1" s="6" t="s">
        <v>1060</v>
      </c>
    </row>
    <row r="2" spans="1:18" s="5" customFormat="1" ht="12.75" customHeight="1">
      <c r="A2" s="105" t="s">
        <v>1160</v>
      </c>
      <c r="C2" s="20"/>
    </row>
    <row r="3" spans="1:18" ht="18.75">
      <c r="A3" s="1877" t="s">
        <v>1172</v>
      </c>
      <c r="B3" s="1877"/>
      <c r="C3" s="1877"/>
      <c r="D3" s="1877"/>
      <c r="E3" s="1877"/>
      <c r="F3" s="1877"/>
      <c r="G3" s="1877"/>
      <c r="H3" s="1877"/>
      <c r="I3" s="1877"/>
      <c r="J3" s="1877"/>
      <c r="K3" s="1877"/>
      <c r="L3" s="1877"/>
      <c r="M3" s="1877"/>
      <c r="N3" s="1877"/>
      <c r="O3" s="1877"/>
    </row>
    <row r="4" spans="1:18" ht="12.75" customHeight="1"/>
    <row r="5" spans="1:18" s="3" customFormat="1" ht="69" customHeight="1">
      <c r="A5" s="542" t="s">
        <v>451</v>
      </c>
      <c r="B5" s="542" t="s">
        <v>1</v>
      </c>
      <c r="C5" s="542" t="s">
        <v>2</v>
      </c>
      <c r="D5" s="540" t="s">
        <v>1129</v>
      </c>
      <c r="E5" s="540" t="s">
        <v>1130</v>
      </c>
      <c r="F5" s="913" t="s">
        <v>1520</v>
      </c>
      <c r="G5" s="1284" t="s">
        <v>1695</v>
      </c>
      <c r="H5" s="1310" t="s">
        <v>1702</v>
      </c>
      <c r="I5" s="1661" t="s">
        <v>1882</v>
      </c>
      <c r="J5" s="1576" t="s">
        <v>1828</v>
      </c>
      <c r="K5" s="1661" t="s">
        <v>1842</v>
      </c>
      <c r="L5" s="1631" t="s">
        <v>1861</v>
      </c>
      <c r="M5" s="1631" t="s">
        <v>1862</v>
      </c>
      <c r="N5" s="1631" t="s">
        <v>763</v>
      </c>
      <c r="O5" s="1631" t="s">
        <v>764</v>
      </c>
      <c r="P5" s="1631" t="s">
        <v>1863</v>
      </c>
      <c r="Q5" s="1631" t="s">
        <v>763</v>
      </c>
      <c r="R5" s="1631" t="s">
        <v>764</v>
      </c>
    </row>
    <row r="6" spans="1:18" s="2" customFormat="1">
      <c r="A6" s="13">
        <v>1</v>
      </c>
      <c r="B6" s="13">
        <v>2</v>
      </c>
      <c r="C6" s="13">
        <v>3</v>
      </c>
      <c r="D6" s="13">
        <v>4</v>
      </c>
      <c r="E6" s="13">
        <v>5</v>
      </c>
      <c r="F6" s="13">
        <v>4</v>
      </c>
      <c r="G6" s="13">
        <v>5</v>
      </c>
      <c r="H6" s="13">
        <v>6</v>
      </c>
      <c r="I6" s="13"/>
      <c r="J6" s="13">
        <v>7</v>
      </c>
      <c r="K6" s="13">
        <v>8</v>
      </c>
      <c r="L6" s="13">
        <v>9</v>
      </c>
      <c r="M6" s="13">
        <v>10</v>
      </c>
      <c r="N6" s="13">
        <v>11</v>
      </c>
      <c r="O6" s="13">
        <v>12</v>
      </c>
      <c r="P6" s="13">
        <v>13</v>
      </c>
      <c r="Q6" s="13">
        <v>14</v>
      </c>
      <c r="R6" s="13">
        <v>15</v>
      </c>
    </row>
    <row r="7" spans="1:18" s="36" customFormat="1" ht="15" customHeight="1">
      <c r="A7" s="60" t="s">
        <v>4</v>
      </c>
      <c r="B7" s="61" t="s">
        <v>452</v>
      </c>
      <c r="C7" s="8" t="s">
        <v>453</v>
      </c>
      <c r="D7" s="391"/>
      <c r="E7" s="391"/>
      <c r="F7" s="391"/>
      <c r="G7" s="391"/>
      <c r="H7" s="391"/>
      <c r="I7" s="391"/>
      <c r="J7" s="391"/>
      <c r="K7" s="391"/>
      <c r="L7" s="391"/>
      <c r="M7" s="388"/>
      <c r="N7" s="388"/>
      <c r="O7" s="388"/>
      <c r="P7" s="388"/>
      <c r="Q7" s="388"/>
      <c r="R7" s="388"/>
    </row>
    <row r="8" spans="1:18" s="36" customFormat="1" ht="15" customHeight="1">
      <c r="A8" s="60" t="s">
        <v>5</v>
      </c>
      <c r="B8" s="61" t="s">
        <v>454</v>
      </c>
      <c r="C8" s="8" t="s">
        <v>453</v>
      </c>
      <c r="D8" s="391"/>
      <c r="E8" s="388">
        <v>162.5</v>
      </c>
      <c r="F8" s="391"/>
      <c r="G8" s="388">
        <v>162.5</v>
      </c>
      <c r="H8" s="388"/>
      <c r="I8" s="388"/>
      <c r="J8" s="388">
        <v>162.5</v>
      </c>
      <c r="K8" s="388"/>
      <c r="L8" s="388">
        <v>178.5</v>
      </c>
      <c r="M8" s="388">
        <v>178.5</v>
      </c>
      <c r="N8" s="388">
        <v>178.5</v>
      </c>
      <c r="O8" s="388">
        <v>178.5</v>
      </c>
      <c r="P8" s="388">
        <v>194.5</v>
      </c>
      <c r="Q8" s="388">
        <v>194.5</v>
      </c>
      <c r="R8" s="388">
        <v>194.5</v>
      </c>
    </row>
    <row r="9" spans="1:18" s="36" customFormat="1" ht="15" customHeight="1">
      <c r="A9" s="60"/>
      <c r="B9" s="61" t="s">
        <v>455</v>
      </c>
      <c r="C9" s="8" t="s">
        <v>453</v>
      </c>
      <c r="D9" s="388"/>
      <c r="E9" s="388"/>
      <c r="F9" s="388"/>
      <c r="G9" s="388"/>
      <c r="H9" s="388"/>
      <c r="I9" s="388"/>
      <c r="J9" s="388"/>
      <c r="K9" s="388"/>
      <c r="L9" s="388"/>
      <c r="M9" s="388"/>
      <c r="N9" s="388"/>
      <c r="O9" s="388"/>
      <c r="P9" s="388"/>
      <c r="Q9" s="388"/>
      <c r="R9" s="388"/>
    </row>
    <row r="10" spans="1:18" s="36" customFormat="1" ht="15" customHeight="1">
      <c r="A10" s="60" t="s">
        <v>11</v>
      </c>
      <c r="B10" s="61" t="s">
        <v>1161</v>
      </c>
      <c r="C10" s="8" t="s">
        <v>453</v>
      </c>
      <c r="D10" s="388"/>
      <c r="E10" s="388">
        <f>E8</f>
        <v>162.5</v>
      </c>
      <c r="F10" s="388"/>
      <c r="G10" s="388">
        <v>162.5</v>
      </c>
      <c r="H10" s="388"/>
      <c r="I10" s="388"/>
      <c r="J10" s="388">
        <v>162.5</v>
      </c>
      <c r="K10" s="388"/>
      <c r="L10" s="388">
        <v>178.5</v>
      </c>
      <c r="M10" s="388">
        <v>178.5</v>
      </c>
      <c r="N10" s="388">
        <v>178.5</v>
      </c>
      <c r="O10" s="388">
        <v>178.5</v>
      </c>
      <c r="P10" s="388">
        <v>194.5</v>
      </c>
      <c r="Q10" s="388">
        <v>194.5</v>
      </c>
      <c r="R10" s="388">
        <v>194.5</v>
      </c>
    </row>
    <row r="11" spans="1:18" s="36" customFormat="1" ht="15" customHeight="1">
      <c r="A11" s="60"/>
      <c r="B11" s="61" t="s">
        <v>457</v>
      </c>
      <c r="C11" s="8" t="s">
        <v>453</v>
      </c>
      <c r="D11" s="388"/>
      <c r="E11" s="388"/>
      <c r="F11" s="388"/>
      <c r="G11" s="388"/>
      <c r="H11" s="388"/>
      <c r="I11" s="388"/>
      <c r="J11" s="388"/>
      <c r="K11" s="388"/>
      <c r="L11" s="388"/>
      <c r="M11" s="388"/>
      <c r="N11" s="388"/>
      <c r="O11" s="388"/>
      <c r="P11" s="388"/>
      <c r="Q11" s="388"/>
      <c r="R11" s="388"/>
    </row>
    <row r="12" spans="1:18" s="36" customFormat="1" ht="15" customHeight="1">
      <c r="A12" s="60" t="s">
        <v>445</v>
      </c>
      <c r="B12" s="61" t="s">
        <v>458</v>
      </c>
      <c r="C12" s="8" t="s">
        <v>453</v>
      </c>
      <c r="D12" s="388"/>
      <c r="E12" s="388">
        <v>241.2</v>
      </c>
      <c r="F12" s="388"/>
      <c r="G12" s="388">
        <v>156</v>
      </c>
      <c r="H12" s="388"/>
      <c r="I12" s="388"/>
      <c r="J12" s="388">
        <v>156</v>
      </c>
      <c r="K12" s="388"/>
      <c r="L12" s="388"/>
      <c r="M12" s="388"/>
      <c r="N12" s="388"/>
      <c r="O12" s="388"/>
      <c r="P12" s="388"/>
      <c r="Q12" s="388"/>
      <c r="R12" s="388"/>
    </row>
    <row r="13" spans="1:18" s="36" customFormat="1" ht="15" customHeight="1">
      <c r="A13" s="60"/>
      <c r="B13" s="61" t="s">
        <v>459</v>
      </c>
      <c r="C13" s="8" t="s">
        <v>138</v>
      </c>
      <c r="D13" s="391" t="e">
        <f>D12/D8*100</f>
        <v>#DIV/0!</v>
      </c>
      <c r="E13" s="391">
        <f>E12/E8*100</f>
        <v>148.43076923076924</v>
      </c>
      <c r="F13" s="391"/>
      <c r="G13" s="388">
        <v>96</v>
      </c>
      <c r="H13" s="391"/>
      <c r="I13" s="391"/>
      <c r="J13" s="388">
        <v>96</v>
      </c>
      <c r="K13" s="388"/>
      <c r="L13" s="388">
        <v>0</v>
      </c>
      <c r="M13" s="388">
        <v>0</v>
      </c>
      <c r="N13" s="388">
        <v>0</v>
      </c>
      <c r="O13" s="388">
        <v>0</v>
      </c>
      <c r="P13" s="388">
        <v>0</v>
      </c>
      <c r="Q13" s="388">
        <v>0</v>
      </c>
      <c r="R13" s="388">
        <v>0</v>
      </c>
    </row>
    <row r="14" spans="1:18" s="36" customFormat="1" ht="15" customHeight="1">
      <c r="A14" s="60" t="s">
        <v>446</v>
      </c>
      <c r="B14" s="61" t="s">
        <v>460</v>
      </c>
      <c r="C14" s="8" t="s">
        <v>453</v>
      </c>
      <c r="D14" s="388"/>
      <c r="E14" s="388"/>
      <c r="F14" s="388"/>
      <c r="G14" s="388"/>
      <c r="H14" s="388"/>
      <c r="I14" s="388"/>
      <c r="J14" s="388"/>
      <c r="K14" s="388"/>
      <c r="L14" s="388"/>
      <c r="M14" s="388"/>
      <c r="N14" s="388"/>
      <c r="O14" s="388"/>
      <c r="P14" s="388"/>
      <c r="Q14" s="388"/>
      <c r="R14" s="388"/>
    </row>
    <row r="15" spans="1:18" s="36" customFormat="1" ht="15" customHeight="1">
      <c r="A15" s="60" t="s">
        <v>461</v>
      </c>
      <c r="B15" s="61" t="s">
        <v>462</v>
      </c>
      <c r="C15" s="8" t="s">
        <v>453</v>
      </c>
      <c r="D15" s="391">
        <v>287.37103832752609</v>
      </c>
      <c r="E15" s="391">
        <v>241.2</v>
      </c>
      <c r="F15" s="391"/>
      <c r="G15" s="391">
        <v>254.9</v>
      </c>
      <c r="H15" s="391"/>
      <c r="I15" s="391"/>
      <c r="J15" s="391">
        <v>258.5</v>
      </c>
      <c r="K15" s="391"/>
      <c r="L15" s="391">
        <v>254.2</v>
      </c>
      <c r="M15" s="388">
        <v>254.2</v>
      </c>
      <c r="N15" s="388">
        <v>254.2</v>
      </c>
      <c r="O15" s="388">
        <v>254.2</v>
      </c>
      <c r="P15" s="388">
        <v>254.2</v>
      </c>
      <c r="Q15" s="337">
        <v>254.2</v>
      </c>
      <c r="R15" s="337">
        <v>254.2</v>
      </c>
    </row>
    <row r="16" spans="1:18" s="36" customFormat="1" ht="15" customHeight="1">
      <c r="A16" s="60" t="s">
        <v>23</v>
      </c>
      <c r="B16" s="61" t="s">
        <v>463</v>
      </c>
      <c r="C16" s="8"/>
      <c r="D16" s="388"/>
      <c r="E16" s="388"/>
      <c r="F16" s="388"/>
      <c r="G16" s="388"/>
      <c r="H16" s="388"/>
      <c r="I16" s="388"/>
      <c r="J16" s="388"/>
      <c r="K16" s="388"/>
      <c r="L16" s="388"/>
      <c r="M16" s="388"/>
      <c r="N16" s="388"/>
      <c r="O16" s="388"/>
      <c r="P16" s="388"/>
      <c r="Q16" s="388"/>
      <c r="R16" s="388"/>
    </row>
    <row r="17" spans="1:18" s="36" customFormat="1" ht="15" customHeight="1">
      <c r="A17" s="60" t="s">
        <v>24</v>
      </c>
      <c r="B17" s="61" t="s">
        <v>464</v>
      </c>
      <c r="C17" s="8" t="s">
        <v>465</v>
      </c>
      <c r="D17" s="337">
        <v>4535.55</v>
      </c>
      <c r="E17" s="337">
        <v>4896</v>
      </c>
      <c r="F17" s="337"/>
      <c r="G17" s="337">
        <v>5628</v>
      </c>
      <c r="H17" s="337"/>
      <c r="I17" s="337"/>
      <c r="J17" s="337">
        <v>5778</v>
      </c>
      <c r="K17" s="337"/>
      <c r="L17" s="337">
        <v>6671</v>
      </c>
      <c r="M17" s="337">
        <v>7248</v>
      </c>
      <c r="N17" s="337">
        <v>7398</v>
      </c>
      <c r="O17" s="337">
        <v>7592</v>
      </c>
      <c r="P17" s="337">
        <v>7745</v>
      </c>
      <c r="Q17" s="337">
        <v>7899</v>
      </c>
      <c r="R17" s="337">
        <v>8105</v>
      </c>
    </row>
    <row r="18" spans="1:18" s="36" customFormat="1" ht="15" customHeight="1">
      <c r="A18" s="60" t="s">
        <v>24</v>
      </c>
      <c r="B18" s="61" t="s">
        <v>466</v>
      </c>
      <c r="C18" s="8"/>
      <c r="D18" s="389">
        <f t="shared" ref="D18" si="0">D19/D17</f>
        <v>1.071</v>
      </c>
      <c r="E18" s="389">
        <f>E19/E17</f>
        <v>1.0347222222222223</v>
      </c>
      <c r="F18" s="390"/>
      <c r="G18" s="389">
        <v>1.0266524520255864</v>
      </c>
      <c r="H18" s="389"/>
      <c r="I18" s="389"/>
      <c r="J18" s="389">
        <v>1.1545517480096918</v>
      </c>
      <c r="K18" s="389"/>
      <c r="L18" s="389">
        <v>1.0864937790436215</v>
      </c>
      <c r="M18" s="389">
        <v>1.0685706401766004</v>
      </c>
      <c r="N18" s="389">
        <v>1.0262233035955663</v>
      </c>
      <c r="O18" s="389">
        <v>1.0404373024236038</v>
      </c>
      <c r="P18" s="389">
        <v>1.0589412524209167</v>
      </c>
      <c r="Q18" s="389">
        <v>1.0260792505380427</v>
      </c>
      <c r="R18" s="389">
        <v>1.0238124614435533</v>
      </c>
    </row>
    <row r="19" spans="1:18" s="36" customFormat="1" ht="30" customHeight="1">
      <c r="A19" s="60" t="s">
        <v>139</v>
      </c>
      <c r="B19" s="61" t="s">
        <v>467</v>
      </c>
      <c r="C19" s="8" t="s">
        <v>465</v>
      </c>
      <c r="D19" s="337">
        <v>4857.5740500000002</v>
      </c>
      <c r="E19" s="337">
        <v>5066</v>
      </c>
      <c r="F19" s="337"/>
      <c r="G19" s="337">
        <v>5778</v>
      </c>
      <c r="H19" s="337"/>
      <c r="I19" s="337"/>
      <c r="J19" s="337">
        <v>6671</v>
      </c>
      <c r="K19" s="337"/>
      <c r="L19" s="337">
        <v>7248</v>
      </c>
      <c r="M19" s="337">
        <v>7745</v>
      </c>
      <c r="N19" s="337">
        <v>7592</v>
      </c>
      <c r="O19" s="337">
        <v>7899</v>
      </c>
      <c r="P19" s="337">
        <v>8201.5</v>
      </c>
      <c r="Q19" s="337">
        <v>8105</v>
      </c>
      <c r="R19" s="337">
        <v>8298</v>
      </c>
    </row>
    <row r="20" spans="1:18" s="36" customFormat="1" ht="15" customHeight="1">
      <c r="A20" s="60" t="s">
        <v>433</v>
      </c>
      <c r="B20" s="61" t="s">
        <v>468</v>
      </c>
      <c r="C20" s="8"/>
      <c r="D20" s="342">
        <v>6.3069999999999995</v>
      </c>
      <c r="E20" s="342">
        <v>6.22</v>
      </c>
      <c r="F20" s="342"/>
      <c r="G20" s="342">
        <v>6.2279999999999998</v>
      </c>
      <c r="H20" s="342"/>
      <c r="I20" s="342"/>
      <c r="J20" s="342"/>
      <c r="K20" s="342"/>
      <c r="L20" s="342"/>
      <c r="M20" s="342"/>
      <c r="N20" s="342"/>
      <c r="O20" s="342"/>
      <c r="P20" s="342"/>
      <c r="Q20" s="342"/>
      <c r="R20" s="342"/>
    </row>
    <row r="21" spans="1:18" s="36" customFormat="1" ht="30" customHeight="1">
      <c r="A21" s="60" t="s">
        <v>433</v>
      </c>
      <c r="B21" s="61" t="s">
        <v>469</v>
      </c>
      <c r="C21" s="8"/>
      <c r="D21" s="342">
        <v>1.8244999999999998</v>
      </c>
      <c r="E21" s="342">
        <v>1.8440000000000001</v>
      </c>
      <c r="F21" s="342"/>
      <c r="G21" s="342">
        <v>1.91</v>
      </c>
      <c r="H21" s="342"/>
      <c r="I21" s="342"/>
      <c r="J21" s="342">
        <v>1.855</v>
      </c>
      <c r="K21" s="342"/>
      <c r="L21" s="342">
        <v>1.95</v>
      </c>
      <c r="M21" s="342">
        <v>1.95</v>
      </c>
      <c r="N21" s="342">
        <v>1.95</v>
      </c>
      <c r="O21" s="342">
        <v>1.95</v>
      </c>
      <c r="P21" s="342">
        <v>1.95</v>
      </c>
      <c r="Q21" s="342">
        <v>1.95</v>
      </c>
      <c r="R21" s="342">
        <v>1.95</v>
      </c>
    </row>
    <row r="22" spans="1:18" s="36" customFormat="1" ht="15" customHeight="1">
      <c r="A22" s="60" t="s">
        <v>433</v>
      </c>
      <c r="B22" s="61" t="s">
        <v>470</v>
      </c>
      <c r="C22" s="8" t="s">
        <v>465</v>
      </c>
      <c r="D22" s="337">
        <f>D19*D21</f>
        <v>8862.6438542249998</v>
      </c>
      <c r="E22" s="250">
        <f>E19*E21+2</f>
        <v>9343.7039999999997</v>
      </c>
      <c r="F22" s="337">
        <f t="shared" ref="F22" si="1">F19*F21</f>
        <v>0</v>
      </c>
      <c r="G22" s="337">
        <v>11035.98</v>
      </c>
      <c r="H22" s="250">
        <v>0</v>
      </c>
      <c r="I22" s="250"/>
      <c r="J22" s="250">
        <v>12374.705</v>
      </c>
      <c r="K22" s="337">
        <v>0</v>
      </c>
      <c r="L22" s="250">
        <v>14133.6</v>
      </c>
      <c r="M22" s="250">
        <v>15102.75</v>
      </c>
      <c r="N22" s="250">
        <v>14804.4</v>
      </c>
      <c r="O22" s="250">
        <v>15403.05</v>
      </c>
      <c r="P22" s="250">
        <v>15992.924999999999</v>
      </c>
      <c r="Q22" s="250">
        <v>15804.75</v>
      </c>
      <c r="R22" s="250">
        <v>16181.1</v>
      </c>
    </row>
    <row r="23" spans="1:18" s="36" customFormat="1" ht="30" customHeight="1">
      <c r="A23" s="60" t="s">
        <v>471</v>
      </c>
      <c r="B23" s="61" t="s">
        <v>472</v>
      </c>
      <c r="C23" s="8"/>
      <c r="D23" s="388"/>
      <c r="E23" s="66"/>
      <c r="F23" s="388"/>
      <c r="G23" s="388"/>
      <c r="H23" s="66"/>
      <c r="I23" s="66"/>
      <c r="J23" s="66"/>
      <c r="K23" s="388"/>
      <c r="L23" s="66"/>
      <c r="M23" s="66"/>
      <c r="N23" s="66"/>
      <c r="O23" s="66"/>
      <c r="P23" s="66"/>
      <c r="Q23" s="66"/>
      <c r="R23" s="66"/>
    </row>
    <row r="24" spans="1:18" s="36" customFormat="1" ht="15" customHeight="1">
      <c r="A24" s="60"/>
      <c r="B24" s="70" t="s">
        <v>473</v>
      </c>
      <c r="C24" s="8" t="s">
        <v>138</v>
      </c>
      <c r="D24" s="946">
        <v>20.474999999999998</v>
      </c>
      <c r="E24" s="947">
        <v>18.899999999999999</v>
      </c>
      <c r="F24" s="337"/>
      <c r="G24" s="946">
        <v>21.6</v>
      </c>
      <c r="H24" s="250"/>
      <c r="I24" s="250"/>
      <c r="J24" s="251">
        <v>19.45</v>
      </c>
      <c r="K24" s="946"/>
      <c r="L24" s="251">
        <v>26.66</v>
      </c>
      <c r="M24" s="342">
        <v>26.66</v>
      </c>
      <c r="N24" s="342">
        <v>26.66</v>
      </c>
      <c r="O24" s="342">
        <v>26.66</v>
      </c>
      <c r="P24" s="342">
        <v>26.66</v>
      </c>
      <c r="Q24" s="342">
        <v>26.66</v>
      </c>
      <c r="R24" s="342">
        <v>26.66</v>
      </c>
    </row>
    <row r="25" spans="1:18" s="36" customFormat="1" ht="15" customHeight="1">
      <c r="A25" s="60"/>
      <c r="B25" s="70" t="s">
        <v>474</v>
      </c>
      <c r="C25" s="8" t="s">
        <v>465</v>
      </c>
      <c r="D25" s="337">
        <f>(D24*D22)/100</f>
        <v>1814.6263291525686</v>
      </c>
      <c r="E25" s="250">
        <f>(E24*E22)/100</f>
        <v>1765.9600559999997</v>
      </c>
      <c r="F25" s="337">
        <f t="shared" ref="F25" si="2">(F24*F22)/100</f>
        <v>0</v>
      </c>
      <c r="G25" s="337">
        <v>2383.7716799999998</v>
      </c>
      <c r="H25" s="250">
        <v>0</v>
      </c>
      <c r="I25" s="250"/>
      <c r="J25" s="250">
        <v>2407</v>
      </c>
      <c r="K25" s="337">
        <v>0</v>
      </c>
      <c r="L25" s="250">
        <v>3768</v>
      </c>
      <c r="M25" s="250">
        <v>4026</v>
      </c>
      <c r="N25" s="250">
        <v>3947</v>
      </c>
      <c r="O25" s="250">
        <v>4106</v>
      </c>
      <c r="P25" s="250">
        <v>4264</v>
      </c>
      <c r="Q25" s="250">
        <v>4214</v>
      </c>
      <c r="R25" s="250">
        <v>4314</v>
      </c>
    </row>
    <row r="26" spans="1:18" s="36" customFormat="1" ht="15" customHeight="1">
      <c r="A26" s="60" t="s">
        <v>475</v>
      </c>
      <c r="B26" s="61" t="s">
        <v>476</v>
      </c>
      <c r="C26" s="8"/>
      <c r="D26" s="337"/>
      <c r="E26" s="250"/>
      <c r="F26" s="337"/>
      <c r="G26" s="337"/>
      <c r="H26" s="250"/>
      <c r="I26" s="250"/>
      <c r="J26" s="250"/>
      <c r="K26" s="337"/>
      <c r="L26" s="250"/>
      <c r="M26" s="337"/>
      <c r="N26" s="337"/>
      <c r="O26" s="337"/>
      <c r="P26" s="337"/>
      <c r="Q26" s="337"/>
      <c r="R26" s="337"/>
    </row>
    <row r="27" spans="1:18" s="36" customFormat="1" ht="15" customHeight="1">
      <c r="A27" s="60"/>
      <c r="B27" s="70" t="s">
        <v>473</v>
      </c>
      <c r="C27" s="8" t="s">
        <v>138</v>
      </c>
      <c r="D27" s="337">
        <v>50</v>
      </c>
      <c r="E27" s="947">
        <v>47.8</v>
      </c>
      <c r="F27" s="337"/>
      <c r="G27" s="946">
        <v>48.05</v>
      </c>
      <c r="H27" s="250"/>
      <c r="I27" s="250"/>
      <c r="J27" s="251">
        <v>48.7</v>
      </c>
      <c r="K27" s="946"/>
      <c r="L27" s="251">
        <v>48.6</v>
      </c>
      <c r="M27" s="342">
        <v>50</v>
      </c>
      <c r="N27" s="342">
        <v>50</v>
      </c>
      <c r="O27" s="342">
        <v>50</v>
      </c>
      <c r="P27" s="342">
        <v>50</v>
      </c>
      <c r="Q27" s="342">
        <v>50</v>
      </c>
      <c r="R27" s="342">
        <v>50</v>
      </c>
    </row>
    <row r="28" spans="1:18" s="36" customFormat="1" ht="15" customHeight="1">
      <c r="A28" s="60"/>
      <c r="B28" s="70" t="s">
        <v>474</v>
      </c>
      <c r="C28" s="8" t="s">
        <v>465</v>
      </c>
      <c r="D28" s="337">
        <f>(D22+D25)*D27/100</f>
        <v>5338.6350916887841</v>
      </c>
      <c r="E28" s="250">
        <f>(E22+E25)*E27/100+1</f>
        <v>5311.4194187679996</v>
      </c>
      <c r="F28" s="337">
        <f t="shared" ref="F28" si="3">(F22+F25)*F27/100</f>
        <v>0</v>
      </c>
      <c r="G28" s="337">
        <v>6448.1906822399997</v>
      </c>
      <c r="H28" s="250">
        <v>0</v>
      </c>
      <c r="I28" s="250"/>
      <c r="J28" s="250">
        <v>7199</v>
      </c>
      <c r="K28" s="337">
        <v>0</v>
      </c>
      <c r="L28" s="250">
        <v>8700</v>
      </c>
      <c r="M28" s="250">
        <v>9564</v>
      </c>
      <c r="N28" s="250">
        <v>9376</v>
      </c>
      <c r="O28" s="250">
        <v>9755</v>
      </c>
      <c r="P28" s="250">
        <v>10128</v>
      </c>
      <c r="Q28" s="250">
        <v>10009</v>
      </c>
      <c r="R28" s="250">
        <v>10248</v>
      </c>
    </row>
    <row r="29" spans="1:18" s="36" customFormat="1" ht="15" customHeight="1">
      <c r="A29" s="60" t="s">
        <v>477</v>
      </c>
      <c r="B29" s="61" t="s">
        <v>478</v>
      </c>
      <c r="C29" s="8"/>
      <c r="D29" s="337"/>
      <c r="E29" s="250"/>
      <c r="F29" s="337"/>
      <c r="G29" s="337"/>
      <c r="H29" s="250"/>
      <c r="I29" s="250"/>
      <c r="J29" s="250"/>
      <c r="K29" s="337"/>
      <c r="L29" s="250"/>
      <c r="M29" s="337"/>
      <c r="N29" s="337"/>
      <c r="O29" s="337"/>
      <c r="P29" s="337"/>
      <c r="Q29" s="337"/>
      <c r="R29" s="337"/>
    </row>
    <row r="30" spans="1:18" s="36" customFormat="1" ht="15" customHeight="1">
      <c r="A30" s="60"/>
      <c r="B30" s="70" t="s">
        <v>473</v>
      </c>
      <c r="C30" s="8" t="s">
        <v>138</v>
      </c>
      <c r="D30" s="946">
        <v>7.5999999999999988</v>
      </c>
      <c r="E30" s="947">
        <v>8.6999999999999993</v>
      </c>
      <c r="F30" s="337"/>
      <c r="G30" s="946">
        <v>8.75</v>
      </c>
      <c r="H30" s="947"/>
      <c r="I30" s="947"/>
      <c r="J30" s="251">
        <v>8.9109999999999996</v>
      </c>
      <c r="K30" s="946"/>
      <c r="L30" s="251">
        <v>9</v>
      </c>
      <c r="M30" s="342">
        <v>9.15</v>
      </c>
      <c r="N30" s="342">
        <v>9.15</v>
      </c>
      <c r="O30" s="342">
        <v>9.15</v>
      </c>
      <c r="P30" s="342">
        <v>9.15</v>
      </c>
      <c r="Q30" s="342">
        <v>9.15</v>
      </c>
      <c r="R30" s="342">
        <v>9.15</v>
      </c>
    </row>
    <row r="31" spans="1:18" s="36" customFormat="1" ht="15" customHeight="1">
      <c r="A31" s="60"/>
      <c r="B31" s="70" t="s">
        <v>474</v>
      </c>
      <c r="C31" s="8" t="s">
        <v>465</v>
      </c>
      <c r="D31" s="337">
        <f>(D22+D25)*D30/100+1</f>
        <v>812.47253393669507</v>
      </c>
      <c r="E31" s="250">
        <f>(E22+E25)*E30/100</f>
        <v>966.54077287199993</v>
      </c>
      <c r="F31" s="337">
        <f t="shared" ref="F31" si="4">(F22+F25)*F30/100</f>
        <v>0</v>
      </c>
      <c r="G31" s="337">
        <v>1174.2282720000001</v>
      </c>
      <c r="H31" s="250">
        <v>0</v>
      </c>
      <c r="I31" s="250"/>
      <c r="J31" s="250">
        <v>1317</v>
      </c>
      <c r="K31" s="337">
        <v>0</v>
      </c>
      <c r="L31" s="250">
        <v>1611</v>
      </c>
      <c r="M31" s="250">
        <v>1750</v>
      </c>
      <c r="N31" s="250">
        <v>1716</v>
      </c>
      <c r="O31" s="250">
        <v>1785</v>
      </c>
      <c r="P31" s="250">
        <v>1854</v>
      </c>
      <c r="Q31" s="250">
        <v>1832</v>
      </c>
      <c r="R31" s="250">
        <v>1875</v>
      </c>
    </row>
    <row r="32" spans="1:18" s="36" customFormat="1" ht="15" customHeight="1">
      <c r="A32" s="60" t="s">
        <v>479</v>
      </c>
      <c r="B32" s="61" t="s">
        <v>480</v>
      </c>
      <c r="C32" s="8"/>
      <c r="D32" s="337"/>
      <c r="E32" s="250"/>
      <c r="F32" s="337"/>
      <c r="G32" s="337"/>
      <c r="H32" s="250"/>
      <c r="I32" s="250"/>
      <c r="J32" s="250"/>
      <c r="K32" s="337"/>
      <c r="L32" s="250"/>
      <c r="M32" s="250"/>
      <c r="N32" s="250"/>
      <c r="O32" s="250"/>
      <c r="P32" s="250"/>
      <c r="Q32" s="250"/>
      <c r="R32" s="250"/>
    </row>
    <row r="33" spans="1:18" s="36" customFormat="1" ht="15" customHeight="1">
      <c r="A33" s="60"/>
      <c r="B33" s="70" t="s">
        <v>473</v>
      </c>
      <c r="C33" s="8" t="s">
        <v>138</v>
      </c>
      <c r="D33" s="337">
        <v>0</v>
      </c>
      <c r="E33" s="250">
        <v>0</v>
      </c>
      <c r="F33" s="337">
        <v>0</v>
      </c>
      <c r="G33" s="337">
        <v>0</v>
      </c>
      <c r="H33" s="250">
        <v>0</v>
      </c>
      <c r="I33" s="250"/>
      <c r="J33" s="250">
        <v>0</v>
      </c>
      <c r="K33" s="337"/>
      <c r="L33" s="250"/>
      <c r="M33" s="250">
        <v>0</v>
      </c>
      <c r="N33" s="250">
        <v>0</v>
      </c>
      <c r="O33" s="250">
        <v>0</v>
      </c>
      <c r="P33" s="250">
        <v>0</v>
      </c>
      <c r="Q33" s="250">
        <v>0</v>
      </c>
      <c r="R33" s="250">
        <v>0</v>
      </c>
    </row>
    <row r="34" spans="1:18" s="36" customFormat="1" ht="15" customHeight="1">
      <c r="A34" s="60"/>
      <c r="B34" s="70" t="s">
        <v>474</v>
      </c>
      <c r="C34" s="8" t="s">
        <v>465</v>
      </c>
      <c r="D34" s="337">
        <v>0</v>
      </c>
      <c r="E34" s="250">
        <v>0</v>
      </c>
      <c r="F34" s="337">
        <v>0</v>
      </c>
      <c r="G34" s="337">
        <v>0</v>
      </c>
      <c r="H34" s="250">
        <v>0</v>
      </c>
      <c r="I34" s="250"/>
      <c r="J34" s="250">
        <v>0</v>
      </c>
      <c r="K34" s="337">
        <v>0</v>
      </c>
      <c r="L34" s="250">
        <v>0</v>
      </c>
      <c r="M34" s="250">
        <v>0</v>
      </c>
      <c r="N34" s="250">
        <v>0</v>
      </c>
      <c r="O34" s="250">
        <v>0</v>
      </c>
      <c r="P34" s="250">
        <v>0</v>
      </c>
      <c r="Q34" s="250">
        <v>0</v>
      </c>
      <c r="R34" s="250">
        <v>0</v>
      </c>
    </row>
    <row r="35" spans="1:18" s="36" customFormat="1" hidden="1">
      <c r="A35" s="60" t="s">
        <v>481</v>
      </c>
      <c r="B35" s="61"/>
      <c r="C35" s="8"/>
      <c r="D35" s="337"/>
      <c r="E35" s="250"/>
      <c r="F35" s="337"/>
      <c r="G35" s="337"/>
      <c r="H35" s="250"/>
      <c r="I35" s="250"/>
      <c r="J35" s="250"/>
      <c r="K35" s="337"/>
      <c r="L35" s="250"/>
      <c r="M35" s="250"/>
      <c r="N35" s="250"/>
      <c r="O35" s="250"/>
      <c r="P35" s="250"/>
      <c r="Q35" s="250"/>
      <c r="R35" s="250"/>
    </row>
    <row r="36" spans="1:18" s="36" customFormat="1" ht="15" hidden="1" customHeight="1">
      <c r="A36" s="60"/>
      <c r="B36" s="70" t="s">
        <v>473</v>
      </c>
      <c r="C36" s="8" t="s">
        <v>138</v>
      </c>
      <c r="D36" s="388"/>
      <c r="E36" s="66"/>
      <c r="F36" s="388"/>
      <c r="G36" s="388"/>
      <c r="H36" s="66"/>
      <c r="I36" s="66"/>
      <c r="J36" s="66"/>
      <c r="K36" s="388"/>
      <c r="L36" s="66"/>
      <c r="M36" s="66"/>
      <c r="N36" s="66"/>
      <c r="O36" s="66"/>
      <c r="P36" s="66"/>
      <c r="Q36" s="66"/>
      <c r="R36" s="66"/>
    </row>
    <row r="37" spans="1:18" s="36" customFormat="1" ht="15" hidden="1" customHeight="1">
      <c r="A37" s="60"/>
      <c r="B37" s="70" t="s">
        <v>474</v>
      </c>
      <c r="C37" s="8" t="s">
        <v>465</v>
      </c>
      <c r="D37" s="388"/>
      <c r="E37" s="66"/>
      <c r="F37" s="388"/>
      <c r="G37" s="388"/>
      <c r="H37" s="66"/>
      <c r="I37" s="66"/>
      <c r="J37" s="66"/>
      <c r="K37" s="388"/>
      <c r="L37" s="66"/>
      <c r="M37" s="66"/>
      <c r="N37" s="66"/>
      <c r="O37" s="66"/>
      <c r="P37" s="66"/>
      <c r="Q37" s="66"/>
      <c r="R37" s="66"/>
    </row>
    <row r="38" spans="1:18" s="36" customFormat="1" hidden="1">
      <c r="A38" s="60" t="s">
        <v>482</v>
      </c>
      <c r="B38" s="61"/>
      <c r="C38" s="8"/>
      <c r="D38" s="388"/>
      <c r="E38" s="66"/>
      <c r="F38" s="388"/>
      <c r="G38" s="388"/>
      <c r="H38" s="66"/>
      <c r="I38" s="66"/>
      <c r="J38" s="66"/>
      <c r="K38" s="388"/>
      <c r="L38" s="66"/>
      <c r="M38" s="66"/>
      <c r="N38" s="66"/>
      <c r="O38" s="66"/>
      <c r="P38" s="66"/>
      <c r="Q38" s="66"/>
      <c r="R38" s="66"/>
    </row>
    <row r="39" spans="1:18" s="36" customFormat="1" ht="15" hidden="1" customHeight="1">
      <c r="A39" s="60"/>
      <c r="B39" s="70" t="s">
        <v>473</v>
      </c>
      <c r="C39" s="8" t="s">
        <v>138</v>
      </c>
      <c r="D39" s="388"/>
      <c r="E39" s="66"/>
      <c r="F39" s="388"/>
      <c r="G39" s="388"/>
      <c r="H39" s="66"/>
      <c r="I39" s="66"/>
      <c r="J39" s="66"/>
      <c r="K39" s="388"/>
      <c r="L39" s="66"/>
      <c r="M39" s="66"/>
      <c r="N39" s="66"/>
      <c r="O39" s="66"/>
      <c r="P39" s="66"/>
      <c r="Q39" s="66"/>
      <c r="R39" s="66"/>
    </row>
    <row r="40" spans="1:18" s="36" customFormat="1" ht="15" hidden="1" customHeight="1">
      <c r="A40" s="60"/>
      <c r="B40" s="70" t="s">
        <v>474</v>
      </c>
      <c r="C40" s="8" t="s">
        <v>465</v>
      </c>
      <c r="D40" s="388"/>
      <c r="E40" s="66"/>
      <c r="F40" s="388"/>
      <c r="G40" s="388"/>
      <c r="H40" s="66"/>
      <c r="I40" s="66"/>
      <c r="J40" s="66"/>
      <c r="K40" s="388"/>
      <c r="L40" s="66"/>
      <c r="M40" s="66"/>
      <c r="N40" s="66"/>
      <c r="O40" s="66"/>
      <c r="P40" s="66"/>
      <c r="Q40" s="66"/>
      <c r="R40" s="66"/>
    </row>
    <row r="41" spans="1:18" s="36" customFormat="1" ht="30" customHeight="1">
      <c r="A41" s="60" t="s">
        <v>483</v>
      </c>
      <c r="B41" s="61" t="s">
        <v>484</v>
      </c>
      <c r="C41" s="8"/>
      <c r="D41" s="388"/>
      <c r="E41" s="66"/>
      <c r="F41" s="388"/>
      <c r="G41" s="388"/>
      <c r="H41" s="66"/>
      <c r="I41" s="66"/>
      <c r="J41" s="66"/>
      <c r="K41" s="388"/>
      <c r="L41" s="66"/>
      <c r="M41" s="66"/>
      <c r="N41" s="66"/>
      <c r="O41" s="66"/>
      <c r="P41" s="66"/>
      <c r="Q41" s="66"/>
      <c r="R41" s="66"/>
    </row>
    <row r="42" spans="1:18" s="36" customFormat="1" ht="15" customHeight="1">
      <c r="A42" s="60"/>
      <c r="B42" s="70" t="s">
        <v>473</v>
      </c>
      <c r="C42" s="8" t="s">
        <v>138</v>
      </c>
      <c r="D42" s="337">
        <v>160</v>
      </c>
      <c r="E42" s="250">
        <v>160</v>
      </c>
      <c r="F42" s="337">
        <v>160</v>
      </c>
      <c r="G42" s="337">
        <v>160</v>
      </c>
      <c r="H42" s="250">
        <v>160</v>
      </c>
      <c r="I42" s="250"/>
      <c r="J42" s="250">
        <v>160</v>
      </c>
      <c r="K42" s="337">
        <v>160</v>
      </c>
      <c r="L42" s="250">
        <v>160</v>
      </c>
      <c r="M42" s="337">
        <v>160</v>
      </c>
      <c r="N42" s="337">
        <v>160</v>
      </c>
      <c r="O42" s="337">
        <v>160</v>
      </c>
      <c r="P42" s="337">
        <v>160</v>
      </c>
      <c r="Q42" s="337">
        <v>160</v>
      </c>
      <c r="R42" s="337">
        <v>160</v>
      </c>
    </row>
    <row r="43" spans="1:18" s="36" customFormat="1" ht="15" customHeight="1">
      <c r="A43" s="60"/>
      <c r="B43" s="70" t="s">
        <v>474</v>
      </c>
      <c r="C43" s="8" t="s">
        <v>465</v>
      </c>
      <c r="D43" s="250">
        <f>(D22+D25+D28+D31)*D42/100+1</f>
        <v>26926.404494404876</v>
      </c>
      <c r="E43" s="250">
        <f>(E22+E25+E28+E31)*E42/100+1</f>
        <v>27821.198796223995</v>
      </c>
      <c r="F43" s="250">
        <f t="shared" ref="F43" si="5">(F22+F25+F28+F31)*F42/100</f>
        <v>0</v>
      </c>
      <c r="G43" s="337">
        <v>33667.473014784002</v>
      </c>
      <c r="H43" s="250">
        <v>0</v>
      </c>
      <c r="I43" s="250"/>
      <c r="J43" s="250">
        <v>37276</v>
      </c>
      <c r="K43" s="337">
        <v>0</v>
      </c>
      <c r="L43" s="250">
        <v>45140</v>
      </c>
      <c r="M43" s="250">
        <v>48708</v>
      </c>
      <c r="N43" s="250">
        <v>47749</v>
      </c>
      <c r="O43" s="250">
        <v>49678</v>
      </c>
      <c r="P43" s="250">
        <v>51582</v>
      </c>
      <c r="Q43" s="250">
        <v>50976</v>
      </c>
      <c r="R43" s="250">
        <v>52189</v>
      </c>
    </row>
    <row r="44" spans="1:18" s="36" customFormat="1" ht="30" customHeight="1">
      <c r="A44" s="387" t="s">
        <v>27</v>
      </c>
      <c r="B44" s="386" t="s">
        <v>485</v>
      </c>
      <c r="C44" s="385" t="s">
        <v>465</v>
      </c>
      <c r="D44" s="384">
        <f>D22+D25+D28+D31+D43</f>
        <v>43754.782303407919</v>
      </c>
      <c r="E44" s="384">
        <f>E22+E25+E28+E31+E43</f>
        <v>45208.823043863988</v>
      </c>
      <c r="F44" s="384">
        <f t="shared" ref="F44" si="6">F22+F25+F28+F31+F43</f>
        <v>0</v>
      </c>
      <c r="G44" s="384">
        <v>54709.643649024001</v>
      </c>
      <c r="H44" s="384">
        <v>0</v>
      </c>
      <c r="I44" s="384"/>
      <c r="J44" s="384">
        <v>60573.705000000002</v>
      </c>
      <c r="K44" s="384">
        <v>0</v>
      </c>
      <c r="L44" s="384">
        <v>73352.600000000006</v>
      </c>
      <c r="M44" s="384">
        <v>79150.75</v>
      </c>
      <c r="N44" s="384">
        <v>77592.399999999994</v>
      </c>
      <c r="O44" s="384">
        <v>80727.05</v>
      </c>
      <c r="P44" s="384">
        <v>83820.925000000003</v>
      </c>
      <c r="Q44" s="384">
        <v>82835.75</v>
      </c>
      <c r="R44" s="384">
        <v>84807.1</v>
      </c>
    </row>
    <row r="45" spans="1:18" s="1368" customFormat="1" ht="30" customHeight="1">
      <c r="A45" s="1364" t="s">
        <v>95</v>
      </c>
      <c r="B45" s="1365" t="s">
        <v>905</v>
      </c>
      <c r="C45" s="1366" t="s">
        <v>465</v>
      </c>
      <c r="D45" s="1367">
        <f>(D44*D15*D54/1000)+D46+D47+D48+1</f>
        <v>152107.28666790237</v>
      </c>
      <c r="E45" s="1367">
        <f>(E44*E15*E54/1000)+E46+E47+E48+2</f>
        <v>135398.41741815995</v>
      </c>
      <c r="F45" s="1367">
        <f>(F44*F15*F54/1000)+F46+F47+F48</f>
        <v>0</v>
      </c>
      <c r="G45" s="1367">
        <v>175860.85799363462</v>
      </c>
      <c r="H45" s="1367">
        <v>0</v>
      </c>
      <c r="I45" s="1367"/>
      <c r="J45" s="1367">
        <v>192378.03290999998</v>
      </c>
      <c r="K45" s="1367">
        <v>0</v>
      </c>
      <c r="L45" s="1367">
        <v>229188.77104000002</v>
      </c>
      <c r="M45" s="1367">
        <v>252278.82513999997</v>
      </c>
      <c r="N45" s="1367">
        <v>121233.92847999999</v>
      </c>
      <c r="O45" s="1367">
        <v>131044.89666</v>
      </c>
      <c r="P45" s="1367">
        <v>267082.87482000003</v>
      </c>
      <c r="Q45" s="1367">
        <v>129374.58589999999</v>
      </c>
      <c r="R45" s="1367">
        <v>137708.28892000002</v>
      </c>
    </row>
    <row r="46" spans="1:18">
      <c r="A46" s="60" t="s">
        <v>898</v>
      </c>
      <c r="B46" s="61" t="s">
        <v>899</v>
      </c>
      <c r="C46" s="8" t="s">
        <v>892</v>
      </c>
      <c r="D46" s="250">
        <v>1220</v>
      </c>
      <c r="E46" s="250">
        <v>2214</v>
      </c>
      <c r="F46" s="250"/>
      <c r="G46" s="250">
        <v>3797</v>
      </c>
      <c r="H46" s="250"/>
      <c r="I46" s="250"/>
      <c r="J46" s="250">
        <v>4473</v>
      </c>
      <c r="K46" s="250"/>
      <c r="L46" s="250">
        <v>5432</v>
      </c>
      <c r="M46" s="337">
        <v>5808</v>
      </c>
      <c r="N46" s="337">
        <v>2904</v>
      </c>
      <c r="O46" s="337">
        <v>2904</v>
      </c>
      <c r="P46" s="337">
        <v>6069</v>
      </c>
      <c r="Q46" s="337">
        <v>3034.5</v>
      </c>
      <c r="R46" s="337">
        <v>3034.5</v>
      </c>
    </row>
    <row r="47" spans="1:18" ht="60.75" customHeight="1">
      <c r="A47" s="60" t="s">
        <v>900</v>
      </c>
      <c r="B47" s="61" t="s">
        <v>902</v>
      </c>
      <c r="C47" s="8" t="s">
        <v>892</v>
      </c>
      <c r="D47" s="250"/>
      <c r="E47" s="250"/>
      <c r="F47" s="250"/>
      <c r="G47" s="250"/>
      <c r="H47" s="250"/>
      <c r="I47" s="250"/>
      <c r="J47" s="250"/>
      <c r="K47" s="250"/>
      <c r="L47" s="250"/>
      <c r="M47" s="337"/>
      <c r="N47" s="337"/>
      <c r="O47" s="337"/>
      <c r="P47" s="337"/>
      <c r="Q47" s="337"/>
      <c r="R47" s="337"/>
    </row>
    <row r="48" spans="1:18">
      <c r="A48" s="60" t="s">
        <v>901</v>
      </c>
      <c r="B48" s="61" t="s">
        <v>348</v>
      </c>
      <c r="C48" s="8" t="s">
        <v>892</v>
      </c>
      <c r="D48" s="250">
        <f>D49+D50+D51+D52+D53</f>
        <v>0</v>
      </c>
      <c r="E48" s="250">
        <f t="shared" ref="E48:O48" si="7">E49+E50+E51+E52+E53</f>
        <v>2330</v>
      </c>
      <c r="F48" s="250">
        <f t="shared" si="7"/>
        <v>0</v>
      </c>
      <c r="G48" s="250">
        <v>4717</v>
      </c>
      <c r="H48" s="250">
        <v>0</v>
      </c>
      <c r="I48" s="250"/>
      <c r="J48" s="250">
        <v>0</v>
      </c>
      <c r="K48" s="250">
        <v>0</v>
      </c>
      <c r="L48" s="250">
        <v>0</v>
      </c>
      <c r="M48" s="250">
        <v>5030</v>
      </c>
      <c r="N48" s="250">
        <v>0</v>
      </c>
      <c r="O48" s="250">
        <v>5030</v>
      </c>
      <c r="P48" s="250">
        <v>5327</v>
      </c>
      <c r="Q48" s="250">
        <v>0</v>
      </c>
      <c r="R48" s="250">
        <v>5327</v>
      </c>
    </row>
    <row r="49" spans="1:18" ht="30">
      <c r="A49" s="60" t="s">
        <v>1024</v>
      </c>
      <c r="B49" s="61" t="s">
        <v>1023</v>
      </c>
      <c r="C49" s="8" t="s">
        <v>892</v>
      </c>
      <c r="D49" s="250"/>
      <c r="E49" s="337">
        <v>846</v>
      </c>
      <c r="F49" s="250"/>
      <c r="G49" s="337"/>
      <c r="H49" s="337"/>
      <c r="I49" s="337"/>
      <c r="J49" s="337"/>
      <c r="K49" s="337"/>
      <c r="L49" s="337"/>
      <c r="M49" s="337">
        <v>0</v>
      </c>
      <c r="N49" s="337"/>
      <c r="O49" s="337"/>
      <c r="P49" s="337">
        <v>0</v>
      </c>
      <c r="Q49" s="337"/>
      <c r="R49" s="337"/>
    </row>
    <row r="50" spans="1:18" ht="30">
      <c r="A50" s="60" t="s">
        <v>1022</v>
      </c>
      <c r="B50" s="61" t="s">
        <v>1021</v>
      </c>
      <c r="C50" s="8" t="s">
        <v>892</v>
      </c>
      <c r="D50" s="250"/>
      <c r="E50" s="337">
        <v>12</v>
      </c>
      <c r="F50" s="250"/>
      <c r="G50" s="337">
        <v>5</v>
      </c>
      <c r="H50" s="337"/>
      <c r="I50" s="337"/>
      <c r="J50" s="337"/>
      <c r="K50" s="337"/>
      <c r="L50" s="337"/>
      <c r="M50" s="337">
        <v>0</v>
      </c>
      <c r="N50" s="337"/>
      <c r="O50" s="337"/>
      <c r="P50" s="337">
        <v>0</v>
      </c>
      <c r="Q50" s="337"/>
      <c r="R50" s="337"/>
    </row>
    <row r="51" spans="1:18">
      <c r="A51" s="60" t="s">
        <v>1020</v>
      </c>
      <c r="B51" s="61" t="s">
        <v>1019</v>
      </c>
      <c r="C51" s="8" t="s">
        <v>892</v>
      </c>
      <c r="D51" s="250"/>
      <c r="E51" s="337"/>
      <c r="F51" s="250"/>
      <c r="G51" s="337"/>
      <c r="H51" s="337"/>
      <c r="I51" s="337"/>
      <c r="J51" s="337"/>
      <c r="K51" s="337"/>
      <c r="L51" s="337"/>
      <c r="M51" s="337">
        <v>0</v>
      </c>
      <c r="N51" s="337"/>
      <c r="O51" s="337"/>
      <c r="P51" s="337">
        <v>0</v>
      </c>
      <c r="Q51" s="337"/>
      <c r="R51" s="337"/>
    </row>
    <row r="52" spans="1:18" ht="30">
      <c r="A52" s="60" t="s">
        <v>1018</v>
      </c>
      <c r="B52" s="61" t="s">
        <v>934</v>
      </c>
      <c r="C52" s="8" t="s">
        <v>892</v>
      </c>
      <c r="D52" s="250"/>
      <c r="E52" s="337"/>
      <c r="F52" s="250"/>
      <c r="G52" s="337"/>
      <c r="H52" s="337"/>
      <c r="I52" s="337"/>
      <c r="J52" s="337"/>
      <c r="K52" s="337"/>
      <c r="L52" s="337"/>
      <c r="M52" s="337">
        <v>5030</v>
      </c>
      <c r="N52" s="337"/>
      <c r="O52" s="337">
        <v>5030</v>
      </c>
      <c r="P52" s="337">
        <v>5327</v>
      </c>
      <c r="Q52" s="337"/>
      <c r="R52" s="337">
        <v>5327</v>
      </c>
    </row>
    <row r="53" spans="1:18" ht="75">
      <c r="A53" s="60" t="s">
        <v>1071</v>
      </c>
      <c r="B53" s="61" t="s">
        <v>1558</v>
      </c>
      <c r="C53" s="8" t="s">
        <v>892</v>
      </c>
      <c r="D53" s="241"/>
      <c r="E53" s="241">
        <v>1472</v>
      </c>
      <c r="F53" s="241"/>
      <c r="G53" s="308">
        <v>4712</v>
      </c>
      <c r="H53" s="308"/>
      <c r="I53" s="308"/>
      <c r="J53" s="308"/>
      <c r="K53" s="308"/>
      <c r="L53" s="308"/>
      <c r="M53" s="308"/>
      <c r="N53" s="308"/>
      <c r="O53" s="308"/>
      <c r="P53" s="308"/>
      <c r="Q53" s="308"/>
      <c r="R53" s="308"/>
    </row>
    <row r="54" spans="1:18" ht="30">
      <c r="A54" s="60"/>
      <c r="B54" s="61" t="s">
        <v>903</v>
      </c>
      <c r="C54" s="8" t="s">
        <v>892</v>
      </c>
      <c r="D54" s="250">
        <v>12</v>
      </c>
      <c r="E54" s="250">
        <v>12</v>
      </c>
      <c r="F54" s="250">
        <v>12</v>
      </c>
      <c r="G54" s="250">
        <v>12</v>
      </c>
      <c r="H54" s="250">
        <v>12</v>
      </c>
      <c r="I54" s="250"/>
      <c r="J54" s="250">
        <v>12</v>
      </c>
      <c r="K54" s="250">
        <v>12</v>
      </c>
      <c r="L54" s="250">
        <v>12</v>
      </c>
      <c r="M54" s="250">
        <v>12</v>
      </c>
      <c r="N54" s="250">
        <v>6</v>
      </c>
      <c r="O54" s="250">
        <v>6</v>
      </c>
      <c r="P54" s="250">
        <v>12</v>
      </c>
      <c r="Q54" s="250">
        <v>6</v>
      </c>
      <c r="R54" s="250">
        <v>6</v>
      </c>
    </row>
    <row r="55" spans="1:18" s="341" customFormat="1" ht="28.5">
      <c r="A55" s="1362" t="s">
        <v>904</v>
      </c>
      <c r="B55" s="1363" t="s">
        <v>905</v>
      </c>
      <c r="C55" s="1354" t="s">
        <v>892</v>
      </c>
      <c r="D55" s="1013">
        <f t="shared" ref="D55:F55" si="8">(D44*D15*D54/1000)</f>
        <v>150886.28666790237</v>
      </c>
      <c r="E55" s="1013">
        <f t="shared" si="8"/>
        <v>130852.41741815994</v>
      </c>
      <c r="F55" s="1013">
        <f t="shared" si="8"/>
        <v>0</v>
      </c>
      <c r="G55" s="1013">
        <v>172062.85799363462</v>
      </c>
      <c r="H55" s="1013">
        <v>0</v>
      </c>
      <c r="I55" s="1013">
        <v>0</v>
      </c>
      <c r="J55" s="1013">
        <v>187905.03290999998</v>
      </c>
      <c r="K55" s="1013">
        <v>0</v>
      </c>
      <c r="L55" s="1013">
        <v>223756.77104000002</v>
      </c>
      <c r="M55" s="1013">
        <v>246470.82513999997</v>
      </c>
      <c r="N55" s="1013">
        <v>118329.92847999999</v>
      </c>
      <c r="O55" s="1013">
        <v>128140.89666</v>
      </c>
      <c r="P55" s="1013">
        <v>261013.87482000003</v>
      </c>
      <c r="Q55" s="1013">
        <v>126340.08589999999</v>
      </c>
      <c r="R55" s="1013">
        <v>134673.78892000002</v>
      </c>
    </row>
    <row r="56" spans="1:18" ht="30">
      <c r="A56" s="60" t="s">
        <v>906</v>
      </c>
      <c r="B56" s="61" t="s">
        <v>909</v>
      </c>
      <c r="C56" s="8" t="s">
        <v>892</v>
      </c>
      <c r="D56" s="250"/>
      <c r="E56" s="250"/>
      <c r="F56" s="250"/>
      <c r="G56" s="250"/>
      <c r="H56" s="250"/>
      <c r="I56" s="250"/>
      <c r="J56" s="250"/>
      <c r="K56" s="250"/>
      <c r="L56" s="250"/>
      <c r="M56" s="250"/>
      <c r="N56" s="250"/>
      <c r="O56" s="250"/>
      <c r="P56" s="250"/>
      <c r="Q56" s="250"/>
      <c r="R56" s="250"/>
    </row>
    <row r="57" spans="1:18">
      <c r="A57" s="60" t="s">
        <v>907</v>
      </c>
      <c r="B57" s="61" t="s">
        <v>1025</v>
      </c>
      <c r="C57" s="8" t="s">
        <v>892</v>
      </c>
      <c r="D57" s="250">
        <f>D55</f>
        <v>150886.28666790237</v>
      </c>
      <c r="E57" s="250">
        <f t="shared" ref="E57:J57" si="9">E55</f>
        <v>130852.41741815994</v>
      </c>
      <c r="F57" s="250">
        <f t="shared" si="9"/>
        <v>0</v>
      </c>
      <c r="G57" s="250">
        <v>172062.85799363462</v>
      </c>
      <c r="H57" s="250">
        <v>0</v>
      </c>
      <c r="I57" s="250"/>
      <c r="J57" s="250">
        <v>187905.03290999998</v>
      </c>
      <c r="K57" s="250">
        <v>0</v>
      </c>
      <c r="L57" s="250">
        <v>223756.77104000002</v>
      </c>
      <c r="M57" s="250">
        <v>246470.82513999997</v>
      </c>
      <c r="N57" s="250">
        <v>118329.92847999999</v>
      </c>
      <c r="O57" s="250">
        <v>128140.89666</v>
      </c>
      <c r="P57" s="250">
        <v>261013.87482000003</v>
      </c>
      <c r="Q57" s="250">
        <v>126340.08589999999</v>
      </c>
      <c r="R57" s="250">
        <v>134673.78892000002</v>
      </c>
    </row>
    <row r="58" spans="1:18">
      <c r="A58" s="60" t="s">
        <v>908</v>
      </c>
      <c r="B58" s="61" t="s">
        <v>911</v>
      </c>
      <c r="C58" s="8" t="s">
        <v>892</v>
      </c>
      <c r="D58" s="250"/>
      <c r="E58" s="250"/>
      <c r="F58" s="250"/>
      <c r="G58" s="250"/>
      <c r="H58" s="250"/>
      <c r="I58" s="250"/>
      <c r="J58" s="250"/>
      <c r="K58" s="250"/>
      <c r="L58" s="250"/>
      <c r="M58" s="250"/>
      <c r="N58" s="250"/>
      <c r="O58" s="250"/>
      <c r="P58" s="250"/>
      <c r="Q58" s="250"/>
      <c r="R58" s="250"/>
    </row>
    <row r="59" spans="1:18">
      <c r="A59" s="60" t="s">
        <v>912</v>
      </c>
      <c r="B59" s="61" t="s">
        <v>913</v>
      </c>
      <c r="C59" s="8" t="s">
        <v>892</v>
      </c>
      <c r="D59" s="250"/>
      <c r="E59" s="250"/>
      <c r="F59" s="250"/>
      <c r="G59" s="250"/>
      <c r="H59" s="250"/>
      <c r="I59" s="250"/>
      <c r="J59" s="250"/>
      <c r="K59" s="250"/>
      <c r="L59" s="250"/>
      <c r="M59" s="250"/>
      <c r="N59" s="250"/>
      <c r="O59" s="250"/>
      <c r="P59" s="250"/>
      <c r="Q59" s="250"/>
      <c r="R59" s="250"/>
    </row>
    <row r="60" spans="1:18" ht="30">
      <c r="A60" s="60" t="s">
        <v>97</v>
      </c>
      <c r="B60" s="61" t="s">
        <v>914</v>
      </c>
      <c r="C60" s="8" t="s">
        <v>846</v>
      </c>
      <c r="D60" s="250"/>
      <c r="E60" s="250"/>
      <c r="F60" s="250"/>
      <c r="G60" s="250"/>
      <c r="H60" s="250"/>
      <c r="I60" s="250"/>
      <c r="J60" s="250"/>
      <c r="K60" s="250"/>
      <c r="L60" s="250"/>
      <c r="M60" s="250"/>
      <c r="N60" s="250"/>
      <c r="O60" s="250"/>
      <c r="P60" s="250"/>
      <c r="Q60" s="250"/>
      <c r="R60" s="250"/>
    </row>
    <row r="61" spans="1:18">
      <c r="A61" s="60" t="s">
        <v>915</v>
      </c>
      <c r="B61" s="61" t="s">
        <v>458</v>
      </c>
      <c r="C61" s="8" t="s">
        <v>453</v>
      </c>
      <c r="D61" s="250"/>
      <c r="E61" s="250"/>
      <c r="F61" s="250"/>
      <c r="G61" s="250"/>
      <c r="H61" s="250"/>
      <c r="I61" s="250"/>
      <c r="J61" s="250"/>
      <c r="K61" s="250"/>
      <c r="L61" s="250"/>
      <c r="M61" s="250"/>
      <c r="N61" s="250"/>
      <c r="O61" s="250"/>
      <c r="P61" s="250"/>
      <c r="Q61" s="250"/>
      <c r="R61" s="250"/>
    </row>
    <row r="62" spans="1:18">
      <c r="A62" s="60" t="s">
        <v>916</v>
      </c>
      <c r="B62" s="253" t="s">
        <v>923</v>
      </c>
      <c r="C62" s="8" t="s">
        <v>453</v>
      </c>
      <c r="D62" s="250"/>
      <c r="E62" s="250"/>
      <c r="F62" s="250"/>
      <c r="G62" s="250"/>
      <c r="H62" s="250"/>
      <c r="I62" s="250"/>
      <c r="J62" s="250"/>
      <c r="K62" s="250"/>
      <c r="L62" s="250"/>
      <c r="M62" s="250"/>
      <c r="N62" s="250"/>
      <c r="O62" s="250"/>
      <c r="P62" s="250"/>
      <c r="Q62" s="250"/>
      <c r="R62" s="250"/>
    </row>
    <row r="63" spans="1:18">
      <c r="A63" s="60" t="s">
        <v>917</v>
      </c>
      <c r="B63" s="253" t="s">
        <v>924</v>
      </c>
      <c r="C63" s="8" t="s">
        <v>465</v>
      </c>
      <c r="D63" s="250"/>
      <c r="E63" s="250"/>
      <c r="F63" s="250"/>
      <c r="G63" s="250"/>
      <c r="H63" s="250"/>
      <c r="I63" s="250"/>
      <c r="J63" s="250"/>
      <c r="K63" s="250"/>
      <c r="L63" s="250"/>
      <c r="M63" s="250"/>
      <c r="N63" s="250"/>
      <c r="O63" s="250"/>
      <c r="P63" s="250"/>
      <c r="Q63" s="250"/>
      <c r="R63" s="250"/>
    </row>
    <row r="64" spans="1:18">
      <c r="A64" s="60" t="s">
        <v>918</v>
      </c>
      <c r="B64" s="61" t="s">
        <v>899</v>
      </c>
      <c r="C64" s="8" t="s">
        <v>892</v>
      </c>
      <c r="D64" s="250"/>
      <c r="E64" s="250"/>
      <c r="F64" s="250"/>
      <c r="G64" s="250"/>
      <c r="H64" s="250"/>
      <c r="I64" s="250"/>
      <c r="J64" s="250"/>
      <c r="K64" s="250"/>
      <c r="L64" s="250"/>
      <c r="M64" s="250"/>
      <c r="N64" s="250"/>
      <c r="O64" s="250"/>
      <c r="P64" s="250"/>
      <c r="Q64" s="250"/>
      <c r="R64" s="250"/>
    </row>
    <row r="65" spans="1:18" ht="18" customHeight="1">
      <c r="A65" s="60" t="s">
        <v>919</v>
      </c>
      <c r="B65" s="61" t="s">
        <v>922</v>
      </c>
      <c r="C65" s="8" t="s">
        <v>892</v>
      </c>
      <c r="D65" s="250"/>
      <c r="E65" s="250"/>
      <c r="F65" s="250"/>
      <c r="G65" s="250"/>
      <c r="H65" s="250"/>
      <c r="I65" s="250"/>
      <c r="J65" s="250"/>
      <c r="K65" s="250"/>
      <c r="L65" s="250"/>
      <c r="M65" s="250"/>
      <c r="N65" s="250"/>
      <c r="O65" s="250"/>
      <c r="P65" s="250"/>
      <c r="Q65" s="250"/>
      <c r="R65" s="250"/>
    </row>
    <row r="66" spans="1:18">
      <c r="A66" s="60" t="s">
        <v>920</v>
      </c>
      <c r="B66" s="61" t="s">
        <v>925</v>
      </c>
      <c r="C66" s="8" t="s">
        <v>892</v>
      </c>
      <c r="D66" s="250"/>
      <c r="E66" s="250"/>
      <c r="F66" s="250"/>
      <c r="G66" s="250"/>
      <c r="H66" s="250"/>
      <c r="I66" s="250"/>
      <c r="J66" s="250"/>
      <c r="K66" s="250"/>
      <c r="L66" s="250"/>
      <c r="M66" s="250"/>
      <c r="N66" s="250"/>
      <c r="O66" s="250"/>
      <c r="P66" s="250"/>
      <c r="Q66" s="250"/>
      <c r="R66" s="250"/>
    </row>
    <row r="67" spans="1:18" ht="30">
      <c r="A67" s="60" t="s">
        <v>921</v>
      </c>
      <c r="B67" s="61" t="s">
        <v>909</v>
      </c>
      <c r="C67" s="8" t="s">
        <v>892</v>
      </c>
      <c r="D67" s="250"/>
      <c r="E67" s="250"/>
      <c r="F67" s="250"/>
      <c r="G67" s="250"/>
      <c r="H67" s="250"/>
      <c r="I67" s="250"/>
      <c r="J67" s="250"/>
      <c r="K67" s="250"/>
      <c r="L67" s="250"/>
      <c r="M67" s="250"/>
      <c r="N67" s="250"/>
      <c r="O67" s="250"/>
      <c r="P67" s="250"/>
      <c r="Q67" s="250"/>
      <c r="R67" s="250"/>
    </row>
    <row r="68" spans="1:18" ht="30">
      <c r="A68" s="60" t="s">
        <v>926</v>
      </c>
      <c r="B68" s="61" t="s">
        <v>909</v>
      </c>
      <c r="C68" s="8" t="s">
        <v>892</v>
      </c>
      <c r="D68" s="250"/>
      <c r="E68" s="250"/>
      <c r="F68" s="250"/>
      <c r="G68" s="250"/>
      <c r="H68" s="250"/>
      <c r="I68" s="250"/>
      <c r="J68" s="250"/>
      <c r="K68" s="250"/>
      <c r="L68" s="250"/>
      <c r="M68" s="250"/>
      <c r="N68" s="250"/>
      <c r="O68" s="250"/>
      <c r="P68" s="250"/>
      <c r="Q68" s="250"/>
      <c r="R68" s="250"/>
    </row>
    <row r="69" spans="1:18">
      <c r="A69" s="60" t="s">
        <v>927</v>
      </c>
      <c r="B69" s="61" t="s">
        <v>910</v>
      </c>
      <c r="C69" s="8" t="s">
        <v>892</v>
      </c>
      <c r="D69" s="250"/>
      <c r="E69" s="250"/>
      <c r="F69" s="250"/>
      <c r="G69" s="250"/>
      <c r="H69" s="250"/>
      <c r="I69" s="250"/>
      <c r="J69" s="250"/>
      <c r="K69" s="250"/>
      <c r="L69" s="250"/>
      <c r="M69" s="250"/>
      <c r="N69" s="250"/>
      <c r="O69" s="250"/>
      <c r="P69" s="250"/>
      <c r="Q69" s="250"/>
      <c r="R69" s="250"/>
    </row>
    <row r="70" spans="1:18">
      <c r="A70" s="60" t="s">
        <v>928</v>
      </c>
      <c r="B70" s="61" t="s">
        <v>911</v>
      </c>
      <c r="C70" s="8" t="s">
        <v>892</v>
      </c>
      <c r="D70" s="250"/>
      <c r="E70" s="250"/>
      <c r="F70" s="250"/>
      <c r="G70" s="250"/>
      <c r="H70" s="250"/>
      <c r="I70" s="250"/>
      <c r="J70" s="250"/>
      <c r="K70" s="250"/>
      <c r="L70" s="250"/>
      <c r="M70" s="250"/>
      <c r="N70" s="250"/>
      <c r="O70" s="250"/>
      <c r="P70" s="250"/>
      <c r="Q70" s="250"/>
      <c r="R70" s="250"/>
    </row>
    <row r="71" spans="1:18">
      <c r="A71" s="60" t="s">
        <v>921</v>
      </c>
      <c r="B71" s="61" t="s">
        <v>913</v>
      </c>
      <c r="C71" s="8" t="s">
        <v>892</v>
      </c>
      <c r="D71" s="250"/>
      <c r="E71" s="250"/>
      <c r="F71" s="250"/>
      <c r="G71" s="250"/>
      <c r="H71" s="250"/>
      <c r="I71" s="250"/>
      <c r="J71" s="250"/>
      <c r="K71" s="250"/>
      <c r="L71" s="250"/>
      <c r="M71" s="250"/>
      <c r="N71" s="250"/>
      <c r="O71" s="250"/>
      <c r="P71" s="250"/>
      <c r="Q71" s="250"/>
      <c r="R71" s="250"/>
    </row>
    <row r="72" spans="1:18" ht="30">
      <c r="A72" s="60" t="s">
        <v>929</v>
      </c>
      <c r="B72" s="61" t="s">
        <v>930</v>
      </c>
      <c r="C72" s="8" t="s">
        <v>138</v>
      </c>
      <c r="D72" s="250"/>
      <c r="E72" s="250"/>
      <c r="F72" s="250"/>
      <c r="G72" s="250"/>
      <c r="H72" s="250"/>
      <c r="I72" s="250"/>
      <c r="J72" s="250"/>
      <c r="K72" s="250"/>
      <c r="L72" s="250"/>
      <c r="M72" s="250"/>
      <c r="N72" s="250"/>
      <c r="O72" s="250"/>
      <c r="P72" s="250"/>
      <c r="Q72" s="250"/>
      <c r="R72" s="250"/>
    </row>
    <row r="74" spans="1:18" ht="64.5" customHeight="1">
      <c r="A74" s="1963" t="s">
        <v>931</v>
      </c>
      <c r="B74" s="1963"/>
      <c r="C74" s="1963"/>
      <c r="D74" s="1963"/>
      <c r="E74" s="1963"/>
      <c r="F74" s="1963"/>
      <c r="G74" s="1963"/>
      <c r="H74" s="1963"/>
      <c r="I74" s="1963"/>
      <c r="J74" s="1963"/>
      <c r="K74" s="1963"/>
      <c r="L74" s="1963"/>
      <c r="M74" s="1963"/>
      <c r="N74" s="1963"/>
      <c r="O74" s="1963"/>
    </row>
    <row r="76" spans="1:18">
      <c r="A76" s="1" t="s">
        <v>88</v>
      </c>
    </row>
    <row r="77" spans="1:18" ht="51.75" customHeight="1">
      <c r="A77" s="1963" t="s">
        <v>932</v>
      </c>
      <c r="B77" s="1963"/>
      <c r="C77" s="1963"/>
      <c r="D77" s="1963"/>
      <c r="E77" s="1963"/>
      <c r="F77" s="1963"/>
      <c r="G77" s="1963"/>
      <c r="H77" s="1963"/>
      <c r="I77" s="1963"/>
      <c r="J77" s="1963"/>
      <c r="K77" s="1963"/>
      <c r="L77" s="1963"/>
      <c r="M77" s="1963"/>
      <c r="N77" s="1963"/>
      <c r="O77" s="1963"/>
    </row>
    <row r="78" spans="1:18" ht="69" customHeight="1">
      <c r="A78" s="1963" t="s">
        <v>933</v>
      </c>
      <c r="B78" s="1963"/>
      <c r="C78" s="1963"/>
      <c r="D78" s="1963"/>
      <c r="E78" s="1963"/>
      <c r="F78" s="1963"/>
      <c r="G78" s="1963"/>
      <c r="H78" s="1963"/>
      <c r="I78" s="1963"/>
      <c r="J78" s="1963"/>
      <c r="K78" s="1963"/>
      <c r="L78" s="1963"/>
      <c r="M78" s="1963"/>
      <c r="N78" s="1963"/>
      <c r="O78" s="1963"/>
    </row>
  </sheetData>
  <mergeCells count="4">
    <mergeCell ref="A3:O3"/>
    <mergeCell ref="A74:O74"/>
    <mergeCell ref="A77:O77"/>
    <mergeCell ref="A78:O78"/>
  </mergeCells>
  <pageMargins left="0.78740157480314965" right="0.31496062992125984" top="0.59055118110236227" bottom="0.23622047244094491" header="0.19685039370078741" footer="0.19685039370078741"/>
  <pageSetup paperSize="9" scale="50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99FF"/>
  </sheetPr>
  <dimension ref="A1:R78"/>
  <sheetViews>
    <sheetView view="pageBreakPreview" zoomScaleNormal="100" zoomScaleSheetLayoutView="100" workbookViewId="0">
      <pane xSplit="2" ySplit="5" topLeftCell="C6" activePane="bottomRight" state="frozen"/>
      <selection activeCell="T22" sqref="T22"/>
      <selection pane="topRight" activeCell="T22" sqref="T22"/>
      <selection pane="bottomLeft" activeCell="T22" sqref="T22"/>
      <selection pane="bottomRight" activeCell="T22" sqref="T22"/>
    </sheetView>
  </sheetViews>
  <sheetFormatPr defaultColWidth="2.85546875" defaultRowHeight="15"/>
  <cols>
    <col min="1" max="1" width="6.42578125" style="1" customWidth="1"/>
    <col min="2" max="2" width="36.42578125" style="1" customWidth="1"/>
    <col min="3" max="3" width="11.140625" style="21" customWidth="1"/>
    <col min="4" max="4" width="12.5703125" style="1" hidden="1" customWidth="1"/>
    <col min="5" max="5" width="11.85546875" style="1" hidden="1" customWidth="1"/>
    <col min="6" max="8" width="12.28515625" style="1" customWidth="1"/>
    <col min="9" max="9" width="12.28515625" style="1" hidden="1" customWidth="1"/>
    <col min="10" max="11" width="12.28515625" style="1" customWidth="1"/>
    <col min="12" max="12" width="16" style="1" customWidth="1"/>
    <col min="13" max="13" width="12.5703125" style="1" customWidth="1"/>
    <col min="14" max="14" width="12.7109375" style="1" customWidth="1"/>
    <col min="15" max="15" width="12.85546875" style="1" customWidth="1"/>
    <col min="16" max="16" width="12.28515625" style="1" customWidth="1"/>
    <col min="17" max="93" width="11.140625" style="1" customWidth="1"/>
    <col min="94" max="16384" width="2.85546875" style="1"/>
  </cols>
  <sheetData>
    <row r="1" spans="1:18" s="5" customFormat="1" ht="18" customHeight="1">
      <c r="A1" s="74" t="s">
        <v>1860</v>
      </c>
      <c r="C1" s="20"/>
      <c r="M1" s="6"/>
      <c r="N1" s="6"/>
      <c r="O1" s="6" t="s">
        <v>1060</v>
      </c>
      <c r="R1" s="6" t="s">
        <v>1060</v>
      </c>
    </row>
    <row r="2" spans="1:18" s="5" customFormat="1" ht="12.75" customHeight="1">
      <c r="A2" s="105" t="s">
        <v>1160</v>
      </c>
      <c r="C2" s="20"/>
    </row>
    <row r="3" spans="1:18" ht="18.75">
      <c r="A3" s="1877" t="s">
        <v>1173</v>
      </c>
      <c r="B3" s="1877"/>
      <c r="C3" s="1877"/>
      <c r="D3" s="1877"/>
      <c r="E3" s="1877"/>
      <c r="F3" s="1877"/>
      <c r="G3" s="1877"/>
      <c r="H3" s="1877"/>
      <c r="I3" s="1877"/>
      <c r="J3" s="1877"/>
      <c r="K3" s="1877"/>
      <c r="L3" s="1877"/>
      <c r="M3" s="1877"/>
      <c r="N3" s="1877"/>
      <c r="O3" s="1877"/>
    </row>
    <row r="4" spans="1:18" ht="12.75" customHeight="1"/>
    <row r="5" spans="1:18" s="3" customFormat="1" ht="69.75" customHeight="1">
      <c r="A5" s="542" t="s">
        <v>451</v>
      </c>
      <c r="B5" s="542" t="s">
        <v>1</v>
      </c>
      <c r="C5" s="542" t="s">
        <v>2</v>
      </c>
      <c r="D5" s="540" t="s">
        <v>1129</v>
      </c>
      <c r="E5" s="540" t="s">
        <v>1130</v>
      </c>
      <c r="F5" s="913" t="s">
        <v>1520</v>
      </c>
      <c r="G5" s="1284" t="s">
        <v>1695</v>
      </c>
      <c r="H5" s="1310" t="s">
        <v>1702</v>
      </c>
      <c r="I5" s="1661" t="s">
        <v>1882</v>
      </c>
      <c r="J5" s="1576" t="s">
        <v>1828</v>
      </c>
      <c r="K5" s="1661" t="s">
        <v>1842</v>
      </c>
      <c r="L5" s="1631" t="s">
        <v>1861</v>
      </c>
      <c r="M5" s="1631" t="s">
        <v>1862</v>
      </c>
      <c r="N5" s="1631" t="s">
        <v>763</v>
      </c>
      <c r="O5" s="1631" t="s">
        <v>764</v>
      </c>
      <c r="P5" s="1631" t="s">
        <v>1863</v>
      </c>
      <c r="Q5" s="1631" t="s">
        <v>763</v>
      </c>
      <c r="R5" s="1631" t="s">
        <v>764</v>
      </c>
    </row>
    <row r="6" spans="1:18" s="2" customFormat="1">
      <c r="A6" s="13">
        <v>1</v>
      </c>
      <c r="B6" s="13">
        <v>2</v>
      </c>
      <c r="C6" s="13">
        <v>3</v>
      </c>
      <c r="D6" s="13">
        <v>4</v>
      </c>
      <c r="E6" s="13">
        <v>5</v>
      </c>
      <c r="F6" s="13">
        <v>4</v>
      </c>
      <c r="G6" s="13">
        <v>5</v>
      </c>
      <c r="H6" s="13">
        <v>6</v>
      </c>
      <c r="I6" s="13"/>
      <c r="J6" s="13">
        <v>7</v>
      </c>
      <c r="K6" s="13">
        <v>8</v>
      </c>
      <c r="L6" s="13">
        <v>9</v>
      </c>
      <c r="M6" s="13">
        <v>10</v>
      </c>
      <c r="N6" s="13">
        <v>11</v>
      </c>
      <c r="O6" s="13">
        <v>12</v>
      </c>
      <c r="P6" s="13">
        <v>13</v>
      </c>
      <c r="Q6" s="13">
        <v>14</v>
      </c>
      <c r="R6" s="13">
        <v>15</v>
      </c>
    </row>
    <row r="7" spans="1:18" s="36" customFormat="1" ht="15" customHeight="1">
      <c r="A7" s="60" t="s">
        <v>4</v>
      </c>
      <c r="B7" s="61" t="s">
        <v>452</v>
      </c>
      <c r="C7" s="8" t="s">
        <v>453</v>
      </c>
      <c r="D7" s="391"/>
      <c r="E7" s="391"/>
      <c r="F7" s="391"/>
      <c r="G7" s="391"/>
      <c r="H7" s="391"/>
      <c r="I7" s="391"/>
      <c r="J7" s="391"/>
      <c r="K7" s="391"/>
      <c r="L7" s="391"/>
      <c r="M7" s="388"/>
      <c r="N7" s="388"/>
      <c r="O7" s="388"/>
      <c r="P7" s="388"/>
      <c r="Q7" s="388"/>
      <c r="R7" s="388"/>
    </row>
    <row r="8" spans="1:18" s="36" customFormat="1" ht="15" customHeight="1">
      <c r="A8" s="60" t="s">
        <v>5</v>
      </c>
      <c r="B8" s="61" t="s">
        <v>454</v>
      </c>
      <c r="C8" s="8" t="s">
        <v>453</v>
      </c>
      <c r="D8" s="391"/>
      <c r="E8" s="388">
        <v>28.4</v>
      </c>
      <c r="F8" s="391"/>
      <c r="G8" s="388">
        <v>28.4</v>
      </c>
      <c r="H8" s="388"/>
      <c r="I8" s="388"/>
      <c r="J8" s="388">
        <v>28.4</v>
      </c>
      <c r="K8" s="388"/>
      <c r="L8" s="388">
        <v>36.4</v>
      </c>
      <c r="M8" s="388">
        <v>36.4</v>
      </c>
      <c r="N8" s="388">
        <v>36.4</v>
      </c>
      <c r="O8" s="388">
        <v>36.4</v>
      </c>
      <c r="P8" s="388">
        <v>44.4</v>
      </c>
      <c r="Q8" s="388">
        <v>44.4</v>
      </c>
      <c r="R8" s="388">
        <v>44.4</v>
      </c>
    </row>
    <row r="9" spans="1:18" s="36" customFormat="1" ht="15" customHeight="1">
      <c r="A9" s="60"/>
      <c r="B9" s="61" t="s">
        <v>455</v>
      </c>
      <c r="C9" s="8" t="s">
        <v>453</v>
      </c>
      <c r="D9" s="388"/>
      <c r="E9" s="388"/>
      <c r="F9" s="388"/>
      <c r="G9" s="388"/>
      <c r="H9" s="388"/>
      <c r="I9" s="388"/>
      <c r="J9" s="388"/>
      <c r="K9" s="388"/>
      <c r="L9" s="388"/>
      <c r="M9" s="388"/>
      <c r="N9" s="388"/>
      <c r="O9" s="388"/>
      <c r="P9" s="388"/>
      <c r="Q9" s="388"/>
      <c r="R9" s="388"/>
    </row>
    <row r="10" spans="1:18" s="36" customFormat="1" ht="15" customHeight="1">
      <c r="A10" s="60" t="s">
        <v>11</v>
      </c>
      <c r="B10" s="61" t="s">
        <v>456</v>
      </c>
      <c r="C10" s="8" t="s">
        <v>453</v>
      </c>
      <c r="D10" s="388"/>
      <c r="E10" s="388">
        <f>E8-2</f>
        <v>26.4</v>
      </c>
      <c r="F10" s="388"/>
      <c r="G10" s="388">
        <v>26.4</v>
      </c>
      <c r="H10" s="388"/>
      <c r="I10" s="388"/>
      <c r="J10" s="388">
        <v>26.4</v>
      </c>
      <c r="K10" s="388"/>
      <c r="L10" s="388">
        <v>34.4</v>
      </c>
      <c r="M10" s="388">
        <v>34.4</v>
      </c>
      <c r="N10" s="388">
        <v>34.4</v>
      </c>
      <c r="O10" s="388">
        <v>34.4</v>
      </c>
      <c r="P10" s="388">
        <v>42.4</v>
      </c>
      <c r="Q10" s="388">
        <v>42.4</v>
      </c>
      <c r="R10" s="388">
        <v>42.4</v>
      </c>
    </row>
    <row r="11" spans="1:18" s="36" customFormat="1" ht="15" customHeight="1">
      <c r="A11" s="60"/>
      <c r="B11" s="61" t="s">
        <v>457</v>
      </c>
      <c r="C11" s="8" t="s">
        <v>453</v>
      </c>
      <c r="D11" s="388"/>
      <c r="E11" s="388"/>
      <c r="F11" s="388"/>
      <c r="G11" s="388"/>
      <c r="H11" s="388"/>
      <c r="I11" s="388"/>
      <c r="J11" s="388"/>
      <c r="K11" s="388"/>
      <c r="L11" s="388"/>
      <c r="M11" s="388"/>
      <c r="N11" s="388"/>
      <c r="O11" s="388"/>
      <c r="P11" s="388"/>
      <c r="Q11" s="388"/>
      <c r="R11" s="388"/>
    </row>
    <row r="12" spans="1:18" s="36" customFormat="1" ht="15" customHeight="1">
      <c r="A12" s="60" t="s">
        <v>445</v>
      </c>
      <c r="B12" s="61" t="s">
        <v>458</v>
      </c>
      <c r="C12" s="8" t="s">
        <v>453</v>
      </c>
      <c r="D12" s="388"/>
      <c r="E12" s="388">
        <v>22.2</v>
      </c>
      <c r="F12" s="388"/>
      <c r="G12" s="388">
        <v>26</v>
      </c>
      <c r="H12" s="388"/>
      <c r="I12" s="388"/>
      <c r="J12" s="388">
        <v>26</v>
      </c>
      <c r="K12" s="388"/>
      <c r="L12" s="388"/>
      <c r="M12" s="388"/>
      <c r="N12" s="388"/>
      <c r="O12" s="388"/>
      <c r="P12" s="388"/>
      <c r="Q12" s="388"/>
      <c r="R12" s="388"/>
    </row>
    <row r="13" spans="1:18" s="36" customFormat="1" ht="15" customHeight="1">
      <c r="A13" s="60"/>
      <c r="B13" s="61" t="s">
        <v>459</v>
      </c>
      <c r="C13" s="8" t="s">
        <v>138</v>
      </c>
      <c r="D13" s="391" t="e">
        <f>D12/D8*100</f>
        <v>#DIV/0!</v>
      </c>
      <c r="E13" s="609">
        <f>E12/E8*100</f>
        <v>78.169014084507054</v>
      </c>
      <c r="F13" s="391"/>
      <c r="G13" s="609">
        <v>91.549295774647888</v>
      </c>
      <c r="H13" s="609"/>
      <c r="I13" s="609"/>
      <c r="J13" s="609">
        <v>91.549295774647888</v>
      </c>
      <c r="K13" s="609"/>
      <c r="L13" s="609">
        <v>0</v>
      </c>
      <c r="M13" s="609">
        <v>0</v>
      </c>
      <c r="N13" s="609">
        <v>0</v>
      </c>
      <c r="O13" s="609">
        <v>0</v>
      </c>
      <c r="P13" s="609">
        <v>0</v>
      </c>
      <c r="Q13" s="609">
        <v>0</v>
      </c>
      <c r="R13" s="609">
        <v>0</v>
      </c>
    </row>
    <row r="14" spans="1:18" s="36" customFormat="1" ht="15" customHeight="1">
      <c r="A14" s="60" t="s">
        <v>446</v>
      </c>
      <c r="B14" s="61" t="s">
        <v>460</v>
      </c>
      <c r="C14" s="8" t="s">
        <v>453</v>
      </c>
      <c r="D14" s="388"/>
      <c r="E14" s="388"/>
      <c r="F14" s="388"/>
      <c r="G14" s="388"/>
      <c r="H14" s="388"/>
      <c r="I14" s="388"/>
      <c r="J14" s="388"/>
      <c r="K14" s="388"/>
      <c r="L14" s="388"/>
      <c r="M14" s="388"/>
      <c r="N14" s="388"/>
      <c r="O14" s="388"/>
      <c r="P14" s="388"/>
      <c r="Q14" s="388"/>
      <c r="R14" s="388"/>
    </row>
    <row r="15" spans="1:18" s="36" customFormat="1" ht="15" customHeight="1">
      <c r="A15" s="60" t="s">
        <v>461</v>
      </c>
      <c r="B15" s="61" t="s">
        <v>462</v>
      </c>
      <c r="C15" s="8" t="s">
        <v>453</v>
      </c>
      <c r="D15" s="391">
        <v>20.609709639953543</v>
      </c>
      <c r="E15" s="391">
        <v>22.2</v>
      </c>
      <c r="F15" s="391"/>
      <c r="G15" s="391">
        <v>28</v>
      </c>
      <c r="H15" s="391"/>
      <c r="I15" s="391"/>
      <c r="J15" s="391">
        <v>22.4</v>
      </c>
      <c r="K15" s="391"/>
      <c r="L15" s="391">
        <v>21.5</v>
      </c>
      <c r="M15" s="391">
        <v>21.5</v>
      </c>
      <c r="N15" s="391">
        <v>21.5</v>
      </c>
      <c r="O15" s="391">
        <v>21.5</v>
      </c>
      <c r="P15" s="391">
        <v>21.5</v>
      </c>
      <c r="Q15" s="391">
        <v>21.5</v>
      </c>
      <c r="R15" s="391">
        <v>21.5</v>
      </c>
    </row>
    <row r="16" spans="1:18" s="36" customFormat="1" ht="15" customHeight="1">
      <c r="A16" s="60" t="s">
        <v>23</v>
      </c>
      <c r="B16" s="61" t="s">
        <v>463</v>
      </c>
      <c r="C16" s="8"/>
      <c r="D16" s="388"/>
      <c r="E16" s="1023"/>
      <c r="F16" s="388"/>
      <c r="G16" s="388"/>
      <c r="H16" s="1023"/>
      <c r="I16" s="1023"/>
      <c r="J16" s="388"/>
      <c r="K16" s="388"/>
      <c r="L16" s="388"/>
      <c r="M16" s="388"/>
      <c r="N16" s="388"/>
      <c r="O16" s="388"/>
      <c r="P16" s="388"/>
      <c r="Q16" s="388"/>
      <c r="R16" s="388"/>
    </row>
    <row r="17" spans="1:18" s="36" customFormat="1" ht="15" customHeight="1">
      <c r="A17" s="60" t="s">
        <v>24</v>
      </c>
      <c r="B17" s="61" t="s">
        <v>464</v>
      </c>
      <c r="C17" s="8" t="s">
        <v>465</v>
      </c>
      <c r="D17" s="337">
        <v>4535.55</v>
      </c>
      <c r="E17" s="337">
        <v>4896</v>
      </c>
      <c r="F17" s="337"/>
      <c r="G17" s="337">
        <v>5628</v>
      </c>
      <c r="H17" s="337"/>
      <c r="I17" s="337"/>
      <c r="J17" s="337">
        <v>5778</v>
      </c>
      <c r="K17" s="337"/>
      <c r="L17" s="337">
        <v>6671</v>
      </c>
      <c r="M17" s="337">
        <v>7248</v>
      </c>
      <c r="N17" s="337">
        <v>7398</v>
      </c>
      <c r="O17" s="337">
        <v>7592</v>
      </c>
      <c r="P17" s="337">
        <v>7745</v>
      </c>
      <c r="Q17" s="337">
        <v>7899</v>
      </c>
      <c r="R17" s="337">
        <v>8105</v>
      </c>
    </row>
    <row r="18" spans="1:18" s="36" customFormat="1" ht="15" customHeight="1">
      <c r="A18" s="60" t="s">
        <v>24</v>
      </c>
      <c r="B18" s="61" t="s">
        <v>466</v>
      </c>
      <c r="C18" s="8"/>
      <c r="D18" s="389">
        <f t="shared" ref="D18" si="0">D19/D17</f>
        <v>1.071</v>
      </c>
      <c r="E18" s="389">
        <f>E19/E17</f>
        <v>1.0347222222222223</v>
      </c>
      <c r="F18" s="390"/>
      <c r="G18" s="389">
        <v>1.0266524520255864</v>
      </c>
      <c r="H18" s="389"/>
      <c r="I18" s="389"/>
      <c r="J18" s="389">
        <v>1.1545517480096918</v>
      </c>
      <c r="K18" s="389"/>
      <c r="L18" s="389">
        <v>1.0864937790436215</v>
      </c>
      <c r="M18" s="389">
        <v>1.0685706401766004</v>
      </c>
      <c r="N18" s="389">
        <v>1.0262233035955663</v>
      </c>
      <c r="O18" s="389">
        <v>1.0404373024236038</v>
      </c>
      <c r="P18" s="389">
        <v>1.0589412524209167</v>
      </c>
      <c r="Q18" s="389">
        <v>1.0260792505380427</v>
      </c>
      <c r="R18" s="389">
        <v>1.0238124614435533</v>
      </c>
    </row>
    <row r="19" spans="1:18" s="36" customFormat="1" ht="30" customHeight="1">
      <c r="A19" s="60" t="s">
        <v>139</v>
      </c>
      <c r="B19" s="61" t="s">
        <v>467</v>
      </c>
      <c r="C19" s="8" t="s">
        <v>465</v>
      </c>
      <c r="D19" s="337">
        <v>4857.5740500000002</v>
      </c>
      <c r="E19" s="337">
        <v>5066</v>
      </c>
      <c r="F19" s="337"/>
      <c r="G19" s="337">
        <v>5778</v>
      </c>
      <c r="H19" s="337"/>
      <c r="I19" s="337"/>
      <c r="J19" s="337">
        <v>6671</v>
      </c>
      <c r="K19" s="337"/>
      <c r="L19" s="337">
        <v>7248</v>
      </c>
      <c r="M19" s="337">
        <v>7745</v>
      </c>
      <c r="N19" s="337">
        <v>7592</v>
      </c>
      <c r="O19" s="337">
        <v>7899</v>
      </c>
      <c r="P19" s="337">
        <v>8201.5</v>
      </c>
      <c r="Q19" s="337">
        <v>8105</v>
      </c>
      <c r="R19" s="337">
        <v>8298</v>
      </c>
    </row>
    <row r="20" spans="1:18" s="36" customFormat="1" ht="15" customHeight="1">
      <c r="A20" s="60" t="s">
        <v>433</v>
      </c>
      <c r="B20" s="61" t="s">
        <v>468</v>
      </c>
      <c r="C20" s="8"/>
      <c r="D20" s="946">
        <v>7.3474152173912195</v>
      </c>
      <c r="E20" s="1024">
        <v>13.48</v>
      </c>
      <c r="F20" s="342"/>
      <c r="G20" s="342">
        <v>9.3420000000000005</v>
      </c>
      <c r="H20" s="1024"/>
      <c r="I20" s="1024"/>
      <c r="J20" s="342"/>
      <c r="K20" s="342"/>
      <c r="L20" s="342"/>
      <c r="M20" s="342"/>
      <c r="N20" s="342"/>
      <c r="O20" s="342"/>
      <c r="P20" s="342"/>
      <c r="Q20" s="342"/>
      <c r="R20" s="342"/>
    </row>
    <row r="21" spans="1:18" s="36" customFormat="1" ht="30" customHeight="1">
      <c r="A21" s="60" t="s">
        <v>433</v>
      </c>
      <c r="B21" s="61" t="s">
        <v>469</v>
      </c>
      <c r="C21" s="8"/>
      <c r="D21" s="946">
        <v>2.0904303695652362</v>
      </c>
      <c r="E21" s="342">
        <v>4.07</v>
      </c>
      <c r="F21" s="342"/>
      <c r="G21" s="342">
        <v>2.9239999999999999</v>
      </c>
      <c r="H21" s="342"/>
      <c r="I21" s="342"/>
      <c r="J21" s="389">
        <v>3.9910000000000001</v>
      </c>
      <c r="K21" s="342"/>
      <c r="L21" s="389">
        <v>3.9</v>
      </c>
      <c r="M21" s="389">
        <v>3.89</v>
      </c>
      <c r="N21" s="389">
        <v>3.89</v>
      </c>
      <c r="O21" s="389">
        <v>3.89</v>
      </c>
      <c r="P21" s="389">
        <v>3.89</v>
      </c>
      <c r="Q21" s="389">
        <v>3.89</v>
      </c>
      <c r="R21" s="389">
        <v>3.89</v>
      </c>
    </row>
    <row r="22" spans="1:18" s="36" customFormat="1" ht="15" customHeight="1">
      <c r="A22" s="60" t="s">
        <v>433</v>
      </c>
      <c r="B22" s="61" t="s">
        <v>470</v>
      </c>
      <c r="C22" s="8" t="s">
        <v>465</v>
      </c>
      <c r="D22" s="337">
        <f>D19*D21</f>
        <v>10154.420316532001</v>
      </c>
      <c r="E22" s="337">
        <f>(E19*E21)+4</f>
        <v>20622.620000000003</v>
      </c>
      <c r="F22" s="337">
        <f t="shared" ref="F22" si="1">F19*F21</f>
        <v>0</v>
      </c>
      <c r="G22" s="337">
        <v>16894.871999999999</v>
      </c>
      <c r="H22" s="337">
        <v>0</v>
      </c>
      <c r="I22" s="337"/>
      <c r="J22" s="337">
        <v>26623.960999999999</v>
      </c>
      <c r="K22" s="337">
        <v>0</v>
      </c>
      <c r="L22" s="337">
        <v>28267.200000000001</v>
      </c>
      <c r="M22" s="337">
        <v>30128.05</v>
      </c>
      <c r="N22" s="337">
        <v>29532.880000000001</v>
      </c>
      <c r="O22" s="337">
        <v>30727.11</v>
      </c>
      <c r="P22" s="337">
        <v>31903.835000000003</v>
      </c>
      <c r="Q22" s="337">
        <v>31528.45</v>
      </c>
      <c r="R22" s="337">
        <v>32279.22</v>
      </c>
    </row>
    <row r="23" spans="1:18" s="36" customFormat="1" ht="30" customHeight="1">
      <c r="A23" s="60" t="s">
        <v>471</v>
      </c>
      <c r="B23" s="61" t="s">
        <v>472</v>
      </c>
      <c r="C23" s="8"/>
      <c r="D23" s="388"/>
      <c r="E23" s="388"/>
      <c r="F23" s="388"/>
      <c r="G23" s="388"/>
      <c r="H23" s="388"/>
      <c r="I23" s="388"/>
      <c r="J23" s="388"/>
      <c r="K23" s="388"/>
      <c r="L23" s="388"/>
      <c r="M23" s="388"/>
      <c r="N23" s="388"/>
      <c r="O23" s="388"/>
      <c r="P23" s="388"/>
      <c r="Q23" s="388"/>
      <c r="R23" s="388"/>
    </row>
    <row r="24" spans="1:18" s="36" customFormat="1" ht="15" customHeight="1">
      <c r="A24" s="60"/>
      <c r="B24" s="70" t="s">
        <v>473</v>
      </c>
      <c r="C24" s="8" t="s">
        <v>138</v>
      </c>
      <c r="D24" s="946">
        <v>9.9619999999999997</v>
      </c>
      <c r="E24" s="946">
        <v>7.5</v>
      </c>
      <c r="F24" s="946"/>
      <c r="G24" s="946">
        <v>6.5</v>
      </c>
      <c r="H24" s="946"/>
      <c r="I24" s="946"/>
      <c r="J24" s="342">
        <v>7</v>
      </c>
      <c r="K24" s="946"/>
      <c r="L24" s="342">
        <v>4</v>
      </c>
      <c r="M24" s="342">
        <v>4</v>
      </c>
      <c r="N24" s="342">
        <v>4</v>
      </c>
      <c r="O24" s="342">
        <v>4</v>
      </c>
      <c r="P24" s="342">
        <v>4</v>
      </c>
      <c r="Q24" s="342">
        <v>4</v>
      </c>
      <c r="R24" s="342">
        <v>4</v>
      </c>
    </row>
    <row r="25" spans="1:18" s="36" customFormat="1" ht="15" customHeight="1">
      <c r="A25" s="60"/>
      <c r="B25" s="70" t="s">
        <v>474</v>
      </c>
      <c r="C25" s="8" t="s">
        <v>465</v>
      </c>
      <c r="D25" s="337">
        <f>(D24*D22)/100</f>
        <v>1011.583351932918</v>
      </c>
      <c r="E25" s="337">
        <f>(E24*E22)/100</f>
        <v>1546.6965000000002</v>
      </c>
      <c r="F25" s="337">
        <f t="shared" ref="F25" si="2">(F24*F22)/100</f>
        <v>0</v>
      </c>
      <c r="G25" s="337">
        <v>1098.1666799999998</v>
      </c>
      <c r="H25" s="337">
        <v>0</v>
      </c>
      <c r="I25" s="337"/>
      <c r="J25" s="337">
        <v>1864</v>
      </c>
      <c r="K25" s="337">
        <v>0</v>
      </c>
      <c r="L25" s="337">
        <v>1131</v>
      </c>
      <c r="M25" s="337">
        <v>1205</v>
      </c>
      <c r="N25" s="337">
        <v>1181</v>
      </c>
      <c r="O25" s="337">
        <v>1229</v>
      </c>
      <c r="P25" s="337">
        <v>1276</v>
      </c>
      <c r="Q25" s="337">
        <v>1261</v>
      </c>
      <c r="R25" s="337">
        <v>1291</v>
      </c>
    </row>
    <row r="26" spans="1:18" s="36" customFormat="1" ht="15" customHeight="1">
      <c r="A26" s="60" t="s">
        <v>475</v>
      </c>
      <c r="B26" s="61" t="s">
        <v>476</v>
      </c>
      <c r="C26" s="8"/>
      <c r="D26" s="337"/>
      <c r="E26" s="337"/>
      <c r="F26" s="337"/>
      <c r="G26" s="337"/>
      <c r="H26" s="337"/>
      <c r="I26" s="337"/>
      <c r="J26" s="337"/>
      <c r="K26" s="337"/>
      <c r="L26" s="337"/>
      <c r="M26" s="337"/>
      <c r="N26" s="337"/>
      <c r="O26" s="337"/>
      <c r="P26" s="337"/>
      <c r="Q26" s="337"/>
      <c r="R26" s="337"/>
    </row>
    <row r="27" spans="1:18" s="36" customFormat="1" ht="15" customHeight="1">
      <c r="A27" s="60"/>
      <c r="B27" s="70" t="s">
        <v>473</v>
      </c>
      <c r="C27" s="8" t="s">
        <v>138</v>
      </c>
      <c r="D27" s="337">
        <v>50</v>
      </c>
      <c r="E27" s="337">
        <v>41.1</v>
      </c>
      <c r="F27" s="337"/>
      <c r="G27" s="946">
        <v>48.43</v>
      </c>
      <c r="H27" s="337"/>
      <c r="I27" s="337"/>
      <c r="J27" s="342">
        <v>45</v>
      </c>
      <c r="K27" s="946"/>
      <c r="L27" s="342">
        <v>45</v>
      </c>
      <c r="M27" s="342">
        <v>50</v>
      </c>
      <c r="N27" s="342">
        <v>50</v>
      </c>
      <c r="O27" s="342">
        <v>50</v>
      </c>
      <c r="P27" s="342">
        <v>50</v>
      </c>
      <c r="Q27" s="342">
        <v>50</v>
      </c>
      <c r="R27" s="342">
        <v>50</v>
      </c>
    </row>
    <row r="28" spans="1:18" s="36" customFormat="1" ht="15" customHeight="1">
      <c r="A28" s="60"/>
      <c r="B28" s="70" t="s">
        <v>474</v>
      </c>
      <c r="C28" s="8" t="s">
        <v>465</v>
      </c>
      <c r="D28" s="337">
        <f>(D22+D25)*D27/100</f>
        <v>5583.0018342324602</v>
      </c>
      <c r="E28" s="337">
        <f>(E22+E25)*E27/100</f>
        <v>9111.5890815000021</v>
      </c>
      <c r="F28" s="337">
        <f t="shared" ref="F28" si="3">(F22+F25)*F27/100</f>
        <v>0</v>
      </c>
      <c r="G28" s="337">
        <v>8714.0286327239992</v>
      </c>
      <c r="H28" s="337">
        <v>0</v>
      </c>
      <c r="I28" s="337"/>
      <c r="J28" s="337">
        <v>12820</v>
      </c>
      <c r="K28" s="337">
        <v>0</v>
      </c>
      <c r="L28" s="337">
        <v>13229</v>
      </c>
      <c r="M28" s="337">
        <v>15667</v>
      </c>
      <c r="N28" s="337">
        <v>15357</v>
      </c>
      <c r="O28" s="337">
        <v>15978</v>
      </c>
      <c r="P28" s="337">
        <v>16590</v>
      </c>
      <c r="Q28" s="337">
        <v>16395</v>
      </c>
      <c r="R28" s="337">
        <v>16785</v>
      </c>
    </row>
    <row r="29" spans="1:18" s="36" customFormat="1" ht="15" customHeight="1">
      <c r="A29" s="60" t="s">
        <v>477</v>
      </c>
      <c r="B29" s="61" t="s">
        <v>478</v>
      </c>
      <c r="C29" s="8"/>
      <c r="D29" s="337"/>
      <c r="E29" s="337"/>
      <c r="F29" s="337"/>
      <c r="G29" s="337"/>
      <c r="H29" s="337"/>
      <c r="I29" s="337"/>
      <c r="J29" s="337"/>
      <c r="K29" s="337"/>
      <c r="L29" s="337"/>
      <c r="M29" s="337"/>
      <c r="N29" s="337"/>
      <c r="O29" s="337"/>
      <c r="P29" s="337"/>
      <c r="Q29" s="337"/>
      <c r="R29" s="337"/>
    </row>
    <row r="30" spans="1:18" s="36" customFormat="1" ht="15" customHeight="1">
      <c r="A30" s="60"/>
      <c r="B30" s="70" t="s">
        <v>473</v>
      </c>
      <c r="C30" s="8" t="s">
        <v>138</v>
      </c>
      <c r="D30" s="946">
        <v>7.5999999999999988</v>
      </c>
      <c r="E30" s="337">
        <v>7.5</v>
      </c>
      <c r="F30" s="337"/>
      <c r="G30" s="946">
        <v>6.8</v>
      </c>
      <c r="H30" s="337"/>
      <c r="I30" s="337"/>
      <c r="J30" s="342">
        <v>8.4</v>
      </c>
      <c r="K30" s="946"/>
      <c r="L30" s="342">
        <v>8.4</v>
      </c>
      <c r="M30" s="342">
        <v>8.5</v>
      </c>
      <c r="N30" s="342">
        <v>8.5</v>
      </c>
      <c r="O30" s="342">
        <v>8.5</v>
      </c>
      <c r="P30" s="342">
        <v>8.5</v>
      </c>
      <c r="Q30" s="342">
        <v>8.5</v>
      </c>
      <c r="R30" s="342">
        <v>8.5</v>
      </c>
    </row>
    <row r="31" spans="1:18" s="36" customFormat="1" ht="15" customHeight="1">
      <c r="A31" s="60"/>
      <c r="B31" s="70" t="s">
        <v>474</v>
      </c>
      <c r="C31" s="8" t="s">
        <v>465</v>
      </c>
      <c r="D31" s="337">
        <f>(D22+D25)*D30/100</f>
        <v>848.6162788033339</v>
      </c>
      <c r="E31" s="337">
        <f>(E22+E25)*E30/100</f>
        <v>1662.6987375000003</v>
      </c>
      <c r="F31" s="337">
        <f t="shared" ref="F31" si="4">(F22+F25)*F30/100</f>
        <v>0</v>
      </c>
      <c r="G31" s="337">
        <v>1223.5266302399998</v>
      </c>
      <c r="H31" s="337">
        <v>0</v>
      </c>
      <c r="I31" s="337"/>
      <c r="J31" s="337">
        <v>2393</v>
      </c>
      <c r="K31" s="337">
        <v>0</v>
      </c>
      <c r="L31" s="337">
        <v>2469</v>
      </c>
      <c r="M31" s="337">
        <v>2663</v>
      </c>
      <c r="N31" s="337">
        <v>2611</v>
      </c>
      <c r="O31" s="337">
        <v>2716</v>
      </c>
      <c r="P31" s="337">
        <v>2820</v>
      </c>
      <c r="Q31" s="337">
        <v>2787</v>
      </c>
      <c r="R31" s="337">
        <v>2853</v>
      </c>
    </row>
    <row r="32" spans="1:18" s="36" customFormat="1" ht="15" customHeight="1">
      <c r="A32" s="60" t="s">
        <v>479</v>
      </c>
      <c r="B32" s="61" t="s">
        <v>480</v>
      </c>
      <c r="C32" s="8"/>
      <c r="D32" s="337"/>
      <c r="E32" s="337"/>
      <c r="F32" s="337"/>
      <c r="G32" s="337"/>
      <c r="H32" s="337"/>
      <c r="I32" s="337"/>
      <c r="J32" s="337"/>
      <c r="K32" s="337"/>
      <c r="L32" s="337"/>
      <c r="M32" s="337"/>
      <c r="N32" s="337"/>
      <c r="O32" s="337"/>
      <c r="P32" s="337"/>
      <c r="Q32" s="337"/>
      <c r="R32" s="337"/>
    </row>
    <row r="33" spans="1:18" s="36" customFormat="1" ht="15" customHeight="1">
      <c r="A33" s="60"/>
      <c r="B33" s="70" t="s">
        <v>473</v>
      </c>
      <c r="C33" s="8" t="s">
        <v>138</v>
      </c>
      <c r="D33" s="337">
        <v>0</v>
      </c>
      <c r="E33" s="337">
        <v>0</v>
      </c>
      <c r="F33" s="337">
        <v>0</v>
      </c>
      <c r="G33" s="337">
        <v>0</v>
      </c>
      <c r="H33" s="337">
        <v>0</v>
      </c>
      <c r="I33" s="337"/>
      <c r="J33" s="337">
        <v>0</v>
      </c>
      <c r="K33" s="337">
        <v>0</v>
      </c>
      <c r="L33" s="337"/>
      <c r="M33" s="337">
        <v>0</v>
      </c>
      <c r="N33" s="337">
        <v>0</v>
      </c>
      <c r="O33" s="337">
        <v>0</v>
      </c>
      <c r="P33" s="337">
        <v>0</v>
      </c>
      <c r="Q33" s="337">
        <v>0</v>
      </c>
      <c r="R33" s="337">
        <v>0</v>
      </c>
    </row>
    <row r="34" spans="1:18" s="36" customFormat="1" ht="15" customHeight="1">
      <c r="A34" s="60"/>
      <c r="B34" s="70" t="s">
        <v>474</v>
      </c>
      <c r="C34" s="8" t="s">
        <v>465</v>
      </c>
      <c r="D34" s="337">
        <v>0</v>
      </c>
      <c r="E34" s="337">
        <v>0</v>
      </c>
      <c r="F34" s="337">
        <v>0</v>
      </c>
      <c r="G34" s="337">
        <v>0</v>
      </c>
      <c r="H34" s="337">
        <v>0</v>
      </c>
      <c r="I34" s="337"/>
      <c r="J34" s="337">
        <v>0</v>
      </c>
      <c r="K34" s="337">
        <v>0</v>
      </c>
      <c r="L34" s="337">
        <v>0</v>
      </c>
      <c r="M34" s="337">
        <v>0</v>
      </c>
      <c r="N34" s="337">
        <v>0</v>
      </c>
      <c r="O34" s="337">
        <v>0</v>
      </c>
      <c r="P34" s="337">
        <v>0</v>
      </c>
      <c r="Q34" s="337">
        <v>0</v>
      </c>
      <c r="R34" s="337">
        <v>0</v>
      </c>
    </row>
    <row r="35" spans="1:18" s="36" customFormat="1" hidden="1">
      <c r="A35" s="60" t="s">
        <v>481</v>
      </c>
      <c r="B35" s="61"/>
      <c r="C35" s="8"/>
      <c r="D35" s="337"/>
      <c r="E35" s="337"/>
      <c r="F35" s="337"/>
      <c r="G35" s="337"/>
      <c r="H35" s="337"/>
      <c r="I35" s="337"/>
      <c r="J35" s="337"/>
      <c r="K35" s="337"/>
      <c r="L35" s="337"/>
      <c r="M35" s="337"/>
      <c r="N35" s="337"/>
      <c r="O35" s="337"/>
      <c r="P35" s="337"/>
      <c r="Q35" s="337"/>
      <c r="R35" s="337"/>
    </row>
    <row r="36" spans="1:18" s="36" customFormat="1" ht="15" hidden="1" customHeight="1">
      <c r="A36" s="60"/>
      <c r="B36" s="70" t="s">
        <v>473</v>
      </c>
      <c r="C36" s="8" t="s">
        <v>138</v>
      </c>
      <c r="D36" s="388"/>
      <c r="E36" s="388"/>
      <c r="F36" s="388"/>
      <c r="G36" s="388"/>
      <c r="H36" s="388"/>
      <c r="I36" s="388"/>
      <c r="J36" s="388"/>
      <c r="K36" s="388"/>
      <c r="L36" s="388"/>
      <c r="M36" s="388"/>
      <c r="N36" s="388"/>
      <c r="O36" s="388"/>
      <c r="P36" s="388"/>
      <c r="Q36" s="388"/>
      <c r="R36" s="388"/>
    </row>
    <row r="37" spans="1:18" s="36" customFormat="1" ht="15" hidden="1" customHeight="1">
      <c r="A37" s="60"/>
      <c r="B37" s="70" t="s">
        <v>474</v>
      </c>
      <c r="C37" s="8" t="s">
        <v>465</v>
      </c>
      <c r="D37" s="388"/>
      <c r="E37" s="388"/>
      <c r="F37" s="388"/>
      <c r="G37" s="388"/>
      <c r="H37" s="388"/>
      <c r="I37" s="388"/>
      <c r="J37" s="388"/>
      <c r="K37" s="388"/>
      <c r="L37" s="388"/>
      <c r="M37" s="388"/>
      <c r="N37" s="388"/>
      <c r="O37" s="388"/>
      <c r="P37" s="388"/>
      <c r="Q37" s="388"/>
      <c r="R37" s="388"/>
    </row>
    <row r="38" spans="1:18" s="36" customFormat="1" hidden="1">
      <c r="A38" s="60" t="s">
        <v>482</v>
      </c>
      <c r="B38" s="61"/>
      <c r="C38" s="8"/>
      <c r="D38" s="388"/>
      <c r="E38" s="388"/>
      <c r="F38" s="388"/>
      <c r="G38" s="388"/>
      <c r="H38" s="388"/>
      <c r="I38" s="388"/>
      <c r="J38" s="388"/>
      <c r="K38" s="388"/>
      <c r="L38" s="388"/>
      <c r="M38" s="388"/>
      <c r="N38" s="388"/>
      <c r="O38" s="388"/>
      <c r="P38" s="388"/>
      <c r="Q38" s="388"/>
      <c r="R38" s="388"/>
    </row>
    <row r="39" spans="1:18" s="36" customFormat="1" ht="15" hidden="1" customHeight="1">
      <c r="A39" s="60"/>
      <c r="B39" s="70" t="s">
        <v>473</v>
      </c>
      <c r="C39" s="8" t="s">
        <v>138</v>
      </c>
      <c r="D39" s="388"/>
      <c r="E39" s="388"/>
      <c r="F39" s="388"/>
      <c r="G39" s="388"/>
      <c r="H39" s="388"/>
      <c r="I39" s="388"/>
      <c r="J39" s="388"/>
      <c r="K39" s="388"/>
      <c r="L39" s="388"/>
      <c r="M39" s="388"/>
      <c r="N39" s="388"/>
      <c r="O39" s="388"/>
      <c r="P39" s="388"/>
      <c r="Q39" s="388"/>
      <c r="R39" s="388"/>
    </row>
    <row r="40" spans="1:18" s="36" customFormat="1" ht="15" hidden="1" customHeight="1">
      <c r="A40" s="60"/>
      <c r="B40" s="70" t="s">
        <v>474</v>
      </c>
      <c r="C40" s="8" t="s">
        <v>465</v>
      </c>
      <c r="D40" s="388"/>
      <c r="E40" s="388"/>
      <c r="F40" s="388"/>
      <c r="G40" s="388"/>
      <c r="H40" s="388"/>
      <c r="I40" s="388"/>
      <c r="J40" s="388"/>
      <c r="K40" s="388"/>
      <c r="L40" s="388"/>
      <c r="M40" s="388"/>
      <c r="N40" s="388"/>
      <c r="O40" s="388"/>
      <c r="P40" s="388"/>
      <c r="Q40" s="388"/>
      <c r="R40" s="388"/>
    </row>
    <row r="41" spans="1:18" s="36" customFormat="1" ht="30" customHeight="1">
      <c r="A41" s="60" t="s">
        <v>483</v>
      </c>
      <c r="B41" s="61" t="s">
        <v>484</v>
      </c>
      <c r="C41" s="8"/>
      <c r="D41" s="388"/>
      <c r="E41" s="388"/>
      <c r="F41" s="388"/>
      <c r="G41" s="388"/>
      <c r="H41" s="388"/>
      <c r="I41" s="388"/>
      <c r="J41" s="388"/>
      <c r="K41" s="388"/>
      <c r="L41" s="388"/>
      <c r="M41" s="388"/>
      <c r="N41" s="388"/>
      <c r="O41" s="388"/>
      <c r="P41" s="388"/>
      <c r="Q41" s="388"/>
      <c r="R41" s="388"/>
    </row>
    <row r="42" spans="1:18" s="36" customFormat="1" ht="15" customHeight="1">
      <c r="A42" s="60"/>
      <c r="B42" s="70" t="s">
        <v>473</v>
      </c>
      <c r="C42" s="8" t="s">
        <v>138</v>
      </c>
      <c r="D42" s="337">
        <v>160</v>
      </c>
      <c r="E42" s="337">
        <v>160</v>
      </c>
      <c r="F42" s="337">
        <v>160</v>
      </c>
      <c r="G42" s="337">
        <v>160</v>
      </c>
      <c r="H42" s="337">
        <v>160</v>
      </c>
      <c r="I42" s="337"/>
      <c r="J42" s="337">
        <v>160</v>
      </c>
      <c r="K42" s="337">
        <v>160</v>
      </c>
      <c r="L42" s="337">
        <v>160</v>
      </c>
      <c r="M42" s="337">
        <v>160</v>
      </c>
      <c r="N42" s="337">
        <v>160</v>
      </c>
      <c r="O42" s="337">
        <v>160</v>
      </c>
      <c r="P42" s="337">
        <v>160</v>
      </c>
      <c r="Q42" s="337">
        <v>160</v>
      </c>
      <c r="R42" s="337">
        <v>160</v>
      </c>
    </row>
    <row r="43" spans="1:18" s="36" customFormat="1" ht="15" customHeight="1">
      <c r="A43" s="60"/>
      <c r="B43" s="70" t="s">
        <v>474</v>
      </c>
      <c r="C43" s="8" t="s">
        <v>465</v>
      </c>
      <c r="D43" s="250">
        <f>(D22+D25+D28+D31)*D42/100+1</f>
        <v>28157.194850401138</v>
      </c>
      <c r="E43" s="250">
        <f>(E22+E25+E28+E31)*E42/100+2</f>
        <v>52711.766910400009</v>
      </c>
      <c r="F43" s="250">
        <f t="shared" ref="F43" si="5">(F22+F25+F28+F31)*F42/100</f>
        <v>0</v>
      </c>
      <c r="G43" s="337">
        <v>44688.950308742395</v>
      </c>
      <c r="H43" s="250">
        <v>0</v>
      </c>
      <c r="I43" s="250"/>
      <c r="J43" s="250">
        <v>69922</v>
      </c>
      <c r="K43" s="337">
        <v>0</v>
      </c>
      <c r="L43" s="250">
        <v>72154</v>
      </c>
      <c r="M43" s="250">
        <v>79461</v>
      </c>
      <c r="N43" s="250">
        <v>77891</v>
      </c>
      <c r="O43" s="250">
        <v>81040</v>
      </c>
      <c r="P43" s="250">
        <v>84144</v>
      </c>
      <c r="Q43" s="250">
        <v>83154</v>
      </c>
      <c r="R43" s="250">
        <v>85133</v>
      </c>
    </row>
    <row r="44" spans="1:18" s="36" customFormat="1" ht="30" customHeight="1">
      <c r="A44" s="387" t="s">
        <v>27</v>
      </c>
      <c r="B44" s="386" t="s">
        <v>485</v>
      </c>
      <c r="C44" s="385" t="s">
        <v>465</v>
      </c>
      <c r="D44" s="384">
        <f>D22+D25+D28+D31+D43</f>
        <v>45754.816631901849</v>
      </c>
      <c r="E44" s="384">
        <f>E22+E25+E28+E31+E43+2</f>
        <v>85657.371229400014</v>
      </c>
      <c r="F44" s="384">
        <f t="shared" ref="F44" si="6">F22+F25+F28+F31+F43</f>
        <v>0</v>
      </c>
      <c r="G44" s="384">
        <v>72619.544251706393</v>
      </c>
      <c r="H44" s="384">
        <v>0</v>
      </c>
      <c r="I44" s="384"/>
      <c r="J44" s="384">
        <v>113622.961</v>
      </c>
      <c r="K44" s="384">
        <v>0</v>
      </c>
      <c r="L44" s="384">
        <v>117250.2</v>
      </c>
      <c r="M44" s="384">
        <v>129124.05</v>
      </c>
      <c r="N44" s="384">
        <v>126572.88</v>
      </c>
      <c r="O44" s="384">
        <v>131690.10999999999</v>
      </c>
      <c r="P44" s="1029">
        <v>136733.83500000002</v>
      </c>
      <c r="Q44" s="384">
        <v>135125.45000000001</v>
      </c>
      <c r="R44" s="1027">
        <v>138341.22</v>
      </c>
    </row>
    <row r="45" spans="1:18" s="1368" customFormat="1" ht="30" customHeight="1">
      <c r="A45" s="1364" t="s">
        <v>95</v>
      </c>
      <c r="B45" s="1365" t="s">
        <v>905</v>
      </c>
      <c r="C45" s="1366" t="s">
        <v>465</v>
      </c>
      <c r="D45" s="1367">
        <f t="shared" ref="D45:H45" si="7">(D44*D15*D54/1000)+D46+D47+D48</f>
        <v>11315.92182495377</v>
      </c>
      <c r="E45" s="1367">
        <f t="shared" si="7"/>
        <v>24908.123695512164</v>
      </c>
      <c r="F45" s="1367">
        <f t="shared" si="7"/>
        <v>0</v>
      </c>
      <c r="G45" s="1367">
        <v>28857.166868573349</v>
      </c>
      <c r="H45" s="1367">
        <v>0</v>
      </c>
      <c r="I45" s="1367"/>
      <c r="J45" s="1367">
        <v>32000.851916799995</v>
      </c>
      <c r="K45" s="1367">
        <v>0</v>
      </c>
      <c r="L45" s="1367">
        <v>31136.9516</v>
      </c>
      <c r="M45" s="1367">
        <v>34890.925709999996</v>
      </c>
      <c r="N45" s="1367">
        <v>16768.401519999999</v>
      </c>
      <c r="O45" s="1367">
        <v>18122.524189999996</v>
      </c>
      <c r="P45" s="1647">
        <v>36936.800429999996</v>
      </c>
      <c r="Q45" s="1367">
        <v>17893.68305</v>
      </c>
      <c r="R45" s="1367">
        <v>19043.117379999996</v>
      </c>
    </row>
    <row r="46" spans="1:18">
      <c r="A46" s="60" t="s">
        <v>898</v>
      </c>
      <c r="B46" s="61" t="s">
        <v>899</v>
      </c>
      <c r="C46" s="8" t="s">
        <v>892</v>
      </c>
      <c r="D46" s="250">
        <v>0</v>
      </c>
      <c r="E46" s="337">
        <v>540</v>
      </c>
      <c r="F46" s="250"/>
      <c r="G46" s="337">
        <v>615</v>
      </c>
      <c r="H46" s="337"/>
      <c r="I46" s="337"/>
      <c r="J46" s="337">
        <v>967</v>
      </c>
      <c r="K46" s="337"/>
      <c r="L46" s="337">
        <v>595</v>
      </c>
      <c r="M46" s="337">
        <v>576</v>
      </c>
      <c r="N46" s="337">
        <v>288</v>
      </c>
      <c r="O46" s="337">
        <v>288</v>
      </c>
      <c r="P46" s="337">
        <v>602</v>
      </c>
      <c r="Q46" s="337">
        <v>301</v>
      </c>
      <c r="R46" s="1026">
        <v>301</v>
      </c>
    </row>
    <row r="47" spans="1:18" ht="60.75" customHeight="1">
      <c r="A47" s="60" t="s">
        <v>900</v>
      </c>
      <c r="B47" s="61" t="s">
        <v>902</v>
      </c>
      <c r="C47" s="8" t="s">
        <v>892</v>
      </c>
      <c r="D47" s="250"/>
      <c r="E47" s="337"/>
      <c r="F47" s="250"/>
      <c r="G47" s="337"/>
      <c r="H47" s="337"/>
      <c r="I47" s="337"/>
      <c r="J47" s="337"/>
      <c r="K47" s="337"/>
      <c r="L47" s="337"/>
      <c r="M47" s="337"/>
      <c r="N47" s="337"/>
      <c r="O47" s="337"/>
      <c r="P47" s="1648"/>
      <c r="Q47" s="337"/>
      <c r="R47" s="1026"/>
    </row>
    <row r="48" spans="1:18">
      <c r="A48" s="60" t="s">
        <v>901</v>
      </c>
      <c r="B48" s="61" t="s">
        <v>348</v>
      </c>
      <c r="C48" s="8" t="s">
        <v>892</v>
      </c>
      <c r="D48" s="250">
        <f>D49+D50+D51+D52+D53</f>
        <v>0</v>
      </c>
      <c r="E48" s="250">
        <f t="shared" ref="E48:O48" si="8">E49+E50+E51+E52+E53</f>
        <v>1549</v>
      </c>
      <c r="F48" s="250">
        <f t="shared" si="8"/>
        <v>0</v>
      </c>
      <c r="G48" s="250">
        <v>3841</v>
      </c>
      <c r="H48" s="250">
        <v>0</v>
      </c>
      <c r="I48" s="250"/>
      <c r="J48" s="250">
        <v>493</v>
      </c>
      <c r="K48" s="250">
        <v>0</v>
      </c>
      <c r="L48" s="250">
        <v>286</v>
      </c>
      <c r="M48" s="250">
        <v>999</v>
      </c>
      <c r="N48" s="250">
        <v>152.5</v>
      </c>
      <c r="O48" s="250">
        <v>846.5</v>
      </c>
      <c r="P48" s="1028">
        <v>1058</v>
      </c>
      <c r="Q48" s="250">
        <v>161.5</v>
      </c>
      <c r="R48" s="250">
        <v>896.5</v>
      </c>
    </row>
    <row r="49" spans="1:18" ht="30">
      <c r="A49" s="60" t="s">
        <v>1024</v>
      </c>
      <c r="B49" s="61" t="s">
        <v>1023</v>
      </c>
      <c r="C49" s="8" t="s">
        <v>892</v>
      </c>
      <c r="D49" s="250"/>
      <c r="E49" s="337">
        <v>480</v>
      </c>
      <c r="F49" s="250"/>
      <c r="G49" s="337"/>
      <c r="H49" s="337"/>
      <c r="I49" s="337"/>
      <c r="J49" s="337"/>
      <c r="K49" s="337"/>
      <c r="L49" s="337"/>
      <c r="M49" s="337">
        <v>0</v>
      </c>
      <c r="N49" s="337"/>
      <c r="O49" s="337"/>
      <c r="P49" s="1648">
        <v>0</v>
      </c>
      <c r="Q49" s="337"/>
      <c r="R49" s="1026"/>
    </row>
    <row r="50" spans="1:18" ht="30">
      <c r="A50" s="60" t="s">
        <v>1022</v>
      </c>
      <c r="B50" s="61" t="s">
        <v>1021</v>
      </c>
      <c r="C50" s="8" t="s">
        <v>892</v>
      </c>
      <c r="D50" s="250"/>
      <c r="E50" s="337">
        <v>0</v>
      </c>
      <c r="F50" s="250"/>
      <c r="G50" s="337">
        <v>0</v>
      </c>
      <c r="H50" s="337"/>
      <c r="I50" s="337"/>
      <c r="J50" s="337"/>
      <c r="K50" s="337"/>
      <c r="L50" s="337"/>
      <c r="M50" s="337">
        <v>0</v>
      </c>
      <c r="N50" s="337"/>
      <c r="O50" s="337"/>
      <c r="P50" s="1648">
        <v>0</v>
      </c>
      <c r="Q50" s="337"/>
      <c r="R50" s="1026"/>
    </row>
    <row r="51" spans="1:18">
      <c r="A51" s="60" t="s">
        <v>1020</v>
      </c>
      <c r="B51" s="61" t="s">
        <v>1019</v>
      </c>
      <c r="C51" s="8" t="s">
        <v>892</v>
      </c>
      <c r="D51" s="250"/>
      <c r="E51" s="337">
        <v>446</v>
      </c>
      <c r="F51" s="250"/>
      <c r="G51" s="337">
        <v>1080</v>
      </c>
      <c r="H51" s="337"/>
      <c r="I51" s="337"/>
      <c r="J51" s="337">
        <v>493</v>
      </c>
      <c r="K51" s="337"/>
      <c r="L51" s="337">
        <v>286</v>
      </c>
      <c r="M51" s="337">
        <v>305</v>
      </c>
      <c r="N51" s="337">
        <v>152.5</v>
      </c>
      <c r="O51" s="337">
        <v>152.5</v>
      </c>
      <c r="P51" s="1648">
        <v>323</v>
      </c>
      <c r="Q51" s="337">
        <v>161.5</v>
      </c>
      <c r="R51" s="337">
        <v>161.5</v>
      </c>
    </row>
    <row r="52" spans="1:18" ht="30">
      <c r="A52" s="60" t="s">
        <v>1018</v>
      </c>
      <c r="B52" s="61" t="s">
        <v>934</v>
      </c>
      <c r="C52" s="8" t="s">
        <v>892</v>
      </c>
      <c r="D52" s="250"/>
      <c r="E52" s="337"/>
      <c r="F52" s="250"/>
      <c r="G52" s="337"/>
      <c r="H52" s="337"/>
      <c r="I52" s="337"/>
      <c r="J52" s="337"/>
      <c r="K52" s="337"/>
      <c r="L52" s="337"/>
      <c r="M52" s="337">
        <v>694</v>
      </c>
      <c r="N52" s="337"/>
      <c r="O52" s="337">
        <v>694</v>
      </c>
      <c r="P52" s="1648">
        <v>735</v>
      </c>
      <c r="Q52" s="337"/>
      <c r="R52" s="337">
        <v>735</v>
      </c>
    </row>
    <row r="53" spans="1:18" ht="75">
      <c r="A53" s="60" t="s">
        <v>1071</v>
      </c>
      <c r="B53" s="61" t="s">
        <v>1558</v>
      </c>
      <c r="C53" s="8" t="s">
        <v>892</v>
      </c>
      <c r="D53" s="241"/>
      <c r="E53" s="241">
        <v>623</v>
      </c>
      <c r="F53" s="241"/>
      <c r="G53" s="308">
        <v>2761</v>
      </c>
      <c r="H53" s="241"/>
      <c r="I53" s="241"/>
      <c r="J53" s="308"/>
      <c r="K53" s="308"/>
      <c r="L53" s="308"/>
      <c r="M53" s="308"/>
      <c r="N53" s="308"/>
      <c r="O53" s="308"/>
      <c r="P53" s="952"/>
      <c r="Q53" s="308"/>
      <c r="R53" s="308"/>
    </row>
    <row r="54" spans="1:18" ht="30">
      <c r="A54" s="60"/>
      <c r="B54" s="61" t="s">
        <v>903</v>
      </c>
      <c r="C54" s="8" t="s">
        <v>892</v>
      </c>
      <c r="D54" s="250">
        <v>12</v>
      </c>
      <c r="E54" s="250">
        <v>12</v>
      </c>
      <c r="F54" s="250">
        <v>12</v>
      </c>
      <c r="G54" s="250">
        <v>12</v>
      </c>
      <c r="H54" s="250">
        <v>12</v>
      </c>
      <c r="I54" s="250"/>
      <c r="J54" s="250">
        <v>12</v>
      </c>
      <c r="K54" s="250">
        <v>12</v>
      </c>
      <c r="L54" s="250">
        <v>12</v>
      </c>
      <c r="M54" s="250">
        <v>12</v>
      </c>
      <c r="N54" s="250">
        <v>6</v>
      </c>
      <c r="O54" s="250">
        <v>6</v>
      </c>
      <c r="P54" s="1028">
        <v>12</v>
      </c>
      <c r="Q54" s="250">
        <v>6</v>
      </c>
      <c r="R54" s="250">
        <v>6</v>
      </c>
    </row>
    <row r="55" spans="1:18" s="763" customFormat="1" ht="28.5">
      <c r="A55" s="1352" t="s">
        <v>904</v>
      </c>
      <c r="B55" s="1353" t="s">
        <v>905</v>
      </c>
      <c r="C55" s="1354" t="s">
        <v>892</v>
      </c>
      <c r="D55" s="1013">
        <f t="shared" ref="D55:F55" si="9">(D44*D15*D54/1000)</f>
        <v>11315.92182495377</v>
      </c>
      <c r="E55" s="1013">
        <f t="shared" si="9"/>
        <v>22819.123695512164</v>
      </c>
      <c r="F55" s="1013">
        <f t="shared" si="9"/>
        <v>0</v>
      </c>
      <c r="G55" s="1013">
        <v>28241.166868573349</v>
      </c>
      <c r="H55" s="1013">
        <v>0</v>
      </c>
      <c r="I55" s="1013">
        <v>0</v>
      </c>
      <c r="J55" s="1013">
        <v>31033.851916799995</v>
      </c>
      <c r="K55" s="1013">
        <v>0</v>
      </c>
      <c r="L55" s="1013">
        <v>30541.9516</v>
      </c>
      <c r="M55" s="1013">
        <v>34314.925709999996</v>
      </c>
      <c r="N55" s="1013">
        <v>16480.401519999999</v>
      </c>
      <c r="O55" s="1013">
        <v>17834.524189999996</v>
      </c>
      <c r="P55" s="1649">
        <v>36334.800429999996</v>
      </c>
      <c r="Q55" s="1013">
        <v>17592.68305</v>
      </c>
      <c r="R55" s="1013">
        <v>18742.117379999996</v>
      </c>
    </row>
    <row r="56" spans="1:18" ht="30">
      <c r="A56" s="60" t="s">
        <v>906</v>
      </c>
      <c r="B56" s="61" t="s">
        <v>909</v>
      </c>
      <c r="C56" s="8" t="s">
        <v>892</v>
      </c>
      <c r="D56" s="250"/>
      <c r="E56" s="250"/>
      <c r="F56" s="250"/>
      <c r="G56" s="250"/>
      <c r="H56" s="250"/>
      <c r="I56" s="250"/>
      <c r="J56" s="250"/>
      <c r="K56" s="250"/>
      <c r="L56" s="250"/>
      <c r="M56" s="250"/>
      <c r="N56" s="250"/>
      <c r="O56" s="250"/>
      <c r="P56" s="1028"/>
      <c r="Q56" s="250"/>
      <c r="R56" s="250"/>
    </row>
    <row r="57" spans="1:18">
      <c r="A57" s="60" t="s">
        <v>907</v>
      </c>
      <c r="B57" s="61" t="s">
        <v>1026</v>
      </c>
      <c r="C57" s="8" t="s">
        <v>892</v>
      </c>
      <c r="D57" s="250">
        <f>D55</f>
        <v>11315.92182495377</v>
      </c>
      <c r="E57" s="250">
        <f t="shared" ref="E57:L57" si="10">E55</f>
        <v>22819.123695512164</v>
      </c>
      <c r="F57" s="250">
        <f t="shared" si="10"/>
        <v>0</v>
      </c>
      <c r="G57" s="250">
        <v>28241.166868573349</v>
      </c>
      <c r="H57" s="250">
        <v>0</v>
      </c>
      <c r="I57" s="250"/>
      <c r="J57" s="250">
        <v>31033.851916799995</v>
      </c>
      <c r="K57" s="250">
        <v>0</v>
      </c>
      <c r="L57" s="250">
        <v>30541.9516</v>
      </c>
      <c r="M57" s="250">
        <v>34314.925709999996</v>
      </c>
      <c r="N57" s="250">
        <v>16480.401519999999</v>
      </c>
      <c r="O57" s="250">
        <v>17834.524189999996</v>
      </c>
      <c r="P57" s="1028">
        <v>36334.800429999996</v>
      </c>
      <c r="Q57" s="250">
        <v>17592.68305</v>
      </c>
      <c r="R57" s="250">
        <v>18742.117379999996</v>
      </c>
    </row>
    <row r="58" spans="1:18">
      <c r="A58" s="60" t="s">
        <v>908</v>
      </c>
      <c r="B58" s="61" t="s">
        <v>911</v>
      </c>
      <c r="C58" s="8" t="s">
        <v>892</v>
      </c>
      <c r="D58" s="250"/>
      <c r="E58" s="250"/>
      <c r="F58" s="250"/>
      <c r="G58" s="250"/>
      <c r="H58" s="250"/>
      <c r="I58" s="250"/>
      <c r="J58" s="250"/>
      <c r="K58" s="250"/>
      <c r="L58" s="250"/>
      <c r="M58" s="250"/>
      <c r="N58" s="250"/>
      <c r="O58" s="250"/>
      <c r="P58" s="1028"/>
      <c r="Q58" s="250"/>
      <c r="R58" s="250"/>
    </row>
    <row r="59" spans="1:18">
      <c r="A59" s="60" t="s">
        <v>912</v>
      </c>
      <c r="B59" s="61" t="s">
        <v>913</v>
      </c>
      <c r="C59" s="8" t="s">
        <v>892</v>
      </c>
      <c r="D59" s="250"/>
      <c r="E59" s="250"/>
      <c r="F59" s="250"/>
      <c r="G59" s="250"/>
      <c r="H59" s="250"/>
      <c r="I59" s="250"/>
      <c r="J59" s="250"/>
      <c r="K59" s="250"/>
      <c r="L59" s="250"/>
      <c r="M59" s="250"/>
      <c r="N59" s="250"/>
      <c r="O59" s="250"/>
      <c r="P59" s="1028"/>
      <c r="Q59" s="250"/>
      <c r="R59" s="250"/>
    </row>
    <row r="60" spans="1:18" ht="30">
      <c r="A60" s="60" t="s">
        <v>97</v>
      </c>
      <c r="B60" s="61" t="s">
        <v>914</v>
      </c>
      <c r="C60" s="8" t="s">
        <v>846</v>
      </c>
      <c r="D60" s="250"/>
      <c r="E60" s="250"/>
      <c r="F60" s="250"/>
      <c r="G60" s="250"/>
      <c r="H60" s="250"/>
      <c r="I60" s="250"/>
      <c r="J60" s="250"/>
      <c r="K60" s="250"/>
      <c r="L60" s="250"/>
      <c r="M60" s="250"/>
      <c r="N60" s="250"/>
      <c r="O60" s="250"/>
      <c r="P60" s="1028"/>
      <c r="Q60" s="250"/>
      <c r="R60" s="250"/>
    </row>
    <row r="61" spans="1:18">
      <c r="A61" s="60" t="s">
        <v>915</v>
      </c>
      <c r="B61" s="61" t="s">
        <v>458</v>
      </c>
      <c r="C61" s="8" t="s">
        <v>453</v>
      </c>
      <c r="D61" s="250"/>
      <c r="E61" s="250"/>
      <c r="F61" s="250"/>
      <c r="G61" s="250"/>
      <c r="H61" s="250"/>
      <c r="I61" s="250"/>
      <c r="J61" s="250"/>
      <c r="K61" s="250"/>
      <c r="L61" s="250"/>
      <c r="M61" s="250"/>
      <c r="N61" s="250"/>
      <c r="O61" s="250"/>
      <c r="P61" s="1028"/>
      <c r="Q61" s="250"/>
      <c r="R61" s="250"/>
    </row>
    <row r="62" spans="1:18">
      <c r="A62" s="60" t="s">
        <v>916</v>
      </c>
      <c r="B62" s="253" t="s">
        <v>923</v>
      </c>
      <c r="C62" s="8" t="s">
        <v>453</v>
      </c>
      <c r="D62" s="250"/>
      <c r="E62" s="250"/>
      <c r="F62" s="250"/>
      <c r="G62" s="250"/>
      <c r="H62" s="250"/>
      <c r="I62" s="250"/>
      <c r="J62" s="250"/>
      <c r="K62" s="250"/>
      <c r="L62" s="250"/>
      <c r="M62" s="250"/>
      <c r="N62" s="250"/>
      <c r="O62" s="250"/>
      <c r="P62" s="1028"/>
      <c r="Q62" s="250"/>
      <c r="R62" s="250"/>
    </row>
    <row r="63" spans="1:18">
      <c r="A63" s="60" t="s">
        <v>917</v>
      </c>
      <c r="B63" s="253" t="s">
        <v>924</v>
      </c>
      <c r="C63" s="8" t="s">
        <v>465</v>
      </c>
      <c r="D63" s="250"/>
      <c r="E63" s="250"/>
      <c r="F63" s="250"/>
      <c r="G63" s="250"/>
      <c r="H63" s="250"/>
      <c r="I63" s="250"/>
      <c r="J63" s="250"/>
      <c r="K63" s="250"/>
      <c r="L63" s="250"/>
      <c r="M63" s="250"/>
      <c r="N63" s="250"/>
      <c r="O63" s="250"/>
      <c r="P63" s="1028"/>
      <c r="Q63" s="250"/>
      <c r="R63" s="250"/>
    </row>
    <row r="64" spans="1:18">
      <c r="A64" s="60" t="s">
        <v>918</v>
      </c>
      <c r="B64" s="61" t="s">
        <v>899</v>
      </c>
      <c r="C64" s="8" t="s">
        <v>892</v>
      </c>
      <c r="D64" s="250"/>
      <c r="E64" s="250"/>
      <c r="F64" s="250"/>
      <c r="G64" s="250"/>
      <c r="H64" s="250"/>
      <c r="I64" s="250"/>
      <c r="J64" s="250"/>
      <c r="K64" s="250"/>
      <c r="L64" s="250"/>
      <c r="M64" s="250"/>
      <c r="N64" s="250"/>
      <c r="O64" s="250"/>
      <c r="P64" s="1028"/>
      <c r="Q64" s="250"/>
      <c r="R64" s="250"/>
    </row>
    <row r="65" spans="1:18" ht="18" customHeight="1">
      <c r="A65" s="60" t="s">
        <v>919</v>
      </c>
      <c r="B65" s="61" t="s">
        <v>922</v>
      </c>
      <c r="C65" s="8" t="s">
        <v>892</v>
      </c>
      <c r="D65" s="250"/>
      <c r="E65" s="250"/>
      <c r="F65" s="250"/>
      <c r="G65" s="250"/>
      <c r="H65" s="250"/>
      <c r="I65" s="250"/>
      <c r="J65" s="250"/>
      <c r="K65" s="250"/>
      <c r="L65" s="250"/>
      <c r="M65" s="250"/>
      <c r="N65" s="250"/>
      <c r="O65" s="250"/>
      <c r="P65" s="1028"/>
      <c r="Q65" s="250"/>
      <c r="R65" s="250"/>
    </row>
    <row r="66" spans="1:18">
      <c r="A66" s="60" t="s">
        <v>920</v>
      </c>
      <c r="B66" s="61" t="s">
        <v>925</v>
      </c>
      <c r="C66" s="8" t="s">
        <v>892</v>
      </c>
      <c r="D66" s="250"/>
      <c r="E66" s="250"/>
      <c r="F66" s="250"/>
      <c r="G66" s="250"/>
      <c r="H66" s="250"/>
      <c r="I66" s="250"/>
      <c r="J66" s="250"/>
      <c r="K66" s="250"/>
      <c r="L66" s="250"/>
      <c r="M66" s="250"/>
      <c r="N66" s="250"/>
      <c r="O66" s="250"/>
      <c r="P66" s="1028"/>
      <c r="Q66" s="250"/>
      <c r="R66" s="250"/>
    </row>
    <row r="67" spans="1:18" ht="30">
      <c r="A67" s="60" t="s">
        <v>921</v>
      </c>
      <c r="B67" s="61" t="s">
        <v>909</v>
      </c>
      <c r="C67" s="8" t="s">
        <v>892</v>
      </c>
      <c r="D67" s="250"/>
      <c r="E67" s="250"/>
      <c r="F67" s="250"/>
      <c r="G67" s="250"/>
      <c r="H67" s="250"/>
      <c r="I67" s="250"/>
      <c r="J67" s="250"/>
      <c r="K67" s="250"/>
      <c r="L67" s="250"/>
      <c r="M67" s="250"/>
      <c r="N67" s="250"/>
      <c r="O67" s="250"/>
      <c r="P67" s="1028"/>
      <c r="Q67" s="250"/>
      <c r="R67" s="250"/>
    </row>
    <row r="68" spans="1:18" ht="30">
      <c r="A68" s="60" t="s">
        <v>926</v>
      </c>
      <c r="B68" s="61" t="s">
        <v>909</v>
      </c>
      <c r="C68" s="8" t="s">
        <v>892</v>
      </c>
      <c r="D68" s="250"/>
      <c r="E68" s="250"/>
      <c r="F68" s="250"/>
      <c r="G68" s="250"/>
      <c r="H68" s="250"/>
      <c r="I68" s="250"/>
      <c r="J68" s="250"/>
      <c r="K68" s="250"/>
      <c r="L68" s="250"/>
      <c r="M68" s="250"/>
      <c r="N68" s="250"/>
      <c r="O68" s="250"/>
      <c r="P68" s="1028"/>
      <c r="Q68" s="250"/>
      <c r="R68" s="250"/>
    </row>
    <row r="69" spans="1:18">
      <c r="A69" s="60" t="s">
        <v>927</v>
      </c>
      <c r="B69" s="61" t="s">
        <v>910</v>
      </c>
      <c r="C69" s="8" t="s">
        <v>892</v>
      </c>
      <c r="D69" s="250"/>
      <c r="E69" s="250"/>
      <c r="F69" s="250"/>
      <c r="G69" s="250"/>
      <c r="H69" s="250"/>
      <c r="I69" s="250"/>
      <c r="J69" s="250"/>
      <c r="K69" s="250"/>
      <c r="L69" s="250"/>
      <c r="M69" s="250"/>
      <c r="N69" s="250"/>
      <c r="O69" s="250"/>
      <c r="P69" s="1028"/>
      <c r="Q69" s="250"/>
      <c r="R69" s="250"/>
    </row>
    <row r="70" spans="1:18">
      <c r="A70" s="60" t="s">
        <v>928</v>
      </c>
      <c r="B70" s="61" t="s">
        <v>911</v>
      </c>
      <c r="C70" s="8" t="s">
        <v>892</v>
      </c>
      <c r="D70" s="250"/>
      <c r="E70" s="250"/>
      <c r="F70" s="250"/>
      <c r="G70" s="250"/>
      <c r="H70" s="250"/>
      <c r="I70" s="250"/>
      <c r="J70" s="250"/>
      <c r="K70" s="250"/>
      <c r="L70" s="250"/>
      <c r="M70" s="250"/>
      <c r="N70" s="250"/>
      <c r="O70" s="250"/>
      <c r="P70" s="1028"/>
      <c r="Q70" s="250"/>
      <c r="R70" s="250"/>
    </row>
    <row r="71" spans="1:18">
      <c r="A71" s="60" t="s">
        <v>921</v>
      </c>
      <c r="B71" s="61" t="s">
        <v>913</v>
      </c>
      <c r="C71" s="8" t="s">
        <v>892</v>
      </c>
      <c r="D71" s="250"/>
      <c r="E71" s="250"/>
      <c r="F71" s="250"/>
      <c r="G71" s="250"/>
      <c r="H71" s="250"/>
      <c r="I71" s="250"/>
      <c r="J71" s="250"/>
      <c r="K71" s="250"/>
      <c r="L71" s="250"/>
      <c r="M71" s="250"/>
      <c r="N71" s="250"/>
      <c r="O71" s="250"/>
      <c r="P71" s="250"/>
      <c r="Q71" s="250"/>
      <c r="R71" s="250"/>
    </row>
    <row r="72" spans="1:18" ht="30">
      <c r="A72" s="60" t="s">
        <v>929</v>
      </c>
      <c r="B72" s="61" t="s">
        <v>930</v>
      </c>
      <c r="C72" s="8" t="s">
        <v>138</v>
      </c>
      <c r="D72" s="250"/>
      <c r="E72" s="250"/>
      <c r="F72" s="250"/>
      <c r="G72" s="250"/>
      <c r="H72" s="250"/>
      <c r="I72" s="250"/>
      <c r="J72" s="250"/>
      <c r="K72" s="250"/>
      <c r="L72" s="250"/>
      <c r="M72" s="250"/>
      <c r="N72" s="250"/>
      <c r="O72" s="250"/>
      <c r="P72" s="250"/>
      <c r="Q72" s="250"/>
      <c r="R72" s="250"/>
    </row>
    <row r="74" spans="1:18" ht="64.5" customHeight="1">
      <c r="A74" s="1963" t="s">
        <v>931</v>
      </c>
      <c r="B74" s="1963"/>
      <c r="C74" s="1963"/>
      <c r="D74" s="1963"/>
      <c r="E74" s="1963"/>
      <c r="F74" s="1963"/>
      <c r="G74" s="1963"/>
      <c r="H74" s="1963"/>
      <c r="I74" s="1963"/>
      <c r="J74" s="1963"/>
      <c r="K74" s="1963"/>
      <c r="L74" s="1963"/>
      <c r="M74" s="1963"/>
      <c r="N74" s="1963"/>
      <c r="O74" s="1963"/>
    </row>
    <row r="76" spans="1:18">
      <c r="A76" s="1" t="s">
        <v>88</v>
      </c>
    </row>
    <row r="77" spans="1:18" ht="51.75" customHeight="1">
      <c r="A77" s="1963" t="s">
        <v>932</v>
      </c>
      <c r="B77" s="1963"/>
      <c r="C77" s="1963"/>
      <c r="D77" s="1963"/>
      <c r="E77" s="1963"/>
      <c r="F77" s="1963"/>
      <c r="G77" s="1963"/>
      <c r="H77" s="1963"/>
      <c r="I77" s="1963"/>
      <c r="J77" s="1963"/>
      <c r="K77" s="1963"/>
      <c r="L77" s="1963"/>
      <c r="M77" s="1963"/>
      <c r="N77" s="1963"/>
      <c r="O77" s="1963"/>
    </row>
    <row r="78" spans="1:18" ht="69" customHeight="1">
      <c r="A78" s="1963" t="s">
        <v>933</v>
      </c>
      <c r="B78" s="1963"/>
      <c r="C78" s="1963"/>
      <c r="D78" s="1963"/>
      <c r="E78" s="1963"/>
      <c r="F78" s="1963"/>
      <c r="G78" s="1963"/>
      <c r="H78" s="1963"/>
      <c r="I78" s="1963"/>
      <c r="J78" s="1963"/>
      <c r="K78" s="1963"/>
      <c r="L78" s="1963"/>
      <c r="M78" s="1963"/>
      <c r="N78" s="1963"/>
      <c r="O78" s="1963"/>
    </row>
  </sheetData>
  <mergeCells count="4">
    <mergeCell ref="A3:O3"/>
    <mergeCell ref="A74:O74"/>
    <mergeCell ref="A77:O77"/>
    <mergeCell ref="A78:O78"/>
  </mergeCells>
  <pageMargins left="0.78740157480314965" right="0.31496062992125984" top="0.62992125984251968" bottom="0.19685039370078741" header="0.62992125984251968" footer="0.19685039370078741"/>
  <pageSetup paperSize="9" scale="50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Q120"/>
  <sheetViews>
    <sheetView view="pageBreakPreview" zoomScaleNormal="100" workbookViewId="0">
      <pane xSplit="2" ySplit="5" topLeftCell="C90" activePane="bottomRight" state="frozen"/>
      <selection activeCell="B90" sqref="B90"/>
      <selection pane="topRight" activeCell="B90" sqref="B90"/>
      <selection pane="bottomLeft" activeCell="B90" sqref="B90"/>
      <selection pane="bottomRight" activeCell="R2" sqref="R2"/>
    </sheetView>
  </sheetViews>
  <sheetFormatPr defaultColWidth="4.28515625" defaultRowHeight="15" outlineLevelRow="1"/>
  <cols>
    <col min="1" max="1" width="5.42578125" style="1" customWidth="1"/>
    <col min="2" max="2" width="42.28515625" style="1" customWidth="1"/>
    <col min="3" max="3" width="12" style="21" customWidth="1"/>
    <col min="4" max="4" width="12.5703125" style="1" hidden="1" customWidth="1"/>
    <col min="5" max="5" width="11.5703125" style="1" hidden="1" customWidth="1"/>
    <col min="6" max="10" width="12.5703125" style="1" customWidth="1"/>
    <col min="11" max="11" width="15.7109375" style="1" customWidth="1"/>
    <col min="12" max="12" width="12.5703125" style="1" customWidth="1"/>
    <col min="13" max="13" width="11.42578125" style="1" customWidth="1"/>
    <col min="14" max="14" width="11" style="1" customWidth="1"/>
    <col min="15" max="15" width="12.7109375" style="1" customWidth="1"/>
    <col min="16" max="16" width="10.85546875" style="1" customWidth="1"/>
    <col min="17" max="17" width="10.5703125" style="1" customWidth="1"/>
    <col min="18" max="16384" width="4.28515625" style="1"/>
  </cols>
  <sheetData>
    <row r="1" spans="1:17" s="5" customFormat="1" ht="15.75" customHeight="1">
      <c r="A1" s="74" t="s">
        <v>1860</v>
      </c>
      <c r="C1" s="20"/>
      <c r="N1" s="6" t="s">
        <v>943</v>
      </c>
      <c r="Q1" s="6" t="s">
        <v>943</v>
      </c>
    </row>
    <row r="2" spans="1:17" s="5" customFormat="1" ht="12.75" customHeight="1">
      <c r="A2" s="105" t="str">
        <f>'4.1 (свод)'!A2</f>
        <v>КТЭЦ + котельные СВОД</v>
      </c>
      <c r="C2" s="20"/>
    </row>
    <row r="3" spans="1:17" ht="37.5" customHeight="1">
      <c r="A3" s="1915" t="s">
        <v>1174</v>
      </c>
      <c r="B3" s="1915"/>
      <c r="C3" s="1915"/>
      <c r="D3" s="1915"/>
      <c r="E3" s="1915"/>
      <c r="F3" s="1915"/>
      <c r="G3" s="1915"/>
      <c r="H3" s="1915"/>
      <c r="I3" s="1915"/>
      <c r="J3" s="1915"/>
      <c r="K3" s="1915"/>
      <c r="L3" s="1915"/>
      <c r="M3" s="1915"/>
      <c r="N3" s="1915"/>
    </row>
    <row r="4" spans="1:17" customFormat="1" ht="12.75" customHeight="1"/>
    <row r="5" spans="1:17" s="3" customFormat="1" ht="63" customHeight="1">
      <c r="A5" s="913" t="s">
        <v>1527</v>
      </c>
      <c r="B5" s="913" t="s">
        <v>1</v>
      </c>
      <c r="C5" s="913" t="s">
        <v>2</v>
      </c>
      <c r="D5" s="913" t="s">
        <v>1129</v>
      </c>
      <c r="E5" s="913" t="s">
        <v>1130</v>
      </c>
      <c r="F5" s="913" t="s">
        <v>1131</v>
      </c>
      <c r="G5" s="913" t="s">
        <v>1695</v>
      </c>
      <c r="H5" s="1284" t="s">
        <v>1696</v>
      </c>
      <c r="I5" s="1576" t="s">
        <v>1828</v>
      </c>
      <c r="J5" s="1576" t="s">
        <v>1833</v>
      </c>
      <c r="K5" s="1631" t="s">
        <v>1861</v>
      </c>
      <c r="L5" s="1631" t="s">
        <v>1862</v>
      </c>
      <c r="M5" s="1631" t="s">
        <v>763</v>
      </c>
      <c r="N5" s="1631" t="s">
        <v>764</v>
      </c>
      <c r="O5" s="1631" t="s">
        <v>1863</v>
      </c>
      <c r="P5" s="1631" t="s">
        <v>763</v>
      </c>
      <c r="Q5" s="1631" t="s">
        <v>764</v>
      </c>
    </row>
    <row r="6" spans="1:17" s="2" customFormat="1">
      <c r="A6" s="13">
        <v>1</v>
      </c>
      <c r="B6" s="13">
        <v>2</v>
      </c>
      <c r="C6" s="13">
        <v>3</v>
      </c>
      <c r="D6" s="13">
        <v>4</v>
      </c>
      <c r="E6" s="13">
        <v>5</v>
      </c>
      <c r="F6" s="13">
        <v>4</v>
      </c>
      <c r="G6" s="13">
        <v>5</v>
      </c>
      <c r="H6" s="13">
        <v>6</v>
      </c>
      <c r="I6" s="13">
        <v>7</v>
      </c>
      <c r="J6" s="13">
        <v>8</v>
      </c>
      <c r="K6" s="13">
        <v>9</v>
      </c>
      <c r="L6" s="13">
        <v>10</v>
      </c>
      <c r="M6" s="13">
        <v>11</v>
      </c>
      <c r="N6" s="13">
        <v>12</v>
      </c>
      <c r="O6" s="13">
        <v>13</v>
      </c>
      <c r="P6" s="13">
        <v>14</v>
      </c>
      <c r="Q6" s="13">
        <v>15</v>
      </c>
    </row>
    <row r="7" spans="1:17" s="1001" customFormat="1" ht="30" customHeight="1">
      <c r="A7" s="82" t="s">
        <v>4</v>
      </c>
      <c r="B7" s="80" t="s">
        <v>486</v>
      </c>
      <c r="C7" s="1002" t="s">
        <v>240</v>
      </c>
      <c r="D7" s="1000">
        <f>'4.10_пр-во (свод)'!D7+'4.10_транзит+сбыт (свод)'!D7</f>
        <v>1145475.3636363638</v>
      </c>
      <c r="E7" s="1000">
        <f>'4.10_пр-во (свод)'!E7+'4.10_транзит+сбыт (свод)'!E7</f>
        <v>1595797</v>
      </c>
      <c r="F7" s="1000">
        <v>1267120</v>
      </c>
      <c r="G7" s="1000">
        <v>2700172.7170660561</v>
      </c>
      <c r="H7" s="1000">
        <v>2348990.3420000002</v>
      </c>
      <c r="I7" s="1000">
        <v>2812091</v>
      </c>
      <c r="J7" s="1000">
        <v>2777180.8</v>
      </c>
      <c r="K7" s="1000">
        <v>2945599</v>
      </c>
      <c r="L7" s="1000">
        <v>3210137.95</v>
      </c>
      <c r="M7" s="1000">
        <v>3210137.95</v>
      </c>
      <c r="N7" s="1000">
        <v>3210293.95</v>
      </c>
      <c r="O7" s="1000">
        <v>3291187.15</v>
      </c>
      <c r="P7" s="1000">
        <v>3291187.15</v>
      </c>
      <c r="Q7" s="1000">
        <v>3291215.15</v>
      </c>
    </row>
    <row r="8" spans="1:17" s="36" customFormat="1" ht="15" customHeight="1" outlineLevel="1">
      <c r="A8" s="60"/>
      <c r="B8" s="68" t="s">
        <v>487</v>
      </c>
      <c r="C8" s="13" t="s">
        <v>240</v>
      </c>
      <c r="D8" s="241"/>
      <c r="E8" s="241">
        <f>'4.10_пр-во (свод)'!E8+'4.10_транзит+сбыт (свод)'!E8</f>
        <v>826088</v>
      </c>
      <c r="F8" s="241"/>
      <c r="G8" s="241">
        <v>1804215</v>
      </c>
      <c r="H8" s="241">
        <v>0</v>
      </c>
      <c r="I8" s="241">
        <v>1877625</v>
      </c>
      <c r="J8" s="241">
        <v>0</v>
      </c>
      <c r="K8" s="241">
        <v>1890119</v>
      </c>
      <c r="L8" s="241">
        <v>1884021</v>
      </c>
      <c r="M8" s="241">
        <v>1884021</v>
      </c>
      <c r="N8" s="241">
        <v>1883987</v>
      </c>
      <c r="O8" s="241">
        <v>1884800</v>
      </c>
      <c r="P8" s="241">
        <v>1884800</v>
      </c>
      <c r="Q8" s="241">
        <v>1884795</v>
      </c>
    </row>
    <row r="9" spans="1:17" s="36" customFormat="1" ht="15" customHeight="1" outlineLevel="1">
      <c r="A9" s="60"/>
      <c r="B9" s="68" t="s">
        <v>488</v>
      </c>
      <c r="C9" s="13" t="s">
        <v>240</v>
      </c>
      <c r="D9" s="241"/>
      <c r="E9" s="241">
        <f>'4.10_пр-во (свод)'!E9+'4.10_транзит+сбыт (свод)'!E9</f>
        <v>315567</v>
      </c>
      <c r="F9" s="241"/>
      <c r="G9" s="241">
        <v>362964.06257908104</v>
      </c>
      <c r="H9" s="241">
        <v>0</v>
      </c>
      <c r="I9" s="241">
        <v>369691</v>
      </c>
      <c r="J9" s="241">
        <v>0</v>
      </c>
      <c r="K9" s="241">
        <v>391899</v>
      </c>
      <c r="L9" s="241">
        <v>623596</v>
      </c>
      <c r="M9" s="241">
        <v>623596</v>
      </c>
      <c r="N9" s="241">
        <v>623590</v>
      </c>
      <c r="O9" s="241">
        <v>646123</v>
      </c>
      <c r="P9" s="241">
        <v>646123</v>
      </c>
      <c r="Q9" s="241">
        <v>646122</v>
      </c>
    </row>
    <row r="10" spans="1:17" s="36" customFormat="1" ht="15" customHeight="1" outlineLevel="1">
      <c r="A10" s="60"/>
      <c r="B10" s="68" t="s">
        <v>489</v>
      </c>
      <c r="C10" s="13" t="s">
        <v>240</v>
      </c>
      <c r="D10" s="241"/>
      <c r="E10" s="241">
        <f>'4.10_пр-во (свод)'!E10+'4.10_транзит+сбыт (свод)'!E10</f>
        <v>20071</v>
      </c>
      <c r="F10" s="241"/>
      <c r="G10" s="241">
        <v>23139</v>
      </c>
      <c r="H10" s="241">
        <v>0</v>
      </c>
      <c r="I10" s="241">
        <v>23139</v>
      </c>
      <c r="J10" s="241">
        <v>0</v>
      </c>
      <c r="K10" s="241">
        <v>31742</v>
      </c>
      <c r="L10" s="241">
        <v>54870</v>
      </c>
      <c r="M10" s="241">
        <v>54870</v>
      </c>
      <c r="N10" s="241">
        <v>54869</v>
      </c>
      <c r="O10" s="241">
        <v>55668</v>
      </c>
      <c r="P10" s="241">
        <v>55668</v>
      </c>
      <c r="Q10" s="241">
        <v>55668</v>
      </c>
    </row>
    <row r="11" spans="1:17" s="36" customFormat="1" ht="15" customHeight="1" outlineLevel="1">
      <c r="A11" s="60"/>
      <c r="B11" s="68" t="s">
        <v>490</v>
      </c>
      <c r="C11" s="13" t="s">
        <v>240</v>
      </c>
      <c r="D11" s="241"/>
      <c r="E11" s="241">
        <f>'4.10_пр-во (свод)'!E11+'4.10_транзит+сбыт (свод)'!E11</f>
        <v>412349</v>
      </c>
      <c r="F11" s="241"/>
      <c r="G11" s="241">
        <v>487142.64175673458</v>
      </c>
      <c r="H11" s="241">
        <v>0</v>
      </c>
      <c r="I11" s="241">
        <v>516263</v>
      </c>
      <c r="J11" s="241">
        <v>0</v>
      </c>
      <c r="K11" s="241">
        <v>581804</v>
      </c>
      <c r="L11" s="241">
        <v>608596</v>
      </c>
      <c r="M11" s="241">
        <v>608596</v>
      </c>
      <c r="N11" s="241">
        <v>608794</v>
      </c>
      <c r="O11" s="241">
        <v>649988.19999999995</v>
      </c>
      <c r="P11" s="241">
        <v>649988.19999999995</v>
      </c>
      <c r="Q11" s="241">
        <v>650022.19999999995</v>
      </c>
    </row>
    <row r="12" spans="1:17" s="36" customFormat="1" ht="15" customHeight="1" outlineLevel="1">
      <c r="A12" s="60"/>
      <c r="B12" s="68" t="s">
        <v>491</v>
      </c>
      <c r="C12" s="13" t="s">
        <v>240</v>
      </c>
      <c r="D12" s="241"/>
      <c r="E12" s="241">
        <f>'4.10_пр-во (свод)'!E12+'4.10_транзит+сбыт (свод)'!E12</f>
        <v>102181</v>
      </c>
      <c r="F12" s="241"/>
      <c r="G12" s="241">
        <v>117805</v>
      </c>
      <c r="H12" s="241">
        <v>0</v>
      </c>
      <c r="I12" s="241">
        <v>117805</v>
      </c>
      <c r="J12" s="241">
        <v>0</v>
      </c>
      <c r="K12" s="241">
        <v>117219</v>
      </c>
      <c r="L12" s="241">
        <v>116601</v>
      </c>
      <c r="M12" s="241">
        <v>116601</v>
      </c>
      <c r="N12" s="241">
        <v>116598</v>
      </c>
      <c r="O12" s="241">
        <v>147183</v>
      </c>
      <c r="P12" s="241">
        <v>147183</v>
      </c>
      <c r="Q12" s="241">
        <v>147183</v>
      </c>
    </row>
    <row r="13" spans="1:17" s="36" customFormat="1" ht="15" customHeight="1" outlineLevel="1">
      <c r="A13" s="60"/>
      <c r="B13" s="70" t="s">
        <v>492</v>
      </c>
      <c r="C13" s="13" t="s">
        <v>240</v>
      </c>
      <c r="D13" s="241"/>
      <c r="E13" s="241">
        <f>'4.10_пр-во (свод)'!E13+'4.10_транзит+сбыт (свод)'!E13</f>
        <v>40051</v>
      </c>
      <c r="F13" s="241"/>
      <c r="G13" s="241">
        <v>50472</v>
      </c>
      <c r="H13" s="241">
        <v>0</v>
      </c>
      <c r="I13" s="241">
        <v>60650</v>
      </c>
      <c r="J13" s="241">
        <v>0</v>
      </c>
      <c r="K13" s="241">
        <v>74083</v>
      </c>
      <c r="L13" s="241">
        <v>87393</v>
      </c>
      <c r="M13" s="241">
        <v>87393</v>
      </c>
      <c r="N13" s="241">
        <v>87391</v>
      </c>
      <c r="O13" s="241">
        <v>89484</v>
      </c>
      <c r="P13" s="241">
        <v>89484</v>
      </c>
      <c r="Q13" s="241">
        <v>89483</v>
      </c>
    </row>
    <row r="14" spans="1:17" s="36" customFormat="1" ht="15" customHeight="1" outlineLevel="1">
      <c r="A14" s="60"/>
      <c r="B14" s="70" t="s">
        <v>493</v>
      </c>
      <c r="C14" s="13" t="s">
        <v>240</v>
      </c>
      <c r="D14" s="241"/>
      <c r="E14" s="241">
        <f>'4.10_пр-во (свод)'!E14+'4.10_транзит+сбыт (свод)'!E14</f>
        <v>4944</v>
      </c>
      <c r="F14" s="241"/>
      <c r="G14" s="241">
        <v>5977.9278780678624</v>
      </c>
      <c r="H14" s="241">
        <v>0</v>
      </c>
      <c r="I14" s="241">
        <v>6513</v>
      </c>
      <c r="J14" s="241">
        <v>0</v>
      </c>
      <c r="K14" s="241">
        <v>6879</v>
      </c>
      <c r="L14" s="241">
        <v>17026</v>
      </c>
      <c r="M14" s="241">
        <v>17026</v>
      </c>
      <c r="N14" s="241">
        <v>17236</v>
      </c>
      <c r="O14" s="241">
        <v>25504.2</v>
      </c>
      <c r="P14" s="241">
        <v>25504.2</v>
      </c>
      <c r="Q14" s="241">
        <v>25540.2</v>
      </c>
    </row>
    <row r="15" spans="1:17" s="36" customFormat="1" ht="15" customHeight="1" outlineLevel="1">
      <c r="A15" s="60"/>
      <c r="B15" s="70" t="s">
        <v>494</v>
      </c>
      <c r="C15" s="13" t="s">
        <v>240</v>
      </c>
      <c r="D15" s="241"/>
      <c r="E15" s="241">
        <f>'4.10_пр-во (свод)'!E15+'4.10_транзит+сбыт (свод)'!E15</f>
        <v>8333</v>
      </c>
      <c r="F15" s="241"/>
      <c r="G15" s="241">
        <v>9458.7138786667056</v>
      </c>
      <c r="H15" s="241">
        <v>0</v>
      </c>
      <c r="I15" s="241">
        <v>25590</v>
      </c>
      <c r="J15" s="241">
        <v>0</v>
      </c>
      <c r="K15" s="241">
        <v>31717</v>
      </c>
      <c r="L15" s="241">
        <v>31701</v>
      </c>
      <c r="M15" s="241">
        <v>31701</v>
      </c>
      <c r="N15" s="241">
        <v>31701</v>
      </c>
      <c r="O15" s="241">
        <v>33439</v>
      </c>
      <c r="P15" s="241">
        <v>33439</v>
      </c>
      <c r="Q15" s="241">
        <v>33439</v>
      </c>
    </row>
    <row r="16" spans="1:17" s="36" customFormat="1" ht="15" customHeight="1" outlineLevel="1">
      <c r="A16" s="60"/>
      <c r="B16" s="70" t="s">
        <v>495</v>
      </c>
      <c r="C16" s="13" t="s">
        <v>240</v>
      </c>
      <c r="D16" s="241"/>
      <c r="E16" s="241">
        <f>'4.10_пр-во (свод)'!E16+'4.10_транзит+сбыт (свод)'!E16</f>
        <v>256840</v>
      </c>
      <c r="F16" s="241"/>
      <c r="G16" s="241">
        <v>303429</v>
      </c>
      <c r="H16" s="241">
        <v>0</v>
      </c>
      <c r="I16" s="241">
        <v>305705</v>
      </c>
      <c r="J16" s="241">
        <v>0</v>
      </c>
      <c r="K16" s="241">
        <v>351906</v>
      </c>
      <c r="L16" s="241">
        <v>355875</v>
      </c>
      <c r="M16" s="241">
        <v>355875</v>
      </c>
      <c r="N16" s="241">
        <v>355868</v>
      </c>
      <c r="O16" s="241">
        <v>354378</v>
      </c>
      <c r="P16" s="241">
        <v>354378</v>
      </c>
      <c r="Q16" s="241">
        <v>354377</v>
      </c>
    </row>
    <row r="17" spans="1:17" s="36" customFormat="1" ht="15" customHeight="1" outlineLevel="1">
      <c r="A17" s="60"/>
      <c r="B17" s="70" t="s">
        <v>496</v>
      </c>
      <c r="C17" s="13" t="s">
        <v>240</v>
      </c>
      <c r="D17" s="241"/>
      <c r="E17" s="241">
        <f>'4.10_пр-во (свод)'!E17+'4.10_транзит+сбыт (свод)'!E17</f>
        <v>7246</v>
      </c>
      <c r="F17" s="241"/>
      <c r="G17" s="241">
        <v>7587.2663305419528</v>
      </c>
      <c r="H17" s="241">
        <v>0</v>
      </c>
      <c r="I17" s="241">
        <v>6604</v>
      </c>
      <c r="J17" s="241">
        <v>0</v>
      </c>
      <c r="K17" s="241">
        <v>8862</v>
      </c>
      <c r="L17" s="241">
        <v>16642</v>
      </c>
      <c r="M17" s="241">
        <v>16642</v>
      </c>
      <c r="N17" s="241">
        <v>16641</v>
      </c>
      <c r="O17" s="241">
        <v>28116.47</v>
      </c>
      <c r="P17" s="241">
        <v>28116.47</v>
      </c>
      <c r="Q17" s="241">
        <v>28116.47</v>
      </c>
    </row>
    <row r="18" spans="1:17" s="36" customFormat="1" ht="15" customHeight="1" outlineLevel="1">
      <c r="A18" s="60"/>
      <c r="B18" s="70" t="s">
        <v>497</v>
      </c>
      <c r="C18" s="13" t="s">
        <v>240</v>
      </c>
      <c r="D18" s="241"/>
      <c r="E18" s="241">
        <f>'4.10_пр-во (свод)'!E18+'4.10_транзит+сбыт (свод)'!E18</f>
        <v>22</v>
      </c>
      <c r="F18" s="241"/>
      <c r="G18" s="241">
        <v>28</v>
      </c>
      <c r="H18" s="241">
        <v>0</v>
      </c>
      <c r="I18" s="241">
        <v>144</v>
      </c>
      <c r="J18" s="241">
        <v>0</v>
      </c>
      <c r="K18" s="241">
        <v>256</v>
      </c>
      <c r="L18" s="241">
        <v>254</v>
      </c>
      <c r="M18" s="241">
        <v>254</v>
      </c>
      <c r="N18" s="241">
        <v>254</v>
      </c>
      <c r="O18" s="241">
        <v>253</v>
      </c>
      <c r="P18" s="241">
        <v>253</v>
      </c>
      <c r="Q18" s="241">
        <v>253</v>
      </c>
    </row>
    <row r="19" spans="1:17" s="36" customFormat="1" ht="15" customHeight="1" outlineLevel="1">
      <c r="A19" s="60"/>
      <c r="B19" s="68" t="s">
        <v>498</v>
      </c>
      <c r="C19" s="13" t="s">
        <v>240</v>
      </c>
      <c r="D19" s="241"/>
      <c r="E19" s="241">
        <f>'4.10_пр-во (свод)'!E19+'4.10_транзит+сбыт (свод)'!E19</f>
        <v>7298</v>
      </c>
      <c r="F19" s="241"/>
      <c r="G19" s="241">
        <v>6598.5960128654633</v>
      </c>
      <c r="H19" s="241">
        <v>0</v>
      </c>
      <c r="I19" s="241">
        <v>9271</v>
      </c>
      <c r="J19" s="241">
        <v>0</v>
      </c>
      <c r="K19" s="241">
        <v>9432</v>
      </c>
      <c r="L19" s="241">
        <v>9422</v>
      </c>
      <c r="M19" s="241">
        <v>9422</v>
      </c>
      <c r="N19" s="241">
        <v>9422</v>
      </c>
      <c r="O19" s="241">
        <v>9408</v>
      </c>
      <c r="P19" s="241">
        <v>9408</v>
      </c>
      <c r="Q19" s="241">
        <v>9408</v>
      </c>
    </row>
    <row r="20" spans="1:17" s="36" customFormat="1" ht="15" customHeight="1" outlineLevel="1">
      <c r="A20" s="60"/>
      <c r="B20" s="68" t="s">
        <v>499</v>
      </c>
      <c r="C20" s="13" t="s">
        <v>240</v>
      </c>
      <c r="D20" s="241"/>
      <c r="E20" s="241">
        <f>'4.10_пр-во (свод)'!E20+'4.10_транзит+сбыт (свод)'!E20</f>
        <v>7156</v>
      </c>
      <c r="F20" s="241"/>
      <c r="G20" s="241">
        <v>8498.1503868331838</v>
      </c>
      <c r="H20" s="241">
        <v>0</v>
      </c>
      <c r="I20" s="241">
        <v>9354</v>
      </c>
      <c r="J20" s="241">
        <v>0</v>
      </c>
      <c r="K20" s="241">
        <v>31485</v>
      </c>
      <c r="L20" s="241">
        <v>12736.95</v>
      </c>
      <c r="M20" s="241">
        <v>12736.95</v>
      </c>
      <c r="N20" s="241">
        <v>12736.95</v>
      </c>
      <c r="O20" s="241">
        <v>16830.48</v>
      </c>
      <c r="P20" s="241">
        <v>16830.48</v>
      </c>
      <c r="Q20" s="241">
        <v>16830.48</v>
      </c>
    </row>
    <row r="21" spans="1:17" s="36" customFormat="1">
      <c r="A21" s="60"/>
      <c r="B21" s="68"/>
      <c r="C21" s="13"/>
      <c r="D21" s="241"/>
      <c r="E21" s="241"/>
      <c r="F21" s="241"/>
      <c r="G21" s="241"/>
      <c r="H21" s="241"/>
      <c r="I21" s="241"/>
      <c r="J21" s="241"/>
      <c r="K21" s="241"/>
      <c r="L21" s="241"/>
      <c r="M21" s="241"/>
      <c r="N21" s="241"/>
      <c r="O21" s="241"/>
      <c r="P21" s="241"/>
      <c r="Q21" s="241"/>
    </row>
    <row r="22" spans="1:17" s="1001" customFormat="1" ht="60" customHeight="1">
      <c r="A22" s="82" t="s">
        <v>23</v>
      </c>
      <c r="B22" s="80" t="s">
        <v>500</v>
      </c>
      <c r="C22" s="1002" t="s">
        <v>240</v>
      </c>
      <c r="D22" s="1000">
        <f>'4.10_пр-во (свод)'!D22+'4.10_транзит+сбыт (свод)'!D22</f>
        <v>0</v>
      </c>
      <c r="E22" s="1000">
        <f>'4.10_пр-во (свод)'!E22+'4.10_транзит+сбыт (свод)'!E22</f>
        <v>797259</v>
      </c>
      <c r="F22" s="1000">
        <v>0</v>
      </c>
      <c r="G22" s="1000">
        <v>0</v>
      </c>
      <c r="H22" s="1000">
        <v>0</v>
      </c>
      <c r="I22" s="1000">
        <v>0</v>
      </c>
      <c r="J22" s="1000">
        <v>0</v>
      </c>
      <c r="K22" s="1000">
        <v>0</v>
      </c>
      <c r="L22" s="1000">
        <v>0</v>
      </c>
      <c r="M22" s="1000">
        <v>0</v>
      </c>
      <c r="N22" s="1000">
        <v>0</v>
      </c>
      <c r="O22" s="1000">
        <v>0</v>
      </c>
      <c r="P22" s="1000">
        <v>0</v>
      </c>
      <c r="Q22" s="1000">
        <v>0</v>
      </c>
    </row>
    <row r="23" spans="1:17" s="36" customFormat="1" ht="15" customHeight="1" outlineLevel="1">
      <c r="A23" s="60"/>
      <c r="B23" s="68" t="s">
        <v>487</v>
      </c>
      <c r="C23" s="13" t="s">
        <v>240</v>
      </c>
      <c r="D23" s="241"/>
      <c r="E23" s="241">
        <f>'4.10_пр-во (свод)'!E23+'4.10_транзит+сбыт (свод)'!E23</f>
        <v>797259</v>
      </c>
      <c r="F23" s="241"/>
      <c r="G23" s="241">
        <v>0</v>
      </c>
      <c r="H23" s="241">
        <v>0</v>
      </c>
      <c r="I23" s="241">
        <v>0</v>
      </c>
      <c r="J23" s="241">
        <v>0</v>
      </c>
      <c r="K23" s="241">
        <v>0</v>
      </c>
      <c r="L23" s="241">
        <v>0</v>
      </c>
      <c r="M23" s="241">
        <v>0</v>
      </c>
      <c r="N23" s="241">
        <v>0</v>
      </c>
      <c r="O23" s="241">
        <v>0</v>
      </c>
      <c r="P23" s="241">
        <v>0</v>
      </c>
      <c r="Q23" s="241">
        <v>0</v>
      </c>
    </row>
    <row r="24" spans="1:17" s="36" customFormat="1" ht="15" customHeight="1" outlineLevel="1">
      <c r="A24" s="60"/>
      <c r="B24" s="68" t="s">
        <v>488</v>
      </c>
      <c r="C24" s="13" t="s">
        <v>240</v>
      </c>
      <c r="D24" s="241"/>
      <c r="E24" s="241">
        <f>'4.10_пр-во (свод)'!E24+'4.10_транзит+сбыт (свод)'!E24</f>
        <v>0</v>
      </c>
      <c r="F24" s="241"/>
      <c r="G24" s="241">
        <v>0</v>
      </c>
      <c r="H24" s="241">
        <v>0</v>
      </c>
      <c r="I24" s="241">
        <v>0</v>
      </c>
      <c r="J24" s="241">
        <v>0</v>
      </c>
      <c r="K24" s="241">
        <v>0</v>
      </c>
      <c r="L24" s="241">
        <v>0</v>
      </c>
      <c r="M24" s="241">
        <v>0</v>
      </c>
      <c r="N24" s="241">
        <v>0</v>
      </c>
      <c r="O24" s="241">
        <v>0</v>
      </c>
      <c r="P24" s="241">
        <v>0</v>
      </c>
      <c r="Q24" s="241">
        <v>0</v>
      </c>
    </row>
    <row r="25" spans="1:17" s="36" customFormat="1" ht="15" customHeight="1" outlineLevel="1">
      <c r="A25" s="60"/>
      <c r="B25" s="68" t="s">
        <v>489</v>
      </c>
      <c r="C25" s="13" t="s">
        <v>240</v>
      </c>
      <c r="D25" s="241"/>
      <c r="E25" s="241">
        <f>'4.10_пр-во (свод)'!E25+'4.10_транзит+сбыт (свод)'!E25</f>
        <v>0</v>
      </c>
      <c r="F25" s="241"/>
      <c r="G25" s="241">
        <v>0</v>
      </c>
      <c r="H25" s="241">
        <v>0</v>
      </c>
      <c r="I25" s="241">
        <v>0</v>
      </c>
      <c r="J25" s="241">
        <v>0</v>
      </c>
      <c r="K25" s="241">
        <v>0</v>
      </c>
      <c r="L25" s="241">
        <v>0</v>
      </c>
      <c r="M25" s="241">
        <v>0</v>
      </c>
      <c r="N25" s="241">
        <v>0</v>
      </c>
      <c r="O25" s="241">
        <v>0</v>
      </c>
      <c r="P25" s="241">
        <v>0</v>
      </c>
      <c r="Q25" s="241">
        <v>0</v>
      </c>
    </row>
    <row r="26" spans="1:17" s="36" customFormat="1" ht="15" customHeight="1" outlineLevel="1">
      <c r="A26" s="60"/>
      <c r="B26" s="68" t="s">
        <v>490</v>
      </c>
      <c r="C26" s="13" t="s">
        <v>240</v>
      </c>
      <c r="D26" s="241"/>
      <c r="E26" s="241">
        <f>'4.10_пр-во (свод)'!E26+'4.10_транзит+сбыт (свод)'!E26</f>
        <v>0</v>
      </c>
      <c r="F26" s="241"/>
      <c r="G26" s="241">
        <v>0</v>
      </c>
      <c r="H26" s="241">
        <v>0</v>
      </c>
      <c r="I26" s="241">
        <v>0</v>
      </c>
      <c r="J26" s="241">
        <v>0</v>
      </c>
      <c r="K26" s="241">
        <v>0</v>
      </c>
      <c r="L26" s="241">
        <v>0</v>
      </c>
      <c r="M26" s="241">
        <v>0</v>
      </c>
      <c r="N26" s="241">
        <v>0</v>
      </c>
      <c r="O26" s="241">
        <v>0</v>
      </c>
      <c r="P26" s="241">
        <v>0</v>
      </c>
      <c r="Q26" s="241">
        <v>0</v>
      </c>
    </row>
    <row r="27" spans="1:17" s="36" customFormat="1" ht="15" customHeight="1" outlineLevel="1">
      <c r="A27" s="60"/>
      <c r="B27" s="68" t="s">
        <v>491</v>
      </c>
      <c r="C27" s="13" t="s">
        <v>240</v>
      </c>
      <c r="D27" s="241"/>
      <c r="E27" s="241">
        <f>'4.10_пр-во (свод)'!E27+'4.10_транзит+сбыт (свод)'!E27</f>
        <v>0</v>
      </c>
      <c r="F27" s="241"/>
      <c r="G27" s="241">
        <v>0</v>
      </c>
      <c r="H27" s="241">
        <v>0</v>
      </c>
      <c r="I27" s="241">
        <v>0</v>
      </c>
      <c r="J27" s="241">
        <v>0</v>
      </c>
      <c r="K27" s="241">
        <v>0</v>
      </c>
      <c r="L27" s="241">
        <v>0</v>
      </c>
      <c r="M27" s="241">
        <v>0</v>
      </c>
      <c r="N27" s="241">
        <v>0</v>
      </c>
      <c r="O27" s="241">
        <v>0</v>
      </c>
      <c r="P27" s="241">
        <v>0</v>
      </c>
      <c r="Q27" s="241">
        <v>0</v>
      </c>
    </row>
    <row r="28" spans="1:17" s="36" customFormat="1" ht="15" customHeight="1" outlineLevel="1">
      <c r="A28" s="60"/>
      <c r="B28" s="70" t="s">
        <v>492</v>
      </c>
      <c r="C28" s="13" t="s">
        <v>240</v>
      </c>
      <c r="D28" s="241"/>
      <c r="E28" s="241">
        <f>'4.10_пр-во (свод)'!E28+'4.10_транзит+сбыт (свод)'!E28</f>
        <v>0</v>
      </c>
      <c r="F28" s="241"/>
      <c r="G28" s="241">
        <v>0</v>
      </c>
      <c r="H28" s="241">
        <v>0</v>
      </c>
      <c r="I28" s="241">
        <v>0</v>
      </c>
      <c r="J28" s="241">
        <v>0</v>
      </c>
      <c r="K28" s="241">
        <v>0</v>
      </c>
      <c r="L28" s="241">
        <v>0</v>
      </c>
      <c r="M28" s="241">
        <v>0</v>
      </c>
      <c r="N28" s="241">
        <v>0</v>
      </c>
      <c r="O28" s="241">
        <v>0</v>
      </c>
      <c r="P28" s="241">
        <v>0</v>
      </c>
      <c r="Q28" s="241">
        <v>0</v>
      </c>
    </row>
    <row r="29" spans="1:17" s="36" customFormat="1" ht="15" customHeight="1" outlineLevel="1">
      <c r="A29" s="60"/>
      <c r="B29" s="70" t="s">
        <v>493</v>
      </c>
      <c r="C29" s="13" t="s">
        <v>240</v>
      </c>
      <c r="D29" s="241"/>
      <c r="E29" s="241">
        <f>'4.10_пр-во (свод)'!E29+'4.10_транзит+сбыт (свод)'!E29</f>
        <v>0</v>
      </c>
      <c r="F29" s="241"/>
      <c r="G29" s="241">
        <v>0</v>
      </c>
      <c r="H29" s="241">
        <v>0</v>
      </c>
      <c r="I29" s="241">
        <v>0</v>
      </c>
      <c r="J29" s="241">
        <v>0</v>
      </c>
      <c r="K29" s="241">
        <v>0</v>
      </c>
      <c r="L29" s="241">
        <v>0</v>
      </c>
      <c r="M29" s="241">
        <v>0</v>
      </c>
      <c r="N29" s="241">
        <v>0</v>
      </c>
      <c r="O29" s="241">
        <v>0</v>
      </c>
      <c r="P29" s="241">
        <v>0</v>
      </c>
      <c r="Q29" s="241">
        <v>0</v>
      </c>
    </row>
    <row r="30" spans="1:17" s="36" customFormat="1" ht="15" customHeight="1" outlineLevel="1">
      <c r="A30" s="60"/>
      <c r="B30" s="70" t="s">
        <v>494</v>
      </c>
      <c r="C30" s="13" t="s">
        <v>240</v>
      </c>
      <c r="D30" s="241"/>
      <c r="E30" s="241">
        <f>'4.10_пр-во (свод)'!E30+'4.10_транзит+сбыт (свод)'!E30</f>
        <v>0</v>
      </c>
      <c r="F30" s="241"/>
      <c r="G30" s="241">
        <v>0</v>
      </c>
      <c r="H30" s="241">
        <v>0</v>
      </c>
      <c r="I30" s="241">
        <v>0</v>
      </c>
      <c r="J30" s="241">
        <v>0</v>
      </c>
      <c r="K30" s="241">
        <v>0</v>
      </c>
      <c r="L30" s="241">
        <v>0</v>
      </c>
      <c r="M30" s="241">
        <v>0</v>
      </c>
      <c r="N30" s="241">
        <v>0</v>
      </c>
      <c r="O30" s="241">
        <v>0</v>
      </c>
      <c r="P30" s="241">
        <v>0</v>
      </c>
      <c r="Q30" s="241">
        <v>0</v>
      </c>
    </row>
    <row r="31" spans="1:17" s="36" customFormat="1" ht="15" customHeight="1" outlineLevel="1">
      <c r="A31" s="60"/>
      <c r="B31" s="70" t="s">
        <v>495</v>
      </c>
      <c r="C31" s="13" t="s">
        <v>240</v>
      </c>
      <c r="D31" s="241"/>
      <c r="E31" s="241">
        <f>'4.10_пр-во (свод)'!E31+'4.10_транзит+сбыт (свод)'!E31</f>
        <v>0</v>
      </c>
      <c r="F31" s="241"/>
      <c r="G31" s="241">
        <v>0</v>
      </c>
      <c r="H31" s="241">
        <v>0</v>
      </c>
      <c r="I31" s="241">
        <v>0</v>
      </c>
      <c r="J31" s="241">
        <v>0</v>
      </c>
      <c r="K31" s="241">
        <v>0</v>
      </c>
      <c r="L31" s="241">
        <v>0</v>
      </c>
      <c r="M31" s="241">
        <v>0</v>
      </c>
      <c r="N31" s="241">
        <v>0</v>
      </c>
      <c r="O31" s="241">
        <v>0</v>
      </c>
      <c r="P31" s="241">
        <v>0</v>
      </c>
      <c r="Q31" s="241">
        <v>0</v>
      </c>
    </row>
    <row r="32" spans="1:17" s="36" customFormat="1" ht="15" customHeight="1" outlineLevel="1">
      <c r="A32" s="60"/>
      <c r="B32" s="70" t="s">
        <v>496</v>
      </c>
      <c r="C32" s="13" t="s">
        <v>240</v>
      </c>
      <c r="D32" s="241"/>
      <c r="E32" s="241">
        <f>'4.10_пр-во (свод)'!E32+'4.10_транзит+сбыт (свод)'!E32</f>
        <v>0</v>
      </c>
      <c r="F32" s="241"/>
      <c r="G32" s="241">
        <v>0</v>
      </c>
      <c r="H32" s="241">
        <v>0</v>
      </c>
      <c r="I32" s="241">
        <v>0</v>
      </c>
      <c r="J32" s="241">
        <v>0</v>
      </c>
      <c r="K32" s="241">
        <v>0</v>
      </c>
      <c r="L32" s="241">
        <v>0</v>
      </c>
      <c r="M32" s="241">
        <v>0</v>
      </c>
      <c r="N32" s="241">
        <v>0</v>
      </c>
      <c r="O32" s="241">
        <v>0</v>
      </c>
      <c r="P32" s="241">
        <v>0</v>
      </c>
      <c r="Q32" s="241">
        <v>0</v>
      </c>
    </row>
    <row r="33" spans="1:17" s="36" customFormat="1" ht="15" customHeight="1" outlineLevel="1">
      <c r="A33" s="60"/>
      <c r="B33" s="70" t="s">
        <v>497</v>
      </c>
      <c r="C33" s="13" t="s">
        <v>240</v>
      </c>
      <c r="D33" s="241"/>
      <c r="E33" s="241">
        <f>'4.10_пр-во (свод)'!E33+'4.10_транзит+сбыт (свод)'!E33</f>
        <v>0</v>
      </c>
      <c r="F33" s="241"/>
      <c r="G33" s="241">
        <v>0</v>
      </c>
      <c r="H33" s="241">
        <v>0</v>
      </c>
      <c r="I33" s="241">
        <v>0</v>
      </c>
      <c r="J33" s="241">
        <v>0</v>
      </c>
      <c r="K33" s="241">
        <v>0</v>
      </c>
      <c r="L33" s="241">
        <v>0</v>
      </c>
      <c r="M33" s="241">
        <v>0</v>
      </c>
      <c r="N33" s="241">
        <v>0</v>
      </c>
      <c r="O33" s="241">
        <v>0</v>
      </c>
      <c r="P33" s="241">
        <v>0</v>
      </c>
      <c r="Q33" s="241">
        <v>0</v>
      </c>
    </row>
    <row r="34" spans="1:17" s="36" customFormat="1" ht="15" customHeight="1" outlineLevel="1">
      <c r="A34" s="60"/>
      <c r="B34" s="68" t="s">
        <v>498</v>
      </c>
      <c r="C34" s="13" t="s">
        <v>240</v>
      </c>
      <c r="D34" s="241"/>
      <c r="E34" s="241">
        <f>'4.10_пр-во (свод)'!E34+'4.10_транзит+сбыт (свод)'!E34</f>
        <v>0</v>
      </c>
      <c r="F34" s="241"/>
      <c r="G34" s="241">
        <v>0</v>
      </c>
      <c r="H34" s="241">
        <v>0</v>
      </c>
      <c r="I34" s="241">
        <v>0</v>
      </c>
      <c r="J34" s="241">
        <v>0</v>
      </c>
      <c r="K34" s="241">
        <v>0</v>
      </c>
      <c r="L34" s="241">
        <v>0</v>
      </c>
      <c r="M34" s="241">
        <v>0</v>
      </c>
      <c r="N34" s="241">
        <v>0</v>
      </c>
      <c r="O34" s="241">
        <v>0</v>
      </c>
      <c r="P34" s="241">
        <v>0</v>
      </c>
      <c r="Q34" s="241">
        <v>0</v>
      </c>
    </row>
    <row r="35" spans="1:17" s="36" customFormat="1" ht="15" customHeight="1" outlineLevel="1">
      <c r="A35" s="60"/>
      <c r="B35" s="68" t="s">
        <v>499</v>
      </c>
      <c r="C35" s="13" t="s">
        <v>240</v>
      </c>
      <c r="D35" s="241"/>
      <c r="E35" s="241">
        <f>'4.10_пр-во (свод)'!E35+'4.10_транзит+сбыт (свод)'!E35</f>
        <v>0</v>
      </c>
      <c r="F35" s="241"/>
      <c r="G35" s="241">
        <v>0</v>
      </c>
      <c r="H35" s="241">
        <v>0</v>
      </c>
      <c r="I35" s="241">
        <v>0</v>
      </c>
      <c r="J35" s="241">
        <v>0</v>
      </c>
      <c r="K35" s="241">
        <v>0</v>
      </c>
      <c r="L35" s="241">
        <v>0</v>
      </c>
      <c r="M35" s="241">
        <v>0</v>
      </c>
      <c r="N35" s="241">
        <v>0</v>
      </c>
      <c r="O35" s="241">
        <v>0</v>
      </c>
      <c r="P35" s="241">
        <v>0</v>
      </c>
      <c r="Q35" s="241">
        <v>0</v>
      </c>
    </row>
    <row r="36" spans="1:17" s="36" customFormat="1">
      <c r="A36" s="60"/>
      <c r="B36" s="68"/>
      <c r="C36" s="13"/>
      <c r="D36" s="241"/>
      <c r="E36" s="241"/>
      <c r="F36" s="241"/>
      <c r="G36" s="241"/>
      <c r="H36" s="241"/>
      <c r="I36" s="241"/>
      <c r="J36" s="241"/>
      <c r="K36" s="241"/>
      <c r="L36" s="241"/>
      <c r="M36" s="241"/>
      <c r="N36" s="241"/>
      <c r="O36" s="241"/>
      <c r="P36" s="241"/>
      <c r="Q36" s="241"/>
    </row>
    <row r="37" spans="1:17" s="1001" customFormat="1" ht="15" customHeight="1">
      <c r="A37" s="82" t="s">
        <v>27</v>
      </c>
      <c r="B37" s="80" t="s">
        <v>501</v>
      </c>
      <c r="C37" s="999" t="s">
        <v>240</v>
      </c>
      <c r="D37" s="1000">
        <f>'4.10_пр-во (свод)'!D37+'4.10_транзит+сбыт (свод)'!D37</f>
        <v>51919</v>
      </c>
      <c r="E37" s="1000">
        <f>'4.10_пр-во (свод)'!E37+'4.10_транзит+сбыт (свод)'!E37</f>
        <v>32073.440000000002</v>
      </c>
      <c r="F37" s="1000">
        <v>0</v>
      </c>
      <c r="G37" s="1000">
        <v>49711</v>
      </c>
      <c r="H37" s="1000">
        <v>27660.169491525423</v>
      </c>
      <c r="I37" s="1000">
        <v>155589</v>
      </c>
      <c r="J37" s="1000">
        <v>270577</v>
      </c>
      <c r="K37" s="1000">
        <v>286602.95</v>
      </c>
      <c r="L37" s="1000">
        <v>81047.199999999997</v>
      </c>
      <c r="M37" s="1000">
        <v>156</v>
      </c>
      <c r="N37" s="1000">
        <v>80891.199999999997</v>
      </c>
      <c r="O37" s="1000">
        <v>218590.7</v>
      </c>
      <c r="P37" s="1000">
        <v>28</v>
      </c>
      <c r="Q37" s="1000">
        <v>218562.7</v>
      </c>
    </row>
    <row r="38" spans="1:17" s="36" customFormat="1" ht="15" customHeight="1" outlineLevel="1">
      <c r="A38" s="60"/>
      <c r="B38" s="68" t="s">
        <v>487</v>
      </c>
      <c r="C38" s="13" t="s">
        <v>240</v>
      </c>
      <c r="D38" s="241"/>
      <c r="E38" s="241">
        <f>'4.10_пр-во (свод)'!E38+'4.10_транзит+сбыт (свод)'!E38</f>
        <v>0</v>
      </c>
      <c r="F38" s="241"/>
      <c r="G38" s="241">
        <v>32205</v>
      </c>
      <c r="H38" s="241">
        <v>0</v>
      </c>
      <c r="I38" s="241">
        <v>26871</v>
      </c>
      <c r="J38" s="241">
        <v>0</v>
      </c>
      <c r="K38" s="241">
        <v>924</v>
      </c>
      <c r="L38" s="241">
        <v>9037</v>
      </c>
      <c r="M38" s="241">
        <v>0</v>
      </c>
      <c r="N38" s="241">
        <v>9037</v>
      </c>
      <c r="O38" s="241">
        <v>1428</v>
      </c>
      <c r="P38" s="241">
        <v>0</v>
      </c>
      <c r="Q38" s="241">
        <v>1428</v>
      </c>
    </row>
    <row r="39" spans="1:17" s="36" customFormat="1" ht="15" customHeight="1" outlineLevel="1">
      <c r="A39" s="60"/>
      <c r="B39" s="68" t="s">
        <v>488</v>
      </c>
      <c r="C39" s="13" t="s">
        <v>240</v>
      </c>
      <c r="D39" s="241"/>
      <c r="E39" s="241">
        <f>'4.10_пр-во (свод)'!E39+'4.10_транзит+сбыт (свод)'!E39</f>
        <v>17120</v>
      </c>
      <c r="F39" s="241"/>
      <c r="G39" s="241">
        <v>6760</v>
      </c>
      <c r="H39" s="241">
        <v>0</v>
      </c>
      <c r="I39" s="241">
        <v>21145</v>
      </c>
      <c r="J39" s="241">
        <v>0</v>
      </c>
      <c r="K39" s="241">
        <v>230811</v>
      </c>
      <c r="L39" s="241">
        <v>23460</v>
      </c>
      <c r="M39" s="241">
        <v>0</v>
      </c>
      <c r="N39" s="241">
        <v>23460</v>
      </c>
      <c r="O39" s="241">
        <v>147329</v>
      </c>
      <c r="P39" s="241">
        <v>0</v>
      </c>
      <c r="Q39" s="241">
        <v>147329</v>
      </c>
    </row>
    <row r="40" spans="1:17" s="36" customFormat="1" ht="15" customHeight="1" outlineLevel="1">
      <c r="A40" s="60"/>
      <c r="B40" s="68" t="s">
        <v>489</v>
      </c>
      <c r="C40" s="13" t="s">
        <v>240</v>
      </c>
      <c r="D40" s="241"/>
      <c r="E40" s="241">
        <f>'4.10_пр-во (свод)'!E40+'4.10_транзит+сбыт (свод)'!E40</f>
        <v>0</v>
      </c>
      <c r="F40" s="241"/>
      <c r="G40" s="241">
        <v>0</v>
      </c>
      <c r="H40" s="241">
        <v>0</v>
      </c>
      <c r="I40" s="241">
        <v>8719</v>
      </c>
      <c r="J40" s="241">
        <v>0</v>
      </c>
      <c r="K40" s="241">
        <v>23249</v>
      </c>
      <c r="L40" s="241">
        <v>1003</v>
      </c>
      <c r="M40" s="241">
        <v>0</v>
      </c>
      <c r="N40" s="241">
        <v>1003</v>
      </c>
      <c r="O40" s="241">
        <v>1017</v>
      </c>
      <c r="P40" s="241">
        <v>0</v>
      </c>
      <c r="Q40" s="241">
        <v>1017</v>
      </c>
    </row>
    <row r="41" spans="1:17" s="36" customFormat="1" ht="15" customHeight="1" outlineLevel="1">
      <c r="A41" s="60"/>
      <c r="B41" s="68" t="s">
        <v>490</v>
      </c>
      <c r="C41" s="13" t="s">
        <v>240</v>
      </c>
      <c r="D41" s="241"/>
      <c r="E41" s="241">
        <f>'4.10_пр-во (свод)'!E41+'4.10_транзит+сбыт (свод)'!E41</f>
        <v>12139</v>
      </c>
      <c r="F41" s="241"/>
      <c r="G41" s="241">
        <v>9267</v>
      </c>
      <c r="H41" s="241">
        <v>0</v>
      </c>
      <c r="I41" s="241">
        <v>66785</v>
      </c>
      <c r="J41" s="241">
        <v>0</v>
      </c>
      <c r="K41" s="241">
        <v>20551</v>
      </c>
      <c r="L41" s="241">
        <v>31891.200000000001</v>
      </c>
      <c r="M41" s="241">
        <v>156</v>
      </c>
      <c r="N41" s="241">
        <v>31735.200000000001</v>
      </c>
      <c r="O41" s="241">
        <v>54569.46</v>
      </c>
      <c r="P41" s="241">
        <v>28</v>
      </c>
      <c r="Q41" s="241">
        <v>54541.46</v>
      </c>
    </row>
    <row r="42" spans="1:17" s="36" customFormat="1" ht="15" customHeight="1" outlineLevel="1">
      <c r="A42" s="60"/>
      <c r="B42" s="68" t="s">
        <v>491</v>
      </c>
      <c r="C42" s="13" t="s">
        <v>240</v>
      </c>
      <c r="D42" s="241"/>
      <c r="E42" s="241">
        <f>'4.10_пр-во (свод)'!E42+'4.10_транзит+сбыт (свод)'!E42</f>
        <v>26</v>
      </c>
      <c r="F42" s="241"/>
      <c r="G42" s="241">
        <v>0</v>
      </c>
      <c r="H42" s="241">
        <v>0</v>
      </c>
      <c r="I42" s="241">
        <v>0</v>
      </c>
      <c r="J42" s="241">
        <v>0</v>
      </c>
      <c r="K42" s="241">
        <v>0</v>
      </c>
      <c r="L42" s="241">
        <v>21372</v>
      </c>
      <c r="M42" s="241">
        <v>0</v>
      </c>
      <c r="N42" s="241">
        <v>21372</v>
      </c>
      <c r="O42" s="241">
        <v>43600</v>
      </c>
      <c r="P42" s="241">
        <v>0</v>
      </c>
      <c r="Q42" s="241">
        <v>43600</v>
      </c>
    </row>
    <row r="43" spans="1:17" s="36" customFormat="1" ht="15" customHeight="1" outlineLevel="1">
      <c r="A43" s="60"/>
      <c r="B43" s="70" t="s">
        <v>492</v>
      </c>
      <c r="C43" s="13" t="s">
        <v>240</v>
      </c>
      <c r="D43" s="241"/>
      <c r="E43" s="241">
        <f>'4.10_пр-во (свод)'!E43+'4.10_транзит+сбыт (свод)'!E43</f>
        <v>2254</v>
      </c>
      <c r="F43" s="241"/>
      <c r="G43" s="241">
        <v>4505</v>
      </c>
      <c r="H43" s="241">
        <v>0</v>
      </c>
      <c r="I43" s="241">
        <v>12241</v>
      </c>
      <c r="J43" s="241">
        <v>0</v>
      </c>
      <c r="K43" s="241">
        <v>9066</v>
      </c>
      <c r="L43" s="241">
        <v>1750</v>
      </c>
      <c r="M43" s="241">
        <v>0</v>
      </c>
      <c r="N43" s="241">
        <v>1750</v>
      </c>
      <c r="O43" s="241">
        <v>1920</v>
      </c>
      <c r="P43" s="241">
        <v>0</v>
      </c>
      <c r="Q43" s="241">
        <v>1920</v>
      </c>
    </row>
    <row r="44" spans="1:17" s="36" customFormat="1" ht="15" customHeight="1" outlineLevel="1">
      <c r="A44" s="60"/>
      <c r="B44" s="70" t="s">
        <v>493</v>
      </c>
      <c r="C44" s="13" t="s">
        <v>240</v>
      </c>
      <c r="D44" s="241"/>
      <c r="E44" s="241">
        <f>'4.10_пр-во (свод)'!E44+'4.10_транзит+сбыт (свод)'!E44</f>
        <v>336</v>
      </c>
      <c r="F44" s="241"/>
      <c r="G44" s="241">
        <v>708</v>
      </c>
      <c r="H44" s="241">
        <v>0</v>
      </c>
      <c r="I44" s="241">
        <v>496</v>
      </c>
      <c r="J44" s="241">
        <v>0</v>
      </c>
      <c r="K44" s="241">
        <v>6864</v>
      </c>
      <c r="L44" s="241">
        <v>5881.2</v>
      </c>
      <c r="M44" s="241">
        <v>156</v>
      </c>
      <c r="N44" s="241">
        <v>5725.2</v>
      </c>
      <c r="O44" s="241">
        <v>1161.5</v>
      </c>
      <c r="P44" s="241">
        <v>28</v>
      </c>
      <c r="Q44" s="241">
        <v>1133.5</v>
      </c>
    </row>
    <row r="45" spans="1:17" s="36" customFormat="1" ht="15" customHeight="1" outlineLevel="1">
      <c r="A45" s="60"/>
      <c r="B45" s="70" t="s">
        <v>494</v>
      </c>
      <c r="C45" s="13" t="s">
        <v>240</v>
      </c>
      <c r="D45" s="241"/>
      <c r="E45" s="241">
        <f>'4.10_пр-во (свод)'!E45+'4.10_транзит+сбыт (свод)'!E45</f>
        <v>1624</v>
      </c>
      <c r="F45" s="241"/>
      <c r="G45" s="241">
        <v>936</v>
      </c>
      <c r="H45" s="241">
        <v>0</v>
      </c>
      <c r="I45" s="241">
        <v>6503</v>
      </c>
      <c r="J45" s="241">
        <v>0</v>
      </c>
      <c r="K45" s="241">
        <v>0</v>
      </c>
      <c r="L45" s="241">
        <v>1764</v>
      </c>
      <c r="M45" s="241">
        <v>0</v>
      </c>
      <c r="N45" s="241">
        <v>1764</v>
      </c>
      <c r="O45" s="241">
        <v>3235.96</v>
      </c>
      <c r="P45" s="241">
        <v>0</v>
      </c>
      <c r="Q45" s="241">
        <v>3235.96</v>
      </c>
    </row>
    <row r="46" spans="1:17" s="36" customFormat="1" ht="15" customHeight="1" outlineLevel="1">
      <c r="A46" s="60"/>
      <c r="B46" s="70" t="s">
        <v>495</v>
      </c>
      <c r="C46" s="13" t="s">
        <v>240</v>
      </c>
      <c r="D46" s="241"/>
      <c r="E46" s="241">
        <f>'4.10_пр-во (свод)'!E46+'4.10_транзит+сбыт (свод)'!E46</f>
        <v>7899</v>
      </c>
      <c r="F46" s="241"/>
      <c r="G46" s="241">
        <v>3118</v>
      </c>
      <c r="H46" s="241">
        <v>0</v>
      </c>
      <c r="I46" s="241">
        <v>47545</v>
      </c>
      <c r="J46" s="241">
        <v>0</v>
      </c>
      <c r="K46" s="241">
        <v>4621</v>
      </c>
      <c r="L46" s="241">
        <v>1124</v>
      </c>
      <c r="M46" s="241">
        <v>0</v>
      </c>
      <c r="N46" s="241">
        <v>1124</v>
      </c>
      <c r="O46" s="241">
        <v>4652</v>
      </c>
      <c r="P46" s="241">
        <v>0</v>
      </c>
      <c r="Q46" s="241">
        <v>4652</v>
      </c>
    </row>
    <row r="47" spans="1:17" s="36" customFormat="1" ht="15" customHeight="1" outlineLevel="1">
      <c r="A47" s="60"/>
      <c r="B47" s="70" t="s">
        <v>496</v>
      </c>
      <c r="C47" s="13" t="s">
        <v>240</v>
      </c>
      <c r="D47" s="241"/>
      <c r="E47" s="241">
        <f>'4.10_пр-во (свод)'!E47+'4.10_транзит+сбыт (свод)'!E47</f>
        <v>100</v>
      </c>
      <c r="F47" s="241"/>
      <c r="G47" s="241">
        <v>0</v>
      </c>
      <c r="H47" s="241">
        <v>0</v>
      </c>
      <c r="I47" s="241">
        <v>2271</v>
      </c>
      <c r="J47" s="241">
        <v>0</v>
      </c>
      <c r="K47" s="241">
        <v>7791</v>
      </c>
      <c r="L47" s="241">
        <v>11492.47</v>
      </c>
      <c r="M47" s="241">
        <v>0</v>
      </c>
      <c r="N47" s="241">
        <v>11492.47</v>
      </c>
      <c r="O47" s="241">
        <v>10021.969999999999</v>
      </c>
      <c r="P47" s="241">
        <v>0</v>
      </c>
      <c r="Q47" s="241">
        <v>10021.969999999999</v>
      </c>
    </row>
    <row r="48" spans="1:17" s="36" customFormat="1" ht="15" customHeight="1" outlineLevel="1">
      <c r="A48" s="60"/>
      <c r="B48" s="70" t="s">
        <v>497</v>
      </c>
      <c r="C48" s="13" t="s">
        <v>240</v>
      </c>
      <c r="D48" s="241"/>
      <c r="E48" s="241">
        <f>'4.10_пр-во (свод)'!E48+'4.10_транзит+сбыт (свод)'!E48</f>
        <v>5</v>
      </c>
      <c r="F48" s="241"/>
      <c r="G48" s="241">
        <v>116</v>
      </c>
      <c r="H48" s="241">
        <v>0</v>
      </c>
      <c r="I48" s="241">
        <v>95</v>
      </c>
      <c r="J48" s="241">
        <v>0</v>
      </c>
      <c r="K48" s="241">
        <v>0</v>
      </c>
      <c r="L48" s="241">
        <v>0</v>
      </c>
      <c r="M48" s="241">
        <v>0</v>
      </c>
      <c r="N48" s="241">
        <v>0</v>
      </c>
      <c r="O48" s="241">
        <v>0</v>
      </c>
      <c r="P48" s="241">
        <v>0</v>
      </c>
      <c r="Q48" s="241">
        <v>0</v>
      </c>
    </row>
    <row r="49" spans="1:17" s="36" customFormat="1" ht="15" customHeight="1" outlineLevel="1">
      <c r="A49" s="60"/>
      <c r="B49" s="68" t="s">
        <v>498</v>
      </c>
      <c r="C49" s="13" t="s">
        <v>240</v>
      </c>
      <c r="D49" s="241"/>
      <c r="E49" s="241">
        <f>'4.10_пр-во (свод)'!E49+'4.10_транзит+сбыт (свод)'!E49</f>
        <v>2112.44</v>
      </c>
      <c r="F49" s="241"/>
      <c r="G49" s="241">
        <v>368</v>
      </c>
      <c r="H49" s="241">
        <v>0</v>
      </c>
      <c r="I49" s="241">
        <v>160.5</v>
      </c>
      <c r="J49" s="241">
        <v>0</v>
      </c>
      <c r="K49" s="241">
        <v>0</v>
      </c>
      <c r="L49" s="241">
        <v>0</v>
      </c>
      <c r="M49" s="241">
        <v>0</v>
      </c>
      <c r="N49" s="241">
        <v>0</v>
      </c>
      <c r="O49" s="241">
        <v>0</v>
      </c>
      <c r="P49" s="241">
        <v>0</v>
      </c>
      <c r="Q49" s="241">
        <v>0</v>
      </c>
    </row>
    <row r="50" spans="1:17" s="36" customFormat="1" ht="15" customHeight="1" outlineLevel="1">
      <c r="A50" s="60"/>
      <c r="B50" s="68" t="s">
        <v>499</v>
      </c>
      <c r="C50" s="13" t="s">
        <v>240</v>
      </c>
      <c r="D50" s="241"/>
      <c r="E50" s="241">
        <f>'4.10_пр-во (свод)'!E50+'4.10_транзит+сбыт (свод)'!E50</f>
        <v>597</v>
      </c>
      <c r="F50" s="241"/>
      <c r="G50" s="241">
        <v>995</v>
      </c>
      <c r="H50" s="241">
        <v>0</v>
      </c>
      <c r="I50" s="241">
        <v>29542.5</v>
      </c>
      <c r="J50" s="241">
        <v>0</v>
      </c>
      <c r="K50" s="241">
        <v>3276.95</v>
      </c>
      <c r="L50" s="241">
        <v>4163.53</v>
      </c>
      <c r="M50" s="241">
        <v>0</v>
      </c>
      <c r="N50" s="241">
        <v>4163.53</v>
      </c>
      <c r="O50" s="241">
        <v>4225.2699999999995</v>
      </c>
      <c r="P50" s="241">
        <v>0</v>
      </c>
      <c r="Q50" s="241">
        <v>4225.2699999999995</v>
      </c>
    </row>
    <row r="51" spans="1:17" s="36" customFormat="1">
      <c r="A51" s="60"/>
      <c r="B51" s="68"/>
      <c r="C51" s="13"/>
      <c r="D51" s="241"/>
      <c r="E51" s="241"/>
      <c r="F51" s="241"/>
      <c r="G51" s="241"/>
      <c r="H51" s="241"/>
      <c r="I51" s="241"/>
      <c r="J51" s="241"/>
      <c r="K51" s="241"/>
      <c r="L51" s="241"/>
      <c r="M51" s="241"/>
      <c r="N51" s="241"/>
      <c r="O51" s="241"/>
      <c r="P51" s="241"/>
      <c r="Q51" s="241"/>
    </row>
    <row r="52" spans="1:17" s="1001" customFormat="1" ht="28.5">
      <c r="A52" s="82" t="s">
        <v>30</v>
      </c>
      <c r="B52" s="80" t="s">
        <v>502</v>
      </c>
      <c r="C52" s="1002" t="s">
        <v>240</v>
      </c>
      <c r="D52" s="1000">
        <f>'4.10_пр-во (свод)'!D52+'4.10_транзит+сбыт (свод)'!D52</f>
        <v>0</v>
      </c>
      <c r="E52" s="1000">
        <f>'4.10_пр-во (свод)'!E52+'4.10_транзит+сбыт (свод)'!E52</f>
        <v>4979.5</v>
      </c>
      <c r="F52" s="1000">
        <v>0</v>
      </c>
      <c r="G52" s="1000">
        <v>72988.230850093169</v>
      </c>
      <c r="H52" s="1000">
        <v>0</v>
      </c>
      <c r="I52" s="1000">
        <v>22082</v>
      </c>
      <c r="J52" s="1000">
        <v>0</v>
      </c>
      <c r="K52" s="1000">
        <v>22064</v>
      </c>
      <c r="L52" s="1000">
        <v>0</v>
      </c>
      <c r="M52" s="1000">
        <v>0</v>
      </c>
      <c r="N52" s="1000">
        <v>0</v>
      </c>
      <c r="O52" s="1000">
        <v>0</v>
      </c>
      <c r="P52" s="1000">
        <v>0</v>
      </c>
      <c r="Q52" s="1000">
        <v>0</v>
      </c>
    </row>
    <row r="53" spans="1:17" s="36" customFormat="1" ht="15" customHeight="1" outlineLevel="1">
      <c r="A53" s="60"/>
      <c r="B53" s="68" t="s">
        <v>487</v>
      </c>
      <c r="C53" s="13" t="s">
        <v>240</v>
      </c>
      <c r="D53" s="241"/>
      <c r="E53" s="241">
        <f>'4.10_пр-во (свод)'!E53+'4.10_транзит+сбыт (свод)'!E53</f>
        <v>0</v>
      </c>
      <c r="F53" s="241"/>
      <c r="G53" s="241">
        <v>69392</v>
      </c>
      <c r="H53" s="241">
        <v>0</v>
      </c>
      <c r="I53" s="241">
        <v>13915</v>
      </c>
      <c r="J53" s="241">
        <v>0</v>
      </c>
      <c r="K53" s="241">
        <v>0</v>
      </c>
      <c r="L53" s="241">
        <v>0</v>
      </c>
      <c r="M53" s="241">
        <v>0</v>
      </c>
      <c r="N53" s="241">
        <v>0</v>
      </c>
      <c r="O53" s="241">
        <v>0</v>
      </c>
      <c r="P53" s="241">
        <v>0</v>
      </c>
      <c r="Q53" s="241">
        <v>0</v>
      </c>
    </row>
    <row r="54" spans="1:17" s="36" customFormat="1" ht="15" customHeight="1" outlineLevel="1">
      <c r="A54" s="60"/>
      <c r="B54" s="68" t="s">
        <v>488</v>
      </c>
      <c r="C54" s="13" t="s">
        <v>240</v>
      </c>
      <c r="D54" s="241"/>
      <c r="E54" s="241">
        <f>'4.10_пр-во (свод)'!E54+'4.10_транзит+сбыт (свод)'!E54</f>
        <v>1340</v>
      </c>
      <c r="F54" s="241"/>
      <c r="G54" s="241">
        <v>113.40059838045643</v>
      </c>
      <c r="H54" s="241">
        <v>0</v>
      </c>
      <c r="I54" s="241">
        <v>0</v>
      </c>
      <c r="J54" s="241">
        <v>0</v>
      </c>
      <c r="K54" s="241">
        <v>0</v>
      </c>
      <c r="L54" s="241">
        <v>0</v>
      </c>
      <c r="M54" s="241">
        <v>0</v>
      </c>
      <c r="N54" s="241">
        <v>0</v>
      </c>
      <c r="O54" s="241">
        <v>0</v>
      </c>
      <c r="P54" s="241">
        <v>0</v>
      </c>
      <c r="Q54" s="241">
        <v>0</v>
      </c>
    </row>
    <row r="55" spans="1:17" s="36" customFormat="1" ht="15" customHeight="1" outlineLevel="1">
      <c r="A55" s="60"/>
      <c r="B55" s="68" t="s">
        <v>489</v>
      </c>
      <c r="C55" s="13" t="s">
        <v>240</v>
      </c>
      <c r="D55" s="241"/>
      <c r="E55" s="241">
        <f>'4.10_пр-во (свод)'!E55+'4.10_транзит+сбыт (свод)'!E55</f>
        <v>0</v>
      </c>
      <c r="F55" s="241"/>
      <c r="G55" s="241">
        <v>0</v>
      </c>
      <c r="H55" s="241">
        <v>0</v>
      </c>
      <c r="I55" s="241">
        <v>0</v>
      </c>
      <c r="J55" s="241">
        <v>0</v>
      </c>
      <c r="K55" s="241">
        <v>0</v>
      </c>
      <c r="L55" s="241">
        <v>0</v>
      </c>
      <c r="M55" s="241">
        <v>0</v>
      </c>
      <c r="N55" s="241">
        <v>0</v>
      </c>
      <c r="O55" s="241">
        <v>0</v>
      </c>
      <c r="P55" s="241">
        <v>0</v>
      </c>
      <c r="Q55" s="241">
        <v>0</v>
      </c>
    </row>
    <row r="56" spans="1:17" s="36" customFormat="1" ht="15" customHeight="1" outlineLevel="1">
      <c r="A56" s="60"/>
      <c r="B56" s="68" t="s">
        <v>490</v>
      </c>
      <c r="C56" s="13" t="s">
        <v>240</v>
      </c>
      <c r="D56" s="241"/>
      <c r="E56" s="241">
        <f>'4.10_пр-во (свод)'!E56+'4.10_транзит+сбыт (свод)'!E56</f>
        <v>784</v>
      </c>
      <c r="F56" s="241"/>
      <c r="G56" s="241">
        <v>2248.2983515659907</v>
      </c>
      <c r="H56" s="241">
        <v>0</v>
      </c>
      <c r="I56" s="241">
        <v>683</v>
      </c>
      <c r="J56" s="241">
        <v>0</v>
      </c>
      <c r="K56" s="241">
        <v>0</v>
      </c>
      <c r="L56" s="241">
        <v>0</v>
      </c>
      <c r="M56" s="241">
        <v>0</v>
      </c>
      <c r="N56" s="241">
        <v>0</v>
      </c>
      <c r="O56" s="241">
        <v>0</v>
      </c>
      <c r="P56" s="241">
        <v>0</v>
      </c>
      <c r="Q56" s="241">
        <v>0</v>
      </c>
    </row>
    <row r="57" spans="1:17" s="36" customFormat="1" ht="15" customHeight="1" outlineLevel="1">
      <c r="A57" s="60"/>
      <c r="B57" s="68" t="s">
        <v>491</v>
      </c>
      <c r="C57" s="13" t="s">
        <v>240</v>
      </c>
      <c r="D57" s="241"/>
      <c r="E57" s="241">
        <f>'4.10_пр-во (свод)'!E57+'4.10_транзит+сбыт (свод)'!E57</f>
        <v>0</v>
      </c>
      <c r="F57" s="241"/>
      <c r="G57" s="241">
        <v>0</v>
      </c>
      <c r="H57" s="241">
        <v>0</v>
      </c>
      <c r="I57" s="241">
        <v>0</v>
      </c>
      <c r="J57" s="241">
        <v>0</v>
      </c>
      <c r="K57" s="241">
        <v>0</v>
      </c>
      <c r="L57" s="241">
        <v>0</v>
      </c>
      <c r="M57" s="241">
        <v>0</v>
      </c>
      <c r="N57" s="241">
        <v>0</v>
      </c>
      <c r="O57" s="241">
        <v>0</v>
      </c>
      <c r="P57" s="241">
        <v>0</v>
      </c>
      <c r="Q57" s="241">
        <v>0</v>
      </c>
    </row>
    <row r="58" spans="1:17" s="36" customFormat="1" ht="15" customHeight="1" outlineLevel="1">
      <c r="A58" s="60"/>
      <c r="B58" s="70" t="s">
        <v>492</v>
      </c>
      <c r="C58" s="13" t="s">
        <v>240</v>
      </c>
      <c r="D58" s="241"/>
      <c r="E58" s="241">
        <f>'4.10_пр-во (свод)'!E58+'4.10_транзит+сбыт (свод)'!E58</f>
        <v>0</v>
      </c>
      <c r="F58" s="241"/>
      <c r="G58" s="241">
        <v>526</v>
      </c>
      <c r="H58" s="241">
        <v>0</v>
      </c>
      <c r="I58" s="241">
        <v>0</v>
      </c>
      <c r="J58" s="241">
        <v>0</v>
      </c>
      <c r="K58" s="241">
        <v>0</v>
      </c>
      <c r="L58" s="241">
        <v>0</v>
      </c>
      <c r="M58" s="241">
        <v>0</v>
      </c>
      <c r="N58" s="241">
        <v>0</v>
      </c>
      <c r="O58" s="241">
        <v>0</v>
      </c>
      <c r="P58" s="241">
        <v>0</v>
      </c>
      <c r="Q58" s="241">
        <v>0</v>
      </c>
    </row>
    <row r="59" spans="1:17" s="36" customFormat="1" ht="15" customHeight="1" outlineLevel="1">
      <c r="A59" s="60"/>
      <c r="B59" s="70" t="s">
        <v>493</v>
      </c>
      <c r="C59" s="13" t="s">
        <v>240</v>
      </c>
      <c r="D59" s="241"/>
      <c r="E59" s="241">
        <f>'4.10_пр-во (свод)'!E59+'4.10_транзит+сбыт (свод)'!E59</f>
        <v>0</v>
      </c>
      <c r="F59" s="241"/>
      <c r="G59" s="241">
        <v>173</v>
      </c>
      <c r="H59" s="241">
        <v>0</v>
      </c>
      <c r="I59" s="241">
        <v>123</v>
      </c>
      <c r="J59" s="241">
        <v>0</v>
      </c>
      <c r="K59" s="241">
        <v>0</v>
      </c>
      <c r="L59" s="241">
        <v>0</v>
      </c>
      <c r="M59" s="241">
        <v>0</v>
      </c>
      <c r="N59" s="241">
        <v>0</v>
      </c>
      <c r="O59" s="241">
        <v>0</v>
      </c>
      <c r="P59" s="241">
        <v>0</v>
      </c>
      <c r="Q59" s="241">
        <v>0</v>
      </c>
    </row>
    <row r="60" spans="1:17" s="36" customFormat="1" ht="15" customHeight="1" outlineLevel="1">
      <c r="A60" s="60"/>
      <c r="B60" s="70" t="s">
        <v>494</v>
      </c>
      <c r="C60" s="13" t="s">
        <v>240</v>
      </c>
      <c r="D60" s="241"/>
      <c r="E60" s="241">
        <f>'4.10_пр-во (свод)'!E60+'4.10_транзит+сбыт (свод)'!E60</f>
        <v>715</v>
      </c>
      <c r="F60" s="241"/>
      <c r="G60" s="241">
        <v>347.68143056826386</v>
      </c>
      <c r="H60" s="241">
        <v>0</v>
      </c>
      <c r="I60" s="241">
        <v>517</v>
      </c>
      <c r="J60" s="241">
        <v>0</v>
      </c>
      <c r="K60" s="241">
        <v>0</v>
      </c>
      <c r="L60" s="241">
        <v>0</v>
      </c>
      <c r="M60" s="241">
        <v>0</v>
      </c>
      <c r="N60" s="241">
        <v>0</v>
      </c>
      <c r="O60" s="241">
        <v>0</v>
      </c>
      <c r="P60" s="241">
        <v>0</v>
      </c>
      <c r="Q60" s="241">
        <v>0</v>
      </c>
    </row>
    <row r="61" spans="1:17" s="36" customFormat="1" ht="15" customHeight="1" outlineLevel="1">
      <c r="A61" s="60"/>
      <c r="B61" s="70" t="s">
        <v>495</v>
      </c>
      <c r="C61" s="13" t="s">
        <v>240</v>
      </c>
      <c r="D61" s="241"/>
      <c r="E61" s="241">
        <f>'4.10_пр-во (свод)'!E61+'4.10_транзит+сбыт (свод)'!E61</f>
        <v>69</v>
      </c>
      <c r="F61" s="241"/>
      <c r="G61" s="241">
        <v>1201.616920997727</v>
      </c>
      <c r="H61" s="241">
        <v>0</v>
      </c>
      <c r="I61" s="241">
        <v>43</v>
      </c>
      <c r="J61" s="241">
        <v>0</v>
      </c>
      <c r="K61" s="241">
        <v>0</v>
      </c>
      <c r="L61" s="241">
        <v>0</v>
      </c>
      <c r="M61" s="241">
        <v>0</v>
      </c>
      <c r="N61" s="241">
        <v>0</v>
      </c>
      <c r="O61" s="241">
        <v>0</v>
      </c>
      <c r="P61" s="241">
        <v>0</v>
      </c>
      <c r="Q61" s="241">
        <v>0</v>
      </c>
    </row>
    <row r="62" spans="1:17" s="36" customFormat="1" ht="15" customHeight="1" outlineLevel="1">
      <c r="A62" s="60"/>
      <c r="B62" s="70" t="s">
        <v>496</v>
      </c>
      <c r="C62" s="13" t="s">
        <v>240</v>
      </c>
      <c r="D62" s="241"/>
      <c r="E62" s="241">
        <f>'4.10_пр-во (свод)'!E62+'4.10_транзит+сбыт (свод)'!E62</f>
        <v>32</v>
      </c>
      <c r="F62" s="241"/>
      <c r="G62" s="241">
        <v>983</v>
      </c>
      <c r="H62" s="241">
        <v>0</v>
      </c>
      <c r="I62" s="241">
        <v>0</v>
      </c>
      <c r="J62" s="241">
        <v>0</v>
      </c>
      <c r="K62" s="241">
        <v>0</v>
      </c>
      <c r="L62" s="241">
        <v>0</v>
      </c>
      <c r="M62" s="241">
        <v>0</v>
      </c>
      <c r="N62" s="241">
        <v>0</v>
      </c>
      <c r="O62" s="241">
        <v>0</v>
      </c>
      <c r="P62" s="241">
        <v>0</v>
      </c>
      <c r="Q62" s="241">
        <v>0</v>
      </c>
    </row>
    <row r="63" spans="1:17" s="36" customFormat="1" ht="15" customHeight="1" outlineLevel="1">
      <c r="A63" s="60"/>
      <c r="B63" s="70" t="s">
        <v>497</v>
      </c>
      <c r="C63" s="13" t="s">
        <v>240</v>
      </c>
      <c r="D63" s="241"/>
      <c r="E63" s="241">
        <f>'4.10_пр-во (свод)'!E63+'4.10_транзит+сбыт (свод)'!E63</f>
        <v>0</v>
      </c>
      <c r="F63" s="241"/>
      <c r="G63" s="241">
        <v>0</v>
      </c>
      <c r="H63" s="241">
        <v>0</v>
      </c>
      <c r="I63" s="241">
        <v>0</v>
      </c>
      <c r="J63" s="241">
        <v>0</v>
      </c>
      <c r="K63" s="241">
        <v>0</v>
      </c>
      <c r="L63" s="241">
        <v>0</v>
      </c>
      <c r="M63" s="241">
        <v>0</v>
      </c>
      <c r="N63" s="241">
        <v>0</v>
      </c>
      <c r="O63" s="241">
        <v>0</v>
      </c>
      <c r="P63" s="241">
        <v>0</v>
      </c>
      <c r="Q63" s="241">
        <v>0</v>
      </c>
    </row>
    <row r="64" spans="1:17" s="36" customFormat="1" ht="15" customHeight="1" outlineLevel="1">
      <c r="A64" s="60"/>
      <c r="B64" s="68" t="s">
        <v>498</v>
      </c>
      <c r="C64" s="13" t="s">
        <v>240</v>
      </c>
      <c r="D64" s="241"/>
      <c r="E64" s="241">
        <f>'4.10_пр-во (свод)'!E64+'4.10_транзит+сбыт (свод)'!E64</f>
        <v>2823.5</v>
      </c>
      <c r="F64" s="241"/>
      <c r="G64" s="241">
        <v>102.45713493595491</v>
      </c>
      <c r="H64" s="241">
        <v>0</v>
      </c>
      <c r="I64" s="241">
        <v>32</v>
      </c>
      <c r="J64" s="241">
        <v>0</v>
      </c>
      <c r="K64" s="241">
        <v>0</v>
      </c>
      <c r="L64" s="241">
        <v>0</v>
      </c>
      <c r="M64" s="241">
        <v>0</v>
      </c>
      <c r="N64" s="241">
        <v>0</v>
      </c>
      <c r="O64" s="241">
        <v>0</v>
      </c>
      <c r="P64" s="241">
        <v>0</v>
      </c>
      <c r="Q64" s="241">
        <v>0</v>
      </c>
    </row>
    <row r="65" spans="1:17" s="36" customFormat="1" ht="15" customHeight="1" outlineLevel="1">
      <c r="A65" s="60"/>
      <c r="B65" s="68" t="s">
        <v>499</v>
      </c>
      <c r="C65" s="13" t="s">
        <v>240</v>
      </c>
      <c r="D65" s="241"/>
      <c r="E65" s="241">
        <f>'4.10_пр-во (свод)'!E65+'4.10_транзит+сбыт (свод)'!E65</f>
        <v>0</v>
      </c>
      <c r="F65" s="241"/>
      <c r="G65" s="241"/>
      <c r="H65" s="241"/>
      <c r="I65" s="241"/>
      <c r="J65" s="241"/>
      <c r="K65" s="241"/>
      <c r="L65" s="241"/>
      <c r="M65" s="241"/>
      <c r="N65" s="241"/>
      <c r="O65" s="241"/>
      <c r="P65" s="241"/>
      <c r="Q65" s="241"/>
    </row>
    <row r="66" spans="1:17" s="36" customFormat="1">
      <c r="A66" s="60"/>
      <c r="B66" s="68"/>
      <c r="C66" s="13"/>
      <c r="D66" s="241"/>
      <c r="E66" s="241"/>
      <c r="F66" s="241"/>
      <c r="G66" s="241"/>
      <c r="H66" s="241"/>
      <c r="I66" s="241"/>
      <c r="J66" s="241"/>
      <c r="K66" s="241"/>
      <c r="L66" s="241"/>
      <c r="M66" s="241"/>
      <c r="N66" s="241"/>
      <c r="O66" s="241"/>
      <c r="P66" s="241"/>
      <c r="Q66" s="241"/>
    </row>
    <row r="67" spans="1:17" s="1001" customFormat="1" ht="30" customHeight="1">
      <c r="A67" s="82" t="s">
        <v>78</v>
      </c>
      <c r="B67" s="80" t="s">
        <v>503</v>
      </c>
      <c r="C67" s="1002" t="s">
        <v>240</v>
      </c>
      <c r="D67" s="1000">
        <f>'4.10_пр-во (свод)'!D67+'4.10_транзит+сбыт (свод)'!D67</f>
        <v>1307121.3636363638</v>
      </c>
      <c r="E67" s="1000">
        <f>'4.10_пр-во (свод)'!E67+'4.10_транзит+сбыт (свод)'!E67</f>
        <v>1633536</v>
      </c>
      <c r="F67" s="1000">
        <v>1267120</v>
      </c>
      <c r="G67" s="1000">
        <v>2422502.4739988795</v>
      </c>
      <c r="H67" s="1000">
        <v>2348990.3420000002</v>
      </c>
      <c r="I67" s="1000">
        <v>2824002</v>
      </c>
      <c r="J67" s="1000">
        <v>2203259.5</v>
      </c>
      <c r="K67" s="1000">
        <v>2327100.0699999998</v>
      </c>
      <c r="L67" s="1000">
        <v>2489268.353333333</v>
      </c>
      <c r="M67" s="1000">
        <v>2656891.42</v>
      </c>
      <c r="N67" s="1000">
        <v>2313640.686666667</v>
      </c>
      <c r="O67" s="1000">
        <v>2576020.0949999997</v>
      </c>
      <c r="P67" s="1000">
        <v>2761089.1533333333</v>
      </c>
      <c r="Q67" s="1000">
        <v>2417947.5866666669</v>
      </c>
    </row>
    <row r="68" spans="1:17" s="36" customFormat="1" ht="15" customHeight="1" outlineLevel="1">
      <c r="A68" s="60"/>
      <c r="B68" s="68" t="s">
        <v>487</v>
      </c>
      <c r="C68" s="13" t="s">
        <v>240</v>
      </c>
      <c r="D68" s="241"/>
      <c r="E68" s="241">
        <f>'4.10_пр-во (свод)'!E68+'4.10_транзит+сбыт (свод)'!E68</f>
        <v>856462</v>
      </c>
      <c r="F68" s="241"/>
      <c r="G68" s="241">
        <v>1610070.7613537582</v>
      </c>
      <c r="H68" s="241">
        <v>0</v>
      </c>
      <c r="I68" s="241">
        <v>1858470</v>
      </c>
      <c r="J68" s="241">
        <v>0</v>
      </c>
      <c r="K68" s="241">
        <v>1405645.6066666665</v>
      </c>
      <c r="L68" s="241">
        <v>1406860.3566666665</v>
      </c>
      <c r="M68" s="241">
        <v>1526181.19</v>
      </c>
      <c r="N68" s="241">
        <v>1287539.5233333334</v>
      </c>
      <c r="O68" s="241">
        <v>1415628.7316666665</v>
      </c>
      <c r="P68" s="241">
        <v>1536363.19</v>
      </c>
      <c r="Q68" s="241">
        <v>1294894.2733333334</v>
      </c>
    </row>
    <row r="69" spans="1:17" s="36" customFormat="1" ht="15" customHeight="1" outlineLevel="1">
      <c r="A69" s="60"/>
      <c r="B69" s="68" t="s">
        <v>488</v>
      </c>
      <c r="C69" s="13" t="s">
        <v>240</v>
      </c>
      <c r="D69" s="241"/>
      <c r="E69" s="241">
        <f>'4.10_пр-во (свод)'!E69+'4.10_транзит+сбыт (свод)'!E69</f>
        <v>318034</v>
      </c>
      <c r="F69" s="241"/>
      <c r="G69" s="241">
        <v>334952.29702320008</v>
      </c>
      <c r="H69" s="241">
        <v>0</v>
      </c>
      <c r="I69" s="241">
        <v>382908</v>
      </c>
      <c r="J69" s="241">
        <v>0</v>
      </c>
      <c r="K69" s="241">
        <v>406863.875</v>
      </c>
      <c r="L69" s="241">
        <v>540800.16666666674</v>
      </c>
      <c r="M69" s="241">
        <v>558837</v>
      </c>
      <c r="N69" s="241">
        <v>522763.33333333331</v>
      </c>
      <c r="O69" s="241">
        <v>567815.5</v>
      </c>
      <c r="P69" s="241">
        <v>582674</v>
      </c>
      <c r="Q69" s="241">
        <v>552957</v>
      </c>
    </row>
    <row r="70" spans="1:17" s="36" customFormat="1" ht="15" customHeight="1" outlineLevel="1">
      <c r="A70" s="60"/>
      <c r="B70" s="68" t="s">
        <v>489</v>
      </c>
      <c r="C70" s="13" t="s">
        <v>240</v>
      </c>
      <c r="D70" s="241"/>
      <c r="E70" s="241">
        <f>'4.10_пр-во (свод)'!E70+'4.10_транзит+сбыт (свод)'!E70</f>
        <v>20071</v>
      </c>
      <c r="F70" s="241"/>
      <c r="G70" s="241">
        <v>20399</v>
      </c>
      <c r="H70" s="241">
        <v>0</v>
      </c>
      <c r="I70" s="241">
        <v>22874</v>
      </c>
      <c r="J70" s="241">
        <v>0</v>
      </c>
      <c r="K70" s="241">
        <v>33694</v>
      </c>
      <c r="L70" s="241">
        <v>47516.5</v>
      </c>
      <c r="M70" s="241">
        <v>49252</v>
      </c>
      <c r="N70" s="241">
        <v>45781</v>
      </c>
      <c r="O70" s="241">
        <v>48522.5</v>
      </c>
      <c r="P70" s="241">
        <v>50255</v>
      </c>
      <c r="Q70" s="241">
        <v>46790</v>
      </c>
    </row>
    <row r="71" spans="1:17" s="36" customFormat="1" ht="15" customHeight="1" outlineLevel="1">
      <c r="A71" s="60"/>
      <c r="B71" s="68" t="s">
        <v>490</v>
      </c>
      <c r="C71" s="13" t="s">
        <v>240</v>
      </c>
      <c r="D71" s="241"/>
      <c r="E71" s="241">
        <f>'4.10_пр-во (свод)'!E71+'4.10_транзит+сбыт (свод)'!E71</f>
        <v>417689</v>
      </c>
      <c r="F71" s="241"/>
      <c r="G71" s="241">
        <v>436334.68863368558</v>
      </c>
      <c r="H71" s="241">
        <v>0</v>
      </c>
      <c r="I71" s="241">
        <v>523266</v>
      </c>
      <c r="J71" s="241">
        <v>0</v>
      </c>
      <c r="K71" s="241">
        <v>430408.29</v>
      </c>
      <c r="L71" s="241">
        <v>451546.64</v>
      </c>
      <c r="M71" s="241">
        <v>486724.04</v>
      </c>
      <c r="N71" s="241">
        <v>415420.64</v>
      </c>
      <c r="O71" s="241">
        <v>486364.05333333334</v>
      </c>
      <c r="P71" s="241">
        <v>525996.53333333333</v>
      </c>
      <c r="Q71" s="241">
        <v>452357.26333333325</v>
      </c>
    </row>
    <row r="72" spans="1:17" s="36" customFormat="1" ht="15" customHeight="1" outlineLevel="1">
      <c r="A72" s="60"/>
      <c r="B72" s="68" t="s">
        <v>491</v>
      </c>
      <c r="C72" s="13" t="s">
        <v>240</v>
      </c>
      <c r="D72" s="241"/>
      <c r="E72" s="241">
        <f>'4.10_пр-во (свод)'!E72+'4.10_транзит+сбыт (свод)'!E72</f>
        <v>102183</v>
      </c>
      <c r="F72" s="241"/>
      <c r="G72" s="241">
        <v>103876</v>
      </c>
      <c r="H72" s="241">
        <v>0</v>
      </c>
      <c r="I72" s="241">
        <v>115667</v>
      </c>
      <c r="J72" s="241">
        <v>0</v>
      </c>
      <c r="K72" s="241">
        <v>78149</v>
      </c>
      <c r="L72" s="241">
        <v>81274.75</v>
      </c>
      <c r="M72" s="241">
        <v>88036</v>
      </c>
      <c r="N72" s="241">
        <v>74513.5</v>
      </c>
      <c r="O72" s="241">
        <v>105483.375</v>
      </c>
      <c r="P72" s="241">
        <v>112116</v>
      </c>
      <c r="Q72" s="241">
        <v>98850.75</v>
      </c>
    </row>
    <row r="73" spans="1:17" s="36" customFormat="1" ht="15" customHeight="1" outlineLevel="1">
      <c r="A73" s="60"/>
      <c r="B73" s="70" t="s">
        <v>492</v>
      </c>
      <c r="C73" s="13" t="s">
        <v>240</v>
      </c>
      <c r="D73" s="241"/>
      <c r="E73" s="241">
        <f>'4.10_пр-во (свод)'!E73+'4.10_транзит+сбыт (свод)'!E73</f>
        <v>40794</v>
      </c>
      <c r="F73" s="241"/>
      <c r="G73" s="241">
        <v>49386</v>
      </c>
      <c r="H73" s="241">
        <v>0</v>
      </c>
      <c r="I73" s="241">
        <v>74925</v>
      </c>
      <c r="J73" s="241">
        <v>0</v>
      </c>
      <c r="K73" s="241">
        <v>61077.89166666667</v>
      </c>
      <c r="L73" s="241">
        <v>68138.016666666677</v>
      </c>
      <c r="M73" s="241">
        <v>72816.100000000006</v>
      </c>
      <c r="N73" s="241">
        <v>63459.933333333327</v>
      </c>
      <c r="O73" s="241">
        <v>69905.891666666677</v>
      </c>
      <c r="P73" s="241">
        <v>74788.100000000006</v>
      </c>
      <c r="Q73" s="241">
        <v>65023.683333333327</v>
      </c>
    </row>
    <row r="74" spans="1:17" s="36" customFormat="1" ht="15" customHeight="1" outlineLevel="1">
      <c r="A74" s="60"/>
      <c r="B74" s="70" t="s">
        <v>493</v>
      </c>
      <c r="C74" s="13" t="s">
        <v>240</v>
      </c>
      <c r="D74" s="241"/>
      <c r="E74" s="241">
        <f>'4.10_пр-во (свод)'!E74+'4.10_транзит+сбыт (свод)'!E74</f>
        <v>4993</v>
      </c>
      <c r="F74" s="241"/>
      <c r="G74" s="241">
        <v>5489.3533235458881</v>
      </c>
      <c r="H74" s="241">
        <v>0</v>
      </c>
      <c r="I74" s="241">
        <v>6621</v>
      </c>
      <c r="J74" s="241">
        <v>0</v>
      </c>
      <c r="K74" s="241">
        <v>6393.9166666666661</v>
      </c>
      <c r="L74" s="241">
        <v>13410.433333333336</v>
      </c>
      <c r="M74" s="241">
        <v>13252</v>
      </c>
      <c r="N74" s="241">
        <v>13500.266666666665</v>
      </c>
      <c r="O74" s="241">
        <v>18352.783333333336</v>
      </c>
      <c r="P74" s="241">
        <v>20348.533333333336</v>
      </c>
      <c r="Q74" s="241">
        <v>17128.783333333336</v>
      </c>
    </row>
    <row r="75" spans="1:17" s="36" customFormat="1" ht="15" customHeight="1" outlineLevel="1">
      <c r="A75" s="60"/>
      <c r="B75" s="70" t="s">
        <v>494</v>
      </c>
      <c r="C75" s="13" t="s">
        <v>240</v>
      </c>
      <c r="D75" s="241"/>
      <c r="E75" s="241">
        <f>'4.10_пр-во (свод)'!E75+'4.10_транзит+сбыт (свод)'!E75</f>
        <v>8679</v>
      </c>
      <c r="F75" s="241"/>
      <c r="G75" s="241">
        <v>9343.0773562308023</v>
      </c>
      <c r="H75" s="241">
        <v>0</v>
      </c>
      <c r="I75" s="241">
        <v>27706</v>
      </c>
      <c r="J75" s="241">
        <v>0</v>
      </c>
      <c r="K75" s="241">
        <v>28461.94</v>
      </c>
      <c r="L75" s="241">
        <v>29344.44</v>
      </c>
      <c r="M75" s="241">
        <v>28715.94</v>
      </c>
      <c r="N75" s="241">
        <v>29090.94</v>
      </c>
      <c r="O75" s="241">
        <v>31844.42</v>
      </c>
      <c r="P75" s="241">
        <v>33715.899999999994</v>
      </c>
      <c r="Q75" s="241">
        <v>34826.880000000005</v>
      </c>
    </row>
    <row r="76" spans="1:17" s="36" customFormat="1" ht="15" customHeight="1" outlineLevel="1">
      <c r="A76" s="60"/>
      <c r="B76" s="70" t="s">
        <v>495</v>
      </c>
      <c r="C76" s="13" t="s">
        <v>240</v>
      </c>
      <c r="D76" s="241"/>
      <c r="E76" s="241">
        <f>'4.10_пр-во (свод)'!E76+'4.10_транзит+сбыт (свод)'!E76</f>
        <v>261040</v>
      </c>
      <c r="F76" s="241"/>
      <c r="G76" s="241">
        <v>268240.25795390888</v>
      </c>
      <c r="H76" s="241">
        <v>0</v>
      </c>
      <c r="I76" s="241">
        <v>298347</v>
      </c>
      <c r="J76" s="241">
        <v>0</v>
      </c>
      <c r="K76" s="241">
        <v>256325.54166666663</v>
      </c>
      <c r="L76" s="241">
        <v>259379</v>
      </c>
      <c r="M76" s="241">
        <v>283904</v>
      </c>
      <c r="N76" s="241">
        <v>234856</v>
      </c>
      <c r="O76" s="241">
        <v>260777.58333333337</v>
      </c>
      <c r="P76" s="241">
        <v>285028</v>
      </c>
      <c r="Q76" s="241">
        <v>236527.16666666663</v>
      </c>
    </row>
    <row r="77" spans="1:17" s="36" customFormat="1" ht="15" customHeight="1" outlineLevel="1">
      <c r="A77" s="60"/>
      <c r="B77" s="70" t="s">
        <v>496</v>
      </c>
      <c r="C77" s="13" t="s">
        <v>240</v>
      </c>
      <c r="D77" s="241"/>
      <c r="E77" s="241">
        <f>'4.10_пр-во (свод)'!E77+'4.10_транзит+сбыт (свод)'!E77</f>
        <v>7300</v>
      </c>
      <c r="F77" s="241"/>
      <c r="G77" s="241">
        <v>6399.7319044951419</v>
      </c>
      <c r="H77" s="241">
        <v>0</v>
      </c>
      <c r="I77" s="241">
        <v>7194</v>
      </c>
      <c r="J77" s="241">
        <v>0</v>
      </c>
      <c r="K77" s="241">
        <v>12079.5</v>
      </c>
      <c r="L77" s="241">
        <v>21527.735000000001</v>
      </c>
      <c r="M77" s="241">
        <v>16146</v>
      </c>
      <c r="N77" s="241">
        <v>21935.235000000001</v>
      </c>
      <c r="O77" s="241">
        <v>32477.954999999998</v>
      </c>
      <c r="P77" s="241">
        <v>37660.44</v>
      </c>
      <c r="Q77" s="241">
        <v>42328.425000000003</v>
      </c>
    </row>
    <row r="78" spans="1:17" s="36" customFormat="1" ht="15" customHeight="1" outlineLevel="1">
      <c r="A78" s="60"/>
      <c r="B78" s="70" t="s">
        <v>497</v>
      </c>
      <c r="C78" s="13" t="s">
        <v>240</v>
      </c>
      <c r="D78" s="241"/>
      <c r="E78" s="241">
        <f>'4.10_пр-во (свод)'!E78+'4.10_транзит+сбыт (свод)'!E78</f>
        <v>23</v>
      </c>
      <c r="F78" s="241"/>
      <c r="G78" s="241">
        <v>84</v>
      </c>
      <c r="H78" s="241">
        <v>0</v>
      </c>
      <c r="I78" s="241">
        <v>178</v>
      </c>
      <c r="J78" s="241">
        <v>0</v>
      </c>
      <c r="K78" s="241">
        <v>200</v>
      </c>
      <c r="L78" s="241">
        <v>200</v>
      </c>
      <c r="M78" s="241">
        <v>214</v>
      </c>
      <c r="N78" s="241">
        <v>186</v>
      </c>
      <c r="O78" s="241">
        <v>200</v>
      </c>
      <c r="P78" s="241">
        <v>214</v>
      </c>
      <c r="Q78" s="241">
        <v>186</v>
      </c>
    </row>
    <row r="79" spans="1:17" s="36" customFormat="1" ht="15" customHeight="1" outlineLevel="1">
      <c r="A79" s="60"/>
      <c r="B79" s="68" t="s">
        <v>498</v>
      </c>
      <c r="C79" s="13" t="s">
        <v>240</v>
      </c>
      <c r="D79" s="241"/>
      <c r="E79" s="241">
        <f>'4.10_пр-во (свод)'!E79+'4.10_транзит+сбыт (свод)'!E79</f>
        <v>6601</v>
      </c>
      <c r="F79" s="241"/>
      <c r="G79" s="241">
        <v>6524.5854598489386</v>
      </c>
      <c r="H79" s="241">
        <v>0</v>
      </c>
      <c r="I79" s="241">
        <v>9159</v>
      </c>
      <c r="J79" s="241">
        <v>0</v>
      </c>
      <c r="K79" s="241">
        <v>8590.369999999999</v>
      </c>
      <c r="L79" s="241">
        <v>8590.369999999999</v>
      </c>
      <c r="M79" s="241">
        <v>8728.369999999999</v>
      </c>
      <c r="N79" s="241">
        <v>8452.369999999999</v>
      </c>
      <c r="O79" s="241">
        <v>8590.369999999999</v>
      </c>
      <c r="P79" s="241">
        <v>8728.369999999999</v>
      </c>
      <c r="Q79" s="241">
        <v>8452.369999999999</v>
      </c>
    </row>
    <row r="80" spans="1:17" s="36" customFormat="1" ht="15" customHeight="1" outlineLevel="1">
      <c r="A80" s="60"/>
      <c r="B80" s="68" t="s">
        <v>499</v>
      </c>
      <c r="C80" s="13" t="s">
        <v>240</v>
      </c>
      <c r="D80" s="241"/>
      <c r="E80" s="241">
        <f>'4.10_пр-во (свод)'!E80+'4.10_транзит+сбыт (свод)'!E80</f>
        <v>7356</v>
      </c>
      <c r="F80" s="241"/>
      <c r="G80" s="241">
        <v>7737.4096238916682</v>
      </c>
      <c r="H80" s="241">
        <v>0</v>
      </c>
      <c r="I80" s="241">
        <v>19953</v>
      </c>
      <c r="J80" s="241">
        <v>0</v>
      </c>
      <c r="K80" s="241">
        <v>29618.428333333337</v>
      </c>
      <c r="L80" s="241">
        <v>12226.584999999999</v>
      </c>
      <c r="M80" s="241">
        <v>10808.82</v>
      </c>
      <c r="N80" s="241">
        <v>11562.584999999999</v>
      </c>
      <c r="O80" s="241">
        <v>16420.985000000001</v>
      </c>
      <c r="P80" s="241">
        <v>19197.62</v>
      </c>
      <c r="Q80" s="241">
        <v>19982.254999999997</v>
      </c>
    </row>
    <row r="81" spans="1:17" s="36" customFormat="1">
      <c r="A81" s="60"/>
      <c r="B81" s="68"/>
      <c r="C81" s="13"/>
      <c r="D81" s="66"/>
      <c r="E81" s="66"/>
      <c r="F81" s="66"/>
      <c r="G81" s="66"/>
      <c r="H81" s="66"/>
      <c r="I81" s="66"/>
      <c r="J81" s="66"/>
      <c r="K81" s="66"/>
      <c r="L81" s="66"/>
      <c r="M81" s="66"/>
      <c r="N81" s="66"/>
      <c r="O81" s="66"/>
      <c r="P81" s="66"/>
      <c r="Q81" s="66"/>
    </row>
    <row r="82" spans="1:17" s="1001" customFormat="1" ht="15" customHeight="1">
      <c r="A82" s="82" t="s">
        <v>86</v>
      </c>
      <c r="B82" s="80" t="s">
        <v>504</v>
      </c>
      <c r="C82" s="999"/>
      <c r="D82" s="432">
        <f>D97/D67*100</f>
        <v>5.7924231143592078</v>
      </c>
      <c r="E82" s="432">
        <f t="shared" ref="E82:N82" si="0">E97/E67*100</f>
        <v>6.3369322745259371</v>
      </c>
      <c r="F82" s="432">
        <v>7.1328682366310998</v>
      </c>
      <c r="G82" s="432">
        <v>5.1685875105753958</v>
      </c>
      <c r="H82" s="432">
        <v>5.1402077414323122</v>
      </c>
      <c r="I82" s="432">
        <v>4.0121430508901907</v>
      </c>
      <c r="J82" s="432">
        <v>5.030274463811458</v>
      </c>
      <c r="K82" s="432">
        <v>6.6414002557268637</v>
      </c>
      <c r="L82" s="432">
        <v>6.169285838321013</v>
      </c>
      <c r="M82" s="432">
        <v>3.0523084003184446</v>
      </c>
      <c r="N82" s="432">
        <v>3.1324466421108319</v>
      </c>
      <c r="O82" s="432">
        <v>6.3593494599660723</v>
      </c>
      <c r="P82" s="432">
        <v>3.1311897298074207</v>
      </c>
      <c r="Q82" s="432">
        <v>3.1995391639837529</v>
      </c>
    </row>
    <row r="83" spans="1:17" s="36" customFormat="1" ht="15" customHeight="1" outlineLevel="1">
      <c r="A83" s="60"/>
      <c r="B83" s="68" t="s">
        <v>487</v>
      </c>
      <c r="C83" s="13" t="s">
        <v>138</v>
      </c>
      <c r="D83" s="66"/>
      <c r="E83" s="251">
        <f t="shared" ref="E83" si="1">E98/E68*100</f>
        <v>3.3713112782586969</v>
      </c>
      <c r="F83" s="66"/>
      <c r="G83" s="251">
        <v>2.9867834967456632</v>
      </c>
      <c r="H83" s="251"/>
      <c r="I83" s="251">
        <v>2.1349820013236696</v>
      </c>
      <c r="J83" s="251"/>
      <c r="K83" s="251">
        <v>2.9961961820428704</v>
      </c>
      <c r="L83" s="251">
        <v>3.0023519960487342</v>
      </c>
      <c r="M83" s="251">
        <v>1.4963131605625413</v>
      </c>
      <c r="N83" s="251">
        <v>1.5069401481182232</v>
      </c>
      <c r="O83" s="251">
        <v>3.0686647585102058</v>
      </c>
      <c r="P83" s="251">
        <v>1.5307871311340129</v>
      </c>
      <c r="Q83" s="251">
        <v>1.5385387371214003</v>
      </c>
    </row>
    <row r="84" spans="1:17" s="36" customFormat="1" ht="15" customHeight="1" outlineLevel="1">
      <c r="A84" s="60"/>
      <c r="B84" s="68" t="s">
        <v>488</v>
      </c>
      <c r="C84" s="13" t="s">
        <v>138</v>
      </c>
      <c r="D84" s="66"/>
      <c r="E84" s="251">
        <f t="shared" ref="E84" si="2">E99/E69*100</f>
        <v>7.4457668048070333</v>
      </c>
      <c r="F84" s="66"/>
      <c r="G84" s="251">
        <v>7.3289647896363483</v>
      </c>
      <c r="H84" s="251"/>
      <c r="I84" s="251">
        <v>6.0484502804851301</v>
      </c>
      <c r="J84" s="251"/>
      <c r="K84" s="251">
        <v>7.9616309017358695</v>
      </c>
      <c r="L84" s="251">
        <v>8.6555076875284485</v>
      </c>
      <c r="M84" s="251">
        <v>4.2626025120026059</v>
      </c>
      <c r="N84" s="251">
        <v>4.3974009908881655</v>
      </c>
      <c r="O84" s="251">
        <v>8.6471750066703006</v>
      </c>
      <c r="P84" s="251">
        <v>4.3018909372994161</v>
      </c>
      <c r="Q84" s="251">
        <v>4.3464500856305284</v>
      </c>
    </row>
    <row r="85" spans="1:17" s="36" customFormat="1" ht="15" customHeight="1" outlineLevel="1">
      <c r="A85" s="60"/>
      <c r="B85" s="68" t="s">
        <v>489</v>
      </c>
      <c r="C85" s="13" t="s">
        <v>138</v>
      </c>
      <c r="D85" s="66"/>
      <c r="E85" s="251">
        <f t="shared" ref="E85" si="3">E100/E70*100</f>
        <v>8.5745603108963167</v>
      </c>
      <c r="F85" s="66"/>
      <c r="G85" s="251">
        <v>7.059169567135644</v>
      </c>
      <c r="H85" s="251"/>
      <c r="I85" s="251">
        <v>5.0537728425286348</v>
      </c>
      <c r="J85" s="251"/>
      <c r="K85" s="251">
        <v>6.030747314061851</v>
      </c>
      <c r="L85" s="251">
        <v>7.313249081897867</v>
      </c>
      <c r="M85" s="251">
        <v>3.687159912287826</v>
      </c>
      <c r="N85" s="251">
        <v>3.623774054738865</v>
      </c>
      <c r="O85" s="251">
        <v>7.3347416147148241</v>
      </c>
      <c r="P85" s="251">
        <v>3.6951547109740321</v>
      </c>
      <c r="Q85" s="251">
        <v>3.6375293866210732</v>
      </c>
    </row>
    <row r="86" spans="1:17" s="36" customFormat="1" ht="15" customHeight="1" outlineLevel="1">
      <c r="A86" s="60"/>
      <c r="B86" s="68" t="s">
        <v>490</v>
      </c>
      <c r="C86" s="13" t="s">
        <v>138</v>
      </c>
      <c r="D86" s="66"/>
      <c r="E86" s="251">
        <f t="shared" ref="E86" si="4">E101/E71*100</f>
        <v>11.238026378477766</v>
      </c>
      <c r="F86" s="66"/>
      <c r="G86" s="251">
        <v>11.155922411777246</v>
      </c>
      <c r="H86" s="251"/>
      <c r="I86" s="251">
        <v>7.543199825710059</v>
      </c>
      <c r="J86" s="251"/>
      <c r="K86" s="251">
        <v>12.295241804008933</v>
      </c>
      <c r="L86" s="251">
        <v>12.606347818245309</v>
      </c>
      <c r="M86" s="251">
        <v>6.269825916139256</v>
      </c>
      <c r="N86" s="251">
        <v>6.3566388997908243</v>
      </c>
      <c r="O86" s="251">
        <v>12.751507759455031</v>
      </c>
      <c r="P86" s="251">
        <v>6.2963342724185258</v>
      </c>
      <c r="Q86" s="251">
        <v>6.38881086755182</v>
      </c>
    </row>
    <row r="87" spans="1:17" s="36" customFormat="1" ht="15" customHeight="1" outlineLevel="1">
      <c r="A87" s="60"/>
      <c r="B87" s="68" t="s">
        <v>491</v>
      </c>
      <c r="C87" s="13" t="s">
        <v>138</v>
      </c>
      <c r="D87" s="66"/>
      <c r="E87" s="251">
        <f t="shared" ref="E87" si="5">E102/E72*100</f>
        <v>12.29656596498439</v>
      </c>
      <c r="F87" s="66"/>
      <c r="G87" s="251">
        <v>11.86799645731449</v>
      </c>
      <c r="H87" s="251"/>
      <c r="I87" s="251">
        <v>7.4221688121936245</v>
      </c>
      <c r="J87" s="251"/>
      <c r="K87" s="251">
        <v>11.652100474734162</v>
      </c>
      <c r="L87" s="251">
        <v>11.782257097068893</v>
      </c>
      <c r="M87" s="251">
        <v>5.8260257167522376</v>
      </c>
      <c r="N87" s="251">
        <v>5.9680460587678743</v>
      </c>
      <c r="O87" s="251">
        <v>13.42770839480629</v>
      </c>
      <c r="P87" s="251">
        <v>6.7019872275143593</v>
      </c>
      <c r="Q87" s="251">
        <v>6.7273136521473029</v>
      </c>
    </row>
    <row r="88" spans="1:17" s="36" customFormat="1" ht="15" customHeight="1" outlineLevel="1">
      <c r="A88" s="60"/>
      <c r="B88" s="70" t="s">
        <v>492</v>
      </c>
      <c r="C88" s="13" t="s">
        <v>138</v>
      </c>
      <c r="D88" s="66"/>
      <c r="E88" s="251">
        <f t="shared" ref="E88" si="6">E103/E73*100</f>
        <v>20.235818992989167</v>
      </c>
      <c r="F88" s="66"/>
      <c r="G88" s="251">
        <v>9.7841493540679547</v>
      </c>
      <c r="H88" s="251"/>
      <c r="I88" s="251">
        <v>6.9803136469803144</v>
      </c>
      <c r="J88" s="251"/>
      <c r="K88" s="251">
        <v>11.731904629430153</v>
      </c>
      <c r="L88" s="251">
        <v>12.682494182762877</v>
      </c>
      <c r="M88" s="251">
        <v>6.441981924327175</v>
      </c>
      <c r="N88" s="251">
        <v>6.2256604954937451</v>
      </c>
      <c r="O88" s="251">
        <v>12.861004681651176</v>
      </c>
      <c r="P88" s="251">
        <v>6.5341946111747724</v>
      </c>
      <c r="Q88" s="251">
        <v>6.3112389050041005</v>
      </c>
    </row>
    <row r="89" spans="1:17" s="36" customFormat="1" ht="15" customHeight="1" outlineLevel="1">
      <c r="A89" s="60"/>
      <c r="B89" s="70" t="s">
        <v>493</v>
      </c>
      <c r="C89" s="13" t="s">
        <v>138</v>
      </c>
      <c r="D89" s="66"/>
      <c r="E89" s="251">
        <f t="shared" ref="E89" si="7">E104/E74*100</f>
        <v>25.435609853795317</v>
      </c>
      <c r="F89" s="66"/>
      <c r="G89" s="251">
        <v>30.160059184983051</v>
      </c>
      <c r="H89" s="251"/>
      <c r="I89" s="251">
        <v>20.646428032019333</v>
      </c>
      <c r="J89" s="251"/>
      <c r="K89" s="251">
        <v>31.650396861600221</v>
      </c>
      <c r="L89" s="251">
        <v>25.959340115780492</v>
      </c>
      <c r="M89" s="251">
        <v>12.946725022638091</v>
      </c>
      <c r="N89" s="251">
        <v>13.077963892071271</v>
      </c>
      <c r="O89" s="251">
        <v>25.316922864560954</v>
      </c>
      <c r="P89" s="251">
        <v>11.683397329209638</v>
      </c>
      <c r="Q89" s="251">
        <v>13.246474988007515</v>
      </c>
    </row>
    <row r="90" spans="1:17" s="36" customFormat="1" ht="15" customHeight="1" outlineLevel="1">
      <c r="A90" s="60"/>
      <c r="B90" s="70" t="s">
        <v>494</v>
      </c>
      <c r="C90" s="13" t="s">
        <v>138</v>
      </c>
      <c r="D90" s="66"/>
      <c r="E90" s="251">
        <f t="shared" ref="E90" si="8">E105/E75*100</f>
        <v>10.888351192533701</v>
      </c>
      <c r="F90" s="66"/>
      <c r="G90" s="251">
        <v>35.035197553855909</v>
      </c>
      <c r="H90" s="251"/>
      <c r="I90" s="251">
        <v>16.11564282104959</v>
      </c>
      <c r="J90" s="251"/>
      <c r="K90" s="251">
        <v>13.98513242596956</v>
      </c>
      <c r="L90" s="251">
        <v>14.076533748812384</v>
      </c>
      <c r="M90" s="251">
        <v>7.1641394988288738</v>
      </c>
      <c r="N90" s="251">
        <v>7.1274080521289456</v>
      </c>
      <c r="O90" s="251">
        <v>13.584138131578468</v>
      </c>
      <c r="P90" s="251">
        <v>6.2827923917202284</v>
      </c>
      <c r="Q90" s="251">
        <v>6.3384661502839172</v>
      </c>
    </row>
    <row r="91" spans="1:17" s="36" customFormat="1" ht="15" customHeight="1" outlineLevel="1">
      <c r="A91" s="60"/>
      <c r="B91" s="70" t="s">
        <v>495</v>
      </c>
      <c r="C91" s="13" t="s">
        <v>138</v>
      </c>
      <c r="D91" s="66"/>
      <c r="E91" s="251">
        <f t="shared" ref="E91" si="9">E106/E76*100</f>
        <v>9.1576003677597306</v>
      </c>
      <c r="F91" s="66"/>
      <c r="G91" s="251">
        <v>9.911711874208267</v>
      </c>
      <c r="H91" s="251"/>
      <c r="I91" s="251">
        <v>6.644611811079046</v>
      </c>
      <c r="J91" s="251"/>
      <c r="K91" s="251">
        <v>11.955109818845276</v>
      </c>
      <c r="L91" s="251">
        <v>11.987863319698203</v>
      </c>
      <c r="M91" s="251">
        <v>5.9611699729486025</v>
      </c>
      <c r="N91" s="251">
        <v>6.0334843478557074</v>
      </c>
      <c r="O91" s="251">
        <v>11.462641695621203</v>
      </c>
      <c r="P91" s="251">
        <v>5.6913706723549966</v>
      </c>
      <c r="Q91" s="251">
        <v>5.7794629651421303</v>
      </c>
    </row>
    <row r="92" spans="1:17" s="36" customFormat="1" ht="15" customHeight="1" outlineLevel="1">
      <c r="A92" s="60"/>
      <c r="B92" s="70" t="s">
        <v>496</v>
      </c>
      <c r="C92" s="13" t="s">
        <v>138</v>
      </c>
      <c r="D92" s="66"/>
      <c r="E92" s="251">
        <f t="shared" ref="E92" si="10">E107/E77*100</f>
        <v>4.7671232876712333</v>
      </c>
      <c r="F92" s="66"/>
      <c r="G92" s="251">
        <v>4.0565407520139116</v>
      </c>
      <c r="H92" s="251"/>
      <c r="I92" s="251">
        <v>2.1823742007228244</v>
      </c>
      <c r="J92" s="251"/>
      <c r="K92" s="251">
        <v>5.6376505650068296</v>
      </c>
      <c r="L92" s="251">
        <v>8.4672168251792392</v>
      </c>
      <c r="M92" s="251">
        <v>5.6880961228787319</v>
      </c>
      <c r="N92" s="251">
        <v>4.1230467783910223</v>
      </c>
      <c r="O92" s="251">
        <v>10.300001955172361</v>
      </c>
      <c r="P92" s="251">
        <v>4.4618968870252171</v>
      </c>
      <c r="Q92" s="251">
        <v>3.9331961914481814</v>
      </c>
    </row>
    <row r="93" spans="1:17" s="36" customFormat="1" ht="15" customHeight="1" outlineLevel="1">
      <c r="A93" s="60"/>
      <c r="B93" s="70" t="s">
        <v>497</v>
      </c>
      <c r="C93" s="13" t="s">
        <v>138</v>
      </c>
      <c r="D93" s="66"/>
      <c r="E93" s="251">
        <f t="shared" ref="E93" si="11">E108/E78*100</f>
        <v>39.130434782608695</v>
      </c>
      <c r="F93" s="66"/>
      <c r="G93" s="251">
        <v>22.61904761904762</v>
      </c>
      <c r="H93" s="251"/>
      <c r="I93" s="251">
        <v>16.292134831460675</v>
      </c>
      <c r="J93" s="251"/>
      <c r="K93" s="251">
        <v>13</v>
      </c>
      <c r="L93" s="251">
        <v>13</v>
      </c>
      <c r="M93" s="251">
        <v>6.5420560747663545</v>
      </c>
      <c r="N93" s="251">
        <v>6.4516129032258061</v>
      </c>
      <c r="O93" s="251">
        <v>12.5</v>
      </c>
      <c r="P93" s="251">
        <v>6.0747663551401869</v>
      </c>
      <c r="Q93" s="251">
        <v>6.4516129032258061</v>
      </c>
    </row>
    <row r="94" spans="1:17" s="36" customFormat="1" ht="15" customHeight="1" outlineLevel="1">
      <c r="A94" s="60"/>
      <c r="B94" s="68" t="s">
        <v>498</v>
      </c>
      <c r="C94" s="13" t="s">
        <v>138</v>
      </c>
      <c r="D94" s="66"/>
      <c r="E94" s="251">
        <f t="shared" ref="E94" si="12">E109/E79*100</f>
        <v>17.5276473261627</v>
      </c>
      <c r="F94" s="66"/>
      <c r="G94" s="251">
        <v>20.757029816792123</v>
      </c>
      <c r="H94" s="251"/>
      <c r="I94" s="251">
        <v>16.693962222950105</v>
      </c>
      <c r="J94" s="251"/>
      <c r="K94" s="251">
        <v>17.327193124393947</v>
      </c>
      <c r="L94" s="251">
        <v>12.583625617988517</v>
      </c>
      <c r="M94" s="251">
        <v>6.2782627225931087</v>
      </c>
      <c r="N94" s="251">
        <v>6.305805354001305</v>
      </c>
      <c r="O94" s="251">
        <v>7.1705875299899784</v>
      </c>
      <c r="P94" s="251">
        <v>3.6202635772773153</v>
      </c>
      <c r="Q94" s="251">
        <v>3.5491820637288716</v>
      </c>
    </row>
    <row r="95" spans="1:17" s="36" customFormat="1" ht="15" customHeight="1" outlineLevel="1">
      <c r="A95" s="60"/>
      <c r="B95" s="68" t="s">
        <v>499</v>
      </c>
      <c r="C95" s="13" t="s">
        <v>138</v>
      </c>
      <c r="D95" s="66"/>
      <c r="E95" s="251">
        <f t="shared" ref="E95" si="13">E110/E80*100</f>
        <v>10.698749320282761</v>
      </c>
      <c r="F95" s="66"/>
      <c r="G95" s="251">
        <v>8.2614136631758655</v>
      </c>
      <c r="H95" s="251"/>
      <c r="I95" s="251">
        <v>12.028266426101338</v>
      </c>
      <c r="J95" s="251"/>
      <c r="K95" s="251">
        <v>2.0288720023800493</v>
      </c>
      <c r="L95" s="251">
        <v>7.8751343895290464</v>
      </c>
      <c r="M95" s="251">
        <v>4.7547280831765173</v>
      </c>
      <c r="N95" s="251">
        <v>3.882609295412748</v>
      </c>
      <c r="O95" s="251">
        <v>9.0266205102799848</v>
      </c>
      <c r="P95" s="251">
        <v>4.0298224467407939</v>
      </c>
      <c r="Q95" s="251">
        <v>3.5462964515266178</v>
      </c>
    </row>
    <row r="96" spans="1:17" s="36" customFormat="1">
      <c r="A96" s="60"/>
      <c r="B96" s="68"/>
      <c r="C96" s="13"/>
      <c r="D96" s="66"/>
      <c r="E96" s="66"/>
      <c r="F96" s="66"/>
      <c r="G96" s="66"/>
      <c r="H96" s="66"/>
      <c r="I96" s="66"/>
      <c r="J96" s="66"/>
      <c r="K96" s="66"/>
      <c r="L96" s="66"/>
      <c r="M96" s="66"/>
      <c r="N96" s="66"/>
      <c r="O96" s="66"/>
      <c r="P96" s="66"/>
      <c r="Q96" s="66"/>
    </row>
    <row r="97" spans="1:17" s="1001" customFormat="1" ht="15" customHeight="1">
      <c r="A97" s="82" t="s">
        <v>109</v>
      </c>
      <c r="B97" s="80" t="s">
        <v>505</v>
      </c>
      <c r="C97" s="999" t="s">
        <v>240</v>
      </c>
      <c r="D97" s="1000">
        <f>'4.10_пр-во (свод)'!D97+'4.10_транзит+сбыт (свод)'!D97</f>
        <v>75714</v>
      </c>
      <c r="E97" s="1000">
        <f>'4.10_пр-во (свод)'!E97+'4.10_транзит+сбыт (свод)'!E97</f>
        <v>103516.07</v>
      </c>
      <c r="F97" s="1000">
        <v>90382</v>
      </c>
      <c r="G97" s="1000">
        <v>125209.16031448606</v>
      </c>
      <c r="H97" s="1000">
        <v>120742.98340498135</v>
      </c>
      <c r="I97" s="1000">
        <v>113303</v>
      </c>
      <c r="J97" s="1000">
        <v>110830</v>
      </c>
      <c r="K97" s="1000">
        <v>154552.03</v>
      </c>
      <c r="L97" s="1000">
        <v>153570.07999999999</v>
      </c>
      <c r="M97" s="1000">
        <v>81096.52</v>
      </c>
      <c r="N97" s="1000">
        <v>72473.56</v>
      </c>
      <c r="O97" s="1000">
        <v>163818.12</v>
      </c>
      <c r="P97" s="1000">
        <v>86454.94</v>
      </c>
      <c r="Q97" s="1000">
        <v>77363.179999999993</v>
      </c>
    </row>
    <row r="98" spans="1:17" s="36" customFormat="1" ht="15" customHeight="1" outlineLevel="1">
      <c r="A98" s="60"/>
      <c r="B98" s="68" t="s">
        <v>487</v>
      </c>
      <c r="C98" s="13" t="s">
        <v>240</v>
      </c>
      <c r="D98" s="241"/>
      <c r="E98" s="241">
        <f>'4.10_пр-во (свод)'!E98+'4.10_транзит+сбыт (свод)'!E98</f>
        <v>28874</v>
      </c>
      <c r="F98" s="241"/>
      <c r="G98" s="241">
        <v>48089.3277860413</v>
      </c>
      <c r="H98" s="241">
        <v>0</v>
      </c>
      <c r="I98" s="241">
        <v>39678</v>
      </c>
      <c r="J98" s="241">
        <v>0</v>
      </c>
      <c r="K98" s="241">
        <v>42115.9</v>
      </c>
      <c r="L98" s="241">
        <v>42238.9</v>
      </c>
      <c r="M98" s="241">
        <v>22836.45</v>
      </c>
      <c r="N98" s="241">
        <v>19402.45</v>
      </c>
      <c r="O98" s="241">
        <v>43440.9</v>
      </c>
      <c r="P98" s="241">
        <v>23518.45</v>
      </c>
      <c r="Q98" s="241">
        <v>19922.45</v>
      </c>
    </row>
    <row r="99" spans="1:17" s="36" customFormat="1" ht="15" customHeight="1" outlineLevel="1">
      <c r="A99" s="60"/>
      <c r="B99" s="68" t="s">
        <v>488</v>
      </c>
      <c r="C99" s="13" t="s">
        <v>240</v>
      </c>
      <c r="D99" s="241"/>
      <c r="E99" s="241">
        <f>'4.10_пр-во (свод)'!E99+'4.10_транзит+сбыт (свод)'!E99</f>
        <v>23680.07</v>
      </c>
      <c r="F99" s="241"/>
      <c r="G99" s="241">
        <v>24548.535910908493</v>
      </c>
      <c r="H99" s="241">
        <v>0</v>
      </c>
      <c r="I99" s="241">
        <v>23160</v>
      </c>
      <c r="J99" s="241">
        <v>0</v>
      </c>
      <c r="K99" s="241">
        <v>32393</v>
      </c>
      <c r="L99" s="241">
        <v>46809</v>
      </c>
      <c r="M99" s="241">
        <v>23821</v>
      </c>
      <c r="N99" s="241">
        <v>22988</v>
      </c>
      <c r="O99" s="241">
        <v>49100</v>
      </c>
      <c r="P99" s="241">
        <v>25066</v>
      </c>
      <c r="Q99" s="241">
        <v>24034</v>
      </c>
    </row>
    <row r="100" spans="1:17" s="36" customFormat="1" ht="15" customHeight="1" outlineLevel="1">
      <c r="A100" s="60"/>
      <c r="B100" s="68" t="s">
        <v>489</v>
      </c>
      <c r="C100" s="13" t="s">
        <v>240</v>
      </c>
      <c r="D100" s="241"/>
      <c r="E100" s="241">
        <f>'4.10_пр-во (свод)'!E100+'4.10_транзит+сбыт (свод)'!E100</f>
        <v>1721</v>
      </c>
      <c r="F100" s="241"/>
      <c r="G100" s="241">
        <v>1440</v>
      </c>
      <c r="H100" s="241">
        <v>0</v>
      </c>
      <c r="I100" s="241">
        <v>1156</v>
      </c>
      <c r="J100" s="241">
        <v>0</v>
      </c>
      <c r="K100" s="241">
        <v>2032</v>
      </c>
      <c r="L100" s="241">
        <v>3475</v>
      </c>
      <c r="M100" s="241">
        <v>1816</v>
      </c>
      <c r="N100" s="241">
        <v>1659</v>
      </c>
      <c r="O100" s="241">
        <v>3559</v>
      </c>
      <c r="P100" s="241">
        <v>1857</v>
      </c>
      <c r="Q100" s="241">
        <v>1702</v>
      </c>
    </row>
    <row r="101" spans="1:17" s="36" customFormat="1" ht="15" customHeight="1" outlineLevel="1">
      <c r="A101" s="60"/>
      <c r="B101" s="68" t="s">
        <v>490</v>
      </c>
      <c r="C101" s="13" t="s">
        <v>240</v>
      </c>
      <c r="D101" s="241"/>
      <c r="E101" s="241">
        <f>'4.10_пр-во (свод)'!E101+'4.10_транзит+сбыт (свод)'!E101</f>
        <v>46940</v>
      </c>
      <c r="F101" s="241"/>
      <c r="G101" s="241">
        <v>48677.15931964379</v>
      </c>
      <c r="H101" s="241">
        <v>0</v>
      </c>
      <c r="I101" s="241">
        <v>39471</v>
      </c>
      <c r="J101" s="241">
        <v>0</v>
      </c>
      <c r="K101" s="241">
        <v>52919.74</v>
      </c>
      <c r="L101" s="241">
        <v>56923.54</v>
      </c>
      <c r="M101" s="241">
        <v>30516.75</v>
      </c>
      <c r="N101" s="241">
        <v>26406.79</v>
      </c>
      <c r="O101" s="241">
        <v>62018.75</v>
      </c>
      <c r="P101" s="241">
        <v>33118.5</v>
      </c>
      <c r="Q101" s="241">
        <v>28900.25</v>
      </c>
    </row>
    <row r="102" spans="1:17" s="36" customFormat="1" ht="15" customHeight="1" outlineLevel="1">
      <c r="A102" s="60"/>
      <c r="B102" s="68" t="s">
        <v>491</v>
      </c>
      <c r="C102" s="13" t="s">
        <v>240</v>
      </c>
      <c r="D102" s="241"/>
      <c r="E102" s="241">
        <f>'4.10_пр-во (свод)'!E102+'4.10_транзит+сбыт (свод)'!E102</f>
        <v>12565</v>
      </c>
      <c r="F102" s="241"/>
      <c r="G102" s="241">
        <v>12328</v>
      </c>
      <c r="H102" s="241">
        <v>0</v>
      </c>
      <c r="I102" s="241">
        <v>8585</v>
      </c>
      <c r="J102" s="241">
        <v>0</v>
      </c>
      <c r="K102" s="241">
        <v>9106</v>
      </c>
      <c r="L102" s="241">
        <v>9576</v>
      </c>
      <c r="M102" s="241">
        <v>5129</v>
      </c>
      <c r="N102" s="241">
        <v>4447</v>
      </c>
      <c r="O102" s="241">
        <v>14164</v>
      </c>
      <c r="P102" s="241">
        <v>7514</v>
      </c>
      <c r="Q102" s="241">
        <v>6650</v>
      </c>
    </row>
    <row r="103" spans="1:17" s="36" customFormat="1" ht="15" customHeight="1" outlineLevel="1">
      <c r="A103" s="60"/>
      <c r="B103" s="70" t="s">
        <v>492</v>
      </c>
      <c r="C103" s="13" t="s">
        <v>240</v>
      </c>
      <c r="D103" s="241"/>
      <c r="E103" s="241">
        <f>'4.10_пр-во (свод)'!E103+'4.10_транзит+сбыт (свод)'!E103</f>
        <v>8255</v>
      </c>
      <c r="F103" s="241"/>
      <c r="G103" s="241">
        <v>4832</v>
      </c>
      <c r="H103" s="241">
        <v>0</v>
      </c>
      <c r="I103" s="241">
        <v>5230</v>
      </c>
      <c r="J103" s="241">
        <v>0</v>
      </c>
      <c r="K103" s="241">
        <v>7165.6</v>
      </c>
      <c r="L103" s="241">
        <v>8641.6</v>
      </c>
      <c r="M103" s="241">
        <v>4690.8</v>
      </c>
      <c r="N103" s="241">
        <v>3950.8</v>
      </c>
      <c r="O103" s="241">
        <v>8990.6</v>
      </c>
      <c r="P103" s="241">
        <v>4886.8</v>
      </c>
      <c r="Q103" s="241">
        <v>4103.8</v>
      </c>
    </row>
    <row r="104" spans="1:17" s="36" customFormat="1" ht="15" customHeight="1" outlineLevel="1">
      <c r="A104" s="60"/>
      <c r="B104" s="70" t="s">
        <v>493</v>
      </c>
      <c r="C104" s="13" t="s">
        <v>240</v>
      </c>
      <c r="D104" s="241"/>
      <c r="E104" s="241">
        <f>'4.10_пр-во (свод)'!E104+'4.10_транзит+сбыт (свод)'!E104</f>
        <v>1270</v>
      </c>
      <c r="F104" s="241"/>
      <c r="G104" s="241">
        <v>1655.5922112542739</v>
      </c>
      <c r="H104" s="241">
        <v>0</v>
      </c>
      <c r="I104" s="241">
        <v>1367</v>
      </c>
      <c r="J104" s="241">
        <v>0</v>
      </c>
      <c r="K104" s="241">
        <v>2023.7</v>
      </c>
      <c r="L104" s="241">
        <v>3481.26</v>
      </c>
      <c r="M104" s="241">
        <v>1715.7</v>
      </c>
      <c r="N104" s="241">
        <v>1765.56</v>
      </c>
      <c r="O104" s="241">
        <v>4646.3599999999997</v>
      </c>
      <c r="P104" s="241">
        <v>2377.4</v>
      </c>
      <c r="Q104" s="241">
        <v>2268.96</v>
      </c>
    </row>
    <row r="105" spans="1:17" s="36" customFormat="1" ht="15" customHeight="1" outlineLevel="1">
      <c r="A105" s="60"/>
      <c r="B105" s="70" t="s">
        <v>494</v>
      </c>
      <c r="C105" s="13" t="s">
        <v>240</v>
      </c>
      <c r="D105" s="241"/>
      <c r="E105" s="241">
        <f>'4.10_пр-во (свод)'!E105+'4.10_транзит+сбыт (свод)'!E105</f>
        <v>945</v>
      </c>
      <c r="F105" s="241"/>
      <c r="G105" s="241">
        <v>3273.3656093650397</v>
      </c>
      <c r="H105" s="241">
        <v>0</v>
      </c>
      <c r="I105" s="241">
        <v>4465</v>
      </c>
      <c r="J105" s="241">
        <v>0</v>
      </c>
      <c r="K105" s="241">
        <v>3980.44</v>
      </c>
      <c r="L105" s="241">
        <v>4130.68</v>
      </c>
      <c r="M105" s="241">
        <v>2057.25</v>
      </c>
      <c r="N105" s="241">
        <v>2073.4300000000003</v>
      </c>
      <c r="O105" s="241">
        <v>4325.79</v>
      </c>
      <c r="P105" s="241">
        <v>2118.3000000000002</v>
      </c>
      <c r="Q105" s="241">
        <v>2207.4899999999998</v>
      </c>
    </row>
    <row r="106" spans="1:17" s="36" customFormat="1" ht="15" customHeight="1" outlineLevel="1">
      <c r="A106" s="60"/>
      <c r="B106" s="70" t="s">
        <v>495</v>
      </c>
      <c r="C106" s="13" t="s">
        <v>240</v>
      </c>
      <c r="D106" s="241"/>
      <c r="E106" s="241">
        <f>'4.10_пр-во (свод)'!E106+'4.10_транзит+сбыт (свод)'!E106</f>
        <v>23905</v>
      </c>
      <c r="F106" s="241"/>
      <c r="G106" s="241">
        <v>26587.201499024475</v>
      </c>
      <c r="H106" s="241">
        <v>0</v>
      </c>
      <c r="I106" s="241">
        <v>19824</v>
      </c>
      <c r="J106" s="241">
        <v>0</v>
      </c>
      <c r="K106" s="241">
        <v>30644</v>
      </c>
      <c r="L106" s="241">
        <v>31094</v>
      </c>
      <c r="M106" s="241">
        <v>16924</v>
      </c>
      <c r="N106" s="241">
        <v>14170</v>
      </c>
      <c r="O106" s="241">
        <v>29892</v>
      </c>
      <c r="P106" s="241">
        <v>16222</v>
      </c>
      <c r="Q106" s="241">
        <v>13670</v>
      </c>
    </row>
    <row r="107" spans="1:17" s="36" customFormat="1" ht="15" customHeight="1" outlineLevel="1">
      <c r="A107" s="60"/>
      <c r="B107" s="70" t="s">
        <v>496</v>
      </c>
      <c r="C107" s="13" t="s">
        <v>240</v>
      </c>
      <c r="D107" s="241"/>
      <c r="E107" s="241">
        <f>'4.10_пр-во (свод)'!E107+'4.10_транзит+сбыт (свод)'!E107</f>
        <v>348</v>
      </c>
      <c r="F107" s="241"/>
      <c r="G107" s="241">
        <v>259.60773272548147</v>
      </c>
      <c r="H107" s="241">
        <v>0</v>
      </c>
      <c r="I107" s="241">
        <v>157</v>
      </c>
      <c r="J107" s="241">
        <v>0</v>
      </c>
      <c r="K107" s="241">
        <v>681</v>
      </c>
      <c r="L107" s="241">
        <v>1822.8</v>
      </c>
      <c r="M107" s="241">
        <v>918.4</v>
      </c>
      <c r="N107" s="241">
        <v>904.4</v>
      </c>
      <c r="O107" s="241">
        <v>3345.2299999999996</v>
      </c>
      <c r="P107" s="241">
        <v>1680.37</v>
      </c>
      <c r="Q107" s="241">
        <v>1664.86</v>
      </c>
    </row>
    <row r="108" spans="1:17" s="36" customFormat="1" ht="15" customHeight="1" outlineLevel="1">
      <c r="A108" s="60"/>
      <c r="B108" s="70" t="s">
        <v>497</v>
      </c>
      <c r="C108" s="13" t="s">
        <v>240</v>
      </c>
      <c r="D108" s="241"/>
      <c r="E108" s="241">
        <f>'4.10_пр-во (свод)'!E108+'4.10_транзит+сбыт (свод)'!E108</f>
        <v>9</v>
      </c>
      <c r="F108" s="241"/>
      <c r="G108" s="241">
        <v>19</v>
      </c>
      <c r="H108" s="241">
        <v>0</v>
      </c>
      <c r="I108" s="241">
        <v>29</v>
      </c>
      <c r="J108" s="241">
        <v>0</v>
      </c>
      <c r="K108" s="241">
        <v>26</v>
      </c>
      <c r="L108" s="241">
        <v>26</v>
      </c>
      <c r="M108" s="241">
        <v>14</v>
      </c>
      <c r="N108" s="241">
        <v>12</v>
      </c>
      <c r="O108" s="241">
        <v>25</v>
      </c>
      <c r="P108" s="241">
        <v>13</v>
      </c>
      <c r="Q108" s="241">
        <v>12</v>
      </c>
    </row>
    <row r="109" spans="1:17" s="36" customFormat="1" ht="15" customHeight="1" outlineLevel="1">
      <c r="A109" s="60"/>
      <c r="B109" s="68" t="s">
        <v>498</v>
      </c>
      <c r="C109" s="13" t="s">
        <v>240</v>
      </c>
      <c r="D109" s="241"/>
      <c r="E109" s="241">
        <f>'4.10_пр-во (свод)'!E109+'4.10_транзит+сбыт (свод)'!E109</f>
        <v>1157</v>
      </c>
      <c r="F109" s="241"/>
      <c r="G109" s="241">
        <v>1354.3101493229278</v>
      </c>
      <c r="H109" s="241">
        <v>0</v>
      </c>
      <c r="I109" s="241">
        <v>1529</v>
      </c>
      <c r="J109" s="241">
        <v>0</v>
      </c>
      <c r="K109" s="241">
        <v>1488.47</v>
      </c>
      <c r="L109" s="241">
        <v>1080.98</v>
      </c>
      <c r="M109" s="241">
        <v>547.99</v>
      </c>
      <c r="N109" s="241">
        <v>532.99</v>
      </c>
      <c r="O109" s="241">
        <v>615.98</v>
      </c>
      <c r="P109" s="241">
        <v>315.99</v>
      </c>
      <c r="Q109" s="241">
        <v>299.99</v>
      </c>
    </row>
    <row r="110" spans="1:17" s="36" customFormat="1" ht="15" customHeight="1" outlineLevel="1">
      <c r="A110" s="60"/>
      <c r="B110" s="68" t="s">
        <v>499</v>
      </c>
      <c r="C110" s="13" t="s">
        <v>240</v>
      </c>
      <c r="D110" s="241"/>
      <c r="E110" s="241">
        <f>'4.10_пр-во (свод)'!E110+'4.10_транзит+сбыт (свод)'!E110</f>
        <v>787</v>
      </c>
      <c r="F110" s="241"/>
      <c r="G110" s="241">
        <v>639.21941584407057</v>
      </c>
      <c r="H110" s="241">
        <v>0</v>
      </c>
      <c r="I110" s="241">
        <v>2400</v>
      </c>
      <c r="J110" s="241">
        <v>0</v>
      </c>
      <c r="K110" s="241">
        <v>600.91999999999996</v>
      </c>
      <c r="L110" s="241">
        <v>962.86</v>
      </c>
      <c r="M110" s="241">
        <v>513.93000000000006</v>
      </c>
      <c r="N110" s="241">
        <v>448.93</v>
      </c>
      <c r="O110" s="241">
        <v>1482.26</v>
      </c>
      <c r="P110" s="241">
        <v>773.63</v>
      </c>
      <c r="Q110" s="241">
        <v>708.63</v>
      </c>
    </row>
    <row r="111" spans="1:17" s="1001" customFormat="1" ht="28.5">
      <c r="A111" s="82" t="s">
        <v>151</v>
      </c>
      <c r="B111" s="80" t="s">
        <v>1524</v>
      </c>
      <c r="C111" s="1002" t="s">
        <v>240</v>
      </c>
      <c r="D111" s="1000">
        <f>'4.10_пр-во (свод)'!D111+'4.10_транзит+сбыт (свод)'!D111</f>
        <v>78295</v>
      </c>
      <c r="E111" s="1000">
        <f>'4.10_пр-во (свод)'!E111+'4.10_транзит+сбыт (свод)'!E111</f>
        <v>107266.07</v>
      </c>
      <c r="F111" s="1000">
        <v>90382</v>
      </c>
      <c r="G111" s="1000">
        <v>129978.16031448606</v>
      </c>
      <c r="H111" s="1000">
        <v>126484.98340498135</v>
      </c>
      <c r="I111" s="1000">
        <v>113303</v>
      </c>
      <c r="J111" s="1000">
        <v>117007</v>
      </c>
      <c r="K111" s="1000">
        <v>154552</v>
      </c>
      <c r="L111" s="1000">
        <v>153570</v>
      </c>
      <c r="M111" s="1000">
        <v>81097</v>
      </c>
      <c r="N111" s="1000">
        <v>72474</v>
      </c>
      <c r="O111" s="1000">
        <v>163818</v>
      </c>
      <c r="P111" s="1000">
        <v>86455</v>
      </c>
      <c r="Q111" s="1000">
        <v>77363</v>
      </c>
    </row>
    <row r="112" spans="1:17" s="36" customFormat="1" ht="15" customHeight="1">
      <c r="A112" s="60" t="s">
        <v>153</v>
      </c>
      <c r="B112" s="70" t="s">
        <v>402</v>
      </c>
      <c r="C112" s="13" t="s">
        <v>240</v>
      </c>
      <c r="D112" s="241"/>
      <c r="E112" s="241"/>
      <c r="F112" s="241"/>
      <c r="G112" s="241"/>
      <c r="H112" s="241"/>
      <c r="I112" s="241"/>
      <c r="J112" s="241"/>
      <c r="K112" s="241"/>
      <c r="L112" s="241"/>
      <c r="M112" s="241"/>
      <c r="N112" s="241"/>
      <c r="O112" s="241"/>
      <c r="P112" s="241"/>
      <c r="Q112" s="241"/>
    </row>
    <row r="113" spans="1:17" s="36" customFormat="1" ht="15" customHeight="1">
      <c r="A113" s="60" t="s">
        <v>1528</v>
      </c>
      <c r="B113" s="70" t="s">
        <v>404</v>
      </c>
      <c r="C113" s="13" t="s">
        <v>240</v>
      </c>
      <c r="D113" s="241">
        <v>78295</v>
      </c>
      <c r="E113" s="241">
        <f>E111</f>
        <v>107266.07</v>
      </c>
      <c r="F113" s="241">
        <v>90382</v>
      </c>
      <c r="G113" s="241">
        <v>129978.16031448606</v>
      </c>
      <c r="H113" s="241">
        <v>126484.98340498135</v>
      </c>
      <c r="I113" s="241">
        <v>113303</v>
      </c>
      <c r="J113" s="241">
        <v>117007</v>
      </c>
      <c r="K113" s="241">
        <v>154552</v>
      </c>
      <c r="L113" s="241">
        <v>153570</v>
      </c>
      <c r="M113" s="241">
        <v>81097</v>
      </c>
      <c r="N113" s="241">
        <v>72474</v>
      </c>
      <c r="O113" s="241">
        <v>163818</v>
      </c>
      <c r="P113" s="241">
        <v>86455</v>
      </c>
      <c r="Q113" s="241">
        <v>77363</v>
      </c>
    </row>
    <row r="114" spans="1:17" s="36" customFormat="1" ht="15" customHeight="1">
      <c r="A114" s="60" t="s">
        <v>1529</v>
      </c>
      <c r="B114" s="70" t="s">
        <v>406</v>
      </c>
      <c r="C114" s="13" t="s">
        <v>240</v>
      </c>
      <c r="D114" s="241"/>
      <c r="E114" s="241"/>
      <c r="F114" s="241"/>
      <c r="G114" s="241"/>
      <c r="H114" s="241"/>
      <c r="I114" s="241"/>
      <c r="J114" s="241"/>
      <c r="K114" s="241"/>
      <c r="L114" s="241"/>
      <c r="M114" s="241"/>
      <c r="N114" s="241"/>
      <c r="O114" s="241"/>
      <c r="P114" s="241"/>
      <c r="Q114" s="241"/>
    </row>
    <row r="115" spans="1:17" s="36" customFormat="1" ht="15" customHeight="1">
      <c r="A115" s="60" t="s">
        <v>1530</v>
      </c>
      <c r="B115" s="70" t="s">
        <v>408</v>
      </c>
      <c r="C115" s="13" t="s">
        <v>240</v>
      </c>
      <c r="D115" s="241"/>
      <c r="E115" s="241"/>
      <c r="F115" s="241"/>
      <c r="G115" s="241"/>
      <c r="H115" s="241"/>
      <c r="I115" s="241"/>
      <c r="J115" s="241"/>
      <c r="K115" s="241"/>
      <c r="L115" s="241"/>
      <c r="M115" s="241"/>
      <c r="N115" s="241"/>
      <c r="O115" s="241"/>
      <c r="P115" s="241"/>
      <c r="Q115" s="241"/>
    </row>
    <row r="116" spans="1:17" customFormat="1" ht="12.75"/>
    <row r="117" spans="1:17" s="26" customFormat="1">
      <c r="A117" s="26" t="s">
        <v>88</v>
      </c>
      <c r="C117" s="48"/>
    </row>
    <row r="118" spans="1:17" s="541" customFormat="1" ht="51.75" customHeight="1">
      <c r="A118" s="541" t="s">
        <v>89</v>
      </c>
      <c r="B118" s="1842" t="s">
        <v>506</v>
      </c>
      <c r="C118" s="1842"/>
      <c r="D118" s="1842"/>
      <c r="E118" s="1842"/>
      <c r="F118" s="1842"/>
      <c r="G118" s="1842"/>
      <c r="H118" s="1842"/>
      <c r="I118" s="1842"/>
      <c r="J118" s="1842"/>
      <c r="K118" s="1842"/>
      <c r="L118" s="1842"/>
      <c r="M118" s="1842"/>
      <c r="N118" s="1842"/>
    </row>
    <row r="119" spans="1:17" s="541" customFormat="1" ht="58.5" customHeight="1">
      <c r="A119" s="541" t="s">
        <v>91</v>
      </c>
      <c r="B119" s="1842" t="s">
        <v>507</v>
      </c>
      <c r="C119" s="1842"/>
      <c r="D119" s="1842"/>
      <c r="E119" s="1842"/>
      <c r="F119" s="1842"/>
      <c r="G119" s="1842"/>
      <c r="H119" s="1842"/>
      <c r="I119" s="1842"/>
      <c r="J119" s="1842"/>
      <c r="K119" s="1842"/>
      <c r="L119" s="1842"/>
      <c r="M119" s="1842"/>
      <c r="N119" s="1842"/>
    </row>
    <row r="120" spans="1:17" ht="21" customHeight="1"/>
  </sheetData>
  <mergeCells count="3">
    <mergeCell ref="A3:N3"/>
    <mergeCell ref="B118:N118"/>
    <mergeCell ref="B119:N119"/>
  </mergeCells>
  <pageMargins left="0.72" right="0.51181102362204722" top="0.23" bottom="0.39370078740157483" header="0.19685039370078741" footer="0.19685039370078741"/>
  <pageSetup paperSize="9" scale="43" orientation="portrait" r:id="rId1"/>
  <headerFooter alignWithMargins="0"/>
  <rowBreaks count="1" manualBreakCount="1">
    <brk id="116" max="6" man="1"/>
  </row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Q120"/>
  <sheetViews>
    <sheetView view="pageBreakPreview" zoomScaleNormal="100" workbookViewId="0">
      <pane xSplit="2" ySplit="5" topLeftCell="C6" activePane="bottomRight" state="frozen"/>
      <selection activeCell="Q7" sqref="Q7"/>
      <selection pane="topRight" activeCell="Q7" sqref="Q7"/>
      <selection pane="bottomLeft" activeCell="Q7" sqref="Q7"/>
      <selection pane="bottomRight" activeCell="R2" sqref="R2"/>
    </sheetView>
  </sheetViews>
  <sheetFormatPr defaultColWidth="4.28515625" defaultRowHeight="15" outlineLevelRow="1"/>
  <cols>
    <col min="1" max="1" width="5.42578125" style="1" customWidth="1"/>
    <col min="2" max="2" width="42.28515625" style="1" customWidth="1"/>
    <col min="3" max="3" width="12" style="21" customWidth="1"/>
    <col min="4" max="4" width="12.5703125" style="1" hidden="1" customWidth="1"/>
    <col min="5" max="5" width="11.5703125" style="1" hidden="1" customWidth="1"/>
    <col min="6" max="10" width="12.5703125" style="1" customWidth="1"/>
    <col min="11" max="11" width="15.7109375" style="1" customWidth="1"/>
    <col min="12" max="12" width="12.5703125" style="1" customWidth="1"/>
    <col min="13" max="13" width="11.42578125" style="1" customWidth="1"/>
    <col min="14" max="14" width="11" style="1" customWidth="1"/>
    <col min="15" max="15" width="12.7109375" style="1" customWidth="1"/>
    <col min="16" max="16" width="10.85546875" style="1" customWidth="1"/>
    <col min="17" max="17" width="10.5703125" style="1" customWidth="1"/>
    <col min="18" max="16384" width="4.28515625" style="1"/>
  </cols>
  <sheetData>
    <row r="1" spans="1:17" s="5" customFormat="1" ht="15.75" customHeight="1">
      <c r="A1" s="74" t="s">
        <v>1860</v>
      </c>
      <c r="C1" s="20"/>
      <c r="N1" s="6" t="s">
        <v>943</v>
      </c>
      <c r="Q1" s="6" t="s">
        <v>943</v>
      </c>
    </row>
    <row r="2" spans="1:17" s="5" customFormat="1" ht="12.75" customHeight="1">
      <c r="A2" s="105" t="str">
        <f>'4.10_свод '!A2</f>
        <v>КТЭЦ + котельные СВОД</v>
      </c>
      <c r="C2" s="20"/>
    </row>
    <row r="3" spans="1:17" ht="37.5" customHeight="1">
      <c r="A3" s="1915" t="s">
        <v>1175</v>
      </c>
      <c r="B3" s="1915"/>
      <c r="C3" s="1915"/>
      <c r="D3" s="1915"/>
      <c r="E3" s="1915"/>
      <c r="F3" s="1915"/>
      <c r="G3" s="1915"/>
      <c r="H3" s="1915"/>
      <c r="I3" s="1915"/>
      <c r="J3" s="1915"/>
      <c r="K3" s="1915"/>
      <c r="L3" s="1915"/>
      <c r="M3" s="1915"/>
      <c r="N3" s="1915"/>
    </row>
    <row r="4" spans="1:17" customFormat="1" ht="12.75" customHeight="1"/>
    <row r="5" spans="1:17" s="3" customFormat="1" ht="63" customHeight="1">
      <c r="A5" s="913" t="s">
        <v>1527</v>
      </c>
      <c r="B5" s="913" t="s">
        <v>1</v>
      </c>
      <c r="C5" s="913" t="s">
        <v>2</v>
      </c>
      <c r="D5" s="913" t="s">
        <v>1129</v>
      </c>
      <c r="E5" s="913" t="s">
        <v>1130</v>
      </c>
      <c r="F5" s="913" t="s">
        <v>1131</v>
      </c>
      <c r="G5" s="913" t="s">
        <v>1695</v>
      </c>
      <c r="H5" s="1284" t="s">
        <v>1696</v>
      </c>
      <c r="I5" s="1576" t="s">
        <v>1828</v>
      </c>
      <c r="J5" s="1576" t="s">
        <v>1833</v>
      </c>
      <c r="K5" s="1631" t="s">
        <v>1861</v>
      </c>
      <c r="L5" s="1631" t="s">
        <v>1862</v>
      </c>
      <c r="M5" s="1631" t="s">
        <v>763</v>
      </c>
      <c r="N5" s="1631" t="s">
        <v>764</v>
      </c>
      <c r="O5" s="1631" t="s">
        <v>1863</v>
      </c>
      <c r="P5" s="1631" t="s">
        <v>763</v>
      </c>
      <c r="Q5" s="1631" t="s">
        <v>764</v>
      </c>
    </row>
    <row r="6" spans="1:17" s="2" customFormat="1">
      <c r="A6" s="13">
        <v>1</v>
      </c>
      <c r="B6" s="13">
        <v>2</v>
      </c>
      <c r="C6" s="13">
        <v>3</v>
      </c>
      <c r="D6" s="13">
        <v>4</v>
      </c>
      <c r="E6" s="13">
        <v>5</v>
      </c>
      <c r="F6" s="13">
        <v>4</v>
      </c>
      <c r="G6" s="13">
        <v>5</v>
      </c>
      <c r="H6" s="13">
        <v>6</v>
      </c>
      <c r="I6" s="13">
        <v>7</v>
      </c>
      <c r="J6" s="13">
        <v>8</v>
      </c>
      <c r="K6" s="13">
        <v>9</v>
      </c>
      <c r="L6" s="13">
        <v>10</v>
      </c>
      <c r="M6" s="13">
        <v>11</v>
      </c>
      <c r="N6" s="13">
        <v>12</v>
      </c>
      <c r="O6" s="13">
        <v>13</v>
      </c>
      <c r="P6" s="13">
        <v>14</v>
      </c>
      <c r="Q6" s="13">
        <v>15</v>
      </c>
    </row>
    <row r="7" spans="1:17" s="1001" customFormat="1" ht="30" customHeight="1">
      <c r="A7" s="82" t="s">
        <v>4</v>
      </c>
      <c r="B7" s="80" t="s">
        <v>486</v>
      </c>
      <c r="C7" s="1002" t="s">
        <v>240</v>
      </c>
      <c r="D7" s="1000">
        <f>'4.10_пр-во_КТЭЦ'!D7+'4.10_пр-во_котельн.'!D7</f>
        <v>877973</v>
      </c>
      <c r="E7" s="1000">
        <f>'4.10_пр-во_КТЭЦ'!E7+'4.10_пр-во_котельн.'!E7</f>
        <v>1324986</v>
      </c>
      <c r="F7" s="1000">
        <f>'4.10_пр-во_КТЭЦ'!F7+'4.10_пр-во_котельн.'!F7</f>
        <v>977523</v>
      </c>
      <c r="G7" s="1000">
        <v>2163330</v>
      </c>
      <c r="H7" s="1000">
        <v>1868368.2616000001</v>
      </c>
      <c r="I7" s="1000">
        <v>2141964</v>
      </c>
      <c r="J7" s="1000">
        <v>2252669.9842177448</v>
      </c>
      <c r="K7" s="1000">
        <v>2201359</v>
      </c>
      <c r="L7" s="1000">
        <v>2234350</v>
      </c>
      <c r="M7" s="1000">
        <v>2234350</v>
      </c>
      <c r="N7" s="1000">
        <v>2234506</v>
      </c>
      <c r="O7" s="1000">
        <v>2276595</v>
      </c>
      <c r="P7" s="1000">
        <v>2276595</v>
      </c>
      <c r="Q7" s="1000">
        <v>2276623</v>
      </c>
    </row>
    <row r="8" spans="1:17" s="36" customFormat="1" ht="15" customHeight="1" outlineLevel="1">
      <c r="A8" s="60"/>
      <c r="B8" s="68" t="s">
        <v>487</v>
      </c>
      <c r="C8" s="13" t="s">
        <v>240</v>
      </c>
      <c r="D8" s="241"/>
      <c r="E8" s="241">
        <f>'4.10_пр-во_КТЭЦ'!E8+'4.10_пр-во_котельн.'!E8</f>
        <v>713264</v>
      </c>
      <c r="F8" s="241"/>
      <c r="G8" s="241">
        <v>1427379</v>
      </c>
      <c r="H8" s="241">
        <v>0</v>
      </c>
      <c r="I8" s="241">
        <v>1402369</v>
      </c>
      <c r="J8" s="241"/>
      <c r="K8" s="241">
        <v>1418929</v>
      </c>
      <c r="L8" s="241">
        <v>1412831</v>
      </c>
      <c r="M8" s="241">
        <v>1412831</v>
      </c>
      <c r="N8" s="241">
        <v>1412797</v>
      </c>
      <c r="O8" s="241">
        <v>1413610</v>
      </c>
      <c r="P8" s="241">
        <v>1413610</v>
      </c>
      <c r="Q8" s="241">
        <v>1413605</v>
      </c>
    </row>
    <row r="9" spans="1:17" s="36" customFormat="1" ht="15" customHeight="1" outlineLevel="1">
      <c r="A9" s="60"/>
      <c r="B9" s="68" t="s">
        <v>488</v>
      </c>
      <c r="C9" s="13" t="s">
        <v>240</v>
      </c>
      <c r="D9" s="241"/>
      <c r="E9" s="241">
        <f>'4.10_пр-во_КТЭЦ'!E9+'4.10_пр-во_котельн.'!E9</f>
        <v>191202</v>
      </c>
      <c r="F9" s="241"/>
      <c r="G9" s="241">
        <v>238618</v>
      </c>
      <c r="H9" s="241">
        <v>0</v>
      </c>
      <c r="I9" s="241">
        <v>245283</v>
      </c>
      <c r="J9" s="241"/>
      <c r="K9" s="241">
        <v>258811</v>
      </c>
      <c r="L9" s="241">
        <v>264264</v>
      </c>
      <c r="M9" s="241">
        <v>264264</v>
      </c>
      <c r="N9" s="241">
        <v>264258</v>
      </c>
      <c r="O9" s="241">
        <v>266299</v>
      </c>
      <c r="P9" s="241">
        <v>266299</v>
      </c>
      <c r="Q9" s="241">
        <v>266298</v>
      </c>
    </row>
    <row r="10" spans="1:17" s="36" customFormat="1" ht="15" customHeight="1" outlineLevel="1">
      <c r="A10" s="60"/>
      <c r="B10" s="68" t="s">
        <v>489</v>
      </c>
      <c r="C10" s="13" t="s">
        <v>240</v>
      </c>
      <c r="D10" s="241"/>
      <c r="E10" s="241">
        <f>'4.10_пр-во_КТЭЦ'!E10+'4.10_пр-во_котельн.'!E10</f>
        <v>20071</v>
      </c>
      <c r="F10" s="241"/>
      <c r="G10" s="241">
        <v>23139</v>
      </c>
      <c r="H10" s="241">
        <v>0</v>
      </c>
      <c r="I10" s="241">
        <v>23139</v>
      </c>
      <c r="J10" s="241"/>
      <c r="K10" s="241">
        <v>26283</v>
      </c>
      <c r="L10" s="241">
        <v>34855</v>
      </c>
      <c r="M10" s="241">
        <v>34855</v>
      </c>
      <c r="N10" s="241">
        <v>34854</v>
      </c>
      <c r="O10" s="241">
        <v>35025</v>
      </c>
      <c r="P10" s="241">
        <v>35025</v>
      </c>
      <c r="Q10" s="241">
        <v>35025</v>
      </c>
    </row>
    <row r="11" spans="1:17" s="36" customFormat="1" ht="15" customHeight="1" outlineLevel="1">
      <c r="A11" s="60"/>
      <c r="B11" s="68" t="s">
        <v>490</v>
      </c>
      <c r="C11" s="13" t="s">
        <v>240</v>
      </c>
      <c r="D11" s="241"/>
      <c r="E11" s="241">
        <f>'4.10_пр-во_КТЭЦ'!E11+'4.10_пр-во_котельн.'!E11</f>
        <v>386370</v>
      </c>
      <c r="F11" s="241"/>
      <c r="G11" s="241">
        <v>459614</v>
      </c>
      <c r="H11" s="241">
        <v>0</v>
      </c>
      <c r="I11" s="241">
        <v>457959</v>
      </c>
      <c r="J11" s="241"/>
      <c r="K11" s="241">
        <v>483159</v>
      </c>
      <c r="L11" s="241">
        <v>508044</v>
      </c>
      <c r="M11" s="241">
        <v>508044</v>
      </c>
      <c r="N11" s="241">
        <v>508242</v>
      </c>
      <c r="O11" s="241">
        <v>546831</v>
      </c>
      <c r="P11" s="241">
        <v>546831</v>
      </c>
      <c r="Q11" s="241">
        <v>546865</v>
      </c>
    </row>
    <row r="12" spans="1:17" s="36" customFormat="1" ht="15" customHeight="1" outlineLevel="1">
      <c r="A12" s="60"/>
      <c r="B12" s="68" t="s">
        <v>491</v>
      </c>
      <c r="C12" s="13" t="s">
        <v>240</v>
      </c>
      <c r="D12" s="241"/>
      <c r="E12" s="241">
        <f>'4.10_пр-во_КТЭЦ'!E12+'4.10_пр-во_котельн.'!E12</f>
        <v>102053</v>
      </c>
      <c r="F12" s="241"/>
      <c r="G12" s="241">
        <v>117651</v>
      </c>
      <c r="H12" s="241">
        <v>0</v>
      </c>
      <c r="I12" s="241">
        <v>117651</v>
      </c>
      <c r="J12" s="241"/>
      <c r="K12" s="241">
        <v>117065</v>
      </c>
      <c r="L12" s="241">
        <v>116447</v>
      </c>
      <c r="M12" s="241">
        <v>116447</v>
      </c>
      <c r="N12" s="241">
        <v>116444</v>
      </c>
      <c r="O12" s="241">
        <v>147029</v>
      </c>
      <c r="P12" s="241">
        <v>147029</v>
      </c>
      <c r="Q12" s="241">
        <v>147029</v>
      </c>
    </row>
    <row r="13" spans="1:17" s="36" customFormat="1" ht="15" customHeight="1" outlineLevel="1">
      <c r="A13" s="60"/>
      <c r="B13" s="70" t="s">
        <v>492</v>
      </c>
      <c r="C13" s="13" t="s">
        <v>240</v>
      </c>
      <c r="D13" s="241"/>
      <c r="E13" s="241">
        <f>'4.10_пр-во_КТЭЦ'!E13+'4.10_пр-во_котельн.'!E13</f>
        <v>23461</v>
      </c>
      <c r="F13" s="241"/>
      <c r="G13" s="241">
        <v>33806</v>
      </c>
      <c r="H13" s="241">
        <v>0</v>
      </c>
      <c r="I13" s="241">
        <v>34499</v>
      </c>
      <c r="J13" s="241"/>
      <c r="K13" s="241">
        <v>42541</v>
      </c>
      <c r="L13" s="241">
        <v>55851</v>
      </c>
      <c r="M13" s="241">
        <v>55851</v>
      </c>
      <c r="N13" s="241">
        <v>55849</v>
      </c>
      <c r="O13" s="241">
        <v>57942</v>
      </c>
      <c r="P13" s="241">
        <v>57942</v>
      </c>
      <c r="Q13" s="241">
        <v>57941</v>
      </c>
    </row>
    <row r="14" spans="1:17" s="36" customFormat="1" ht="15" customHeight="1" outlineLevel="1">
      <c r="A14" s="60"/>
      <c r="B14" s="70" t="s">
        <v>493</v>
      </c>
      <c r="C14" s="13" t="s">
        <v>240</v>
      </c>
      <c r="D14" s="241"/>
      <c r="E14" s="241">
        <f>'4.10_пр-во_КТЭЦ'!E14+'4.10_пр-во_котельн.'!E14</f>
        <v>4442</v>
      </c>
      <c r="F14" s="241"/>
      <c r="G14" s="241">
        <v>5291</v>
      </c>
      <c r="H14" s="241">
        <v>0</v>
      </c>
      <c r="I14" s="241">
        <v>5279</v>
      </c>
      <c r="J14" s="241"/>
      <c r="K14" s="241">
        <v>5548</v>
      </c>
      <c r="L14" s="241">
        <v>15548</v>
      </c>
      <c r="M14" s="241">
        <v>15548</v>
      </c>
      <c r="N14" s="241">
        <v>15758</v>
      </c>
      <c r="O14" s="241">
        <v>23889</v>
      </c>
      <c r="P14" s="241">
        <v>23889</v>
      </c>
      <c r="Q14" s="241">
        <v>23925</v>
      </c>
    </row>
    <row r="15" spans="1:17" s="36" customFormat="1" ht="15" customHeight="1" outlineLevel="1">
      <c r="A15" s="60"/>
      <c r="B15" s="70" t="s">
        <v>494</v>
      </c>
      <c r="C15" s="13" t="s">
        <v>240</v>
      </c>
      <c r="D15" s="241"/>
      <c r="E15" s="241">
        <f>'4.10_пр-во_КТЭЦ'!E15+'4.10_пр-во_котельн.'!E15</f>
        <v>6829</v>
      </c>
      <c r="F15" s="241"/>
      <c r="G15" s="241">
        <v>7342</v>
      </c>
      <c r="H15" s="241">
        <v>0</v>
      </c>
      <c r="I15" s="241">
        <v>5028</v>
      </c>
      <c r="J15" s="241"/>
      <c r="K15" s="241">
        <v>5993</v>
      </c>
      <c r="L15" s="241">
        <v>5977</v>
      </c>
      <c r="M15" s="241">
        <v>5977</v>
      </c>
      <c r="N15" s="241">
        <v>5977</v>
      </c>
      <c r="O15" s="241">
        <v>5951</v>
      </c>
      <c r="P15" s="241">
        <v>5951</v>
      </c>
      <c r="Q15" s="241">
        <v>5951</v>
      </c>
    </row>
    <row r="16" spans="1:17" s="36" customFormat="1" ht="15" customHeight="1" outlineLevel="1">
      <c r="A16" s="60"/>
      <c r="B16" s="70" t="s">
        <v>495</v>
      </c>
      <c r="C16" s="13" t="s">
        <v>240</v>
      </c>
      <c r="D16" s="241"/>
      <c r="E16" s="241">
        <f>'4.10_пр-во_КТЭЦ'!E16+'4.10_пр-во_котельн.'!E16</f>
        <v>249585</v>
      </c>
      <c r="F16" s="241"/>
      <c r="G16" s="241">
        <v>295524</v>
      </c>
      <c r="H16" s="241">
        <v>0</v>
      </c>
      <c r="I16" s="241">
        <v>295502</v>
      </c>
      <c r="J16" s="241"/>
      <c r="K16" s="241">
        <v>312012</v>
      </c>
      <c r="L16" s="241">
        <v>314221</v>
      </c>
      <c r="M16" s="241">
        <v>314221</v>
      </c>
      <c r="N16" s="241">
        <v>314214</v>
      </c>
      <c r="O16" s="241">
        <v>312020</v>
      </c>
      <c r="P16" s="241">
        <v>312020</v>
      </c>
      <c r="Q16" s="241">
        <v>312019</v>
      </c>
    </row>
    <row r="17" spans="1:17" s="36" customFormat="1" ht="15" customHeight="1" outlineLevel="1">
      <c r="A17" s="60"/>
      <c r="B17" s="70" t="s">
        <v>496</v>
      </c>
      <c r="C17" s="13" t="s">
        <v>240</v>
      </c>
      <c r="D17" s="241"/>
      <c r="E17" s="241">
        <f>'4.10_пр-во_КТЭЦ'!E17+'4.10_пр-во_котельн.'!E17</f>
        <v>1942</v>
      </c>
      <c r="F17" s="241"/>
      <c r="G17" s="241">
        <v>2255</v>
      </c>
      <c r="H17" s="241">
        <v>0</v>
      </c>
      <c r="I17" s="241">
        <v>2138</v>
      </c>
      <c r="J17" s="241"/>
      <c r="K17" s="241">
        <v>2746</v>
      </c>
      <c r="L17" s="241">
        <v>2735</v>
      </c>
      <c r="M17" s="241">
        <v>2735</v>
      </c>
      <c r="N17" s="241">
        <v>2734</v>
      </c>
      <c r="O17" s="241">
        <v>3294</v>
      </c>
      <c r="P17" s="241">
        <v>3294</v>
      </c>
      <c r="Q17" s="241">
        <v>3294</v>
      </c>
    </row>
    <row r="18" spans="1:17" s="36" customFormat="1" ht="15" customHeight="1" outlineLevel="1">
      <c r="A18" s="60"/>
      <c r="B18" s="70" t="s">
        <v>497</v>
      </c>
      <c r="C18" s="13" t="s">
        <v>240</v>
      </c>
      <c r="D18" s="241"/>
      <c r="E18" s="241">
        <f>'4.10_пр-во_КТЭЦ'!E18+'4.10_пр-во_котельн.'!E18</f>
        <v>5</v>
      </c>
      <c r="F18" s="241"/>
      <c r="G18" s="241">
        <v>11</v>
      </c>
      <c r="H18" s="241">
        <v>0</v>
      </c>
      <c r="I18" s="241">
        <v>56</v>
      </c>
      <c r="J18" s="241"/>
      <c r="K18" s="241">
        <v>168</v>
      </c>
      <c r="L18" s="241">
        <v>166</v>
      </c>
      <c r="M18" s="241">
        <v>166</v>
      </c>
      <c r="N18" s="241">
        <v>166</v>
      </c>
      <c r="O18" s="241">
        <v>165</v>
      </c>
      <c r="P18" s="241">
        <v>165</v>
      </c>
      <c r="Q18" s="241">
        <v>165</v>
      </c>
    </row>
    <row r="19" spans="1:17" s="36" customFormat="1" ht="15" customHeight="1" outlineLevel="1">
      <c r="A19" s="60"/>
      <c r="B19" s="68" t="s">
        <v>498</v>
      </c>
      <c r="C19" s="13" t="s">
        <v>240</v>
      </c>
      <c r="D19" s="241"/>
      <c r="E19" s="241">
        <f>'4.10_пр-во_КТЭЦ'!E19+'4.10_пр-во_котельн.'!E19</f>
        <v>5978</v>
      </c>
      <c r="F19" s="241"/>
      <c r="G19" s="241">
        <v>5199</v>
      </c>
      <c r="H19" s="241">
        <v>0</v>
      </c>
      <c r="I19" s="241">
        <v>3341</v>
      </c>
      <c r="J19" s="241"/>
      <c r="K19" s="241">
        <v>3517</v>
      </c>
      <c r="L19" s="241">
        <v>3507</v>
      </c>
      <c r="M19" s="241">
        <v>3507</v>
      </c>
      <c r="N19" s="241">
        <v>3507</v>
      </c>
      <c r="O19" s="241">
        <v>3493</v>
      </c>
      <c r="P19" s="241">
        <v>3493</v>
      </c>
      <c r="Q19" s="241">
        <v>3493</v>
      </c>
    </row>
    <row r="20" spans="1:17" s="36" customFormat="1" ht="15" customHeight="1" outlineLevel="1">
      <c r="A20" s="60"/>
      <c r="B20" s="68" t="s">
        <v>499</v>
      </c>
      <c r="C20" s="13" t="s">
        <v>240</v>
      </c>
      <c r="D20" s="241"/>
      <c r="E20" s="241">
        <f>'4.10_пр-во_КТЭЦ'!E20+'4.10_пр-во_котельн.'!E20</f>
        <v>6154</v>
      </c>
      <c r="F20" s="241"/>
      <c r="G20" s="241">
        <v>7115</v>
      </c>
      <c r="H20" s="241">
        <v>0</v>
      </c>
      <c r="I20" s="241">
        <v>7679</v>
      </c>
      <c r="J20" s="241"/>
      <c r="K20" s="241">
        <v>7746</v>
      </c>
      <c r="L20" s="241">
        <v>7948</v>
      </c>
      <c r="M20" s="241">
        <v>7948</v>
      </c>
      <c r="N20" s="241">
        <v>7948</v>
      </c>
      <c r="O20" s="241">
        <v>7878</v>
      </c>
      <c r="P20" s="241">
        <v>7878</v>
      </c>
      <c r="Q20" s="241">
        <v>7878</v>
      </c>
    </row>
    <row r="21" spans="1:17" s="36" customFormat="1">
      <c r="A21" s="60"/>
      <c r="B21" s="68"/>
      <c r="C21" s="13"/>
      <c r="D21" s="241"/>
      <c r="E21" s="241"/>
      <c r="F21" s="241"/>
      <c r="G21" s="241"/>
      <c r="H21" s="241"/>
      <c r="I21" s="241"/>
      <c r="J21" s="241"/>
      <c r="K21" s="241"/>
      <c r="L21" s="241"/>
      <c r="M21" s="241"/>
      <c r="N21" s="241"/>
      <c r="O21" s="241"/>
      <c r="P21" s="241"/>
      <c r="Q21" s="241"/>
    </row>
    <row r="22" spans="1:17" s="1001" customFormat="1" ht="60" customHeight="1">
      <c r="A22" s="82" t="s">
        <v>23</v>
      </c>
      <c r="B22" s="80" t="s">
        <v>500</v>
      </c>
      <c r="C22" s="1002" t="s">
        <v>240</v>
      </c>
      <c r="D22" s="1000">
        <f>'4.10_пр-во_КТЭЦ'!D22+'4.10_пр-во_котельн.'!D22</f>
        <v>0</v>
      </c>
      <c r="E22" s="1000">
        <f>'4.10_пр-во_КТЭЦ'!E22+'4.10_пр-во_котельн.'!E22</f>
        <v>538392</v>
      </c>
      <c r="F22" s="1000">
        <f>'4.10_пр-во_КТЭЦ'!F22+'4.10_пр-во_котельн.'!F22</f>
        <v>0</v>
      </c>
      <c r="G22" s="1000">
        <v>0</v>
      </c>
      <c r="H22" s="1000">
        <v>0</v>
      </c>
      <c r="I22" s="1000">
        <v>0</v>
      </c>
      <c r="J22" s="1000">
        <v>0</v>
      </c>
      <c r="K22" s="1000">
        <v>0</v>
      </c>
      <c r="L22" s="1000">
        <v>0</v>
      </c>
      <c r="M22" s="1000">
        <v>0</v>
      </c>
      <c r="N22" s="1000">
        <v>0</v>
      </c>
      <c r="O22" s="1000">
        <v>0</v>
      </c>
      <c r="P22" s="1000">
        <v>0</v>
      </c>
      <c r="Q22" s="1000">
        <v>0</v>
      </c>
    </row>
    <row r="23" spans="1:17" s="36" customFormat="1" ht="15" customHeight="1" outlineLevel="1">
      <c r="A23" s="60"/>
      <c r="B23" s="68" t="s">
        <v>487</v>
      </c>
      <c r="C23" s="13" t="s">
        <v>240</v>
      </c>
      <c r="D23" s="241"/>
      <c r="E23" s="241">
        <f>'4.10_пр-во_КТЭЦ'!E23+'4.10_пр-во_котельн.'!E23</f>
        <v>538392</v>
      </c>
      <c r="F23" s="241"/>
      <c r="G23" s="241">
        <v>0</v>
      </c>
      <c r="H23" s="241">
        <v>0</v>
      </c>
      <c r="I23" s="241">
        <v>0</v>
      </c>
      <c r="J23" s="241">
        <v>0</v>
      </c>
      <c r="K23" s="241">
        <v>0</v>
      </c>
      <c r="L23" s="241">
        <v>0</v>
      </c>
      <c r="M23" s="241">
        <v>0</v>
      </c>
      <c r="N23" s="241">
        <v>0</v>
      </c>
      <c r="O23" s="241">
        <v>0</v>
      </c>
      <c r="P23" s="241">
        <v>0</v>
      </c>
      <c r="Q23" s="241">
        <v>0</v>
      </c>
    </row>
    <row r="24" spans="1:17" s="36" customFormat="1" ht="15" customHeight="1" outlineLevel="1">
      <c r="A24" s="60"/>
      <c r="B24" s="68" t="s">
        <v>488</v>
      </c>
      <c r="C24" s="13" t="s">
        <v>240</v>
      </c>
      <c r="D24" s="241"/>
      <c r="E24" s="241">
        <f>'4.10_пр-во_КТЭЦ'!E24+'4.10_пр-во_котельн.'!E24</f>
        <v>0</v>
      </c>
      <c r="F24" s="241"/>
      <c r="G24" s="241">
        <v>0</v>
      </c>
      <c r="H24" s="241">
        <v>0</v>
      </c>
      <c r="I24" s="241">
        <v>0</v>
      </c>
      <c r="J24" s="241">
        <v>0</v>
      </c>
      <c r="K24" s="241">
        <v>0</v>
      </c>
      <c r="L24" s="241">
        <v>0</v>
      </c>
      <c r="M24" s="241">
        <v>0</v>
      </c>
      <c r="N24" s="241">
        <v>0</v>
      </c>
      <c r="O24" s="241">
        <v>0</v>
      </c>
      <c r="P24" s="241">
        <v>0</v>
      </c>
      <c r="Q24" s="241">
        <v>0</v>
      </c>
    </row>
    <row r="25" spans="1:17" s="36" customFormat="1" ht="15" customHeight="1" outlineLevel="1">
      <c r="A25" s="60"/>
      <c r="B25" s="68" t="s">
        <v>489</v>
      </c>
      <c r="C25" s="13" t="s">
        <v>240</v>
      </c>
      <c r="D25" s="241"/>
      <c r="E25" s="241">
        <f>'4.10_пр-во_КТЭЦ'!E25+'4.10_пр-во_котельн.'!E25</f>
        <v>0</v>
      </c>
      <c r="F25" s="241"/>
      <c r="G25" s="241">
        <v>0</v>
      </c>
      <c r="H25" s="241">
        <v>0</v>
      </c>
      <c r="I25" s="241">
        <v>0</v>
      </c>
      <c r="J25" s="241">
        <v>0</v>
      </c>
      <c r="K25" s="241">
        <v>0</v>
      </c>
      <c r="L25" s="241">
        <v>0</v>
      </c>
      <c r="M25" s="241">
        <v>0</v>
      </c>
      <c r="N25" s="241">
        <v>0</v>
      </c>
      <c r="O25" s="241">
        <v>0</v>
      </c>
      <c r="P25" s="241">
        <v>0</v>
      </c>
      <c r="Q25" s="241">
        <v>0</v>
      </c>
    </row>
    <row r="26" spans="1:17" s="36" customFormat="1" ht="15" customHeight="1" outlineLevel="1">
      <c r="A26" s="60"/>
      <c r="B26" s="68" t="s">
        <v>490</v>
      </c>
      <c r="C26" s="13" t="s">
        <v>240</v>
      </c>
      <c r="D26" s="241"/>
      <c r="E26" s="241">
        <f>'4.10_пр-во_КТЭЦ'!E26+'4.10_пр-во_котельн.'!E26</f>
        <v>0</v>
      </c>
      <c r="F26" s="241"/>
      <c r="G26" s="241">
        <v>0</v>
      </c>
      <c r="H26" s="241">
        <v>0</v>
      </c>
      <c r="I26" s="241">
        <v>0</v>
      </c>
      <c r="J26" s="241">
        <v>0</v>
      </c>
      <c r="K26" s="241">
        <v>0</v>
      </c>
      <c r="L26" s="241">
        <v>0</v>
      </c>
      <c r="M26" s="241">
        <v>0</v>
      </c>
      <c r="N26" s="241">
        <v>0</v>
      </c>
      <c r="O26" s="241">
        <v>0</v>
      </c>
      <c r="P26" s="241">
        <v>0</v>
      </c>
      <c r="Q26" s="241">
        <v>0</v>
      </c>
    </row>
    <row r="27" spans="1:17" s="36" customFormat="1" ht="15" customHeight="1" outlineLevel="1">
      <c r="A27" s="60"/>
      <c r="B27" s="68" t="s">
        <v>491</v>
      </c>
      <c r="C27" s="13" t="s">
        <v>240</v>
      </c>
      <c r="D27" s="241"/>
      <c r="E27" s="241">
        <f>'4.10_пр-во_КТЭЦ'!E27+'4.10_пр-во_котельн.'!E27</f>
        <v>0</v>
      </c>
      <c r="F27" s="241"/>
      <c r="G27" s="241">
        <v>0</v>
      </c>
      <c r="H27" s="241">
        <v>0</v>
      </c>
      <c r="I27" s="241">
        <v>0</v>
      </c>
      <c r="J27" s="241">
        <v>0</v>
      </c>
      <c r="K27" s="241">
        <v>0</v>
      </c>
      <c r="L27" s="241">
        <v>0</v>
      </c>
      <c r="M27" s="241">
        <v>0</v>
      </c>
      <c r="N27" s="241">
        <v>0</v>
      </c>
      <c r="O27" s="241">
        <v>0</v>
      </c>
      <c r="P27" s="241">
        <v>0</v>
      </c>
      <c r="Q27" s="241">
        <v>0</v>
      </c>
    </row>
    <row r="28" spans="1:17" s="36" customFormat="1" ht="15" customHeight="1" outlineLevel="1">
      <c r="A28" s="60"/>
      <c r="B28" s="70" t="s">
        <v>492</v>
      </c>
      <c r="C28" s="13" t="s">
        <v>240</v>
      </c>
      <c r="D28" s="241"/>
      <c r="E28" s="241">
        <f>'4.10_пр-во_КТЭЦ'!E28+'4.10_пр-во_котельн.'!E28</f>
        <v>0</v>
      </c>
      <c r="F28" s="241"/>
      <c r="G28" s="241">
        <v>0</v>
      </c>
      <c r="H28" s="241">
        <v>0</v>
      </c>
      <c r="I28" s="241">
        <v>0</v>
      </c>
      <c r="J28" s="241">
        <v>0</v>
      </c>
      <c r="K28" s="241">
        <v>0</v>
      </c>
      <c r="L28" s="241">
        <v>0</v>
      </c>
      <c r="M28" s="241">
        <v>0</v>
      </c>
      <c r="N28" s="241">
        <v>0</v>
      </c>
      <c r="O28" s="241">
        <v>0</v>
      </c>
      <c r="P28" s="241">
        <v>0</v>
      </c>
      <c r="Q28" s="241">
        <v>0</v>
      </c>
    </row>
    <row r="29" spans="1:17" s="36" customFormat="1" ht="15" customHeight="1" outlineLevel="1">
      <c r="A29" s="60"/>
      <c r="B29" s="70" t="s">
        <v>493</v>
      </c>
      <c r="C29" s="13" t="s">
        <v>240</v>
      </c>
      <c r="D29" s="241"/>
      <c r="E29" s="241">
        <f>'4.10_пр-во_КТЭЦ'!E29+'4.10_пр-во_котельн.'!E29</f>
        <v>0</v>
      </c>
      <c r="F29" s="241"/>
      <c r="G29" s="241">
        <v>0</v>
      </c>
      <c r="H29" s="241">
        <v>0</v>
      </c>
      <c r="I29" s="241">
        <v>0</v>
      </c>
      <c r="J29" s="241">
        <v>0</v>
      </c>
      <c r="K29" s="241">
        <v>0</v>
      </c>
      <c r="L29" s="241">
        <v>0</v>
      </c>
      <c r="M29" s="241">
        <v>0</v>
      </c>
      <c r="N29" s="241">
        <v>0</v>
      </c>
      <c r="O29" s="241">
        <v>0</v>
      </c>
      <c r="P29" s="241">
        <v>0</v>
      </c>
      <c r="Q29" s="241">
        <v>0</v>
      </c>
    </row>
    <row r="30" spans="1:17" s="36" customFormat="1" ht="15" customHeight="1" outlineLevel="1">
      <c r="A30" s="60"/>
      <c r="B30" s="70" t="s">
        <v>494</v>
      </c>
      <c r="C30" s="13" t="s">
        <v>240</v>
      </c>
      <c r="D30" s="241"/>
      <c r="E30" s="241">
        <f>'4.10_пр-во_КТЭЦ'!E30+'4.10_пр-во_котельн.'!E30</f>
        <v>0</v>
      </c>
      <c r="F30" s="241"/>
      <c r="G30" s="241">
        <v>0</v>
      </c>
      <c r="H30" s="241">
        <v>0</v>
      </c>
      <c r="I30" s="241">
        <v>0</v>
      </c>
      <c r="J30" s="241">
        <v>0</v>
      </c>
      <c r="K30" s="241">
        <v>0</v>
      </c>
      <c r="L30" s="241">
        <v>0</v>
      </c>
      <c r="M30" s="241">
        <v>0</v>
      </c>
      <c r="N30" s="241">
        <v>0</v>
      </c>
      <c r="O30" s="241">
        <v>0</v>
      </c>
      <c r="P30" s="241">
        <v>0</v>
      </c>
      <c r="Q30" s="241">
        <v>0</v>
      </c>
    </row>
    <row r="31" spans="1:17" s="36" customFormat="1" ht="15" customHeight="1" outlineLevel="1">
      <c r="A31" s="60"/>
      <c r="B31" s="70" t="s">
        <v>495</v>
      </c>
      <c r="C31" s="13" t="s">
        <v>240</v>
      </c>
      <c r="D31" s="241"/>
      <c r="E31" s="241">
        <f>'4.10_пр-во_КТЭЦ'!E31+'4.10_пр-во_котельн.'!E31</f>
        <v>0</v>
      </c>
      <c r="F31" s="241"/>
      <c r="G31" s="241">
        <v>0</v>
      </c>
      <c r="H31" s="241">
        <v>0</v>
      </c>
      <c r="I31" s="241">
        <v>0</v>
      </c>
      <c r="J31" s="241">
        <v>0</v>
      </c>
      <c r="K31" s="241">
        <v>0</v>
      </c>
      <c r="L31" s="241">
        <v>0</v>
      </c>
      <c r="M31" s="241">
        <v>0</v>
      </c>
      <c r="N31" s="241">
        <v>0</v>
      </c>
      <c r="O31" s="241">
        <v>0</v>
      </c>
      <c r="P31" s="241">
        <v>0</v>
      </c>
      <c r="Q31" s="241">
        <v>0</v>
      </c>
    </row>
    <row r="32" spans="1:17" s="36" customFormat="1" ht="15" customHeight="1" outlineLevel="1">
      <c r="A32" s="60"/>
      <c r="B32" s="70" t="s">
        <v>496</v>
      </c>
      <c r="C32" s="13" t="s">
        <v>240</v>
      </c>
      <c r="D32" s="241"/>
      <c r="E32" s="241">
        <f>'4.10_пр-во_КТЭЦ'!E32+'4.10_пр-во_котельн.'!E32</f>
        <v>0</v>
      </c>
      <c r="F32" s="241"/>
      <c r="G32" s="241">
        <v>0</v>
      </c>
      <c r="H32" s="241">
        <v>0</v>
      </c>
      <c r="I32" s="241">
        <v>0</v>
      </c>
      <c r="J32" s="241">
        <v>0</v>
      </c>
      <c r="K32" s="241">
        <v>0</v>
      </c>
      <c r="L32" s="241">
        <v>0</v>
      </c>
      <c r="M32" s="241">
        <v>0</v>
      </c>
      <c r="N32" s="241">
        <v>0</v>
      </c>
      <c r="O32" s="241">
        <v>0</v>
      </c>
      <c r="P32" s="241">
        <v>0</v>
      </c>
      <c r="Q32" s="241">
        <v>0</v>
      </c>
    </row>
    <row r="33" spans="1:17" s="36" customFormat="1" ht="15" customHeight="1" outlineLevel="1">
      <c r="A33" s="60"/>
      <c r="B33" s="70" t="s">
        <v>497</v>
      </c>
      <c r="C33" s="13" t="s">
        <v>240</v>
      </c>
      <c r="D33" s="241"/>
      <c r="E33" s="241">
        <f>'4.10_пр-во_КТЭЦ'!E33+'4.10_пр-во_котельн.'!E33</f>
        <v>0</v>
      </c>
      <c r="F33" s="241"/>
      <c r="G33" s="241">
        <v>0</v>
      </c>
      <c r="H33" s="241">
        <v>0</v>
      </c>
      <c r="I33" s="241">
        <v>0</v>
      </c>
      <c r="J33" s="241">
        <v>0</v>
      </c>
      <c r="K33" s="241">
        <v>0</v>
      </c>
      <c r="L33" s="241">
        <v>0</v>
      </c>
      <c r="M33" s="241">
        <v>0</v>
      </c>
      <c r="N33" s="241">
        <v>0</v>
      </c>
      <c r="O33" s="241">
        <v>0</v>
      </c>
      <c r="P33" s="241">
        <v>0</v>
      </c>
      <c r="Q33" s="241">
        <v>0</v>
      </c>
    </row>
    <row r="34" spans="1:17" s="36" customFormat="1" ht="15" customHeight="1" outlineLevel="1">
      <c r="A34" s="60"/>
      <c r="B34" s="68" t="s">
        <v>498</v>
      </c>
      <c r="C34" s="13" t="s">
        <v>240</v>
      </c>
      <c r="D34" s="241"/>
      <c r="E34" s="241">
        <f>'4.10_пр-во_КТЭЦ'!E34+'4.10_пр-во_котельн.'!E34</f>
        <v>0</v>
      </c>
      <c r="F34" s="241"/>
      <c r="G34" s="241">
        <v>0</v>
      </c>
      <c r="H34" s="241">
        <v>0</v>
      </c>
      <c r="I34" s="241">
        <v>0</v>
      </c>
      <c r="J34" s="241">
        <v>0</v>
      </c>
      <c r="K34" s="241">
        <v>0</v>
      </c>
      <c r="L34" s="241">
        <v>0</v>
      </c>
      <c r="M34" s="241">
        <v>0</v>
      </c>
      <c r="N34" s="241">
        <v>0</v>
      </c>
      <c r="O34" s="241">
        <v>0</v>
      </c>
      <c r="P34" s="241">
        <v>0</v>
      </c>
      <c r="Q34" s="241">
        <v>0</v>
      </c>
    </row>
    <row r="35" spans="1:17" s="36" customFormat="1" ht="15" customHeight="1" outlineLevel="1">
      <c r="A35" s="60"/>
      <c r="B35" s="68" t="s">
        <v>499</v>
      </c>
      <c r="C35" s="13" t="s">
        <v>240</v>
      </c>
      <c r="D35" s="241"/>
      <c r="E35" s="241">
        <f>'4.10_пр-во_КТЭЦ'!E35+'4.10_пр-во_котельн.'!E35</f>
        <v>0</v>
      </c>
      <c r="F35" s="241"/>
      <c r="G35" s="241">
        <v>0</v>
      </c>
      <c r="H35" s="241">
        <v>0</v>
      </c>
      <c r="I35" s="241">
        <v>0</v>
      </c>
      <c r="J35" s="241">
        <v>0</v>
      </c>
      <c r="K35" s="241">
        <v>0</v>
      </c>
      <c r="L35" s="241">
        <v>0</v>
      </c>
      <c r="M35" s="241">
        <v>0</v>
      </c>
      <c r="N35" s="241">
        <v>0</v>
      </c>
      <c r="O35" s="241">
        <v>0</v>
      </c>
      <c r="P35" s="241">
        <v>0</v>
      </c>
      <c r="Q35" s="241">
        <v>0</v>
      </c>
    </row>
    <row r="36" spans="1:17" s="36" customFormat="1">
      <c r="A36" s="60"/>
      <c r="B36" s="68"/>
      <c r="C36" s="13"/>
      <c r="D36" s="241"/>
      <c r="E36" s="241"/>
      <c r="F36" s="241"/>
      <c r="G36" s="241"/>
      <c r="H36" s="241"/>
      <c r="I36" s="241"/>
      <c r="J36" s="241"/>
      <c r="K36" s="241"/>
      <c r="L36" s="241"/>
      <c r="M36" s="241"/>
      <c r="N36" s="241"/>
      <c r="O36" s="241"/>
      <c r="P36" s="241"/>
      <c r="Q36" s="241"/>
    </row>
    <row r="37" spans="1:17" s="1001" customFormat="1" ht="28.5">
      <c r="A37" s="82" t="s">
        <v>27</v>
      </c>
      <c r="B37" s="80" t="s">
        <v>501</v>
      </c>
      <c r="C37" s="1002" t="s">
        <v>240</v>
      </c>
      <c r="D37" s="1000">
        <f>'4.10_пр-во_КТЭЦ'!D37+'4.10_пр-во_котельн.'!D37</f>
        <v>23334</v>
      </c>
      <c r="E37" s="1000">
        <f>'4.10_пр-во_КТЭЦ'!E37+'4.10_пр-во_котельн.'!E37</f>
        <v>30583.440000000002</v>
      </c>
      <c r="F37" s="1000">
        <f>'4.10_пр-во_КТЭЦ'!F37+'4.10_пр-во_котельн.'!F37</f>
        <v>0</v>
      </c>
      <c r="G37" s="1000">
        <v>44375</v>
      </c>
      <c r="H37" s="1000">
        <v>27660.169491525423</v>
      </c>
      <c r="I37" s="1000">
        <v>66715</v>
      </c>
      <c r="J37" s="1000">
        <v>23371.459887573164</v>
      </c>
      <c r="K37" s="1000">
        <v>32991</v>
      </c>
      <c r="L37" s="1000">
        <v>42244</v>
      </c>
      <c r="M37" s="1000">
        <v>156</v>
      </c>
      <c r="N37" s="1000">
        <v>42088</v>
      </c>
      <c r="O37" s="1000">
        <v>57442</v>
      </c>
      <c r="P37" s="1000">
        <v>28</v>
      </c>
      <c r="Q37" s="1000">
        <v>57414</v>
      </c>
    </row>
    <row r="38" spans="1:17" s="36" customFormat="1" ht="15" customHeight="1" outlineLevel="1">
      <c r="A38" s="60"/>
      <c r="B38" s="68" t="s">
        <v>487</v>
      </c>
      <c r="C38" s="13" t="s">
        <v>240</v>
      </c>
      <c r="D38" s="241"/>
      <c r="E38" s="241">
        <f>'4.10_пр-во_КТЭЦ'!E38+'4.10_пр-во_котельн.'!E38</f>
        <v>0</v>
      </c>
      <c r="F38" s="241"/>
      <c r="G38" s="241">
        <v>32205</v>
      </c>
      <c r="H38" s="241">
        <v>0</v>
      </c>
      <c r="I38" s="241">
        <v>22225</v>
      </c>
      <c r="J38" s="241"/>
      <c r="K38" s="241">
        <v>924</v>
      </c>
      <c r="L38" s="241">
        <v>9037</v>
      </c>
      <c r="M38" s="241">
        <v>0</v>
      </c>
      <c r="N38" s="241">
        <v>9037</v>
      </c>
      <c r="O38" s="241">
        <v>1428</v>
      </c>
      <c r="P38" s="241">
        <v>0</v>
      </c>
      <c r="Q38" s="241">
        <v>1428</v>
      </c>
    </row>
    <row r="39" spans="1:17" s="36" customFormat="1" ht="15" customHeight="1" outlineLevel="1">
      <c r="A39" s="60"/>
      <c r="B39" s="68" t="s">
        <v>488</v>
      </c>
      <c r="C39" s="13" t="s">
        <v>240</v>
      </c>
      <c r="D39" s="241"/>
      <c r="E39" s="241">
        <f>'4.10_пр-во_КТЭЦ'!E39+'4.10_пр-во_котельн.'!E39</f>
        <v>17120</v>
      </c>
      <c r="F39" s="241"/>
      <c r="G39" s="241">
        <v>6760</v>
      </c>
      <c r="H39" s="241">
        <v>0</v>
      </c>
      <c r="I39" s="241">
        <v>12465</v>
      </c>
      <c r="J39" s="241"/>
      <c r="K39" s="241">
        <v>4567</v>
      </c>
      <c r="L39" s="241">
        <v>2969</v>
      </c>
      <c r="M39" s="241">
        <v>0</v>
      </c>
      <c r="N39" s="241">
        <v>2969</v>
      </c>
      <c r="O39" s="241">
        <v>6465</v>
      </c>
      <c r="P39" s="241">
        <v>0</v>
      </c>
      <c r="Q39" s="241">
        <v>6465</v>
      </c>
    </row>
    <row r="40" spans="1:17" s="36" customFormat="1" ht="15" customHeight="1" outlineLevel="1">
      <c r="A40" s="60"/>
      <c r="B40" s="68" t="s">
        <v>489</v>
      </c>
      <c r="C40" s="13" t="s">
        <v>240</v>
      </c>
      <c r="D40" s="241"/>
      <c r="E40" s="241">
        <f>'4.10_пр-во_КТЭЦ'!E40+'4.10_пр-во_котельн.'!E40</f>
        <v>0</v>
      </c>
      <c r="F40" s="241"/>
      <c r="G40" s="241">
        <v>0</v>
      </c>
      <c r="H40" s="241">
        <v>0</v>
      </c>
      <c r="I40" s="241">
        <v>3260</v>
      </c>
      <c r="J40" s="241"/>
      <c r="K40" s="241">
        <v>8693</v>
      </c>
      <c r="L40" s="241">
        <v>375</v>
      </c>
      <c r="M40" s="241">
        <v>0</v>
      </c>
      <c r="N40" s="241">
        <v>375</v>
      </c>
      <c r="O40" s="241">
        <v>380</v>
      </c>
      <c r="P40" s="241">
        <v>0</v>
      </c>
      <c r="Q40" s="241">
        <v>380</v>
      </c>
    </row>
    <row r="41" spans="1:17" s="36" customFormat="1" ht="15" customHeight="1" outlineLevel="1">
      <c r="A41" s="60"/>
      <c r="B41" s="68" t="s">
        <v>490</v>
      </c>
      <c r="C41" s="13" t="s">
        <v>240</v>
      </c>
      <c r="D41" s="241"/>
      <c r="E41" s="241">
        <f>'4.10_пр-во_КТЭЦ'!E41+'4.10_пр-во_котельн.'!E41</f>
        <v>11141</v>
      </c>
      <c r="F41" s="241"/>
      <c r="G41" s="241">
        <v>4196</v>
      </c>
      <c r="H41" s="241">
        <v>0</v>
      </c>
      <c r="I41" s="241">
        <v>25936</v>
      </c>
      <c r="J41" s="241"/>
      <c r="K41" s="241">
        <v>18644</v>
      </c>
      <c r="L41" s="241">
        <v>29286</v>
      </c>
      <c r="M41" s="241">
        <v>156</v>
      </c>
      <c r="N41" s="241">
        <v>29130</v>
      </c>
      <c r="O41" s="241">
        <v>49169</v>
      </c>
      <c r="P41" s="241">
        <v>28</v>
      </c>
      <c r="Q41" s="241">
        <v>49141</v>
      </c>
    </row>
    <row r="42" spans="1:17" s="36" customFormat="1" ht="15" customHeight="1" outlineLevel="1">
      <c r="A42" s="60"/>
      <c r="B42" s="68" t="s">
        <v>491</v>
      </c>
      <c r="C42" s="13" t="s">
        <v>240</v>
      </c>
      <c r="D42" s="241"/>
      <c r="E42" s="241">
        <f>'4.10_пр-во_КТЭЦ'!E42+'4.10_пр-во_котельн.'!E42</f>
        <v>0</v>
      </c>
      <c r="F42" s="241"/>
      <c r="G42" s="241">
        <v>0</v>
      </c>
      <c r="H42" s="241">
        <v>0</v>
      </c>
      <c r="I42" s="241">
        <v>0</v>
      </c>
      <c r="J42" s="241"/>
      <c r="K42" s="241">
        <v>0</v>
      </c>
      <c r="L42" s="241">
        <v>21372</v>
      </c>
      <c r="M42" s="241">
        <v>0</v>
      </c>
      <c r="N42" s="241">
        <v>21372</v>
      </c>
      <c r="O42" s="241">
        <v>43600</v>
      </c>
      <c r="P42" s="241">
        <v>0</v>
      </c>
      <c r="Q42" s="241">
        <v>43600</v>
      </c>
    </row>
    <row r="43" spans="1:17" s="36" customFormat="1" ht="15" customHeight="1" outlineLevel="1">
      <c r="A43" s="60"/>
      <c r="B43" s="70" t="s">
        <v>492</v>
      </c>
      <c r="C43" s="13" t="s">
        <v>240</v>
      </c>
      <c r="D43" s="241"/>
      <c r="E43" s="241">
        <f>'4.10_пр-во_КТЭЦ'!E43+'4.10_пр-во_котельн.'!E43</f>
        <v>2178</v>
      </c>
      <c r="F43" s="241"/>
      <c r="G43" s="241">
        <v>632</v>
      </c>
      <c r="H43" s="241">
        <v>0</v>
      </c>
      <c r="I43" s="241">
        <v>6850</v>
      </c>
      <c r="J43" s="241"/>
      <c r="K43" s="241">
        <v>9066</v>
      </c>
      <c r="L43" s="241">
        <v>1750</v>
      </c>
      <c r="M43" s="241">
        <v>0</v>
      </c>
      <c r="N43" s="241">
        <v>1750</v>
      </c>
      <c r="O43" s="241">
        <v>1920</v>
      </c>
      <c r="P43" s="241">
        <v>0</v>
      </c>
      <c r="Q43" s="241">
        <v>1920</v>
      </c>
    </row>
    <row r="44" spans="1:17" s="36" customFormat="1" ht="15" customHeight="1" outlineLevel="1">
      <c r="A44" s="60"/>
      <c r="B44" s="70" t="s">
        <v>493</v>
      </c>
      <c r="C44" s="13" t="s">
        <v>240</v>
      </c>
      <c r="D44" s="241"/>
      <c r="E44" s="241">
        <f>'4.10_пр-во_КТЭЦ'!E44+'4.10_пр-во_котельн.'!E44</f>
        <v>153</v>
      </c>
      <c r="F44" s="241"/>
      <c r="G44" s="241">
        <v>182</v>
      </c>
      <c r="H44" s="241">
        <v>0</v>
      </c>
      <c r="I44" s="241">
        <v>399</v>
      </c>
      <c r="J44" s="241"/>
      <c r="K44" s="241">
        <v>6717</v>
      </c>
      <c r="L44" s="241">
        <v>5744</v>
      </c>
      <c r="M44" s="241">
        <v>156</v>
      </c>
      <c r="N44" s="241">
        <v>5588</v>
      </c>
      <c r="O44" s="241">
        <v>647</v>
      </c>
      <c r="P44" s="241">
        <v>28</v>
      </c>
      <c r="Q44" s="241">
        <v>619</v>
      </c>
    </row>
    <row r="45" spans="1:17" s="36" customFormat="1" ht="15" customHeight="1" outlineLevel="1">
      <c r="A45" s="60"/>
      <c r="B45" s="70" t="s">
        <v>494</v>
      </c>
      <c r="C45" s="13" t="s">
        <v>240</v>
      </c>
      <c r="D45" s="241"/>
      <c r="E45" s="241">
        <f>'4.10_пр-во_КТЭЦ'!E45+'4.10_пр-во_котельн.'!E45</f>
        <v>1317</v>
      </c>
      <c r="F45" s="241"/>
      <c r="G45" s="241">
        <v>776</v>
      </c>
      <c r="H45" s="241">
        <v>0</v>
      </c>
      <c r="I45" s="241">
        <v>860</v>
      </c>
      <c r="J45" s="241"/>
      <c r="K45" s="241">
        <v>0</v>
      </c>
      <c r="L45" s="241">
        <v>0</v>
      </c>
      <c r="M45" s="241">
        <v>0</v>
      </c>
      <c r="N45" s="241">
        <v>0</v>
      </c>
      <c r="O45" s="241">
        <v>0</v>
      </c>
      <c r="P45" s="241">
        <v>0</v>
      </c>
      <c r="Q45" s="241">
        <v>0</v>
      </c>
    </row>
    <row r="46" spans="1:17" s="36" customFormat="1" ht="15" customHeight="1" outlineLevel="1">
      <c r="A46" s="60"/>
      <c r="B46" s="70" t="s">
        <v>495</v>
      </c>
      <c r="C46" s="13" t="s">
        <v>240</v>
      </c>
      <c r="D46" s="241"/>
      <c r="E46" s="241">
        <f>'4.10_пр-во_КТЭЦ'!E46+'4.10_пр-во_котельн.'!E46</f>
        <v>7493</v>
      </c>
      <c r="F46" s="241"/>
      <c r="G46" s="241">
        <v>2606</v>
      </c>
      <c r="H46" s="241">
        <v>0</v>
      </c>
      <c r="I46" s="241">
        <v>17827</v>
      </c>
      <c r="J46" s="241"/>
      <c r="K46" s="241">
        <v>2861</v>
      </c>
      <c r="L46" s="241">
        <v>420</v>
      </c>
      <c r="M46" s="241">
        <v>0</v>
      </c>
      <c r="N46" s="241">
        <v>420</v>
      </c>
      <c r="O46" s="241">
        <v>3002</v>
      </c>
      <c r="P46" s="241">
        <v>0</v>
      </c>
      <c r="Q46" s="241">
        <v>3002</v>
      </c>
    </row>
    <row r="47" spans="1:17" s="36" customFormat="1" ht="15" customHeight="1" outlineLevel="1">
      <c r="A47" s="60"/>
      <c r="B47" s="70" t="s">
        <v>496</v>
      </c>
      <c r="C47" s="13" t="s">
        <v>240</v>
      </c>
      <c r="D47" s="241"/>
      <c r="E47" s="241">
        <f>'4.10_пр-во_КТЭЦ'!E47+'4.10_пр-во_котельн.'!E47</f>
        <v>80</v>
      </c>
      <c r="F47" s="241"/>
      <c r="G47" s="241">
        <v>0</v>
      </c>
      <c r="H47" s="241">
        <v>0</v>
      </c>
      <c r="I47" s="241">
        <v>621</v>
      </c>
      <c r="J47" s="241"/>
      <c r="K47" s="241">
        <v>0</v>
      </c>
      <c r="L47" s="241">
        <v>577</v>
      </c>
      <c r="M47" s="241">
        <v>0</v>
      </c>
      <c r="N47" s="241">
        <v>577</v>
      </c>
      <c r="O47" s="241">
        <v>0</v>
      </c>
      <c r="P47" s="241">
        <v>0</v>
      </c>
      <c r="Q47" s="241">
        <v>0</v>
      </c>
    </row>
    <row r="48" spans="1:17" s="36" customFormat="1" ht="15" customHeight="1" outlineLevel="1">
      <c r="A48" s="60"/>
      <c r="B48" s="70" t="s">
        <v>497</v>
      </c>
      <c r="C48" s="13" t="s">
        <v>240</v>
      </c>
      <c r="D48" s="241"/>
      <c r="E48" s="241">
        <f>'4.10_пр-во_КТЭЦ'!E48+'4.10_пр-во_котельн.'!E48</f>
        <v>5</v>
      </c>
      <c r="F48" s="241"/>
      <c r="G48" s="241">
        <v>45</v>
      </c>
      <c r="H48" s="241">
        <v>0</v>
      </c>
      <c r="I48" s="241">
        <v>95</v>
      </c>
      <c r="J48" s="241"/>
      <c r="K48" s="241">
        <v>0</v>
      </c>
      <c r="L48" s="241">
        <v>0</v>
      </c>
      <c r="M48" s="241">
        <v>0</v>
      </c>
      <c r="N48" s="241">
        <v>0</v>
      </c>
      <c r="O48" s="241">
        <v>0</v>
      </c>
      <c r="P48" s="241">
        <v>0</v>
      </c>
      <c r="Q48" s="241">
        <v>0</v>
      </c>
    </row>
    <row r="49" spans="1:17" s="36" customFormat="1" ht="15" customHeight="1" outlineLevel="1">
      <c r="A49" s="60"/>
      <c r="B49" s="68" t="s">
        <v>498</v>
      </c>
      <c r="C49" s="13" t="s">
        <v>240</v>
      </c>
      <c r="D49" s="241"/>
      <c r="E49" s="241">
        <f>'4.10_пр-во_КТЭЦ'!E49+'4.10_пр-во_котельн.'!E49</f>
        <v>1979.44</v>
      </c>
      <c r="F49" s="241"/>
      <c r="G49" s="241">
        <v>293</v>
      </c>
      <c r="H49" s="241">
        <v>0</v>
      </c>
      <c r="I49" s="241">
        <v>150.5</v>
      </c>
      <c r="J49" s="241"/>
      <c r="K49" s="241">
        <v>0</v>
      </c>
      <c r="L49" s="241">
        <v>0</v>
      </c>
      <c r="M49" s="241">
        <v>0</v>
      </c>
      <c r="N49" s="241">
        <v>0</v>
      </c>
      <c r="O49" s="241">
        <v>0</v>
      </c>
      <c r="P49" s="241">
        <v>0</v>
      </c>
      <c r="Q49" s="241">
        <v>0</v>
      </c>
    </row>
    <row r="50" spans="1:17" s="36" customFormat="1" ht="15" customHeight="1" outlineLevel="1">
      <c r="A50" s="60"/>
      <c r="B50" s="68" t="s">
        <v>499</v>
      </c>
      <c r="C50" s="13" t="s">
        <v>240</v>
      </c>
      <c r="D50" s="241"/>
      <c r="E50" s="241">
        <f>'4.10_пр-во_КТЭЦ'!E50+'4.10_пр-во_котельн.'!E50</f>
        <v>258</v>
      </c>
      <c r="F50" s="241"/>
      <c r="G50" s="241">
        <v>876</v>
      </c>
      <c r="H50" s="241">
        <v>0</v>
      </c>
      <c r="I50" s="241">
        <v>1962.5</v>
      </c>
      <c r="J50" s="241"/>
      <c r="K50" s="241">
        <v>163</v>
      </c>
      <c r="L50" s="241">
        <v>0</v>
      </c>
      <c r="M50" s="241">
        <v>0</v>
      </c>
      <c r="N50" s="241">
        <v>0</v>
      </c>
      <c r="O50" s="241">
        <v>0</v>
      </c>
      <c r="P50" s="241">
        <v>0</v>
      </c>
      <c r="Q50" s="241">
        <v>0</v>
      </c>
    </row>
    <row r="51" spans="1:17" s="36" customFormat="1">
      <c r="A51" s="60"/>
      <c r="B51" s="68"/>
      <c r="C51" s="13"/>
      <c r="D51" s="241"/>
      <c r="E51" s="241"/>
      <c r="F51" s="241"/>
      <c r="G51" s="241"/>
      <c r="H51" s="241"/>
      <c r="I51" s="241"/>
      <c r="J51" s="241"/>
      <c r="K51" s="241"/>
      <c r="L51" s="241"/>
      <c r="M51" s="241"/>
      <c r="N51" s="241"/>
      <c r="O51" s="241"/>
      <c r="P51" s="241"/>
      <c r="Q51" s="241"/>
    </row>
    <row r="52" spans="1:17" s="1001" customFormat="1" ht="15" customHeight="1">
      <c r="A52" s="82" t="s">
        <v>30</v>
      </c>
      <c r="B52" s="80" t="s">
        <v>502</v>
      </c>
      <c r="C52" s="999" t="s">
        <v>240</v>
      </c>
      <c r="D52" s="1000">
        <f>'4.10_пр-во_КТЭЦ'!D52+'4.10_пр-во_котельн.'!D52</f>
        <v>0</v>
      </c>
      <c r="E52" s="1000">
        <f>'4.10_пр-во_КТЭЦ'!E52+'4.10_пр-во_котельн.'!E52</f>
        <v>4451.5</v>
      </c>
      <c r="F52" s="1000">
        <f>'4.10_пр-во_КТЭЦ'!F52+'4.10_пр-во_котельн.'!F52</f>
        <v>0</v>
      </c>
      <c r="G52" s="1000">
        <v>52944</v>
      </c>
      <c r="H52" s="1000">
        <v>0</v>
      </c>
      <c r="I52" s="1000">
        <v>7321</v>
      </c>
      <c r="J52" s="1000"/>
      <c r="K52" s="1000">
        <v>0</v>
      </c>
      <c r="L52" s="1000">
        <v>0</v>
      </c>
      <c r="M52" s="1000">
        <v>0</v>
      </c>
      <c r="N52" s="1000">
        <v>0</v>
      </c>
      <c r="O52" s="1000">
        <v>0</v>
      </c>
      <c r="P52" s="1000">
        <v>0</v>
      </c>
      <c r="Q52" s="1000">
        <v>0</v>
      </c>
    </row>
    <row r="53" spans="1:17" s="36" customFormat="1" ht="15" customHeight="1" outlineLevel="1">
      <c r="A53" s="60"/>
      <c r="B53" s="68" t="s">
        <v>487</v>
      </c>
      <c r="C53" s="13" t="s">
        <v>240</v>
      </c>
      <c r="D53" s="241"/>
      <c r="E53" s="241">
        <f>'4.10_пр-во_КТЭЦ'!E53+'4.10_пр-во_котельн.'!E53</f>
        <v>0</v>
      </c>
      <c r="F53" s="241"/>
      <c r="G53" s="241">
        <v>51336</v>
      </c>
      <c r="H53" s="241">
        <v>0</v>
      </c>
      <c r="I53" s="241">
        <v>5203</v>
      </c>
      <c r="J53" s="241"/>
      <c r="K53" s="241">
        <v>0</v>
      </c>
      <c r="L53" s="241">
        <v>0</v>
      </c>
      <c r="M53" s="241">
        <v>0</v>
      </c>
      <c r="N53" s="241">
        <v>0</v>
      </c>
      <c r="O53" s="241">
        <v>0</v>
      </c>
      <c r="P53" s="241">
        <v>0</v>
      </c>
      <c r="Q53" s="241">
        <v>0</v>
      </c>
    </row>
    <row r="54" spans="1:17" s="36" customFormat="1" ht="15" customHeight="1" outlineLevel="1">
      <c r="A54" s="60"/>
      <c r="B54" s="68" t="s">
        <v>488</v>
      </c>
      <c r="C54" s="13" t="s">
        <v>240</v>
      </c>
      <c r="D54" s="241"/>
      <c r="E54" s="241">
        <f>'4.10_пр-во_КТЭЦ'!E54+'4.10_пр-во_котельн.'!E54</f>
        <v>1307</v>
      </c>
      <c r="F54" s="241"/>
      <c r="G54" s="241">
        <v>84</v>
      </c>
      <c r="H54" s="241">
        <v>0</v>
      </c>
      <c r="I54" s="241">
        <v>0</v>
      </c>
      <c r="J54" s="241"/>
      <c r="K54" s="241">
        <v>0</v>
      </c>
      <c r="L54" s="241">
        <v>0</v>
      </c>
      <c r="M54" s="241">
        <v>0</v>
      </c>
      <c r="N54" s="241">
        <v>0</v>
      </c>
      <c r="O54" s="241">
        <v>0</v>
      </c>
      <c r="P54" s="241">
        <v>0</v>
      </c>
      <c r="Q54" s="241">
        <v>0</v>
      </c>
    </row>
    <row r="55" spans="1:17" s="36" customFormat="1" ht="15" customHeight="1" outlineLevel="1">
      <c r="A55" s="60"/>
      <c r="B55" s="68" t="s">
        <v>489</v>
      </c>
      <c r="C55" s="13" t="s">
        <v>240</v>
      </c>
      <c r="D55" s="241"/>
      <c r="E55" s="241">
        <f>'4.10_пр-во_КТЭЦ'!E55+'4.10_пр-во_котельн.'!E55</f>
        <v>0</v>
      </c>
      <c r="F55" s="241"/>
      <c r="G55" s="241">
        <v>0</v>
      </c>
      <c r="H55" s="241">
        <v>0</v>
      </c>
      <c r="I55" s="241">
        <v>0</v>
      </c>
      <c r="J55" s="241"/>
      <c r="K55" s="241">
        <v>0</v>
      </c>
      <c r="L55" s="241">
        <v>0</v>
      </c>
      <c r="M55" s="241">
        <v>0</v>
      </c>
      <c r="N55" s="241">
        <v>0</v>
      </c>
      <c r="O55" s="241">
        <v>0</v>
      </c>
      <c r="P55" s="241">
        <v>0</v>
      </c>
      <c r="Q55" s="241">
        <v>0</v>
      </c>
    </row>
    <row r="56" spans="1:17" s="36" customFormat="1" ht="15" customHeight="1" outlineLevel="1">
      <c r="A56" s="60"/>
      <c r="B56" s="68" t="s">
        <v>490</v>
      </c>
      <c r="C56" s="13" t="s">
        <v>240</v>
      </c>
      <c r="D56" s="241"/>
      <c r="E56" s="241">
        <f>'4.10_пр-во_КТЭЦ'!E56+'4.10_пр-во_котельн.'!E56</f>
        <v>629</v>
      </c>
      <c r="F56" s="241"/>
      <c r="G56" s="241">
        <v>1292</v>
      </c>
      <c r="H56" s="241">
        <v>0</v>
      </c>
      <c r="I56" s="241">
        <v>175</v>
      </c>
      <c r="J56" s="241"/>
      <c r="K56" s="241">
        <v>0</v>
      </c>
      <c r="L56" s="241">
        <v>0</v>
      </c>
      <c r="M56" s="241">
        <v>0</v>
      </c>
      <c r="N56" s="241">
        <v>0</v>
      </c>
      <c r="O56" s="241">
        <v>0</v>
      </c>
      <c r="P56" s="241">
        <v>0</v>
      </c>
      <c r="Q56" s="241">
        <v>0</v>
      </c>
    </row>
    <row r="57" spans="1:17" s="36" customFormat="1" ht="15" customHeight="1" outlineLevel="1">
      <c r="A57" s="60"/>
      <c r="B57" s="68" t="s">
        <v>491</v>
      </c>
      <c r="C57" s="13" t="s">
        <v>240</v>
      </c>
      <c r="D57" s="241"/>
      <c r="E57" s="241">
        <f>'4.10_пр-во_КТЭЦ'!E57+'4.10_пр-во_котельн.'!E57</f>
        <v>0</v>
      </c>
      <c r="F57" s="241"/>
      <c r="G57" s="241">
        <v>0</v>
      </c>
      <c r="H57" s="241">
        <v>0</v>
      </c>
      <c r="I57" s="241">
        <v>0</v>
      </c>
      <c r="J57" s="241"/>
      <c r="K57" s="241">
        <v>0</v>
      </c>
      <c r="L57" s="241">
        <v>0</v>
      </c>
      <c r="M57" s="241">
        <v>0</v>
      </c>
      <c r="N57" s="241">
        <v>0</v>
      </c>
      <c r="O57" s="241">
        <v>0</v>
      </c>
      <c r="P57" s="241">
        <v>0</v>
      </c>
      <c r="Q57" s="241">
        <v>0</v>
      </c>
    </row>
    <row r="58" spans="1:17" s="36" customFormat="1" ht="15" customHeight="1" outlineLevel="1">
      <c r="A58" s="60"/>
      <c r="B58" s="70" t="s">
        <v>492</v>
      </c>
      <c r="C58" s="13" t="s">
        <v>240</v>
      </c>
      <c r="D58" s="241"/>
      <c r="E58" s="241">
        <f>'4.10_пр-во_КТЭЦ'!E58+'4.10_пр-во_котельн.'!E58</f>
        <v>0</v>
      </c>
      <c r="F58" s="241"/>
      <c r="G58" s="241">
        <v>0</v>
      </c>
      <c r="H58" s="241">
        <v>0</v>
      </c>
      <c r="I58" s="241">
        <v>0</v>
      </c>
      <c r="J58" s="241"/>
      <c r="K58" s="241">
        <v>0</v>
      </c>
      <c r="L58" s="241">
        <v>0</v>
      </c>
      <c r="M58" s="241">
        <v>0</v>
      </c>
      <c r="N58" s="241">
        <v>0</v>
      </c>
      <c r="O58" s="241">
        <v>0</v>
      </c>
      <c r="P58" s="241">
        <v>0</v>
      </c>
      <c r="Q58" s="241">
        <v>0</v>
      </c>
    </row>
    <row r="59" spans="1:17" s="36" customFormat="1" ht="15" customHeight="1" outlineLevel="1">
      <c r="A59" s="60"/>
      <c r="B59" s="70" t="s">
        <v>493</v>
      </c>
      <c r="C59" s="13" t="s">
        <v>240</v>
      </c>
      <c r="D59" s="241"/>
      <c r="E59" s="241">
        <f>'4.10_пр-во_КТЭЦ'!E59+'4.10_пр-во_котельн.'!E59</f>
        <v>0</v>
      </c>
      <c r="F59" s="241"/>
      <c r="G59" s="241">
        <v>140</v>
      </c>
      <c r="H59" s="241">
        <v>0</v>
      </c>
      <c r="I59" s="241">
        <v>123</v>
      </c>
      <c r="J59" s="241"/>
      <c r="K59" s="241">
        <v>0</v>
      </c>
      <c r="L59" s="241">
        <v>0</v>
      </c>
      <c r="M59" s="241">
        <v>0</v>
      </c>
      <c r="N59" s="241">
        <v>0</v>
      </c>
      <c r="O59" s="241">
        <v>0</v>
      </c>
      <c r="P59" s="241">
        <v>0</v>
      </c>
      <c r="Q59" s="241">
        <v>0</v>
      </c>
    </row>
    <row r="60" spans="1:17" s="36" customFormat="1" ht="15" customHeight="1" outlineLevel="1">
      <c r="A60" s="60"/>
      <c r="B60" s="70" t="s">
        <v>494</v>
      </c>
      <c r="C60" s="13" t="s">
        <v>240</v>
      </c>
      <c r="D60" s="241"/>
      <c r="E60" s="241">
        <f>'4.10_пр-во_КТЭЦ'!E60+'4.10_пр-во_котельн.'!E60</f>
        <v>572</v>
      </c>
      <c r="F60" s="241"/>
      <c r="G60" s="241">
        <v>260</v>
      </c>
      <c r="H60" s="241">
        <v>0</v>
      </c>
      <c r="I60" s="241">
        <v>36</v>
      </c>
      <c r="J60" s="241"/>
      <c r="K60" s="241">
        <v>0</v>
      </c>
      <c r="L60" s="241">
        <v>0</v>
      </c>
      <c r="M60" s="241">
        <v>0</v>
      </c>
      <c r="N60" s="241">
        <v>0</v>
      </c>
      <c r="O60" s="241">
        <v>0</v>
      </c>
      <c r="P60" s="241">
        <v>0</v>
      </c>
      <c r="Q60" s="241">
        <v>0</v>
      </c>
    </row>
    <row r="61" spans="1:17" s="36" customFormat="1" ht="15" customHeight="1" outlineLevel="1">
      <c r="A61" s="60"/>
      <c r="B61" s="70" t="s">
        <v>495</v>
      </c>
      <c r="C61" s="13" t="s">
        <v>240</v>
      </c>
      <c r="D61" s="241"/>
      <c r="E61" s="241">
        <f>'4.10_пр-во_КТЭЦ'!E61+'4.10_пр-во_котельн.'!E61</f>
        <v>57</v>
      </c>
      <c r="F61" s="241"/>
      <c r="G61" s="241">
        <v>892</v>
      </c>
      <c r="H61" s="241">
        <v>0</v>
      </c>
      <c r="I61" s="241">
        <v>16</v>
      </c>
      <c r="J61" s="241"/>
      <c r="K61" s="241">
        <v>0</v>
      </c>
      <c r="L61" s="241">
        <v>0</v>
      </c>
      <c r="M61" s="241">
        <v>0</v>
      </c>
      <c r="N61" s="241">
        <v>0</v>
      </c>
      <c r="O61" s="241">
        <v>0</v>
      </c>
      <c r="P61" s="241">
        <v>0</v>
      </c>
      <c r="Q61" s="241">
        <v>0</v>
      </c>
    </row>
    <row r="62" spans="1:17" s="36" customFormat="1" ht="15" customHeight="1" outlineLevel="1">
      <c r="A62" s="60"/>
      <c r="B62" s="70" t="s">
        <v>496</v>
      </c>
      <c r="C62" s="13" t="s">
        <v>240</v>
      </c>
      <c r="D62" s="241"/>
      <c r="E62" s="241">
        <f>'4.10_пр-во_КТЭЦ'!E62+'4.10_пр-во_котельн.'!E62</f>
        <v>26</v>
      </c>
      <c r="F62" s="241"/>
      <c r="G62" s="241">
        <v>26</v>
      </c>
      <c r="H62" s="241">
        <v>0</v>
      </c>
      <c r="I62" s="241">
        <v>0</v>
      </c>
      <c r="J62" s="241"/>
      <c r="K62" s="241">
        <v>0</v>
      </c>
      <c r="L62" s="241">
        <v>0</v>
      </c>
      <c r="M62" s="241">
        <v>0</v>
      </c>
      <c r="N62" s="241">
        <v>0</v>
      </c>
      <c r="O62" s="241">
        <v>0</v>
      </c>
      <c r="P62" s="241">
        <v>0</v>
      </c>
      <c r="Q62" s="241">
        <v>0</v>
      </c>
    </row>
    <row r="63" spans="1:17" s="36" customFormat="1" ht="15" customHeight="1" outlineLevel="1">
      <c r="A63" s="60"/>
      <c r="B63" s="70" t="s">
        <v>497</v>
      </c>
      <c r="C63" s="13" t="s">
        <v>240</v>
      </c>
      <c r="D63" s="241"/>
      <c r="E63" s="241">
        <f>'4.10_пр-во_КТЭЦ'!E63+'4.10_пр-во_котельн.'!E63</f>
        <v>0</v>
      </c>
      <c r="F63" s="241"/>
      <c r="G63" s="241">
        <v>0</v>
      </c>
      <c r="H63" s="241">
        <v>0</v>
      </c>
      <c r="I63" s="241">
        <v>0</v>
      </c>
      <c r="J63" s="241"/>
      <c r="K63" s="241">
        <v>0</v>
      </c>
      <c r="L63" s="241">
        <v>0</v>
      </c>
      <c r="M63" s="241">
        <v>0</v>
      </c>
      <c r="N63" s="241">
        <v>0</v>
      </c>
      <c r="O63" s="241">
        <v>0</v>
      </c>
      <c r="P63" s="241">
        <v>0</v>
      </c>
      <c r="Q63" s="241">
        <v>0</v>
      </c>
    </row>
    <row r="64" spans="1:17" s="36" customFormat="1" ht="15" customHeight="1" outlineLevel="1">
      <c r="A64" s="60"/>
      <c r="B64" s="68" t="s">
        <v>498</v>
      </c>
      <c r="C64" s="13" t="s">
        <v>240</v>
      </c>
      <c r="D64" s="241"/>
      <c r="E64" s="241">
        <f>'4.10_пр-во_КТЭЦ'!E64+'4.10_пр-во_котельн.'!E64</f>
        <v>2489.5</v>
      </c>
      <c r="F64" s="241"/>
      <c r="G64" s="241">
        <v>78</v>
      </c>
      <c r="H64" s="241">
        <v>0</v>
      </c>
      <c r="I64" s="241">
        <v>7</v>
      </c>
      <c r="J64" s="241"/>
      <c r="K64" s="241">
        <v>0</v>
      </c>
      <c r="L64" s="241">
        <v>0</v>
      </c>
      <c r="M64" s="241">
        <v>0</v>
      </c>
      <c r="N64" s="241">
        <v>0</v>
      </c>
      <c r="O64" s="241">
        <v>0</v>
      </c>
      <c r="P64" s="241">
        <v>0</v>
      </c>
      <c r="Q64" s="241">
        <v>0</v>
      </c>
    </row>
    <row r="65" spans="1:17" s="36" customFormat="1" ht="15" customHeight="1" outlineLevel="1">
      <c r="A65" s="60"/>
      <c r="B65" s="68" t="s">
        <v>499</v>
      </c>
      <c r="C65" s="13" t="s">
        <v>240</v>
      </c>
      <c r="D65" s="241"/>
      <c r="E65" s="241">
        <f>'4.10_пр-во_КТЭЦ'!E65+'4.10_пр-во_котельн.'!E65</f>
        <v>0</v>
      </c>
      <c r="F65" s="241"/>
      <c r="G65" s="241"/>
      <c r="H65" s="241"/>
      <c r="I65" s="241"/>
      <c r="J65" s="241"/>
      <c r="K65" s="241"/>
      <c r="L65" s="241"/>
      <c r="M65" s="241"/>
      <c r="N65" s="241"/>
      <c r="O65" s="241"/>
      <c r="P65" s="241"/>
      <c r="Q65" s="241"/>
    </row>
    <row r="66" spans="1:17" s="36" customFormat="1">
      <c r="A66" s="60"/>
      <c r="B66" s="68"/>
      <c r="C66" s="13"/>
      <c r="D66" s="241"/>
      <c r="E66" s="241"/>
      <c r="F66" s="241"/>
      <c r="G66" s="241"/>
      <c r="H66" s="241"/>
      <c r="I66" s="241"/>
      <c r="J66" s="241"/>
      <c r="K66" s="241"/>
      <c r="L66" s="241"/>
      <c r="M66" s="241"/>
      <c r="N66" s="241"/>
      <c r="O66" s="241"/>
      <c r="P66" s="241"/>
      <c r="Q66" s="241"/>
    </row>
    <row r="67" spans="1:17" s="1001" customFormat="1" ht="30" customHeight="1">
      <c r="A67" s="82" t="s">
        <v>78</v>
      </c>
      <c r="B67" s="80" t="s">
        <v>503</v>
      </c>
      <c r="C67" s="1002" t="s">
        <v>240</v>
      </c>
      <c r="D67" s="1000">
        <f>'4.10_пр-во_КТЭЦ'!D67+'4.10_пр-во_котельн.'!D67</f>
        <v>1022956</v>
      </c>
      <c r="E67" s="1000">
        <f>'4.10_пр-во_КТЭЦ'!E67+'4.10_пр-во_котельн.'!E67</f>
        <v>1351702</v>
      </c>
      <c r="F67" s="1000">
        <f>'4.10_пр-во_КТЭЦ'!F67+'4.10_пр-во_котельн.'!F67</f>
        <v>977523</v>
      </c>
      <c r="G67" s="1000">
        <v>1900804.4739988795</v>
      </c>
      <c r="H67" s="1000">
        <v>1448386.4716479098</v>
      </c>
      <c r="I67" s="1000">
        <v>2142815</v>
      </c>
      <c r="J67" s="1000">
        <v>1554143.444105318</v>
      </c>
      <c r="K67" s="1000">
        <v>1485559.7916666665</v>
      </c>
      <c r="L67" s="1000">
        <v>1516046.1666666665</v>
      </c>
      <c r="M67" s="1000">
        <v>1696680</v>
      </c>
      <c r="N67" s="1000">
        <v>1335414.3333333335</v>
      </c>
      <c r="O67" s="1000">
        <v>1559855.2916666665</v>
      </c>
      <c r="P67" s="1000">
        <v>1744075.8333333335</v>
      </c>
      <c r="Q67" s="1000">
        <v>1375634.75</v>
      </c>
    </row>
    <row r="68" spans="1:17" s="36" customFormat="1" ht="15" customHeight="1" outlineLevel="1">
      <c r="A68" s="60"/>
      <c r="B68" s="68" t="s">
        <v>487</v>
      </c>
      <c r="C68" s="13" t="s">
        <v>240</v>
      </c>
      <c r="D68" s="241"/>
      <c r="E68" s="241">
        <f>'4.10_пр-во_КТЭЦ'!E68+'4.10_пр-во_котельн.'!E68</f>
        <v>733403</v>
      </c>
      <c r="F68" s="241"/>
      <c r="G68" s="241">
        <v>1249058.7613537582</v>
      </c>
      <c r="H68" s="241">
        <v>0</v>
      </c>
      <c r="I68" s="241">
        <v>1393588</v>
      </c>
      <c r="J68" s="241"/>
      <c r="K68" s="241">
        <v>946595.41666666651</v>
      </c>
      <c r="L68" s="241">
        <v>947810.16666666651</v>
      </c>
      <c r="M68" s="241">
        <v>1067131</v>
      </c>
      <c r="N68" s="241">
        <v>828489.33333333349</v>
      </c>
      <c r="O68" s="241">
        <v>956578.54166666651</v>
      </c>
      <c r="P68" s="241">
        <v>1077313</v>
      </c>
      <c r="Q68" s="241">
        <v>835844.08333333349</v>
      </c>
    </row>
    <row r="69" spans="1:17" s="36" customFormat="1" ht="15" customHeight="1" outlineLevel="1">
      <c r="A69" s="60"/>
      <c r="B69" s="68" t="s">
        <v>488</v>
      </c>
      <c r="C69" s="13" t="s">
        <v>240</v>
      </c>
      <c r="D69" s="241"/>
      <c r="E69" s="241">
        <f>'4.10_пр-во_КТЭЦ'!E69+'4.10_пр-во_котельн.'!E69</f>
        <v>193847</v>
      </c>
      <c r="F69" s="241"/>
      <c r="G69" s="241">
        <v>210634.29702320011</v>
      </c>
      <c r="H69" s="241">
        <v>0</v>
      </c>
      <c r="I69" s="241">
        <v>252658</v>
      </c>
      <c r="J69" s="241"/>
      <c r="K69" s="241">
        <v>172712.04166666669</v>
      </c>
      <c r="L69" s="241">
        <v>177198</v>
      </c>
      <c r="M69" s="241">
        <v>199504</v>
      </c>
      <c r="N69" s="241">
        <v>154892</v>
      </c>
      <c r="O69" s="241">
        <v>180332.16666666669</v>
      </c>
      <c r="P69" s="241">
        <v>202849</v>
      </c>
      <c r="Q69" s="241">
        <v>157815.33333333331</v>
      </c>
    </row>
    <row r="70" spans="1:17" s="36" customFormat="1" ht="15" customHeight="1" outlineLevel="1">
      <c r="A70" s="60"/>
      <c r="B70" s="68" t="s">
        <v>489</v>
      </c>
      <c r="C70" s="13" t="s">
        <v>240</v>
      </c>
      <c r="D70" s="241"/>
      <c r="E70" s="241">
        <f>'4.10_пр-во_КТЭЦ'!E70+'4.10_пр-во_котельн.'!E70</f>
        <v>20071</v>
      </c>
      <c r="F70" s="241"/>
      <c r="G70" s="241">
        <v>20399</v>
      </c>
      <c r="H70" s="241">
        <v>0</v>
      </c>
      <c r="I70" s="241">
        <v>22647</v>
      </c>
      <c r="J70" s="241"/>
      <c r="K70" s="241">
        <v>22203</v>
      </c>
      <c r="L70" s="241">
        <v>27370.5</v>
      </c>
      <c r="M70" s="241">
        <v>29237</v>
      </c>
      <c r="N70" s="241">
        <v>25504</v>
      </c>
      <c r="O70" s="241">
        <v>27746.5</v>
      </c>
      <c r="P70" s="241">
        <v>29612</v>
      </c>
      <c r="Q70" s="241">
        <v>25882</v>
      </c>
    </row>
    <row r="71" spans="1:17" s="36" customFormat="1" ht="15" customHeight="1" outlineLevel="1">
      <c r="A71" s="60"/>
      <c r="B71" s="68" t="s">
        <v>490</v>
      </c>
      <c r="C71" s="13" t="s">
        <v>240</v>
      </c>
      <c r="D71" s="241"/>
      <c r="E71" s="241">
        <f>'4.10_пр-во_КТЭЦ'!E71+'4.10_пр-во_котельн.'!E71</f>
        <v>391373</v>
      </c>
      <c r="F71" s="241"/>
      <c r="G71" s="241">
        <v>407232.68863368558</v>
      </c>
      <c r="H71" s="241">
        <v>0</v>
      </c>
      <c r="I71" s="241">
        <v>458449</v>
      </c>
      <c r="J71" s="241"/>
      <c r="K71" s="241">
        <v>333645.75</v>
      </c>
      <c r="L71" s="241">
        <v>352934</v>
      </c>
      <c r="M71" s="241">
        <v>389303</v>
      </c>
      <c r="N71" s="241">
        <v>316566</v>
      </c>
      <c r="O71" s="241">
        <v>384103.58333333337</v>
      </c>
      <c r="P71" s="241">
        <v>422219.83333333337</v>
      </c>
      <c r="Q71" s="241">
        <v>345986.33333333326</v>
      </c>
    </row>
    <row r="72" spans="1:17" s="36" customFormat="1" ht="15" customHeight="1" outlineLevel="1">
      <c r="A72" s="60"/>
      <c r="B72" s="68" t="s">
        <v>491</v>
      </c>
      <c r="C72" s="13" t="s">
        <v>240</v>
      </c>
      <c r="D72" s="241"/>
      <c r="E72" s="241">
        <f>'4.10_пр-во_КТЭЦ'!E72+'4.10_пр-во_котельн.'!E72</f>
        <v>102055</v>
      </c>
      <c r="F72" s="241"/>
      <c r="G72" s="241">
        <v>103722</v>
      </c>
      <c r="H72" s="241">
        <v>0</v>
      </c>
      <c r="I72" s="241">
        <v>115518</v>
      </c>
      <c r="J72" s="241"/>
      <c r="K72" s="241">
        <v>77995</v>
      </c>
      <c r="L72" s="241">
        <v>81120.75</v>
      </c>
      <c r="M72" s="241">
        <v>87882</v>
      </c>
      <c r="N72" s="241">
        <v>74359.5</v>
      </c>
      <c r="O72" s="241">
        <v>105329.375</v>
      </c>
      <c r="P72" s="241">
        <v>111962</v>
      </c>
      <c r="Q72" s="241">
        <v>98696.75</v>
      </c>
    </row>
    <row r="73" spans="1:17" s="36" customFormat="1" ht="15" customHeight="1" outlineLevel="1">
      <c r="A73" s="60"/>
      <c r="B73" s="70" t="s">
        <v>492</v>
      </c>
      <c r="C73" s="13" t="s">
        <v>240</v>
      </c>
      <c r="D73" s="241"/>
      <c r="E73" s="241">
        <f>'4.10_пр-во_КТЭЦ'!E73+'4.10_пр-во_котельн.'!E73</f>
        <v>24204</v>
      </c>
      <c r="F73" s="241"/>
      <c r="G73" s="241">
        <v>30792</v>
      </c>
      <c r="H73" s="241">
        <v>0</v>
      </c>
      <c r="I73" s="241">
        <v>44897</v>
      </c>
      <c r="J73" s="241"/>
      <c r="K73" s="241">
        <v>30411.791666666672</v>
      </c>
      <c r="L73" s="241">
        <v>37471.916666666672</v>
      </c>
      <c r="M73" s="241">
        <v>42150</v>
      </c>
      <c r="N73" s="241">
        <v>32793.833333333328</v>
      </c>
      <c r="O73" s="241">
        <v>39239.791666666672</v>
      </c>
      <c r="P73" s="241">
        <v>44122</v>
      </c>
      <c r="Q73" s="241">
        <v>34357.583333333328</v>
      </c>
    </row>
    <row r="74" spans="1:17" s="36" customFormat="1" ht="15" customHeight="1" outlineLevel="1">
      <c r="A74" s="60"/>
      <c r="B74" s="70" t="s">
        <v>493</v>
      </c>
      <c r="C74" s="13" t="s">
        <v>240</v>
      </c>
      <c r="D74" s="241"/>
      <c r="E74" s="241">
        <f>'4.10_пр-во_КТЭЦ'!E74+'4.10_пр-во_котельн.'!E74</f>
        <v>4487</v>
      </c>
      <c r="F74" s="241"/>
      <c r="G74" s="241">
        <v>4621.3533235458881</v>
      </c>
      <c r="H74" s="241">
        <v>0</v>
      </c>
      <c r="I74" s="241">
        <v>5401</v>
      </c>
      <c r="J74" s="241"/>
      <c r="K74" s="241">
        <v>4990.4166666666661</v>
      </c>
      <c r="L74" s="241">
        <v>11864.833333333336</v>
      </c>
      <c r="M74" s="241">
        <v>11775</v>
      </c>
      <c r="N74" s="241">
        <v>11954.666666666664</v>
      </c>
      <c r="O74" s="241">
        <v>16481.333333333336</v>
      </c>
      <c r="P74" s="241">
        <v>18219.833333333336</v>
      </c>
      <c r="Q74" s="241">
        <v>14742.833333333336</v>
      </c>
    </row>
    <row r="75" spans="1:17" s="36" customFormat="1" ht="15" customHeight="1" outlineLevel="1">
      <c r="A75" s="60"/>
      <c r="B75" s="70" t="s">
        <v>494</v>
      </c>
      <c r="C75" s="13" t="s">
        <v>240</v>
      </c>
      <c r="D75" s="241"/>
      <c r="E75" s="241">
        <f>'4.10_пр-во_КТЭЦ'!E75+'4.10_пр-во_котельн.'!E75</f>
        <v>7051</v>
      </c>
      <c r="F75" s="241"/>
      <c r="G75" s="241">
        <v>7225.0773562308032</v>
      </c>
      <c r="H75" s="241">
        <v>0</v>
      </c>
      <c r="I75" s="241">
        <v>5793</v>
      </c>
      <c r="J75" s="241"/>
      <c r="K75" s="241">
        <v>4992</v>
      </c>
      <c r="L75" s="241">
        <v>4992.5</v>
      </c>
      <c r="M75" s="241">
        <v>5246</v>
      </c>
      <c r="N75" s="241">
        <v>4739</v>
      </c>
      <c r="O75" s="241">
        <v>4992.5</v>
      </c>
      <c r="P75" s="241">
        <v>5246</v>
      </c>
      <c r="Q75" s="241">
        <v>4739</v>
      </c>
    </row>
    <row r="76" spans="1:17" s="36" customFormat="1" ht="15" customHeight="1" outlineLevel="1">
      <c r="A76" s="60"/>
      <c r="B76" s="70" t="s">
        <v>495</v>
      </c>
      <c r="C76" s="13" t="s">
        <v>240</v>
      </c>
      <c r="D76" s="241"/>
      <c r="E76" s="241">
        <f>'4.10_пр-во_КТЭЦ'!E76+'4.10_пр-во_котельн.'!E76</f>
        <v>253576</v>
      </c>
      <c r="F76" s="241"/>
      <c r="G76" s="241">
        <v>260872.25795390885</v>
      </c>
      <c r="H76" s="241">
        <v>0</v>
      </c>
      <c r="I76" s="241">
        <v>286840</v>
      </c>
      <c r="J76" s="241"/>
      <c r="K76" s="241">
        <v>215256.54166666663</v>
      </c>
      <c r="L76" s="241">
        <v>217484</v>
      </c>
      <c r="M76" s="241">
        <v>242250</v>
      </c>
      <c r="N76" s="241">
        <v>192719</v>
      </c>
      <c r="O76" s="241">
        <v>218060.58333333337</v>
      </c>
      <c r="P76" s="241">
        <v>242670</v>
      </c>
      <c r="Q76" s="241">
        <v>193450.16666666663</v>
      </c>
    </row>
    <row r="77" spans="1:17" s="36" customFormat="1" ht="15" customHeight="1" outlineLevel="1">
      <c r="A77" s="60"/>
      <c r="B77" s="70" t="s">
        <v>496</v>
      </c>
      <c r="C77" s="13" t="s">
        <v>240</v>
      </c>
      <c r="D77" s="241"/>
      <c r="E77" s="241">
        <f>'4.10_пр-во_КТЭЦ'!E77+'4.10_пр-во_котельн.'!E77</f>
        <v>1985</v>
      </c>
      <c r="F77" s="241"/>
      <c r="G77" s="241">
        <v>1984.7319044951416</v>
      </c>
      <c r="H77" s="241">
        <v>0</v>
      </c>
      <c r="I77" s="241">
        <v>1967</v>
      </c>
      <c r="J77" s="241"/>
      <c r="K77" s="241">
        <v>2068</v>
      </c>
      <c r="L77" s="241">
        <v>2283.5</v>
      </c>
      <c r="M77" s="241">
        <v>2239</v>
      </c>
      <c r="N77" s="241">
        <v>2329</v>
      </c>
      <c r="O77" s="241">
        <v>2644.5</v>
      </c>
      <c r="P77" s="241">
        <v>2816</v>
      </c>
      <c r="Q77" s="241">
        <v>2473</v>
      </c>
    </row>
    <row r="78" spans="1:17" s="36" customFormat="1" ht="15" customHeight="1" outlineLevel="1">
      <c r="A78" s="60"/>
      <c r="B78" s="70" t="s">
        <v>497</v>
      </c>
      <c r="C78" s="13" t="s">
        <v>240</v>
      </c>
      <c r="D78" s="241"/>
      <c r="E78" s="241">
        <f>'4.10_пр-во_КТЭЦ'!E78+'4.10_пр-во_котельн.'!E78</f>
        <v>6</v>
      </c>
      <c r="F78" s="241"/>
      <c r="G78" s="241">
        <v>35</v>
      </c>
      <c r="H78" s="241">
        <v>0</v>
      </c>
      <c r="I78" s="241">
        <v>90</v>
      </c>
      <c r="J78" s="241"/>
      <c r="K78" s="241">
        <v>112</v>
      </c>
      <c r="L78" s="241">
        <v>112</v>
      </c>
      <c r="M78" s="241">
        <v>126</v>
      </c>
      <c r="N78" s="241">
        <v>98</v>
      </c>
      <c r="O78" s="241">
        <v>112</v>
      </c>
      <c r="P78" s="241">
        <v>126</v>
      </c>
      <c r="Q78" s="241">
        <v>98</v>
      </c>
    </row>
    <row r="79" spans="1:17" s="36" customFormat="1" ht="15" customHeight="1" outlineLevel="1">
      <c r="A79" s="60"/>
      <c r="B79" s="68" t="s">
        <v>498</v>
      </c>
      <c r="C79" s="13" t="s">
        <v>240</v>
      </c>
      <c r="D79" s="241"/>
      <c r="E79" s="241">
        <f>'4.10_пр-во_КТЭЦ'!E79+'4.10_пр-во_котельн.'!E79</f>
        <v>4763</v>
      </c>
      <c r="F79" s="241"/>
      <c r="G79" s="241">
        <v>5102.5854598489386</v>
      </c>
      <c r="H79" s="241">
        <v>0</v>
      </c>
      <c r="I79" s="241">
        <v>3240</v>
      </c>
      <c r="J79" s="241"/>
      <c r="K79" s="241">
        <v>2972</v>
      </c>
      <c r="L79" s="241">
        <v>2972</v>
      </c>
      <c r="M79" s="241">
        <v>3110</v>
      </c>
      <c r="N79" s="241">
        <v>2834</v>
      </c>
      <c r="O79" s="241">
        <v>2972</v>
      </c>
      <c r="P79" s="241">
        <v>3110</v>
      </c>
      <c r="Q79" s="241">
        <v>2834</v>
      </c>
    </row>
    <row r="80" spans="1:17" s="36" customFormat="1" ht="15" customHeight="1" outlineLevel="1">
      <c r="A80" s="60"/>
      <c r="B80" s="68" t="s">
        <v>499</v>
      </c>
      <c r="C80" s="13" t="s">
        <v>240</v>
      </c>
      <c r="D80" s="241"/>
      <c r="E80" s="241">
        <f>'4.10_пр-во_КТЭЦ'!E80+'4.10_пр-во_котельн.'!E80</f>
        <v>6254</v>
      </c>
      <c r="F80" s="241"/>
      <c r="G80" s="241">
        <v>6357.4096238916682</v>
      </c>
      <c r="H80" s="241">
        <v>0</v>
      </c>
      <c r="I80" s="241">
        <v>10176</v>
      </c>
      <c r="J80" s="241"/>
      <c r="K80" s="241">
        <v>5251.5833333333339</v>
      </c>
      <c r="L80" s="241">
        <v>5366</v>
      </c>
      <c r="M80" s="241">
        <v>6030</v>
      </c>
      <c r="N80" s="241">
        <v>4702</v>
      </c>
      <c r="O80" s="241">
        <v>5366</v>
      </c>
      <c r="P80" s="241">
        <v>6030</v>
      </c>
      <c r="Q80" s="241">
        <v>4702</v>
      </c>
    </row>
    <row r="81" spans="1:17" s="36" customFormat="1">
      <c r="A81" s="60"/>
      <c r="B81" s="68"/>
      <c r="C81" s="13"/>
      <c r="D81" s="66"/>
      <c r="E81" s="66"/>
      <c r="F81" s="66"/>
      <c r="G81" s="66"/>
      <c r="H81" s="66"/>
      <c r="I81" s="66"/>
      <c r="J81" s="66"/>
      <c r="K81" s="66"/>
      <c r="L81" s="66"/>
      <c r="M81" s="66"/>
      <c r="N81" s="66"/>
      <c r="O81" s="66"/>
      <c r="P81" s="66"/>
      <c r="Q81" s="66"/>
    </row>
    <row r="82" spans="1:17" s="1001" customFormat="1" ht="15" customHeight="1">
      <c r="A82" s="82" t="s">
        <v>86</v>
      </c>
      <c r="B82" s="80" t="s">
        <v>504</v>
      </c>
      <c r="C82" s="999"/>
      <c r="D82" s="432">
        <f>D97/D67*100</f>
        <v>5.2151803205611973</v>
      </c>
      <c r="E82" s="432">
        <f t="shared" ref="E82:N82" si="0">E97/E67*100</f>
        <v>6.1036434066088541</v>
      </c>
      <c r="F82" s="432">
        <f t="shared" si="0"/>
        <v>6.5608686445229418</v>
      </c>
      <c r="G82" s="432">
        <v>5.0169894704563003</v>
      </c>
      <c r="H82" s="432">
        <v>4.9173477793510827</v>
      </c>
      <c r="I82" s="432">
        <v>3.2034496678434681</v>
      </c>
      <c r="J82" s="432">
        <v>5.1934813102194406</v>
      </c>
      <c r="K82" s="432">
        <v>5.1855873073660366</v>
      </c>
      <c r="L82" s="432">
        <v>5.3932394538996569</v>
      </c>
      <c r="M82" s="432">
        <v>2.6769337765518539</v>
      </c>
      <c r="N82" s="432">
        <v>2.7216272203158915</v>
      </c>
      <c r="O82" s="432">
        <v>5.6786036803039988</v>
      </c>
      <c r="P82" s="432">
        <v>2.8152445588422901</v>
      </c>
      <c r="Q82" s="432">
        <v>2.8698024675517972</v>
      </c>
    </row>
    <row r="83" spans="1:17" s="36" customFormat="1" ht="15" customHeight="1" outlineLevel="1">
      <c r="A83" s="60"/>
      <c r="B83" s="68" t="s">
        <v>487</v>
      </c>
      <c r="C83" s="13" t="s">
        <v>138</v>
      </c>
      <c r="D83" s="66"/>
      <c r="E83" s="251">
        <f t="shared" ref="E83" si="1">E98/E68*100</f>
        <v>3.2639626508208992</v>
      </c>
      <c r="F83" s="66"/>
      <c r="G83" s="251">
        <v>2.8327192347374539</v>
      </c>
      <c r="H83" s="251"/>
      <c r="I83" s="251">
        <v>1.7691024894014589</v>
      </c>
      <c r="J83" s="251"/>
      <c r="K83" s="251">
        <v>2.8721880035865381</v>
      </c>
      <c r="L83" s="251">
        <v>2.8814841790576562</v>
      </c>
      <c r="M83" s="251">
        <v>1.4409664792794885</v>
      </c>
      <c r="N83" s="251">
        <v>1.4404530655796008</v>
      </c>
      <c r="O83" s="251">
        <v>2.9807275365304782</v>
      </c>
      <c r="P83" s="251">
        <v>1.4901890165625031</v>
      </c>
      <c r="Q83" s="251">
        <v>1.4905890043886771</v>
      </c>
    </row>
    <row r="84" spans="1:17" s="36" customFormat="1" ht="15" customHeight="1" outlineLevel="1">
      <c r="A84" s="60"/>
      <c r="B84" s="68" t="s">
        <v>488</v>
      </c>
      <c r="C84" s="13" t="s">
        <v>138</v>
      </c>
      <c r="D84" s="66"/>
      <c r="E84" s="251">
        <f t="shared" ref="E84" si="2">E99/E69*100</f>
        <v>5.3769570847111376</v>
      </c>
      <c r="F84" s="66"/>
      <c r="G84" s="251">
        <v>5.4438123671975047</v>
      </c>
      <c r="H84" s="251"/>
      <c r="I84" s="251">
        <v>3.4972175826611469</v>
      </c>
      <c r="J84" s="251"/>
      <c r="K84" s="251">
        <v>5.1368740212815691</v>
      </c>
      <c r="L84" s="251">
        <v>5.2624747457646244</v>
      </c>
      <c r="M84" s="251">
        <v>2.6325286711043385</v>
      </c>
      <c r="N84" s="251">
        <v>2.6295741548950238</v>
      </c>
      <c r="O84" s="251">
        <v>5.3362637281387206</v>
      </c>
      <c r="P84" s="251">
        <v>2.6719382397744136</v>
      </c>
      <c r="Q84" s="251">
        <v>2.663239313459191</v>
      </c>
    </row>
    <row r="85" spans="1:17" s="36" customFormat="1" ht="15" customHeight="1" outlineLevel="1">
      <c r="A85" s="60"/>
      <c r="B85" s="68" t="s">
        <v>489</v>
      </c>
      <c r="C85" s="13" t="s">
        <v>138</v>
      </c>
      <c r="D85" s="66"/>
      <c r="E85" s="251">
        <f t="shared" ref="E85" si="3">E100/E70*100</f>
        <v>8.5745603108963167</v>
      </c>
      <c r="F85" s="66"/>
      <c r="G85" s="251">
        <v>7.059169567135644</v>
      </c>
      <c r="H85" s="251"/>
      <c r="I85" s="251">
        <v>5.1044288426723181</v>
      </c>
      <c r="J85" s="251"/>
      <c r="K85" s="251">
        <v>6.8819528892492006</v>
      </c>
      <c r="L85" s="251">
        <v>7.5555799126797094</v>
      </c>
      <c r="M85" s="251">
        <v>3.8033998016212336</v>
      </c>
      <c r="N85" s="251">
        <v>3.7484316185696365</v>
      </c>
      <c r="O85" s="251">
        <v>7.5649180977780981</v>
      </c>
      <c r="P85" s="251">
        <v>3.805889504255032</v>
      </c>
      <c r="Q85" s="251">
        <v>3.7555057568966848</v>
      </c>
    </row>
    <row r="86" spans="1:17" s="36" customFormat="1" ht="15" customHeight="1" outlineLevel="1">
      <c r="A86" s="60"/>
      <c r="B86" s="68" t="s">
        <v>490</v>
      </c>
      <c r="C86" s="13" t="s">
        <v>138</v>
      </c>
      <c r="D86" s="66"/>
      <c r="E86" s="251">
        <f t="shared" ref="E86" si="4">E101/E71*100</f>
        <v>11.481885566965529</v>
      </c>
      <c r="F86" s="66"/>
      <c r="G86" s="251">
        <v>11.091732216092899</v>
      </c>
      <c r="H86" s="251"/>
      <c r="I86" s="251">
        <v>6.7577854897709457</v>
      </c>
      <c r="J86" s="251"/>
      <c r="K86" s="251">
        <v>11.421994735434215</v>
      </c>
      <c r="L86" s="251">
        <v>11.849240934565669</v>
      </c>
      <c r="M86" s="251">
        <v>5.9103063680475101</v>
      </c>
      <c r="N86" s="251">
        <v>5.9422047851001052</v>
      </c>
      <c r="O86" s="251">
        <v>12.289393290828883</v>
      </c>
      <c r="P86" s="251">
        <v>6.1292715208783415</v>
      </c>
      <c r="Q86" s="251">
        <v>6.1635382515108992</v>
      </c>
    </row>
    <row r="87" spans="1:17" s="36" customFormat="1" ht="15" customHeight="1" outlineLevel="1">
      <c r="A87" s="60"/>
      <c r="B87" s="68" t="s">
        <v>491</v>
      </c>
      <c r="C87" s="13" t="s">
        <v>138</v>
      </c>
      <c r="D87" s="66"/>
      <c r="E87" s="251">
        <f t="shared" ref="E87" si="5">E102/E72*100</f>
        <v>12.291411493802361</v>
      </c>
      <c r="F87" s="66"/>
      <c r="G87" s="251">
        <v>11.861514432810782</v>
      </c>
      <c r="H87" s="251"/>
      <c r="I87" s="251">
        <v>7.4083692584705414</v>
      </c>
      <c r="J87" s="251"/>
      <c r="K87" s="251">
        <v>11.644336175395859</v>
      </c>
      <c r="L87" s="251">
        <v>11.775039062138848</v>
      </c>
      <c r="M87" s="251">
        <v>5.8225802781001796</v>
      </c>
      <c r="N87" s="251">
        <v>5.9642681836214608</v>
      </c>
      <c r="O87" s="251">
        <v>13.424555115797467</v>
      </c>
      <c r="P87" s="251">
        <v>6.7004876654579233</v>
      </c>
      <c r="Q87" s="251">
        <v>6.7256520604781826</v>
      </c>
    </row>
    <row r="88" spans="1:17" s="36" customFormat="1" ht="15" customHeight="1" outlineLevel="1">
      <c r="A88" s="60"/>
      <c r="B88" s="70" t="s">
        <v>492</v>
      </c>
      <c r="C88" s="13" t="s">
        <v>138</v>
      </c>
      <c r="D88" s="66"/>
      <c r="E88" s="251">
        <f t="shared" ref="E88" si="6">E103/E73*100</f>
        <v>29.528177160799867</v>
      </c>
      <c r="F88" s="66"/>
      <c r="G88" s="251">
        <v>11.252922837100545</v>
      </c>
      <c r="H88" s="251"/>
      <c r="I88" s="251">
        <v>5.4212976368131498</v>
      </c>
      <c r="J88" s="251"/>
      <c r="K88" s="251">
        <v>14.323391557276985</v>
      </c>
      <c r="L88" s="251">
        <v>15.563655448635977</v>
      </c>
      <c r="M88" s="251">
        <v>7.795966785290628</v>
      </c>
      <c r="N88" s="251">
        <v>7.763654752163772</v>
      </c>
      <c r="O88" s="251">
        <v>15.751867523931381</v>
      </c>
      <c r="P88" s="251">
        <v>7.8917546802048859</v>
      </c>
      <c r="Q88" s="251">
        <v>7.8556165426846585</v>
      </c>
    </row>
    <row r="89" spans="1:17" s="36" customFormat="1" ht="15" customHeight="1" outlineLevel="1">
      <c r="A89" s="60"/>
      <c r="B89" s="70" t="s">
        <v>493</v>
      </c>
      <c r="C89" s="13" t="s">
        <v>138</v>
      </c>
      <c r="D89" s="66"/>
      <c r="E89" s="251">
        <f t="shared" ref="E89" si="7">E104/E74*100</f>
        <v>18.854468464452864</v>
      </c>
      <c r="F89" s="66"/>
      <c r="G89" s="251">
        <v>19.292881301924993</v>
      </c>
      <c r="H89" s="251"/>
      <c r="I89" s="251">
        <v>7.8318829846324753</v>
      </c>
      <c r="J89" s="251"/>
      <c r="K89" s="251">
        <v>13.566001502880523</v>
      </c>
      <c r="L89" s="251">
        <v>17.328519855595665</v>
      </c>
      <c r="M89" s="251">
        <v>8.6709129511677272</v>
      </c>
      <c r="N89" s="251">
        <v>8.6577068927057788</v>
      </c>
      <c r="O89" s="251">
        <v>18.196343337917643</v>
      </c>
      <c r="P89" s="251">
        <v>9.1054619965422283</v>
      </c>
      <c r="Q89" s="251">
        <v>9.0891619657008462</v>
      </c>
    </row>
    <row r="90" spans="1:17" s="36" customFormat="1" ht="15" customHeight="1" outlineLevel="1">
      <c r="A90" s="60"/>
      <c r="B90" s="70" t="s">
        <v>494</v>
      </c>
      <c r="C90" s="13" t="s">
        <v>138</v>
      </c>
      <c r="D90" s="66"/>
      <c r="E90" s="251">
        <f t="shared" ref="E90" si="8">E105/E75*100</f>
        <v>10.225499929088071</v>
      </c>
      <c r="F90" s="66"/>
      <c r="G90" s="251">
        <v>32.682911101687125</v>
      </c>
      <c r="H90" s="251"/>
      <c r="I90" s="251">
        <v>11.479371655446229</v>
      </c>
      <c r="J90" s="251"/>
      <c r="K90" s="251">
        <v>6.6706730769230766</v>
      </c>
      <c r="L90" s="251">
        <v>6.529794692038057</v>
      </c>
      <c r="M90" s="251">
        <v>3.4502478078536027</v>
      </c>
      <c r="N90" s="251">
        <v>3.0597172399240344</v>
      </c>
      <c r="O90" s="251">
        <v>5.6284426639959939</v>
      </c>
      <c r="P90" s="251">
        <v>3.0118185284025922</v>
      </c>
      <c r="Q90" s="251">
        <v>2.595484279383836</v>
      </c>
    </row>
    <row r="91" spans="1:17" s="36" customFormat="1" ht="15" customHeight="1" outlineLevel="1">
      <c r="A91" s="60"/>
      <c r="B91" s="70" t="s">
        <v>495</v>
      </c>
      <c r="C91" s="13" t="s">
        <v>138</v>
      </c>
      <c r="D91" s="66"/>
      <c r="E91" s="251">
        <f t="shared" ref="E91" si="9">E106/E76*100</f>
        <v>9.3380288355364858</v>
      </c>
      <c r="F91" s="66"/>
      <c r="G91" s="251">
        <v>10.02299044908186</v>
      </c>
      <c r="H91" s="251"/>
      <c r="I91" s="251">
        <v>6.5893878120206386</v>
      </c>
      <c r="J91" s="251"/>
      <c r="K91" s="251">
        <v>10.99200043668824</v>
      </c>
      <c r="L91" s="251">
        <v>11.060123963142116</v>
      </c>
      <c r="M91" s="251">
        <v>5.5331269349845202</v>
      </c>
      <c r="N91" s="251">
        <v>5.5261806049221924</v>
      </c>
      <c r="O91" s="251">
        <v>10.824056158705128</v>
      </c>
      <c r="P91" s="251">
        <v>5.3892116866526552</v>
      </c>
      <c r="Q91" s="251">
        <v>5.4406776594489035</v>
      </c>
    </row>
    <row r="92" spans="1:17" s="36" customFormat="1" ht="15" customHeight="1" outlineLevel="1">
      <c r="A92" s="60"/>
      <c r="B92" s="70" t="s">
        <v>496</v>
      </c>
      <c r="C92" s="13" t="s">
        <v>138</v>
      </c>
      <c r="D92" s="66"/>
      <c r="E92" s="251">
        <f t="shared" ref="E92" si="10">E107/E77*100</f>
        <v>17.128463476070529</v>
      </c>
      <c r="F92" s="66"/>
      <c r="G92" s="251">
        <v>12.022164413494243</v>
      </c>
      <c r="H92" s="251"/>
      <c r="I92" s="251">
        <v>5.7447890188103719</v>
      </c>
      <c r="J92" s="251"/>
      <c r="K92" s="251">
        <v>16.005802707930368</v>
      </c>
      <c r="L92" s="251">
        <v>16.159404423034815</v>
      </c>
      <c r="M92" s="251">
        <v>8.5305940151853505</v>
      </c>
      <c r="N92" s="251">
        <v>7.6427651352511807</v>
      </c>
      <c r="O92" s="251">
        <v>16.713934581206278</v>
      </c>
      <c r="P92" s="251">
        <v>8.1321022727272716</v>
      </c>
      <c r="Q92" s="251">
        <v>8.6130206227254344</v>
      </c>
    </row>
    <row r="93" spans="1:17" s="36" customFormat="1" ht="15" customHeight="1" outlineLevel="1">
      <c r="A93" s="60"/>
      <c r="B93" s="70" t="s">
        <v>497</v>
      </c>
      <c r="C93" s="13" t="s">
        <v>138</v>
      </c>
      <c r="D93" s="66"/>
      <c r="E93" s="251">
        <f t="shared" ref="E93" si="11">E108/E78*100</f>
        <v>33.333333333333329</v>
      </c>
      <c r="F93" s="66"/>
      <c r="G93" s="251">
        <v>22.857142857142858</v>
      </c>
      <c r="H93" s="251"/>
      <c r="I93" s="251">
        <v>14.444444444444443</v>
      </c>
      <c r="J93" s="251"/>
      <c r="K93" s="251">
        <v>11.607142857142858</v>
      </c>
      <c r="L93" s="251">
        <v>11.607142857142858</v>
      </c>
      <c r="M93" s="251">
        <v>5.5555555555555554</v>
      </c>
      <c r="N93" s="251">
        <v>6.1224489795918364</v>
      </c>
      <c r="O93" s="251">
        <v>11.607142857142858</v>
      </c>
      <c r="P93" s="251">
        <v>5.5555555555555554</v>
      </c>
      <c r="Q93" s="251">
        <v>6.1224489795918364</v>
      </c>
    </row>
    <row r="94" spans="1:17" s="36" customFormat="1" ht="15" customHeight="1" outlineLevel="1">
      <c r="A94" s="60"/>
      <c r="B94" s="68" t="s">
        <v>498</v>
      </c>
      <c r="C94" s="13" t="s">
        <v>138</v>
      </c>
      <c r="D94" s="66"/>
      <c r="E94" s="251">
        <f t="shared" ref="E94" si="12">E109/E79*100</f>
        <v>9.8257400797816494</v>
      </c>
      <c r="F94" s="66"/>
      <c r="G94" s="251">
        <v>19.976346449141182</v>
      </c>
      <c r="H94" s="251"/>
      <c r="I94" s="251">
        <v>15.154320987654321</v>
      </c>
      <c r="J94" s="251"/>
      <c r="K94" s="251">
        <v>16.655450874831761</v>
      </c>
      <c r="L94" s="251">
        <v>11.541049798115747</v>
      </c>
      <c r="M94" s="251">
        <v>5.819935691318328</v>
      </c>
      <c r="N94" s="251">
        <v>5.716302046577276</v>
      </c>
      <c r="O94" s="251">
        <v>5.6864064602960971</v>
      </c>
      <c r="P94" s="251">
        <v>3.022508038585209</v>
      </c>
      <c r="Q94" s="251">
        <v>2.646436132674665</v>
      </c>
    </row>
    <row r="95" spans="1:17" s="36" customFormat="1" ht="15" customHeight="1" outlineLevel="1">
      <c r="A95" s="60"/>
      <c r="B95" s="68" t="s">
        <v>499</v>
      </c>
      <c r="C95" s="13" t="s">
        <v>138</v>
      </c>
      <c r="D95" s="66"/>
      <c r="E95" s="251">
        <f t="shared" ref="E95" si="13">E110/E80*100</f>
        <v>10.777102654301247</v>
      </c>
      <c r="F95" s="66"/>
      <c r="G95" s="251">
        <v>10.054714949337722</v>
      </c>
      <c r="H95" s="251"/>
      <c r="I95" s="251">
        <v>23.584905660377359</v>
      </c>
      <c r="J95" s="251"/>
      <c r="K95" s="251">
        <v>9.5018962535108447</v>
      </c>
      <c r="L95" s="251">
        <v>9.5974655236675375</v>
      </c>
      <c r="M95" s="251">
        <v>4.8092868988391384</v>
      </c>
      <c r="N95" s="251">
        <v>4.7851977881752443</v>
      </c>
      <c r="O95" s="251">
        <v>9.5974655236675375</v>
      </c>
      <c r="P95" s="251">
        <v>4.8092868988391384</v>
      </c>
      <c r="Q95" s="251">
        <v>4.7851977881752443</v>
      </c>
    </row>
    <row r="96" spans="1:17" s="36" customFormat="1">
      <c r="A96" s="60"/>
      <c r="B96" s="68"/>
      <c r="C96" s="13"/>
      <c r="D96" s="66"/>
      <c r="E96" s="66"/>
      <c r="F96" s="66"/>
      <c r="G96" s="66"/>
      <c r="H96" s="66"/>
      <c r="I96" s="66"/>
      <c r="J96" s="66"/>
      <c r="K96" s="66"/>
      <c r="L96" s="66"/>
      <c r="M96" s="66"/>
      <c r="N96" s="66"/>
      <c r="O96" s="66"/>
      <c r="P96" s="66"/>
      <c r="Q96" s="66"/>
    </row>
    <row r="97" spans="1:17" s="1001" customFormat="1" ht="15" customHeight="1">
      <c r="A97" s="82" t="s">
        <v>109</v>
      </c>
      <c r="B97" s="80" t="s">
        <v>505</v>
      </c>
      <c r="C97" s="999" t="s">
        <v>240</v>
      </c>
      <c r="D97" s="1000">
        <f>'4.10_пр-во_КТЭЦ'!D97+'4.10_пр-во_котельн.'!D97</f>
        <v>53349</v>
      </c>
      <c r="E97" s="1000">
        <f>'4.10_пр-во_КТЭЦ'!E97+'4.10_пр-во_котельн.'!E97</f>
        <v>82503.070000000007</v>
      </c>
      <c r="F97" s="1000">
        <f>'4.10_пр-во_КТЭЦ'!F97+'4.10_пр-во_котельн.'!F97</f>
        <v>64134</v>
      </c>
      <c r="G97" s="1000">
        <v>95363.160314486056</v>
      </c>
      <c r="H97" s="1000">
        <v>71222.2</v>
      </c>
      <c r="I97" s="1000">
        <v>68644</v>
      </c>
      <c r="J97" s="1000">
        <v>80714.149303610408</v>
      </c>
      <c r="K97" s="1000">
        <v>77035</v>
      </c>
      <c r="L97" s="1000">
        <v>81764</v>
      </c>
      <c r="M97" s="1000">
        <v>45419</v>
      </c>
      <c r="N97" s="1000">
        <v>36345</v>
      </c>
      <c r="O97" s="1000">
        <v>88578</v>
      </c>
      <c r="P97" s="1000">
        <v>49100</v>
      </c>
      <c r="Q97" s="1000">
        <v>39478</v>
      </c>
    </row>
    <row r="98" spans="1:17" s="36" customFormat="1" ht="15" customHeight="1" outlineLevel="1">
      <c r="A98" s="60"/>
      <c r="B98" s="68" t="s">
        <v>487</v>
      </c>
      <c r="C98" s="13" t="s">
        <v>240</v>
      </c>
      <c r="D98" s="241"/>
      <c r="E98" s="241">
        <f>'4.10_пр-во_КТЭЦ'!E98+'4.10_пр-во_котельн.'!E98</f>
        <v>23938</v>
      </c>
      <c r="F98" s="241"/>
      <c r="G98" s="241">
        <v>35382.3277860413</v>
      </c>
      <c r="H98" s="241">
        <v>0</v>
      </c>
      <c r="I98" s="241">
        <v>24654</v>
      </c>
      <c r="J98" s="241"/>
      <c r="K98" s="241">
        <v>27188</v>
      </c>
      <c r="L98" s="241">
        <v>27311</v>
      </c>
      <c r="M98" s="241">
        <v>15377</v>
      </c>
      <c r="N98" s="241">
        <v>11934</v>
      </c>
      <c r="O98" s="241">
        <v>28513</v>
      </c>
      <c r="P98" s="241">
        <v>16054</v>
      </c>
      <c r="Q98" s="241">
        <v>12459</v>
      </c>
    </row>
    <row r="99" spans="1:17" s="36" customFormat="1" ht="15" customHeight="1" outlineLevel="1">
      <c r="A99" s="60"/>
      <c r="B99" s="68" t="s">
        <v>488</v>
      </c>
      <c r="C99" s="13" t="s">
        <v>240</v>
      </c>
      <c r="D99" s="241"/>
      <c r="E99" s="241">
        <f>'4.10_пр-во_КТЭЦ'!E99+'4.10_пр-во_котельн.'!E99</f>
        <v>10423.07</v>
      </c>
      <c r="F99" s="241"/>
      <c r="G99" s="241">
        <v>11466.535910908493</v>
      </c>
      <c r="H99" s="241">
        <v>0</v>
      </c>
      <c r="I99" s="241">
        <v>8836</v>
      </c>
      <c r="J99" s="241"/>
      <c r="K99" s="241">
        <v>8872</v>
      </c>
      <c r="L99" s="241">
        <v>9325</v>
      </c>
      <c r="M99" s="241">
        <v>5252</v>
      </c>
      <c r="N99" s="241">
        <v>4073</v>
      </c>
      <c r="O99" s="241">
        <v>9623</v>
      </c>
      <c r="P99" s="241">
        <v>5420</v>
      </c>
      <c r="Q99" s="241">
        <v>4203</v>
      </c>
    </row>
    <row r="100" spans="1:17" s="36" customFormat="1" ht="15" customHeight="1" outlineLevel="1">
      <c r="A100" s="60"/>
      <c r="B100" s="68" t="s">
        <v>489</v>
      </c>
      <c r="C100" s="13" t="s">
        <v>240</v>
      </c>
      <c r="D100" s="241"/>
      <c r="E100" s="241">
        <f>'4.10_пр-во_КТЭЦ'!E100+'4.10_пр-во_котельн.'!E100</f>
        <v>1721</v>
      </c>
      <c r="F100" s="241"/>
      <c r="G100" s="241">
        <v>1440</v>
      </c>
      <c r="H100" s="241">
        <v>0</v>
      </c>
      <c r="I100" s="241">
        <v>1156</v>
      </c>
      <c r="J100" s="241"/>
      <c r="K100" s="241">
        <v>1528</v>
      </c>
      <c r="L100" s="241">
        <v>2068</v>
      </c>
      <c r="M100" s="241">
        <v>1112</v>
      </c>
      <c r="N100" s="241">
        <v>956</v>
      </c>
      <c r="O100" s="241">
        <v>2099</v>
      </c>
      <c r="P100" s="241">
        <v>1127</v>
      </c>
      <c r="Q100" s="241">
        <v>972</v>
      </c>
    </row>
    <row r="101" spans="1:17" s="36" customFormat="1" ht="15" customHeight="1" outlineLevel="1">
      <c r="A101" s="60"/>
      <c r="B101" s="68" t="s">
        <v>490</v>
      </c>
      <c r="C101" s="13" t="s">
        <v>240</v>
      </c>
      <c r="D101" s="241"/>
      <c r="E101" s="241">
        <f>'4.10_пр-во_КТЭЦ'!E101+'4.10_пр-во_котельн.'!E101</f>
        <v>44937</v>
      </c>
      <c r="F101" s="241"/>
      <c r="G101" s="241">
        <v>45169.15931964379</v>
      </c>
      <c r="H101" s="241">
        <v>0</v>
      </c>
      <c r="I101" s="241">
        <v>30981</v>
      </c>
      <c r="J101" s="241"/>
      <c r="K101" s="241">
        <v>38109</v>
      </c>
      <c r="L101" s="241">
        <v>41820</v>
      </c>
      <c r="M101" s="241">
        <v>23009</v>
      </c>
      <c r="N101" s="241">
        <v>18811</v>
      </c>
      <c r="O101" s="241">
        <v>47204</v>
      </c>
      <c r="P101" s="241">
        <v>25879</v>
      </c>
      <c r="Q101" s="241">
        <v>21325</v>
      </c>
    </row>
    <row r="102" spans="1:17" s="36" customFormat="1" ht="15" customHeight="1" outlineLevel="1">
      <c r="A102" s="60"/>
      <c r="B102" s="68" t="s">
        <v>491</v>
      </c>
      <c r="C102" s="13" t="s">
        <v>240</v>
      </c>
      <c r="D102" s="241"/>
      <c r="E102" s="241">
        <f>'4.10_пр-во_КТЭЦ'!E102+'4.10_пр-во_котельн.'!E102</f>
        <v>12544</v>
      </c>
      <c r="F102" s="241"/>
      <c r="G102" s="241">
        <v>12303</v>
      </c>
      <c r="H102" s="241">
        <v>0</v>
      </c>
      <c r="I102" s="241">
        <v>8558</v>
      </c>
      <c r="J102" s="241"/>
      <c r="K102" s="241">
        <v>9082</v>
      </c>
      <c r="L102" s="241">
        <v>9552</v>
      </c>
      <c r="M102" s="241">
        <v>5117</v>
      </c>
      <c r="N102" s="241">
        <v>4435</v>
      </c>
      <c r="O102" s="241">
        <v>14140</v>
      </c>
      <c r="P102" s="241">
        <v>7502</v>
      </c>
      <c r="Q102" s="241">
        <v>6638</v>
      </c>
    </row>
    <row r="103" spans="1:17" s="36" customFormat="1" ht="15" customHeight="1" outlineLevel="1">
      <c r="A103" s="60"/>
      <c r="B103" s="70" t="s">
        <v>492</v>
      </c>
      <c r="C103" s="13" t="s">
        <v>240</v>
      </c>
      <c r="D103" s="241"/>
      <c r="E103" s="241">
        <f>'4.10_пр-во_КТЭЦ'!E103+'4.10_пр-во_котельн.'!E103</f>
        <v>7147</v>
      </c>
      <c r="F103" s="241"/>
      <c r="G103" s="241">
        <v>3465</v>
      </c>
      <c r="H103" s="241">
        <v>0</v>
      </c>
      <c r="I103" s="241">
        <v>2434</v>
      </c>
      <c r="J103" s="241"/>
      <c r="K103" s="241">
        <v>4356</v>
      </c>
      <c r="L103" s="241">
        <v>5832</v>
      </c>
      <c r="M103" s="241">
        <v>3286</v>
      </c>
      <c r="N103" s="241">
        <v>2546</v>
      </c>
      <c r="O103" s="241">
        <v>6181</v>
      </c>
      <c r="P103" s="241">
        <v>3482</v>
      </c>
      <c r="Q103" s="241">
        <v>2699</v>
      </c>
    </row>
    <row r="104" spans="1:17" s="36" customFormat="1" ht="15" customHeight="1" outlineLevel="1">
      <c r="A104" s="60"/>
      <c r="B104" s="70" t="s">
        <v>493</v>
      </c>
      <c r="C104" s="13" t="s">
        <v>240</v>
      </c>
      <c r="D104" s="241"/>
      <c r="E104" s="241">
        <f>'4.10_пр-во_КТЭЦ'!E104+'4.10_пр-во_котельн.'!E104</f>
        <v>846</v>
      </c>
      <c r="F104" s="241"/>
      <c r="G104" s="241">
        <v>891.59221125427393</v>
      </c>
      <c r="H104" s="241">
        <v>0</v>
      </c>
      <c r="I104" s="241">
        <v>423</v>
      </c>
      <c r="J104" s="241"/>
      <c r="K104" s="241">
        <v>677</v>
      </c>
      <c r="L104" s="241">
        <v>2056</v>
      </c>
      <c r="M104" s="241">
        <v>1021</v>
      </c>
      <c r="N104" s="241">
        <v>1035</v>
      </c>
      <c r="O104" s="241">
        <v>2999</v>
      </c>
      <c r="P104" s="241">
        <v>1659</v>
      </c>
      <c r="Q104" s="241">
        <v>1340</v>
      </c>
    </row>
    <row r="105" spans="1:17" s="36" customFormat="1" ht="15" customHeight="1" outlineLevel="1">
      <c r="A105" s="60"/>
      <c r="B105" s="70" t="s">
        <v>494</v>
      </c>
      <c r="C105" s="13" t="s">
        <v>240</v>
      </c>
      <c r="D105" s="241"/>
      <c r="E105" s="241">
        <f>'4.10_пр-во_КТЭЦ'!E105+'4.10_пр-во_котельн.'!E105</f>
        <v>721</v>
      </c>
      <c r="F105" s="241"/>
      <c r="G105" s="241">
        <v>2361.3656093650397</v>
      </c>
      <c r="H105" s="241">
        <v>0</v>
      </c>
      <c r="I105" s="241">
        <v>665</v>
      </c>
      <c r="J105" s="241"/>
      <c r="K105" s="241">
        <v>333</v>
      </c>
      <c r="L105" s="241">
        <v>326</v>
      </c>
      <c r="M105" s="241">
        <v>181</v>
      </c>
      <c r="N105" s="241">
        <v>145</v>
      </c>
      <c r="O105" s="241">
        <v>281</v>
      </c>
      <c r="P105" s="241">
        <v>158</v>
      </c>
      <c r="Q105" s="241">
        <v>123</v>
      </c>
    </row>
    <row r="106" spans="1:17" s="36" customFormat="1" ht="15" customHeight="1" outlineLevel="1">
      <c r="A106" s="60"/>
      <c r="B106" s="70" t="s">
        <v>495</v>
      </c>
      <c r="C106" s="13" t="s">
        <v>240</v>
      </c>
      <c r="D106" s="241"/>
      <c r="E106" s="241">
        <f>'4.10_пр-во_КТЭЦ'!E106+'4.10_пр-во_котельн.'!E106</f>
        <v>23679</v>
      </c>
      <c r="F106" s="241"/>
      <c r="G106" s="241">
        <v>26147.201499024475</v>
      </c>
      <c r="H106" s="241">
        <v>0</v>
      </c>
      <c r="I106" s="241">
        <v>18901</v>
      </c>
      <c r="J106" s="241"/>
      <c r="K106" s="241">
        <v>23661</v>
      </c>
      <c r="L106" s="241">
        <v>24054</v>
      </c>
      <c r="M106" s="241">
        <v>13404</v>
      </c>
      <c r="N106" s="241">
        <v>10650</v>
      </c>
      <c r="O106" s="241">
        <v>23603</v>
      </c>
      <c r="P106" s="241">
        <v>13078</v>
      </c>
      <c r="Q106" s="241">
        <v>10525</v>
      </c>
    </row>
    <row r="107" spans="1:17" s="36" customFormat="1" ht="15" customHeight="1" outlineLevel="1">
      <c r="A107" s="60"/>
      <c r="B107" s="70" t="s">
        <v>496</v>
      </c>
      <c r="C107" s="13" t="s">
        <v>240</v>
      </c>
      <c r="D107" s="241"/>
      <c r="E107" s="241">
        <f>'4.10_пр-во_КТЭЦ'!E107+'4.10_пр-во_котельн.'!E107</f>
        <v>340</v>
      </c>
      <c r="F107" s="241"/>
      <c r="G107" s="241">
        <v>238.60773272548147</v>
      </c>
      <c r="H107" s="241">
        <v>0</v>
      </c>
      <c r="I107" s="241">
        <v>113</v>
      </c>
      <c r="J107" s="241"/>
      <c r="K107" s="241">
        <v>331</v>
      </c>
      <c r="L107" s="241">
        <v>369</v>
      </c>
      <c r="M107" s="241">
        <v>191</v>
      </c>
      <c r="N107" s="241">
        <v>178</v>
      </c>
      <c r="O107" s="241">
        <v>442</v>
      </c>
      <c r="P107" s="241">
        <v>229</v>
      </c>
      <c r="Q107" s="241">
        <v>213</v>
      </c>
    </row>
    <row r="108" spans="1:17" s="36" customFormat="1" ht="15" customHeight="1" outlineLevel="1">
      <c r="A108" s="60"/>
      <c r="B108" s="70" t="s">
        <v>497</v>
      </c>
      <c r="C108" s="13" t="s">
        <v>240</v>
      </c>
      <c r="D108" s="241"/>
      <c r="E108" s="241">
        <f>'4.10_пр-во_КТЭЦ'!E108+'4.10_пр-во_котельн.'!E108</f>
        <v>2</v>
      </c>
      <c r="F108" s="241"/>
      <c r="G108" s="241">
        <v>8</v>
      </c>
      <c r="H108" s="241">
        <v>0</v>
      </c>
      <c r="I108" s="241">
        <v>13</v>
      </c>
      <c r="J108" s="241"/>
      <c r="K108" s="241">
        <v>13</v>
      </c>
      <c r="L108" s="241">
        <v>13</v>
      </c>
      <c r="M108" s="241">
        <v>7</v>
      </c>
      <c r="N108" s="241">
        <v>6</v>
      </c>
      <c r="O108" s="241">
        <v>13</v>
      </c>
      <c r="P108" s="241">
        <v>7</v>
      </c>
      <c r="Q108" s="241">
        <v>6</v>
      </c>
    </row>
    <row r="109" spans="1:17" s="36" customFormat="1" ht="15" customHeight="1" outlineLevel="1">
      <c r="A109" s="60"/>
      <c r="B109" s="68" t="s">
        <v>498</v>
      </c>
      <c r="C109" s="13" t="s">
        <v>240</v>
      </c>
      <c r="D109" s="241"/>
      <c r="E109" s="241">
        <f>'4.10_пр-во_КТЭЦ'!E109+'4.10_пр-во_котельн.'!E109</f>
        <v>468</v>
      </c>
      <c r="F109" s="241"/>
      <c r="G109" s="241">
        <v>1019.3101493229277</v>
      </c>
      <c r="H109" s="241">
        <v>0</v>
      </c>
      <c r="I109" s="241">
        <v>491</v>
      </c>
      <c r="J109" s="241"/>
      <c r="K109" s="241">
        <v>495</v>
      </c>
      <c r="L109" s="241">
        <v>343</v>
      </c>
      <c r="M109" s="241">
        <v>181</v>
      </c>
      <c r="N109" s="241">
        <v>162</v>
      </c>
      <c r="O109" s="241">
        <v>169</v>
      </c>
      <c r="P109" s="241">
        <v>94</v>
      </c>
      <c r="Q109" s="241">
        <v>75</v>
      </c>
    </row>
    <row r="110" spans="1:17" s="36" customFormat="1" ht="15" customHeight="1" outlineLevel="1">
      <c r="A110" s="60"/>
      <c r="B110" s="68" t="s">
        <v>499</v>
      </c>
      <c r="C110" s="13" t="s">
        <v>240</v>
      </c>
      <c r="D110" s="241"/>
      <c r="E110" s="241">
        <f>'4.10_пр-во_КТЭЦ'!E110+'4.10_пр-во_котельн.'!E110</f>
        <v>674</v>
      </c>
      <c r="F110" s="241"/>
      <c r="G110" s="241">
        <v>639.21941584407057</v>
      </c>
      <c r="H110" s="241">
        <v>0</v>
      </c>
      <c r="I110" s="241">
        <v>2400</v>
      </c>
      <c r="J110" s="241"/>
      <c r="K110" s="241">
        <v>499</v>
      </c>
      <c r="L110" s="241">
        <v>515</v>
      </c>
      <c r="M110" s="241">
        <v>290</v>
      </c>
      <c r="N110" s="241">
        <v>225</v>
      </c>
      <c r="O110" s="241">
        <v>515</v>
      </c>
      <c r="P110" s="241">
        <v>290</v>
      </c>
      <c r="Q110" s="241">
        <v>225</v>
      </c>
    </row>
    <row r="111" spans="1:17" s="1001" customFormat="1" ht="28.5">
      <c r="A111" s="82" t="s">
        <v>151</v>
      </c>
      <c r="B111" s="80" t="s">
        <v>1524</v>
      </c>
      <c r="C111" s="999" t="s">
        <v>240</v>
      </c>
      <c r="D111" s="1000">
        <f>'4.10_пр-во_КТЭЦ'!D111+'4.10_пр-во_котельн.'!D111</f>
        <v>54347</v>
      </c>
      <c r="E111" s="1000">
        <f>'4.10_пр-во_КТЭЦ'!E111+'4.10_пр-во_котельн.'!E111</f>
        <v>83890.07</v>
      </c>
      <c r="F111" s="1000">
        <f>'4.10_пр-во_КТЭЦ'!F111+'4.10_пр-во_котельн.'!F111</f>
        <v>64134</v>
      </c>
      <c r="G111" s="1000">
        <v>97159.160314486056</v>
      </c>
      <c r="H111" s="1000">
        <v>73317.2</v>
      </c>
      <c r="I111" s="1000">
        <v>70569</v>
      </c>
      <c r="J111" s="1000">
        <v>82967.149303610408</v>
      </c>
      <c r="K111" s="1000">
        <v>79446</v>
      </c>
      <c r="L111" s="1000">
        <v>84832</v>
      </c>
      <c r="M111" s="1000">
        <v>46933</v>
      </c>
      <c r="N111" s="1000">
        <v>37899</v>
      </c>
      <c r="O111" s="1000">
        <v>92647</v>
      </c>
      <c r="P111" s="1000">
        <v>51064</v>
      </c>
      <c r="Q111" s="1000">
        <v>41583</v>
      </c>
    </row>
    <row r="112" spans="1:17" s="36" customFormat="1" ht="15" customHeight="1">
      <c r="A112" s="60" t="s">
        <v>153</v>
      </c>
      <c r="B112" s="70" t="s">
        <v>402</v>
      </c>
      <c r="C112" s="13" t="s">
        <v>240</v>
      </c>
      <c r="D112" s="241"/>
      <c r="E112" s="241"/>
      <c r="F112" s="241"/>
      <c r="G112" s="241"/>
      <c r="H112" s="241"/>
      <c r="I112" s="241"/>
      <c r="J112" s="241"/>
      <c r="K112" s="241"/>
      <c r="L112" s="241"/>
      <c r="M112" s="241"/>
      <c r="N112" s="241"/>
      <c r="O112" s="241"/>
      <c r="P112" s="241"/>
      <c r="Q112" s="241"/>
    </row>
    <row r="113" spans="1:17" s="36" customFormat="1" ht="15" customHeight="1">
      <c r="A113" s="60" t="s">
        <v>1528</v>
      </c>
      <c r="B113" s="70" t="s">
        <v>404</v>
      </c>
      <c r="C113" s="13" t="s">
        <v>240</v>
      </c>
      <c r="D113" s="241">
        <v>54347</v>
      </c>
      <c r="E113" s="241">
        <f>E111</f>
        <v>83890.07</v>
      </c>
      <c r="F113" s="241">
        <v>64134</v>
      </c>
      <c r="G113" s="241">
        <v>97159.160314486056</v>
      </c>
      <c r="H113" s="241">
        <v>73317.2</v>
      </c>
      <c r="I113" s="241">
        <v>70569</v>
      </c>
      <c r="J113" s="241">
        <v>82967.149303610408</v>
      </c>
      <c r="K113" s="241">
        <v>79446</v>
      </c>
      <c r="L113" s="241">
        <v>84832</v>
      </c>
      <c r="M113" s="241">
        <v>46933</v>
      </c>
      <c r="N113" s="241">
        <v>37899</v>
      </c>
      <c r="O113" s="241">
        <v>92647</v>
      </c>
      <c r="P113" s="241">
        <v>51064</v>
      </c>
      <c r="Q113" s="241">
        <v>41583</v>
      </c>
    </row>
    <row r="114" spans="1:17" s="36" customFormat="1" ht="15" customHeight="1">
      <c r="A114" s="60" t="s">
        <v>1529</v>
      </c>
      <c r="B114" s="70" t="s">
        <v>406</v>
      </c>
      <c r="C114" s="13" t="s">
        <v>240</v>
      </c>
      <c r="D114" s="241"/>
      <c r="E114" s="241"/>
      <c r="F114" s="241"/>
      <c r="G114" s="241"/>
      <c r="H114" s="241"/>
      <c r="I114" s="241"/>
      <c r="J114" s="241"/>
      <c r="K114" s="241"/>
      <c r="L114" s="241"/>
      <c r="M114" s="241"/>
      <c r="N114" s="241"/>
      <c r="O114" s="241"/>
      <c r="P114" s="241"/>
      <c r="Q114" s="241"/>
    </row>
    <row r="115" spans="1:17" s="36" customFormat="1" ht="15" customHeight="1">
      <c r="A115" s="60" t="s">
        <v>1530</v>
      </c>
      <c r="B115" s="70" t="s">
        <v>408</v>
      </c>
      <c r="C115" s="13" t="s">
        <v>240</v>
      </c>
      <c r="D115" s="241"/>
      <c r="E115" s="241"/>
      <c r="F115" s="241"/>
      <c r="G115" s="241"/>
      <c r="H115" s="241"/>
      <c r="I115" s="241"/>
      <c r="J115" s="241"/>
      <c r="K115" s="241"/>
      <c r="L115" s="241"/>
      <c r="M115" s="241"/>
      <c r="N115" s="241"/>
      <c r="O115" s="241"/>
      <c r="P115" s="241"/>
      <c r="Q115" s="241"/>
    </row>
    <row r="116" spans="1:17" customFormat="1" ht="12.75"/>
    <row r="117" spans="1:17" s="26" customFormat="1">
      <c r="A117" s="26" t="s">
        <v>88</v>
      </c>
      <c r="C117" s="48"/>
    </row>
    <row r="118" spans="1:17" s="541" customFormat="1" ht="51.75" customHeight="1">
      <c r="A118" s="541" t="s">
        <v>89</v>
      </c>
      <c r="B118" s="1842" t="s">
        <v>506</v>
      </c>
      <c r="C118" s="1842"/>
      <c r="D118" s="1842"/>
      <c r="E118" s="1842"/>
      <c r="F118" s="1842"/>
      <c r="G118" s="1842"/>
      <c r="H118" s="1842"/>
      <c r="I118" s="1842"/>
      <c r="J118" s="1842"/>
      <c r="K118" s="1842"/>
      <c r="L118" s="1842"/>
      <c r="M118" s="1842"/>
      <c r="N118" s="1842"/>
    </row>
    <row r="119" spans="1:17" s="541" customFormat="1" ht="58.5" customHeight="1">
      <c r="A119" s="541" t="s">
        <v>91</v>
      </c>
      <c r="B119" s="1842" t="s">
        <v>507</v>
      </c>
      <c r="C119" s="1842"/>
      <c r="D119" s="1842"/>
      <c r="E119" s="1842"/>
      <c r="F119" s="1842"/>
      <c r="G119" s="1842"/>
      <c r="H119" s="1842"/>
      <c r="I119" s="1842"/>
      <c r="J119" s="1842"/>
      <c r="K119" s="1842"/>
      <c r="L119" s="1842"/>
      <c r="M119" s="1842"/>
      <c r="N119" s="1842"/>
    </row>
    <row r="120" spans="1:17" ht="21" customHeight="1"/>
  </sheetData>
  <mergeCells count="3">
    <mergeCell ref="A3:N3"/>
    <mergeCell ref="B118:N118"/>
    <mergeCell ref="B119:N119"/>
  </mergeCells>
  <pageMargins left="0.78740157480314965" right="0.51181102362204722" top="0.33" bottom="0.19" header="0.19685039370078741" footer="0.19685039370078741"/>
  <pageSetup paperSize="9" scale="43" orientation="portrait" r:id="rId1"/>
  <headerFooter alignWithMargins="0"/>
  <rowBreaks count="1" manualBreakCount="1">
    <brk id="116" max="6" man="1"/>
  </row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Q120"/>
  <sheetViews>
    <sheetView view="pageBreakPreview" zoomScaleNormal="100" workbookViewId="0">
      <pane xSplit="2" ySplit="5" topLeftCell="C6" activePane="bottomRight" state="frozen"/>
      <selection activeCell="Q7" sqref="Q7"/>
      <selection pane="topRight" activeCell="Q7" sqref="Q7"/>
      <selection pane="bottomLeft" activeCell="Q7" sqref="Q7"/>
      <selection pane="bottomRight" activeCell="R2" sqref="R2"/>
    </sheetView>
  </sheetViews>
  <sheetFormatPr defaultColWidth="4.28515625" defaultRowHeight="15" outlineLevelRow="2"/>
  <cols>
    <col min="1" max="1" width="5.42578125" style="1" customWidth="1"/>
    <col min="2" max="2" width="42.28515625" style="1" customWidth="1"/>
    <col min="3" max="3" width="12" style="21" customWidth="1"/>
    <col min="4" max="4" width="12.5703125" style="1" hidden="1" customWidth="1"/>
    <col min="5" max="5" width="11.5703125" style="1" hidden="1" customWidth="1"/>
    <col min="6" max="10" width="12.5703125" style="1" customWidth="1"/>
    <col min="11" max="11" width="15.7109375" style="1" customWidth="1"/>
    <col min="12" max="12" width="12.5703125" style="1" customWidth="1"/>
    <col min="13" max="13" width="11.42578125" style="1" customWidth="1"/>
    <col min="14" max="14" width="11" style="1" customWidth="1"/>
    <col min="15" max="15" width="12.7109375" style="1" customWidth="1"/>
    <col min="16" max="16" width="10.85546875" style="1" customWidth="1"/>
    <col min="17" max="17" width="10.5703125" style="1" customWidth="1"/>
    <col min="18" max="16384" width="4.28515625" style="1"/>
  </cols>
  <sheetData>
    <row r="1" spans="1:17" s="5" customFormat="1" ht="15.75" customHeight="1">
      <c r="A1" s="74" t="s">
        <v>1860</v>
      </c>
      <c r="C1" s="20"/>
      <c r="N1" s="6" t="s">
        <v>943</v>
      </c>
      <c r="Q1" s="6" t="s">
        <v>943</v>
      </c>
    </row>
    <row r="2" spans="1:17" s="5" customFormat="1" ht="12.75" customHeight="1">
      <c r="A2" s="759" t="str">
        <f>'4.10_свод '!A2</f>
        <v>КТЭЦ + котельные СВОД</v>
      </c>
      <c r="C2" s="20"/>
    </row>
    <row r="3" spans="1:17" ht="37.5" customHeight="1">
      <c r="A3" s="1915" t="s">
        <v>1552</v>
      </c>
      <c r="B3" s="1915"/>
      <c r="C3" s="1915"/>
      <c r="D3" s="1915"/>
      <c r="E3" s="1915"/>
      <c r="F3" s="1915"/>
      <c r="G3" s="1915"/>
      <c r="H3" s="1915"/>
      <c r="I3" s="1915"/>
      <c r="J3" s="1915"/>
      <c r="K3" s="1915"/>
      <c r="L3" s="1915"/>
      <c r="M3" s="1915"/>
      <c r="N3" s="1915"/>
    </row>
    <row r="4" spans="1:17" customFormat="1" ht="12.75" customHeight="1"/>
    <row r="5" spans="1:17" s="3" customFormat="1" ht="63" customHeight="1">
      <c r="A5" s="975" t="s">
        <v>1527</v>
      </c>
      <c r="B5" s="975" t="s">
        <v>1</v>
      </c>
      <c r="C5" s="975" t="s">
        <v>2</v>
      </c>
      <c r="D5" s="975" t="s">
        <v>1129</v>
      </c>
      <c r="E5" s="975" t="s">
        <v>1130</v>
      </c>
      <c r="F5" s="975" t="s">
        <v>1131</v>
      </c>
      <c r="G5" s="975" t="s">
        <v>1695</v>
      </c>
      <c r="H5" s="1284" t="s">
        <v>1696</v>
      </c>
      <c r="I5" s="1576" t="s">
        <v>1828</v>
      </c>
      <c r="J5" s="1576" t="s">
        <v>1833</v>
      </c>
      <c r="K5" s="1631" t="s">
        <v>1861</v>
      </c>
      <c r="L5" s="1631" t="s">
        <v>1862</v>
      </c>
      <c r="M5" s="1631" t="s">
        <v>763</v>
      </c>
      <c r="N5" s="1631" t="s">
        <v>764</v>
      </c>
      <c r="O5" s="1631" t="s">
        <v>1863</v>
      </c>
      <c r="P5" s="1631" t="s">
        <v>763</v>
      </c>
      <c r="Q5" s="1631" t="s">
        <v>764</v>
      </c>
    </row>
    <row r="6" spans="1:17" s="2" customFormat="1">
      <c r="A6" s="13">
        <v>1</v>
      </c>
      <c r="B6" s="13">
        <v>2</v>
      </c>
      <c r="C6" s="13">
        <v>3</v>
      </c>
      <c r="D6" s="13">
        <v>4</v>
      </c>
      <c r="E6" s="13">
        <v>5</v>
      </c>
      <c r="F6" s="13">
        <v>4</v>
      </c>
      <c r="G6" s="13">
        <v>5</v>
      </c>
      <c r="H6" s="13">
        <v>6</v>
      </c>
      <c r="I6" s="13">
        <v>7</v>
      </c>
      <c r="J6" s="13">
        <v>8</v>
      </c>
      <c r="K6" s="13">
        <v>9</v>
      </c>
      <c r="L6" s="13">
        <v>10</v>
      </c>
      <c r="M6" s="13">
        <v>11</v>
      </c>
      <c r="N6" s="13">
        <v>12</v>
      </c>
      <c r="O6" s="13">
        <v>13</v>
      </c>
      <c r="P6" s="13">
        <v>14</v>
      </c>
      <c r="Q6" s="13">
        <v>15</v>
      </c>
    </row>
    <row r="7" spans="1:17" s="1001" customFormat="1" ht="30" customHeight="1">
      <c r="A7" s="82" t="s">
        <v>4</v>
      </c>
      <c r="B7" s="80" t="s">
        <v>486</v>
      </c>
      <c r="C7" s="1002" t="s">
        <v>240</v>
      </c>
      <c r="D7" s="1000">
        <f>'4.10_транзит+сбыт_КТЭЦ'!D7+'4.10_транзит+сбыт_котельн.'!D7</f>
        <v>267502.36363636365</v>
      </c>
      <c r="E7" s="1000">
        <f>'4.10_транзит+сбыт_КТЭЦ'!E7+'4.10_транзит+сбыт_котельн.'!E7</f>
        <v>270811</v>
      </c>
      <c r="F7" s="1000">
        <v>289597</v>
      </c>
      <c r="G7" s="1000">
        <v>536842.71706605621</v>
      </c>
      <c r="H7" s="1000">
        <v>480622.08040000009</v>
      </c>
      <c r="I7" s="1000">
        <v>535052</v>
      </c>
      <c r="J7" s="1000">
        <v>524510.81578225503</v>
      </c>
      <c r="K7" s="1000">
        <v>602340</v>
      </c>
      <c r="L7" s="1000">
        <v>822836</v>
      </c>
      <c r="M7" s="1000">
        <v>822836</v>
      </c>
      <c r="N7" s="1000">
        <v>822836</v>
      </c>
      <c r="O7" s="1000">
        <v>845627</v>
      </c>
      <c r="P7" s="1000">
        <v>845627</v>
      </c>
      <c r="Q7" s="1000">
        <v>845627</v>
      </c>
    </row>
    <row r="8" spans="1:17" s="36" customFormat="1" ht="15" customHeight="1" outlineLevel="1">
      <c r="A8" s="60"/>
      <c r="B8" s="68" t="s">
        <v>487</v>
      </c>
      <c r="C8" s="13" t="s">
        <v>240</v>
      </c>
      <c r="D8" s="241"/>
      <c r="E8" s="241">
        <f>'4.10_транзит+сбыт_КТЭЦ'!E8+'4.10_транзит+сбыт_котельн.'!E8</f>
        <v>112824</v>
      </c>
      <c r="F8" s="241"/>
      <c r="G8" s="241">
        <v>376836</v>
      </c>
      <c r="H8" s="241">
        <v>0</v>
      </c>
      <c r="I8" s="241">
        <v>364660</v>
      </c>
      <c r="J8" s="241"/>
      <c r="K8" s="241">
        <v>360594</v>
      </c>
      <c r="L8" s="241">
        <v>360594</v>
      </c>
      <c r="M8" s="241">
        <v>360594</v>
      </c>
      <c r="N8" s="241">
        <v>360594</v>
      </c>
      <c r="O8" s="241">
        <v>360594</v>
      </c>
      <c r="P8" s="241">
        <v>360594</v>
      </c>
      <c r="Q8" s="241">
        <v>360594</v>
      </c>
    </row>
    <row r="9" spans="1:17" s="36" customFormat="1" ht="15" customHeight="1" outlineLevel="1">
      <c r="A9" s="60"/>
      <c r="B9" s="68" t="s">
        <v>488</v>
      </c>
      <c r="C9" s="13" t="s">
        <v>240</v>
      </c>
      <c r="D9" s="241"/>
      <c r="E9" s="241">
        <f>'4.10_транзит+сбыт_КТЭЦ'!E9+'4.10_транзит+сбыт_котельн.'!E9</f>
        <v>124365</v>
      </c>
      <c r="F9" s="241"/>
      <c r="G9" s="241">
        <v>124346.06257908106</v>
      </c>
      <c r="H9" s="241">
        <v>0</v>
      </c>
      <c r="I9" s="241">
        <v>124408</v>
      </c>
      <c r="J9" s="241"/>
      <c r="K9" s="241">
        <v>133088</v>
      </c>
      <c r="L9" s="241">
        <v>359332</v>
      </c>
      <c r="M9" s="241">
        <v>359332</v>
      </c>
      <c r="N9" s="241">
        <v>359332</v>
      </c>
      <c r="O9" s="241">
        <v>379824</v>
      </c>
      <c r="P9" s="241">
        <v>379824</v>
      </c>
      <c r="Q9" s="241">
        <v>379824</v>
      </c>
    </row>
    <row r="10" spans="1:17" s="36" customFormat="1" ht="15" customHeight="1" outlineLevel="1">
      <c r="A10" s="60"/>
      <c r="B10" s="68" t="s">
        <v>489</v>
      </c>
      <c r="C10" s="13" t="s">
        <v>240</v>
      </c>
      <c r="D10" s="241"/>
      <c r="E10" s="241">
        <f>'4.10_транзит+сбыт_КТЭЦ'!E10+'4.10_транзит+сбыт_котельн.'!E10</f>
        <v>0</v>
      </c>
      <c r="F10" s="241"/>
      <c r="G10" s="241">
        <v>0</v>
      </c>
      <c r="H10" s="241">
        <v>0</v>
      </c>
      <c r="I10" s="241">
        <v>0</v>
      </c>
      <c r="J10" s="241"/>
      <c r="K10" s="241">
        <v>5459</v>
      </c>
      <c r="L10" s="241">
        <v>20015</v>
      </c>
      <c r="M10" s="241">
        <v>20015</v>
      </c>
      <c r="N10" s="241">
        <v>20015</v>
      </c>
      <c r="O10" s="241">
        <v>20643</v>
      </c>
      <c r="P10" s="241">
        <v>20643</v>
      </c>
      <c r="Q10" s="241">
        <v>20643</v>
      </c>
    </row>
    <row r="11" spans="1:17" s="36" customFormat="1" ht="15" customHeight="1" outlineLevel="1">
      <c r="A11" s="60"/>
      <c r="B11" s="68" t="s">
        <v>490</v>
      </c>
      <c r="C11" s="13" t="s">
        <v>240</v>
      </c>
      <c r="D11" s="241"/>
      <c r="E11" s="241">
        <f>'4.10_транзит+сбыт_КТЭЦ'!E11+'4.10_транзит+сбыт_котельн.'!E11</f>
        <v>25979</v>
      </c>
      <c r="F11" s="241"/>
      <c r="G11" s="241">
        <v>27528.641756734567</v>
      </c>
      <c r="H11" s="241">
        <v>0</v>
      </c>
      <c r="I11" s="241">
        <v>36623</v>
      </c>
      <c r="J11" s="241"/>
      <c r="K11" s="241">
        <v>70135</v>
      </c>
      <c r="L11" s="241">
        <v>71895</v>
      </c>
      <c r="M11" s="241">
        <v>71895</v>
      </c>
      <c r="N11" s="241">
        <v>71895</v>
      </c>
      <c r="O11" s="241">
        <v>72599</v>
      </c>
      <c r="P11" s="241">
        <v>72599</v>
      </c>
      <c r="Q11" s="241">
        <v>72599</v>
      </c>
    </row>
    <row r="12" spans="1:17" s="36" customFormat="1" ht="15" customHeight="1" outlineLevel="1">
      <c r="A12" s="60"/>
      <c r="B12" s="68" t="s">
        <v>491</v>
      </c>
      <c r="C12" s="13" t="s">
        <v>240</v>
      </c>
      <c r="D12" s="241"/>
      <c r="E12" s="241">
        <f>'4.10_транзит+сбыт_КТЭЦ'!E12+'4.10_транзит+сбыт_котельн.'!E12</f>
        <v>128</v>
      </c>
      <c r="F12" s="241"/>
      <c r="G12" s="241">
        <v>154</v>
      </c>
      <c r="H12" s="241">
        <v>0</v>
      </c>
      <c r="I12" s="241">
        <v>154</v>
      </c>
      <c r="J12" s="241"/>
      <c r="K12" s="241">
        <v>154</v>
      </c>
      <c r="L12" s="241">
        <v>154</v>
      </c>
      <c r="M12" s="241">
        <v>154</v>
      </c>
      <c r="N12" s="241">
        <v>154</v>
      </c>
      <c r="O12" s="241">
        <v>154</v>
      </c>
      <c r="P12" s="241">
        <v>154</v>
      </c>
      <c r="Q12" s="241">
        <v>154</v>
      </c>
    </row>
    <row r="13" spans="1:17" s="36" customFormat="1" ht="15" customHeight="1" outlineLevel="1">
      <c r="A13" s="60"/>
      <c r="B13" s="70" t="s">
        <v>492</v>
      </c>
      <c r="C13" s="13" t="s">
        <v>240</v>
      </c>
      <c r="D13" s="241"/>
      <c r="E13" s="241">
        <f>'4.10_транзит+сбыт_КТЭЦ'!E13+'4.10_транзит+сбыт_котельн.'!E13</f>
        <v>16590</v>
      </c>
      <c r="F13" s="241"/>
      <c r="G13" s="241">
        <v>16666</v>
      </c>
      <c r="H13" s="241">
        <v>0</v>
      </c>
      <c r="I13" s="241">
        <v>20013</v>
      </c>
      <c r="J13" s="241"/>
      <c r="K13" s="241">
        <v>23566</v>
      </c>
      <c r="L13" s="241">
        <v>23566</v>
      </c>
      <c r="M13" s="241">
        <v>23566</v>
      </c>
      <c r="N13" s="241">
        <v>23566</v>
      </c>
      <c r="O13" s="241">
        <v>23566</v>
      </c>
      <c r="P13" s="241">
        <v>23566</v>
      </c>
      <c r="Q13" s="241">
        <v>23566</v>
      </c>
    </row>
    <row r="14" spans="1:17" s="36" customFormat="1" ht="15" customHeight="1" outlineLevel="1">
      <c r="A14" s="60"/>
      <c r="B14" s="70" t="s">
        <v>493</v>
      </c>
      <c r="C14" s="13" t="s">
        <v>240</v>
      </c>
      <c r="D14" s="241"/>
      <c r="E14" s="241">
        <f>'4.10_транзит+сбыт_КТЭЦ'!E14+'4.10_транзит+сбыт_котельн.'!E14</f>
        <v>502</v>
      </c>
      <c r="F14" s="241"/>
      <c r="G14" s="241">
        <v>686.92787806786237</v>
      </c>
      <c r="H14" s="241">
        <v>0</v>
      </c>
      <c r="I14" s="241">
        <v>1234</v>
      </c>
      <c r="J14" s="241"/>
      <c r="K14" s="241">
        <v>1331</v>
      </c>
      <c r="L14" s="241">
        <v>1331</v>
      </c>
      <c r="M14" s="241">
        <v>1331</v>
      </c>
      <c r="N14" s="241">
        <v>1331</v>
      </c>
      <c r="O14" s="241">
        <v>1331</v>
      </c>
      <c r="P14" s="241">
        <v>1331</v>
      </c>
      <c r="Q14" s="241">
        <v>1331</v>
      </c>
    </row>
    <row r="15" spans="1:17" s="36" customFormat="1" ht="15" customHeight="1" outlineLevel="1">
      <c r="A15" s="60"/>
      <c r="B15" s="70" t="s">
        <v>494</v>
      </c>
      <c r="C15" s="13" t="s">
        <v>240</v>
      </c>
      <c r="D15" s="241"/>
      <c r="E15" s="241">
        <f>'4.10_транзит+сбыт_КТЭЦ'!E15+'4.10_транзит+сбыт_котельн.'!E15</f>
        <v>1504</v>
      </c>
      <c r="F15" s="241"/>
      <c r="G15" s="241">
        <v>2116.7138786667056</v>
      </c>
      <c r="H15" s="241">
        <v>0</v>
      </c>
      <c r="I15" s="241">
        <v>5019</v>
      </c>
      <c r="J15" s="241"/>
      <c r="K15" s="241">
        <v>5190</v>
      </c>
      <c r="L15" s="241">
        <v>5190</v>
      </c>
      <c r="M15" s="241">
        <v>5190</v>
      </c>
      <c r="N15" s="241">
        <v>5190</v>
      </c>
      <c r="O15" s="241">
        <v>5190</v>
      </c>
      <c r="P15" s="241">
        <v>5190</v>
      </c>
      <c r="Q15" s="241">
        <v>5190</v>
      </c>
    </row>
    <row r="16" spans="1:17" s="36" customFormat="1" ht="15" customHeight="1" outlineLevel="1">
      <c r="A16" s="60"/>
      <c r="B16" s="70" t="s">
        <v>495</v>
      </c>
      <c r="C16" s="13" t="s">
        <v>240</v>
      </c>
      <c r="D16" s="241"/>
      <c r="E16" s="241">
        <f>'4.10_транзит+сбыт_КТЭЦ'!E16+'4.10_транзит+сбыт_котельн.'!E16</f>
        <v>7255</v>
      </c>
      <c r="F16" s="241"/>
      <c r="G16" s="241">
        <v>7905</v>
      </c>
      <c r="H16" s="241">
        <v>0</v>
      </c>
      <c r="I16" s="241">
        <v>10203</v>
      </c>
      <c r="J16" s="241"/>
      <c r="K16" s="241">
        <v>39894</v>
      </c>
      <c r="L16" s="241">
        <v>41654</v>
      </c>
      <c r="M16" s="241">
        <v>41654</v>
      </c>
      <c r="N16" s="241">
        <v>41654</v>
      </c>
      <c r="O16" s="241">
        <v>42358</v>
      </c>
      <c r="P16" s="241">
        <v>42358</v>
      </c>
      <c r="Q16" s="241">
        <v>42358</v>
      </c>
    </row>
    <row r="17" spans="1:17" s="36" customFormat="1" ht="15" customHeight="1" outlineLevel="1">
      <c r="A17" s="60"/>
      <c r="B17" s="70" t="s">
        <v>496</v>
      </c>
      <c r="C17" s="13" t="s">
        <v>240</v>
      </c>
      <c r="D17" s="241"/>
      <c r="E17" s="241">
        <f>'4.10_транзит+сбыт_КТЭЦ'!E17+'4.10_транзит+сбыт_котельн.'!E17</f>
        <v>5304</v>
      </c>
      <c r="F17" s="241"/>
      <c r="G17" s="241">
        <v>5332.2663305419528</v>
      </c>
      <c r="H17" s="241">
        <v>0</v>
      </c>
      <c r="I17" s="241">
        <v>4466</v>
      </c>
      <c r="J17" s="241"/>
      <c r="K17" s="241">
        <v>6116</v>
      </c>
      <c r="L17" s="241">
        <v>6116</v>
      </c>
      <c r="M17" s="241">
        <v>6116</v>
      </c>
      <c r="N17" s="241">
        <v>6116</v>
      </c>
      <c r="O17" s="241">
        <v>7083</v>
      </c>
      <c r="P17" s="241">
        <v>7083</v>
      </c>
      <c r="Q17" s="241">
        <v>7083</v>
      </c>
    </row>
    <row r="18" spans="1:17" s="36" customFormat="1" ht="15" customHeight="1" outlineLevel="1">
      <c r="A18" s="60"/>
      <c r="B18" s="70" t="s">
        <v>497</v>
      </c>
      <c r="C18" s="13" t="s">
        <v>240</v>
      </c>
      <c r="D18" s="241"/>
      <c r="E18" s="241">
        <f>'4.10_транзит+сбыт_КТЭЦ'!E18+'4.10_транзит+сбыт_котельн.'!E18</f>
        <v>17</v>
      </c>
      <c r="F18" s="241"/>
      <c r="G18" s="241">
        <v>17</v>
      </c>
      <c r="H18" s="241">
        <v>0</v>
      </c>
      <c r="I18" s="241">
        <v>88</v>
      </c>
      <c r="J18" s="241"/>
      <c r="K18" s="241">
        <v>88</v>
      </c>
      <c r="L18" s="241">
        <v>88</v>
      </c>
      <c r="M18" s="241">
        <v>88</v>
      </c>
      <c r="N18" s="241">
        <v>88</v>
      </c>
      <c r="O18" s="241">
        <v>88</v>
      </c>
      <c r="P18" s="241">
        <v>88</v>
      </c>
      <c r="Q18" s="241">
        <v>88</v>
      </c>
    </row>
    <row r="19" spans="1:17" s="36" customFormat="1" ht="15" customHeight="1" outlineLevel="1">
      <c r="A19" s="60"/>
      <c r="B19" s="68" t="s">
        <v>498</v>
      </c>
      <c r="C19" s="13" t="s">
        <v>240</v>
      </c>
      <c r="D19" s="241"/>
      <c r="E19" s="241">
        <f>'4.10_транзит+сбыт_КТЭЦ'!E19+'4.10_транзит+сбыт_котельн.'!E19</f>
        <v>1320</v>
      </c>
      <c r="F19" s="241"/>
      <c r="G19" s="241">
        <v>1399.5960128654633</v>
      </c>
      <c r="H19" s="241">
        <v>0</v>
      </c>
      <c r="I19" s="241">
        <v>3222</v>
      </c>
      <c r="J19" s="241"/>
      <c r="K19" s="241">
        <v>3211</v>
      </c>
      <c r="L19" s="241">
        <v>3211</v>
      </c>
      <c r="M19" s="241">
        <v>3211</v>
      </c>
      <c r="N19" s="241">
        <v>3211</v>
      </c>
      <c r="O19" s="241">
        <v>3211</v>
      </c>
      <c r="P19" s="241">
        <v>3211</v>
      </c>
      <c r="Q19" s="241">
        <v>3211</v>
      </c>
    </row>
    <row r="20" spans="1:17" s="36" customFormat="1" ht="15" customHeight="1" outlineLevel="1">
      <c r="A20" s="60"/>
      <c r="B20" s="68" t="s">
        <v>499</v>
      </c>
      <c r="C20" s="13" t="s">
        <v>240</v>
      </c>
      <c r="D20" s="241"/>
      <c r="E20" s="241">
        <f>'4.10_транзит+сбыт_КТЭЦ'!E20+'4.10_транзит+сбыт_котельн.'!E20</f>
        <v>1002</v>
      </c>
      <c r="F20" s="241"/>
      <c r="G20" s="241">
        <v>1383.1503868331836</v>
      </c>
      <c r="H20" s="241">
        <v>0</v>
      </c>
      <c r="I20" s="241">
        <v>1585</v>
      </c>
      <c r="J20" s="241"/>
      <c r="K20" s="241">
        <v>23649</v>
      </c>
      <c r="L20" s="241">
        <v>1585</v>
      </c>
      <c r="M20" s="241">
        <v>1585</v>
      </c>
      <c r="N20" s="241">
        <v>1585</v>
      </c>
      <c r="O20" s="241">
        <v>1585</v>
      </c>
      <c r="P20" s="241">
        <v>1585</v>
      </c>
      <c r="Q20" s="241">
        <v>1585</v>
      </c>
    </row>
    <row r="21" spans="1:17" s="36" customFormat="1">
      <c r="A21" s="60"/>
      <c r="B21" s="68"/>
      <c r="C21" s="13"/>
      <c r="D21" s="241"/>
      <c r="E21" s="241"/>
      <c r="F21" s="241"/>
      <c r="G21" s="241"/>
      <c r="H21" s="241"/>
      <c r="I21" s="241"/>
      <c r="J21" s="241"/>
      <c r="K21" s="241"/>
      <c r="L21" s="241"/>
      <c r="M21" s="241"/>
      <c r="N21" s="241"/>
      <c r="O21" s="241"/>
      <c r="P21" s="241"/>
      <c r="Q21" s="241"/>
    </row>
    <row r="22" spans="1:17" s="1001" customFormat="1" ht="60" customHeight="1">
      <c r="A22" s="82" t="s">
        <v>23</v>
      </c>
      <c r="B22" s="80" t="s">
        <v>500</v>
      </c>
      <c r="C22" s="1002" t="s">
        <v>240</v>
      </c>
      <c r="D22" s="1000">
        <f>'4.10_транзит+сбыт_КТЭЦ'!D22+'4.10_транзит+сбыт_котельн.'!D22</f>
        <v>0</v>
      </c>
      <c r="E22" s="1000">
        <f>'4.10_транзит+сбыт_КТЭЦ'!E22+'4.10_транзит+сбыт_котельн.'!E22</f>
        <v>258867</v>
      </c>
      <c r="F22" s="1000">
        <f>'4.10_транзит+сбыт_КТЭЦ'!F22+'4.10_транзит+сбыт_котельн.'!F22</f>
        <v>0</v>
      </c>
      <c r="G22" s="1000">
        <v>0</v>
      </c>
      <c r="H22" s="1000">
        <v>0</v>
      </c>
      <c r="I22" s="1000">
        <v>0</v>
      </c>
      <c r="J22" s="1000">
        <v>0</v>
      </c>
      <c r="K22" s="1000">
        <v>0</v>
      </c>
      <c r="L22" s="1000">
        <v>0</v>
      </c>
      <c r="M22" s="1000">
        <v>0</v>
      </c>
      <c r="N22" s="1000">
        <v>0</v>
      </c>
      <c r="O22" s="1000">
        <v>0</v>
      </c>
      <c r="P22" s="1000">
        <v>0</v>
      </c>
      <c r="Q22" s="1000">
        <v>0</v>
      </c>
    </row>
    <row r="23" spans="1:17" s="36" customFormat="1" ht="15" customHeight="1" outlineLevel="1">
      <c r="A23" s="60"/>
      <c r="B23" s="68" t="s">
        <v>487</v>
      </c>
      <c r="C23" s="13" t="s">
        <v>240</v>
      </c>
      <c r="D23" s="241"/>
      <c r="E23" s="241">
        <f>'4.10_транзит+сбыт_КТЭЦ'!E23+'4.10_транзит+сбыт_котельн.'!E23</f>
        <v>258867</v>
      </c>
      <c r="F23" s="241"/>
      <c r="G23" s="241">
        <v>0</v>
      </c>
      <c r="H23" s="241">
        <v>0</v>
      </c>
      <c r="I23" s="241">
        <v>0</v>
      </c>
      <c r="J23" s="241"/>
      <c r="K23" s="241">
        <v>0</v>
      </c>
      <c r="L23" s="241">
        <v>0</v>
      </c>
      <c r="M23" s="241">
        <v>0</v>
      </c>
      <c r="N23" s="241">
        <v>0</v>
      </c>
      <c r="O23" s="241">
        <v>0</v>
      </c>
      <c r="P23" s="241">
        <v>0</v>
      </c>
      <c r="Q23" s="241">
        <v>0</v>
      </c>
    </row>
    <row r="24" spans="1:17" s="36" customFormat="1" ht="15" customHeight="1" outlineLevel="1">
      <c r="A24" s="60"/>
      <c r="B24" s="68" t="s">
        <v>488</v>
      </c>
      <c r="C24" s="13" t="s">
        <v>240</v>
      </c>
      <c r="D24" s="241"/>
      <c r="E24" s="241">
        <f>'4.10_транзит+сбыт_КТЭЦ'!E24+'4.10_транзит+сбыт_котельн.'!E24</f>
        <v>0</v>
      </c>
      <c r="F24" s="241"/>
      <c r="G24" s="241">
        <v>0</v>
      </c>
      <c r="H24" s="241">
        <v>0</v>
      </c>
      <c r="I24" s="241">
        <v>0</v>
      </c>
      <c r="J24" s="241"/>
      <c r="K24" s="241">
        <v>0</v>
      </c>
      <c r="L24" s="241">
        <v>0</v>
      </c>
      <c r="M24" s="241">
        <v>0</v>
      </c>
      <c r="N24" s="241">
        <v>0</v>
      </c>
      <c r="O24" s="241">
        <v>0</v>
      </c>
      <c r="P24" s="241">
        <v>0</v>
      </c>
      <c r="Q24" s="241">
        <v>0</v>
      </c>
    </row>
    <row r="25" spans="1:17" s="36" customFormat="1" ht="15" customHeight="1" outlineLevel="1">
      <c r="A25" s="60"/>
      <c r="B25" s="68" t="s">
        <v>489</v>
      </c>
      <c r="C25" s="13" t="s">
        <v>240</v>
      </c>
      <c r="D25" s="241"/>
      <c r="E25" s="241">
        <f>'4.10_транзит+сбыт_КТЭЦ'!E25+'4.10_транзит+сбыт_котельн.'!E25</f>
        <v>0</v>
      </c>
      <c r="F25" s="241"/>
      <c r="G25" s="241">
        <v>0</v>
      </c>
      <c r="H25" s="241">
        <v>0</v>
      </c>
      <c r="I25" s="241">
        <v>0</v>
      </c>
      <c r="J25" s="241"/>
      <c r="K25" s="241">
        <v>0</v>
      </c>
      <c r="L25" s="241">
        <v>0</v>
      </c>
      <c r="M25" s="241">
        <v>0</v>
      </c>
      <c r="N25" s="241">
        <v>0</v>
      </c>
      <c r="O25" s="241">
        <v>0</v>
      </c>
      <c r="P25" s="241">
        <v>0</v>
      </c>
      <c r="Q25" s="241">
        <v>0</v>
      </c>
    </row>
    <row r="26" spans="1:17" s="36" customFormat="1" ht="15" customHeight="1" outlineLevel="1">
      <c r="A26" s="60"/>
      <c r="B26" s="68" t="s">
        <v>490</v>
      </c>
      <c r="C26" s="13" t="s">
        <v>240</v>
      </c>
      <c r="D26" s="241"/>
      <c r="E26" s="241">
        <f>'4.10_транзит+сбыт_КТЭЦ'!E26+'4.10_транзит+сбыт_котельн.'!E26</f>
        <v>0</v>
      </c>
      <c r="F26" s="241"/>
      <c r="G26" s="241">
        <v>0</v>
      </c>
      <c r="H26" s="241">
        <v>0</v>
      </c>
      <c r="I26" s="241">
        <v>0</v>
      </c>
      <c r="J26" s="241"/>
      <c r="K26" s="241">
        <v>0</v>
      </c>
      <c r="L26" s="241">
        <v>0</v>
      </c>
      <c r="M26" s="241">
        <v>0</v>
      </c>
      <c r="N26" s="241">
        <v>0</v>
      </c>
      <c r="O26" s="241">
        <v>0</v>
      </c>
      <c r="P26" s="241">
        <v>0</v>
      </c>
      <c r="Q26" s="241">
        <v>0</v>
      </c>
    </row>
    <row r="27" spans="1:17" s="36" customFormat="1" ht="15" customHeight="1" outlineLevel="1">
      <c r="A27" s="60"/>
      <c r="B27" s="68" t="s">
        <v>491</v>
      </c>
      <c r="C27" s="13" t="s">
        <v>240</v>
      </c>
      <c r="D27" s="241"/>
      <c r="E27" s="241">
        <f>'4.10_транзит+сбыт_КТЭЦ'!E27+'4.10_транзит+сбыт_котельн.'!E27</f>
        <v>0</v>
      </c>
      <c r="F27" s="241"/>
      <c r="G27" s="241">
        <v>0</v>
      </c>
      <c r="H27" s="241">
        <v>0</v>
      </c>
      <c r="I27" s="241">
        <v>0</v>
      </c>
      <c r="J27" s="241"/>
      <c r="K27" s="241">
        <v>0</v>
      </c>
      <c r="L27" s="241">
        <v>0</v>
      </c>
      <c r="M27" s="241">
        <v>0</v>
      </c>
      <c r="N27" s="241">
        <v>0</v>
      </c>
      <c r="O27" s="241">
        <v>0</v>
      </c>
      <c r="P27" s="241">
        <v>0</v>
      </c>
      <c r="Q27" s="241">
        <v>0</v>
      </c>
    </row>
    <row r="28" spans="1:17" s="36" customFormat="1" ht="15" customHeight="1" outlineLevel="1">
      <c r="A28" s="60"/>
      <c r="B28" s="70" t="s">
        <v>492</v>
      </c>
      <c r="C28" s="13" t="s">
        <v>240</v>
      </c>
      <c r="D28" s="241"/>
      <c r="E28" s="241">
        <f>'4.10_транзит+сбыт_КТЭЦ'!E28+'4.10_транзит+сбыт_котельн.'!E28</f>
        <v>0</v>
      </c>
      <c r="F28" s="241"/>
      <c r="G28" s="241">
        <v>0</v>
      </c>
      <c r="H28" s="241">
        <v>0</v>
      </c>
      <c r="I28" s="241">
        <v>0</v>
      </c>
      <c r="J28" s="241"/>
      <c r="K28" s="241">
        <v>0</v>
      </c>
      <c r="L28" s="241">
        <v>0</v>
      </c>
      <c r="M28" s="241">
        <v>0</v>
      </c>
      <c r="N28" s="241">
        <v>0</v>
      </c>
      <c r="O28" s="241">
        <v>0</v>
      </c>
      <c r="P28" s="241">
        <v>0</v>
      </c>
      <c r="Q28" s="241">
        <v>0</v>
      </c>
    </row>
    <row r="29" spans="1:17" s="36" customFormat="1" ht="15" customHeight="1" outlineLevel="1">
      <c r="A29" s="60"/>
      <c r="B29" s="70" t="s">
        <v>493</v>
      </c>
      <c r="C29" s="13" t="s">
        <v>240</v>
      </c>
      <c r="D29" s="241"/>
      <c r="E29" s="241">
        <f>'4.10_транзит+сбыт_КТЭЦ'!E29+'4.10_транзит+сбыт_котельн.'!E29</f>
        <v>0</v>
      </c>
      <c r="F29" s="241"/>
      <c r="G29" s="241">
        <v>0</v>
      </c>
      <c r="H29" s="241">
        <v>0</v>
      </c>
      <c r="I29" s="241">
        <v>0</v>
      </c>
      <c r="J29" s="241"/>
      <c r="K29" s="241">
        <v>0</v>
      </c>
      <c r="L29" s="241">
        <v>0</v>
      </c>
      <c r="M29" s="241">
        <v>0</v>
      </c>
      <c r="N29" s="241">
        <v>0</v>
      </c>
      <c r="O29" s="241">
        <v>0</v>
      </c>
      <c r="P29" s="241">
        <v>0</v>
      </c>
      <c r="Q29" s="241">
        <v>0</v>
      </c>
    </row>
    <row r="30" spans="1:17" s="36" customFormat="1" ht="15" customHeight="1" outlineLevel="1">
      <c r="A30" s="60"/>
      <c r="B30" s="70" t="s">
        <v>494</v>
      </c>
      <c r="C30" s="13" t="s">
        <v>240</v>
      </c>
      <c r="D30" s="241"/>
      <c r="E30" s="241">
        <f>'4.10_транзит+сбыт_КТЭЦ'!E30+'4.10_транзит+сбыт_котельн.'!E30</f>
        <v>0</v>
      </c>
      <c r="F30" s="241"/>
      <c r="G30" s="241">
        <v>0</v>
      </c>
      <c r="H30" s="241">
        <v>0</v>
      </c>
      <c r="I30" s="241">
        <v>0</v>
      </c>
      <c r="J30" s="241"/>
      <c r="K30" s="241">
        <v>0</v>
      </c>
      <c r="L30" s="241">
        <v>0</v>
      </c>
      <c r="M30" s="241">
        <v>0</v>
      </c>
      <c r="N30" s="241">
        <v>0</v>
      </c>
      <c r="O30" s="241">
        <v>0</v>
      </c>
      <c r="P30" s="241">
        <v>0</v>
      </c>
      <c r="Q30" s="241">
        <v>0</v>
      </c>
    </row>
    <row r="31" spans="1:17" s="36" customFormat="1" ht="15" customHeight="1" outlineLevel="1">
      <c r="A31" s="60"/>
      <c r="B31" s="70" t="s">
        <v>495</v>
      </c>
      <c r="C31" s="13" t="s">
        <v>240</v>
      </c>
      <c r="D31" s="241"/>
      <c r="E31" s="241">
        <f>'4.10_транзит+сбыт_КТЭЦ'!E31+'4.10_транзит+сбыт_котельн.'!E31</f>
        <v>0</v>
      </c>
      <c r="F31" s="241"/>
      <c r="G31" s="241">
        <v>0</v>
      </c>
      <c r="H31" s="241">
        <v>0</v>
      </c>
      <c r="I31" s="241">
        <v>0</v>
      </c>
      <c r="J31" s="241"/>
      <c r="K31" s="241">
        <v>0</v>
      </c>
      <c r="L31" s="241">
        <v>0</v>
      </c>
      <c r="M31" s="241">
        <v>0</v>
      </c>
      <c r="N31" s="241">
        <v>0</v>
      </c>
      <c r="O31" s="241">
        <v>0</v>
      </c>
      <c r="P31" s="241">
        <v>0</v>
      </c>
      <c r="Q31" s="241">
        <v>0</v>
      </c>
    </row>
    <row r="32" spans="1:17" s="36" customFormat="1" ht="15" customHeight="1" outlineLevel="1">
      <c r="A32" s="60"/>
      <c r="B32" s="70" t="s">
        <v>496</v>
      </c>
      <c r="C32" s="13" t="s">
        <v>240</v>
      </c>
      <c r="D32" s="241"/>
      <c r="E32" s="241">
        <f>'4.10_транзит+сбыт_КТЭЦ'!E32+'4.10_транзит+сбыт_котельн.'!E32</f>
        <v>0</v>
      </c>
      <c r="F32" s="241"/>
      <c r="G32" s="241">
        <v>0</v>
      </c>
      <c r="H32" s="241">
        <v>0</v>
      </c>
      <c r="I32" s="241">
        <v>0</v>
      </c>
      <c r="J32" s="241"/>
      <c r="K32" s="241">
        <v>0</v>
      </c>
      <c r="L32" s="241">
        <v>0</v>
      </c>
      <c r="M32" s="241">
        <v>0</v>
      </c>
      <c r="N32" s="241">
        <v>0</v>
      </c>
      <c r="O32" s="241">
        <v>0</v>
      </c>
      <c r="P32" s="241">
        <v>0</v>
      </c>
      <c r="Q32" s="241">
        <v>0</v>
      </c>
    </row>
    <row r="33" spans="1:17" s="36" customFormat="1" ht="15" customHeight="1" outlineLevel="1">
      <c r="A33" s="60"/>
      <c r="B33" s="70" t="s">
        <v>497</v>
      </c>
      <c r="C33" s="13" t="s">
        <v>240</v>
      </c>
      <c r="D33" s="241"/>
      <c r="E33" s="241">
        <f>'4.10_транзит+сбыт_КТЭЦ'!E33+'4.10_транзит+сбыт_котельн.'!E33</f>
        <v>0</v>
      </c>
      <c r="F33" s="241"/>
      <c r="G33" s="241">
        <v>0</v>
      </c>
      <c r="H33" s="241">
        <v>0</v>
      </c>
      <c r="I33" s="241">
        <v>0</v>
      </c>
      <c r="J33" s="241"/>
      <c r="K33" s="241">
        <v>0</v>
      </c>
      <c r="L33" s="241">
        <v>0</v>
      </c>
      <c r="M33" s="241">
        <v>0</v>
      </c>
      <c r="N33" s="241">
        <v>0</v>
      </c>
      <c r="O33" s="241">
        <v>0</v>
      </c>
      <c r="P33" s="241">
        <v>0</v>
      </c>
      <c r="Q33" s="241">
        <v>0</v>
      </c>
    </row>
    <row r="34" spans="1:17" s="36" customFormat="1" ht="15" customHeight="1" outlineLevel="1">
      <c r="A34" s="60"/>
      <c r="B34" s="68" t="s">
        <v>498</v>
      </c>
      <c r="C34" s="13" t="s">
        <v>240</v>
      </c>
      <c r="D34" s="241"/>
      <c r="E34" s="241">
        <f>'4.10_транзит+сбыт_КТЭЦ'!E34+'4.10_транзит+сбыт_котельн.'!E34</f>
        <v>0</v>
      </c>
      <c r="F34" s="241"/>
      <c r="G34" s="241">
        <v>0</v>
      </c>
      <c r="H34" s="241">
        <v>0</v>
      </c>
      <c r="I34" s="241">
        <v>0</v>
      </c>
      <c r="J34" s="241"/>
      <c r="K34" s="241">
        <v>0</v>
      </c>
      <c r="L34" s="241">
        <v>0</v>
      </c>
      <c r="M34" s="241">
        <v>0</v>
      </c>
      <c r="N34" s="241">
        <v>0</v>
      </c>
      <c r="O34" s="241">
        <v>0</v>
      </c>
      <c r="P34" s="241">
        <v>0</v>
      </c>
      <c r="Q34" s="241">
        <v>0</v>
      </c>
    </row>
    <row r="35" spans="1:17" s="36" customFormat="1" ht="15" customHeight="1" outlineLevel="1">
      <c r="A35" s="60"/>
      <c r="B35" s="68" t="s">
        <v>499</v>
      </c>
      <c r="C35" s="13" t="s">
        <v>240</v>
      </c>
      <c r="D35" s="241"/>
      <c r="E35" s="241">
        <f>'4.10_транзит+сбыт_КТЭЦ'!E35+'4.10_транзит+сбыт_котельн.'!E35</f>
        <v>0</v>
      </c>
      <c r="F35" s="241"/>
      <c r="G35" s="241">
        <v>0</v>
      </c>
      <c r="H35" s="241">
        <v>0</v>
      </c>
      <c r="I35" s="241">
        <v>0</v>
      </c>
      <c r="J35" s="241"/>
      <c r="K35" s="241">
        <v>0</v>
      </c>
      <c r="L35" s="241">
        <v>0</v>
      </c>
      <c r="M35" s="241">
        <v>0</v>
      </c>
      <c r="N35" s="241">
        <v>0</v>
      </c>
      <c r="O35" s="241">
        <v>0</v>
      </c>
      <c r="P35" s="241">
        <v>0</v>
      </c>
      <c r="Q35" s="241">
        <v>0</v>
      </c>
    </row>
    <row r="36" spans="1:17" s="36" customFormat="1">
      <c r="A36" s="60"/>
      <c r="B36" s="68"/>
      <c r="C36" s="13"/>
      <c r="D36" s="241"/>
      <c r="E36" s="241"/>
      <c r="F36" s="241"/>
      <c r="G36" s="241"/>
      <c r="H36" s="241"/>
      <c r="I36" s="241"/>
      <c r="J36" s="241"/>
      <c r="K36" s="241"/>
      <c r="L36" s="241"/>
      <c r="M36" s="241"/>
      <c r="N36" s="241"/>
      <c r="O36" s="241"/>
      <c r="P36" s="241"/>
      <c r="Q36" s="241"/>
    </row>
    <row r="37" spans="1:17" s="1001" customFormat="1" ht="28.5">
      <c r="A37" s="82" t="s">
        <v>27</v>
      </c>
      <c r="B37" s="80" t="s">
        <v>501</v>
      </c>
      <c r="C37" s="1002" t="s">
        <v>240</v>
      </c>
      <c r="D37" s="1000">
        <f>'4.10_транзит+сбыт_КТЭЦ'!D37+'4.10_транзит+сбыт_котельн.'!D37</f>
        <v>28585</v>
      </c>
      <c r="E37" s="1000">
        <f>'4.10_транзит+сбыт_КТЭЦ'!E37+'4.10_транзит+сбыт_котельн.'!E37</f>
        <v>1490</v>
      </c>
      <c r="F37" s="1000">
        <f>'4.10_транзит+сбыт_КТЭЦ'!F37+'4.10_транзит+сбыт_котельн.'!F37</f>
        <v>0</v>
      </c>
      <c r="G37" s="1000">
        <v>5336</v>
      </c>
      <c r="H37" s="1000">
        <v>0</v>
      </c>
      <c r="I37" s="1000">
        <v>81614</v>
      </c>
      <c r="J37" s="1000">
        <v>247205.54011242682</v>
      </c>
      <c r="K37" s="1000">
        <v>242560</v>
      </c>
      <c r="L37" s="1000">
        <v>22790</v>
      </c>
      <c r="M37" s="1000">
        <v>0</v>
      </c>
      <c r="N37" s="1000">
        <v>22790</v>
      </c>
      <c r="O37" s="1000">
        <v>143151</v>
      </c>
      <c r="P37" s="1000">
        <v>0</v>
      </c>
      <c r="Q37" s="1000">
        <v>143151</v>
      </c>
    </row>
    <row r="38" spans="1:17" s="36" customFormat="1" ht="15" customHeight="1" outlineLevel="2">
      <c r="A38" s="60"/>
      <c r="B38" s="68" t="s">
        <v>487</v>
      </c>
      <c r="C38" s="13" t="s">
        <v>240</v>
      </c>
      <c r="D38" s="241"/>
      <c r="E38" s="241">
        <f>'4.10_транзит+сбыт_КТЭЦ'!E38+'4.10_транзит+сбыт_котельн.'!E38</f>
        <v>0</v>
      </c>
      <c r="F38" s="241"/>
      <c r="G38" s="241">
        <v>0</v>
      </c>
      <c r="H38" s="241">
        <v>0</v>
      </c>
      <c r="I38" s="241">
        <v>4646</v>
      </c>
      <c r="J38" s="241"/>
      <c r="K38" s="241">
        <v>0</v>
      </c>
      <c r="L38" s="241">
        <v>0</v>
      </c>
      <c r="M38" s="241">
        <v>0</v>
      </c>
      <c r="N38" s="241">
        <v>0</v>
      </c>
      <c r="O38" s="241">
        <v>0</v>
      </c>
      <c r="P38" s="241">
        <v>0</v>
      </c>
      <c r="Q38" s="241">
        <v>0</v>
      </c>
    </row>
    <row r="39" spans="1:17" s="36" customFormat="1" ht="15" customHeight="1" outlineLevel="2">
      <c r="A39" s="60"/>
      <c r="B39" s="68" t="s">
        <v>488</v>
      </c>
      <c r="C39" s="13" t="s">
        <v>240</v>
      </c>
      <c r="D39" s="241"/>
      <c r="E39" s="241">
        <f>'4.10_транзит+сбыт_КТЭЦ'!E39+'4.10_транзит+сбыт_котельн.'!E39</f>
        <v>0</v>
      </c>
      <c r="F39" s="241"/>
      <c r="G39" s="241">
        <v>0</v>
      </c>
      <c r="H39" s="241">
        <v>0</v>
      </c>
      <c r="I39" s="241">
        <v>8680</v>
      </c>
      <c r="J39" s="241"/>
      <c r="K39" s="241">
        <v>226244</v>
      </c>
      <c r="L39" s="241">
        <v>20491</v>
      </c>
      <c r="M39" s="241">
        <v>0</v>
      </c>
      <c r="N39" s="241">
        <v>20491</v>
      </c>
      <c r="O39" s="241">
        <v>140864</v>
      </c>
      <c r="P39" s="241">
        <v>0</v>
      </c>
      <c r="Q39" s="241">
        <v>140864</v>
      </c>
    </row>
    <row r="40" spans="1:17" s="36" customFormat="1" ht="15" customHeight="1" outlineLevel="2">
      <c r="A40" s="60"/>
      <c r="B40" s="68" t="s">
        <v>489</v>
      </c>
      <c r="C40" s="13" t="s">
        <v>240</v>
      </c>
      <c r="D40" s="241"/>
      <c r="E40" s="241">
        <f>'4.10_транзит+сбыт_КТЭЦ'!E40+'4.10_транзит+сбыт_котельн.'!E40</f>
        <v>0</v>
      </c>
      <c r="F40" s="241"/>
      <c r="G40" s="241">
        <v>0</v>
      </c>
      <c r="H40" s="241">
        <v>0</v>
      </c>
      <c r="I40" s="241">
        <v>5459</v>
      </c>
      <c r="J40" s="241"/>
      <c r="K40" s="241">
        <v>14556</v>
      </c>
      <c r="L40" s="241">
        <v>628</v>
      </c>
      <c r="M40" s="241">
        <v>0</v>
      </c>
      <c r="N40" s="241">
        <v>628</v>
      </c>
      <c r="O40" s="241">
        <v>637</v>
      </c>
      <c r="P40" s="241">
        <v>0</v>
      </c>
      <c r="Q40" s="241">
        <v>637</v>
      </c>
    </row>
    <row r="41" spans="1:17" s="36" customFormat="1" ht="15" customHeight="1" outlineLevel="2">
      <c r="A41" s="60"/>
      <c r="B41" s="68" t="s">
        <v>490</v>
      </c>
      <c r="C41" s="13" t="s">
        <v>240</v>
      </c>
      <c r="D41" s="241"/>
      <c r="E41" s="241">
        <f>'4.10_транзит+сбыт_КТЭЦ'!E41+'4.10_транзит+сбыт_котельн.'!E41</f>
        <v>998</v>
      </c>
      <c r="F41" s="241"/>
      <c r="G41" s="241">
        <v>5071</v>
      </c>
      <c r="H41" s="241">
        <v>0</v>
      </c>
      <c r="I41" s="241">
        <v>33599</v>
      </c>
      <c r="J41" s="241"/>
      <c r="K41" s="241">
        <v>1760</v>
      </c>
      <c r="L41" s="241">
        <v>704</v>
      </c>
      <c r="M41" s="241">
        <v>0</v>
      </c>
      <c r="N41" s="241">
        <v>704</v>
      </c>
      <c r="O41" s="241">
        <v>1650</v>
      </c>
      <c r="P41" s="241">
        <v>0</v>
      </c>
      <c r="Q41" s="241">
        <v>1650</v>
      </c>
    </row>
    <row r="42" spans="1:17" s="36" customFormat="1" ht="15" customHeight="1" outlineLevel="2">
      <c r="A42" s="60"/>
      <c r="B42" s="68" t="s">
        <v>491</v>
      </c>
      <c r="C42" s="13" t="s">
        <v>240</v>
      </c>
      <c r="D42" s="241"/>
      <c r="E42" s="241">
        <f>'4.10_транзит+сбыт_КТЭЦ'!E42+'4.10_транзит+сбыт_котельн.'!E42</f>
        <v>26</v>
      </c>
      <c r="F42" s="241"/>
      <c r="G42" s="241">
        <v>0</v>
      </c>
      <c r="H42" s="241">
        <v>0</v>
      </c>
      <c r="I42" s="241">
        <v>0</v>
      </c>
      <c r="J42" s="241"/>
      <c r="K42" s="241">
        <v>0</v>
      </c>
      <c r="L42" s="241">
        <v>0</v>
      </c>
      <c r="M42" s="241">
        <v>0</v>
      </c>
      <c r="N42" s="241">
        <v>0</v>
      </c>
      <c r="O42" s="241">
        <v>0</v>
      </c>
      <c r="P42" s="241">
        <v>0</v>
      </c>
      <c r="Q42" s="241">
        <v>0</v>
      </c>
    </row>
    <row r="43" spans="1:17" s="36" customFormat="1" ht="15" customHeight="1" outlineLevel="2">
      <c r="A43" s="60"/>
      <c r="B43" s="70" t="s">
        <v>492</v>
      </c>
      <c r="C43" s="13" t="s">
        <v>240</v>
      </c>
      <c r="D43" s="241"/>
      <c r="E43" s="241">
        <f>'4.10_транзит+сбыт_КТЭЦ'!E43+'4.10_транзит+сбыт_котельн.'!E43</f>
        <v>76</v>
      </c>
      <c r="F43" s="241"/>
      <c r="G43" s="241">
        <v>3873</v>
      </c>
      <c r="H43" s="241">
        <v>0</v>
      </c>
      <c r="I43" s="241">
        <v>3553</v>
      </c>
      <c r="J43" s="241"/>
      <c r="K43" s="241">
        <v>0</v>
      </c>
      <c r="L43" s="241">
        <v>0</v>
      </c>
      <c r="M43" s="241">
        <v>0</v>
      </c>
      <c r="N43" s="241">
        <v>0</v>
      </c>
      <c r="O43" s="241">
        <v>0</v>
      </c>
      <c r="P43" s="241">
        <v>0</v>
      </c>
      <c r="Q43" s="241">
        <v>0</v>
      </c>
    </row>
    <row r="44" spans="1:17" s="36" customFormat="1" ht="15" customHeight="1" outlineLevel="2">
      <c r="A44" s="60"/>
      <c r="B44" s="70" t="s">
        <v>493</v>
      </c>
      <c r="C44" s="13" t="s">
        <v>240</v>
      </c>
      <c r="D44" s="241"/>
      <c r="E44" s="241">
        <f>'4.10_транзит+сбыт_КТЭЦ'!E44+'4.10_транзит+сбыт_котельн.'!E44</f>
        <v>183</v>
      </c>
      <c r="F44" s="241"/>
      <c r="G44" s="241">
        <v>526</v>
      </c>
      <c r="H44" s="241">
        <v>0</v>
      </c>
      <c r="I44" s="241">
        <v>97</v>
      </c>
      <c r="J44" s="241"/>
      <c r="K44" s="241">
        <v>0</v>
      </c>
      <c r="L44" s="241">
        <v>0</v>
      </c>
      <c r="M44" s="241">
        <v>0</v>
      </c>
      <c r="N44" s="241">
        <v>0</v>
      </c>
      <c r="O44" s="241">
        <v>0</v>
      </c>
      <c r="P44" s="241">
        <v>0</v>
      </c>
      <c r="Q44" s="241">
        <v>0</v>
      </c>
    </row>
    <row r="45" spans="1:17" s="36" customFormat="1" ht="15" customHeight="1" outlineLevel="2">
      <c r="A45" s="60"/>
      <c r="B45" s="70" t="s">
        <v>494</v>
      </c>
      <c r="C45" s="13" t="s">
        <v>240</v>
      </c>
      <c r="D45" s="241"/>
      <c r="E45" s="241">
        <f>'4.10_транзит+сбыт_КТЭЦ'!E45+'4.10_транзит+сбыт_котельн.'!E45</f>
        <v>307</v>
      </c>
      <c r="F45" s="241"/>
      <c r="G45" s="241">
        <v>160</v>
      </c>
      <c r="H45" s="241">
        <v>0</v>
      </c>
      <c r="I45" s="241">
        <v>231</v>
      </c>
      <c r="J45" s="241"/>
      <c r="K45" s="241">
        <v>0</v>
      </c>
      <c r="L45" s="241">
        <v>0</v>
      </c>
      <c r="M45" s="241">
        <v>0</v>
      </c>
      <c r="N45" s="241">
        <v>0</v>
      </c>
      <c r="O45" s="241">
        <v>0</v>
      </c>
      <c r="P45" s="241">
        <v>0</v>
      </c>
      <c r="Q45" s="241">
        <v>0</v>
      </c>
    </row>
    <row r="46" spans="1:17" s="36" customFormat="1" ht="15" customHeight="1" outlineLevel="2">
      <c r="A46" s="60"/>
      <c r="B46" s="70" t="s">
        <v>495</v>
      </c>
      <c r="C46" s="13" t="s">
        <v>240</v>
      </c>
      <c r="D46" s="241"/>
      <c r="E46" s="241">
        <f>'4.10_транзит+сбыт_КТЭЦ'!E46+'4.10_транзит+сбыт_котельн.'!E46</f>
        <v>406</v>
      </c>
      <c r="F46" s="241"/>
      <c r="G46" s="241">
        <v>512</v>
      </c>
      <c r="H46" s="241">
        <v>0</v>
      </c>
      <c r="I46" s="241">
        <v>29718</v>
      </c>
      <c r="J46" s="241"/>
      <c r="K46" s="241">
        <v>1760</v>
      </c>
      <c r="L46" s="241">
        <v>704</v>
      </c>
      <c r="M46" s="241">
        <v>0</v>
      </c>
      <c r="N46" s="241">
        <v>704</v>
      </c>
      <c r="O46" s="241">
        <v>1650</v>
      </c>
      <c r="P46" s="241">
        <v>0</v>
      </c>
      <c r="Q46" s="241">
        <v>1650</v>
      </c>
    </row>
    <row r="47" spans="1:17" s="36" customFormat="1" ht="15" customHeight="1" outlineLevel="2">
      <c r="A47" s="60"/>
      <c r="B47" s="70" t="s">
        <v>496</v>
      </c>
      <c r="C47" s="13" t="s">
        <v>240</v>
      </c>
      <c r="D47" s="241"/>
      <c r="E47" s="241">
        <f>'4.10_транзит+сбыт_КТЭЦ'!E47+'4.10_транзит+сбыт_котельн.'!E47</f>
        <v>20</v>
      </c>
      <c r="F47" s="241"/>
      <c r="G47" s="241">
        <v>0</v>
      </c>
      <c r="H47" s="241">
        <v>0</v>
      </c>
      <c r="I47" s="241">
        <v>1650</v>
      </c>
      <c r="J47" s="241"/>
      <c r="K47" s="241">
        <v>0</v>
      </c>
      <c r="L47" s="241">
        <v>967</v>
      </c>
      <c r="M47" s="241">
        <v>0</v>
      </c>
      <c r="N47" s="241">
        <v>967</v>
      </c>
      <c r="O47" s="241">
        <v>0</v>
      </c>
      <c r="P47" s="241">
        <v>0</v>
      </c>
      <c r="Q47" s="241">
        <v>0</v>
      </c>
    </row>
    <row r="48" spans="1:17" s="36" customFormat="1" ht="15" customHeight="1" outlineLevel="2">
      <c r="A48" s="60"/>
      <c r="B48" s="70" t="s">
        <v>497</v>
      </c>
      <c r="C48" s="13" t="s">
        <v>240</v>
      </c>
      <c r="D48" s="241"/>
      <c r="E48" s="241">
        <f>'4.10_транзит+сбыт_КТЭЦ'!E48+'4.10_транзит+сбыт_котельн.'!E48</f>
        <v>0</v>
      </c>
      <c r="F48" s="241"/>
      <c r="G48" s="241">
        <v>71</v>
      </c>
      <c r="H48" s="241">
        <v>0</v>
      </c>
      <c r="I48" s="241">
        <v>0</v>
      </c>
      <c r="J48" s="241"/>
      <c r="K48" s="241">
        <v>0</v>
      </c>
      <c r="L48" s="241">
        <v>0</v>
      </c>
      <c r="M48" s="241">
        <v>0</v>
      </c>
      <c r="N48" s="241">
        <v>0</v>
      </c>
      <c r="O48" s="241">
        <v>0</v>
      </c>
      <c r="P48" s="241">
        <v>0</v>
      </c>
      <c r="Q48" s="241">
        <v>0</v>
      </c>
    </row>
    <row r="49" spans="1:17" s="36" customFormat="1" ht="15" customHeight="1" outlineLevel="2">
      <c r="A49" s="60"/>
      <c r="B49" s="68" t="s">
        <v>498</v>
      </c>
      <c r="C49" s="13" t="s">
        <v>240</v>
      </c>
      <c r="D49" s="241"/>
      <c r="E49" s="241">
        <f>'4.10_транзит+сбыт_КТЭЦ'!E49+'4.10_транзит+сбыт_котельн.'!E49</f>
        <v>133</v>
      </c>
      <c r="F49" s="241"/>
      <c r="G49" s="241">
        <v>75</v>
      </c>
      <c r="H49" s="241">
        <v>0</v>
      </c>
      <c r="I49" s="241">
        <v>0</v>
      </c>
      <c r="J49" s="241"/>
      <c r="K49" s="241">
        <v>0</v>
      </c>
      <c r="L49" s="241">
        <v>0</v>
      </c>
      <c r="M49" s="241">
        <v>0</v>
      </c>
      <c r="N49" s="241">
        <v>0</v>
      </c>
      <c r="O49" s="241">
        <v>0</v>
      </c>
      <c r="P49" s="241">
        <v>0</v>
      </c>
      <c r="Q49" s="241">
        <v>0</v>
      </c>
    </row>
    <row r="50" spans="1:17" s="36" customFormat="1" ht="15" customHeight="1" outlineLevel="2">
      <c r="A50" s="60"/>
      <c r="B50" s="68" t="s">
        <v>499</v>
      </c>
      <c r="C50" s="13" t="s">
        <v>240</v>
      </c>
      <c r="D50" s="241"/>
      <c r="E50" s="241">
        <f>'4.10_транзит+сбыт_КТЭЦ'!E50+'4.10_транзит+сбыт_котельн.'!E50</f>
        <v>339</v>
      </c>
      <c r="F50" s="241"/>
      <c r="G50" s="241">
        <v>119</v>
      </c>
      <c r="H50" s="241">
        <v>0</v>
      </c>
      <c r="I50" s="241">
        <v>27580</v>
      </c>
      <c r="J50" s="241"/>
      <c r="K50" s="241">
        <v>0</v>
      </c>
      <c r="L50" s="241">
        <v>0</v>
      </c>
      <c r="M50" s="241">
        <v>0</v>
      </c>
      <c r="N50" s="241">
        <v>0</v>
      </c>
      <c r="O50" s="241">
        <v>0</v>
      </c>
      <c r="P50" s="241">
        <v>0</v>
      </c>
      <c r="Q50" s="241">
        <v>0</v>
      </c>
    </row>
    <row r="51" spans="1:17" s="36" customFormat="1">
      <c r="A51" s="60"/>
      <c r="B51" s="68"/>
      <c r="C51" s="13"/>
      <c r="D51" s="241"/>
      <c r="E51" s="241"/>
      <c r="F51" s="241"/>
      <c r="G51" s="241"/>
      <c r="H51" s="241"/>
      <c r="I51" s="241"/>
      <c r="J51" s="241"/>
      <c r="K51" s="241"/>
      <c r="L51" s="241"/>
      <c r="M51" s="241"/>
      <c r="N51" s="241"/>
      <c r="O51" s="241"/>
      <c r="P51" s="241"/>
      <c r="Q51" s="241"/>
    </row>
    <row r="52" spans="1:17" s="1001" customFormat="1" ht="15" customHeight="1">
      <c r="A52" s="82" t="s">
        <v>30</v>
      </c>
      <c r="B52" s="80" t="s">
        <v>502</v>
      </c>
      <c r="C52" s="999" t="s">
        <v>240</v>
      </c>
      <c r="D52" s="1000">
        <f>'4.10_транзит+сбыт_КТЭЦ'!D52+'4.10_транзит+сбыт_котельн.'!D52</f>
        <v>0</v>
      </c>
      <c r="E52" s="1000">
        <f>'4.10_транзит+сбыт_КТЭЦ'!E52+'4.10_транзит+сбыт_котельн.'!E52</f>
        <v>528</v>
      </c>
      <c r="F52" s="1000">
        <f>'4.10_транзит+сбыт_КТЭЦ'!F52+'4.10_транзит+сбыт_котельн.'!F52</f>
        <v>0</v>
      </c>
      <c r="G52" s="1000">
        <v>20044.230850093172</v>
      </c>
      <c r="H52" s="1000">
        <v>0</v>
      </c>
      <c r="I52" s="1000">
        <v>14326</v>
      </c>
      <c r="J52" s="1000">
        <v>0</v>
      </c>
      <c r="K52" s="1000">
        <v>22064</v>
      </c>
      <c r="L52" s="1000">
        <v>0</v>
      </c>
      <c r="M52" s="1000">
        <v>0</v>
      </c>
      <c r="N52" s="1000">
        <v>0</v>
      </c>
      <c r="O52" s="1000">
        <v>0</v>
      </c>
      <c r="P52" s="1000">
        <v>0</v>
      </c>
      <c r="Q52" s="1000">
        <v>0</v>
      </c>
    </row>
    <row r="53" spans="1:17" s="36" customFormat="1" ht="15" customHeight="1" outlineLevel="1">
      <c r="A53" s="60"/>
      <c r="B53" s="68" t="s">
        <v>487</v>
      </c>
      <c r="C53" s="13" t="s">
        <v>240</v>
      </c>
      <c r="D53" s="241"/>
      <c r="E53" s="241">
        <f>'4.10_транзит+сбыт_КТЭЦ'!E53+'4.10_транзит+сбыт_котельн.'!E53</f>
        <v>0</v>
      </c>
      <c r="F53" s="241"/>
      <c r="G53" s="241">
        <v>18056</v>
      </c>
      <c r="H53" s="241">
        <v>0</v>
      </c>
      <c r="I53" s="241">
        <v>8712</v>
      </c>
      <c r="J53" s="241"/>
      <c r="K53" s="241">
        <v>0</v>
      </c>
      <c r="L53" s="241">
        <v>0</v>
      </c>
      <c r="M53" s="241">
        <v>0</v>
      </c>
      <c r="N53" s="241">
        <v>0</v>
      </c>
      <c r="O53" s="241">
        <v>0</v>
      </c>
      <c r="P53" s="241">
        <v>0</v>
      </c>
      <c r="Q53" s="241">
        <v>0</v>
      </c>
    </row>
    <row r="54" spans="1:17" s="36" customFormat="1" ht="15" customHeight="1" outlineLevel="1">
      <c r="A54" s="60"/>
      <c r="B54" s="68" t="s">
        <v>488</v>
      </c>
      <c r="C54" s="13" t="s">
        <v>240</v>
      </c>
      <c r="D54" s="241"/>
      <c r="E54" s="241">
        <f>'4.10_транзит+сбыт_КТЭЦ'!E54+'4.10_транзит+сбыт_котельн.'!E54</f>
        <v>33</v>
      </c>
      <c r="F54" s="241"/>
      <c r="G54" s="241">
        <v>29.400598380456433</v>
      </c>
      <c r="H54" s="241">
        <v>0</v>
      </c>
      <c r="I54" s="241">
        <v>0</v>
      </c>
      <c r="J54" s="241"/>
      <c r="K54" s="241">
        <v>0</v>
      </c>
      <c r="L54" s="241">
        <v>0</v>
      </c>
      <c r="M54" s="241">
        <v>0</v>
      </c>
      <c r="N54" s="241">
        <v>0</v>
      </c>
      <c r="O54" s="241">
        <v>0</v>
      </c>
      <c r="P54" s="241">
        <v>0</v>
      </c>
      <c r="Q54" s="241">
        <v>0</v>
      </c>
    </row>
    <row r="55" spans="1:17" s="36" customFormat="1" ht="15" customHeight="1" outlineLevel="1">
      <c r="A55" s="60"/>
      <c r="B55" s="68" t="s">
        <v>489</v>
      </c>
      <c r="C55" s="13" t="s">
        <v>240</v>
      </c>
      <c r="D55" s="241"/>
      <c r="E55" s="241">
        <f>'4.10_транзит+сбыт_КТЭЦ'!E55+'4.10_транзит+сбыт_котельн.'!E55</f>
        <v>0</v>
      </c>
      <c r="F55" s="241"/>
      <c r="G55" s="241">
        <v>0</v>
      </c>
      <c r="H55" s="241">
        <v>0</v>
      </c>
      <c r="I55" s="241">
        <v>0</v>
      </c>
      <c r="J55" s="241"/>
      <c r="K55" s="241">
        <v>0</v>
      </c>
      <c r="L55" s="241">
        <v>0</v>
      </c>
      <c r="M55" s="241">
        <v>0</v>
      </c>
      <c r="N55" s="241">
        <v>0</v>
      </c>
      <c r="O55" s="241">
        <v>0</v>
      </c>
      <c r="P55" s="241">
        <v>0</v>
      </c>
      <c r="Q55" s="241">
        <v>0</v>
      </c>
    </row>
    <row r="56" spans="1:17" s="36" customFormat="1" ht="15" customHeight="1" outlineLevel="1">
      <c r="A56" s="60"/>
      <c r="B56" s="68" t="s">
        <v>490</v>
      </c>
      <c r="C56" s="13" t="s">
        <v>240</v>
      </c>
      <c r="D56" s="241"/>
      <c r="E56" s="241">
        <f>'4.10_транзит+сбыт_КТЭЦ'!E56+'4.10_транзит+сбыт_котельн.'!E56</f>
        <v>155</v>
      </c>
      <c r="F56" s="241"/>
      <c r="G56" s="241">
        <v>956.29835156599097</v>
      </c>
      <c r="H56" s="241">
        <v>0</v>
      </c>
      <c r="I56" s="241">
        <v>87</v>
      </c>
      <c r="J56" s="241"/>
      <c r="K56" s="241">
        <v>0</v>
      </c>
      <c r="L56" s="241">
        <v>0</v>
      </c>
      <c r="M56" s="241">
        <v>0</v>
      </c>
      <c r="N56" s="241">
        <v>0</v>
      </c>
      <c r="O56" s="241">
        <v>0</v>
      </c>
      <c r="P56" s="241">
        <v>0</v>
      </c>
      <c r="Q56" s="241">
        <v>0</v>
      </c>
    </row>
    <row r="57" spans="1:17" s="36" customFormat="1" ht="15" customHeight="1" outlineLevel="1">
      <c r="A57" s="60"/>
      <c r="B57" s="68" t="s">
        <v>491</v>
      </c>
      <c r="C57" s="13" t="s">
        <v>240</v>
      </c>
      <c r="D57" s="241"/>
      <c r="E57" s="241">
        <f>'4.10_транзит+сбыт_КТЭЦ'!E57+'4.10_транзит+сбыт_котельн.'!E57</f>
        <v>0</v>
      </c>
      <c r="F57" s="241"/>
      <c r="G57" s="241">
        <v>0</v>
      </c>
      <c r="H57" s="241">
        <v>0</v>
      </c>
      <c r="I57" s="241">
        <v>0</v>
      </c>
      <c r="J57" s="241"/>
      <c r="K57" s="241">
        <v>0</v>
      </c>
      <c r="L57" s="241">
        <v>0</v>
      </c>
      <c r="M57" s="241">
        <v>0</v>
      </c>
      <c r="N57" s="241">
        <v>0</v>
      </c>
      <c r="O57" s="241">
        <v>0</v>
      </c>
      <c r="P57" s="241">
        <v>0</v>
      </c>
      <c r="Q57" s="241">
        <v>0</v>
      </c>
    </row>
    <row r="58" spans="1:17" s="36" customFormat="1" ht="15" customHeight="1" outlineLevel="1">
      <c r="A58" s="60"/>
      <c r="B58" s="70" t="s">
        <v>492</v>
      </c>
      <c r="C58" s="13" t="s">
        <v>240</v>
      </c>
      <c r="D58" s="241"/>
      <c r="E58" s="241">
        <f>'4.10_транзит+сбыт_КТЭЦ'!E58+'4.10_транзит+сбыт_котельн.'!E58</f>
        <v>0</v>
      </c>
      <c r="F58" s="241"/>
      <c r="G58" s="241">
        <v>526</v>
      </c>
      <c r="H58" s="241">
        <v>0</v>
      </c>
      <c r="I58" s="241">
        <v>0</v>
      </c>
      <c r="J58" s="241"/>
      <c r="K58" s="241">
        <v>0</v>
      </c>
      <c r="L58" s="241">
        <v>0</v>
      </c>
      <c r="M58" s="241">
        <v>0</v>
      </c>
      <c r="N58" s="241">
        <v>0</v>
      </c>
      <c r="O58" s="241">
        <v>0</v>
      </c>
      <c r="P58" s="241">
        <v>0</v>
      </c>
      <c r="Q58" s="241">
        <v>0</v>
      </c>
    </row>
    <row r="59" spans="1:17" s="36" customFormat="1" ht="15" customHeight="1" outlineLevel="1">
      <c r="A59" s="60"/>
      <c r="B59" s="70" t="s">
        <v>493</v>
      </c>
      <c r="C59" s="13" t="s">
        <v>240</v>
      </c>
      <c r="D59" s="241"/>
      <c r="E59" s="241">
        <f>'4.10_транзит+сбыт_КТЭЦ'!E59+'4.10_транзит+сбыт_котельн.'!E59</f>
        <v>0</v>
      </c>
      <c r="F59" s="241"/>
      <c r="G59" s="241">
        <v>33</v>
      </c>
      <c r="H59" s="241">
        <v>0</v>
      </c>
      <c r="I59" s="241">
        <v>0</v>
      </c>
      <c r="J59" s="241"/>
      <c r="K59" s="241">
        <v>0</v>
      </c>
      <c r="L59" s="241">
        <v>0</v>
      </c>
      <c r="M59" s="241">
        <v>0</v>
      </c>
      <c r="N59" s="241">
        <v>0</v>
      </c>
      <c r="O59" s="241">
        <v>0</v>
      </c>
      <c r="P59" s="241">
        <v>0</v>
      </c>
      <c r="Q59" s="241">
        <v>0</v>
      </c>
    </row>
    <row r="60" spans="1:17" s="36" customFormat="1" ht="15" customHeight="1" outlineLevel="1">
      <c r="A60" s="60"/>
      <c r="B60" s="70" t="s">
        <v>494</v>
      </c>
      <c r="C60" s="13" t="s">
        <v>240</v>
      </c>
      <c r="D60" s="241"/>
      <c r="E60" s="241">
        <f>'4.10_транзит+сбыт_КТЭЦ'!E60+'4.10_транзит+сбыт_котельн.'!E60</f>
        <v>143</v>
      </c>
      <c r="F60" s="241"/>
      <c r="G60" s="241">
        <v>87.681430568263877</v>
      </c>
      <c r="H60" s="241">
        <v>0</v>
      </c>
      <c r="I60" s="241">
        <v>60</v>
      </c>
      <c r="J60" s="241"/>
      <c r="K60" s="241">
        <v>0</v>
      </c>
      <c r="L60" s="241">
        <v>0</v>
      </c>
      <c r="M60" s="241">
        <v>0</v>
      </c>
      <c r="N60" s="241">
        <v>0</v>
      </c>
      <c r="O60" s="241">
        <v>0</v>
      </c>
      <c r="P60" s="241">
        <v>0</v>
      </c>
      <c r="Q60" s="241">
        <v>0</v>
      </c>
    </row>
    <row r="61" spans="1:17" s="36" customFormat="1" ht="15" customHeight="1" outlineLevel="1">
      <c r="A61" s="60"/>
      <c r="B61" s="70" t="s">
        <v>495</v>
      </c>
      <c r="C61" s="13" t="s">
        <v>240</v>
      </c>
      <c r="D61" s="241"/>
      <c r="E61" s="241">
        <f>'4.10_транзит+сбыт_КТЭЦ'!E61+'4.10_транзит+сбыт_котельн.'!E61</f>
        <v>12</v>
      </c>
      <c r="F61" s="241"/>
      <c r="G61" s="241">
        <v>309.61692099772705</v>
      </c>
      <c r="H61" s="241">
        <v>0</v>
      </c>
      <c r="I61" s="241">
        <v>27</v>
      </c>
      <c r="J61" s="241"/>
      <c r="K61" s="241">
        <v>0</v>
      </c>
      <c r="L61" s="241">
        <v>0</v>
      </c>
      <c r="M61" s="241">
        <v>0</v>
      </c>
      <c r="N61" s="241">
        <v>0</v>
      </c>
      <c r="O61" s="241">
        <v>0</v>
      </c>
      <c r="P61" s="241">
        <v>0</v>
      </c>
      <c r="Q61" s="241">
        <v>0</v>
      </c>
    </row>
    <row r="62" spans="1:17" s="36" customFormat="1" ht="15" customHeight="1" outlineLevel="1">
      <c r="A62" s="60"/>
      <c r="B62" s="70" t="s">
        <v>496</v>
      </c>
      <c r="C62" s="13" t="s">
        <v>240</v>
      </c>
      <c r="D62" s="241"/>
      <c r="E62" s="241">
        <f>'4.10_транзит+сбыт_КТЭЦ'!E62+'4.10_транзит+сбыт_котельн.'!E62</f>
        <v>6</v>
      </c>
      <c r="F62" s="241"/>
      <c r="G62" s="241">
        <v>957</v>
      </c>
      <c r="H62" s="241">
        <v>0</v>
      </c>
      <c r="I62" s="241">
        <v>0</v>
      </c>
      <c r="J62" s="241"/>
      <c r="K62" s="241">
        <v>0</v>
      </c>
      <c r="L62" s="241">
        <v>0</v>
      </c>
      <c r="M62" s="241">
        <v>0</v>
      </c>
      <c r="N62" s="241">
        <v>0</v>
      </c>
      <c r="O62" s="241">
        <v>0</v>
      </c>
      <c r="P62" s="241">
        <v>0</v>
      </c>
      <c r="Q62" s="241">
        <v>0</v>
      </c>
    </row>
    <row r="63" spans="1:17" s="36" customFormat="1" ht="15" customHeight="1" outlineLevel="1">
      <c r="A63" s="60"/>
      <c r="B63" s="70" t="s">
        <v>497</v>
      </c>
      <c r="C63" s="13" t="s">
        <v>240</v>
      </c>
      <c r="D63" s="241"/>
      <c r="E63" s="241">
        <f>'4.10_транзит+сбыт_КТЭЦ'!E63+'4.10_транзит+сбыт_котельн.'!E63</f>
        <v>0</v>
      </c>
      <c r="F63" s="241"/>
      <c r="G63" s="241">
        <v>0</v>
      </c>
      <c r="H63" s="241">
        <v>0</v>
      </c>
      <c r="I63" s="241">
        <v>0</v>
      </c>
      <c r="J63" s="241"/>
      <c r="K63" s="241">
        <v>0</v>
      </c>
      <c r="L63" s="241">
        <v>0</v>
      </c>
      <c r="M63" s="241">
        <v>0</v>
      </c>
      <c r="N63" s="241">
        <v>0</v>
      </c>
      <c r="O63" s="241">
        <v>0</v>
      </c>
      <c r="P63" s="241">
        <v>0</v>
      </c>
      <c r="Q63" s="241">
        <v>0</v>
      </c>
    </row>
    <row r="64" spans="1:17" s="36" customFormat="1" ht="15" customHeight="1" outlineLevel="1">
      <c r="A64" s="60"/>
      <c r="B64" s="68" t="s">
        <v>498</v>
      </c>
      <c r="C64" s="13" t="s">
        <v>240</v>
      </c>
      <c r="D64" s="241"/>
      <c r="E64" s="241">
        <f>'4.10_транзит+сбыт_КТЭЦ'!E64+'4.10_транзит+сбыт_котельн.'!E64</f>
        <v>334</v>
      </c>
      <c r="F64" s="241"/>
      <c r="G64" s="241">
        <v>24.457134935954908</v>
      </c>
      <c r="H64" s="241">
        <v>0</v>
      </c>
      <c r="I64" s="241">
        <v>11</v>
      </c>
      <c r="J64" s="241"/>
      <c r="K64" s="241">
        <v>0</v>
      </c>
      <c r="L64" s="241">
        <v>0</v>
      </c>
      <c r="M64" s="241">
        <v>0</v>
      </c>
      <c r="N64" s="241">
        <v>0</v>
      </c>
      <c r="O64" s="241">
        <v>0</v>
      </c>
      <c r="P64" s="241">
        <v>0</v>
      </c>
      <c r="Q64" s="241">
        <v>0</v>
      </c>
    </row>
    <row r="65" spans="1:17" s="36" customFormat="1" ht="15" customHeight="1" outlineLevel="1">
      <c r="A65" s="60"/>
      <c r="B65" s="68" t="s">
        <v>499</v>
      </c>
      <c r="C65" s="13" t="s">
        <v>240</v>
      </c>
      <c r="D65" s="241"/>
      <c r="E65" s="241">
        <f>'4.10_транзит+сбыт_КТЭЦ'!E65+'4.10_транзит+сбыт_котельн.'!E65</f>
        <v>0</v>
      </c>
      <c r="F65" s="241"/>
      <c r="G65" s="241">
        <v>21.074765210769655</v>
      </c>
      <c r="H65" s="241">
        <v>0</v>
      </c>
      <c r="I65" s="241">
        <v>5516</v>
      </c>
      <c r="J65" s="241"/>
      <c r="K65" s="241">
        <v>22064</v>
      </c>
      <c r="L65" s="241">
        <v>0</v>
      </c>
      <c r="M65" s="241">
        <v>0</v>
      </c>
      <c r="N65" s="241">
        <v>0</v>
      </c>
      <c r="O65" s="241">
        <v>0</v>
      </c>
      <c r="P65" s="241">
        <v>0</v>
      </c>
      <c r="Q65" s="241">
        <v>0</v>
      </c>
    </row>
    <row r="66" spans="1:17" s="36" customFormat="1">
      <c r="A66" s="60"/>
      <c r="B66" s="68"/>
      <c r="C66" s="13"/>
      <c r="D66" s="241"/>
      <c r="E66" s="241"/>
      <c r="F66" s="241"/>
      <c r="G66" s="241"/>
      <c r="H66" s="241"/>
      <c r="I66" s="241"/>
      <c r="J66" s="241"/>
      <c r="K66" s="241"/>
      <c r="L66" s="241"/>
      <c r="M66" s="241"/>
      <c r="N66" s="241"/>
      <c r="O66" s="241"/>
      <c r="P66" s="241"/>
      <c r="Q66" s="241"/>
    </row>
    <row r="67" spans="1:17" s="1001" customFormat="1" ht="30" customHeight="1">
      <c r="A67" s="82" t="s">
        <v>78</v>
      </c>
      <c r="B67" s="80" t="s">
        <v>503</v>
      </c>
      <c r="C67" s="1002" t="s">
        <v>240</v>
      </c>
      <c r="D67" s="1000">
        <f>'4.10_транзит+сбыт_КТЭЦ'!D67+'4.10_транзит+сбыт_котельн.'!D67</f>
        <v>284165.36363636365</v>
      </c>
      <c r="E67" s="1000">
        <f>'4.10_транзит+сбыт_КТЭЦ'!E67+'4.10_транзит+сбыт_котельн.'!E67</f>
        <v>281834</v>
      </c>
      <c r="F67" s="1000">
        <v>289597</v>
      </c>
      <c r="G67" s="1000">
        <v>521698</v>
      </c>
      <c r="H67" s="1000">
        <v>900603.87035209034</v>
      </c>
      <c r="I67" s="1000">
        <v>544047</v>
      </c>
      <c r="J67" s="1000">
        <v>649116.05589468195</v>
      </c>
      <c r="K67" s="1000">
        <v>709690.83333333337</v>
      </c>
      <c r="L67" s="1000">
        <v>827840.16666666674</v>
      </c>
      <c r="M67" s="1000">
        <v>822836</v>
      </c>
      <c r="N67" s="1000">
        <v>832844.33333333326</v>
      </c>
      <c r="O67" s="1000">
        <v>853777.33333333326</v>
      </c>
      <c r="P67" s="1000">
        <v>845627</v>
      </c>
      <c r="Q67" s="1000">
        <v>861927.66666666674</v>
      </c>
    </row>
    <row r="68" spans="1:17" s="36" customFormat="1" ht="15" customHeight="1" outlineLevel="1">
      <c r="A68" s="60"/>
      <c r="B68" s="68" t="s">
        <v>487</v>
      </c>
      <c r="C68" s="13" t="s">
        <v>240</v>
      </c>
      <c r="D68" s="241"/>
      <c r="E68" s="241">
        <f>'4.10_транзит+сбыт_КТЭЦ'!E68+'4.10_транзит+сбыт_котельн.'!E68</f>
        <v>123059</v>
      </c>
      <c r="F68" s="241"/>
      <c r="G68" s="241">
        <v>361012</v>
      </c>
      <c r="H68" s="241">
        <v>0</v>
      </c>
      <c r="I68" s="241">
        <v>354286</v>
      </c>
      <c r="J68" s="241"/>
      <c r="K68" s="241">
        <v>360594</v>
      </c>
      <c r="L68" s="241">
        <v>360594</v>
      </c>
      <c r="M68" s="241">
        <v>360594</v>
      </c>
      <c r="N68" s="241">
        <v>360594</v>
      </c>
      <c r="O68" s="241">
        <v>360594</v>
      </c>
      <c r="P68" s="241">
        <v>360594</v>
      </c>
      <c r="Q68" s="241">
        <v>360594</v>
      </c>
    </row>
    <row r="69" spans="1:17" s="36" customFormat="1" ht="15" customHeight="1" outlineLevel="1">
      <c r="A69" s="60"/>
      <c r="B69" s="68" t="s">
        <v>488</v>
      </c>
      <c r="C69" s="13" t="s">
        <v>240</v>
      </c>
      <c r="D69" s="241"/>
      <c r="E69" s="241">
        <f>'4.10_транзит+сбыт_КТЭЦ'!E69+'4.10_транзит+сбыт_котельн.'!E69</f>
        <v>124187</v>
      </c>
      <c r="F69" s="241"/>
      <c r="G69" s="241">
        <v>124318</v>
      </c>
      <c r="H69" s="241">
        <v>0</v>
      </c>
      <c r="I69" s="241">
        <v>130250</v>
      </c>
      <c r="J69" s="241"/>
      <c r="K69" s="241">
        <v>234151.83333333334</v>
      </c>
      <c r="L69" s="241">
        <v>363602.16666666669</v>
      </c>
      <c r="M69" s="241">
        <v>359333</v>
      </c>
      <c r="N69" s="241">
        <v>367871.33333333331</v>
      </c>
      <c r="O69" s="241">
        <v>387483.33333333331</v>
      </c>
      <c r="P69" s="241">
        <v>379825</v>
      </c>
      <c r="Q69" s="241">
        <v>395141.66666666669</v>
      </c>
    </row>
    <row r="70" spans="1:17" s="36" customFormat="1" ht="15" customHeight="1" outlineLevel="1">
      <c r="A70" s="60"/>
      <c r="B70" s="68" t="s">
        <v>489</v>
      </c>
      <c r="C70" s="13" t="s">
        <v>240</v>
      </c>
      <c r="D70" s="241"/>
      <c r="E70" s="241">
        <f>'4.10_транзит+сбыт_КТЭЦ'!E70+'4.10_транзит+сбыт_котельн.'!E70</f>
        <v>0</v>
      </c>
      <c r="F70" s="241"/>
      <c r="G70" s="241">
        <v>0</v>
      </c>
      <c r="H70" s="241">
        <v>0</v>
      </c>
      <c r="I70" s="241">
        <v>227</v>
      </c>
      <c r="J70" s="241"/>
      <c r="K70" s="241">
        <v>11491</v>
      </c>
      <c r="L70" s="241">
        <v>20146</v>
      </c>
      <c r="M70" s="241">
        <v>20015</v>
      </c>
      <c r="N70" s="241">
        <v>20277</v>
      </c>
      <c r="O70" s="241">
        <v>20776</v>
      </c>
      <c r="P70" s="241">
        <v>20643</v>
      </c>
      <c r="Q70" s="241">
        <v>20908</v>
      </c>
    </row>
    <row r="71" spans="1:17" s="36" customFormat="1" ht="15" customHeight="1" outlineLevel="1">
      <c r="A71" s="60"/>
      <c r="B71" s="68" t="s">
        <v>490</v>
      </c>
      <c r="C71" s="13" t="s">
        <v>240</v>
      </c>
      <c r="D71" s="241"/>
      <c r="E71" s="241">
        <f>'4.10_транзит+сбыт_КТЭЦ'!E71+'4.10_транзит+сбыт_котельн.'!E71</f>
        <v>26316</v>
      </c>
      <c r="F71" s="241"/>
      <c r="G71" s="241">
        <v>29102</v>
      </c>
      <c r="H71" s="241">
        <v>0</v>
      </c>
      <c r="I71" s="241">
        <v>41064</v>
      </c>
      <c r="J71" s="241"/>
      <c r="K71" s="241">
        <v>71309</v>
      </c>
      <c r="L71" s="241">
        <v>72135</v>
      </c>
      <c r="M71" s="241">
        <v>71894</v>
      </c>
      <c r="N71" s="241">
        <v>72377</v>
      </c>
      <c r="O71" s="241">
        <v>72957</v>
      </c>
      <c r="P71" s="241">
        <v>72598</v>
      </c>
      <c r="Q71" s="241">
        <v>73317</v>
      </c>
    </row>
    <row r="72" spans="1:17" s="36" customFormat="1" ht="15" customHeight="1" outlineLevel="1">
      <c r="A72" s="60"/>
      <c r="B72" s="68" t="s">
        <v>491</v>
      </c>
      <c r="C72" s="13" t="s">
        <v>240</v>
      </c>
      <c r="D72" s="241"/>
      <c r="E72" s="241">
        <f>'4.10_транзит+сбыт_КТЭЦ'!E72+'4.10_транзит+сбыт_котельн.'!E72</f>
        <v>128</v>
      </c>
      <c r="F72" s="241"/>
      <c r="G72" s="241">
        <v>154</v>
      </c>
      <c r="H72" s="241">
        <v>0</v>
      </c>
      <c r="I72" s="241">
        <v>149</v>
      </c>
      <c r="J72" s="241"/>
      <c r="K72" s="241">
        <v>154</v>
      </c>
      <c r="L72" s="241">
        <v>154</v>
      </c>
      <c r="M72" s="241">
        <v>154</v>
      </c>
      <c r="N72" s="241">
        <v>154</v>
      </c>
      <c r="O72" s="241">
        <v>154</v>
      </c>
      <c r="P72" s="241">
        <v>154</v>
      </c>
      <c r="Q72" s="241">
        <v>154</v>
      </c>
    </row>
    <row r="73" spans="1:17" s="36" customFormat="1" ht="15" customHeight="1" outlineLevel="1">
      <c r="A73" s="60"/>
      <c r="B73" s="70" t="s">
        <v>492</v>
      </c>
      <c r="C73" s="13" t="s">
        <v>240</v>
      </c>
      <c r="D73" s="241"/>
      <c r="E73" s="241">
        <f>'4.10_транзит+сбыт_КТЭЦ'!E73+'4.10_транзит+сбыт_котельн.'!E73</f>
        <v>16590</v>
      </c>
      <c r="F73" s="241"/>
      <c r="G73" s="241">
        <v>18594</v>
      </c>
      <c r="H73" s="241">
        <v>0</v>
      </c>
      <c r="I73" s="241">
        <v>23011</v>
      </c>
      <c r="J73" s="241"/>
      <c r="K73" s="241">
        <v>23566</v>
      </c>
      <c r="L73" s="241">
        <v>23566</v>
      </c>
      <c r="M73" s="241">
        <v>23566</v>
      </c>
      <c r="N73" s="241">
        <v>23566</v>
      </c>
      <c r="O73" s="241">
        <v>23566</v>
      </c>
      <c r="P73" s="241">
        <v>23566</v>
      </c>
      <c r="Q73" s="241">
        <v>23566</v>
      </c>
    </row>
    <row r="74" spans="1:17" s="36" customFormat="1" ht="15" customHeight="1" outlineLevel="1">
      <c r="A74" s="60"/>
      <c r="B74" s="70" t="s">
        <v>493</v>
      </c>
      <c r="C74" s="13" t="s">
        <v>240</v>
      </c>
      <c r="D74" s="241"/>
      <c r="E74" s="241">
        <f>'4.10_транзит+сбыт_КТЭЦ'!E74+'4.10_транзит+сбыт_котельн.'!E74</f>
        <v>506</v>
      </c>
      <c r="F74" s="241"/>
      <c r="G74" s="241">
        <v>868</v>
      </c>
      <c r="H74" s="241">
        <v>0</v>
      </c>
      <c r="I74" s="241">
        <v>1220</v>
      </c>
      <c r="J74" s="241"/>
      <c r="K74" s="241">
        <v>1330</v>
      </c>
      <c r="L74" s="241">
        <v>1330</v>
      </c>
      <c r="M74" s="241">
        <v>1330</v>
      </c>
      <c r="N74" s="241">
        <v>1330</v>
      </c>
      <c r="O74" s="241">
        <v>1330</v>
      </c>
      <c r="P74" s="241">
        <v>1330</v>
      </c>
      <c r="Q74" s="241">
        <v>1330</v>
      </c>
    </row>
    <row r="75" spans="1:17" s="36" customFormat="1" ht="15" customHeight="1" outlineLevel="1">
      <c r="A75" s="60"/>
      <c r="B75" s="70" t="s">
        <v>494</v>
      </c>
      <c r="C75" s="13" t="s">
        <v>240</v>
      </c>
      <c r="D75" s="241"/>
      <c r="E75" s="241">
        <f>'4.10_транзит+сбыт_КТЭЦ'!E75+'4.10_транзит+сбыт_котельн.'!E75</f>
        <v>1628</v>
      </c>
      <c r="F75" s="241"/>
      <c r="G75" s="241">
        <v>2118</v>
      </c>
      <c r="H75" s="241">
        <v>0</v>
      </c>
      <c r="I75" s="241">
        <v>5177</v>
      </c>
      <c r="J75" s="241"/>
      <c r="K75" s="241">
        <v>5190</v>
      </c>
      <c r="L75" s="241">
        <v>5190</v>
      </c>
      <c r="M75" s="241">
        <v>5190</v>
      </c>
      <c r="N75" s="241">
        <v>5190</v>
      </c>
      <c r="O75" s="241">
        <v>5190</v>
      </c>
      <c r="P75" s="241">
        <v>5190</v>
      </c>
      <c r="Q75" s="241">
        <v>5190</v>
      </c>
    </row>
    <row r="76" spans="1:17" s="36" customFormat="1" ht="15" customHeight="1" outlineLevel="1">
      <c r="A76" s="60"/>
      <c r="B76" s="70" t="s">
        <v>495</v>
      </c>
      <c r="C76" s="13" t="s">
        <v>240</v>
      </c>
      <c r="D76" s="241"/>
      <c r="E76" s="241">
        <f>'4.10_транзит+сбыт_КТЭЦ'!E76+'4.10_транзит+сбыт_котельн.'!E76</f>
        <v>7464</v>
      </c>
      <c r="F76" s="241"/>
      <c r="G76" s="241">
        <v>7368</v>
      </c>
      <c r="H76" s="241">
        <v>0</v>
      </c>
      <c r="I76" s="241">
        <v>11507</v>
      </c>
      <c r="J76" s="241"/>
      <c r="K76" s="241">
        <v>41069</v>
      </c>
      <c r="L76" s="241">
        <v>41895</v>
      </c>
      <c r="M76" s="241">
        <v>41654</v>
      </c>
      <c r="N76" s="241">
        <v>42137</v>
      </c>
      <c r="O76" s="241">
        <v>42717</v>
      </c>
      <c r="P76" s="241">
        <v>42358</v>
      </c>
      <c r="Q76" s="241">
        <v>43077</v>
      </c>
    </row>
    <row r="77" spans="1:17" s="36" customFormat="1" ht="15" customHeight="1" outlineLevel="1">
      <c r="A77" s="60"/>
      <c r="B77" s="70" t="s">
        <v>496</v>
      </c>
      <c r="C77" s="13" t="s">
        <v>240</v>
      </c>
      <c r="D77" s="241"/>
      <c r="E77" s="241">
        <f>'4.10_транзит+сбыт_КТЭЦ'!E77+'4.10_транзит+сбыт_котельн.'!E77</f>
        <v>5315</v>
      </c>
      <c r="F77" s="241"/>
      <c r="G77" s="241">
        <v>4415</v>
      </c>
      <c r="H77" s="241">
        <v>0</v>
      </c>
      <c r="I77" s="241">
        <v>5227</v>
      </c>
      <c r="J77" s="241"/>
      <c r="K77" s="241">
        <v>6116</v>
      </c>
      <c r="L77" s="241">
        <v>6479</v>
      </c>
      <c r="M77" s="241">
        <v>6116</v>
      </c>
      <c r="N77" s="241">
        <v>6841</v>
      </c>
      <c r="O77" s="241">
        <v>7083</v>
      </c>
      <c r="P77" s="241">
        <v>7083</v>
      </c>
      <c r="Q77" s="241">
        <v>7083</v>
      </c>
    </row>
    <row r="78" spans="1:17" s="36" customFormat="1" ht="15" customHeight="1" outlineLevel="1">
      <c r="A78" s="60"/>
      <c r="B78" s="70" t="s">
        <v>497</v>
      </c>
      <c r="C78" s="13" t="s">
        <v>240</v>
      </c>
      <c r="D78" s="241"/>
      <c r="E78" s="241">
        <f>'4.10_транзит+сбыт_КТЭЦ'!E78+'4.10_транзит+сбыт_котельн.'!E78</f>
        <v>17</v>
      </c>
      <c r="F78" s="241"/>
      <c r="G78" s="241">
        <v>49</v>
      </c>
      <c r="H78" s="241">
        <v>0</v>
      </c>
      <c r="I78" s="241">
        <v>88</v>
      </c>
      <c r="J78" s="241"/>
      <c r="K78" s="241">
        <v>88</v>
      </c>
      <c r="L78" s="241">
        <v>88</v>
      </c>
      <c r="M78" s="241">
        <v>88</v>
      </c>
      <c r="N78" s="241">
        <v>88</v>
      </c>
      <c r="O78" s="241">
        <v>88</v>
      </c>
      <c r="P78" s="241">
        <v>88</v>
      </c>
      <c r="Q78" s="241">
        <v>88</v>
      </c>
    </row>
    <row r="79" spans="1:17" s="36" customFormat="1" ht="15" customHeight="1" outlineLevel="1">
      <c r="A79" s="60"/>
      <c r="B79" s="68" t="s">
        <v>498</v>
      </c>
      <c r="C79" s="13" t="s">
        <v>240</v>
      </c>
      <c r="D79" s="241"/>
      <c r="E79" s="241">
        <f>'4.10_транзит+сбыт_КТЭЦ'!E79+'4.10_транзит+сбыт_котельн.'!E79</f>
        <v>1838</v>
      </c>
      <c r="F79" s="241"/>
      <c r="G79" s="241">
        <v>1422</v>
      </c>
      <c r="H79" s="241">
        <v>0</v>
      </c>
      <c r="I79" s="241">
        <v>3218</v>
      </c>
      <c r="J79" s="241"/>
      <c r="K79" s="241">
        <v>3211</v>
      </c>
      <c r="L79" s="241">
        <v>3211</v>
      </c>
      <c r="M79" s="241">
        <v>3211</v>
      </c>
      <c r="N79" s="241">
        <v>3211</v>
      </c>
      <c r="O79" s="241">
        <v>3211</v>
      </c>
      <c r="P79" s="241">
        <v>3211</v>
      </c>
      <c r="Q79" s="241">
        <v>3211</v>
      </c>
    </row>
    <row r="80" spans="1:17" s="36" customFormat="1" ht="15" customHeight="1" outlineLevel="1">
      <c r="A80" s="60"/>
      <c r="B80" s="68" t="s">
        <v>499</v>
      </c>
      <c r="C80" s="13" t="s">
        <v>240</v>
      </c>
      <c r="D80" s="241"/>
      <c r="E80" s="241">
        <f>'4.10_транзит+сбыт_КТЭЦ'!E80+'4.10_транзит+сбыт_котельн.'!E80</f>
        <v>1102</v>
      </c>
      <c r="F80" s="241"/>
      <c r="G80" s="241">
        <v>1380</v>
      </c>
      <c r="H80" s="241">
        <v>0</v>
      </c>
      <c r="I80" s="241">
        <v>9687</v>
      </c>
      <c r="J80" s="241"/>
      <c r="K80" s="241">
        <v>22730</v>
      </c>
      <c r="L80" s="241">
        <v>1585</v>
      </c>
      <c r="M80" s="241">
        <v>1585</v>
      </c>
      <c r="N80" s="241">
        <v>1585</v>
      </c>
      <c r="O80" s="241">
        <v>1585</v>
      </c>
      <c r="P80" s="241">
        <v>1585</v>
      </c>
      <c r="Q80" s="241">
        <v>1585</v>
      </c>
    </row>
    <row r="81" spans="1:17" s="36" customFormat="1">
      <c r="A81" s="60"/>
      <c r="B81" s="68"/>
      <c r="C81" s="13"/>
      <c r="D81" s="66"/>
      <c r="E81" s="66"/>
      <c r="F81" s="66"/>
      <c r="G81" s="66"/>
      <c r="H81" s="66"/>
      <c r="I81" s="66"/>
      <c r="J81" s="66"/>
      <c r="K81" s="66"/>
      <c r="L81" s="66"/>
      <c r="M81" s="66"/>
      <c r="N81" s="66"/>
      <c r="O81" s="66"/>
      <c r="P81" s="66"/>
      <c r="Q81" s="66"/>
    </row>
    <row r="82" spans="1:17" s="1001" customFormat="1" ht="15" customHeight="1">
      <c r="A82" s="82" t="s">
        <v>86</v>
      </c>
      <c r="B82" s="80" t="s">
        <v>504</v>
      </c>
      <c r="C82" s="999"/>
      <c r="D82" s="432">
        <f>D97/D67*100</f>
        <v>7.870417321028504</v>
      </c>
      <c r="E82" s="432">
        <f t="shared" ref="E82:N82" si="0">E97/E67*100</f>
        <v>7.4558073192020835</v>
      </c>
      <c r="F82" s="432">
        <f t="shared" si="0"/>
        <v>9.0636298027949191</v>
      </c>
      <c r="G82" s="432">
        <v>5.7209343336566372</v>
      </c>
      <c r="H82" s="432">
        <v>5.4986198744206201</v>
      </c>
      <c r="I82" s="432">
        <v>7.2243758351760059</v>
      </c>
      <c r="J82" s="432">
        <v>4.6395171437996048</v>
      </c>
      <c r="K82" s="432">
        <v>10.125394978329764</v>
      </c>
      <c r="L82" s="432">
        <v>7.804284281124314</v>
      </c>
      <c r="M82" s="432">
        <v>3.9043017077522135</v>
      </c>
      <c r="N82" s="432">
        <v>3.9000085250024719</v>
      </c>
      <c r="O82" s="432">
        <v>7.6941606945136369</v>
      </c>
      <c r="P82" s="432">
        <v>3.8723929108223838</v>
      </c>
      <c r="Q82" s="432">
        <v>3.8222464916816294</v>
      </c>
    </row>
    <row r="83" spans="1:17" s="36" customFormat="1" ht="15" customHeight="1" outlineLevel="1">
      <c r="A83" s="60"/>
      <c r="B83" s="68" t="s">
        <v>487</v>
      </c>
      <c r="C83" s="13" t="s">
        <v>138</v>
      </c>
      <c r="D83" s="66"/>
      <c r="E83" s="251">
        <f t="shared" ref="E83" si="1">E98/E68*100</f>
        <v>4.0110841141241194</v>
      </c>
      <c r="F83" s="66"/>
      <c r="G83" s="251">
        <v>3.5198275957585903</v>
      </c>
      <c r="H83" s="251"/>
      <c r="I83" s="251">
        <v>3.9284645738188919</v>
      </c>
      <c r="J83" s="251"/>
      <c r="K83" s="251">
        <v>3.8666755409130489</v>
      </c>
      <c r="L83" s="251">
        <v>3.8666755409130489</v>
      </c>
      <c r="M83" s="251">
        <v>1.9320898295590054</v>
      </c>
      <c r="N83" s="251">
        <v>1.9345857113540434</v>
      </c>
      <c r="O83" s="251">
        <v>3.8666755409130489</v>
      </c>
      <c r="P83" s="251">
        <v>1.9334764305562488</v>
      </c>
      <c r="Q83" s="251">
        <v>1.9331991103568</v>
      </c>
    </row>
    <row r="84" spans="1:17" s="36" customFormat="1" ht="15" customHeight="1" outlineLevel="1">
      <c r="A84" s="60"/>
      <c r="B84" s="68" t="s">
        <v>488</v>
      </c>
      <c r="C84" s="13" t="s">
        <v>138</v>
      </c>
      <c r="D84" s="66"/>
      <c r="E84" s="251">
        <f t="shared" ref="E84" si="2">E99/E69*100</f>
        <v>10.675030397706685</v>
      </c>
      <c r="F84" s="66"/>
      <c r="G84" s="251">
        <v>10.52301356199424</v>
      </c>
      <c r="H84" s="251"/>
      <c r="I84" s="251">
        <v>10.997312859884836</v>
      </c>
      <c r="J84" s="251"/>
      <c r="K84" s="251">
        <v>10.045191474762458</v>
      </c>
      <c r="L84" s="251">
        <v>10.309069482075877</v>
      </c>
      <c r="M84" s="251">
        <v>5.167630025630821</v>
      </c>
      <c r="N84" s="251">
        <v>5.1417433994132011</v>
      </c>
      <c r="O84" s="251">
        <v>10.188051098972</v>
      </c>
      <c r="P84" s="251">
        <v>5.1723820180346216</v>
      </c>
      <c r="Q84" s="251">
        <v>5.0187063711327164</v>
      </c>
    </row>
    <row r="85" spans="1:17" s="36" customFormat="1" ht="15" customHeight="1" outlineLevel="1">
      <c r="A85" s="60"/>
      <c r="B85" s="68" t="s">
        <v>489</v>
      </c>
      <c r="C85" s="13" t="s">
        <v>138</v>
      </c>
      <c r="D85" s="66"/>
      <c r="E85" s="251"/>
      <c r="F85" s="66"/>
      <c r="G85" s="251"/>
      <c r="H85" s="251"/>
      <c r="I85" s="251"/>
      <c r="J85" s="251"/>
      <c r="K85" s="251"/>
      <c r="L85" s="251"/>
      <c r="M85" s="251"/>
      <c r="N85" s="251"/>
      <c r="O85" s="251"/>
      <c r="P85" s="251"/>
      <c r="Q85" s="251"/>
    </row>
    <row r="86" spans="1:17" s="36" customFormat="1" ht="15" customHeight="1" outlineLevel="1">
      <c r="A86" s="60"/>
      <c r="B86" s="68" t="s">
        <v>490</v>
      </c>
      <c r="C86" s="13" t="s">
        <v>138</v>
      </c>
      <c r="D86" s="66"/>
      <c r="E86" s="251">
        <f t="shared" ref="E86" si="3">E101/E71*100</f>
        <v>7.6113391092871252</v>
      </c>
      <c r="F86" s="66"/>
      <c r="G86" s="251">
        <v>12.05415435365267</v>
      </c>
      <c r="H86" s="251"/>
      <c r="I86" s="251">
        <v>11.270212351451393</v>
      </c>
      <c r="J86" s="251"/>
      <c r="K86" s="251">
        <v>14.842446255030922</v>
      </c>
      <c r="L86" s="251">
        <v>14.861024468011367</v>
      </c>
      <c r="M86" s="251">
        <v>7.4609842267783124</v>
      </c>
      <c r="N86" s="251">
        <v>7.4001409287480833</v>
      </c>
      <c r="O86" s="251">
        <v>13.606645010074429</v>
      </c>
      <c r="P86" s="251">
        <v>6.8335215846166557</v>
      </c>
      <c r="Q86" s="251">
        <v>6.7733267864206121</v>
      </c>
    </row>
    <row r="87" spans="1:17" s="36" customFormat="1" ht="15" customHeight="1" outlineLevel="1">
      <c r="A87" s="60"/>
      <c r="B87" s="68" t="s">
        <v>491</v>
      </c>
      <c r="C87" s="13" t="s">
        <v>138</v>
      </c>
      <c r="D87" s="66"/>
      <c r="E87" s="251">
        <f t="shared" ref="E87" si="4">E102/E72*100</f>
        <v>16.40625</v>
      </c>
      <c r="F87" s="66"/>
      <c r="G87" s="251">
        <v>16.233766233766232</v>
      </c>
      <c r="H87" s="251"/>
      <c r="I87" s="251">
        <v>18.120805369127517</v>
      </c>
      <c r="J87" s="251"/>
      <c r="K87" s="251">
        <v>15.584415584415584</v>
      </c>
      <c r="L87" s="251">
        <v>15.584415584415584</v>
      </c>
      <c r="M87" s="251">
        <v>7.7922077922077921</v>
      </c>
      <c r="N87" s="251">
        <v>7.7922077922077921</v>
      </c>
      <c r="O87" s="251">
        <v>15.584415584415584</v>
      </c>
      <c r="P87" s="251">
        <v>7.7922077922077921</v>
      </c>
      <c r="Q87" s="251">
        <v>7.7922077922077921</v>
      </c>
    </row>
    <row r="88" spans="1:17" s="36" customFormat="1" ht="15" customHeight="1" outlineLevel="1">
      <c r="A88" s="60"/>
      <c r="B88" s="70" t="s">
        <v>492</v>
      </c>
      <c r="C88" s="13" t="s">
        <v>138</v>
      </c>
      <c r="D88" s="66"/>
      <c r="E88" s="251">
        <f t="shared" ref="E88" si="5">E103/E73*100</f>
        <v>6.6787221217600958</v>
      </c>
      <c r="F88" s="66"/>
      <c r="G88" s="251">
        <v>7.3518339249220173</v>
      </c>
      <c r="H88" s="251"/>
      <c r="I88" s="251">
        <v>8.2786493416192251</v>
      </c>
      <c r="J88" s="251"/>
      <c r="K88" s="251">
        <v>8.0964100823219898</v>
      </c>
      <c r="L88" s="251">
        <v>8.0964100823219898</v>
      </c>
      <c r="M88" s="251">
        <v>4.0482050411609949</v>
      </c>
      <c r="N88" s="251">
        <v>4.0482050411609949</v>
      </c>
      <c r="O88" s="251">
        <v>8.0964100823219898</v>
      </c>
      <c r="P88" s="251">
        <v>4.0482050411609949</v>
      </c>
      <c r="Q88" s="251">
        <v>4.0482050411609949</v>
      </c>
    </row>
    <row r="89" spans="1:17" s="36" customFormat="1" ht="15" customHeight="1" outlineLevel="1">
      <c r="A89" s="60"/>
      <c r="B89" s="70" t="s">
        <v>493</v>
      </c>
      <c r="C89" s="13" t="s">
        <v>138</v>
      </c>
      <c r="D89" s="66"/>
      <c r="E89" s="251">
        <f t="shared" ref="E89" si="6">E104/E74*100</f>
        <v>83.794466403162062</v>
      </c>
      <c r="F89" s="66"/>
      <c r="G89" s="251">
        <v>88.018433179723502</v>
      </c>
      <c r="H89" s="251"/>
      <c r="I89" s="251">
        <v>77.377049180327873</v>
      </c>
      <c r="J89" s="251"/>
      <c r="K89" s="251">
        <v>100.15037593984964</v>
      </c>
      <c r="L89" s="251">
        <v>104.4360902255639</v>
      </c>
      <c r="M89" s="251">
        <v>51.127819548872175</v>
      </c>
      <c r="N89" s="251">
        <v>53.308270676691727</v>
      </c>
      <c r="O89" s="251">
        <v>106.76691729323309</v>
      </c>
      <c r="P89" s="251">
        <v>51.804511278195484</v>
      </c>
      <c r="Q89" s="251">
        <v>54.962406015037587</v>
      </c>
    </row>
    <row r="90" spans="1:17" s="36" customFormat="1" ht="15" customHeight="1" outlineLevel="1">
      <c r="A90" s="60"/>
      <c r="B90" s="70" t="s">
        <v>494</v>
      </c>
      <c r="C90" s="13" t="s">
        <v>138</v>
      </c>
      <c r="D90" s="66"/>
      <c r="E90" s="251">
        <f t="shared" ref="E90" si="7">E105/E75*100</f>
        <v>13.759213759213759</v>
      </c>
      <c r="F90" s="66"/>
      <c r="G90" s="251">
        <v>43.059490084985832</v>
      </c>
      <c r="H90" s="251"/>
      <c r="I90" s="251">
        <v>16.013135020282014</v>
      </c>
      <c r="J90" s="251"/>
      <c r="K90" s="251">
        <v>6.4932562620423893</v>
      </c>
      <c r="L90" s="251">
        <v>6.9171483622350678</v>
      </c>
      <c r="M90" s="251">
        <v>3.8150289017341041</v>
      </c>
      <c r="N90" s="251">
        <v>3.1021194605009637</v>
      </c>
      <c r="O90" s="251">
        <v>5.5105973025048165</v>
      </c>
      <c r="P90" s="251">
        <v>3.1213872832369942</v>
      </c>
      <c r="Q90" s="251">
        <v>2.3892100192678227</v>
      </c>
    </row>
    <row r="91" spans="1:17" s="36" customFormat="1" ht="15" customHeight="1" outlineLevel="1">
      <c r="A91" s="60"/>
      <c r="B91" s="70" t="s">
        <v>495</v>
      </c>
      <c r="C91" s="13" t="s">
        <v>138</v>
      </c>
      <c r="D91" s="66"/>
      <c r="E91" s="251">
        <f t="shared" ref="E91" si="8">E106/E76*100</f>
        <v>3.0278670953912115</v>
      </c>
      <c r="F91" s="66"/>
      <c r="G91" s="251">
        <v>5.9717698154180239</v>
      </c>
      <c r="H91" s="251"/>
      <c r="I91" s="251">
        <v>8.0212044842269918</v>
      </c>
      <c r="J91" s="251"/>
      <c r="K91" s="251">
        <v>17.003092356765443</v>
      </c>
      <c r="L91" s="251">
        <v>16.803914548275451</v>
      </c>
      <c r="M91" s="251">
        <v>8.4505689729677833</v>
      </c>
      <c r="N91" s="251">
        <v>8.3537033960652156</v>
      </c>
      <c r="O91" s="251">
        <v>14.722475829295128</v>
      </c>
      <c r="P91" s="251">
        <v>7.4224467633032729</v>
      </c>
      <c r="Q91" s="251">
        <v>7.3008798198574638</v>
      </c>
    </row>
    <row r="92" spans="1:17" s="36" customFormat="1" ht="15" customHeight="1" outlineLevel="1">
      <c r="A92" s="60"/>
      <c r="B92" s="70" t="s">
        <v>496</v>
      </c>
      <c r="C92" s="13" t="s">
        <v>138</v>
      </c>
      <c r="D92" s="66"/>
      <c r="E92" s="251">
        <f t="shared" ref="E92" si="9">E107/E77*100</f>
        <v>0.15051740357478832</v>
      </c>
      <c r="F92" s="66"/>
      <c r="G92" s="251">
        <v>0.47565118912797288</v>
      </c>
      <c r="H92" s="251"/>
      <c r="I92" s="251">
        <v>0.84178304955041128</v>
      </c>
      <c r="J92" s="251"/>
      <c r="K92" s="251">
        <v>5.7226945716154356</v>
      </c>
      <c r="L92" s="251">
        <v>6.4053094613366266</v>
      </c>
      <c r="M92" s="251">
        <v>3.4009156311314586</v>
      </c>
      <c r="N92" s="251">
        <v>3.0258734103201288</v>
      </c>
      <c r="O92" s="251">
        <v>7.5956515600734162</v>
      </c>
      <c r="P92" s="251">
        <v>3.7978257800367081</v>
      </c>
      <c r="Q92" s="251">
        <v>3.7978257800367081</v>
      </c>
    </row>
    <row r="93" spans="1:17" s="36" customFormat="1" ht="15" customHeight="1" outlineLevel="1">
      <c r="A93" s="60"/>
      <c r="B93" s="70" t="s">
        <v>497</v>
      </c>
      <c r="C93" s="13" t="s">
        <v>138</v>
      </c>
      <c r="D93" s="66"/>
      <c r="E93" s="251">
        <f t="shared" ref="E93" si="10">E108/E78*100</f>
        <v>41.17647058823529</v>
      </c>
      <c r="F93" s="66"/>
      <c r="G93" s="251">
        <v>22.448979591836736</v>
      </c>
      <c r="H93" s="251"/>
      <c r="I93" s="251">
        <v>18.181818181818183</v>
      </c>
      <c r="J93" s="251"/>
      <c r="K93" s="251">
        <v>14.772727272727273</v>
      </c>
      <c r="L93" s="251">
        <v>14.772727272727273</v>
      </c>
      <c r="M93" s="251">
        <v>7.9545454545454541</v>
      </c>
      <c r="N93" s="251">
        <v>6.8181818181818175</v>
      </c>
      <c r="O93" s="251">
        <v>13.636363636363635</v>
      </c>
      <c r="P93" s="251">
        <v>6.8181818181818175</v>
      </c>
      <c r="Q93" s="251">
        <v>6.8181818181818175</v>
      </c>
    </row>
    <row r="94" spans="1:17" s="36" customFormat="1" ht="15" customHeight="1" outlineLevel="1">
      <c r="A94" s="60"/>
      <c r="B94" s="68" t="s">
        <v>498</v>
      </c>
      <c r="C94" s="13" t="s">
        <v>138</v>
      </c>
      <c r="D94" s="66"/>
      <c r="E94" s="251">
        <f t="shared" ref="E94" si="11">E109/E79*100</f>
        <v>37.486398258977147</v>
      </c>
      <c r="F94" s="66"/>
      <c r="G94" s="251">
        <v>23.558368495077357</v>
      </c>
      <c r="H94" s="251"/>
      <c r="I94" s="251">
        <v>20.229956494717214</v>
      </c>
      <c r="J94" s="251"/>
      <c r="K94" s="251">
        <v>20.211772033634382</v>
      </c>
      <c r="L94" s="251">
        <v>12.270320772345064</v>
      </c>
      <c r="M94" s="251">
        <v>6.0728744939271255</v>
      </c>
      <c r="N94" s="251">
        <v>6.1974462784179378</v>
      </c>
      <c r="O94" s="251">
        <v>3.2077234506384307</v>
      </c>
      <c r="P94" s="251">
        <v>1.5571473061351604</v>
      </c>
      <c r="Q94" s="251">
        <v>1.6505761445032698</v>
      </c>
    </row>
    <row r="95" spans="1:17" s="36" customFormat="1" ht="15" customHeight="1" outlineLevel="1">
      <c r="A95" s="60"/>
      <c r="B95" s="68" t="s">
        <v>499</v>
      </c>
      <c r="C95" s="13" t="s">
        <v>138</v>
      </c>
      <c r="D95" s="66"/>
      <c r="E95" s="251">
        <f t="shared" ref="E95" si="12">E110/E80*100</f>
        <v>10.254083484573503</v>
      </c>
      <c r="F95" s="66"/>
      <c r="G95" s="66"/>
      <c r="H95" s="66"/>
      <c r="I95" s="66"/>
      <c r="J95" s="66"/>
      <c r="K95" s="66"/>
      <c r="L95" s="66"/>
      <c r="M95" s="66"/>
      <c r="N95" s="66"/>
      <c r="O95" s="66"/>
      <c r="P95" s="66"/>
      <c r="Q95" s="66"/>
    </row>
    <row r="96" spans="1:17" s="36" customFormat="1">
      <c r="A96" s="60"/>
      <c r="B96" s="68"/>
      <c r="C96" s="13"/>
      <c r="D96" s="66"/>
      <c r="E96" s="66"/>
      <c r="F96" s="66"/>
      <c r="G96" s="66"/>
      <c r="H96" s="66"/>
      <c r="I96" s="66"/>
      <c r="J96" s="66"/>
      <c r="K96" s="66"/>
      <c r="L96" s="66"/>
      <c r="M96" s="66"/>
      <c r="N96" s="66"/>
      <c r="O96" s="66"/>
      <c r="P96" s="66"/>
      <c r="Q96" s="66"/>
    </row>
    <row r="97" spans="1:17" s="1001" customFormat="1" ht="15" customHeight="1">
      <c r="A97" s="82" t="s">
        <v>109</v>
      </c>
      <c r="B97" s="80" t="s">
        <v>505</v>
      </c>
      <c r="C97" s="999" t="s">
        <v>240</v>
      </c>
      <c r="D97" s="1000">
        <f>'4.10_транзит+сбыт_КТЭЦ'!D97+'4.10_транзит+сбыт_котельн.'!D97</f>
        <v>22365</v>
      </c>
      <c r="E97" s="1000">
        <f>'4.10_транзит+сбыт_КТЭЦ'!E97+'4.10_транзит+сбыт_котельн.'!E97</f>
        <v>21013</v>
      </c>
      <c r="F97" s="1000">
        <v>26248</v>
      </c>
      <c r="G97" s="1000">
        <v>29846</v>
      </c>
      <c r="H97" s="1000">
        <v>49520.783404981354</v>
      </c>
      <c r="I97" s="1000">
        <v>39304</v>
      </c>
      <c r="J97" s="1000">
        <v>30115.850696389592</v>
      </c>
      <c r="K97" s="1000">
        <v>71859</v>
      </c>
      <c r="L97" s="1000">
        <v>64607</v>
      </c>
      <c r="M97" s="1000">
        <v>32126</v>
      </c>
      <c r="N97" s="1000">
        <v>32481</v>
      </c>
      <c r="O97" s="1000">
        <v>65691</v>
      </c>
      <c r="P97" s="1000">
        <v>32746</v>
      </c>
      <c r="Q97" s="1000">
        <v>32945</v>
      </c>
    </row>
    <row r="98" spans="1:17" s="36" customFormat="1" ht="15" customHeight="1" outlineLevel="1">
      <c r="A98" s="60"/>
      <c r="B98" s="68" t="s">
        <v>487</v>
      </c>
      <c r="C98" s="13" t="s">
        <v>240</v>
      </c>
      <c r="D98" s="241"/>
      <c r="E98" s="241">
        <f>'4.10_транзит+сбыт_КТЭЦ'!E98+'4.10_транзит+сбыт_котельн.'!E98</f>
        <v>4936</v>
      </c>
      <c r="F98" s="241"/>
      <c r="G98" s="241">
        <v>12707</v>
      </c>
      <c r="H98" s="241">
        <v>0</v>
      </c>
      <c r="I98" s="241">
        <v>13918</v>
      </c>
      <c r="J98" s="241"/>
      <c r="K98" s="241">
        <v>13943</v>
      </c>
      <c r="L98" s="241">
        <v>13943</v>
      </c>
      <c r="M98" s="241">
        <v>6967</v>
      </c>
      <c r="N98" s="241">
        <v>6976</v>
      </c>
      <c r="O98" s="241">
        <v>13943</v>
      </c>
      <c r="P98" s="241">
        <v>6972</v>
      </c>
      <c r="Q98" s="241">
        <v>6971</v>
      </c>
    </row>
    <row r="99" spans="1:17" s="36" customFormat="1" ht="15" customHeight="1" outlineLevel="1">
      <c r="A99" s="60"/>
      <c r="B99" s="68" t="s">
        <v>488</v>
      </c>
      <c r="C99" s="13" t="s">
        <v>240</v>
      </c>
      <c r="D99" s="241"/>
      <c r="E99" s="241">
        <f>'4.10_транзит+сбыт_КТЭЦ'!E99+'4.10_транзит+сбыт_котельн.'!E99</f>
        <v>13257</v>
      </c>
      <c r="F99" s="241"/>
      <c r="G99" s="241">
        <v>13082</v>
      </c>
      <c r="H99" s="241">
        <v>0</v>
      </c>
      <c r="I99" s="241">
        <v>14324</v>
      </c>
      <c r="J99" s="241"/>
      <c r="K99" s="241">
        <v>23521</v>
      </c>
      <c r="L99" s="241">
        <v>37484</v>
      </c>
      <c r="M99" s="241">
        <v>18569</v>
      </c>
      <c r="N99" s="241">
        <v>18915</v>
      </c>
      <c r="O99" s="241">
        <v>39477</v>
      </c>
      <c r="P99" s="241">
        <v>19646</v>
      </c>
      <c r="Q99" s="241">
        <v>19831</v>
      </c>
    </row>
    <row r="100" spans="1:17" s="36" customFormat="1" ht="15" customHeight="1" outlineLevel="1">
      <c r="A100" s="60"/>
      <c r="B100" s="68" t="s">
        <v>489</v>
      </c>
      <c r="C100" s="13" t="s">
        <v>240</v>
      </c>
      <c r="D100" s="241"/>
      <c r="E100" s="241">
        <f>'4.10_транзит+сбыт_КТЭЦ'!E100+'4.10_транзит+сбыт_котельн.'!E100</f>
        <v>0</v>
      </c>
      <c r="F100" s="241"/>
      <c r="G100" s="241">
        <v>0</v>
      </c>
      <c r="H100" s="241">
        <v>0</v>
      </c>
      <c r="I100" s="241">
        <v>0</v>
      </c>
      <c r="J100" s="241"/>
      <c r="K100" s="241">
        <v>504</v>
      </c>
      <c r="L100" s="241">
        <v>1407</v>
      </c>
      <c r="M100" s="241">
        <v>704</v>
      </c>
      <c r="N100" s="241">
        <v>703</v>
      </c>
      <c r="O100" s="241">
        <v>1460</v>
      </c>
      <c r="P100" s="241">
        <v>730</v>
      </c>
      <c r="Q100" s="241">
        <v>730</v>
      </c>
    </row>
    <row r="101" spans="1:17" s="36" customFormat="1" ht="15" customHeight="1" outlineLevel="1">
      <c r="A101" s="60"/>
      <c r="B101" s="68" t="s">
        <v>490</v>
      </c>
      <c r="C101" s="13" t="s">
        <v>240</v>
      </c>
      <c r="D101" s="241"/>
      <c r="E101" s="241">
        <f>'4.10_транзит+сбыт_КТЭЦ'!E101+'4.10_транзит+сбыт_котельн.'!E101</f>
        <v>2003</v>
      </c>
      <c r="F101" s="241"/>
      <c r="G101" s="241">
        <v>3508</v>
      </c>
      <c r="H101" s="241">
        <v>0</v>
      </c>
      <c r="I101" s="241">
        <v>4628</v>
      </c>
      <c r="J101" s="241"/>
      <c r="K101" s="241">
        <v>10584</v>
      </c>
      <c r="L101" s="241">
        <v>10720</v>
      </c>
      <c r="M101" s="241">
        <v>5364</v>
      </c>
      <c r="N101" s="241">
        <v>5356</v>
      </c>
      <c r="O101" s="241">
        <v>9927</v>
      </c>
      <c r="P101" s="241">
        <v>4961</v>
      </c>
      <c r="Q101" s="241">
        <v>4966</v>
      </c>
    </row>
    <row r="102" spans="1:17" s="36" customFormat="1" ht="15" customHeight="1" outlineLevel="1">
      <c r="A102" s="60"/>
      <c r="B102" s="68" t="s">
        <v>491</v>
      </c>
      <c r="C102" s="13" t="s">
        <v>240</v>
      </c>
      <c r="D102" s="241"/>
      <c r="E102" s="241">
        <f>'4.10_транзит+сбыт_КТЭЦ'!E102+'4.10_транзит+сбыт_котельн.'!E102</f>
        <v>21</v>
      </c>
      <c r="F102" s="241"/>
      <c r="G102" s="241">
        <v>25</v>
      </c>
      <c r="H102" s="241">
        <v>0</v>
      </c>
      <c r="I102" s="241">
        <v>27</v>
      </c>
      <c r="J102" s="241"/>
      <c r="K102" s="241">
        <v>24</v>
      </c>
      <c r="L102" s="241">
        <v>24</v>
      </c>
      <c r="M102" s="241">
        <v>12</v>
      </c>
      <c r="N102" s="241">
        <v>12</v>
      </c>
      <c r="O102" s="241">
        <v>24</v>
      </c>
      <c r="P102" s="241">
        <v>12</v>
      </c>
      <c r="Q102" s="241">
        <v>12</v>
      </c>
    </row>
    <row r="103" spans="1:17" s="36" customFormat="1" ht="15" customHeight="1" outlineLevel="1">
      <c r="A103" s="60"/>
      <c r="B103" s="70" t="s">
        <v>492</v>
      </c>
      <c r="C103" s="13" t="s">
        <v>240</v>
      </c>
      <c r="D103" s="241"/>
      <c r="E103" s="241">
        <f>'4.10_транзит+сбыт_КТЭЦ'!E103+'4.10_транзит+сбыт_котельн.'!E103</f>
        <v>1108</v>
      </c>
      <c r="F103" s="241"/>
      <c r="G103" s="241">
        <v>1367</v>
      </c>
      <c r="H103" s="241">
        <v>0</v>
      </c>
      <c r="I103" s="241">
        <v>1905</v>
      </c>
      <c r="J103" s="241"/>
      <c r="K103" s="241">
        <v>1908</v>
      </c>
      <c r="L103" s="241">
        <v>1908</v>
      </c>
      <c r="M103" s="241">
        <v>954</v>
      </c>
      <c r="N103" s="241">
        <v>954</v>
      </c>
      <c r="O103" s="241">
        <v>1908</v>
      </c>
      <c r="P103" s="241">
        <v>954</v>
      </c>
      <c r="Q103" s="241">
        <v>954</v>
      </c>
    </row>
    <row r="104" spans="1:17" s="36" customFormat="1" ht="15" customHeight="1" outlineLevel="1">
      <c r="A104" s="60"/>
      <c r="B104" s="70" t="s">
        <v>493</v>
      </c>
      <c r="C104" s="13" t="s">
        <v>240</v>
      </c>
      <c r="D104" s="241"/>
      <c r="E104" s="241">
        <f>'4.10_транзит+сбыт_КТЭЦ'!E104+'4.10_транзит+сбыт_котельн.'!E104</f>
        <v>424</v>
      </c>
      <c r="F104" s="241"/>
      <c r="G104" s="241">
        <v>764</v>
      </c>
      <c r="H104" s="241">
        <v>0</v>
      </c>
      <c r="I104" s="241">
        <v>944</v>
      </c>
      <c r="J104" s="241"/>
      <c r="K104" s="241">
        <v>1332</v>
      </c>
      <c r="L104" s="241">
        <v>1389</v>
      </c>
      <c r="M104" s="241">
        <v>680</v>
      </c>
      <c r="N104" s="241">
        <v>709</v>
      </c>
      <c r="O104" s="241">
        <v>1420</v>
      </c>
      <c r="P104" s="241">
        <v>689</v>
      </c>
      <c r="Q104" s="241">
        <v>731</v>
      </c>
    </row>
    <row r="105" spans="1:17" s="36" customFormat="1" ht="15" customHeight="1" outlineLevel="1">
      <c r="A105" s="60"/>
      <c r="B105" s="70" t="s">
        <v>494</v>
      </c>
      <c r="C105" s="13" t="s">
        <v>240</v>
      </c>
      <c r="D105" s="241"/>
      <c r="E105" s="241">
        <f>'4.10_транзит+сбыт_КТЭЦ'!E105+'4.10_транзит+сбыт_котельн.'!E105</f>
        <v>224</v>
      </c>
      <c r="F105" s="241"/>
      <c r="G105" s="241">
        <v>912</v>
      </c>
      <c r="H105" s="241">
        <v>0</v>
      </c>
      <c r="I105" s="241">
        <v>829</v>
      </c>
      <c r="J105" s="241"/>
      <c r="K105" s="241">
        <v>337</v>
      </c>
      <c r="L105" s="241">
        <v>359</v>
      </c>
      <c r="M105" s="241">
        <v>198</v>
      </c>
      <c r="N105" s="241">
        <v>161</v>
      </c>
      <c r="O105" s="241">
        <v>286</v>
      </c>
      <c r="P105" s="241">
        <v>162</v>
      </c>
      <c r="Q105" s="241">
        <v>124</v>
      </c>
    </row>
    <row r="106" spans="1:17" s="36" customFormat="1" ht="15" customHeight="1" outlineLevel="1">
      <c r="A106" s="60"/>
      <c r="B106" s="70" t="s">
        <v>495</v>
      </c>
      <c r="C106" s="13" t="s">
        <v>240</v>
      </c>
      <c r="D106" s="241"/>
      <c r="E106" s="241">
        <f>'4.10_транзит+сбыт_КТЭЦ'!E106+'4.10_транзит+сбыт_котельн.'!E106</f>
        <v>226</v>
      </c>
      <c r="F106" s="241"/>
      <c r="G106" s="241">
        <v>440</v>
      </c>
      <c r="H106" s="241">
        <v>0</v>
      </c>
      <c r="I106" s="241">
        <v>923</v>
      </c>
      <c r="J106" s="241"/>
      <c r="K106" s="241">
        <v>6983</v>
      </c>
      <c r="L106" s="241">
        <v>7040</v>
      </c>
      <c r="M106" s="241">
        <v>3520</v>
      </c>
      <c r="N106" s="241">
        <v>3520</v>
      </c>
      <c r="O106" s="241">
        <v>6289</v>
      </c>
      <c r="P106" s="241">
        <v>3144</v>
      </c>
      <c r="Q106" s="241">
        <v>3145</v>
      </c>
    </row>
    <row r="107" spans="1:17" s="36" customFormat="1" ht="15" customHeight="1" outlineLevel="1">
      <c r="A107" s="60"/>
      <c r="B107" s="70" t="s">
        <v>496</v>
      </c>
      <c r="C107" s="13" t="s">
        <v>240</v>
      </c>
      <c r="D107" s="241"/>
      <c r="E107" s="241">
        <f>'4.10_транзит+сбыт_КТЭЦ'!E107+'4.10_транзит+сбыт_котельн.'!E107</f>
        <v>8</v>
      </c>
      <c r="F107" s="241"/>
      <c r="G107" s="241">
        <v>21</v>
      </c>
      <c r="H107" s="241">
        <v>0</v>
      </c>
      <c r="I107" s="241">
        <v>44</v>
      </c>
      <c r="J107" s="241"/>
      <c r="K107" s="241">
        <v>350</v>
      </c>
      <c r="L107" s="241">
        <v>415</v>
      </c>
      <c r="M107" s="241">
        <v>208</v>
      </c>
      <c r="N107" s="241">
        <v>207</v>
      </c>
      <c r="O107" s="241">
        <v>538</v>
      </c>
      <c r="P107" s="241">
        <v>269</v>
      </c>
      <c r="Q107" s="241">
        <v>269</v>
      </c>
    </row>
    <row r="108" spans="1:17" s="36" customFormat="1" ht="15" customHeight="1" outlineLevel="1">
      <c r="A108" s="60"/>
      <c r="B108" s="70" t="s">
        <v>497</v>
      </c>
      <c r="C108" s="13" t="s">
        <v>240</v>
      </c>
      <c r="D108" s="241"/>
      <c r="E108" s="241">
        <f>'4.10_транзит+сбыт_КТЭЦ'!E108+'4.10_транзит+сбыт_котельн.'!E108</f>
        <v>7</v>
      </c>
      <c r="F108" s="241"/>
      <c r="G108" s="241">
        <v>11</v>
      </c>
      <c r="H108" s="241">
        <v>0</v>
      </c>
      <c r="I108" s="241">
        <v>16</v>
      </c>
      <c r="J108" s="241"/>
      <c r="K108" s="241">
        <v>13</v>
      </c>
      <c r="L108" s="241">
        <v>13</v>
      </c>
      <c r="M108" s="241">
        <v>7</v>
      </c>
      <c r="N108" s="241">
        <v>6</v>
      </c>
      <c r="O108" s="241">
        <v>12</v>
      </c>
      <c r="P108" s="241">
        <v>6</v>
      </c>
      <c r="Q108" s="241">
        <v>6</v>
      </c>
    </row>
    <row r="109" spans="1:17" s="36" customFormat="1" ht="15" customHeight="1" outlineLevel="1">
      <c r="A109" s="60"/>
      <c r="B109" s="68" t="s">
        <v>498</v>
      </c>
      <c r="C109" s="13" t="s">
        <v>240</v>
      </c>
      <c r="D109" s="241"/>
      <c r="E109" s="241">
        <f>'4.10_транзит+сбыт_КТЭЦ'!E109+'4.10_транзит+сбыт_котельн.'!E109</f>
        <v>689</v>
      </c>
      <c r="F109" s="241"/>
      <c r="G109" s="241">
        <v>335</v>
      </c>
      <c r="H109" s="241">
        <v>0</v>
      </c>
      <c r="I109" s="241">
        <v>651</v>
      </c>
      <c r="J109" s="241"/>
      <c r="K109" s="241">
        <v>649</v>
      </c>
      <c r="L109" s="241">
        <v>394</v>
      </c>
      <c r="M109" s="241">
        <v>195</v>
      </c>
      <c r="N109" s="241">
        <v>199</v>
      </c>
      <c r="O109" s="241">
        <v>103</v>
      </c>
      <c r="P109" s="241">
        <v>50</v>
      </c>
      <c r="Q109" s="241">
        <v>53</v>
      </c>
    </row>
    <row r="110" spans="1:17" s="36" customFormat="1" ht="15" customHeight="1" outlineLevel="1">
      <c r="A110" s="60"/>
      <c r="B110" s="68" t="s">
        <v>499</v>
      </c>
      <c r="C110" s="13" t="s">
        <v>240</v>
      </c>
      <c r="D110" s="241"/>
      <c r="E110" s="241">
        <f>'4.10_транзит+сбыт_КТЭЦ'!E110+'4.10_транзит+сбыт_котельн.'!E110</f>
        <v>113</v>
      </c>
      <c r="F110" s="241"/>
      <c r="G110" s="241"/>
      <c r="H110" s="241"/>
      <c r="I110" s="241"/>
      <c r="J110" s="241"/>
      <c r="K110" s="241"/>
      <c r="L110" s="241"/>
      <c r="M110" s="241"/>
      <c r="N110" s="241"/>
      <c r="O110" s="241"/>
      <c r="P110" s="241"/>
      <c r="Q110" s="241"/>
    </row>
    <row r="111" spans="1:17" s="1001" customFormat="1" ht="28.5">
      <c r="A111" s="82" t="s">
        <v>151</v>
      </c>
      <c r="B111" s="80" t="s">
        <v>1524</v>
      </c>
      <c r="C111" s="1002" t="s">
        <v>240</v>
      </c>
      <c r="D111" s="1000">
        <f>'4.10_транзит+сбыт_КТЭЦ'!D111+'4.10_транзит+сбыт_котельн.'!D111</f>
        <v>23948</v>
      </c>
      <c r="E111" s="1000">
        <f>'4.10_транзит+сбыт_КТЭЦ'!E111+'4.10_транзит+сбыт_котельн.'!E111</f>
        <v>23376</v>
      </c>
      <c r="F111" s="1000">
        <v>26248</v>
      </c>
      <c r="G111" s="1000">
        <v>32819</v>
      </c>
      <c r="H111" s="1000">
        <v>53167.783404981354</v>
      </c>
      <c r="I111" s="1000">
        <v>42734</v>
      </c>
      <c r="J111" s="1000">
        <v>34039.850696389592</v>
      </c>
      <c r="K111" s="1000">
        <v>75106</v>
      </c>
      <c r="L111" s="1000">
        <v>68738</v>
      </c>
      <c r="M111" s="1000">
        <v>34164</v>
      </c>
      <c r="N111" s="1000">
        <v>34574</v>
      </c>
      <c r="O111" s="1000">
        <v>71171</v>
      </c>
      <c r="P111" s="1000">
        <v>35391</v>
      </c>
      <c r="Q111" s="1000">
        <v>35780</v>
      </c>
    </row>
    <row r="112" spans="1:17" s="36" customFormat="1" ht="15" customHeight="1">
      <c r="A112" s="60" t="s">
        <v>153</v>
      </c>
      <c r="B112" s="70" t="s">
        <v>402</v>
      </c>
      <c r="C112" s="13" t="s">
        <v>240</v>
      </c>
      <c r="D112" s="241"/>
      <c r="E112" s="241"/>
      <c r="F112" s="241"/>
      <c r="G112" s="241"/>
      <c r="H112" s="241"/>
      <c r="I112" s="241"/>
      <c r="J112" s="241"/>
      <c r="K112" s="241"/>
      <c r="L112" s="241"/>
      <c r="M112" s="241"/>
      <c r="N112" s="241"/>
      <c r="O112" s="241"/>
      <c r="P112" s="241"/>
      <c r="Q112" s="241"/>
    </row>
    <row r="113" spans="1:17" s="36" customFormat="1" ht="15" customHeight="1">
      <c r="A113" s="60" t="s">
        <v>1528</v>
      </c>
      <c r="B113" s="70" t="s">
        <v>404</v>
      </c>
      <c r="C113" s="13" t="s">
        <v>240</v>
      </c>
      <c r="D113" s="241">
        <v>23948</v>
      </c>
      <c r="E113" s="241">
        <f>E111</f>
        <v>23376</v>
      </c>
      <c r="F113" s="241">
        <v>26248</v>
      </c>
      <c r="G113" s="241">
        <v>32819</v>
      </c>
      <c r="H113" s="241">
        <v>53167.783404981354</v>
      </c>
      <c r="I113" s="241">
        <v>42734</v>
      </c>
      <c r="J113" s="241">
        <v>34039.850696389592</v>
      </c>
      <c r="K113" s="241">
        <v>75106</v>
      </c>
      <c r="L113" s="241">
        <v>68738</v>
      </c>
      <c r="M113" s="241">
        <v>34164</v>
      </c>
      <c r="N113" s="241">
        <v>34574</v>
      </c>
      <c r="O113" s="241">
        <v>71171</v>
      </c>
      <c r="P113" s="241">
        <v>35391</v>
      </c>
      <c r="Q113" s="241">
        <v>35780</v>
      </c>
    </row>
    <row r="114" spans="1:17" s="36" customFormat="1" ht="15" customHeight="1">
      <c r="A114" s="60" t="s">
        <v>1529</v>
      </c>
      <c r="B114" s="70" t="s">
        <v>406</v>
      </c>
      <c r="C114" s="13" t="s">
        <v>240</v>
      </c>
      <c r="D114" s="241"/>
      <c r="E114" s="241"/>
      <c r="F114" s="241"/>
      <c r="G114" s="241"/>
      <c r="H114" s="241"/>
      <c r="I114" s="241"/>
      <c r="J114" s="241"/>
      <c r="K114" s="241"/>
      <c r="L114" s="241"/>
      <c r="M114" s="241"/>
      <c r="N114" s="241"/>
      <c r="O114" s="241"/>
      <c r="P114" s="241"/>
      <c r="Q114" s="241"/>
    </row>
    <row r="115" spans="1:17" s="36" customFormat="1" ht="15" customHeight="1">
      <c r="A115" s="60" t="s">
        <v>1530</v>
      </c>
      <c r="B115" s="70" t="s">
        <v>408</v>
      </c>
      <c r="C115" s="13" t="s">
        <v>240</v>
      </c>
      <c r="D115" s="241"/>
      <c r="E115" s="241"/>
      <c r="F115" s="241"/>
      <c r="G115" s="241"/>
      <c r="H115" s="241"/>
      <c r="I115" s="241"/>
      <c r="J115" s="241"/>
      <c r="K115" s="241"/>
      <c r="L115" s="241"/>
      <c r="M115" s="241"/>
      <c r="N115" s="241"/>
      <c r="O115" s="241"/>
      <c r="P115" s="241"/>
      <c r="Q115" s="241"/>
    </row>
    <row r="116" spans="1:17" customFormat="1" ht="12.75"/>
    <row r="117" spans="1:17" s="26" customFormat="1">
      <c r="A117" s="26" t="s">
        <v>88</v>
      </c>
      <c r="C117" s="48"/>
    </row>
    <row r="118" spans="1:17" s="976" customFormat="1" ht="51.75" customHeight="1">
      <c r="A118" s="976" t="s">
        <v>89</v>
      </c>
      <c r="B118" s="1842" t="s">
        <v>506</v>
      </c>
      <c r="C118" s="1842"/>
      <c r="D118" s="1842"/>
      <c r="E118" s="1842"/>
      <c r="F118" s="1842"/>
      <c r="G118" s="1842"/>
      <c r="H118" s="1842"/>
      <c r="I118" s="1842"/>
      <c r="J118" s="1842"/>
      <c r="K118" s="1842"/>
      <c r="L118" s="1842"/>
      <c r="M118" s="1842"/>
      <c r="N118" s="1842"/>
    </row>
    <row r="119" spans="1:17" s="976" customFormat="1" ht="58.5" customHeight="1">
      <c r="A119" s="976" t="s">
        <v>91</v>
      </c>
      <c r="B119" s="1842" t="s">
        <v>507</v>
      </c>
      <c r="C119" s="1842"/>
      <c r="D119" s="1842"/>
      <c r="E119" s="1842"/>
      <c r="F119" s="1842"/>
      <c r="G119" s="1842"/>
      <c r="H119" s="1842"/>
      <c r="I119" s="1842"/>
      <c r="J119" s="1842"/>
      <c r="K119" s="1842"/>
      <c r="L119" s="1842"/>
      <c r="M119" s="1842"/>
      <c r="N119" s="1842"/>
    </row>
    <row r="120" spans="1:17" ht="21" customHeight="1"/>
  </sheetData>
  <mergeCells count="3">
    <mergeCell ref="A3:N3"/>
    <mergeCell ref="B118:N118"/>
    <mergeCell ref="B119:N119"/>
  </mergeCells>
  <pageMargins left="0.78740157480314965" right="0.51181102362204722" top="0.3" bottom="0.39370078740157483" header="0.19685039370078741" footer="0.19685039370078741"/>
  <pageSetup paperSize="9" scale="43" orientation="portrait" r:id="rId1"/>
  <headerFooter alignWithMargins="0"/>
  <rowBreaks count="1" manualBreakCount="1">
    <brk id="116" max="6" man="1"/>
  </row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R120"/>
  <sheetViews>
    <sheetView view="pageBreakPreview" zoomScaleNormal="100" workbookViewId="0">
      <pane xSplit="2" ySplit="5" topLeftCell="C6" activePane="bottomRight" state="frozen"/>
      <selection activeCell="F4" sqref="F4"/>
      <selection pane="topRight" activeCell="F4" sqref="F4"/>
      <selection pane="bottomLeft" activeCell="F4" sqref="F4"/>
      <selection pane="bottomRight" activeCell="F4" sqref="F4"/>
    </sheetView>
  </sheetViews>
  <sheetFormatPr defaultColWidth="4.28515625" defaultRowHeight="15" outlineLevelRow="2"/>
  <cols>
    <col min="1" max="1" width="5.42578125" style="1" customWidth="1"/>
    <col min="2" max="2" width="42.28515625" style="1" customWidth="1"/>
    <col min="3" max="3" width="12" style="21" customWidth="1"/>
    <col min="4" max="4" width="12.5703125" style="1" hidden="1" customWidth="1"/>
    <col min="5" max="5" width="11.5703125" style="1" hidden="1" customWidth="1"/>
    <col min="6" max="9" width="12.5703125" style="1" customWidth="1"/>
    <col min="10" max="10" width="12.85546875" style="1" customWidth="1"/>
    <col min="11" max="11" width="15.7109375" style="1" customWidth="1"/>
    <col min="12" max="12" width="12.5703125" style="1" customWidth="1"/>
    <col min="13" max="13" width="11.42578125" style="1" customWidth="1"/>
    <col min="14" max="14" width="11" style="1" customWidth="1"/>
    <col min="15" max="15" width="12.7109375" style="1" customWidth="1"/>
    <col min="16" max="16" width="10.85546875" style="1" customWidth="1"/>
    <col min="17" max="17" width="10.5703125" style="1" customWidth="1"/>
    <col min="18" max="16384" width="4.28515625" style="1"/>
  </cols>
  <sheetData>
    <row r="1" spans="1:18" s="5" customFormat="1" ht="15.75" customHeight="1">
      <c r="A1" s="74" t="s">
        <v>1860</v>
      </c>
      <c r="C1" s="20"/>
      <c r="N1" s="6" t="s">
        <v>943</v>
      </c>
      <c r="Q1" s="6" t="s">
        <v>943</v>
      </c>
    </row>
    <row r="2" spans="1:18" s="5" customFormat="1" ht="12.75" customHeight="1">
      <c r="A2" s="105" t="str">
        <f>'4.10_свод '!A2</f>
        <v>КТЭЦ + котельные СВОД</v>
      </c>
      <c r="C2" s="20"/>
      <c r="R2" s="5" t="s">
        <v>1243</v>
      </c>
    </row>
    <row r="3" spans="1:18" ht="37.5" customHeight="1">
      <c r="A3" s="1915" t="s">
        <v>1176</v>
      </c>
      <c r="B3" s="1915"/>
      <c r="C3" s="1915"/>
      <c r="D3" s="1915"/>
      <c r="E3" s="1915"/>
      <c r="F3" s="1915"/>
      <c r="G3" s="1915"/>
      <c r="H3" s="1915"/>
      <c r="I3" s="1915"/>
      <c r="J3" s="1915"/>
      <c r="K3" s="1915"/>
      <c r="L3" s="1915"/>
      <c r="M3" s="1915"/>
      <c r="N3" s="1915"/>
    </row>
    <row r="4" spans="1:18" customFormat="1" ht="12.75" customHeight="1"/>
    <row r="5" spans="1:18" s="3" customFormat="1" ht="70.5" customHeight="1">
      <c r="A5" s="913" t="s">
        <v>1527</v>
      </c>
      <c r="B5" s="913" t="s">
        <v>1</v>
      </c>
      <c r="C5" s="913" t="s">
        <v>2</v>
      </c>
      <c r="D5" s="913" t="s">
        <v>1129</v>
      </c>
      <c r="E5" s="913" t="s">
        <v>1130</v>
      </c>
      <c r="F5" s="975" t="s">
        <v>1553</v>
      </c>
      <c r="G5" s="913" t="s">
        <v>1695</v>
      </c>
      <c r="H5" s="1310" t="s">
        <v>1702</v>
      </c>
      <c r="I5" s="1576" t="s">
        <v>1828</v>
      </c>
      <c r="J5" s="1613" t="s">
        <v>1842</v>
      </c>
      <c r="K5" s="1631" t="s">
        <v>1861</v>
      </c>
      <c r="L5" s="1631" t="s">
        <v>1862</v>
      </c>
      <c r="M5" s="1631" t="s">
        <v>763</v>
      </c>
      <c r="N5" s="1631" t="s">
        <v>764</v>
      </c>
      <c r="O5" s="1631" t="s">
        <v>1863</v>
      </c>
      <c r="P5" s="1631" t="s">
        <v>763</v>
      </c>
      <c r="Q5" s="1631" t="s">
        <v>764</v>
      </c>
    </row>
    <row r="6" spans="1:18" s="2" customFormat="1">
      <c r="A6" s="13">
        <v>1</v>
      </c>
      <c r="B6" s="13">
        <v>2</v>
      </c>
      <c r="C6" s="13">
        <v>3</v>
      </c>
      <c r="D6" s="13">
        <v>4</v>
      </c>
      <c r="E6" s="13">
        <v>5</v>
      </c>
      <c r="F6" s="13">
        <v>4</v>
      </c>
      <c r="G6" s="13">
        <v>5</v>
      </c>
      <c r="H6" s="13">
        <v>6</v>
      </c>
      <c r="I6" s="13">
        <v>7</v>
      </c>
      <c r="J6" s="13">
        <v>8</v>
      </c>
      <c r="K6" s="13">
        <v>9</v>
      </c>
      <c r="L6" s="13">
        <v>10</v>
      </c>
      <c r="M6" s="13">
        <v>11</v>
      </c>
      <c r="N6" s="13">
        <v>12</v>
      </c>
      <c r="O6" s="13">
        <v>13</v>
      </c>
      <c r="P6" s="13">
        <v>14</v>
      </c>
      <c r="Q6" s="13">
        <v>15</v>
      </c>
    </row>
    <row r="7" spans="1:18" s="1001" customFormat="1" ht="30" customHeight="1">
      <c r="A7" s="82" t="s">
        <v>4</v>
      </c>
      <c r="B7" s="80" t="s">
        <v>486</v>
      </c>
      <c r="C7" s="1002" t="s">
        <v>240</v>
      </c>
      <c r="D7" s="1000">
        <f>'4.10_транзит_КТЭЦ'!D7+'4.10_транзит_котельн.'!D7</f>
        <v>259197</v>
      </c>
      <c r="E7" s="1000">
        <f>'4.10_транзит_КТЭЦ'!E7+'4.10_транзит_котельн.'!E7</f>
        <v>270811</v>
      </c>
      <c r="F7" s="1000">
        <f>'4.10_транзит_КТЭЦ'!F7+'4.10_транзит_котельн.'!F7</f>
        <v>0</v>
      </c>
      <c r="G7" s="1000">
        <v>536842.71706605621</v>
      </c>
      <c r="H7" s="1000">
        <v>0</v>
      </c>
      <c r="I7" s="1000">
        <v>535052</v>
      </c>
      <c r="J7" s="1000">
        <v>0</v>
      </c>
      <c r="K7" s="1000">
        <v>602340</v>
      </c>
      <c r="L7" s="1000">
        <v>822836</v>
      </c>
      <c r="M7" s="1000">
        <v>822836</v>
      </c>
      <c r="N7" s="1000">
        <v>822836</v>
      </c>
      <c r="O7" s="1000">
        <v>845627</v>
      </c>
      <c r="P7" s="1000">
        <v>845627</v>
      </c>
      <c r="Q7" s="1000">
        <v>845627</v>
      </c>
    </row>
    <row r="8" spans="1:18" s="36" customFormat="1" ht="15" customHeight="1" outlineLevel="1">
      <c r="A8" s="60"/>
      <c r="B8" s="68" t="s">
        <v>487</v>
      </c>
      <c r="C8" s="13" t="s">
        <v>240</v>
      </c>
      <c r="D8" s="241"/>
      <c r="E8" s="241">
        <f>'4.10_транзит_КТЭЦ'!E8+'4.10_транзит_котельн.'!E8</f>
        <v>112824</v>
      </c>
      <c r="F8" s="241"/>
      <c r="G8" s="241">
        <v>376836</v>
      </c>
      <c r="H8" s="241">
        <v>0</v>
      </c>
      <c r="I8" s="241">
        <v>364660</v>
      </c>
      <c r="J8" s="241">
        <v>0</v>
      </c>
      <c r="K8" s="241">
        <v>360594</v>
      </c>
      <c r="L8" s="241">
        <v>360594</v>
      </c>
      <c r="M8" s="241">
        <v>360594</v>
      </c>
      <c r="N8" s="241">
        <v>360594</v>
      </c>
      <c r="O8" s="241">
        <v>360594</v>
      </c>
      <c r="P8" s="241">
        <v>360594</v>
      </c>
      <c r="Q8" s="241">
        <v>360594</v>
      </c>
    </row>
    <row r="9" spans="1:18" s="36" customFormat="1" ht="15" customHeight="1" outlineLevel="1">
      <c r="A9" s="60"/>
      <c r="B9" s="68" t="s">
        <v>488</v>
      </c>
      <c r="C9" s="13" t="s">
        <v>240</v>
      </c>
      <c r="D9" s="241"/>
      <c r="E9" s="241">
        <f>'4.10_транзит_КТЭЦ'!E9+'4.10_транзит_котельн.'!E9</f>
        <v>124365</v>
      </c>
      <c r="F9" s="241"/>
      <c r="G9" s="241">
        <v>124346.06257908106</v>
      </c>
      <c r="H9" s="241">
        <v>0</v>
      </c>
      <c r="I9" s="241">
        <v>124408</v>
      </c>
      <c r="J9" s="241">
        <v>0</v>
      </c>
      <c r="K9" s="241">
        <v>133088</v>
      </c>
      <c r="L9" s="241">
        <v>359332</v>
      </c>
      <c r="M9" s="241">
        <v>359332</v>
      </c>
      <c r="N9" s="241">
        <v>359332</v>
      </c>
      <c r="O9" s="241">
        <v>379824</v>
      </c>
      <c r="P9" s="241">
        <v>379824</v>
      </c>
      <c r="Q9" s="241">
        <v>379824</v>
      </c>
    </row>
    <row r="10" spans="1:18" s="36" customFormat="1" ht="15" customHeight="1" outlineLevel="1">
      <c r="A10" s="60"/>
      <c r="B10" s="68" t="s">
        <v>489</v>
      </c>
      <c r="C10" s="13" t="s">
        <v>240</v>
      </c>
      <c r="D10" s="241"/>
      <c r="E10" s="241">
        <f>'4.10_транзит_КТЭЦ'!E10+'4.10_транзит_котельн.'!E10</f>
        <v>0</v>
      </c>
      <c r="F10" s="241"/>
      <c r="G10" s="241">
        <v>0</v>
      </c>
      <c r="H10" s="241">
        <v>0</v>
      </c>
      <c r="I10" s="241">
        <v>0</v>
      </c>
      <c r="J10" s="241">
        <v>0</v>
      </c>
      <c r="K10" s="241">
        <v>5459</v>
      </c>
      <c r="L10" s="241">
        <v>20015</v>
      </c>
      <c r="M10" s="241">
        <v>20015</v>
      </c>
      <c r="N10" s="241">
        <v>20015</v>
      </c>
      <c r="O10" s="241">
        <v>20643</v>
      </c>
      <c r="P10" s="241">
        <v>20643</v>
      </c>
      <c r="Q10" s="241">
        <v>20643</v>
      </c>
    </row>
    <row r="11" spans="1:18" s="36" customFormat="1" ht="15" customHeight="1" outlineLevel="1">
      <c r="A11" s="60"/>
      <c r="B11" s="68" t="s">
        <v>490</v>
      </c>
      <c r="C11" s="13" t="s">
        <v>240</v>
      </c>
      <c r="D11" s="241"/>
      <c r="E11" s="241">
        <f>'4.10_транзит_КТЭЦ'!E11+'4.10_транзит_котельн.'!E11</f>
        <v>25979</v>
      </c>
      <c r="F11" s="241"/>
      <c r="G11" s="241">
        <v>27528.641756734567</v>
      </c>
      <c r="H11" s="241">
        <v>0</v>
      </c>
      <c r="I11" s="241">
        <v>36623</v>
      </c>
      <c r="J11" s="241">
        <v>0</v>
      </c>
      <c r="K11" s="241">
        <v>70135</v>
      </c>
      <c r="L11" s="241">
        <v>71895</v>
      </c>
      <c r="M11" s="241">
        <v>71895</v>
      </c>
      <c r="N11" s="241">
        <v>71895</v>
      </c>
      <c r="O11" s="241">
        <v>72599</v>
      </c>
      <c r="P11" s="241">
        <v>72599</v>
      </c>
      <c r="Q11" s="241">
        <v>72599</v>
      </c>
    </row>
    <row r="12" spans="1:18" s="36" customFormat="1" ht="15" customHeight="1" outlineLevel="1">
      <c r="A12" s="60"/>
      <c r="B12" s="68" t="s">
        <v>491</v>
      </c>
      <c r="C12" s="13" t="s">
        <v>240</v>
      </c>
      <c r="D12" s="241"/>
      <c r="E12" s="241">
        <f>'4.10_транзит_КТЭЦ'!E12+'4.10_транзит_котельн.'!E12</f>
        <v>128</v>
      </c>
      <c r="F12" s="241"/>
      <c r="G12" s="241">
        <v>154</v>
      </c>
      <c r="H12" s="241">
        <v>0</v>
      </c>
      <c r="I12" s="241">
        <v>154</v>
      </c>
      <c r="J12" s="241">
        <v>0</v>
      </c>
      <c r="K12" s="241">
        <v>154</v>
      </c>
      <c r="L12" s="241">
        <v>154</v>
      </c>
      <c r="M12" s="241">
        <v>154</v>
      </c>
      <c r="N12" s="241">
        <v>154</v>
      </c>
      <c r="O12" s="241">
        <v>154</v>
      </c>
      <c r="P12" s="241">
        <v>154</v>
      </c>
      <c r="Q12" s="241">
        <v>154</v>
      </c>
    </row>
    <row r="13" spans="1:18" s="36" customFormat="1" ht="15" customHeight="1" outlineLevel="1">
      <c r="A13" s="60"/>
      <c r="B13" s="70" t="s">
        <v>492</v>
      </c>
      <c r="C13" s="13" t="s">
        <v>240</v>
      </c>
      <c r="D13" s="241"/>
      <c r="E13" s="241">
        <f>'4.10_транзит_КТЭЦ'!E13+'4.10_транзит_котельн.'!E13</f>
        <v>16590</v>
      </c>
      <c r="F13" s="241"/>
      <c r="G13" s="241">
        <v>16666</v>
      </c>
      <c r="H13" s="241">
        <v>0</v>
      </c>
      <c r="I13" s="241">
        <v>20013</v>
      </c>
      <c r="J13" s="241">
        <v>0</v>
      </c>
      <c r="K13" s="241">
        <v>23566</v>
      </c>
      <c r="L13" s="241">
        <v>23566</v>
      </c>
      <c r="M13" s="241">
        <v>23566</v>
      </c>
      <c r="N13" s="241">
        <v>23566</v>
      </c>
      <c r="O13" s="241">
        <v>23566</v>
      </c>
      <c r="P13" s="241">
        <v>23566</v>
      </c>
      <c r="Q13" s="241">
        <v>23566</v>
      </c>
    </row>
    <row r="14" spans="1:18" s="36" customFormat="1" ht="15" customHeight="1" outlineLevel="1">
      <c r="A14" s="60"/>
      <c r="B14" s="70" t="s">
        <v>493</v>
      </c>
      <c r="C14" s="13" t="s">
        <v>240</v>
      </c>
      <c r="D14" s="241"/>
      <c r="E14" s="241">
        <f>'4.10_транзит_КТЭЦ'!E14+'4.10_транзит_котельн.'!E14</f>
        <v>502</v>
      </c>
      <c r="F14" s="241"/>
      <c r="G14" s="241">
        <v>686.92787806786237</v>
      </c>
      <c r="H14" s="241">
        <v>0</v>
      </c>
      <c r="I14" s="241">
        <v>1234</v>
      </c>
      <c r="J14" s="241">
        <v>0</v>
      </c>
      <c r="K14" s="241">
        <v>1331</v>
      </c>
      <c r="L14" s="241">
        <v>1331</v>
      </c>
      <c r="M14" s="241">
        <v>1331</v>
      </c>
      <c r="N14" s="241">
        <v>1331</v>
      </c>
      <c r="O14" s="241">
        <v>1331</v>
      </c>
      <c r="P14" s="241">
        <v>1331</v>
      </c>
      <c r="Q14" s="241">
        <v>1331</v>
      </c>
    </row>
    <row r="15" spans="1:18" s="36" customFormat="1" ht="15" customHeight="1" outlineLevel="1">
      <c r="A15" s="60"/>
      <c r="B15" s="70" t="s">
        <v>494</v>
      </c>
      <c r="C15" s="13" t="s">
        <v>240</v>
      </c>
      <c r="D15" s="241"/>
      <c r="E15" s="241">
        <f>'4.10_транзит_КТЭЦ'!E15+'4.10_транзит_котельн.'!E15</f>
        <v>1504</v>
      </c>
      <c r="F15" s="241"/>
      <c r="G15" s="241">
        <v>2116.7138786667056</v>
      </c>
      <c r="H15" s="241">
        <v>0</v>
      </c>
      <c r="I15" s="241">
        <v>5019</v>
      </c>
      <c r="J15" s="241">
        <v>0</v>
      </c>
      <c r="K15" s="241">
        <v>5190</v>
      </c>
      <c r="L15" s="241">
        <v>5190</v>
      </c>
      <c r="M15" s="241">
        <v>5190</v>
      </c>
      <c r="N15" s="241">
        <v>5190</v>
      </c>
      <c r="O15" s="241">
        <v>5190</v>
      </c>
      <c r="P15" s="241">
        <v>5190</v>
      </c>
      <c r="Q15" s="241">
        <v>5190</v>
      </c>
    </row>
    <row r="16" spans="1:18" s="36" customFormat="1" ht="15" customHeight="1" outlineLevel="1">
      <c r="A16" s="60"/>
      <c r="B16" s="70" t="s">
        <v>495</v>
      </c>
      <c r="C16" s="13" t="s">
        <v>240</v>
      </c>
      <c r="D16" s="241"/>
      <c r="E16" s="241">
        <f>'4.10_транзит_КТЭЦ'!E16+'4.10_транзит_котельн.'!E16</f>
        <v>7255</v>
      </c>
      <c r="F16" s="241"/>
      <c r="G16" s="241">
        <v>7905</v>
      </c>
      <c r="H16" s="241">
        <v>0</v>
      </c>
      <c r="I16" s="241">
        <v>10203</v>
      </c>
      <c r="J16" s="241">
        <v>0</v>
      </c>
      <c r="K16" s="241">
        <v>39894</v>
      </c>
      <c r="L16" s="241">
        <v>41654</v>
      </c>
      <c r="M16" s="241">
        <v>41654</v>
      </c>
      <c r="N16" s="241">
        <v>41654</v>
      </c>
      <c r="O16" s="241">
        <v>42358</v>
      </c>
      <c r="P16" s="241">
        <v>42358</v>
      </c>
      <c r="Q16" s="241">
        <v>42358</v>
      </c>
    </row>
    <row r="17" spans="1:17" s="36" customFormat="1" ht="15" customHeight="1" outlineLevel="1">
      <c r="A17" s="60"/>
      <c r="B17" s="70" t="s">
        <v>496</v>
      </c>
      <c r="C17" s="13" t="s">
        <v>240</v>
      </c>
      <c r="D17" s="241"/>
      <c r="E17" s="241">
        <f>'4.10_транзит_КТЭЦ'!E17+'4.10_транзит_котельн.'!E17</f>
        <v>5304</v>
      </c>
      <c r="F17" s="241"/>
      <c r="G17" s="241">
        <v>5332.2663305419528</v>
      </c>
      <c r="H17" s="241">
        <v>0</v>
      </c>
      <c r="I17" s="241">
        <v>4466</v>
      </c>
      <c r="J17" s="241">
        <v>0</v>
      </c>
      <c r="K17" s="241">
        <v>6116</v>
      </c>
      <c r="L17" s="241">
        <v>6116</v>
      </c>
      <c r="M17" s="241">
        <v>6116</v>
      </c>
      <c r="N17" s="241">
        <v>6116</v>
      </c>
      <c r="O17" s="241">
        <v>7083</v>
      </c>
      <c r="P17" s="241">
        <v>7083</v>
      </c>
      <c r="Q17" s="241">
        <v>7083</v>
      </c>
    </row>
    <row r="18" spans="1:17" s="36" customFormat="1" ht="15" customHeight="1" outlineLevel="1">
      <c r="A18" s="60"/>
      <c r="B18" s="70" t="s">
        <v>497</v>
      </c>
      <c r="C18" s="13" t="s">
        <v>240</v>
      </c>
      <c r="D18" s="241"/>
      <c r="E18" s="241">
        <f>'4.10_транзит_КТЭЦ'!E18+'4.10_транзит_котельн.'!E18</f>
        <v>17</v>
      </c>
      <c r="F18" s="241"/>
      <c r="G18" s="241">
        <v>17</v>
      </c>
      <c r="H18" s="241">
        <v>0</v>
      </c>
      <c r="I18" s="241">
        <v>88</v>
      </c>
      <c r="J18" s="241">
        <v>0</v>
      </c>
      <c r="K18" s="241">
        <v>88</v>
      </c>
      <c r="L18" s="241">
        <v>88</v>
      </c>
      <c r="M18" s="241">
        <v>88</v>
      </c>
      <c r="N18" s="241">
        <v>88</v>
      </c>
      <c r="O18" s="241">
        <v>88</v>
      </c>
      <c r="P18" s="241">
        <v>88</v>
      </c>
      <c r="Q18" s="241">
        <v>88</v>
      </c>
    </row>
    <row r="19" spans="1:17" s="36" customFormat="1" ht="15" customHeight="1" outlineLevel="1">
      <c r="A19" s="60"/>
      <c r="B19" s="68" t="s">
        <v>498</v>
      </c>
      <c r="C19" s="13" t="s">
        <v>240</v>
      </c>
      <c r="D19" s="241"/>
      <c r="E19" s="241">
        <f>'4.10_транзит_КТЭЦ'!E19+'4.10_транзит_котельн.'!E19</f>
        <v>1320</v>
      </c>
      <c r="F19" s="241"/>
      <c r="G19" s="241">
        <v>1399.5960128654633</v>
      </c>
      <c r="H19" s="241">
        <v>0</v>
      </c>
      <c r="I19" s="241">
        <v>3222</v>
      </c>
      <c r="J19" s="241">
        <v>0</v>
      </c>
      <c r="K19" s="241">
        <v>3211</v>
      </c>
      <c r="L19" s="241">
        <v>3211</v>
      </c>
      <c r="M19" s="241">
        <v>3211</v>
      </c>
      <c r="N19" s="241">
        <v>3211</v>
      </c>
      <c r="O19" s="241">
        <v>3211</v>
      </c>
      <c r="P19" s="241">
        <v>3211</v>
      </c>
      <c r="Q19" s="241">
        <v>3211</v>
      </c>
    </row>
    <row r="20" spans="1:17" s="36" customFormat="1" ht="15" customHeight="1" outlineLevel="1">
      <c r="A20" s="60"/>
      <c r="B20" s="68" t="s">
        <v>499</v>
      </c>
      <c r="C20" s="13" t="s">
        <v>240</v>
      </c>
      <c r="D20" s="241"/>
      <c r="E20" s="241">
        <f>'4.10_транзит_КТЭЦ'!E20+'4.10_транзит_котельн.'!E20</f>
        <v>1002</v>
      </c>
      <c r="F20" s="241"/>
      <c r="G20" s="241">
        <v>1383.1503868331836</v>
      </c>
      <c r="H20" s="241">
        <v>0</v>
      </c>
      <c r="I20" s="241">
        <v>1585</v>
      </c>
      <c r="J20" s="241">
        <v>0</v>
      </c>
      <c r="K20" s="241">
        <v>23649</v>
      </c>
      <c r="L20" s="241">
        <v>1585</v>
      </c>
      <c r="M20" s="241">
        <v>1585</v>
      </c>
      <c r="N20" s="241">
        <v>1585</v>
      </c>
      <c r="O20" s="241">
        <v>1585</v>
      </c>
      <c r="P20" s="241">
        <v>1585</v>
      </c>
      <c r="Q20" s="241">
        <v>1585</v>
      </c>
    </row>
    <row r="21" spans="1:17" s="36" customFormat="1">
      <c r="A21" s="60"/>
      <c r="B21" s="68"/>
      <c r="C21" s="13"/>
      <c r="D21" s="241"/>
      <c r="E21" s="241"/>
      <c r="F21" s="241"/>
      <c r="G21" s="241"/>
      <c r="H21" s="241"/>
      <c r="I21" s="241"/>
      <c r="J21" s="241"/>
      <c r="K21" s="241"/>
      <c r="L21" s="241"/>
      <c r="M21" s="241"/>
      <c r="N21" s="241"/>
      <c r="O21" s="241"/>
      <c r="P21" s="241"/>
      <c r="Q21" s="241"/>
    </row>
    <row r="22" spans="1:17" s="1001" customFormat="1" ht="60" customHeight="1">
      <c r="A22" s="82" t="s">
        <v>23</v>
      </c>
      <c r="B22" s="80" t="s">
        <v>500</v>
      </c>
      <c r="C22" s="1002" t="s">
        <v>240</v>
      </c>
      <c r="D22" s="1000">
        <f>'4.10_транзит_КТЭЦ'!D22+'4.10_транзит_котельн.'!D22</f>
        <v>0</v>
      </c>
      <c r="E22" s="1000">
        <f>'4.10_транзит_КТЭЦ'!E22+'4.10_транзит_котельн.'!E22</f>
        <v>258867</v>
      </c>
      <c r="F22" s="1000">
        <f>'4.10_транзит_КТЭЦ'!F22+'4.10_транзит_котельн.'!F22</f>
        <v>0</v>
      </c>
      <c r="G22" s="1000">
        <v>0</v>
      </c>
      <c r="H22" s="1000">
        <v>0</v>
      </c>
      <c r="I22" s="1000">
        <v>0</v>
      </c>
      <c r="J22" s="1000">
        <v>0</v>
      </c>
      <c r="K22" s="1000">
        <v>0</v>
      </c>
      <c r="L22" s="1000">
        <v>0</v>
      </c>
      <c r="M22" s="1000">
        <v>0</v>
      </c>
      <c r="N22" s="1000">
        <v>0</v>
      </c>
      <c r="O22" s="1000">
        <v>0</v>
      </c>
      <c r="P22" s="1000">
        <v>0</v>
      </c>
      <c r="Q22" s="1000">
        <v>0</v>
      </c>
    </row>
    <row r="23" spans="1:17" s="36" customFormat="1" ht="15" customHeight="1" outlineLevel="1">
      <c r="A23" s="60"/>
      <c r="B23" s="68" t="s">
        <v>487</v>
      </c>
      <c r="C23" s="13" t="s">
        <v>240</v>
      </c>
      <c r="D23" s="241"/>
      <c r="E23" s="241">
        <f>'4.10_транзит_КТЭЦ'!E23+'4.10_транзит_котельн.'!E23</f>
        <v>258867</v>
      </c>
      <c r="F23" s="241"/>
      <c r="G23" s="241">
        <v>0</v>
      </c>
      <c r="H23" s="241">
        <v>0</v>
      </c>
      <c r="I23" s="241">
        <v>0</v>
      </c>
      <c r="J23" s="241">
        <v>0</v>
      </c>
      <c r="K23" s="241">
        <v>0</v>
      </c>
      <c r="L23" s="241">
        <v>0</v>
      </c>
      <c r="M23" s="241">
        <v>0</v>
      </c>
      <c r="N23" s="241">
        <v>0</v>
      </c>
      <c r="O23" s="241">
        <v>0</v>
      </c>
      <c r="P23" s="241">
        <v>0</v>
      </c>
      <c r="Q23" s="241">
        <v>0</v>
      </c>
    </row>
    <row r="24" spans="1:17" s="36" customFormat="1" ht="15" customHeight="1" outlineLevel="1">
      <c r="A24" s="60"/>
      <c r="B24" s="68" t="s">
        <v>488</v>
      </c>
      <c r="C24" s="13" t="s">
        <v>240</v>
      </c>
      <c r="D24" s="241"/>
      <c r="E24" s="241">
        <f>'4.10_транзит_КТЭЦ'!E24+'4.10_транзит_котельн.'!E24</f>
        <v>0</v>
      </c>
      <c r="F24" s="241"/>
      <c r="G24" s="241">
        <v>0</v>
      </c>
      <c r="H24" s="241">
        <v>0</v>
      </c>
      <c r="I24" s="241">
        <v>0</v>
      </c>
      <c r="J24" s="241">
        <v>0</v>
      </c>
      <c r="K24" s="241">
        <v>0</v>
      </c>
      <c r="L24" s="241">
        <v>0</v>
      </c>
      <c r="M24" s="241">
        <v>0</v>
      </c>
      <c r="N24" s="241">
        <v>0</v>
      </c>
      <c r="O24" s="241">
        <v>0</v>
      </c>
      <c r="P24" s="241">
        <v>0</v>
      </c>
      <c r="Q24" s="241">
        <v>0</v>
      </c>
    </row>
    <row r="25" spans="1:17" s="36" customFormat="1" ht="15" customHeight="1" outlineLevel="1">
      <c r="A25" s="60"/>
      <c r="B25" s="68" t="s">
        <v>489</v>
      </c>
      <c r="C25" s="13" t="s">
        <v>240</v>
      </c>
      <c r="D25" s="241"/>
      <c r="E25" s="241">
        <f>'4.10_транзит_КТЭЦ'!E25+'4.10_транзит_котельн.'!E25</f>
        <v>0</v>
      </c>
      <c r="F25" s="241"/>
      <c r="G25" s="241">
        <v>0</v>
      </c>
      <c r="H25" s="241">
        <v>0</v>
      </c>
      <c r="I25" s="241">
        <v>0</v>
      </c>
      <c r="J25" s="241">
        <v>0</v>
      </c>
      <c r="K25" s="241">
        <v>0</v>
      </c>
      <c r="L25" s="241">
        <v>0</v>
      </c>
      <c r="M25" s="241">
        <v>0</v>
      </c>
      <c r="N25" s="241">
        <v>0</v>
      </c>
      <c r="O25" s="241">
        <v>0</v>
      </c>
      <c r="P25" s="241">
        <v>0</v>
      </c>
      <c r="Q25" s="241">
        <v>0</v>
      </c>
    </row>
    <row r="26" spans="1:17" s="36" customFormat="1" ht="15" customHeight="1" outlineLevel="1">
      <c r="A26" s="60"/>
      <c r="B26" s="68" t="s">
        <v>490</v>
      </c>
      <c r="C26" s="13" t="s">
        <v>240</v>
      </c>
      <c r="D26" s="241"/>
      <c r="E26" s="241">
        <f>'4.10_транзит_КТЭЦ'!E26+'4.10_транзит_котельн.'!E26</f>
        <v>0</v>
      </c>
      <c r="F26" s="241"/>
      <c r="G26" s="241">
        <v>0</v>
      </c>
      <c r="H26" s="241">
        <v>0</v>
      </c>
      <c r="I26" s="241">
        <v>0</v>
      </c>
      <c r="J26" s="241">
        <v>0</v>
      </c>
      <c r="K26" s="241">
        <v>0</v>
      </c>
      <c r="L26" s="241">
        <v>0</v>
      </c>
      <c r="M26" s="241">
        <v>0</v>
      </c>
      <c r="N26" s="241">
        <v>0</v>
      </c>
      <c r="O26" s="241">
        <v>0</v>
      </c>
      <c r="P26" s="241">
        <v>0</v>
      </c>
      <c r="Q26" s="241">
        <v>0</v>
      </c>
    </row>
    <row r="27" spans="1:17" s="36" customFormat="1" ht="15" customHeight="1" outlineLevel="1">
      <c r="A27" s="60"/>
      <c r="B27" s="68" t="s">
        <v>491</v>
      </c>
      <c r="C27" s="13" t="s">
        <v>240</v>
      </c>
      <c r="D27" s="241"/>
      <c r="E27" s="241">
        <f>'4.10_транзит_КТЭЦ'!E27+'4.10_транзит_котельн.'!E27</f>
        <v>0</v>
      </c>
      <c r="F27" s="241"/>
      <c r="G27" s="241">
        <v>0</v>
      </c>
      <c r="H27" s="241">
        <v>0</v>
      </c>
      <c r="I27" s="241">
        <v>0</v>
      </c>
      <c r="J27" s="241">
        <v>0</v>
      </c>
      <c r="K27" s="241">
        <v>0</v>
      </c>
      <c r="L27" s="241">
        <v>0</v>
      </c>
      <c r="M27" s="241">
        <v>0</v>
      </c>
      <c r="N27" s="241">
        <v>0</v>
      </c>
      <c r="O27" s="241">
        <v>0</v>
      </c>
      <c r="P27" s="241">
        <v>0</v>
      </c>
      <c r="Q27" s="241">
        <v>0</v>
      </c>
    </row>
    <row r="28" spans="1:17" s="36" customFormat="1" ht="15" customHeight="1" outlineLevel="1">
      <c r="A28" s="60"/>
      <c r="B28" s="70" t="s">
        <v>492</v>
      </c>
      <c r="C28" s="13" t="s">
        <v>240</v>
      </c>
      <c r="D28" s="241"/>
      <c r="E28" s="241">
        <f>'4.10_транзит_КТЭЦ'!E28+'4.10_транзит_котельн.'!E28</f>
        <v>0</v>
      </c>
      <c r="F28" s="241"/>
      <c r="G28" s="241">
        <v>0</v>
      </c>
      <c r="H28" s="241">
        <v>0</v>
      </c>
      <c r="I28" s="241">
        <v>0</v>
      </c>
      <c r="J28" s="241">
        <v>0</v>
      </c>
      <c r="K28" s="241">
        <v>0</v>
      </c>
      <c r="L28" s="241">
        <v>0</v>
      </c>
      <c r="M28" s="241">
        <v>0</v>
      </c>
      <c r="N28" s="241">
        <v>0</v>
      </c>
      <c r="O28" s="241">
        <v>0</v>
      </c>
      <c r="P28" s="241">
        <v>0</v>
      </c>
      <c r="Q28" s="241">
        <v>0</v>
      </c>
    </row>
    <row r="29" spans="1:17" s="36" customFormat="1" ht="15" customHeight="1" outlineLevel="1">
      <c r="A29" s="60"/>
      <c r="B29" s="70" t="s">
        <v>493</v>
      </c>
      <c r="C29" s="13" t="s">
        <v>240</v>
      </c>
      <c r="D29" s="241"/>
      <c r="E29" s="241">
        <f>'4.10_транзит_КТЭЦ'!E29+'4.10_транзит_котельн.'!E29</f>
        <v>0</v>
      </c>
      <c r="F29" s="241"/>
      <c r="G29" s="241">
        <v>0</v>
      </c>
      <c r="H29" s="241">
        <v>0</v>
      </c>
      <c r="I29" s="241">
        <v>0</v>
      </c>
      <c r="J29" s="241">
        <v>0</v>
      </c>
      <c r="K29" s="241">
        <v>0</v>
      </c>
      <c r="L29" s="241">
        <v>0</v>
      </c>
      <c r="M29" s="241">
        <v>0</v>
      </c>
      <c r="N29" s="241">
        <v>0</v>
      </c>
      <c r="O29" s="241">
        <v>0</v>
      </c>
      <c r="P29" s="241">
        <v>0</v>
      </c>
      <c r="Q29" s="241">
        <v>0</v>
      </c>
    </row>
    <row r="30" spans="1:17" s="36" customFormat="1" ht="15" customHeight="1" outlineLevel="1">
      <c r="A30" s="60"/>
      <c r="B30" s="70" t="s">
        <v>494</v>
      </c>
      <c r="C30" s="13" t="s">
        <v>240</v>
      </c>
      <c r="D30" s="241"/>
      <c r="E30" s="241">
        <f>'4.10_транзит_КТЭЦ'!E30+'4.10_транзит_котельн.'!E30</f>
        <v>0</v>
      </c>
      <c r="F30" s="241"/>
      <c r="G30" s="241">
        <v>0</v>
      </c>
      <c r="H30" s="241">
        <v>0</v>
      </c>
      <c r="I30" s="241">
        <v>0</v>
      </c>
      <c r="J30" s="241">
        <v>0</v>
      </c>
      <c r="K30" s="241">
        <v>0</v>
      </c>
      <c r="L30" s="241">
        <v>0</v>
      </c>
      <c r="M30" s="241">
        <v>0</v>
      </c>
      <c r="N30" s="241">
        <v>0</v>
      </c>
      <c r="O30" s="241">
        <v>0</v>
      </c>
      <c r="P30" s="241">
        <v>0</v>
      </c>
      <c r="Q30" s="241">
        <v>0</v>
      </c>
    </row>
    <row r="31" spans="1:17" s="36" customFormat="1" ht="15" customHeight="1" outlineLevel="1">
      <c r="A31" s="60"/>
      <c r="B31" s="70" t="s">
        <v>495</v>
      </c>
      <c r="C31" s="13" t="s">
        <v>240</v>
      </c>
      <c r="D31" s="241"/>
      <c r="E31" s="241">
        <f>'4.10_транзит_КТЭЦ'!E31+'4.10_транзит_котельн.'!E31</f>
        <v>0</v>
      </c>
      <c r="F31" s="241"/>
      <c r="G31" s="241">
        <v>0</v>
      </c>
      <c r="H31" s="241">
        <v>0</v>
      </c>
      <c r="I31" s="241">
        <v>0</v>
      </c>
      <c r="J31" s="241">
        <v>0</v>
      </c>
      <c r="K31" s="241">
        <v>0</v>
      </c>
      <c r="L31" s="241">
        <v>0</v>
      </c>
      <c r="M31" s="241">
        <v>0</v>
      </c>
      <c r="N31" s="241">
        <v>0</v>
      </c>
      <c r="O31" s="241">
        <v>0</v>
      </c>
      <c r="P31" s="241">
        <v>0</v>
      </c>
      <c r="Q31" s="241">
        <v>0</v>
      </c>
    </row>
    <row r="32" spans="1:17" s="36" customFormat="1" ht="15" customHeight="1" outlineLevel="1">
      <c r="A32" s="60"/>
      <c r="B32" s="70" t="s">
        <v>496</v>
      </c>
      <c r="C32" s="13" t="s">
        <v>240</v>
      </c>
      <c r="D32" s="241"/>
      <c r="E32" s="241">
        <f>'4.10_транзит_КТЭЦ'!E32+'4.10_транзит_котельн.'!E32</f>
        <v>0</v>
      </c>
      <c r="F32" s="241"/>
      <c r="G32" s="241">
        <v>0</v>
      </c>
      <c r="H32" s="241">
        <v>0</v>
      </c>
      <c r="I32" s="241">
        <v>0</v>
      </c>
      <c r="J32" s="241">
        <v>0</v>
      </c>
      <c r="K32" s="241">
        <v>0</v>
      </c>
      <c r="L32" s="241">
        <v>0</v>
      </c>
      <c r="M32" s="241">
        <v>0</v>
      </c>
      <c r="N32" s="241">
        <v>0</v>
      </c>
      <c r="O32" s="241">
        <v>0</v>
      </c>
      <c r="P32" s="241">
        <v>0</v>
      </c>
      <c r="Q32" s="241">
        <v>0</v>
      </c>
    </row>
    <row r="33" spans="1:17" s="36" customFormat="1" ht="15" customHeight="1" outlineLevel="1">
      <c r="A33" s="60"/>
      <c r="B33" s="70" t="s">
        <v>497</v>
      </c>
      <c r="C33" s="13" t="s">
        <v>240</v>
      </c>
      <c r="D33" s="241"/>
      <c r="E33" s="241">
        <f>'4.10_транзит_КТЭЦ'!E33+'4.10_транзит_котельн.'!E33</f>
        <v>0</v>
      </c>
      <c r="F33" s="241"/>
      <c r="G33" s="241">
        <v>0</v>
      </c>
      <c r="H33" s="241">
        <v>0</v>
      </c>
      <c r="I33" s="241">
        <v>0</v>
      </c>
      <c r="J33" s="241">
        <v>0</v>
      </c>
      <c r="K33" s="241">
        <v>0</v>
      </c>
      <c r="L33" s="241">
        <v>0</v>
      </c>
      <c r="M33" s="241">
        <v>0</v>
      </c>
      <c r="N33" s="241">
        <v>0</v>
      </c>
      <c r="O33" s="241">
        <v>0</v>
      </c>
      <c r="P33" s="241">
        <v>0</v>
      </c>
      <c r="Q33" s="241">
        <v>0</v>
      </c>
    </row>
    <row r="34" spans="1:17" s="36" customFormat="1" ht="15" customHeight="1" outlineLevel="1">
      <c r="A34" s="60"/>
      <c r="B34" s="68" t="s">
        <v>498</v>
      </c>
      <c r="C34" s="13" t="s">
        <v>240</v>
      </c>
      <c r="D34" s="241"/>
      <c r="E34" s="241">
        <f>'4.10_транзит_КТЭЦ'!E34+'4.10_транзит_котельн.'!E34</f>
        <v>0</v>
      </c>
      <c r="F34" s="241"/>
      <c r="G34" s="241">
        <v>0</v>
      </c>
      <c r="H34" s="241">
        <v>0</v>
      </c>
      <c r="I34" s="241">
        <v>0</v>
      </c>
      <c r="J34" s="241">
        <v>0</v>
      </c>
      <c r="K34" s="241">
        <v>0</v>
      </c>
      <c r="L34" s="241">
        <v>0</v>
      </c>
      <c r="M34" s="241">
        <v>0</v>
      </c>
      <c r="N34" s="241">
        <v>0</v>
      </c>
      <c r="O34" s="241">
        <v>0</v>
      </c>
      <c r="P34" s="241">
        <v>0</v>
      </c>
      <c r="Q34" s="241">
        <v>0</v>
      </c>
    </row>
    <row r="35" spans="1:17" s="36" customFormat="1" ht="15" customHeight="1" outlineLevel="1">
      <c r="A35" s="60"/>
      <c r="B35" s="68" t="s">
        <v>499</v>
      </c>
      <c r="C35" s="13" t="s">
        <v>240</v>
      </c>
      <c r="D35" s="241"/>
      <c r="E35" s="241">
        <f>'4.10_транзит_КТЭЦ'!E35+'4.10_транзит_котельн.'!E35</f>
        <v>0</v>
      </c>
      <c r="F35" s="241"/>
      <c r="G35" s="241">
        <v>0</v>
      </c>
      <c r="H35" s="241">
        <v>0</v>
      </c>
      <c r="I35" s="241">
        <v>0</v>
      </c>
      <c r="J35" s="241">
        <v>0</v>
      </c>
      <c r="K35" s="241">
        <v>0</v>
      </c>
      <c r="L35" s="241">
        <v>0</v>
      </c>
      <c r="M35" s="241">
        <v>0</v>
      </c>
      <c r="N35" s="241">
        <v>0</v>
      </c>
      <c r="O35" s="241">
        <v>0</v>
      </c>
      <c r="P35" s="241">
        <v>0</v>
      </c>
      <c r="Q35" s="241">
        <v>0</v>
      </c>
    </row>
    <row r="36" spans="1:17" s="36" customFormat="1">
      <c r="A36" s="60"/>
      <c r="B36" s="68"/>
      <c r="C36" s="13"/>
      <c r="D36" s="241"/>
      <c r="E36" s="241"/>
      <c r="F36" s="241"/>
      <c r="G36" s="241"/>
      <c r="H36" s="241"/>
      <c r="I36" s="241"/>
      <c r="J36" s="241"/>
      <c r="K36" s="241"/>
      <c r="L36" s="241"/>
      <c r="M36" s="241"/>
      <c r="N36" s="241"/>
      <c r="O36" s="241"/>
      <c r="P36" s="241"/>
      <c r="Q36" s="241"/>
    </row>
    <row r="37" spans="1:17" s="1001" customFormat="1" ht="15" customHeight="1">
      <c r="A37" s="82" t="s">
        <v>27</v>
      </c>
      <c r="B37" s="80" t="s">
        <v>501</v>
      </c>
      <c r="C37" s="999" t="s">
        <v>240</v>
      </c>
      <c r="D37" s="1000">
        <f>'4.10_транзит_КТЭЦ'!D37+'4.10_транзит_котельн.'!D37</f>
        <v>28585</v>
      </c>
      <c r="E37" s="1000">
        <f>'4.10_транзит_КТЭЦ'!E37+'4.10_транзит_котельн.'!E37</f>
        <v>1490</v>
      </c>
      <c r="F37" s="1000">
        <f>'4.10_транзит_КТЭЦ'!F37+'4.10_транзит_котельн.'!F37</f>
        <v>0</v>
      </c>
      <c r="G37" s="1000">
        <v>5336</v>
      </c>
      <c r="H37" s="1000">
        <v>0</v>
      </c>
      <c r="I37" s="1000">
        <v>81614</v>
      </c>
      <c r="J37" s="1000">
        <v>0</v>
      </c>
      <c r="K37" s="1000">
        <v>242560</v>
      </c>
      <c r="L37" s="1000">
        <v>22790</v>
      </c>
      <c r="M37" s="1000">
        <v>0</v>
      </c>
      <c r="N37" s="1000">
        <v>22790</v>
      </c>
      <c r="O37" s="1000">
        <v>143151</v>
      </c>
      <c r="P37" s="1000">
        <v>0</v>
      </c>
      <c r="Q37" s="1000">
        <v>143151</v>
      </c>
    </row>
    <row r="38" spans="1:17" s="36" customFormat="1" ht="15" customHeight="1" outlineLevel="2">
      <c r="A38" s="60"/>
      <c r="B38" s="68" t="s">
        <v>487</v>
      </c>
      <c r="C38" s="13" t="s">
        <v>240</v>
      </c>
      <c r="D38" s="241"/>
      <c r="E38" s="241">
        <f>'4.10_транзит_КТЭЦ'!E38+'4.10_транзит_котельн.'!E38</f>
        <v>0</v>
      </c>
      <c r="F38" s="241"/>
      <c r="G38" s="241">
        <v>0</v>
      </c>
      <c r="H38" s="241">
        <v>0</v>
      </c>
      <c r="I38" s="241">
        <v>4646</v>
      </c>
      <c r="J38" s="241">
        <v>0</v>
      </c>
      <c r="K38" s="241">
        <v>0</v>
      </c>
      <c r="L38" s="241">
        <v>0</v>
      </c>
      <c r="M38" s="241">
        <v>0</v>
      </c>
      <c r="N38" s="241">
        <v>0</v>
      </c>
      <c r="O38" s="241">
        <v>0</v>
      </c>
      <c r="P38" s="241">
        <v>0</v>
      </c>
      <c r="Q38" s="241">
        <v>0</v>
      </c>
    </row>
    <row r="39" spans="1:17" s="36" customFormat="1" ht="15" customHeight="1" outlineLevel="2">
      <c r="A39" s="60"/>
      <c r="B39" s="68" t="s">
        <v>488</v>
      </c>
      <c r="C39" s="13" t="s">
        <v>240</v>
      </c>
      <c r="D39" s="241"/>
      <c r="E39" s="241">
        <f>'4.10_транзит_КТЭЦ'!E39+'4.10_транзит_котельн.'!E39</f>
        <v>0</v>
      </c>
      <c r="F39" s="241"/>
      <c r="G39" s="241">
        <v>0</v>
      </c>
      <c r="H39" s="241">
        <v>0</v>
      </c>
      <c r="I39" s="241">
        <v>8680</v>
      </c>
      <c r="J39" s="241">
        <v>0</v>
      </c>
      <c r="K39" s="241">
        <v>226244</v>
      </c>
      <c r="L39" s="241">
        <v>20491</v>
      </c>
      <c r="M39" s="241">
        <v>0</v>
      </c>
      <c r="N39" s="241">
        <v>20491</v>
      </c>
      <c r="O39" s="241">
        <v>140864</v>
      </c>
      <c r="P39" s="241">
        <v>0</v>
      </c>
      <c r="Q39" s="241">
        <v>140864</v>
      </c>
    </row>
    <row r="40" spans="1:17" s="36" customFormat="1" ht="15" customHeight="1" outlineLevel="2">
      <c r="A40" s="60"/>
      <c r="B40" s="68" t="s">
        <v>489</v>
      </c>
      <c r="C40" s="13" t="s">
        <v>240</v>
      </c>
      <c r="D40" s="241"/>
      <c r="E40" s="241">
        <f>'4.10_транзит_КТЭЦ'!E40+'4.10_транзит_котельн.'!E40</f>
        <v>0</v>
      </c>
      <c r="F40" s="241"/>
      <c r="G40" s="241">
        <v>0</v>
      </c>
      <c r="H40" s="241">
        <v>0</v>
      </c>
      <c r="I40" s="241">
        <v>5459</v>
      </c>
      <c r="J40" s="241">
        <v>0</v>
      </c>
      <c r="K40" s="241">
        <v>14556</v>
      </c>
      <c r="L40" s="241">
        <v>628</v>
      </c>
      <c r="M40" s="241">
        <v>0</v>
      </c>
      <c r="N40" s="241">
        <v>628</v>
      </c>
      <c r="O40" s="241">
        <v>637</v>
      </c>
      <c r="P40" s="241">
        <v>0</v>
      </c>
      <c r="Q40" s="241">
        <v>637</v>
      </c>
    </row>
    <row r="41" spans="1:17" s="36" customFormat="1" ht="15" customHeight="1" outlineLevel="2">
      <c r="A41" s="60"/>
      <c r="B41" s="68" t="s">
        <v>490</v>
      </c>
      <c r="C41" s="13" t="s">
        <v>240</v>
      </c>
      <c r="D41" s="241"/>
      <c r="E41" s="241">
        <f>'4.10_транзит_КТЭЦ'!E41+'4.10_транзит_котельн.'!E41</f>
        <v>998</v>
      </c>
      <c r="F41" s="241"/>
      <c r="G41" s="241">
        <v>5071</v>
      </c>
      <c r="H41" s="241">
        <v>0</v>
      </c>
      <c r="I41" s="241">
        <v>33599</v>
      </c>
      <c r="J41" s="241">
        <v>0</v>
      </c>
      <c r="K41" s="241">
        <v>1760</v>
      </c>
      <c r="L41" s="241">
        <v>704</v>
      </c>
      <c r="M41" s="241">
        <v>0</v>
      </c>
      <c r="N41" s="241">
        <v>704</v>
      </c>
      <c r="O41" s="241">
        <v>1650</v>
      </c>
      <c r="P41" s="241">
        <v>0</v>
      </c>
      <c r="Q41" s="241">
        <v>1650</v>
      </c>
    </row>
    <row r="42" spans="1:17" s="36" customFormat="1" ht="15" customHeight="1" outlineLevel="2">
      <c r="A42" s="60"/>
      <c r="B42" s="68" t="s">
        <v>491</v>
      </c>
      <c r="C42" s="13" t="s">
        <v>240</v>
      </c>
      <c r="D42" s="241"/>
      <c r="E42" s="241">
        <f>'4.10_транзит_КТЭЦ'!E42+'4.10_транзит_котельн.'!E42</f>
        <v>26</v>
      </c>
      <c r="F42" s="241"/>
      <c r="G42" s="241">
        <v>0</v>
      </c>
      <c r="H42" s="241">
        <v>0</v>
      </c>
      <c r="I42" s="241">
        <v>0</v>
      </c>
      <c r="J42" s="241">
        <v>0</v>
      </c>
      <c r="K42" s="241">
        <v>0</v>
      </c>
      <c r="L42" s="241">
        <v>0</v>
      </c>
      <c r="M42" s="241">
        <v>0</v>
      </c>
      <c r="N42" s="241">
        <v>0</v>
      </c>
      <c r="O42" s="241">
        <v>0</v>
      </c>
      <c r="P42" s="241">
        <v>0</v>
      </c>
      <c r="Q42" s="241">
        <v>0</v>
      </c>
    </row>
    <row r="43" spans="1:17" s="36" customFormat="1" ht="15" customHeight="1" outlineLevel="2">
      <c r="A43" s="60"/>
      <c r="B43" s="70" t="s">
        <v>492</v>
      </c>
      <c r="C43" s="13" t="s">
        <v>240</v>
      </c>
      <c r="D43" s="241"/>
      <c r="E43" s="241">
        <f>'4.10_транзит_КТЭЦ'!E43+'4.10_транзит_котельн.'!E43</f>
        <v>76</v>
      </c>
      <c r="F43" s="241"/>
      <c r="G43" s="241">
        <v>3873</v>
      </c>
      <c r="H43" s="241">
        <v>0</v>
      </c>
      <c r="I43" s="241">
        <v>3553</v>
      </c>
      <c r="J43" s="241">
        <v>0</v>
      </c>
      <c r="K43" s="241">
        <v>0</v>
      </c>
      <c r="L43" s="241">
        <v>0</v>
      </c>
      <c r="M43" s="241">
        <v>0</v>
      </c>
      <c r="N43" s="241">
        <v>0</v>
      </c>
      <c r="O43" s="241">
        <v>0</v>
      </c>
      <c r="P43" s="241">
        <v>0</v>
      </c>
      <c r="Q43" s="241">
        <v>0</v>
      </c>
    </row>
    <row r="44" spans="1:17" s="36" customFormat="1" ht="15" customHeight="1" outlineLevel="2">
      <c r="A44" s="60"/>
      <c r="B44" s="70" t="s">
        <v>493</v>
      </c>
      <c r="C44" s="13" t="s">
        <v>240</v>
      </c>
      <c r="D44" s="241"/>
      <c r="E44" s="241">
        <f>'4.10_транзит_КТЭЦ'!E44+'4.10_транзит_котельн.'!E44</f>
        <v>183</v>
      </c>
      <c r="F44" s="241"/>
      <c r="G44" s="241">
        <v>526</v>
      </c>
      <c r="H44" s="241">
        <v>0</v>
      </c>
      <c r="I44" s="241">
        <v>97</v>
      </c>
      <c r="J44" s="241">
        <v>0</v>
      </c>
      <c r="K44" s="241">
        <v>0</v>
      </c>
      <c r="L44" s="241">
        <v>0</v>
      </c>
      <c r="M44" s="241">
        <v>0</v>
      </c>
      <c r="N44" s="241">
        <v>0</v>
      </c>
      <c r="O44" s="241">
        <v>0</v>
      </c>
      <c r="P44" s="241">
        <v>0</v>
      </c>
      <c r="Q44" s="241">
        <v>0</v>
      </c>
    </row>
    <row r="45" spans="1:17" s="36" customFormat="1" ht="15" customHeight="1" outlineLevel="2">
      <c r="A45" s="60"/>
      <c r="B45" s="70" t="s">
        <v>494</v>
      </c>
      <c r="C45" s="13" t="s">
        <v>240</v>
      </c>
      <c r="D45" s="241"/>
      <c r="E45" s="241">
        <f>'4.10_транзит_КТЭЦ'!E45+'4.10_транзит_котельн.'!E45</f>
        <v>307</v>
      </c>
      <c r="F45" s="241"/>
      <c r="G45" s="241">
        <v>160</v>
      </c>
      <c r="H45" s="241">
        <v>0</v>
      </c>
      <c r="I45" s="241">
        <v>231</v>
      </c>
      <c r="J45" s="241">
        <v>0</v>
      </c>
      <c r="K45" s="241">
        <v>0</v>
      </c>
      <c r="L45" s="241">
        <v>0</v>
      </c>
      <c r="M45" s="241">
        <v>0</v>
      </c>
      <c r="N45" s="241">
        <v>0</v>
      </c>
      <c r="O45" s="241">
        <v>0</v>
      </c>
      <c r="P45" s="241">
        <v>0</v>
      </c>
      <c r="Q45" s="241">
        <v>0</v>
      </c>
    </row>
    <row r="46" spans="1:17" s="36" customFormat="1" ht="15" customHeight="1" outlineLevel="2">
      <c r="A46" s="60"/>
      <c r="B46" s="70" t="s">
        <v>495</v>
      </c>
      <c r="C46" s="13" t="s">
        <v>240</v>
      </c>
      <c r="D46" s="241"/>
      <c r="E46" s="241">
        <f>'4.10_транзит_КТЭЦ'!E46+'4.10_транзит_котельн.'!E46</f>
        <v>406</v>
      </c>
      <c r="F46" s="241"/>
      <c r="G46" s="241">
        <v>512</v>
      </c>
      <c r="H46" s="241">
        <v>0</v>
      </c>
      <c r="I46" s="241">
        <v>29718</v>
      </c>
      <c r="J46" s="241">
        <v>0</v>
      </c>
      <c r="K46" s="241">
        <v>1760</v>
      </c>
      <c r="L46" s="241">
        <v>704</v>
      </c>
      <c r="M46" s="241">
        <v>0</v>
      </c>
      <c r="N46" s="241">
        <v>704</v>
      </c>
      <c r="O46" s="241">
        <v>1650</v>
      </c>
      <c r="P46" s="241">
        <v>0</v>
      </c>
      <c r="Q46" s="241">
        <v>1650</v>
      </c>
    </row>
    <row r="47" spans="1:17" s="36" customFormat="1" ht="15" customHeight="1" outlineLevel="2">
      <c r="A47" s="60"/>
      <c r="B47" s="70" t="s">
        <v>496</v>
      </c>
      <c r="C47" s="13" t="s">
        <v>240</v>
      </c>
      <c r="D47" s="241"/>
      <c r="E47" s="241">
        <f>'4.10_транзит_КТЭЦ'!E47+'4.10_транзит_котельн.'!E47</f>
        <v>20</v>
      </c>
      <c r="F47" s="241"/>
      <c r="G47" s="241">
        <v>0</v>
      </c>
      <c r="H47" s="241">
        <v>0</v>
      </c>
      <c r="I47" s="241">
        <v>1650</v>
      </c>
      <c r="J47" s="241">
        <v>0</v>
      </c>
      <c r="K47" s="241">
        <v>0</v>
      </c>
      <c r="L47" s="241">
        <v>967</v>
      </c>
      <c r="M47" s="241">
        <v>0</v>
      </c>
      <c r="N47" s="241">
        <v>967</v>
      </c>
      <c r="O47" s="241">
        <v>0</v>
      </c>
      <c r="P47" s="241">
        <v>0</v>
      </c>
      <c r="Q47" s="241">
        <v>0</v>
      </c>
    </row>
    <row r="48" spans="1:17" s="36" customFormat="1" ht="15" customHeight="1" outlineLevel="2">
      <c r="A48" s="60"/>
      <c r="B48" s="70" t="s">
        <v>497</v>
      </c>
      <c r="C48" s="13" t="s">
        <v>240</v>
      </c>
      <c r="D48" s="241"/>
      <c r="E48" s="241">
        <f>'4.10_транзит_КТЭЦ'!E48+'4.10_транзит_котельн.'!E48</f>
        <v>0</v>
      </c>
      <c r="F48" s="241"/>
      <c r="G48" s="241">
        <v>71</v>
      </c>
      <c r="H48" s="241">
        <v>0</v>
      </c>
      <c r="I48" s="241">
        <v>0</v>
      </c>
      <c r="J48" s="241">
        <v>0</v>
      </c>
      <c r="K48" s="241">
        <v>0</v>
      </c>
      <c r="L48" s="241">
        <v>0</v>
      </c>
      <c r="M48" s="241">
        <v>0</v>
      </c>
      <c r="N48" s="241">
        <v>0</v>
      </c>
      <c r="O48" s="241">
        <v>0</v>
      </c>
      <c r="P48" s="241">
        <v>0</v>
      </c>
      <c r="Q48" s="241">
        <v>0</v>
      </c>
    </row>
    <row r="49" spans="1:17" s="36" customFormat="1" ht="15" customHeight="1" outlineLevel="2">
      <c r="A49" s="60"/>
      <c r="B49" s="68" t="s">
        <v>498</v>
      </c>
      <c r="C49" s="13" t="s">
        <v>240</v>
      </c>
      <c r="D49" s="241"/>
      <c r="E49" s="241">
        <f>'4.10_транзит_КТЭЦ'!E49+'4.10_транзит_котельн.'!E49</f>
        <v>133</v>
      </c>
      <c r="F49" s="241"/>
      <c r="G49" s="241">
        <v>75</v>
      </c>
      <c r="H49" s="241">
        <v>0</v>
      </c>
      <c r="I49" s="241">
        <v>0</v>
      </c>
      <c r="J49" s="241">
        <v>0</v>
      </c>
      <c r="K49" s="241">
        <v>0</v>
      </c>
      <c r="L49" s="241">
        <v>0</v>
      </c>
      <c r="M49" s="241">
        <v>0</v>
      </c>
      <c r="N49" s="241">
        <v>0</v>
      </c>
      <c r="O49" s="241">
        <v>0</v>
      </c>
      <c r="P49" s="241">
        <v>0</v>
      </c>
      <c r="Q49" s="241">
        <v>0</v>
      </c>
    </row>
    <row r="50" spans="1:17" s="36" customFormat="1" ht="15" customHeight="1" outlineLevel="2">
      <c r="A50" s="60"/>
      <c r="B50" s="68" t="s">
        <v>499</v>
      </c>
      <c r="C50" s="13" t="s">
        <v>240</v>
      </c>
      <c r="D50" s="241"/>
      <c r="E50" s="241">
        <f>'4.10_транзит_КТЭЦ'!E50+'4.10_транзит_котельн.'!E50</f>
        <v>339</v>
      </c>
      <c r="F50" s="241"/>
      <c r="G50" s="241">
        <v>119</v>
      </c>
      <c r="H50" s="241">
        <v>0</v>
      </c>
      <c r="I50" s="241">
        <v>27580</v>
      </c>
      <c r="J50" s="241">
        <v>0</v>
      </c>
      <c r="K50" s="241">
        <v>0</v>
      </c>
      <c r="L50" s="241">
        <v>0</v>
      </c>
      <c r="M50" s="241">
        <v>0</v>
      </c>
      <c r="N50" s="241">
        <v>0</v>
      </c>
      <c r="O50" s="241">
        <v>0</v>
      </c>
      <c r="P50" s="241">
        <v>0</v>
      </c>
      <c r="Q50" s="241">
        <v>0</v>
      </c>
    </row>
    <row r="51" spans="1:17" s="36" customFormat="1">
      <c r="A51" s="60"/>
      <c r="B51" s="68"/>
      <c r="C51" s="13"/>
      <c r="D51" s="241"/>
      <c r="E51" s="241"/>
      <c r="F51" s="241"/>
      <c r="G51" s="241"/>
      <c r="H51" s="241"/>
      <c r="I51" s="241"/>
      <c r="J51" s="241"/>
      <c r="K51" s="241"/>
      <c r="L51" s="241"/>
      <c r="M51" s="241"/>
      <c r="N51" s="241"/>
      <c r="O51" s="241"/>
      <c r="P51" s="241"/>
      <c r="Q51" s="241"/>
    </row>
    <row r="52" spans="1:17" s="1001" customFormat="1" ht="28.5">
      <c r="A52" s="82" t="s">
        <v>30</v>
      </c>
      <c r="B52" s="80" t="s">
        <v>502</v>
      </c>
      <c r="C52" s="1002" t="s">
        <v>240</v>
      </c>
      <c r="D52" s="1000">
        <f>'4.10_транзит_КТЭЦ'!D52+'4.10_транзит_котельн.'!D52</f>
        <v>0</v>
      </c>
      <c r="E52" s="1000">
        <f>'4.10_транзит_КТЭЦ'!E52+'4.10_транзит_котельн.'!E52</f>
        <v>528</v>
      </c>
      <c r="F52" s="1000">
        <f>'4.10_транзит_КТЭЦ'!F52+'4.10_транзит_котельн.'!F52</f>
        <v>0</v>
      </c>
      <c r="G52" s="1000">
        <v>20044.230850093172</v>
      </c>
      <c r="H52" s="1000">
        <v>0</v>
      </c>
      <c r="I52" s="1000">
        <v>14326</v>
      </c>
      <c r="J52" s="1000">
        <v>0</v>
      </c>
      <c r="K52" s="1000">
        <v>22064</v>
      </c>
      <c r="L52" s="1000">
        <v>0</v>
      </c>
      <c r="M52" s="1000">
        <v>0</v>
      </c>
      <c r="N52" s="1000">
        <v>0</v>
      </c>
      <c r="O52" s="1000">
        <v>0</v>
      </c>
      <c r="P52" s="1000">
        <v>0</v>
      </c>
      <c r="Q52" s="1000">
        <v>0</v>
      </c>
    </row>
    <row r="53" spans="1:17" s="36" customFormat="1" ht="15" customHeight="1" outlineLevel="1">
      <c r="A53" s="60"/>
      <c r="B53" s="68" t="s">
        <v>487</v>
      </c>
      <c r="C53" s="13" t="s">
        <v>240</v>
      </c>
      <c r="D53" s="241"/>
      <c r="E53" s="241">
        <f>'4.10_транзит_КТЭЦ'!E53+'4.10_транзит_котельн.'!E53</f>
        <v>0</v>
      </c>
      <c r="F53" s="241"/>
      <c r="G53" s="241">
        <v>18056</v>
      </c>
      <c r="H53" s="241">
        <v>0</v>
      </c>
      <c r="I53" s="241">
        <v>8712</v>
      </c>
      <c r="J53" s="241">
        <v>0</v>
      </c>
      <c r="K53" s="241">
        <v>0</v>
      </c>
      <c r="L53" s="241">
        <v>0</v>
      </c>
      <c r="M53" s="241">
        <v>0</v>
      </c>
      <c r="N53" s="241">
        <v>0</v>
      </c>
      <c r="O53" s="241">
        <v>0</v>
      </c>
      <c r="P53" s="241">
        <v>0</v>
      </c>
      <c r="Q53" s="241">
        <v>0</v>
      </c>
    </row>
    <row r="54" spans="1:17" s="36" customFormat="1" ht="15" customHeight="1" outlineLevel="1">
      <c r="A54" s="60"/>
      <c r="B54" s="68" t="s">
        <v>488</v>
      </c>
      <c r="C54" s="13" t="s">
        <v>240</v>
      </c>
      <c r="D54" s="241"/>
      <c r="E54" s="241">
        <f>'4.10_транзит_КТЭЦ'!E54+'4.10_транзит_котельн.'!E54</f>
        <v>33</v>
      </c>
      <c r="F54" s="241"/>
      <c r="G54" s="241">
        <v>29.400598380456433</v>
      </c>
      <c r="H54" s="241">
        <v>0</v>
      </c>
      <c r="I54" s="241">
        <v>0</v>
      </c>
      <c r="J54" s="241">
        <v>0</v>
      </c>
      <c r="K54" s="241">
        <v>0</v>
      </c>
      <c r="L54" s="241">
        <v>0</v>
      </c>
      <c r="M54" s="241">
        <v>0</v>
      </c>
      <c r="N54" s="241">
        <v>0</v>
      </c>
      <c r="O54" s="241">
        <v>0</v>
      </c>
      <c r="P54" s="241">
        <v>0</v>
      </c>
      <c r="Q54" s="241">
        <v>0</v>
      </c>
    </row>
    <row r="55" spans="1:17" s="36" customFormat="1" ht="15" customHeight="1" outlineLevel="1">
      <c r="A55" s="60"/>
      <c r="B55" s="68" t="s">
        <v>489</v>
      </c>
      <c r="C55" s="13" t="s">
        <v>240</v>
      </c>
      <c r="D55" s="241"/>
      <c r="E55" s="241">
        <f>'4.10_транзит_КТЭЦ'!E55+'4.10_транзит_котельн.'!E55</f>
        <v>0</v>
      </c>
      <c r="F55" s="241"/>
      <c r="G55" s="241">
        <v>0</v>
      </c>
      <c r="H55" s="241">
        <v>0</v>
      </c>
      <c r="I55" s="241">
        <v>0</v>
      </c>
      <c r="J55" s="241">
        <v>0</v>
      </c>
      <c r="K55" s="241">
        <v>0</v>
      </c>
      <c r="L55" s="241">
        <v>0</v>
      </c>
      <c r="M55" s="241">
        <v>0</v>
      </c>
      <c r="N55" s="241">
        <v>0</v>
      </c>
      <c r="O55" s="241">
        <v>0</v>
      </c>
      <c r="P55" s="241">
        <v>0</v>
      </c>
      <c r="Q55" s="241">
        <v>0</v>
      </c>
    </row>
    <row r="56" spans="1:17" s="36" customFormat="1" ht="15" customHeight="1" outlineLevel="1">
      <c r="A56" s="60"/>
      <c r="B56" s="68" t="s">
        <v>490</v>
      </c>
      <c r="C56" s="13" t="s">
        <v>240</v>
      </c>
      <c r="D56" s="241"/>
      <c r="E56" s="241">
        <f>'4.10_транзит_КТЭЦ'!E56+'4.10_транзит_котельн.'!E56</f>
        <v>155</v>
      </c>
      <c r="F56" s="241"/>
      <c r="G56" s="241">
        <v>956.29835156599097</v>
      </c>
      <c r="H56" s="241">
        <v>0</v>
      </c>
      <c r="I56" s="241">
        <v>87</v>
      </c>
      <c r="J56" s="241">
        <v>0</v>
      </c>
      <c r="K56" s="241">
        <v>0</v>
      </c>
      <c r="L56" s="241">
        <v>0</v>
      </c>
      <c r="M56" s="241">
        <v>0</v>
      </c>
      <c r="N56" s="241">
        <v>0</v>
      </c>
      <c r="O56" s="241">
        <v>0</v>
      </c>
      <c r="P56" s="241">
        <v>0</v>
      </c>
      <c r="Q56" s="241">
        <v>0</v>
      </c>
    </row>
    <row r="57" spans="1:17" s="36" customFormat="1" ht="15" customHeight="1" outlineLevel="1">
      <c r="A57" s="60"/>
      <c r="B57" s="68" t="s">
        <v>491</v>
      </c>
      <c r="C57" s="13" t="s">
        <v>240</v>
      </c>
      <c r="D57" s="241"/>
      <c r="E57" s="241">
        <f>'4.10_транзит_КТЭЦ'!E57+'4.10_транзит_котельн.'!E57</f>
        <v>0</v>
      </c>
      <c r="F57" s="241"/>
      <c r="G57" s="241">
        <v>0</v>
      </c>
      <c r="H57" s="241">
        <v>0</v>
      </c>
      <c r="I57" s="241">
        <v>0</v>
      </c>
      <c r="J57" s="241">
        <v>0</v>
      </c>
      <c r="K57" s="241">
        <v>0</v>
      </c>
      <c r="L57" s="241">
        <v>0</v>
      </c>
      <c r="M57" s="241">
        <v>0</v>
      </c>
      <c r="N57" s="241">
        <v>0</v>
      </c>
      <c r="O57" s="241">
        <v>0</v>
      </c>
      <c r="P57" s="241">
        <v>0</v>
      </c>
      <c r="Q57" s="241">
        <v>0</v>
      </c>
    </row>
    <row r="58" spans="1:17" s="36" customFormat="1" ht="15" customHeight="1" outlineLevel="1">
      <c r="A58" s="60"/>
      <c r="B58" s="70" t="s">
        <v>492</v>
      </c>
      <c r="C58" s="13" t="s">
        <v>240</v>
      </c>
      <c r="D58" s="241"/>
      <c r="E58" s="241">
        <f>'4.10_транзит_КТЭЦ'!E58+'4.10_транзит_котельн.'!E58</f>
        <v>0</v>
      </c>
      <c r="F58" s="241"/>
      <c r="G58" s="241">
        <v>526</v>
      </c>
      <c r="H58" s="241">
        <v>0</v>
      </c>
      <c r="I58" s="241">
        <v>0</v>
      </c>
      <c r="J58" s="241">
        <v>0</v>
      </c>
      <c r="K58" s="241">
        <v>0</v>
      </c>
      <c r="L58" s="241">
        <v>0</v>
      </c>
      <c r="M58" s="241">
        <v>0</v>
      </c>
      <c r="N58" s="241">
        <v>0</v>
      </c>
      <c r="O58" s="241">
        <v>0</v>
      </c>
      <c r="P58" s="241">
        <v>0</v>
      </c>
      <c r="Q58" s="241">
        <v>0</v>
      </c>
    </row>
    <row r="59" spans="1:17" s="36" customFormat="1" ht="15" customHeight="1" outlineLevel="1">
      <c r="A59" s="60"/>
      <c r="B59" s="70" t="s">
        <v>493</v>
      </c>
      <c r="C59" s="13" t="s">
        <v>240</v>
      </c>
      <c r="D59" s="241"/>
      <c r="E59" s="241">
        <f>'4.10_транзит_КТЭЦ'!E59+'4.10_транзит_котельн.'!E59</f>
        <v>0</v>
      </c>
      <c r="F59" s="241"/>
      <c r="G59" s="241">
        <v>33</v>
      </c>
      <c r="H59" s="241">
        <v>0</v>
      </c>
      <c r="I59" s="241">
        <v>0</v>
      </c>
      <c r="J59" s="241">
        <v>0</v>
      </c>
      <c r="K59" s="241">
        <v>0</v>
      </c>
      <c r="L59" s="241">
        <v>0</v>
      </c>
      <c r="M59" s="241">
        <v>0</v>
      </c>
      <c r="N59" s="241">
        <v>0</v>
      </c>
      <c r="O59" s="241">
        <v>0</v>
      </c>
      <c r="P59" s="241">
        <v>0</v>
      </c>
      <c r="Q59" s="241">
        <v>0</v>
      </c>
    </row>
    <row r="60" spans="1:17" s="36" customFormat="1" ht="15" customHeight="1" outlineLevel="1">
      <c r="A60" s="60"/>
      <c r="B60" s="70" t="s">
        <v>494</v>
      </c>
      <c r="C60" s="13" t="s">
        <v>240</v>
      </c>
      <c r="D60" s="241"/>
      <c r="E60" s="241">
        <f>'4.10_транзит_КТЭЦ'!E60+'4.10_транзит_котельн.'!E60</f>
        <v>143</v>
      </c>
      <c r="F60" s="241"/>
      <c r="G60" s="241">
        <v>87.681430568263877</v>
      </c>
      <c r="H60" s="241">
        <v>0</v>
      </c>
      <c r="I60" s="241">
        <v>60</v>
      </c>
      <c r="J60" s="241">
        <v>0</v>
      </c>
      <c r="K60" s="241">
        <v>0</v>
      </c>
      <c r="L60" s="241">
        <v>0</v>
      </c>
      <c r="M60" s="241">
        <v>0</v>
      </c>
      <c r="N60" s="241">
        <v>0</v>
      </c>
      <c r="O60" s="241">
        <v>0</v>
      </c>
      <c r="P60" s="241">
        <v>0</v>
      </c>
      <c r="Q60" s="241">
        <v>0</v>
      </c>
    </row>
    <row r="61" spans="1:17" s="36" customFormat="1" ht="15" customHeight="1" outlineLevel="1">
      <c r="A61" s="60"/>
      <c r="B61" s="70" t="s">
        <v>495</v>
      </c>
      <c r="C61" s="13" t="s">
        <v>240</v>
      </c>
      <c r="D61" s="241"/>
      <c r="E61" s="241">
        <f>'4.10_транзит_КТЭЦ'!E61+'4.10_транзит_котельн.'!E61</f>
        <v>12</v>
      </c>
      <c r="F61" s="241"/>
      <c r="G61" s="241">
        <v>309.61692099772705</v>
      </c>
      <c r="H61" s="241">
        <v>0</v>
      </c>
      <c r="I61" s="241">
        <v>27</v>
      </c>
      <c r="J61" s="241">
        <v>0</v>
      </c>
      <c r="K61" s="241">
        <v>0</v>
      </c>
      <c r="L61" s="241">
        <v>0</v>
      </c>
      <c r="M61" s="241">
        <v>0</v>
      </c>
      <c r="N61" s="241">
        <v>0</v>
      </c>
      <c r="O61" s="241">
        <v>0</v>
      </c>
      <c r="P61" s="241">
        <v>0</v>
      </c>
      <c r="Q61" s="241">
        <v>0</v>
      </c>
    </row>
    <row r="62" spans="1:17" s="36" customFormat="1" ht="15" customHeight="1" outlineLevel="1">
      <c r="A62" s="60"/>
      <c r="B62" s="70" t="s">
        <v>496</v>
      </c>
      <c r="C62" s="13" t="s">
        <v>240</v>
      </c>
      <c r="D62" s="241"/>
      <c r="E62" s="241">
        <f>'4.10_транзит_КТЭЦ'!E62+'4.10_транзит_котельн.'!E62</f>
        <v>6</v>
      </c>
      <c r="F62" s="241"/>
      <c r="G62" s="241">
        <v>957</v>
      </c>
      <c r="H62" s="241">
        <v>0</v>
      </c>
      <c r="I62" s="241">
        <v>0</v>
      </c>
      <c r="J62" s="241">
        <v>0</v>
      </c>
      <c r="K62" s="241">
        <v>0</v>
      </c>
      <c r="L62" s="241">
        <v>0</v>
      </c>
      <c r="M62" s="241">
        <v>0</v>
      </c>
      <c r="N62" s="241">
        <v>0</v>
      </c>
      <c r="O62" s="241">
        <v>0</v>
      </c>
      <c r="P62" s="241">
        <v>0</v>
      </c>
      <c r="Q62" s="241">
        <v>0</v>
      </c>
    </row>
    <row r="63" spans="1:17" s="36" customFormat="1" ht="15" customHeight="1" outlineLevel="1">
      <c r="A63" s="60"/>
      <c r="B63" s="70" t="s">
        <v>497</v>
      </c>
      <c r="C63" s="13" t="s">
        <v>240</v>
      </c>
      <c r="D63" s="241"/>
      <c r="E63" s="241">
        <f>'4.10_транзит_КТЭЦ'!E63+'4.10_транзит_котельн.'!E63</f>
        <v>0</v>
      </c>
      <c r="F63" s="241"/>
      <c r="G63" s="241">
        <v>0</v>
      </c>
      <c r="H63" s="241">
        <v>0</v>
      </c>
      <c r="I63" s="241">
        <v>0</v>
      </c>
      <c r="J63" s="241">
        <v>0</v>
      </c>
      <c r="K63" s="241">
        <v>0</v>
      </c>
      <c r="L63" s="241">
        <v>0</v>
      </c>
      <c r="M63" s="241">
        <v>0</v>
      </c>
      <c r="N63" s="241">
        <v>0</v>
      </c>
      <c r="O63" s="241">
        <v>0</v>
      </c>
      <c r="P63" s="241">
        <v>0</v>
      </c>
      <c r="Q63" s="241">
        <v>0</v>
      </c>
    </row>
    <row r="64" spans="1:17" s="36" customFormat="1" ht="15" customHeight="1" outlineLevel="1">
      <c r="A64" s="60"/>
      <c r="B64" s="68" t="s">
        <v>498</v>
      </c>
      <c r="C64" s="13" t="s">
        <v>240</v>
      </c>
      <c r="D64" s="241"/>
      <c r="E64" s="241">
        <f>'4.10_транзит_КТЭЦ'!E64+'4.10_транзит_котельн.'!E64</f>
        <v>334</v>
      </c>
      <c r="F64" s="241"/>
      <c r="G64" s="241">
        <v>24.457134935954908</v>
      </c>
      <c r="H64" s="241">
        <v>0</v>
      </c>
      <c r="I64" s="241">
        <v>11</v>
      </c>
      <c r="J64" s="241">
        <v>0</v>
      </c>
      <c r="K64" s="241">
        <v>0</v>
      </c>
      <c r="L64" s="241">
        <v>0</v>
      </c>
      <c r="M64" s="241">
        <v>0</v>
      </c>
      <c r="N64" s="241">
        <v>0</v>
      </c>
      <c r="O64" s="241">
        <v>0</v>
      </c>
      <c r="P64" s="241">
        <v>0</v>
      </c>
      <c r="Q64" s="241">
        <v>0</v>
      </c>
    </row>
    <row r="65" spans="1:17" s="36" customFormat="1" ht="15" customHeight="1" outlineLevel="1">
      <c r="A65" s="60"/>
      <c r="B65" s="68" t="s">
        <v>499</v>
      </c>
      <c r="C65" s="13" t="s">
        <v>240</v>
      </c>
      <c r="D65" s="241"/>
      <c r="E65" s="241">
        <f>'4.10_транзит_КТЭЦ'!E65+'4.10_транзит_котельн.'!E65</f>
        <v>0</v>
      </c>
      <c r="F65" s="241"/>
      <c r="G65" s="241">
        <v>21.074765210769655</v>
      </c>
      <c r="H65" s="241">
        <v>0</v>
      </c>
      <c r="I65" s="241">
        <v>5516</v>
      </c>
      <c r="J65" s="241">
        <v>0</v>
      </c>
      <c r="K65" s="241">
        <v>22064</v>
      </c>
      <c r="L65" s="241">
        <v>0</v>
      </c>
      <c r="M65" s="241">
        <v>0</v>
      </c>
      <c r="N65" s="241">
        <v>0</v>
      </c>
      <c r="O65" s="241">
        <v>0</v>
      </c>
      <c r="P65" s="241">
        <v>0</v>
      </c>
      <c r="Q65" s="241">
        <v>0</v>
      </c>
    </row>
    <row r="66" spans="1:17" s="36" customFormat="1">
      <c r="A66" s="60"/>
      <c r="B66" s="68"/>
      <c r="C66" s="13"/>
      <c r="D66" s="241"/>
      <c r="E66" s="241"/>
      <c r="F66" s="241"/>
      <c r="G66" s="241"/>
      <c r="H66" s="241"/>
      <c r="I66" s="241"/>
      <c r="J66" s="241"/>
      <c r="K66" s="241"/>
      <c r="L66" s="241"/>
      <c r="M66" s="241"/>
      <c r="N66" s="241"/>
      <c r="O66" s="241"/>
      <c r="P66" s="241"/>
      <c r="Q66" s="241"/>
    </row>
    <row r="67" spans="1:17" s="1001" customFormat="1" ht="30" customHeight="1">
      <c r="A67" s="82" t="s">
        <v>78</v>
      </c>
      <c r="B67" s="80" t="s">
        <v>503</v>
      </c>
      <c r="C67" s="1002" t="s">
        <v>240</v>
      </c>
      <c r="D67" s="1000">
        <f>'4.10_транзит_КТЭЦ'!D67+'4.10_транзит_котельн.'!D67</f>
        <v>275860</v>
      </c>
      <c r="E67" s="1000">
        <f>'4.10_транзит_КТЭЦ'!E67+'4.10_транзит_котельн.'!E67</f>
        <v>281834</v>
      </c>
      <c r="F67" s="1000">
        <f>'4.10_транзит_КТЭЦ'!F67+'4.10_транзит_котельн.'!F67</f>
        <v>0</v>
      </c>
      <c r="G67" s="1000">
        <v>521698</v>
      </c>
      <c r="H67" s="1000">
        <v>0</v>
      </c>
      <c r="I67" s="1000">
        <v>544047</v>
      </c>
      <c r="J67" s="1000">
        <v>0</v>
      </c>
      <c r="K67" s="1000">
        <v>709690.83333333337</v>
      </c>
      <c r="L67" s="1000">
        <v>827840.16666666674</v>
      </c>
      <c r="M67" s="1000">
        <v>822836</v>
      </c>
      <c r="N67" s="1000">
        <v>832844.33333333326</v>
      </c>
      <c r="O67" s="1000">
        <v>853777.33333333326</v>
      </c>
      <c r="P67" s="1000">
        <v>845627</v>
      </c>
      <c r="Q67" s="1000">
        <v>861927.66666666674</v>
      </c>
    </row>
    <row r="68" spans="1:17" s="36" customFormat="1" ht="15" customHeight="1" outlineLevel="1">
      <c r="A68" s="60"/>
      <c r="B68" s="68" t="s">
        <v>487</v>
      </c>
      <c r="C68" s="13" t="s">
        <v>240</v>
      </c>
      <c r="D68" s="241"/>
      <c r="E68" s="241">
        <f>'4.10_транзит_КТЭЦ'!E68+'4.10_транзит_котельн.'!E68</f>
        <v>123059</v>
      </c>
      <c r="F68" s="241"/>
      <c r="G68" s="241">
        <v>361012</v>
      </c>
      <c r="H68" s="241">
        <v>0</v>
      </c>
      <c r="I68" s="241">
        <v>354286</v>
      </c>
      <c r="J68" s="241">
        <v>0</v>
      </c>
      <c r="K68" s="241">
        <v>360594</v>
      </c>
      <c r="L68" s="241">
        <v>360594</v>
      </c>
      <c r="M68" s="241">
        <v>360594</v>
      </c>
      <c r="N68" s="241">
        <v>360594</v>
      </c>
      <c r="O68" s="241">
        <v>360594</v>
      </c>
      <c r="P68" s="241">
        <v>360594</v>
      </c>
      <c r="Q68" s="241">
        <v>360594</v>
      </c>
    </row>
    <row r="69" spans="1:17" s="36" customFormat="1" ht="15" customHeight="1" outlineLevel="1">
      <c r="A69" s="60"/>
      <c r="B69" s="68" t="s">
        <v>488</v>
      </c>
      <c r="C69" s="13" t="s">
        <v>240</v>
      </c>
      <c r="D69" s="241"/>
      <c r="E69" s="241">
        <f>'4.10_транзит_КТЭЦ'!E69+'4.10_транзит_котельн.'!E69</f>
        <v>124187</v>
      </c>
      <c r="F69" s="241"/>
      <c r="G69" s="241">
        <v>124318</v>
      </c>
      <c r="H69" s="241">
        <v>0</v>
      </c>
      <c r="I69" s="241">
        <v>130250</v>
      </c>
      <c r="J69" s="241">
        <v>0</v>
      </c>
      <c r="K69" s="241">
        <v>234151.83333333334</v>
      </c>
      <c r="L69" s="241">
        <v>363602.16666666669</v>
      </c>
      <c r="M69" s="241">
        <v>359333</v>
      </c>
      <c r="N69" s="241">
        <v>367871.33333333331</v>
      </c>
      <c r="O69" s="241">
        <v>387483.33333333331</v>
      </c>
      <c r="P69" s="241">
        <v>379825</v>
      </c>
      <c r="Q69" s="241">
        <v>395141.66666666669</v>
      </c>
    </row>
    <row r="70" spans="1:17" s="36" customFormat="1" ht="15" customHeight="1" outlineLevel="1">
      <c r="A70" s="60"/>
      <c r="B70" s="68" t="s">
        <v>489</v>
      </c>
      <c r="C70" s="13" t="s">
        <v>240</v>
      </c>
      <c r="D70" s="241"/>
      <c r="E70" s="241">
        <f>'4.10_транзит_КТЭЦ'!E70+'4.10_транзит_котельн.'!E70</f>
        <v>0</v>
      </c>
      <c r="F70" s="241"/>
      <c r="G70" s="241">
        <v>0</v>
      </c>
      <c r="H70" s="241">
        <v>0</v>
      </c>
      <c r="I70" s="241">
        <v>227</v>
      </c>
      <c r="J70" s="241">
        <v>0</v>
      </c>
      <c r="K70" s="241">
        <v>11491</v>
      </c>
      <c r="L70" s="241">
        <v>20146</v>
      </c>
      <c r="M70" s="241">
        <v>20015</v>
      </c>
      <c r="N70" s="241">
        <v>20277</v>
      </c>
      <c r="O70" s="241">
        <v>20776</v>
      </c>
      <c r="P70" s="241">
        <v>20643</v>
      </c>
      <c r="Q70" s="241">
        <v>20908</v>
      </c>
    </row>
    <row r="71" spans="1:17" s="36" customFormat="1" ht="15" customHeight="1" outlineLevel="1">
      <c r="A71" s="60"/>
      <c r="B71" s="68" t="s">
        <v>490</v>
      </c>
      <c r="C71" s="13" t="s">
        <v>240</v>
      </c>
      <c r="D71" s="241"/>
      <c r="E71" s="241">
        <f>'4.10_транзит_КТЭЦ'!E71+'4.10_транзит_котельн.'!E71</f>
        <v>26316</v>
      </c>
      <c r="F71" s="241"/>
      <c r="G71" s="241">
        <v>29102</v>
      </c>
      <c r="H71" s="241">
        <v>0</v>
      </c>
      <c r="I71" s="241">
        <v>41064</v>
      </c>
      <c r="J71" s="241">
        <v>0</v>
      </c>
      <c r="K71" s="241">
        <v>71309</v>
      </c>
      <c r="L71" s="241">
        <v>72135</v>
      </c>
      <c r="M71" s="241">
        <v>71894</v>
      </c>
      <c r="N71" s="241">
        <v>72377</v>
      </c>
      <c r="O71" s="241">
        <v>72957</v>
      </c>
      <c r="P71" s="241">
        <v>72598</v>
      </c>
      <c r="Q71" s="241">
        <v>73317</v>
      </c>
    </row>
    <row r="72" spans="1:17" s="36" customFormat="1" ht="15" customHeight="1" outlineLevel="1">
      <c r="A72" s="60"/>
      <c r="B72" s="68" t="s">
        <v>491</v>
      </c>
      <c r="C72" s="13" t="s">
        <v>240</v>
      </c>
      <c r="D72" s="241"/>
      <c r="E72" s="241">
        <f>'4.10_транзит_КТЭЦ'!E72+'4.10_транзит_котельн.'!E72</f>
        <v>128</v>
      </c>
      <c r="F72" s="241"/>
      <c r="G72" s="241">
        <v>154</v>
      </c>
      <c r="H72" s="241">
        <v>0</v>
      </c>
      <c r="I72" s="241">
        <v>149</v>
      </c>
      <c r="J72" s="241">
        <v>0</v>
      </c>
      <c r="K72" s="241">
        <v>154</v>
      </c>
      <c r="L72" s="241">
        <v>154</v>
      </c>
      <c r="M72" s="241">
        <v>154</v>
      </c>
      <c r="N72" s="241">
        <v>154</v>
      </c>
      <c r="O72" s="241">
        <v>154</v>
      </c>
      <c r="P72" s="241">
        <v>154</v>
      </c>
      <c r="Q72" s="241">
        <v>154</v>
      </c>
    </row>
    <row r="73" spans="1:17" s="36" customFormat="1" ht="15" customHeight="1" outlineLevel="1">
      <c r="A73" s="60"/>
      <c r="B73" s="70" t="s">
        <v>492</v>
      </c>
      <c r="C73" s="13" t="s">
        <v>240</v>
      </c>
      <c r="D73" s="241"/>
      <c r="E73" s="241">
        <f>'4.10_транзит_КТЭЦ'!E73+'4.10_транзит_котельн.'!E73</f>
        <v>16590</v>
      </c>
      <c r="F73" s="241"/>
      <c r="G73" s="241">
        <v>18594</v>
      </c>
      <c r="H73" s="241">
        <v>0</v>
      </c>
      <c r="I73" s="241">
        <v>23011</v>
      </c>
      <c r="J73" s="241">
        <v>0</v>
      </c>
      <c r="K73" s="241">
        <v>23566</v>
      </c>
      <c r="L73" s="241">
        <v>23566</v>
      </c>
      <c r="M73" s="241">
        <v>23566</v>
      </c>
      <c r="N73" s="241">
        <v>23566</v>
      </c>
      <c r="O73" s="241">
        <v>23566</v>
      </c>
      <c r="P73" s="241">
        <v>23566</v>
      </c>
      <c r="Q73" s="241">
        <v>23566</v>
      </c>
    </row>
    <row r="74" spans="1:17" s="36" customFormat="1" ht="15" customHeight="1" outlineLevel="1">
      <c r="A74" s="60"/>
      <c r="B74" s="70" t="s">
        <v>493</v>
      </c>
      <c r="C74" s="13" t="s">
        <v>240</v>
      </c>
      <c r="D74" s="241"/>
      <c r="E74" s="241">
        <f>'4.10_транзит_КТЭЦ'!E74+'4.10_транзит_котельн.'!E74</f>
        <v>506</v>
      </c>
      <c r="F74" s="241"/>
      <c r="G74" s="241">
        <v>868</v>
      </c>
      <c r="H74" s="241">
        <v>0</v>
      </c>
      <c r="I74" s="241">
        <v>1220</v>
      </c>
      <c r="J74" s="241">
        <v>0</v>
      </c>
      <c r="K74" s="241">
        <v>1330</v>
      </c>
      <c r="L74" s="241">
        <v>1330</v>
      </c>
      <c r="M74" s="241">
        <v>1330</v>
      </c>
      <c r="N74" s="241">
        <v>1330</v>
      </c>
      <c r="O74" s="241">
        <v>1330</v>
      </c>
      <c r="P74" s="241">
        <v>1330</v>
      </c>
      <c r="Q74" s="241">
        <v>1330</v>
      </c>
    </row>
    <row r="75" spans="1:17" s="36" customFormat="1" ht="15" customHeight="1" outlineLevel="1">
      <c r="A75" s="60"/>
      <c r="B75" s="70" t="s">
        <v>494</v>
      </c>
      <c r="C75" s="13" t="s">
        <v>240</v>
      </c>
      <c r="D75" s="241"/>
      <c r="E75" s="241">
        <f>'4.10_транзит_КТЭЦ'!E75+'4.10_транзит_котельн.'!E75</f>
        <v>1628</v>
      </c>
      <c r="F75" s="241"/>
      <c r="G75" s="241">
        <v>2118</v>
      </c>
      <c r="H75" s="241">
        <v>0</v>
      </c>
      <c r="I75" s="241">
        <v>5177</v>
      </c>
      <c r="J75" s="241">
        <v>0</v>
      </c>
      <c r="K75" s="241">
        <v>5190</v>
      </c>
      <c r="L75" s="241">
        <v>5190</v>
      </c>
      <c r="M75" s="241">
        <v>5190</v>
      </c>
      <c r="N75" s="241">
        <v>5190</v>
      </c>
      <c r="O75" s="241">
        <v>5190</v>
      </c>
      <c r="P75" s="241">
        <v>5190</v>
      </c>
      <c r="Q75" s="241">
        <v>5190</v>
      </c>
    </row>
    <row r="76" spans="1:17" s="36" customFormat="1" ht="15" customHeight="1" outlineLevel="1">
      <c r="A76" s="60"/>
      <c r="B76" s="70" t="s">
        <v>495</v>
      </c>
      <c r="C76" s="13" t="s">
        <v>240</v>
      </c>
      <c r="D76" s="241"/>
      <c r="E76" s="241">
        <f>'4.10_транзит_КТЭЦ'!E76+'4.10_транзит_котельн.'!E76</f>
        <v>7464</v>
      </c>
      <c r="F76" s="241"/>
      <c r="G76" s="241">
        <v>7368</v>
      </c>
      <c r="H76" s="241">
        <v>0</v>
      </c>
      <c r="I76" s="241">
        <v>11507</v>
      </c>
      <c r="J76" s="241">
        <v>0</v>
      </c>
      <c r="K76" s="241">
        <v>41069</v>
      </c>
      <c r="L76" s="241">
        <v>41895</v>
      </c>
      <c r="M76" s="241">
        <v>41654</v>
      </c>
      <c r="N76" s="241">
        <v>42137</v>
      </c>
      <c r="O76" s="241">
        <v>42717</v>
      </c>
      <c r="P76" s="241">
        <v>42358</v>
      </c>
      <c r="Q76" s="241">
        <v>43077</v>
      </c>
    </row>
    <row r="77" spans="1:17" s="36" customFormat="1" ht="15" customHeight="1" outlineLevel="1">
      <c r="A77" s="60"/>
      <c r="B77" s="70" t="s">
        <v>496</v>
      </c>
      <c r="C77" s="13" t="s">
        <v>240</v>
      </c>
      <c r="D77" s="241"/>
      <c r="E77" s="241">
        <f>'4.10_транзит_КТЭЦ'!E77+'4.10_транзит_котельн.'!E77</f>
        <v>5315</v>
      </c>
      <c r="F77" s="241"/>
      <c r="G77" s="241">
        <v>4415</v>
      </c>
      <c r="H77" s="241">
        <v>0</v>
      </c>
      <c r="I77" s="241">
        <v>5227</v>
      </c>
      <c r="J77" s="241">
        <v>0</v>
      </c>
      <c r="K77" s="241">
        <v>6116</v>
      </c>
      <c r="L77" s="241">
        <v>6479</v>
      </c>
      <c r="M77" s="241">
        <v>6116</v>
      </c>
      <c r="N77" s="241">
        <v>6841</v>
      </c>
      <c r="O77" s="241">
        <v>7083</v>
      </c>
      <c r="P77" s="241">
        <v>7083</v>
      </c>
      <c r="Q77" s="241">
        <v>7083</v>
      </c>
    </row>
    <row r="78" spans="1:17" s="36" customFormat="1" ht="15" customHeight="1" outlineLevel="1">
      <c r="A78" s="60"/>
      <c r="B78" s="70" t="s">
        <v>497</v>
      </c>
      <c r="C78" s="13" t="s">
        <v>240</v>
      </c>
      <c r="D78" s="241"/>
      <c r="E78" s="241">
        <f>'4.10_транзит_КТЭЦ'!E78+'4.10_транзит_котельн.'!E78</f>
        <v>17</v>
      </c>
      <c r="F78" s="241"/>
      <c r="G78" s="241">
        <v>49</v>
      </c>
      <c r="H78" s="241">
        <v>0</v>
      </c>
      <c r="I78" s="241">
        <v>88</v>
      </c>
      <c r="J78" s="241">
        <v>0</v>
      </c>
      <c r="K78" s="241">
        <v>88</v>
      </c>
      <c r="L78" s="241">
        <v>88</v>
      </c>
      <c r="M78" s="241">
        <v>88</v>
      </c>
      <c r="N78" s="241">
        <v>88</v>
      </c>
      <c r="O78" s="241">
        <v>88</v>
      </c>
      <c r="P78" s="241">
        <v>88</v>
      </c>
      <c r="Q78" s="241">
        <v>88</v>
      </c>
    </row>
    <row r="79" spans="1:17" s="36" customFormat="1" ht="15" customHeight="1" outlineLevel="1">
      <c r="A79" s="60"/>
      <c r="B79" s="68" t="s">
        <v>498</v>
      </c>
      <c r="C79" s="13" t="s">
        <v>240</v>
      </c>
      <c r="D79" s="241"/>
      <c r="E79" s="241">
        <f>'4.10_транзит_КТЭЦ'!E79+'4.10_транзит_котельн.'!E79</f>
        <v>1838</v>
      </c>
      <c r="F79" s="241"/>
      <c r="G79" s="241">
        <v>1422</v>
      </c>
      <c r="H79" s="241">
        <v>0</v>
      </c>
      <c r="I79" s="241">
        <v>3218</v>
      </c>
      <c r="J79" s="241">
        <v>0</v>
      </c>
      <c r="K79" s="241">
        <v>3211</v>
      </c>
      <c r="L79" s="241">
        <v>3211</v>
      </c>
      <c r="M79" s="241">
        <v>3211</v>
      </c>
      <c r="N79" s="241">
        <v>3211</v>
      </c>
      <c r="O79" s="241">
        <v>3211</v>
      </c>
      <c r="P79" s="241">
        <v>3211</v>
      </c>
      <c r="Q79" s="241">
        <v>3211</v>
      </c>
    </row>
    <row r="80" spans="1:17" s="36" customFormat="1" ht="15" customHeight="1" outlineLevel="1">
      <c r="A80" s="60"/>
      <c r="B80" s="68" t="s">
        <v>499</v>
      </c>
      <c r="C80" s="13" t="s">
        <v>240</v>
      </c>
      <c r="D80" s="241"/>
      <c r="E80" s="241">
        <f>'4.10_транзит_КТЭЦ'!E80+'4.10_транзит_котельн.'!E80</f>
        <v>1102</v>
      </c>
      <c r="F80" s="241"/>
      <c r="G80" s="241">
        <v>1380</v>
      </c>
      <c r="H80" s="241">
        <v>0</v>
      </c>
      <c r="I80" s="241">
        <v>9687</v>
      </c>
      <c r="J80" s="241">
        <v>0</v>
      </c>
      <c r="K80" s="241">
        <v>22730</v>
      </c>
      <c r="L80" s="241">
        <v>1585</v>
      </c>
      <c r="M80" s="241">
        <v>1585</v>
      </c>
      <c r="N80" s="241">
        <v>1585</v>
      </c>
      <c r="O80" s="241">
        <v>1585</v>
      </c>
      <c r="P80" s="241">
        <v>1585</v>
      </c>
      <c r="Q80" s="241">
        <v>1585</v>
      </c>
    </row>
    <row r="81" spans="1:17" s="36" customFormat="1">
      <c r="A81" s="60"/>
      <c r="B81" s="68"/>
      <c r="C81" s="13"/>
      <c r="D81" s="66"/>
      <c r="E81" s="66"/>
      <c r="F81" s="66"/>
      <c r="G81" s="66"/>
      <c r="H81" s="66"/>
      <c r="I81" s="66"/>
      <c r="J81" s="66"/>
      <c r="K81" s="66"/>
      <c r="L81" s="66"/>
      <c r="M81" s="66"/>
      <c r="N81" s="66"/>
      <c r="O81" s="66"/>
      <c r="P81" s="66"/>
      <c r="Q81" s="66"/>
    </row>
    <row r="82" spans="1:17" s="1001" customFormat="1" ht="15" customHeight="1">
      <c r="A82" s="82" t="s">
        <v>86</v>
      </c>
      <c r="B82" s="80" t="s">
        <v>504</v>
      </c>
      <c r="C82" s="999"/>
      <c r="D82" s="432">
        <f>D97/D67*100</f>
        <v>7.8655839918799391</v>
      </c>
      <c r="E82" s="432">
        <f t="shared" ref="E82:N82" si="0">E97/E67*100</f>
        <v>7.0442175181134994</v>
      </c>
      <c r="F82" s="432"/>
      <c r="G82" s="432">
        <v>5.529635919631664</v>
      </c>
      <c r="H82" s="432" t="e">
        <v>#DIV/0!</v>
      </c>
      <c r="I82" s="432">
        <v>7.067771718252283</v>
      </c>
      <c r="J82" s="432" t="e">
        <v>#DIV/0!</v>
      </c>
      <c r="K82" s="432">
        <v>9.9422166224964155</v>
      </c>
      <c r="L82" s="432">
        <v>7.6128222013871021</v>
      </c>
      <c r="M82" s="432">
        <v>3.8090214818019628</v>
      </c>
      <c r="N82" s="432">
        <v>3.8038320886696315</v>
      </c>
      <c r="O82" s="432">
        <v>7.4893063452922153</v>
      </c>
      <c r="P82" s="432">
        <v>3.7704567143669725</v>
      </c>
      <c r="Q82" s="432">
        <v>3.7193376242321956</v>
      </c>
    </row>
    <row r="83" spans="1:17" s="36" customFormat="1" ht="15" customHeight="1" outlineLevel="1">
      <c r="A83" s="60"/>
      <c r="B83" s="68" t="s">
        <v>487</v>
      </c>
      <c r="C83" s="13" t="s">
        <v>138</v>
      </c>
      <c r="D83" s="66"/>
      <c r="E83" s="251">
        <f t="shared" ref="E83" si="1">E98/E68*100</f>
        <v>4.0013326940735752</v>
      </c>
      <c r="F83" s="66"/>
      <c r="G83" s="251">
        <v>3.4998836603769403</v>
      </c>
      <c r="H83" s="251" t="e">
        <v>#DIV/0!</v>
      </c>
      <c r="I83" s="251">
        <v>3.9120936192793394</v>
      </c>
      <c r="J83" s="251" t="e">
        <v>#DIV/0!</v>
      </c>
      <c r="K83" s="251">
        <v>3.8505909693450255</v>
      </c>
      <c r="L83" s="251">
        <v>3.8505909693450255</v>
      </c>
      <c r="M83" s="251">
        <v>1.9254341447722372</v>
      </c>
      <c r="N83" s="251">
        <v>1.9251568245727884</v>
      </c>
      <c r="O83" s="251">
        <v>3.8505909693450255</v>
      </c>
      <c r="P83" s="251">
        <v>1.9254341447722372</v>
      </c>
      <c r="Q83" s="251">
        <v>1.9251568245727884</v>
      </c>
    </row>
    <row r="84" spans="1:17" s="36" customFormat="1" ht="15" customHeight="1" outlineLevel="1">
      <c r="A84" s="60"/>
      <c r="B84" s="68" t="s">
        <v>488</v>
      </c>
      <c r="C84" s="13" t="s">
        <v>138</v>
      </c>
      <c r="D84" s="66"/>
      <c r="E84" s="251">
        <f t="shared" ref="E84" si="2">E99/E69*100</f>
        <v>10.675030397706685</v>
      </c>
      <c r="F84" s="66"/>
      <c r="G84" s="251">
        <v>10.52301356199424</v>
      </c>
      <c r="H84" s="251" t="e">
        <v>#DIV/0!</v>
      </c>
      <c r="I84" s="251">
        <v>10.997312859884836</v>
      </c>
      <c r="J84" s="251" t="e">
        <v>#DIV/0!</v>
      </c>
      <c r="K84" s="251">
        <v>10.045191474762458</v>
      </c>
      <c r="L84" s="251">
        <v>10.262315085214471</v>
      </c>
      <c r="M84" s="251">
        <v>5.1445316739625921</v>
      </c>
      <c r="N84" s="251">
        <v>5.1180938262834648</v>
      </c>
      <c r="O84" s="251">
        <v>10.117080304529228</v>
      </c>
      <c r="P84" s="251">
        <v>5.1371026130454815</v>
      </c>
      <c r="Q84" s="251">
        <v>4.983022966446633</v>
      </c>
    </row>
    <row r="85" spans="1:17" s="36" customFormat="1" ht="15" customHeight="1" outlineLevel="1">
      <c r="A85" s="60"/>
      <c r="B85" s="68" t="s">
        <v>489</v>
      </c>
      <c r="C85" s="13" t="s">
        <v>138</v>
      </c>
      <c r="D85" s="66"/>
      <c r="E85" s="251"/>
      <c r="F85" s="66"/>
      <c r="G85" s="251"/>
      <c r="H85" s="251"/>
      <c r="I85" s="251"/>
      <c r="J85" s="251"/>
      <c r="K85" s="251"/>
      <c r="L85" s="251"/>
      <c r="M85" s="251"/>
      <c r="N85" s="251"/>
      <c r="O85" s="251"/>
      <c r="P85" s="251"/>
      <c r="Q85" s="251"/>
    </row>
    <row r="86" spans="1:17" s="36" customFormat="1" ht="15" customHeight="1" outlineLevel="1">
      <c r="A86" s="60"/>
      <c r="B86" s="68" t="s">
        <v>490</v>
      </c>
      <c r="C86" s="13" t="s">
        <v>138</v>
      </c>
      <c r="D86" s="66"/>
      <c r="E86" s="251">
        <f t="shared" ref="E86" si="3">E101/E71*100</f>
        <v>5.6581547347621219</v>
      </c>
      <c r="F86" s="66"/>
      <c r="G86" s="251">
        <v>9.1437014638169192</v>
      </c>
      <c r="H86" s="251" t="e">
        <v>#DIV/0!</v>
      </c>
      <c r="I86" s="251">
        <v>9.5144165205532829</v>
      </c>
      <c r="J86" s="251" t="e">
        <v>#DIV/0!</v>
      </c>
      <c r="K86" s="251">
        <v>13.229746595801373</v>
      </c>
      <c r="L86" s="251">
        <v>13.10736812920219</v>
      </c>
      <c r="M86" s="251">
        <v>6.576348513088714</v>
      </c>
      <c r="N86" s="251">
        <v>6.5310803155698638</v>
      </c>
      <c r="O86" s="251">
        <v>11.790506736844991</v>
      </c>
      <c r="P86" s="251">
        <v>5.9257830794236757</v>
      </c>
      <c r="Q86" s="251">
        <v>5.8649426463166794</v>
      </c>
    </row>
    <row r="87" spans="1:17" s="36" customFormat="1" ht="15" customHeight="1" outlineLevel="1">
      <c r="A87" s="60"/>
      <c r="B87" s="68" t="s">
        <v>491</v>
      </c>
      <c r="C87" s="13" t="s">
        <v>138</v>
      </c>
      <c r="D87" s="66"/>
      <c r="E87" s="251">
        <f t="shared" ref="E87" si="4">E102/E72*100</f>
        <v>16.40625</v>
      </c>
      <c r="F87" s="66"/>
      <c r="G87" s="251">
        <v>16.233766233766232</v>
      </c>
      <c r="H87" s="251" t="e">
        <v>#DIV/0!</v>
      </c>
      <c r="I87" s="251">
        <v>18.120805369127517</v>
      </c>
      <c r="J87" s="251" t="e">
        <v>#DIV/0!</v>
      </c>
      <c r="K87" s="251">
        <v>15.584415584415584</v>
      </c>
      <c r="L87" s="251">
        <v>15.584415584415584</v>
      </c>
      <c r="M87" s="251">
        <v>7.7922077922077921</v>
      </c>
      <c r="N87" s="251">
        <v>7.7922077922077921</v>
      </c>
      <c r="O87" s="251">
        <v>15.584415584415584</v>
      </c>
      <c r="P87" s="251">
        <v>7.7922077922077921</v>
      </c>
      <c r="Q87" s="251">
        <v>7.7922077922077921</v>
      </c>
    </row>
    <row r="88" spans="1:17" s="36" customFormat="1" ht="15" customHeight="1" outlineLevel="1">
      <c r="A88" s="60"/>
      <c r="B88" s="70" t="s">
        <v>492</v>
      </c>
      <c r="C88" s="13" t="s">
        <v>138</v>
      </c>
      <c r="D88" s="66"/>
      <c r="E88" s="251">
        <f t="shared" ref="E88" si="5">E103/E73*100</f>
        <v>6.6787221217600958</v>
      </c>
      <c r="F88" s="66"/>
      <c r="G88" s="251">
        <v>7.3518339249220173</v>
      </c>
      <c r="H88" s="251" t="e">
        <v>#DIV/0!</v>
      </c>
      <c r="I88" s="251">
        <v>8.2786493416192251</v>
      </c>
      <c r="J88" s="251" t="e">
        <v>#DIV/0!</v>
      </c>
      <c r="K88" s="251">
        <v>8.0964100823219898</v>
      </c>
      <c r="L88" s="251">
        <v>8.0964100823219898</v>
      </c>
      <c r="M88" s="251">
        <v>4.0482050411609949</v>
      </c>
      <c r="N88" s="251">
        <v>4.0482050411609949</v>
      </c>
      <c r="O88" s="251">
        <v>8.0964100823219898</v>
      </c>
      <c r="P88" s="251">
        <v>4.0482050411609949</v>
      </c>
      <c r="Q88" s="251">
        <v>4.0482050411609949</v>
      </c>
    </row>
    <row r="89" spans="1:17" s="36" customFormat="1" ht="15" customHeight="1" outlineLevel="1">
      <c r="A89" s="60"/>
      <c r="B89" s="70" t="s">
        <v>493</v>
      </c>
      <c r="C89" s="13" t="s">
        <v>138</v>
      </c>
      <c r="D89" s="66"/>
      <c r="E89" s="251">
        <f t="shared" ref="E89" si="6">E104/E74*100</f>
        <v>13.24110671936759</v>
      </c>
      <c r="F89" s="66"/>
      <c r="G89" s="251">
        <v>24.539170506912441</v>
      </c>
      <c r="H89" s="251" t="e">
        <v>#DIV/0!</v>
      </c>
      <c r="I89" s="251">
        <v>33.606557377049178</v>
      </c>
      <c r="J89" s="251" t="e">
        <v>#DIV/0!</v>
      </c>
      <c r="K89" s="251">
        <v>33.7593984962406</v>
      </c>
      <c r="L89" s="251">
        <v>32.180451127819545</v>
      </c>
      <c r="M89" s="251">
        <v>16.090225563909772</v>
      </c>
      <c r="N89" s="251">
        <v>16.090225563909772</v>
      </c>
      <c r="O89" s="251">
        <v>30</v>
      </c>
      <c r="P89" s="251">
        <v>15.037593984962406</v>
      </c>
      <c r="Q89" s="251">
        <v>14.962406015037594</v>
      </c>
    </row>
    <row r="90" spans="1:17" s="36" customFormat="1" ht="15" customHeight="1" outlineLevel="1">
      <c r="A90" s="60"/>
      <c r="B90" s="70" t="s">
        <v>494</v>
      </c>
      <c r="C90" s="13" t="s">
        <v>138</v>
      </c>
      <c r="D90" s="66"/>
      <c r="E90" s="251">
        <f t="shared" ref="E90" si="7">E105/E75*100</f>
        <v>5.4054054054054053</v>
      </c>
      <c r="F90" s="66"/>
      <c r="G90" s="251">
        <v>32.058545797922569</v>
      </c>
      <c r="H90" s="251" t="e">
        <v>#DIV/0!</v>
      </c>
      <c r="I90" s="251">
        <v>13.463395789067029</v>
      </c>
      <c r="J90" s="251" t="e">
        <v>#DIV/0!</v>
      </c>
      <c r="K90" s="251">
        <v>2.4084778420038537</v>
      </c>
      <c r="L90" s="251">
        <v>2.1194605009633909</v>
      </c>
      <c r="M90" s="251">
        <v>1.0597302504816954</v>
      </c>
      <c r="N90" s="251">
        <v>1.0597302504816954</v>
      </c>
      <c r="O90" s="251">
        <v>0.71290944123314071</v>
      </c>
      <c r="P90" s="251">
        <v>0.36608863198458574</v>
      </c>
      <c r="Q90" s="251">
        <v>0.34682080924855491</v>
      </c>
    </row>
    <row r="91" spans="1:17" s="36" customFormat="1" ht="15" customHeight="1" outlineLevel="1">
      <c r="A91" s="60"/>
      <c r="B91" s="70" t="s">
        <v>495</v>
      </c>
      <c r="C91" s="13" t="s">
        <v>138</v>
      </c>
      <c r="D91" s="66"/>
      <c r="E91" s="251">
        <f t="shared" ref="E91" si="8">E106/E76*100</f>
        <v>2.7465166130760985</v>
      </c>
      <c r="F91" s="66"/>
      <c r="G91" s="251">
        <v>5.1167209554831707</v>
      </c>
      <c r="H91" s="251" t="e">
        <v>#DIV/0!</v>
      </c>
      <c r="I91" s="251">
        <v>7.5432345528808549</v>
      </c>
      <c r="J91" s="251" t="e">
        <v>#DIV/0!</v>
      </c>
      <c r="K91" s="251">
        <v>16.869171394482457</v>
      </c>
      <c r="L91" s="251">
        <v>16.67263396586705</v>
      </c>
      <c r="M91" s="251">
        <v>8.3857492677774044</v>
      </c>
      <c r="N91" s="251">
        <v>8.287253482687424</v>
      </c>
      <c r="O91" s="251">
        <v>14.593721469204299</v>
      </c>
      <c r="P91" s="251">
        <v>7.3587043769771947</v>
      </c>
      <c r="Q91" s="251">
        <v>7.2358799359286854</v>
      </c>
    </row>
    <row r="92" spans="1:17" s="36" customFormat="1" ht="15" customHeight="1" outlineLevel="1">
      <c r="A92" s="60"/>
      <c r="B92" s="70" t="s">
        <v>496</v>
      </c>
      <c r="C92" s="13" t="s">
        <v>138</v>
      </c>
      <c r="D92" s="66"/>
      <c r="E92" s="251">
        <f t="shared" ref="E92" si="9">E107/E77*100</f>
        <v>0.15051740357478832</v>
      </c>
      <c r="F92" s="66"/>
      <c r="G92" s="251">
        <v>0.47565118912797288</v>
      </c>
      <c r="H92" s="251" t="e">
        <v>#DIV/0!</v>
      </c>
      <c r="I92" s="251">
        <v>0.84178304955041128</v>
      </c>
      <c r="J92" s="251" t="e">
        <v>#DIV/0!</v>
      </c>
      <c r="K92" s="251">
        <v>5.7226945716154356</v>
      </c>
      <c r="L92" s="251">
        <v>6.4053094613366266</v>
      </c>
      <c r="M92" s="251">
        <v>3.4009156311314586</v>
      </c>
      <c r="N92" s="251">
        <v>3.0258734103201288</v>
      </c>
      <c r="O92" s="251">
        <v>7.5956515600734162</v>
      </c>
      <c r="P92" s="251">
        <v>3.7978257800367081</v>
      </c>
      <c r="Q92" s="251">
        <v>3.7978257800367081</v>
      </c>
    </row>
    <row r="93" spans="1:17" s="36" customFormat="1" ht="15" customHeight="1" outlineLevel="1">
      <c r="A93" s="60"/>
      <c r="B93" s="70" t="s">
        <v>497</v>
      </c>
      <c r="C93" s="13" t="s">
        <v>138</v>
      </c>
      <c r="D93" s="66"/>
      <c r="E93" s="251">
        <f t="shared" ref="E93" si="10">E108/E78*100</f>
        <v>35.294117647058826</v>
      </c>
      <c r="F93" s="66"/>
      <c r="G93" s="251">
        <v>20.408163265306122</v>
      </c>
      <c r="H93" s="251" t="e">
        <v>#DIV/0!</v>
      </c>
      <c r="I93" s="251">
        <v>17.045454545454543</v>
      </c>
      <c r="J93" s="251" t="e">
        <v>#DIV/0!</v>
      </c>
      <c r="K93" s="251">
        <v>13.636363636363635</v>
      </c>
      <c r="L93" s="251">
        <v>13.636363636363635</v>
      </c>
      <c r="M93" s="251">
        <v>6.8181818181818175</v>
      </c>
      <c r="N93" s="251">
        <v>6.8181818181818175</v>
      </c>
      <c r="O93" s="251">
        <v>13.636363636363635</v>
      </c>
      <c r="P93" s="251">
        <v>6.8181818181818175</v>
      </c>
      <c r="Q93" s="251">
        <v>6.8181818181818175</v>
      </c>
    </row>
    <row r="94" spans="1:17" s="36" customFormat="1" ht="15" customHeight="1" outlineLevel="1">
      <c r="A94" s="60"/>
      <c r="B94" s="68" t="s">
        <v>498</v>
      </c>
      <c r="C94" s="13" t="s">
        <v>138</v>
      </c>
      <c r="D94" s="66"/>
      <c r="E94" s="251">
        <f t="shared" ref="E94" si="11">E109/E79*100</f>
        <v>3.0467899891186074</v>
      </c>
      <c r="F94" s="66"/>
      <c r="G94" s="251">
        <v>18.706047819971872</v>
      </c>
      <c r="H94" s="251" t="e">
        <v>#DIV/0!</v>
      </c>
      <c r="I94" s="251">
        <v>18.241143567433188</v>
      </c>
      <c r="J94" s="251" t="e">
        <v>#DIV/0!</v>
      </c>
      <c r="K94" s="251">
        <v>18.218623481781375</v>
      </c>
      <c r="L94" s="251">
        <v>10.277172220492059</v>
      </c>
      <c r="M94" s="251">
        <v>5.1385861102460293</v>
      </c>
      <c r="N94" s="251">
        <v>5.1385861102460293</v>
      </c>
      <c r="O94" s="251">
        <v>1.214574898785425</v>
      </c>
      <c r="P94" s="251">
        <v>0.62285892245406416</v>
      </c>
      <c r="Q94" s="251">
        <v>0.59171597633136097</v>
      </c>
    </row>
    <row r="95" spans="1:17" s="36" customFormat="1" ht="15" customHeight="1" outlineLevel="1">
      <c r="A95" s="60"/>
      <c r="B95" s="68" t="s">
        <v>499</v>
      </c>
      <c r="C95" s="13" t="s">
        <v>138</v>
      </c>
      <c r="D95" s="66"/>
      <c r="E95" s="251">
        <f t="shared" ref="E95" si="12">E110/E80*100</f>
        <v>10.254083484573503</v>
      </c>
      <c r="F95" s="66"/>
      <c r="G95" s="251">
        <v>12.536231884057973</v>
      </c>
      <c r="H95" s="251" t="e">
        <v>#DIV/0!</v>
      </c>
      <c r="I95" s="251">
        <v>58.996593372561165</v>
      </c>
      <c r="J95" s="251" t="e">
        <v>#DIV/0!</v>
      </c>
      <c r="K95" s="251">
        <v>97.967443906731191</v>
      </c>
      <c r="L95" s="251">
        <v>12.870662460567821</v>
      </c>
      <c r="M95" s="251">
        <v>6.4353312302839107</v>
      </c>
      <c r="N95" s="251">
        <v>6.4353312302839107</v>
      </c>
      <c r="O95" s="251">
        <v>12.870662460567821</v>
      </c>
      <c r="P95" s="251">
        <v>6.4353312302839107</v>
      </c>
      <c r="Q95" s="251">
        <v>6.4353312302839107</v>
      </c>
    </row>
    <row r="96" spans="1:17" s="36" customFormat="1">
      <c r="A96" s="60"/>
      <c r="B96" s="68"/>
      <c r="C96" s="13"/>
      <c r="D96" s="66"/>
      <c r="E96" s="66"/>
      <c r="F96" s="66"/>
      <c r="G96" s="66"/>
      <c r="H96" s="66"/>
      <c r="I96" s="66"/>
      <c r="J96" s="66"/>
      <c r="K96" s="66"/>
      <c r="L96" s="66"/>
      <c r="M96" s="66"/>
      <c r="N96" s="66"/>
      <c r="O96" s="66"/>
      <c r="P96" s="66"/>
      <c r="Q96" s="66"/>
    </row>
    <row r="97" spans="1:17" s="1001" customFormat="1" ht="15" customHeight="1">
      <c r="A97" s="82" t="s">
        <v>109</v>
      </c>
      <c r="B97" s="80" t="s">
        <v>505</v>
      </c>
      <c r="C97" s="999" t="s">
        <v>240</v>
      </c>
      <c r="D97" s="1000">
        <f>'4.10_транзит_КТЭЦ'!D97+'4.10_транзит_котельн.'!D97</f>
        <v>21698</v>
      </c>
      <c r="E97" s="1000">
        <f>'4.10_транзит_КТЭЦ'!E97+'4.10_транзит_котельн.'!E97</f>
        <v>19853</v>
      </c>
      <c r="F97" s="1000">
        <f>'4.10_транзит_КТЭЦ'!F97+'4.10_транзит_котельн.'!F97</f>
        <v>0</v>
      </c>
      <c r="G97" s="1000">
        <v>28848</v>
      </c>
      <c r="H97" s="1000">
        <v>0</v>
      </c>
      <c r="I97" s="1000">
        <v>38452</v>
      </c>
      <c r="J97" s="1000">
        <v>0</v>
      </c>
      <c r="K97" s="1000">
        <v>70559</v>
      </c>
      <c r="L97" s="1000">
        <v>63022</v>
      </c>
      <c r="M97" s="1000">
        <v>31342</v>
      </c>
      <c r="N97" s="1000">
        <v>31680</v>
      </c>
      <c r="O97" s="1000">
        <v>63942</v>
      </c>
      <c r="P97" s="1000">
        <v>31884</v>
      </c>
      <c r="Q97" s="1000">
        <v>32058</v>
      </c>
    </row>
    <row r="98" spans="1:17" s="36" customFormat="1" ht="15" customHeight="1" outlineLevel="1">
      <c r="A98" s="60"/>
      <c r="B98" s="68" t="s">
        <v>487</v>
      </c>
      <c r="C98" s="13" t="s">
        <v>240</v>
      </c>
      <c r="D98" s="241"/>
      <c r="E98" s="241">
        <f>'4.10_транзит_КТЭЦ'!E98+'4.10_транзит_котельн.'!E98</f>
        <v>4924</v>
      </c>
      <c r="F98" s="241"/>
      <c r="G98" s="241">
        <v>12635</v>
      </c>
      <c r="H98" s="241">
        <v>0</v>
      </c>
      <c r="I98" s="241">
        <v>13860</v>
      </c>
      <c r="J98" s="241">
        <v>0</v>
      </c>
      <c r="K98" s="241">
        <v>13885</v>
      </c>
      <c r="L98" s="241">
        <v>13885</v>
      </c>
      <c r="M98" s="241">
        <v>6943</v>
      </c>
      <c r="N98" s="241">
        <v>6942</v>
      </c>
      <c r="O98" s="241">
        <v>13885</v>
      </c>
      <c r="P98" s="241">
        <v>6943</v>
      </c>
      <c r="Q98" s="241">
        <v>6942</v>
      </c>
    </row>
    <row r="99" spans="1:17" s="36" customFormat="1" ht="15" customHeight="1" outlineLevel="1">
      <c r="A99" s="60"/>
      <c r="B99" s="68" t="s">
        <v>488</v>
      </c>
      <c r="C99" s="13" t="s">
        <v>240</v>
      </c>
      <c r="D99" s="241"/>
      <c r="E99" s="241">
        <f>'4.10_транзит_КТЭЦ'!E99+'4.10_транзит_котельн.'!E99</f>
        <v>13257</v>
      </c>
      <c r="F99" s="241"/>
      <c r="G99" s="241">
        <v>13082</v>
      </c>
      <c r="H99" s="241">
        <v>0</v>
      </c>
      <c r="I99" s="241">
        <v>14324</v>
      </c>
      <c r="J99" s="241">
        <v>0</v>
      </c>
      <c r="K99" s="241">
        <v>23521</v>
      </c>
      <c r="L99" s="241">
        <v>37314</v>
      </c>
      <c r="M99" s="241">
        <v>18486</v>
      </c>
      <c r="N99" s="241">
        <v>18828</v>
      </c>
      <c r="O99" s="241">
        <v>39202</v>
      </c>
      <c r="P99" s="241">
        <v>19512</v>
      </c>
      <c r="Q99" s="241">
        <v>19690</v>
      </c>
    </row>
    <row r="100" spans="1:17" s="36" customFormat="1" ht="15" customHeight="1" outlineLevel="1">
      <c r="A100" s="60"/>
      <c r="B100" s="68" t="s">
        <v>489</v>
      </c>
      <c r="C100" s="13" t="s">
        <v>240</v>
      </c>
      <c r="D100" s="241"/>
      <c r="E100" s="241">
        <f>'4.10_транзит_КТЭЦ'!E100+'4.10_транзит_котельн.'!E100</f>
        <v>0</v>
      </c>
      <c r="F100" s="241"/>
      <c r="G100" s="241">
        <v>0</v>
      </c>
      <c r="H100" s="241">
        <v>0</v>
      </c>
      <c r="I100" s="241">
        <v>0</v>
      </c>
      <c r="J100" s="241">
        <v>0</v>
      </c>
      <c r="K100" s="241">
        <v>504</v>
      </c>
      <c r="L100" s="241">
        <v>1407</v>
      </c>
      <c r="M100" s="241">
        <v>704</v>
      </c>
      <c r="N100" s="241">
        <v>703</v>
      </c>
      <c r="O100" s="241">
        <v>1460</v>
      </c>
      <c r="P100" s="241">
        <v>730</v>
      </c>
      <c r="Q100" s="241">
        <v>730</v>
      </c>
    </row>
    <row r="101" spans="1:17" s="36" customFormat="1" ht="15" customHeight="1" outlineLevel="1">
      <c r="A101" s="60"/>
      <c r="B101" s="68" t="s">
        <v>490</v>
      </c>
      <c r="C101" s="13" t="s">
        <v>240</v>
      </c>
      <c r="D101" s="241"/>
      <c r="E101" s="241">
        <f>'4.10_транзит_КТЭЦ'!E101+'4.10_транзит_котельн.'!E101</f>
        <v>1489</v>
      </c>
      <c r="F101" s="241"/>
      <c r="G101" s="241">
        <v>2661</v>
      </c>
      <c r="H101" s="241">
        <v>0</v>
      </c>
      <c r="I101" s="241">
        <v>3907</v>
      </c>
      <c r="J101" s="241">
        <v>0</v>
      </c>
      <c r="K101" s="241">
        <v>9434</v>
      </c>
      <c r="L101" s="241">
        <v>9455</v>
      </c>
      <c r="M101" s="241">
        <v>4728</v>
      </c>
      <c r="N101" s="241">
        <v>4727</v>
      </c>
      <c r="O101" s="241">
        <v>8602</v>
      </c>
      <c r="P101" s="241">
        <v>4302</v>
      </c>
      <c r="Q101" s="241">
        <v>4300</v>
      </c>
    </row>
    <row r="102" spans="1:17" s="36" customFormat="1" ht="15" customHeight="1" outlineLevel="1">
      <c r="A102" s="60"/>
      <c r="B102" s="68" t="s">
        <v>491</v>
      </c>
      <c r="C102" s="13" t="s">
        <v>240</v>
      </c>
      <c r="D102" s="241"/>
      <c r="E102" s="241">
        <f>'4.10_транзит_КТЭЦ'!E102+'4.10_транзит_котельн.'!E102</f>
        <v>21</v>
      </c>
      <c r="F102" s="241"/>
      <c r="G102" s="241">
        <v>25</v>
      </c>
      <c r="H102" s="241">
        <v>0</v>
      </c>
      <c r="I102" s="241">
        <v>27</v>
      </c>
      <c r="J102" s="241">
        <v>0</v>
      </c>
      <c r="K102" s="241">
        <v>24</v>
      </c>
      <c r="L102" s="241">
        <v>24</v>
      </c>
      <c r="M102" s="241">
        <v>12</v>
      </c>
      <c r="N102" s="241">
        <v>12</v>
      </c>
      <c r="O102" s="241">
        <v>24</v>
      </c>
      <c r="P102" s="241">
        <v>12</v>
      </c>
      <c r="Q102" s="241">
        <v>12</v>
      </c>
    </row>
    <row r="103" spans="1:17" s="36" customFormat="1" ht="15" customHeight="1" outlineLevel="1">
      <c r="A103" s="60"/>
      <c r="B103" s="70" t="s">
        <v>492</v>
      </c>
      <c r="C103" s="13" t="s">
        <v>240</v>
      </c>
      <c r="D103" s="241"/>
      <c r="E103" s="241">
        <f>'4.10_транзит_КТЭЦ'!E103+'4.10_транзит_котельн.'!E103</f>
        <v>1108</v>
      </c>
      <c r="F103" s="241"/>
      <c r="G103" s="241">
        <v>1367</v>
      </c>
      <c r="H103" s="241">
        <v>0</v>
      </c>
      <c r="I103" s="241">
        <v>1905</v>
      </c>
      <c r="J103" s="241">
        <v>0</v>
      </c>
      <c r="K103" s="241">
        <v>1908</v>
      </c>
      <c r="L103" s="241">
        <v>1908</v>
      </c>
      <c r="M103" s="241">
        <v>954</v>
      </c>
      <c r="N103" s="241">
        <v>954</v>
      </c>
      <c r="O103" s="241">
        <v>1908</v>
      </c>
      <c r="P103" s="241">
        <v>954</v>
      </c>
      <c r="Q103" s="241">
        <v>954</v>
      </c>
    </row>
    <row r="104" spans="1:17" s="36" customFormat="1" ht="15" customHeight="1" outlineLevel="1">
      <c r="A104" s="60"/>
      <c r="B104" s="70" t="s">
        <v>493</v>
      </c>
      <c r="C104" s="13" t="s">
        <v>240</v>
      </c>
      <c r="D104" s="241"/>
      <c r="E104" s="241">
        <f>'4.10_транзит_КТЭЦ'!E104+'4.10_транзит_котельн.'!E104</f>
        <v>67</v>
      </c>
      <c r="F104" s="241"/>
      <c r="G104" s="241">
        <v>213</v>
      </c>
      <c r="H104" s="241">
        <v>0</v>
      </c>
      <c r="I104" s="241">
        <v>410</v>
      </c>
      <c r="J104" s="241">
        <v>0</v>
      </c>
      <c r="K104" s="241">
        <v>449</v>
      </c>
      <c r="L104" s="241">
        <v>428</v>
      </c>
      <c r="M104" s="241">
        <v>214</v>
      </c>
      <c r="N104" s="241">
        <v>214</v>
      </c>
      <c r="O104" s="241">
        <v>399</v>
      </c>
      <c r="P104" s="241">
        <v>200</v>
      </c>
      <c r="Q104" s="241">
        <v>199</v>
      </c>
    </row>
    <row r="105" spans="1:17" s="36" customFormat="1" ht="15" customHeight="1" outlineLevel="1">
      <c r="A105" s="60"/>
      <c r="B105" s="70" t="s">
        <v>494</v>
      </c>
      <c r="C105" s="13" t="s">
        <v>240</v>
      </c>
      <c r="D105" s="241"/>
      <c r="E105" s="241">
        <f>'4.10_транзит_КТЭЦ'!E105+'4.10_транзит_котельн.'!E105</f>
        <v>88</v>
      </c>
      <c r="F105" s="241"/>
      <c r="G105" s="241">
        <v>679</v>
      </c>
      <c r="H105" s="241">
        <v>0</v>
      </c>
      <c r="I105" s="241">
        <v>697</v>
      </c>
      <c r="J105" s="241">
        <v>0</v>
      </c>
      <c r="K105" s="241">
        <v>125</v>
      </c>
      <c r="L105" s="241">
        <v>110</v>
      </c>
      <c r="M105" s="241">
        <v>55</v>
      </c>
      <c r="N105" s="241">
        <v>55</v>
      </c>
      <c r="O105" s="241">
        <v>37</v>
      </c>
      <c r="P105" s="241">
        <v>19</v>
      </c>
      <c r="Q105" s="241">
        <v>18</v>
      </c>
    </row>
    <row r="106" spans="1:17" s="36" customFormat="1" ht="15" customHeight="1" outlineLevel="1">
      <c r="A106" s="60"/>
      <c r="B106" s="70" t="s">
        <v>495</v>
      </c>
      <c r="C106" s="13" t="s">
        <v>240</v>
      </c>
      <c r="D106" s="241"/>
      <c r="E106" s="241">
        <f>'4.10_транзит_КТЭЦ'!E106+'4.10_транзит_котельн.'!E106</f>
        <v>205</v>
      </c>
      <c r="F106" s="241"/>
      <c r="G106" s="241">
        <v>377</v>
      </c>
      <c r="H106" s="241">
        <v>0</v>
      </c>
      <c r="I106" s="241">
        <v>868</v>
      </c>
      <c r="J106" s="241">
        <v>0</v>
      </c>
      <c r="K106" s="241">
        <v>6928</v>
      </c>
      <c r="L106" s="241">
        <v>6985</v>
      </c>
      <c r="M106" s="241">
        <v>3493</v>
      </c>
      <c r="N106" s="241">
        <v>3492</v>
      </c>
      <c r="O106" s="241">
        <v>6234</v>
      </c>
      <c r="P106" s="241">
        <v>3117</v>
      </c>
      <c r="Q106" s="241">
        <v>3117</v>
      </c>
    </row>
    <row r="107" spans="1:17" s="36" customFormat="1" ht="15" customHeight="1" outlineLevel="1">
      <c r="A107" s="60"/>
      <c r="B107" s="70" t="s">
        <v>496</v>
      </c>
      <c r="C107" s="13" t="s">
        <v>240</v>
      </c>
      <c r="D107" s="241"/>
      <c r="E107" s="241">
        <f>'4.10_транзит_КТЭЦ'!E107+'4.10_транзит_котельн.'!E107</f>
        <v>8</v>
      </c>
      <c r="F107" s="241"/>
      <c r="G107" s="241">
        <v>21</v>
      </c>
      <c r="H107" s="241">
        <v>0</v>
      </c>
      <c r="I107" s="241">
        <v>44</v>
      </c>
      <c r="J107" s="241">
        <v>0</v>
      </c>
      <c r="K107" s="241">
        <v>350</v>
      </c>
      <c r="L107" s="241">
        <v>415</v>
      </c>
      <c r="M107" s="241">
        <v>208</v>
      </c>
      <c r="N107" s="241">
        <v>207</v>
      </c>
      <c r="O107" s="241">
        <v>538</v>
      </c>
      <c r="P107" s="241">
        <v>269</v>
      </c>
      <c r="Q107" s="241">
        <v>269</v>
      </c>
    </row>
    <row r="108" spans="1:17" s="36" customFormat="1" ht="15" customHeight="1" outlineLevel="1">
      <c r="A108" s="60"/>
      <c r="B108" s="70" t="s">
        <v>497</v>
      </c>
      <c r="C108" s="13" t="s">
        <v>240</v>
      </c>
      <c r="D108" s="241"/>
      <c r="E108" s="241">
        <f>'4.10_транзит_КТЭЦ'!E108+'4.10_транзит_котельн.'!E108</f>
        <v>6</v>
      </c>
      <c r="F108" s="241"/>
      <c r="G108" s="241">
        <v>10</v>
      </c>
      <c r="H108" s="241">
        <v>0</v>
      </c>
      <c r="I108" s="241">
        <v>15</v>
      </c>
      <c r="J108" s="241">
        <v>0</v>
      </c>
      <c r="K108" s="241">
        <v>12</v>
      </c>
      <c r="L108" s="241">
        <v>12</v>
      </c>
      <c r="M108" s="241">
        <v>6</v>
      </c>
      <c r="N108" s="241">
        <v>6</v>
      </c>
      <c r="O108" s="241">
        <v>12</v>
      </c>
      <c r="P108" s="241">
        <v>6</v>
      </c>
      <c r="Q108" s="241">
        <v>6</v>
      </c>
    </row>
    <row r="109" spans="1:17" s="36" customFormat="1" ht="15" customHeight="1" outlineLevel="1">
      <c r="A109" s="60"/>
      <c r="B109" s="68" t="s">
        <v>498</v>
      </c>
      <c r="C109" s="13" t="s">
        <v>240</v>
      </c>
      <c r="D109" s="241"/>
      <c r="E109" s="241">
        <f>'4.10_транзит_КТЭЦ'!E109+'4.10_транзит_котельн.'!E109</f>
        <v>56</v>
      </c>
      <c r="F109" s="241"/>
      <c r="G109" s="241">
        <v>266</v>
      </c>
      <c r="H109" s="241">
        <v>0</v>
      </c>
      <c r="I109" s="241">
        <v>587</v>
      </c>
      <c r="J109" s="241">
        <v>0</v>
      </c>
      <c r="K109" s="241">
        <v>585</v>
      </c>
      <c r="L109" s="241">
        <v>330</v>
      </c>
      <c r="M109" s="241">
        <v>165</v>
      </c>
      <c r="N109" s="241">
        <v>165</v>
      </c>
      <c r="O109" s="241">
        <v>39</v>
      </c>
      <c r="P109" s="241">
        <v>20</v>
      </c>
      <c r="Q109" s="241">
        <v>19</v>
      </c>
    </row>
    <row r="110" spans="1:17" s="36" customFormat="1" ht="15" customHeight="1" outlineLevel="1">
      <c r="A110" s="60"/>
      <c r="B110" s="68" t="s">
        <v>499</v>
      </c>
      <c r="C110" s="13" t="s">
        <v>240</v>
      </c>
      <c r="D110" s="241"/>
      <c r="E110" s="241">
        <f>'4.10_транзит_КТЭЦ'!E110+'4.10_транзит_котельн.'!E110</f>
        <v>113</v>
      </c>
      <c r="F110" s="241"/>
      <c r="G110" s="241">
        <v>173</v>
      </c>
      <c r="H110" s="241">
        <v>0</v>
      </c>
      <c r="I110" s="241">
        <v>5715</v>
      </c>
      <c r="J110" s="241">
        <v>0</v>
      </c>
      <c r="K110" s="241">
        <v>22268</v>
      </c>
      <c r="L110" s="241">
        <v>204</v>
      </c>
      <c r="M110" s="241">
        <v>102</v>
      </c>
      <c r="N110" s="241">
        <v>102</v>
      </c>
      <c r="O110" s="241">
        <v>204</v>
      </c>
      <c r="P110" s="241">
        <v>102</v>
      </c>
      <c r="Q110" s="241">
        <v>102</v>
      </c>
    </row>
    <row r="111" spans="1:17" s="1001" customFormat="1" ht="28.5">
      <c r="A111" s="82" t="s">
        <v>151</v>
      </c>
      <c r="B111" s="80" t="s">
        <v>1524</v>
      </c>
      <c r="C111" s="1002" t="s">
        <v>240</v>
      </c>
      <c r="D111" s="1000">
        <f>'4.10_транзит_КТЭЦ'!D111+'4.10_транзит_котельн.'!D111</f>
        <v>23065</v>
      </c>
      <c r="E111" s="1000">
        <f>'4.10_транзит_КТЭЦ'!E111+'4.10_транзит_котельн.'!E111</f>
        <v>21815</v>
      </c>
      <c r="F111" s="1000"/>
      <c r="G111" s="1000">
        <v>31271</v>
      </c>
      <c r="H111" s="1000">
        <v>0</v>
      </c>
      <c r="I111" s="1000">
        <v>41282</v>
      </c>
      <c r="J111" s="1000">
        <v>0</v>
      </c>
      <c r="K111" s="1000">
        <v>73146</v>
      </c>
      <c r="L111" s="1000">
        <v>66312</v>
      </c>
      <c r="M111" s="1000">
        <v>32965</v>
      </c>
      <c r="N111" s="1000">
        <v>33347</v>
      </c>
      <c r="O111" s="1000">
        <v>68306</v>
      </c>
      <c r="P111" s="1000">
        <v>33990</v>
      </c>
      <c r="Q111" s="1000">
        <v>34316</v>
      </c>
    </row>
    <row r="112" spans="1:17" s="36" customFormat="1" ht="15" customHeight="1">
      <c r="A112" s="60" t="s">
        <v>153</v>
      </c>
      <c r="B112" s="70" t="s">
        <v>402</v>
      </c>
      <c r="C112" s="13" t="s">
        <v>240</v>
      </c>
      <c r="D112" s="241"/>
      <c r="E112" s="241"/>
      <c r="F112" s="241"/>
      <c r="G112" s="241"/>
      <c r="H112" s="241"/>
      <c r="I112" s="241"/>
      <c r="J112" s="241"/>
      <c r="K112" s="241"/>
      <c r="L112" s="241"/>
      <c r="M112" s="241"/>
      <c r="N112" s="241"/>
      <c r="O112" s="241"/>
      <c r="P112" s="241"/>
      <c r="Q112" s="241"/>
    </row>
    <row r="113" spans="1:17" s="36" customFormat="1" ht="15" customHeight="1">
      <c r="A113" s="60" t="s">
        <v>1528</v>
      </c>
      <c r="B113" s="70" t="s">
        <v>404</v>
      </c>
      <c r="C113" s="13" t="s">
        <v>240</v>
      </c>
      <c r="D113" s="241">
        <f>D111</f>
        <v>23065</v>
      </c>
      <c r="E113" s="241">
        <f t="shared" ref="E113:N113" si="13">E111</f>
        <v>21815</v>
      </c>
      <c r="F113" s="241"/>
      <c r="G113" s="241">
        <v>31271</v>
      </c>
      <c r="H113" s="241">
        <v>0</v>
      </c>
      <c r="I113" s="241">
        <v>41282</v>
      </c>
      <c r="J113" s="241">
        <v>0</v>
      </c>
      <c r="K113" s="241">
        <v>73146</v>
      </c>
      <c r="L113" s="241">
        <v>66312</v>
      </c>
      <c r="M113" s="241">
        <v>32965</v>
      </c>
      <c r="N113" s="241">
        <v>33347</v>
      </c>
      <c r="O113" s="241">
        <v>68306</v>
      </c>
      <c r="P113" s="241">
        <v>33990</v>
      </c>
      <c r="Q113" s="241">
        <v>34316</v>
      </c>
    </row>
    <row r="114" spans="1:17" s="36" customFormat="1" ht="15" customHeight="1">
      <c r="A114" s="60" t="s">
        <v>1529</v>
      </c>
      <c r="B114" s="70" t="s">
        <v>406</v>
      </c>
      <c r="C114" s="13" t="s">
        <v>240</v>
      </c>
      <c r="D114" s="241"/>
      <c r="E114" s="241"/>
      <c r="F114" s="241"/>
      <c r="G114" s="241"/>
      <c r="H114" s="241"/>
      <c r="I114" s="241"/>
      <c r="J114" s="241"/>
      <c r="K114" s="241"/>
      <c r="L114" s="241"/>
      <c r="M114" s="241"/>
      <c r="N114" s="241"/>
      <c r="O114" s="241"/>
      <c r="P114" s="241"/>
      <c r="Q114" s="241"/>
    </row>
    <row r="115" spans="1:17" s="36" customFormat="1" ht="15" customHeight="1">
      <c r="A115" s="60" t="s">
        <v>1530</v>
      </c>
      <c r="B115" s="70" t="s">
        <v>408</v>
      </c>
      <c r="C115" s="13" t="s">
        <v>240</v>
      </c>
      <c r="D115" s="241"/>
      <c r="E115" s="241"/>
      <c r="F115" s="241"/>
      <c r="G115" s="241"/>
      <c r="H115" s="241"/>
      <c r="I115" s="241"/>
      <c r="J115" s="241"/>
      <c r="K115" s="241"/>
      <c r="L115" s="241"/>
      <c r="M115" s="241"/>
      <c r="N115" s="241"/>
      <c r="O115" s="241"/>
      <c r="P115" s="241"/>
      <c r="Q115" s="241"/>
    </row>
    <row r="116" spans="1:17" customFormat="1" ht="12.75"/>
    <row r="117" spans="1:17" s="26" customFormat="1">
      <c r="A117" s="26" t="s">
        <v>88</v>
      </c>
      <c r="C117" s="48"/>
    </row>
    <row r="118" spans="1:17" s="541" customFormat="1" ht="51.75" customHeight="1">
      <c r="A118" s="541" t="s">
        <v>89</v>
      </c>
      <c r="B118" s="1842" t="s">
        <v>506</v>
      </c>
      <c r="C118" s="1842"/>
      <c r="D118" s="1842"/>
      <c r="E118" s="1842"/>
      <c r="F118" s="1842"/>
      <c r="G118" s="1842"/>
      <c r="H118" s="1842"/>
      <c r="I118" s="1842"/>
      <c r="J118" s="1842"/>
      <c r="K118" s="1842"/>
      <c r="L118" s="1842"/>
      <c r="M118" s="1842"/>
      <c r="N118" s="1842"/>
    </row>
    <row r="119" spans="1:17" s="541" customFormat="1" ht="58.5" customHeight="1">
      <c r="A119" s="541" t="s">
        <v>91</v>
      </c>
      <c r="B119" s="1842" t="s">
        <v>507</v>
      </c>
      <c r="C119" s="1842"/>
      <c r="D119" s="1842"/>
      <c r="E119" s="1842"/>
      <c r="F119" s="1842"/>
      <c r="G119" s="1842"/>
      <c r="H119" s="1842"/>
      <c r="I119" s="1842"/>
      <c r="J119" s="1842"/>
      <c r="K119" s="1842"/>
      <c r="L119" s="1842"/>
      <c r="M119" s="1842"/>
      <c r="N119" s="1842"/>
    </row>
    <row r="120" spans="1:17" ht="21" customHeight="1"/>
  </sheetData>
  <mergeCells count="3">
    <mergeCell ref="A3:N3"/>
    <mergeCell ref="B118:N118"/>
    <mergeCell ref="B119:N119"/>
  </mergeCells>
  <pageMargins left="0.78740157480314965" right="0.51181102362204722" top="0.31" bottom="0.22" header="0.19685039370078741" footer="0.19685039370078741"/>
  <pageSetup paperSize="9" scale="43" orientation="portrait" r:id="rId1"/>
  <headerFooter alignWithMargins="0"/>
  <rowBreaks count="1" manualBreakCount="1">
    <brk id="116" max="6" man="1"/>
  </row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R120"/>
  <sheetViews>
    <sheetView view="pageBreakPreview" zoomScaleNormal="100" workbookViewId="0">
      <pane xSplit="2" ySplit="5" topLeftCell="C6" activePane="bottomRight" state="frozen"/>
      <selection activeCell="F4" sqref="F4"/>
      <selection pane="topRight" activeCell="F4" sqref="F4"/>
      <selection pane="bottomLeft" activeCell="F4" sqref="F4"/>
      <selection pane="bottomRight" activeCell="F4" sqref="F4"/>
    </sheetView>
  </sheetViews>
  <sheetFormatPr defaultColWidth="4.28515625" defaultRowHeight="15" outlineLevelRow="1"/>
  <cols>
    <col min="1" max="1" width="5.42578125" style="1" customWidth="1"/>
    <col min="2" max="2" width="42.28515625" style="1" customWidth="1"/>
    <col min="3" max="3" width="12" style="21" customWidth="1"/>
    <col min="4" max="4" width="12.5703125" style="1" hidden="1" customWidth="1"/>
    <col min="5" max="5" width="11.5703125" style="1" hidden="1" customWidth="1"/>
    <col min="6" max="10" width="12.5703125" style="1" customWidth="1"/>
    <col min="11" max="11" width="15.7109375" style="1" customWidth="1"/>
    <col min="12" max="12" width="12.5703125" style="1" customWidth="1"/>
    <col min="13" max="13" width="11.42578125" style="1" customWidth="1"/>
    <col min="14" max="14" width="11" style="1" customWidth="1"/>
    <col min="15" max="15" width="12.7109375" style="1" customWidth="1"/>
    <col min="16" max="16" width="10.85546875" style="1" customWidth="1"/>
    <col min="17" max="17" width="10.5703125" style="1" customWidth="1"/>
    <col min="18" max="16384" width="4.28515625" style="1"/>
  </cols>
  <sheetData>
    <row r="1" spans="1:18" s="5" customFormat="1" ht="15.75" customHeight="1">
      <c r="A1" s="74" t="s">
        <v>1860</v>
      </c>
      <c r="C1" s="20"/>
      <c r="N1" s="6" t="s">
        <v>943</v>
      </c>
      <c r="Q1" s="6" t="s">
        <v>943</v>
      </c>
    </row>
    <row r="2" spans="1:18" s="5" customFormat="1" ht="12.75" customHeight="1">
      <c r="A2" s="105" t="str">
        <f>'4.10_свод '!A2</f>
        <v>КТЭЦ + котельные СВОД</v>
      </c>
      <c r="C2" s="20"/>
      <c r="R2" s="5" t="s">
        <v>1243</v>
      </c>
    </row>
    <row r="3" spans="1:18" ht="37.5" customHeight="1">
      <c r="A3" s="1915" t="s">
        <v>1177</v>
      </c>
      <c r="B3" s="1915"/>
      <c r="C3" s="1915"/>
      <c r="D3" s="1915"/>
      <c r="E3" s="1915"/>
      <c r="F3" s="1915"/>
      <c r="G3" s="1915"/>
      <c r="H3" s="1915"/>
      <c r="I3" s="1915"/>
      <c r="J3" s="1915"/>
      <c r="K3" s="1915"/>
      <c r="L3" s="1915"/>
      <c r="M3" s="1915"/>
      <c r="N3" s="1915"/>
    </row>
    <row r="4" spans="1:18" customFormat="1" ht="12.75" customHeight="1"/>
    <row r="5" spans="1:18" s="3" customFormat="1" ht="63" customHeight="1">
      <c r="A5" s="913" t="s">
        <v>1527</v>
      </c>
      <c r="B5" s="913" t="s">
        <v>1</v>
      </c>
      <c r="C5" s="913" t="s">
        <v>2</v>
      </c>
      <c r="D5" s="913" t="s">
        <v>1129</v>
      </c>
      <c r="E5" s="913" t="s">
        <v>1130</v>
      </c>
      <c r="F5" s="975" t="s">
        <v>1553</v>
      </c>
      <c r="G5" s="913" t="s">
        <v>1695</v>
      </c>
      <c r="H5" s="1310" t="s">
        <v>1702</v>
      </c>
      <c r="I5" s="1576" t="s">
        <v>1828</v>
      </c>
      <c r="J5" s="1613" t="s">
        <v>1842</v>
      </c>
      <c r="K5" s="1631" t="s">
        <v>1861</v>
      </c>
      <c r="L5" s="1631" t="s">
        <v>1862</v>
      </c>
      <c r="M5" s="1631" t="s">
        <v>763</v>
      </c>
      <c r="N5" s="1631" t="s">
        <v>764</v>
      </c>
      <c r="O5" s="1631" t="s">
        <v>1863</v>
      </c>
      <c r="P5" s="1631" t="s">
        <v>763</v>
      </c>
      <c r="Q5" s="1631" t="s">
        <v>764</v>
      </c>
    </row>
    <row r="6" spans="1:18" s="2" customFormat="1">
      <c r="A6" s="13">
        <v>1</v>
      </c>
      <c r="B6" s="13">
        <v>2</v>
      </c>
      <c r="C6" s="13">
        <v>3</v>
      </c>
      <c r="D6" s="13">
        <v>4</v>
      </c>
      <c r="E6" s="13">
        <v>5</v>
      </c>
      <c r="F6" s="13">
        <v>4</v>
      </c>
      <c r="G6" s="13">
        <v>5</v>
      </c>
      <c r="H6" s="13">
        <v>6</v>
      </c>
      <c r="I6" s="13">
        <v>7</v>
      </c>
      <c r="J6" s="13">
        <v>8</v>
      </c>
      <c r="K6" s="13">
        <v>9</v>
      </c>
      <c r="L6" s="13">
        <v>10</v>
      </c>
      <c r="M6" s="13">
        <v>11</v>
      </c>
      <c r="N6" s="13">
        <v>12</v>
      </c>
      <c r="O6" s="13">
        <v>13</v>
      </c>
      <c r="P6" s="13">
        <v>14</v>
      </c>
      <c r="Q6" s="13">
        <v>15</v>
      </c>
    </row>
    <row r="7" spans="1:18" s="36" customFormat="1" ht="30" customHeight="1">
      <c r="A7" s="60" t="s">
        <v>4</v>
      </c>
      <c r="B7" s="68" t="s">
        <v>486</v>
      </c>
      <c r="C7" s="13" t="s">
        <v>240</v>
      </c>
      <c r="D7" s="241">
        <f>'4.10_сбыт_КТЭЦ'!D7+'4.10_сбыт_котельн.'!D7</f>
        <v>8305.363636363636</v>
      </c>
      <c r="E7" s="241">
        <f>'4.10_сбыт_КТЭЦ'!E7+'4.10_сбыт_котельн.'!E7</f>
        <v>0</v>
      </c>
      <c r="F7" s="241">
        <f>'4.10_сбыт_КТЭЦ'!F7+'4.10_сбыт_котельн.'!F7</f>
        <v>0</v>
      </c>
      <c r="G7" s="241">
        <f>'4.10_сбыт_КТЭЦ'!G7+'4.10_сбыт_котельн.'!G7</f>
        <v>0</v>
      </c>
      <c r="H7" s="241">
        <f>'4.10_сбыт_КТЭЦ'!H7+'4.10_сбыт_котельн.'!H7</f>
        <v>0</v>
      </c>
      <c r="I7" s="241">
        <f>'4.10_сбыт_КТЭЦ'!I7+'4.10_сбыт_котельн.'!I7</f>
        <v>0</v>
      </c>
      <c r="J7" s="241">
        <f>'4.10_сбыт_КТЭЦ'!J7+'4.10_сбыт_котельн.'!J7</f>
        <v>0</v>
      </c>
      <c r="K7" s="241">
        <f>'4.10_сбыт_КТЭЦ'!K7+'4.10_сбыт_котельн.'!K7</f>
        <v>0</v>
      </c>
      <c r="L7" s="241">
        <f>'4.10_сбыт_КТЭЦ'!L7+'4.10_сбыт_котельн.'!L7</f>
        <v>0</v>
      </c>
      <c r="M7" s="241">
        <f>'4.10_сбыт_КТЭЦ'!M7+'4.10_сбыт_котельн.'!M7</f>
        <v>0</v>
      </c>
      <c r="N7" s="241">
        <f>'4.10_сбыт_КТЭЦ'!N7+'4.10_сбыт_котельн.'!N7</f>
        <v>0</v>
      </c>
      <c r="O7" s="241">
        <f>'4.10_сбыт_КТЭЦ'!O7+'4.10_сбыт_котельн.'!O7</f>
        <v>0</v>
      </c>
      <c r="P7" s="241">
        <f>'4.10_сбыт_КТЭЦ'!P7+'4.10_сбыт_котельн.'!P7</f>
        <v>0</v>
      </c>
      <c r="Q7" s="241">
        <f>'4.10_сбыт_КТЭЦ'!Q7+'4.10_сбыт_котельн.'!Q7</f>
        <v>0</v>
      </c>
    </row>
    <row r="8" spans="1:18" s="36" customFormat="1" ht="15" hidden="1" customHeight="1" outlineLevel="1">
      <c r="A8" s="60"/>
      <c r="B8" s="68" t="s">
        <v>487</v>
      </c>
      <c r="C8" s="13" t="s">
        <v>240</v>
      </c>
      <c r="D8" s="241"/>
      <c r="E8" s="241"/>
      <c r="F8" s="241"/>
      <c r="G8" s="241"/>
      <c r="H8" s="241"/>
      <c r="I8" s="241"/>
      <c r="J8" s="241"/>
      <c r="K8" s="241"/>
      <c r="L8" s="241"/>
      <c r="M8" s="241"/>
      <c r="N8" s="241"/>
      <c r="O8" s="241"/>
      <c r="P8" s="241"/>
      <c r="Q8" s="241"/>
    </row>
    <row r="9" spans="1:18" s="36" customFormat="1" ht="15" hidden="1" customHeight="1" outlineLevel="1">
      <c r="A9" s="60"/>
      <c r="B9" s="68" t="s">
        <v>488</v>
      </c>
      <c r="C9" s="13" t="s">
        <v>240</v>
      </c>
      <c r="D9" s="241"/>
      <c r="E9" s="241"/>
      <c r="F9" s="241"/>
      <c r="G9" s="241"/>
      <c r="H9" s="241"/>
      <c r="I9" s="241"/>
      <c r="J9" s="241"/>
      <c r="K9" s="241"/>
      <c r="L9" s="241"/>
      <c r="M9" s="241"/>
      <c r="N9" s="241"/>
      <c r="O9" s="241"/>
      <c r="P9" s="241"/>
      <c r="Q9" s="241"/>
    </row>
    <row r="10" spans="1:18" s="36" customFormat="1" ht="15" hidden="1" customHeight="1" outlineLevel="1">
      <c r="A10" s="60"/>
      <c r="B10" s="68" t="s">
        <v>489</v>
      </c>
      <c r="C10" s="13" t="s">
        <v>240</v>
      </c>
      <c r="D10" s="241"/>
      <c r="E10" s="241"/>
      <c r="F10" s="241"/>
      <c r="G10" s="241"/>
      <c r="H10" s="241"/>
      <c r="I10" s="241"/>
      <c r="J10" s="241"/>
      <c r="K10" s="241"/>
      <c r="L10" s="241"/>
      <c r="M10" s="241"/>
      <c r="N10" s="241"/>
      <c r="O10" s="241"/>
      <c r="P10" s="241"/>
      <c r="Q10" s="241"/>
    </row>
    <row r="11" spans="1:18" s="36" customFormat="1" ht="15" hidden="1" customHeight="1" outlineLevel="1">
      <c r="A11" s="60"/>
      <c r="B11" s="68" t="s">
        <v>490</v>
      </c>
      <c r="C11" s="13" t="s">
        <v>240</v>
      </c>
      <c r="D11" s="241"/>
      <c r="E11" s="241"/>
      <c r="F11" s="241"/>
      <c r="G11" s="241"/>
      <c r="H11" s="241"/>
      <c r="I11" s="241"/>
      <c r="J11" s="241"/>
      <c r="K11" s="241"/>
      <c r="L11" s="241"/>
      <c r="M11" s="241"/>
      <c r="N11" s="241"/>
      <c r="O11" s="241"/>
      <c r="P11" s="241"/>
      <c r="Q11" s="241"/>
    </row>
    <row r="12" spans="1:18" s="36" customFormat="1" ht="15" hidden="1" customHeight="1" outlineLevel="1">
      <c r="A12" s="60"/>
      <c r="B12" s="68" t="s">
        <v>491</v>
      </c>
      <c r="C12" s="13" t="s">
        <v>240</v>
      </c>
      <c r="D12" s="241"/>
      <c r="E12" s="241"/>
      <c r="F12" s="241"/>
      <c r="G12" s="241"/>
      <c r="H12" s="241"/>
      <c r="I12" s="241"/>
      <c r="J12" s="241"/>
      <c r="K12" s="241"/>
      <c r="L12" s="241"/>
      <c r="M12" s="241"/>
      <c r="N12" s="241"/>
      <c r="O12" s="241"/>
      <c r="P12" s="241"/>
      <c r="Q12" s="241"/>
    </row>
    <row r="13" spans="1:18" s="36" customFormat="1" ht="15" hidden="1" customHeight="1" outlineLevel="1">
      <c r="A13" s="60"/>
      <c r="B13" s="70" t="s">
        <v>492</v>
      </c>
      <c r="C13" s="13" t="s">
        <v>240</v>
      </c>
      <c r="D13" s="241"/>
      <c r="E13" s="241"/>
      <c r="F13" s="241"/>
      <c r="G13" s="241"/>
      <c r="H13" s="241"/>
      <c r="I13" s="241"/>
      <c r="J13" s="241"/>
      <c r="K13" s="241"/>
      <c r="L13" s="241"/>
      <c r="M13" s="241"/>
      <c r="N13" s="241"/>
      <c r="O13" s="241"/>
      <c r="P13" s="241"/>
      <c r="Q13" s="241"/>
    </row>
    <row r="14" spans="1:18" s="36" customFormat="1" ht="15" hidden="1" customHeight="1" outlineLevel="1">
      <c r="A14" s="60"/>
      <c r="B14" s="70" t="s">
        <v>493</v>
      </c>
      <c r="C14" s="13" t="s">
        <v>240</v>
      </c>
      <c r="D14" s="241"/>
      <c r="E14" s="241"/>
      <c r="F14" s="241"/>
      <c r="G14" s="241"/>
      <c r="H14" s="241"/>
      <c r="I14" s="241"/>
      <c r="J14" s="241"/>
      <c r="K14" s="241"/>
      <c r="L14" s="241"/>
      <c r="M14" s="241"/>
      <c r="N14" s="241"/>
      <c r="O14" s="241"/>
      <c r="P14" s="241"/>
      <c r="Q14" s="241"/>
    </row>
    <row r="15" spans="1:18" s="36" customFormat="1" ht="15" hidden="1" customHeight="1" outlineLevel="1">
      <c r="A15" s="60"/>
      <c r="B15" s="70" t="s">
        <v>494</v>
      </c>
      <c r="C15" s="13" t="s">
        <v>240</v>
      </c>
      <c r="D15" s="241"/>
      <c r="E15" s="241"/>
      <c r="F15" s="241"/>
      <c r="G15" s="241"/>
      <c r="H15" s="241"/>
      <c r="I15" s="241"/>
      <c r="J15" s="241"/>
      <c r="K15" s="241"/>
      <c r="L15" s="241"/>
      <c r="M15" s="241"/>
      <c r="N15" s="241"/>
      <c r="O15" s="241"/>
      <c r="P15" s="241"/>
      <c r="Q15" s="241"/>
    </row>
    <row r="16" spans="1:18" s="36" customFormat="1" ht="15" hidden="1" customHeight="1" outlineLevel="1">
      <c r="A16" s="60"/>
      <c r="B16" s="70" t="s">
        <v>495</v>
      </c>
      <c r="C16" s="13" t="s">
        <v>240</v>
      </c>
      <c r="D16" s="241"/>
      <c r="E16" s="241"/>
      <c r="F16" s="241"/>
      <c r="G16" s="241"/>
      <c r="H16" s="241"/>
      <c r="I16" s="241"/>
      <c r="J16" s="241"/>
      <c r="K16" s="241"/>
      <c r="L16" s="241"/>
      <c r="M16" s="241"/>
      <c r="N16" s="241"/>
      <c r="O16" s="241"/>
      <c r="P16" s="241"/>
      <c r="Q16" s="241"/>
    </row>
    <row r="17" spans="1:17" s="36" customFormat="1" ht="15" hidden="1" customHeight="1" outlineLevel="1">
      <c r="A17" s="60"/>
      <c r="B17" s="70" t="s">
        <v>496</v>
      </c>
      <c r="C17" s="13" t="s">
        <v>240</v>
      </c>
      <c r="D17" s="241"/>
      <c r="E17" s="241"/>
      <c r="F17" s="241"/>
      <c r="G17" s="241"/>
      <c r="H17" s="241"/>
      <c r="I17" s="241"/>
      <c r="J17" s="241"/>
      <c r="K17" s="241"/>
      <c r="L17" s="241"/>
      <c r="M17" s="241"/>
      <c r="N17" s="241"/>
      <c r="O17" s="241"/>
      <c r="P17" s="241"/>
      <c r="Q17" s="241"/>
    </row>
    <row r="18" spans="1:17" s="36" customFormat="1" ht="15" hidden="1" customHeight="1" outlineLevel="1">
      <c r="A18" s="60"/>
      <c r="B18" s="70" t="s">
        <v>497</v>
      </c>
      <c r="C18" s="13" t="s">
        <v>240</v>
      </c>
      <c r="D18" s="241"/>
      <c r="E18" s="241"/>
      <c r="F18" s="241"/>
      <c r="G18" s="241"/>
      <c r="H18" s="241"/>
      <c r="I18" s="241"/>
      <c r="J18" s="241"/>
      <c r="K18" s="241"/>
      <c r="L18" s="241"/>
      <c r="M18" s="241"/>
      <c r="N18" s="241"/>
      <c r="O18" s="241"/>
      <c r="P18" s="241"/>
      <c r="Q18" s="241"/>
    </row>
    <row r="19" spans="1:17" s="36" customFormat="1" ht="15" hidden="1" customHeight="1" outlineLevel="1">
      <c r="A19" s="60"/>
      <c r="B19" s="68" t="s">
        <v>498</v>
      </c>
      <c r="C19" s="13" t="s">
        <v>240</v>
      </c>
      <c r="D19" s="241"/>
      <c r="E19" s="241"/>
      <c r="F19" s="241"/>
      <c r="G19" s="241"/>
      <c r="H19" s="241"/>
      <c r="I19" s="241"/>
      <c r="J19" s="241"/>
      <c r="K19" s="241"/>
      <c r="L19" s="241"/>
      <c r="M19" s="241"/>
      <c r="N19" s="241"/>
      <c r="O19" s="241"/>
      <c r="P19" s="241"/>
      <c r="Q19" s="241"/>
    </row>
    <row r="20" spans="1:17" s="36" customFormat="1" ht="15" hidden="1" customHeight="1" outlineLevel="1">
      <c r="A20" s="60"/>
      <c r="B20" s="68" t="s">
        <v>499</v>
      </c>
      <c r="C20" s="13" t="s">
        <v>240</v>
      </c>
      <c r="D20" s="241"/>
      <c r="E20" s="241"/>
      <c r="F20" s="241"/>
      <c r="G20" s="241"/>
      <c r="H20" s="241"/>
      <c r="I20" s="241"/>
      <c r="J20" s="241"/>
      <c r="K20" s="241"/>
      <c r="L20" s="241"/>
      <c r="M20" s="241"/>
      <c r="N20" s="241"/>
      <c r="O20" s="241"/>
      <c r="P20" s="241"/>
      <c r="Q20" s="241"/>
    </row>
    <row r="21" spans="1:17" s="36" customFormat="1" collapsed="1">
      <c r="A21" s="60"/>
      <c r="B21" s="68"/>
      <c r="C21" s="13"/>
      <c r="D21" s="241"/>
      <c r="E21" s="241"/>
      <c r="F21" s="241"/>
      <c r="G21" s="241"/>
      <c r="H21" s="241"/>
      <c r="I21" s="241"/>
      <c r="J21" s="241"/>
      <c r="K21" s="241"/>
      <c r="L21" s="241"/>
      <c r="M21" s="241"/>
      <c r="N21" s="241"/>
      <c r="O21" s="241"/>
      <c r="P21" s="241"/>
      <c r="Q21" s="241"/>
    </row>
    <row r="22" spans="1:17" s="36" customFormat="1" ht="60" customHeight="1">
      <c r="A22" s="60" t="s">
        <v>23</v>
      </c>
      <c r="B22" s="68" t="s">
        <v>500</v>
      </c>
      <c r="C22" s="13" t="s">
        <v>240</v>
      </c>
      <c r="D22" s="241">
        <f>'4.10_сбыт_КТЭЦ'!D22+'4.10_сбыт_котельн.'!D22</f>
        <v>0</v>
      </c>
      <c r="E22" s="241">
        <f>'4.10_сбыт_КТЭЦ'!E22+'4.10_сбыт_котельн.'!E22</f>
        <v>0</v>
      </c>
      <c r="F22" s="241">
        <f>'4.10_сбыт_КТЭЦ'!F22+'4.10_сбыт_котельн.'!F22</f>
        <v>0</v>
      </c>
      <c r="G22" s="241">
        <f>'4.10_сбыт_КТЭЦ'!G22+'4.10_сбыт_котельн.'!G22</f>
        <v>0</v>
      </c>
      <c r="H22" s="241">
        <f>'4.10_сбыт_КТЭЦ'!H22+'4.10_сбыт_котельн.'!H22</f>
        <v>0</v>
      </c>
      <c r="I22" s="241">
        <f>'4.10_сбыт_КТЭЦ'!I22+'4.10_сбыт_котельн.'!I22</f>
        <v>0</v>
      </c>
      <c r="J22" s="241">
        <f>'4.10_сбыт_КТЭЦ'!J22+'4.10_сбыт_котельн.'!J22</f>
        <v>0</v>
      </c>
      <c r="K22" s="241">
        <f>'4.10_сбыт_КТЭЦ'!K22+'4.10_сбыт_котельн.'!K22</f>
        <v>0</v>
      </c>
      <c r="L22" s="241">
        <f>'4.10_сбыт_КТЭЦ'!L22+'4.10_сбыт_котельн.'!L22</f>
        <v>0</v>
      </c>
      <c r="M22" s="241">
        <f>'4.10_сбыт_КТЭЦ'!M22+'4.10_сбыт_котельн.'!M22</f>
        <v>0</v>
      </c>
      <c r="N22" s="241">
        <f>'4.10_сбыт_КТЭЦ'!N22+'4.10_сбыт_котельн.'!N22</f>
        <v>0</v>
      </c>
      <c r="O22" s="241">
        <f>'4.10_сбыт_КТЭЦ'!O22+'4.10_сбыт_котельн.'!O22</f>
        <v>0</v>
      </c>
      <c r="P22" s="241">
        <f>'4.10_сбыт_КТЭЦ'!P22+'4.10_сбыт_котельн.'!P22</f>
        <v>0</v>
      </c>
      <c r="Q22" s="241">
        <f>'4.10_сбыт_КТЭЦ'!Q22+'4.10_сбыт_котельн.'!Q22</f>
        <v>0</v>
      </c>
    </row>
    <row r="23" spans="1:17" s="36" customFormat="1" ht="15" hidden="1" customHeight="1" outlineLevel="1">
      <c r="A23" s="60"/>
      <c r="B23" s="68" t="s">
        <v>487</v>
      </c>
      <c r="C23" s="13" t="s">
        <v>240</v>
      </c>
      <c r="D23" s="241"/>
      <c r="E23" s="241"/>
      <c r="F23" s="241"/>
      <c r="G23" s="241"/>
      <c r="H23" s="241"/>
      <c r="I23" s="241"/>
      <c r="J23" s="241"/>
      <c r="K23" s="241"/>
      <c r="L23" s="241"/>
      <c r="M23" s="241"/>
      <c r="N23" s="241"/>
      <c r="O23" s="241"/>
      <c r="P23" s="241"/>
      <c r="Q23" s="241"/>
    </row>
    <row r="24" spans="1:17" s="36" customFormat="1" ht="15" hidden="1" customHeight="1" outlineLevel="1">
      <c r="A24" s="60"/>
      <c r="B24" s="68" t="s">
        <v>488</v>
      </c>
      <c r="C24" s="13" t="s">
        <v>240</v>
      </c>
      <c r="D24" s="241"/>
      <c r="E24" s="241"/>
      <c r="F24" s="241"/>
      <c r="G24" s="241"/>
      <c r="H24" s="241"/>
      <c r="I24" s="241"/>
      <c r="J24" s="241"/>
      <c r="K24" s="241"/>
      <c r="L24" s="241"/>
      <c r="M24" s="241"/>
      <c r="N24" s="241"/>
      <c r="O24" s="241"/>
      <c r="P24" s="241"/>
      <c r="Q24" s="241"/>
    </row>
    <row r="25" spans="1:17" s="36" customFormat="1" ht="15" hidden="1" customHeight="1" outlineLevel="1">
      <c r="A25" s="60"/>
      <c r="B25" s="68" t="s">
        <v>489</v>
      </c>
      <c r="C25" s="13" t="s">
        <v>240</v>
      </c>
      <c r="D25" s="241"/>
      <c r="E25" s="241"/>
      <c r="F25" s="241"/>
      <c r="G25" s="241"/>
      <c r="H25" s="241"/>
      <c r="I25" s="241"/>
      <c r="J25" s="241"/>
      <c r="K25" s="241"/>
      <c r="L25" s="241"/>
      <c r="M25" s="241"/>
      <c r="N25" s="241"/>
      <c r="O25" s="241"/>
      <c r="P25" s="241"/>
      <c r="Q25" s="241"/>
    </row>
    <row r="26" spans="1:17" s="36" customFormat="1" ht="15" hidden="1" customHeight="1" outlineLevel="1">
      <c r="A26" s="60"/>
      <c r="B26" s="68" t="s">
        <v>490</v>
      </c>
      <c r="C26" s="13" t="s">
        <v>240</v>
      </c>
      <c r="D26" s="241"/>
      <c r="E26" s="241"/>
      <c r="F26" s="241"/>
      <c r="G26" s="241"/>
      <c r="H26" s="241"/>
      <c r="I26" s="241"/>
      <c r="J26" s="241"/>
      <c r="K26" s="241"/>
      <c r="L26" s="241"/>
      <c r="M26" s="241"/>
      <c r="N26" s="241"/>
      <c r="O26" s="241"/>
      <c r="P26" s="241"/>
      <c r="Q26" s="241"/>
    </row>
    <row r="27" spans="1:17" s="36" customFormat="1" ht="15" hidden="1" customHeight="1" outlineLevel="1">
      <c r="A27" s="60"/>
      <c r="B27" s="68" t="s">
        <v>491</v>
      </c>
      <c r="C27" s="13" t="s">
        <v>240</v>
      </c>
      <c r="D27" s="241"/>
      <c r="E27" s="241"/>
      <c r="F27" s="241"/>
      <c r="G27" s="241"/>
      <c r="H27" s="241"/>
      <c r="I27" s="241"/>
      <c r="J27" s="241"/>
      <c r="K27" s="241"/>
      <c r="L27" s="241"/>
      <c r="M27" s="241"/>
      <c r="N27" s="241"/>
      <c r="O27" s="241"/>
      <c r="P27" s="241"/>
      <c r="Q27" s="241"/>
    </row>
    <row r="28" spans="1:17" s="36" customFormat="1" ht="15" hidden="1" customHeight="1" outlineLevel="1">
      <c r="A28" s="60"/>
      <c r="B28" s="70" t="s">
        <v>492</v>
      </c>
      <c r="C28" s="13" t="s">
        <v>240</v>
      </c>
      <c r="D28" s="241"/>
      <c r="E28" s="241"/>
      <c r="F28" s="241"/>
      <c r="G28" s="241"/>
      <c r="H28" s="241"/>
      <c r="I28" s="241"/>
      <c r="J28" s="241"/>
      <c r="K28" s="241"/>
      <c r="L28" s="241"/>
      <c r="M28" s="241"/>
      <c r="N28" s="241"/>
      <c r="O28" s="241"/>
      <c r="P28" s="241"/>
      <c r="Q28" s="241"/>
    </row>
    <row r="29" spans="1:17" s="36" customFormat="1" ht="15" hidden="1" customHeight="1" outlineLevel="1">
      <c r="A29" s="60"/>
      <c r="B29" s="70" t="s">
        <v>493</v>
      </c>
      <c r="C29" s="13" t="s">
        <v>240</v>
      </c>
      <c r="D29" s="241"/>
      <c r="E29" s="241"/>
      <c r="F29" s="241"/>
      <c r="G29" s="241"/>
      <c r="H29" s="241"/>
      <c r="I29" s="241"/>
      <c r="J29" s="241"/>
      <c r="K29" s="241"/>
      <c r="L29" s="241"/>
      <c r="M29" s="241"/>
      <c r="N29" s="241"/>
      <c r="O29" s="241"/>
      <c r="P29" s="241"/>
      <c r="Q29" s="241"/>
    </row>
    <row r="30" spans="1:17" s="36" customFormat="1" ht="15" hidden="1" customHeight="1" outlineLevel="1">
      <c r="A30" s="60"/>
      <c r="B30" s="70" t="s">
        <v>494</v>
      </c>
      <c r="C30" s="13" t="s">
        <v>240</v>
      </c>
      <c r="D30" s="241"/>
      <c r="E30" s="241"/>
      <c r="F30" s="241"/>
      <c r="G30" s="241"/>
      <c r="H30" s="241"/>
      <c r="I30" s="241"/>
      <c r="J30" s="241"/>
      <c r="K30" s="241"/>
      <c r="L30" s="241"/>
      <c r="M30" s="241"/>
      <c r="N30" s="241"/>
      <c r="O30" s="241"/>
      <c r="P30" s="241"/>
      <c r="Q30" s="241"/>
    </row>
    <row r="31" spans="1:17" s="36" customFormat="1" ht="15" hidden="1" customHeight="1" outlineLevel="1">
      <c r="A31" s="60"/>
      <c r="B31" s="70" t="s">
        <v>495</v>
      </c>
      <c r="C31" s="13" t="s">
        <v>240</v>
      </c>
      <c r="D31" s="241"/>
      <c r="E31" s="241"/>
      <c r="F31" s="241"/>
      <c r="G31" s="241"/>
      <c r="H31" s="241"/>
      <c r="I31" s="241"/>
      <c r="J31" s="241"/>
      <c r="K31" s="241"/>
      <c r="L31" s="241"/>
      <c r="M31" s="241"/>
      <c r="N31" s="241"/>
      <c r="O31" s="241"/>
      <c r="P31" s="241"/>
      <c r="Q31" s="241"/>
    </row>
    <row r="32" spans="1:17" s="36" customFormat="1" ht="15" hidden="1" customHeight="1" outlineLevel="1">
      <c r="A32" s="60"/>
      <c r="B32" s="70" t="s">
        <v>496</v>
      </c>
      <c r="C32" s="13" t="s">
        <v>240</v>
      </c>
      <c r="D32" s="241"/>
      <c r="E32" s="241"/>
      <c r="F32" s="241"/>
      <c r="G32" s="241"/>
      <c r="H32" s="241"/>
      <c r="I32" s="241"/>
      <c r="J32" s="241"/>
      <c r="K32" s="241"/>
      <c r="L32" s="241"/>
      <c r="M32" s="241"/>
      <c r="N32" s="241"/>
      <c r="O32" s="241"/>
      <c r="P32" s="241"/>
      <c r="Q32" s="241"/>
    </row>
    <row r="33" spans="1:17" s="36" customFormat="1" ht="15" hidden="1" customHeight="1" outlineLevel="1">
      <c r="A33" s="60"/>
      <c r="B33" s="70" t="s">
        <v>497</v>
      </c>
      <c r="C33" s="13" t="s">
        <v>240</v>
      </c>
      <c r="D33" s="241"/>
      <c r="E33" s="241"/>
      <c r="F33" s="241"/>
      <c r="G33" s="241"/>
      <c r="H33" s="241"/>
      <c r="I33" s="241"/>
      <c r="J33" s="241"/>
      <c r="K33" s="241"/>
      <c r="L33" s="241"/>
      <c r="M33" s="241"/>
      <c r="N33" s="241"/>
      <c r="O33" s="241"/>
      <c r="P33" s="241"/>
      <c r="Q33" s="241"/>
    </row>
    <row r="34" spans="1:17" s="36" customFormat="1" ht="15" hidden="1" customHeight="1" outlineLevel="1">
      <c r="A34" s="60"/>
      <c r="B34" s="68" t="s">
        <v>498</v>
      </c>
      <c r="C34" s="13" t="s">
        <v>240</v>
      </c>
      <c r="D34" s="241"/>
      <c r="E34" s="241"/>
      <c r="F34" s="241"/>
      <c r="G34" s="241"/>
      <c r="H34" s="241"/>
      <c r="I34" s="241"/>
      <c r="J34" s="241"/>
      <c r="K34" s="241"/>
      <c r="L34" s="241"/>
      <c r="M34" s="241"/>
      <c r="N34" s="241"/>
      <c r="O34" s="241"/>
      <c r="P34" s="241"/>
      <c r="Q34" s="241"/>
    </row>
    <row r="35" spans="1:17" s="36" customFormat="1" ht="15" hidden="1" customHeight="1" outlineLevel="1">
      <c r="A35" s="60"/>
      <c r="B35" s="68" t="s">
        <v>499</v>
      </c>
      <c r="C35" s="13" t="s">
        <v>240</v>
      </c>
      <c r="D35" s="241"/>
      <c r="E35" s="241"/>
      <c r="F35" s="241"/>
      <c r="G35" s="241"/>
      <c r="H35" s="241"/>
      <c r="I35" s="241"/>
      <c r="J35" s="241"/>
      <c r="K35" s="241"/>
      <c r="L35" s="241"/>
      <c r="M35" s="241"/>
      <c r="N35" s="241"/>
      <c r="O35" s="241"/>
      <c r="P35" s="241"/>
      <c r="Q35" s="241"/>
    </row>
    <row r="36" spans="1:17" s="36" customFormat="1" collapsed="1">
      <c r="A36" s="60"/>
      <c r="B36" s="68"/>
      <c r="C36" s="13"/>
      <c r="D36" s="241"/>
      <c r="E36" s="241"/>
      <c r="F36" s="241"/>
      <c r="G36" s="241"/>
      <c r="H36" s="241"/>
      <c r="I36" s="241"/>
      <c r="J36" s="241"/>
      <c r="K36" s="241"/>
      <c r="L36" s="241"/>
      <c r="M36" s="241"/>
      <c r="N36" s="241"/>
      <c r="O36" s="241"/>
      <c r="P36" s="241"/>
      <c r="Q36" s="241"/>
    </row>
    <row r="37" spans="1:17" s="36" customFormat="1" ht="15" customHeight="1">
      <c r="A37" s="60" t="s">
        <v>27</v>
      </c>
      <c r="B37" s="68" t="s">
        <v>501</v>
      </c>
      <c r="C37" s="13" t="s">
        <v>240</v>
      </c>
      <c r="D37" s="241">
        <f>'4.10_сбыт_КТЭЦ'!D37+'4.10_сбыт_котельн.'!D37</f>
        <v>0</v>
      </c>
      <c r="E37" s="241">
        <f>'4.10_сбыт_КТЭЦ'!E37+'4.10_сбыт_котельн.'!E37</f>
        <v>0</v>
      </c>
      <c r="F37" s="241">
        <f>'4.10_сбыт_КТЭЦ'!F37+'4.10_сбыт_котельн.'!F37</f>
        <v>0</v>
      </c>
      <c r="G37" s="241">
        <f>'4.10_сбыт_КТЭЦ'!G37+'4.10_сбыт_котельн.'!G37</f>
        <v>0</v>
      </c>
      <c r="H37" s="241">
        <f>'4.10_сбыт_КТЭЦ'!H37+'4.10_сбыт_котельн.'!H37</f>
        <v>0</v>
      </c>
      <c r="I37" s="241">
        <f>'4.10_сбыт_КТЭЦ'!I37+'4.10_сбыт_котельн.'!I37</f>
        <v>0</v>
      </c>
      <c r="J37" s="241">
        <f>'4.10_сбыт_КТЭЦ'!J37+'4.10_сбыт_котельн.'!J37</f>
        <v>0</v>
      </c>
      <c r="K37" s="241">
        <f>'4.10_сбыт_КТЭЦ'!K37+'4.10_сбыт_котельн.'!K37</f>
        <v>0</v>
      </c>
      <c r="L37" s="241">
        <f>'4.10_сбыт_КТЭЦ'!L37+'4.10_сбыт_котельн.'!L37</f>
        <v>0</v>
      </c>
      <c r="M37" s="241">
        <f>'4.10_сбыт_КТЭЦ'!M37+'4.10_сбыт_котельн.'!M37</f>
        <v>0</v>
      </c>
      <c r="N37" s="241">
        <f>'4.10_сбыт_КТЭЦ'!N37+'4.10_сбыт_котельн.'!N37</f>
        <v>0</v>
      </c>
      <c r="O37" s="241">
        <f>'4.10_сбыт_КТЭЦ'!O37+'4.10_сбыт_котельн.'!O37</f>
        <v>0</v>
      </c>
      <c r="P37" s="241">
        <f>'4.10_сбыт_КТЭЦ'!P37+'4.10_сбыт_котельн.'!P37</f>
        <v>0</v>
      </c>
      <c r="Q37" s="241">
        <f>'4.10_сбыт_КТЭЦ'!Q37+'4.10_сбыт_котельн.'!Q37</f>
        <v>0</v>
      </c>
    </row>
    <row r="38" spans="1:17" s="36" customFormat="1" ht="15" hidden="1" customHeight="1" outlineLevel="1">
      <c r="A38" s="60"/>
      <c r="B38" s="68" t="s">
        <v>487</v>
      </c>
      <c r="C38" s="13" t="s">
        <v>240</v>
      </c>
      <c r="D38" s="241"/>
      <c r="E38" s="241"/>
      <c r="F38" s="241"/>
      <c r="G38" s="241"/>
      <c r="H38" s="241"/>
      <c r="I38" s="241"/>
      <c r="J38" s="241"/>
      <c r="K38" s="241"/>
      <c r="L38" s="241"/>
      <c r="M38" s="241"/>
      <c r="N38" s="241"/>
      <c r="O38" s="241"/>
      <c r="P38" s="241"/>
      <c r="Q38" s="241"/>
    </row>
    <row r="39" spans="1:17" s="36" customFormat="1" ht="15" hidden="1" customHeight="1" outlineLevel="1">
      <c r="A39" s="60"/>
      <c r="B39" s="68" t="s">
        <v>488</v>
      </c>
      <c r="C39" s="13" t="s">
        <v>240</v>
      </c>
      <c r="D39" s="241"/>
      <c r="E39" s="241"/>
      <c r="F39" s="241"/>
      <c r="G39" s="241"/>
      <c r="H39" s="241"/>
      <c r="I39" s="241"/>
      <c r="J39" s="241"/>
      <c r="K39" s="241"/>
      <c r="L39" s="241"/>
      <c r="M39" s="241"/>
      <c r="N39" s="241"/>
      <c r="O39" s="241"/>
      <c r="P39" s="241"/>
      <c r="Q39" s="241"/>
    </row>
    <row r="40" spans="1:17" s="36" customFormat="1" ht="15" hidden="1" customHeight="1" outlineLevel="1">
      <c r="A40" s="60"/>
      <c r="B40" s="68" t="s">
        <v>489</v>
      </c>
      <c r="C40" s="13" t="s">
        <v>240</v>
      </c>
      <c r="D40" s="241"/>
      <c r="E40" s="241"/>
      <c r="F40" s="241"/>
      <c r="G40" s="241"/>
      <c r="H40" s="241"/>
      <c r="I40" s="241"/>
      <c r="J40" s="241"/>
      <c r="K40" s="241"/>
      <c r="L40" s="241"/>
      <c r="M40" s="241"/>
      <c r="N40" s="241"/>
      <c r="O40" s="241"/>
      <c r="P40" s="241"/>
      <c r="Q40" s="241"/>
    </row>
    <row r="41" spans="1:17" s="36" customFormat="1" ht="15" hidden="1" customHeight="1" outlineLevel="1">
      <c r="A41" s="60"/>
      <c r="B41" s="68" t="s">
        <v>490</v>
      </c>
      <c r="C41" s="13" t="s">
        <v>240</v>
      </c>
      <c r="D41" s="241"/>
      <c r="E41" s="241"/>
      <c r="F41" s="241"/>
      <c r="G41" s="241"/>
      <c r="H41" s="241"/>
      <c r="I41" s="241"/>
      <c r="J41" s="241"/>
      <c r="K41" s="241"/>
      <c r="L41" s="241"/>
      <c r="M41" s="241"/>
      <c r="N41" s="241"/>
      <c r="O41" s="241"/>
      <c r="P41" s="241"/>
      <c r="Q41" s="241"/>
    </row>
    <row r="42" spans="1:17" s="36" customFormat="1" ht="15" hidden="1" customHeight="1" outlineLevel="1">
      <c r="A42" s="60"/>
      <c r="B42" s="68" t="s">
        <v>491</v>
      </c>
      <c r="C42" s="13" t="s">
        <v>240</v>
      </c>
      <c r="D42" s="241"/>
      <c r="E42" s="241"/>
      <c r="F42" s="241"/>
      <c r="G42" s="241"/>
      <c r="H42" s="241"/>
      <c r="I42" s="241"/>
      <c r="J42" s="241"/>
      <c r="K42" s="241"/>
      <c r="L42" s="241"/>
      <c r="M42" s="241"/>
      <c r="N42" s="241"/>
      <c r="O42" s="241"/>
      <c r="P42" s="241"/>
      <c r="Q42" s="241"/>
    </row>
    <row r="43" spans="1:17" s="36" customFormat="1" ht="15" hidden="1" customHeight="1" outlineLevel="1">
      <c r="A43" s="60"/>
      <c r="B43" s="70" t="s">
        <v>492</v>
      </c>
      <c r="C43" s="13" t="s">
        <v>240</v>
      </c>
      <c r="D43" s="241"/>
      <c r="E43" s="241"/>
      <c r="F43" s="241"/>
      <c r="G43" s="241"/>
      <c r="H43" s="241"/>
      <c r="I43" s="241"/>
      <c r="J43" s="241"/>
      <c r="K43" s="241"/>
      <c r="L43" s="241"/>
      <c r="M43" s="241"/>
      <c r="N43" s="241"/>
      <c r="O43" s="241"/>
      <c r="P43" s="241"/>
      <c r="Q43" s="241"/>
    </row>
    <row r="44" spans="1:17" s="36" customFormat="1" ht="15" hidden="1" customHeight="1" outlineLevel="1">
      <c r="A44" s="60"/>
      <c r="B44" s="70" t="s">
        <v>493</v>
      </c>
      <c r="C44" s="13" t="s">
        <v>240</v>
      </c>
      <c r="D44" s="241"/>
      <c r="E44" s="241"/>
      <c r="F44" s="241"/>
      <c r="G44" s="241"/>
      <c r="H44" s="241"/>
      <c r="I44" s="241"/>
      <c r="J44" s="241"/>
      <c r="K44" s="241"/>
      <c r="L44" s="241"/>
      <c r="M44" s="241"/>
      <c r="N44" s="241"/>
      <c r="O44" s="241"/>
      <c r="P44" s="241"/>
      <c r="Q44" s="241"/>
    </row>
    <row r="45" spans="1:17" s="36" customFormat="1" ht="15" hidden="1" customHeight="1" outlineLevel="1">
      <c r="A45" s="60"/>
      <c r="B45" s="70" t="s">
        <v>494</v>
      </c>
      <c r="C45" s="13" t="s">
        <v>240</v>
      </c>
      <c r="D45" s="241"/>
      <c r="E45" s="241"/>
      <c r="F45" s="241"/>
      <c r="G45" s="241"/>
      <c r="H45" s="241"/>
      <c r="I45" s="241"/>
      <c r="J45" s="241"/>
      <c r="K45" s="241"/>
      <c r="L45" s="241"/>
      <c r="M45" s="241"/>
      <c r="N45" s="241"/>
      <c r="O45" s="241"/>
      <c r="P45" s="241"/>
      <c r="Q45" s="241"/>
    </row>
    <row r="46" spans="1:17" s="36" customFormat="1" ht="15" hidden="1" customHeight="1" outlineLevel="1">
      <c r="A46" s="60"/>
      <c r="B46" s="70" t="s">
        <v>495</v>
      </c>
      <c r="C46" s="13" t="s">
        <v>240</v>
      </c>
      <c r="D46" s="241"/>
      <c r="E46" s="241"/>
      <c r="F46" s="241"/>
      <c r="G46" s="241"/>
      <c r="H46" s="241"/>
      <c r="I46" s="241"/>
      <c r="J46" s="241"/>
      <c r="K46" s="241"/>
      <c r="L46" s="241"/>
      <c r="M46" s="241"/>
      <c r="N46" s="241"/>
      <c r="O46" s="241"/>
      <c r="P46" s="241"/>
      <c r="Q46" s="241"/>
    </row>
    <row r="47" spans="1:17" s="36" customFormat="1" ht="15" hidden="1" customHeight="1" outlineLevel="1">
      <c r="A47" s="60"/>
      <c r="B47" s="70" t="s">
        <v>496</v>
      </c>
      <c r="C47" s="13" t="s">
        <v>240</v>
      </c>
      <c r="D47" s="241"/>
      <c r="E47" s="241"/>
      <c r="F47" s="241"/>
      <c r="G47" s="241"/>
      <c r="H47" s="241"/>
      <c r="I47" s="241"/>
      <c r="J47" s="241"/>
      <c r="K47" s="241"/>
      <c r="L47" s="241"/>
      <c r="M47" s="241"/>
      <c r="N47" s="241"/>
      <c r="O47" s="241"/>
      <c r="P47" s="241"/>
      <c r="Q47" s="241"/>
    </row>
    <row r="48" spans="1:17" s="36" customFormat="1" ht="15" hidden="1" customHeight="1" outlineLevel="1">
      <c r="A48" s="60"/>
      <c r="B48" s="70" t="s">
        <v>497</v>
      </c>
      <c r="C48" s="13" t="s">
        <v>240</v>
      </c>
      <c r="D48" s="241"/>
      <c r="E48" s="241"/>
      <c r="F48" s="241"/>
      <c r="G48" s="241"/>
      <c r="H48" s="241"/>
      <c r="I48" s="241"/>
      <c r="J48" s="241"/>
      <c r="K48" s="241"/>
      <c r="L48" s="241"/>
      <c r="M48" s="241"/>
      <c r="N48" s="241"/>
      <c r="O48" s="241"/>
      <c r="P48" s="241"/>
      <c r="Q48" s="241"/>
    </row>
    <row r="49" spans="1:17" s="36" customFormat="1" ht="15" hidden="1" customHeight="1" outlineLevel="1">
      <c r="A49" s="60"/>
      <c r="B49" s="68" t="s">
        <v>498</v>
      </c>
      <c r="C49" s="13" t="s">
        <v>240</v>
      </c>
      <c r="D49" s="241"/>
      <c r="E49" s="241"/>
      <c r="F49" s="241"/>
      <c r="G49" s="241"/>
      <c r="H49" s="241"/>
      <c r="I49" s="241"/>
      <c r="J49" s="241"/>
      <c r="K49" s="241"/>
      <c r="L49" s="241"/>
      <c r="M49" s="241"/>
      <c r="N49" s="241"/>
      <c r="O49" s="241"/>
      <c r="P49" s="241"/>
      <c r="Q49" s="241"/>
    </row>
    <row r="50" spans="1:17" s="36" customFormat="1" ht="15" hidden="1" customHeight="1" outlineLevel="1">
      <c r="A50" s="60"/>
      <c r="B50" s="68" t="s">
        <v>499</v>
      </c>
      <c r="C50" s="13" t="s">
        <v>240</v>
      </c>
      <c r="D50" s="241"/>
      <c r="E50" s="241"/>
      <c r="F50" s="241"/>
      <c r="G50" s="241"/>
      <c r="H50" s="241"/>
      <c r="I50" s="241"/>
      <c r="J50" s="241"/>
      <c r="K50" s="241"/>
      <c r="L50" s="241"/>
      <c r="M50" s="241"/>
      <c r="N50" s="241"/>
      <c r="O50" s="241"/>
      <c r="P50" s="241"/>
      <c r="Q50" s="241"/>
    </row>
    <row r="51" spans="1:17" s="36" customFormat="1" collapsed="1">
      <c r="A51" s="60"/>
      <c r="B51" s="68"/>
      <c r="C51" s="13"/>
      <c r="D51" s="241"/>
      <c r="E51" s="241"/>
      <c r="F51" s="241"/>
      <c r="G51" s="241"/>
      <c r="H51" s="241"/>
      <c r="I51" s="241"/>
      <c r="J51" s="241"/>
      <c r="K51" s="241"/>
      <c r="L51" s="241"/>
      <c r="M51" s="241"/>
      <c r="N51" s="241"/>
      <c r="O51" s="241"/>
      <c r="P51" s="241"/>
      <c r="Q51" s="241"/>
    </row>
    <row r="52" spans="1:17" s="36" customFormat="1" ht="15" customHeight="1">
      <c r="A52" s="60" t="s">
        <v>30</v>
      </c>
      <c r="B52" s="68" t="s">
        <v>502</v>
      </c>
      <c r="C52" s="13" t="s">
        <v>240</v>
      </c>
      <c r="D52" s="241">
        <f>'4.10_сбыт_КТЭЦ'!D52+'4.10_сбыт_котельн.'!D52</f>
        <v>0</v>
      </c>
      <c r="E52" s="241">
        <f>'4.10_сбыт_КТЭЦ'!E52+'4.10_сбыт_котельн.'!E52</f>
        <v>0</v>
      </c>
      <c r="F52" s="241">
        <f>'4.10_сбыт_КТЭЦ'!F52+'4.10_сбыт_котельн.'!F52</f>
        <v>0</v>
      </c>
      <c r="G52" s="241">
        <f>'4.10_сбыт_КТЭЦ'!G52+'4.10_сбыт_котельн.'!G52</f>
        <v>0</v>
      </c>
      <c r="H52" s="241">
        <f>'4.10_сбыт_КТЭЦ'!H52+'4.10_сбыт_котельн.'!H52</f>
        <v>0</v>
      </c>
      <c r="I52" s="241">
        <f>'4.10_сбыт_КТЭЦ'!I52+'4.10_сбыт_котельн.'!I52</f>
        <v>0</v>
      </c>
      <c r="J52" s="241">
        <f>'4.10_сбыт_КТЭЦ'!J52+'4.10_сбыт_котельн.'!J52</f>
        <v>0</v>
      </c>
      <c r="K52" s="241">
        <f>'4.10_сбыт_КТЭЦ'!K52+'4.10_сбыт_котельн.'!K52</f>
        <v>0</v>
      </c>
      <c r="L52" s="241">
        <f>'4.10_сбыт_КТЭЦ'!L52+'4.10_сбыт_котельн.'!L52</f>
        <v>0</v>
      </c>
      <c r="M52" s="241">
        <f>'4.10_сбыт_КТЭЦ'!M52+'4.10_сбыт_котельн.'!M52</f>
        <v>0</v>
      </c>
      <c r="N52" s="241">
        <f>'4.10_сбыт_КТЭЦ'!N52+'4.10_сбыт_котельн.'!N52</f>
        <v>0</v>
      </c>
      <c r="O52" s="241">
        <f>'4.10_сбыт_КТЭЦ'!O52+'4.10_сбыт_котельн.'!O52</f>
        <v>0</v>
      </c>
      <c r="P52" s="241">
        <f>'4.10_сбыт_КТЭЦ'!P52+'4.10_сбыт_котельн.'!P52</f>
        <v>0</v>
      </c>
      <c r="Q52" s="241">
        <f>'4.10_сбыт_КТЭЦ'!Q52+'4.10_сбыт_котельн.'!Q52</f>
        <v>0</v>
      </c>
    </row>
    <row r="53" spans="1:17" s="36" customFormat="1" ht="15" hidden="1" customHeight="1" outlineLevel="1">
      <c r="A53" s="60"/>
      <c r="B53" s="68" t="s">
        <v>487</v>
      </c>
      <c r="C53" s="13" t="s">
        <v>240</v>
      </c>
      <c r="D53" s="241"/>
      <c r="E53" s="241"/>
      <c r="F53" s="241"/>
      <c r="G53" s="241"/>
      <c r="H53" s="241"/>
      <c r="I53" s="241"/>
      <c r="J53" s="241"/>
      <c r="K53" s="241"/>
      <c r="L53" s="241"/>
      <c r="M53" s="241"/>
      <c r="N53" s="241"/>
      <c r="O53" s="241"/>
      <c r="P53" s="241"/>
      <c r="Q53" s="241"/>
    </row>
    <row r="54" spans="1:17" s="36" customFormat="1" ht="15" hidden="1" customHeight="1" outlineLevel="1">
      <c r="A54" s="60"/>
      <c r="B54" s="68" t="s">
        <v>488</v>
      </c>
      <c r="C54" s="13" t="s">
        <v>240</v>
      </c>
      <c r="D54" s="241"/>
      <c r="E54" s="241"/>
      <c r="F54" s="241"/>
      <c r="G54" s="241"/>
      <c r="H54" s="241"/>
      <c r="I54" s="241"/>
      <c r="J54" s="241"/>
      <c r="K54" s="241"/>
      <c r="L54" s="241"/>
      <c r="M54" s="241"/>
      <c r="N54" s="241"/>
      <c r="O54" s="241"/>
      <c r="P54" s="241"/>
      <c r="Q54" s="241"/>
    </row>
    <row r="55" spans="1:17" s="36" customFormat="1" ht="15" hidden="1" customHeight="1" outlineLevel="1">
      <c r="A55" s="60"/>
      <c r="B55" s="68" t="s">
        <v>489</v>
      </c>
      <c r="C55" s="13" t="s">
        <v>240</v>
      </c>
      <c r="D55" s="241"/>
      <c r="E55" s="241"/>
      <c r="F55" s="241"/>
      <c r="G55" s="241"/>
      <c r="H55" s="241"/>
      <c r="I55" s="241"/>
      <c r="J55" s="241"/>
      <c r="K55" s="241"/>
      <c r="L55" s="241"/>
      <c r="M55" s="241"/>
      <c r="N55" s="241"/>
      <c r="O55" s="241"/>
      <c r="P55" s="241"/>
      <c r="Q55" s="241"/>
    </row>
    <row r="56" spans="1:17" s="36" customFormat="1" ht="15" hidden="1" customHeight="1" outlineLevel="1">
      <c r="A56" s="60"/>
      <c r="B56" s="68" t="s">
        <v>490</v>
      </c>
      <c r="C56" s="13" t="s">
        <v>240</v>
      </c>
      <c r="D56" s="241"/>
      <c r="E56" s="241"/>
      <c r="F56" s="241"/>
      <c r="G56" s="241"/>
      <c r="H56" s="241"/>
      <c r="I56" s="241"/>
      <c r="J56" s="241"/>
      <c r="K56" s="241"/>
      <c r="L56" s="241"/>
      <c r="M56" s="241"/>
      <c r="N56" s="241"/>
      <c r="O56" s="241"/>
      <c r="P56" s="241"/>
      <c r="Q56" s="241"/>
    </row>
    <row r="57" spans="1:17" s="36" customFormat="1" ht="15" hidden="1" customHeight="1" outlineLevel="1">
      <c r="A57" s="60"/>
      <c r="B57" s="68" t="s">
        <v>491</v>
      </c>
      <c r="C57" s="13" t="s">
        <v>240</v>
      </c>
      <c r="D57" s="241"/>
      <c r="E57" s="241"/>
      <c r="F57" s="241"/>
      <c r="G57" s="241"/>
      <c r="H57" s="241"/>
      <c r="I57" s="241"/>
      <c r="J57" s="241"/>
      <c r="K57" s="241"/>
      <c r="L57" s="241"/>
      <c r="M57" s="241"/>
      <c r="N57" s="241"/>
      <c r="O57" s="241"/>
      <c r="P57" s="241"/>
      <c r="Q57" s="241"/>
    </row>
    <row r="58" spans="1:17" s="36" customFormat="1" ht="15" hidden="1" customHeight="1" outlineLevel="1">
      <c r="A58" s="60"/>
      <c r="B58" s="70" t="s">
        <v>492</v>
      </c>
      <c r="C58" s="13" t="s">
        <v>240</v>
      </c>
      <c r="D58" s="241"/>
      <c r="E58" s="241"/>
      <c r="F58" s="241"/>
      <c r="G58" s="241"/>
      <c r="H58" s="241"/>
      <c r="I58" s="241"/>
      <c r="J58" s="241"/>
      <c r="K58" s="241"/>
      <c r="L58" s="241"/>
      <c r="M58" s="241"/>
      <c r="N58" s="241"/>
      <c r="O58" s="241"/>
      <c r="P58" s="241"/>
      <c r="Q58" s="241"/>
    </row>
    <row r="59" spans="1:17" s="36" customFormat="1" ht="15" hidden="1" customHeight="1" outlineLevel="1">
      <c r="A59" s="60"/>
      <c r="B59" s="70" t="s">
        <v>493</v>
      </c>
      <c r="C59" s="13" t="s">
        <v>240</v>
      </c>
      <c r="D59" s="241"/>
      <c r="E59" s="241"/>
      <c r="F59" s="241"/>
      <c r="G59" s="241"/>
      <c r="H59" s="241"/>
      <c r="I59" s="241"/>
      <c r="J59" s="241"/>
      <c r="K59" s="241"/>
      <c r="L59" s="241"/>
      <c r="M59" s="241"/>
      <c r="N59" s="241"/>
      <c r="O59" s="241"/>
      <c r="P59" s="241"/>
      <c r="Q59" s="241"/>
    </row>
    <row r="60" spans="1:17" s="36" customFormat="1" ht="15" hidden="1" customHeight="1" outlineLevel="1">
      <c r="A60" s="60"/>
      <c r="B60" s="70" t="s">
        <v>494</v>
      </c>
      <c r="C60" s="13" t="s">
        <v>240</v>
      </c>
      <c r="D60" s="241"/>
      <c r="E60" s="241"/>
      <c r="F60" s="241"/>
      <c r="G60" s="241"/>
      <c r="H60" s="241"/>
      <c r="I60" s="241"/>
      <c r="J60" s="241"/>
      <c r="K60" s="241"/>
      <c r="L60" s="241"/>
      <c r="M60" s="241"/>
      <c r="N60" s="241"/>
      <c r="O60" s="241"/>
      <c r="P60" s="241"/>
      <c r="Q60" s="241"/>
    </row>
    <row r="61" spans="1:17" s="36" customFormat="1" ht="15" hidden="1" customHeight="1" outlineLevel="1">
      <c r="A61" s="60"/>
      <c r="B61" s="70" t="s">
        <v>495</v>
      </c>
      <c r="C61" s="13" t="s">
        <v>240</v>
      </c>
      <c r="D61" s="241"/>
      <c r="E61" s="241"/>
      <c r="F61" s="241"/>
      <c r="G61" s="241"/>
      <c r="H61" s="241"/>
      <c r="I61" s="241"/>
      <c r="J61" s="241"/>
      <c r="K61" s="241"/>
      <c r="L61" s="241"/>
      <c r="M61" s="241"/>
      <c r="N61" s="241"/>
      <c r="O61" s="241"/>
      <c r="P61" s="241"/>
      <c r="Q61" s="241"/>
    </row>
    <row r="62" spans="1:17" s="36" customFormat="1" ht="15" hidden="1" customHeight="1" outlineLevel="1">
      <c r="A62" s="60"/>
      <c r="B62" s="70" t="s">
        <v>496</v>
      </c>
      <c r="C62" s="13" t="s">
        <v>240</v>
      </c>
      <c r="D62" s="241"/>
      <c r="E62" s="241"/>
      <c r="F62" s="241"/>
      <c r="G62" s="241"/>
      <c r="H62" s="241"/>
      <c r="I62" s="241"/>
      <c r="J62" s="241"/>
      <c r="K62" s="241"/>
      <c r="L62" s="241"/>
      <c r="M62" s="241"/>
      <c r="N62" s="241"/>
      <c r="O62" s="241"/>
      <c r="P62" s="241"/>
      <c r="Q62" s="241"/>
    </row>
    <row r="63" spans="1:17" s="36" customFormat="1" ht="15" hidden="1" customHeight="1" outlineLevel="1">
      <c r="A63" s="60"/>
      <c r="B63" s="70" t="s">
        <v>497</v>
      </c>
      <c r="C63" s="13" t="s">
        <v>240</v>
      </c>
      <c r="D63" s="241"/>
      <c r="E63" s="241"/>
      <c r="F63" s="241"/>
      <c r="G63" s="241"/>
      <c r="H63" s="241"/>
      <c r="I63" s="241"/>
      <c r="J63" s="241"/>
      <c r="K63" s="241"/>
      <c r="L63" s="241"/>
      <c r="M63" s="241"/>
      <c r="N63" s="241"/>
      <c r="O63" s="241"/>
      <c r="P63" s="241"/>
      <c r="Q63" s="241"/>
    </row>
    <row r="64" spans="1:17" s="36" customFormat="1" ht="15" hidden="1" customHeight="1" outlineLevel="1">
      <c r="A64" s="60"/>
      <c r="B64" s="68" t="s">
        <v>498</v>
      </c>
      <c r="C64" s="13" t="s">
        <v>240</v>
      </c>
      <c r="D64" s="241"/>
      <c r="E64" s="241"/>
      <c r="F64" s="241"/>
      <c r="G64" s="241"/>
      <c r="H64" s="241"/>
      <c r="I64" s="241"/>
      <c r="J64" s="241"/>
      <c r="K64" s="241"/>
      <c r="L64" s="241"/>
      <c r="M64" s="241"/>
      <c r="N64" s="241"/>
      <c r="O64" s="241"/>
      <c r="P64" s="241"/>
      <c r="Q64" s="241"/>
    </row>
    <row r="65" spans="1:17" s="36" customFormat="1" ht="15" hidden="1" customHeight="1" outlineLevel="1">
      <c r="A65" s="60"/>
      <c r="B65" s="68" t="s">
        <v>499</v>
      </c>
      <c r="C65" s="13" t="s">
        <v>240</v>
      </c>
      <c r="D65" s="241"/>
      <c r="E65" s="241"/>
      <c r="F65" s="241"/>
      <c r="G65" s="241"/>
      <c r="H65" s="241"/>
      <c r="I65" s="241"/>
      <c r="J65" s="241"/>
      <c r="K65" s="241"/>
      <c r="L65" s="241"/>
      <c r="M65" s="241"/>
      <c r="N65" s="241"/>
      <c r="O65" s="241"/>
      <c r="P65" s="241"/>
      <c r="Q65" s="241"/>
    </row>
    <row r="66" spans="1:17" s="36" customFormat="1" collapsed="1">
      <c r="A66" s="60"/>
      <c r="B66" s="68"/>
      <c r="C66" s="13"/>
      <c r="D66" s="241"/>
      <c r="E66" s="241"/>
      <c r="F66" s="241"/>
      <c r="G66" s="241"/>
      <c r="H66" s="241"/>
      <c r="I66" s="241"/>
      <c r="J66" s="241"/>
      <c r="K66" s="241"/>
      <c r="L66" s="241"/>
      <c r="M66" s="241"/>
      <c r="N66" s="241"/>
      <c r="O66" s="241"/>
      <c r="P66" s="241"/>
      <c r="Q66" s="241"/>
    </row>
    <row r="67" spans="1:17" s="36" customFormat="1" ht="30" customHeight="1">
      <c r="A67" s="60" t="s">
        <v>78</v>
      </c>
      <c r="B67" s="68" t="s">
        <v>503</v>
      </c>
      <c r="C67" s="13" t="s">
        <v>240</v>
      </c>
      <c r="D67" s="241">
        <f>'4.10_сбыт_КТЭЦ'!D67+'4.10_сбыт_котельн.'!D67</f>
        <v>8305.363636363636</v>
      </c>
      <c r="E67" s="241">
        <f>'4.10_сбыт_КТЭЦ'!E67+'4.10_сбыт_котельн.'!E67</f>
        <v>0</v>
      </c>
      <c r="F67" s="241">
        <f>'4.10_сбыт_КТЭЦ'!F67+'4.10_сбыт_котельн.'!F67</f>
        <v>0</v>
      </c>
      <c r="G67" s="241">
        <f>'4.10_сбыт_КТЭЦ'!G67+'4.10_сбыт_котельн.'!G67</f>
        <v>0</v>
      </c>
      <c r="H67" s="241">
        <f>'4.10_сбыт_КТЭЦ'!H67+'4.10_сбыт_котельн.'!H67</f>
        <v>0</v>
      </c>
      <c r="I67" s="241">
        <f>'4.10_сбыт_КТЭЦ'!I67+'4.10_сбыт_котельн.'!I67</f>
        <v>0</v>
      </c>
      <c r="J67" s="241">
        <f>'4.10_сбыт_КТЭЦ'!J67+'4.10_сбыт_котельн.'!J67</f>
        <v>0</v>
      </c>
      <c r="K67" s="241">
        <f>'4.10_сбыт_КТЭЦ'!K67+'4.10_сбыт_котельн.'!K67</f>
        <v>0</v>
      </c>
      <c r="L67" s="241">
        <f>'4.10_сбыт_КТЭЦ'!L67+'4.10_сбыт_котельн.'!L67</f>
        <v>0</v>
      </c>
      <c r="M67" s="241">
        <f>'4.10_сбыт_КТЭЦ'!M67+'4.10_сбыт_котельн.'!M67</f>
        <v>0</v>
      </c>
      <c r="N67" s="241">
        <f>'4.10_сбыт_КТЭЦ'!N67+'4.10_сбыт_котельн.'!N67</f>
        <v>0</v>
      </c>
      <c r="O67" s="241">
        <f>'4.10_сбыт_КТЭЦ'!O67+'4.10_сбыт_котельн.'!O67</f>
        <v>0</v>
      </c>
      <c r="P67" s="241">
        <f>'4.10_сбыт_КТЭЦ'!P67+'4.10_сбыт_котельн.'!P67</f>
        <v>0</v>
      </c>
      <c r="Q67" s="241">
        <f>'4.10_сбыт_КТЭЦ'!Q67+'4.10_сбыт_котельн.'!Q67</f>
        <v>0</v>
      </c>
    </row>
    <row r="68" spans="1:17" s="36" customFormat="1" ht="15" hidden="1" customHeight="1" outlineLevel="1">
      <c r="A68" s="60"/>
      <c r="B68" s="68" t="s">
        <v>487</v>
      </c>
      <c r="C68" s="13" t="s">
        <v>240</v>
      </c>
      <c r="D68" s="241"/>
      <c r="E68" s="241"/>
      <c r="F68" s="241"/>
      <c r="G68" s="241"/>
      <c r="H68" s="241"/>
      <c r="I68" s="241"/>
      <c r="J68" s="241"/>
      <c r="K68" s="241"/>
      <c r="L68" s="241"/>
      <c r="M68" s="241"/>
      <c r="N68" s="241"/>
      <c r="O68" s="241"/>
      <c r="P68" s="241"/>
      <c r="Q68" s="241"/>
    </row>
    <row r="69" spans="1:17" s="36" customFormat="1" ht="15" hidden="1" customHeight="1" outlineLevel="1">
      <c r="A69" s="60"/>
      <c r="B69" s="68" t="s">
        <v>488</v>
      </c>
      <c r="C69" s="13" t="s">
        <v>240</v>
      </c>
      <c r="D69" s="241"/>
      <c r="E69" s="241"/>
      <c r="F69" s="241"/>
      <c r="G69" s="241"/>
      <c r="H69" s="241"/>
      <c r="I69" s="241"/>
      <c r="J69" s="241"/>
      <c r="K69" s="241"/>
      <c r="L69" s="241"/>
      <c r="M69" s="241"/>
      <c r="N69" s="241"/>
      <c r="O69" s="241"/>
      <c r="P69" s="241"/>
      <c r="Q69" s="241"/>
    </row>
    <row r="70" spans="1:17" s="36" customFormat="1" ht="15" hidden="1" customHeight="1" outlineLevel="1">
      <c r="A70" s="60"/>
      <c r="B70" s="68" t="s">
        <v>489</v>
      </c>
      <c r="C70" s="13" t="s">
        <v>240</v>
      </c>
      <c r="D70" s="241"/>
      <c r="E70" s="241"/>
      <c r="F70" s="241"/>
      <c r="G70" s="241"/>
      <c r="H70" s="241"/>
      <c r="I70" s="241"/>
      <c r="J70" s="241"/>
      <c r="K70" s="241"/>
      <c r="L70" s="241"/>
      <c r="M70" s="241"/>
      <c r="N70" s="241"/>
      <c r="O70" s="241"/>
      <c r="P70" s="241"/>
      <c r="Q70" s="241"/>
    </row>
    <row r="71" spans="1:17" s="36" customFormat="1" ht="15" hidden="1" customHeight="1" outlineLevel="1">
      <c r="A71" s="60"/>
      <c r="B71" s="68" t="s">
        <v>490</v>
      </c>
      <c r="C71" s="13" t="s">
        <v>240</v>
      </c>
      <c r="D71" s="241"/>
      <c r="E71" s="241"/>
      <c r="F71" s="241"/>
      <c r="G71" s="241"/>
      <c r="H71" s="241"/>
      <c r="I71" s="241"/>
      <c r="J71" s="241"/>
      <c r="K71" s="241"/>
      <c r="L71" s="241"/>
      <c r="M71" s="241"/>
      <c r="N71" s="241"/>
      <c r="O71" s="241"/>
      <c r="P71" s="241"/>
      <c r="Q71" s="241"/>
    </row>
    <row r="72" spans="1:17" s="36" customFormat="1" ht="15" hidden="1" customHeight="1" outlineLevel="1">
      <c r="A72" s="60"/>
      <c r="B72" s="68" t="s">
        <v>491</v>
      </c>
      <c r="C72" s="13" t="s">
        <v>240</v>
      </c>
      <c r="D72" s="241"/>
      <c r="E72" s="241"/>
      <c r="F72" s="241"/>
      <c r="G72" s="241"/>
      <c r="H72" s="241"/>
      <c r="I72" s="241"/>
      <c r="J72" s="241"/>
      <c r="K72" s="241"/>
      <c r="L72" s="241"/>
      <c r="M72" s="241"/>
      <c r="N72" s="241"/>
      <c r="O72" s="241"/>
      <c r="P72" s="241"/>
      <c r="Q72" s="241"/>
    </row>
    <row r="73" spans="1:17" s="36" customFormat="1" ht="15" hidden="1" customHeight="1" outlineLevel="1">
      <c r="A73" s="60"/>
      <c r="B73" s="70" t="s">
        <v>492</v>
      </c>
      <c r="C73" s="13" t="s">
        <v>240</v>
      </c>
      <c r="D73" s="241"/>
      <c r="E73" s="241"/>
      <c r="F73" s="241"/>
      <c r="G73" s="241"/>
      <c r="H73" s="241"/>
      <c r="I73" s="241"/>
      <c r="J73" s="241"/>
      <c r="K73" s="241"/>
      <c r="L73" s="241"/>
      <c r="M73" s="241"/>
      <c r="N73" s="241"/>
      <c r="O73" s="241"/>
      <c r="P73" s="241"/>
      <c r="Q73" s="241"/>
    </row>
    <row r="74" spans="1:17" s="36" customFormat="1" ht="15" hidden="1" customHeight="1" outlineLevel="1">
      <c r="A74" s="60"/>
      <c r="B74" s="70" t="s">
        <v>493</v>
      </c>
      <c r="C74" s="13" t="s">
        <v>240</v>
      </c>
      <c r="D74" s="241"/>
      <c r="E74" s="241"/>
      <c r="F74" s="241"/>
      <c r="G74" s="241"/>
      <c r="H74" s="241"/>
      <c r="I74" s="241"/>
      <c r="J74" s="241"/>
      <c r="K74" s="241"/>
      <c r="L74" s="241"/>
      <c r="M74" s="241"/>
      <c r="N74" s="241"/>
      <c r="O74" s="241"/>
      <c r="P74" s="241"/>
      <c r="Q74" s="241"/>
    </row>
    <row r="75" spans="1:17" s="36" customFormat="1" ht="15" hidden="1" customHeight="1" outlineLevel="1">
      <c r="A75" s="60"/>
      <c r="B75" s="70" t="s">
        <v>494</v>
      </c>
      <c r="C75" s="13" t="s">
        <v>240</v>
      </c>
      <c r="D75" s="241"/>
      <c r="E75" s="241"/>
      <c r="F75" s="241"/>
      <c r="G75" s="241"/>
      <c r="H75" s="241"/>
      <c r="I75" s="241"/>
      <c r="J75" s="241"/>
      <c r="K75" s="241"/>
      <c r="L75" s="241"/>
      <c r="M75" s="241"/>
      <c r="N75" s="241"/>
      <c r="O75" s="241"/>
      <c r="P75" s="241"/>
      <c r="Q75" s="241"/>
    </row>
    <row r="76" spans="1:17" s="36" customFormat="1" ht="15" hidden="1" customHeight="1" outlineLevel="1">
      <c r="A76" s="60"/>
      <c r="B76" s="70" t="s">
        <v>495</v>
      </c>
      <c r="C76" s="13" t="s">
        <v>240</v>
      </c>
      <c r="D76" s="241"/>
      <c r="E76" s="241"/>
      <c r="F76" s="241"/>
      <c r="G76" s="241"/>
      <c r="H76" s="241"/>
      <c r="I76" s="241"/>
      <c r="J76" s="241"/>
      <c r="K76" s="241"/>
      <c r="L76" s="241"/>
      <c r="M76" s="241"/>
      <c r="N76" s="241"/>
      <c r="O76" s="241"/>
      <c r="P76" s="241"/>
      <c r="Q76" s="241"/>
    </row>
    <row r="77" spans="1:17" s="36" customFormat="1" ht="15" hidden="1" customHeight="1" outlineLevel="1">
      <c r="A77" s="60"/>
      <c r="B77" s="70" t="s">
        <v>496</v>
      </c>
      <c r="C77" s="13" t="s">
        <v>240</v>
      </c>
      <c r="D77" s="241"/>
      <c r="E77" s="241"/>
      <c r="F77" s="241"/>
      <c r="G77" s="241"/>
      <c r="H77" s="241"/>
      <c r="I77" s="241"/>
      <c r="J77" s="241"/>
      <c r="K77" s="241"/>
      <c r="L77" s="241"/>
      <c r="M77" s="241"/>
      <c r="N77" s="241"/>
      <c r="O77" s="241"/>
      <c r="P77" s="241"/>
      <c r="Q77" s="241"/>
    </row>
    <row r="78" spans="1:17" s="36" customFormat="1" ht="15" hidden="1" customHeight="1" outlineLevel="1">
      <c r="A78" s="60"/>
      <c r="B78" s="70" t="s">
        <v>497</v>
      </c>
      <c r="C78" s="13" t="s">
        <v>240</v>
      </c>
      <c r="D78" s="241"/>
      <c r="E78" s="241"/>
      <c r="F78" s="241"/>
      <c r="G78" s="241"/>
      <c r="H78" s="241"/>
      <c r="I78" s="241"/>
      <c r="J78" s="241"/>
      <c r="K78" s="241"/>
      <c r="L78" s="241"/>
      <c r="M78" s="241"/>
      <c r="N78" s="241"/>
      <c r="O78" s="241"/>
      <c r="P78" s="241"/>
      <c r="Q78" s="241"/>
    </row>
    <row r="79" spans="1:17" s="36" customFormat="1" ht="15" hidden="1" customHeight="1" outlineLevel="1">
      <c r="A79" s="60"/>
      <c r="B79" s="68" t="s">
        <v>498</v>
      </c>
      <c r="C79" s="13" t="s">
        <v>240</v>
      </c>
      <c r="D79" s="241"/>
      <c r="E79" s="241"/>
      <c r="F79" s="241"/>
      <c r="G79" s="241"/>
      <c r="H79" s="241"/>
      <c r="I79" s="241"/>
      <c r="J79" s="241"/>
      <c r="K79" s="241"/>
      <c r="L79" s="241"/>
      <c r="M79" s="241"/>
      <c r="N79" s="241"/>
      <c r="O79" s="241"/>
      <c r="P79" s="241"/>
      <c r="Q79" s="241"/>
    </row>
    <row r="80" spans="1:17" s="36" customFormat="1" ht="15" hidden="1" customHeight="1" outlineLevel="1">
      <c r="A80" s="60"/>
      <c r="B80" s="68" t="s">
        <v>499</v>
      </c>
      <c r="C80" s="13" t="s">
        <v>240</v>
      </c>
      <c r="D80" s="241"/>
      <c r="E80" s="241"/>
      <c r="F80" s="241"/>
      <c r="G80" s="241"/>
      <c r="H80" s="241"/>
      <c r="I80" s="241"/>
      <c r="J80" s="241"/>
      <c r="K80" s="241"/>
      <c r="L80" s="241"/>
      <c r="M80" s="241"/>
      <c r="N80" s="241"/>
      <c r="O80" s="241"/>
      <c r="P80" s="241"/>
      <c r="Q80" s="241"/>
    </row>
    <row r="81" spans="1:17" s="36" customFormat="1" collapsed="1">
      <c r="A81" s="60"/>
      <c r="B81" s="68"/>
      <c r="C81" s="13"/>
      <c r="D81" s="66"/>
      <c r="E81" s="66"/>
      <c r="F81" s="66"/>
      <c r="G81" s="66"/>
      <c r="H81" s="66"/>
      <c r="I81" s="66"/>
      <c r="J81" s="66"/>
      <c r="K81" s="66"/>
      <c r="L81" s="66"/>
      <c r="M81" s="66"/>
      <c r="N81" s="66"/>
      <c r="O81" s="66"/>
      <c r="P81" s="66"/>
      <c r="Q81" s="66"/>
    </row>
    <row r="82" spans="1:17" s="36" customFormat="1" ht="15" customHeight="1">
      <c r="A82" s="60" t="s">
        <v>86</v>
      </c>
      <c r="B82" s="68" t="s">
        <v>504</v>
      </c>
      <c r="C82" s="13"/>
      <c r="D82" s="251">
        <f>D97/D67*100</f>
        <v>8.0309548046716799</v>
      </c>
      <c r="E82" s="251" t="e">
        <f t="shared" ref="E82:N82" si="0">E97/E67*100</f>
        <v>#DIV/0!</v>
      </c>
      <c r="F82" s="251" t="e">
        <f t="shared" si="0"/>
        <v>#DIV/0!</v>
      </c>
      <c r="G82" s="251" t="e">
        <f t="shared" si="0"/>
        <v>#DIV/0!</v>
      </c>
      <c r="H82" s="251" t="e">
        <f t="shared" ref="H82:I82" si="1">H97/H67*100</f>
        <v>#DIV/0!</v>
      </c>
      <c r="I82" s="251" t="e">
        <f t="shared" si="1"/>
        <v>#DIV/0!</v>
      </c>
      <c r="J82" s="251" t="e">
        <f t="shared" ref="J82:K82" si="2">J97/J67*100</f>
        <v>#DIV/0!</v>
      </c>
      <c r="K82" s="251" t="e">
        <f t="shared" si="2"/>
        <v>#DIV/0!</v>
      </c>
      <c r="L82" s="251" t="e">
        <f t="shared" si="0"/>
        <v>#DIV/0!</v>
      </c>
      <c r="M82" s="251" t="e">
        <f t="shared" si="0"/>
        <v>#DIV/0!</v>
      </c>
      <c r="N82" s="251" t="e">
        <f t="shared" si="0"/>
        <v>#DIV/0!</v>
      </c>
      <c r="O82" s="251" t="e">
        <f t="shared" ref="O82:Q82" si="3">O97/O67*100</f>
        <v>#DIV/0!</v>
      </c>
      <c r="P82" s="251" t="e">
        <f t="shared" si="3"/>
        <v>#DIV/0!</v>
      </c>
      <c r="Q82" s="251" t="e">
        <f t="shared" si="3"/>
        <v>#DIV/0!</v>
      </c>
    </row>
    <row r="83" spans="1:17" s="36" customFormat="1" ht="15" hidden="1" customHeight="1" outlineLevel="1">
      <c r="A83" s="60"/>
      <c r="B83" s="68" t="s">
        <v>487</v>
      </c>
      <c r="C83" s="13" t="s">
        <v>138</v>
      </c>
      <c r="D83" s="66"/>
      <c r="E83" s="66"/>
      <c r="F83" s="66"/>
      <c r="G83" s="66"/>
      <c r="H83" s="66"/>
      <c r="I83" s="66"/>
      <c r="J83" s="66"/>
      <c r="K83" s="66"/>
      <c r="L83" s="66"/>
      <c r="M83" s="66"/>
      <c r="N83" s="66"/>
      <c r="O83" s="66"/>
      <c r="P83" s="66"/>
      <c r="Q83" s="66"/>
    </row>
    <row r="84" spans="1:17" s="36" customFormat="1" ht="15" hidden="1" customHeight="1" outlineLevel="1">
      <c r="A84" s="60"/>
      <c r="B84" s="68" t="s">
        <v>488</v>
      </c>
      <c r="C84" s="13" t="s">
        <v>138</v>
      </c>
      <c r="D84" s="66"/>
      <c r="E84" s="66"/>
      <c r="F84" s="66"/>
      <c r="G84" s="66"/>
      <c r="H84" s="66"/>
      <c r="I84" s="66"/>
      <c r="J84" s="66"/>
      <c r="K84" s="66"/>
      <c r="L84" s="66"/>
      <c r="M84" s="66"/>
      <c r="N84" s="66"/>
      <c r="O84" s="66"/>
      <c r="P84" s="66"/>
      <c r="Q84" s="66"/>
    </row>
    <row r="85" spans="1:17" s="36" customFormat="1" ht="15" hidden="1" customHeight="1" outlineLevel="1">
      <c r="A85" s="60"/>
      <c r="B85" s="68" t="s">
        <v>489</v>
      </c>
      <c r="C85" s="13" t="s">
        <v>138</v>
      </c>
      <c r="D85" s="66"/>
      <c r="E85" s="66"/>
      <c r="F85" s="66"/>
      <c r="G85" s="66"/>
      <c r="H85" s="66"/>
      <c r="I85" s="66"/>
      <c r="J85" s="66"/>
      <c r="K85" s="66"/>
      <c r="L85" s="66"/>
      <c r="M85" s="66"/>
      <c r="N85" s="66"/>
      <c r="O85" s="66"/>
      <c r="P85" s="66"/>
      <c r="Q85" s="66"/>
    </row>
    <row r="86" spans="1:17" s="36" customFormat="1" ht="15" hidden="1" customHeight="1" outlineLevel="1">
      <c r="A86" s="60"/>
      <c r="B86" s="68" t="s">
        <v>490</v>
      </c>
      <c r="C86" s="13" t="s">
        <v>138</v>
      </c>
      <c r="D86" s="66"/>
      <c r="E86" s="66"/>
      <c r="F86" s="66"/>
      <c r="G86" s="66"/>
      <c r="H86" s="66"/>
      <c r="I86" s="66"/>
      <c r="J86" s="66"/>
      <c r="K86" s="66"/>
      <c r="L86" s="66"/>
      <c r="M86" s="66"/>
      <c r="N86" s="66"/>
      <c r="O86" s="66"/>
      <c r="P86" s="66"/>
      <c r="Q86" s="66"/>
    </row>
    <row r="87" spans="1:17" s="36" customFormat="1" ht="15" hidden="1" customHeight="1" outlineLevel="1">
      <c r="A87" s="60"/>
      <c r="B87" s="68" t="s">
        <v>491</v>
      </c>
      <c r="C87" s="13" t="s">
        <v>138</v>
      </c>
      <c r="D87" s="66"/>
      <c r="E87" s="66"/>
      <c r="F87" s="66"/>
      <c r="G87" s="66"/>
      <c r="H87" s="66"/>
      <c r="I87" s="66"/>
      <c r="J87" s="66"/>
      <c r="K87" s="66"/>
      <c r="L87" s="66"/>
      <c r="M87" s="66"/>
      <c r="N87" s="66"/>
      <c r="O87" s="66"/>
      <c r="P87" s="66"/>
      <c r="Q87" s="66"/>
    </row>
    <row r="88" spans="1:17" s="36" customFormat="1" ht="15" hidden="1" customHeight="1" outlineLevel="1">
      <c r="A88" s="60"/>
      <c r="B88" s="70" t="s">
        <v>492</v>
      </c>
      <c r="C88" s="13" t="s">
        <v>138</v>
      </c>
      <c r="D88" s="66"/>
      <c r="E88" s="66"/>
      <c r="F88" s="66"/>
      <c r="G88" s="66"/>
      <c r="H88" s="66"/>
      <c r="I88" s="66"/>
      <c r="J88" s="66"/>
      <c r="K88" s="66"/>
      <c r="L88" s="66"/>
      <c r="M88" s="66"/>
      <c r="N88" s="66"/>
      <c r="O88" s="66"/>
      <c r="P88" s="66"/>
      <c r="Q88" s="66"/>
    </row>
    <row r="89" spans="1:17" s="36" customFormat="1" ht="15" hidden="1" customHeight="1" outlineLevel="1">
      <c r="A89" s="60"/>
      <c r="B89" s="70" t="s">
        <v>493</v>
      </c>
      <c r="C89" s="13" t="s">
        <v>138</v>
      </c>
      <c r="D89" s="66"/>
      <c r="E89" s="66"/>
      <c r="F89" s="66"/>
      <c r="G89" s="66"/>
      <c r="H89" s="66"/>
      <c r="I89" s="66"/>
      <c r="J89" s="66"/>
      <c r="K89" s="66"/>
      <c r="L89" s="66"/>
      <c r="M89" s="66"/>
      <c r="N89" s="66"/>
      <c r="O89" s="66"/>
      <c r="P89" s="66"/>
      <c r="Q89" s="66"/>
    </row>
    <row r="90" spans="1:17" s="36" customFormat="1" ht="15" hidden="1" customHeight="1" outlineLevel="1">
      <c r="A90" s="60"/>
      <c r="B90" s="70" t="s">
        <v>494</v>
      </c>
      <c r="C90" s="13" t="s">
        <v>138</v>
      </c>
      <c r="D90" s="66"/>
      <c r="E90" s="66"/>
      <c r="F90" s="66"/>
      <c r="G90" s="66"/>
      <c r="H90" s="66"/>
      <c r="I90" s="66"/>
      <c r="J90" s="66"/>
      <c r="K90" s="66"/>
      <c r="L90" s="66"/>
      <c r="M90" s="66"/>
      <c r="N90" s="66"/>
      <c r="O90" s="66"/>
      <c r="P90" s="66"/>
      <c r="Q90" s="66"/>
    </row>
    <row r="91" spans="1:17" s="36" customFormat="1" ht="15" hidden="1" customHeight="1" outlineLevel="1">
      <c r="A91" s="60"/>
      <c r="B91" s="70" t="s">
        <v>495</v>
      </c>
      <c r="C91" s="13" t="s">
        <v>138</v>
      </c>
      <c r="D91" s="66"/>
      <c r="E91" s="66"/>
      <c r="F91" s="66"/>
      <c r="G91" s="66"/>
      <c r="H91" s="66"/>
      <c r="I91" s="66"/>
      <c r="J91" s="66"/>
      <c r="K91" s="66"/>
      <c r="L91" s="66"/>
      <c r="M91" s="66"/>
      <c r="N91" s="66"/>
      <c r="O91" s="66"/>
      <c r="P91" s="66"/>
      <c r="Q91" s="66"/>
    </row>
    <row r="92" spans="1:17" s="36" customFormat="1" ht="15" hidden="1" customHeight="1" outlineLevel="1">
      <c r="A92" s="60"/>
      <c r="B92" s="70" t="s">
        <v>496</v>
      </c>
      <c r="C92" s="13" t="s">
        <v>138</v>
      </c>
      <c r="D92" s="66"/>
      <c r="E92" s="66"/>
      <c r="F92" s="66"/>
      <c r="G92" s="66"/>
      <c r="H92" s="66"/>
      <c r="I92" s="66"/>
      <c r="J92" s="66"/>
      <c r="K92" s="66"/>
      <c r="L92" s="66"/>
      <c r="M92" s="66"/>
      <c r="N92" s="66"/>
      <c r="O92" s="66"/>
      <c r="P92" s="66"/>
      <c r="Q92" s="66"/>
    </row>
    <row r="93" spans="1:17" s="36" customFormat="1" ht="15" hidden="1" customHeight="1" outlineLevel="1">
      <c r="A93" s="60"/>
      <c r="B93" s="70" t="s">
        <v>497</v>
      </c>
      <c r="C93" s="13" t="s">
        <v>138</v>
      </c>
      <c r="D93" s="66"/>
      <c r="E93" s="66"/>
      <c r="F93" s="66"/>
      <c r="G93" s="66"/>
      <c r="H93" s="66"/>
      <c r="I93" s="66"/>
      <c r="J93" s="66"/>
      <c r="K93" s="66"/>
      <c r="L93" s="66"/>
      <c r="M93" s="66"/>
      <c r="N93" s="66"/>
      <c r="O93" s="66"/>
      <c r="P93" s="66"/>
      <c r="Q93" s="66"/>
    </row>
    <row r="94" spans="1:17" s="36" customFormat="1" ht="15" hidden="1" customHeight="1" outlineLevel="1">
      <c r="A94" s="60"/>
      <c r="B94" s="68" t="s">
        <v>498</v>
      </c>
      <c r="C94" s="13" t="s">
        <v>138</v>
      </c>
      <c r="D94" s="66"/>
      <c r="E94" s="66"/>
      <c r="F94" s="66"/>
      <c r="G94" s="66"/>
      <c r="H94" s="66"/>
      <c r="I94" s="66"/>
      <c r="J94" s="66"/>
      <c r="K94" s="66"/>
      <c r="L94" s="66"/>
      <c r="M94" s="66"/>
      <c r="N94" s="66"/>
      <c r="O94" s="66"/>
      <c r="P94" s="66"/>
      <c r="Q94" s="66"/>
    </row>
    <row r="95" spans="1:17" s="36" customFormat="1" ht="15" hidden="1" customHeight="1" outlineLevel="1">
      <c r="A95" s="60"/>
      <c r="B95" s="68" t="s">
        <v>499</v>
      </c>
      <c r="C95" s="13" t="s">
        <v>138</v>
      </c>
      <c r="D95" s="66"/>
      <c r="E95" s="66"/>
      <c r="F95" s="66"/>
      <c r="G95" s="66"/>
      <c r="H95" s="66"/>
      <c r="I95" s="66"/>
      <c r="J95" s="66"/>
      <c r="K95" s="66"/>
      <c r="L95" s="66"/>
      <c r="M95" s="66"/>
      <c r="N95" s="66"/>
      <c r="O95" s="66"/>
      <c r="P95" s="66"/>
      <c r="Q95" s="66"/>
    </row>
    <row r="96" spans="1:17" s="36" customFormat="1" collapsed="1">
      <c r="A96" s="60"/>
      <c r="B96" s="68"/>
      <c r="C96" s="13"/>
      <c r="D96" s="66"/>
      <c r="E96" s="66"/>
      <c r="F96" s="66"/>
      <c r="G96" s="66"/>
      <c r="H96" s="66"/>
      <c r="I96" s="66"/>
      <c r="J96" s="66"/>
      <c r="K96" s="66"/>
      <c r="L96" s="66"/>
      <c r="M96" s="66"/>
      <c r="N96" s="66"/>
      <c r="O96" s="66"/>
      <c r="P96" s="66"/>
      <c r="Q96" s="66"/>
    </row>
    <row r="97" spans="1:17" s="36" customFormat="1" ht="15" customHeight="1">
      <c r="A97" s="60" t="s">
        <v>109</v>
      </c>
      <c r="B97" s="68" t="s">
        <v>505</v>
      </c>
      <c r="C97" s="13" t="s">
        <v>240</v>
      </c>
      <c r="D97" s="241">
        <f>'4.10_сбыт_КТЭЦ'!D97+'4.10_сбыт_котельн.'!D97</f>
        <v>667</v>
      </c>
      <c r="E97" s="241">
        <f>'4.10_сбыт_КТЭЦ'!E97+'4.10_сбыт_котельн.'!E97</f>
        <v>1160</v>
      </c>
      <c r="F97" s="241">
        <f>'4.10_сбыт_КТЭЦ'!F97+'4.10_сбыт_котельн.'!F97</f>
        <v>0</v>
      </c>
      <c r="G97" s="241">
        <v>998</v>
      </c>
      <c r="H97" s="241">
        <v>0</v>
      </c>
      <c r="I97" s="241">
        <v>852</v>
      </c>
      <c r="J97" s="241">
        <v>0</v>
      </c>
      <c r="K97" s="241">
        <v>1300</v>
      </c>
      <c r="L97" s="241">
        <v>1585</v>
      </c>
      <c r="M97" s="241">
        <v>784</v>
      </c>
      <c r="N97" s="241">
        <v>801</v>
      </c>
      <c r="O97" s="241">
        <v>1749</v>
      </c>
      <c r="P97" s="241">
        <v>862</v>
      </c>
      <c r="Q97" s="241">
        <v>887</v>
      </c>
    </row>
    <row r="98" spans="1:17" s="36" customFormat="1" ht="15" customHeight="1" outlineLevel="1">
      <c r="A98" s="60"/>
      <c r="B98" s="68" t="s">
        <v>487</v>
      </c>
      <c r="C98" s="13" t="s">
        <v>240</v>
      </c>
      <c r="D98" s="241"/>
      <c r="E98" s="241">
        <f>'4.10_сбыт_КТЭЦ'!E98+'4.10_сбыт_котельн.'!E98</f>
        <v>12</v>
      </c>
      <c r="F98" s="241"/>
      <c r="G98" s="241">
        <v>72</v>
      </c>
      <c r="H98" s="241">
        <v>0</v>
      </c>
      <c r="I98" s="241">
        <v>58</v>
      </c>
      <c r="J98" s="241">
        <v>0</v>
      </c>
      <c r="K98" s="241">
        <v>58</v>
      </c>
      <c r="L98" s="241">
        <v>58</v>
      </c>
      <c r="M98" s="241">
        <v>24</v>
      </c>
      <c r="N98" s="241">
        <v>34</v>
      </c>
      <c r="O98" s="241">
        <v>58</v>
      </c>
      <c r="P98" s="241">
        <v>29</v>
      </c>
      <c r="Q98" s="241">
        <v>29</v>
      </c>
    </row>
    <row r="99" spans="1:17" s="36" customFormat="1" ht="15" customHeight="1" outlineLevel="1">
      <c r="A99" s="60"/>
      <c r="B99" s="68" t="s">
        <v>488</v>
      </c>
      <c r="C99" s="13" t="s">
        <v>240</v>
      </c>
      <c r="D99" s="241"/>
      <c r="E99" s="241">
        <f>'4.10_сбыт_КТЭЦ'!E99+'4.10_сбыт_котельн.'!E99</f>
        <v>0</v>
      </c>
      <c r="F99" s="241"/>
      <c r="G99" s="241">
        <v>0</v>
      </c>
      <c r="H99" s="241">
        <v>0</v>
      </c>
      <c r="I99" s="241">
        <v>0</v>
      </c>
      <c r="J99" s="241">
        <v>0</v>
      </c>
      <c r="K99" s="241">
        <v>0</v>
      </c>
      <c r="L99" s="241">
        <v>170</v>
      </c>
      <c r="M99" s="241">
        <v>83</v>
      </c>
      <c r="N99" s="241">
        <v>87</v>
      </c>
      <c r="O99" s="241">
        <v>275</v>
      </c>
      <c r="P99" s="241">
        <v>134</v>
      </c>
      <c r="Q99" s="241">
        <v>141</v>
      </c>
    </row>
    <row r="100" spans="1:17" s="36" customFormat="1" ht="15" customHeight="1" outlineLevel="1">
      <c r="A100" s="60"/>
      <c r="B100" s="68" t="s">
        <v>489</v>
      </c>
      <c r="C100" s="13" t="s">
        <v>240</v>
      </c>
      <c r="D100" s="241"/>
      <c r="E100" s="241">
        <f>'4.10_сбыт_КТЭЦ'!E100+'4.10_сбыт_котельн.'!E100</f>
        <v>0</v>
      </c>
      <c r="F100" s="241"/>
      <c r="G100" s="241">
        <v>0</v>
      </c>
      <c r="H100" s="241">
        <v>0</v>
      </c>
      <c r="I100" s="241">
        <v>0</v>
      </c>
      <c r="J100" s="241">
        <v>0</v>
      </c>
      <c r="K100" s="241">
        <v>0</v>
      </c>
      <c r="L100" s="241">
        <v>0</v>
      </c>
      <c r="M100" s="241">
        <v>0</v>
      </c>
      <c r="N100" s="241">
        <v>0</v>
      </c>
      <c r="O100" s="241">
        <v>0</v>
      </c>
      <c r="P100" s="241">
        <v>0</v>
      </c>
      <c r="Q100" s="241">
        <v>0</v>
      </c>
    </row>
    <row r="101" spans="1:17" s="36" customFormat="1" ht="15" customHeight="1" outlineLevel="1">
      <c r="A101" s="60"/>
      <c r="B101" s="68" t="s">
        <v>490</v>
      </c>
      <c r="C101" s="13" t="s">
        <v>240</v>
      </c>
      <c r="D101" s="241"/>
      <c r="E101" s="241">
        <f>'4.10_сбыт_КТЭЦ'!E101+'4.10_сбыт_котельн.'!E101</f>
        <v>514</v>
      </c>
      <c r="F101" s="241"/>
      <c r="G101" s="241">
        <v>847</v>
      </c>
      <c r="H101" s="241">
        <v>0</v>
      </c>
      <c r="I101" s="241">
        <v>721</v>
      </c>
      <c r="J101" s="241">
        <v>0</v>
      </c>
      <c r="K101" s="241">
        <v>1150</v>
      </c>
      <c r="L101" s="241">
        <v>1265</v>
      </c>
      <c r="M101" s="241">
        <v>636</v>
      </c>
      <c r="N101" s="241">
        <v>629</v>
      </c>
      <c r="O101" s="241">
        <v>1325</v>
      </c>
      <c r="P101" s="241">
        <v>659</v>
      </c>
      <c r="Q101" s="241">
        <v>666</v>
      </c>
    </row>
    <row r="102" spans="1:17" s="36" customFormat="1" ht="15" customHeight="1" outlineLevel="1">
      <c r="A102" s="60"/>
      <c r="B102" s="68" t="s">
        <v>491</v>
      </c>
      <c r="C102" s="13" t="s">
        <v>240</v>
      </c>
      <c r="D102" s="241"/>
      <c r="E102" s="241">
        <f>'4.10_сбыт_КТЭЦ'!E102+'4.10_сбыт_котельн.'!E102</f>
        <v>0</v>
      </c>
      <c r="F102" s="241"/>
      <c r="G102" s="241">
        <v>0</v>
      </c>
      <c r="H102" s="241">
        <v>0</v>
      </c>
      <c r="I102" s="241">
        <v>0</v>
      </c>
      <c r="J102" s="241">
        <v>0</v>
      </c>
      <c r="K102" s="241">
        <v>0</v>
      </c>
      <c r="L102" s="241">
        <v>0</v>
      </c>
      <c r="M102" s="241">
        <v>0</v>
      </c>
      <c r="N102" s="241">
        <v>0</v>
      </c>
      <c r="O102" s="241">
        <v>0</v>
      </c>
      <c r="P102" s="241">
        <v>0</v>
      </c>
      <c r="Q102" s="241">
        <v>0</v>
      </c>
    </row>
    <row r="103" spans="1:17" s="36" customFormat="1" ht="15" customHeight="1" outlineLevel="1">
      <c r="A103" s="60"/>
      <c r="B103" s="70" t="s">
        <v>492</v>
      </c>
      <c r="C103" s="13" t="s">
        <v>240</v>
      </c>
      <c r="D103" s="241"/>
      <c r="E103" s="241">
        <f>'4.10_сбыт_КТЭЦ'!E103+'4.10_сбыт_котельн.'!E103</f>
        <v>0</v>
      </c>
      <c r="F103" s="241"/>
      <c r="G103" s="241">
        <v>0</v>
      </c>
      <c r="H103" s="241">
        <v>0</v>
      </c>
      <c r="I103" s="241">
        <v>0</v>
      </c>
      <c r="J103" s="241">
        <v>0</v>
      </c>
      <c r="K103" s="241">
        <v>0</v>
      </c>
      <c r="L103" s="241">
        <v>0</v>
      </c>
      <c r="M103" s="241">
        <v>0</v>
      </c>
      <c r="N103" s="241">
        <v>0</v>
      </c>
      <c r="O103" s="241">
        <v>0</v>
      </c>
      <c r="P103" s="241">
        <v>0</v>
      </c>
      <c r="Q103" s="241">
        <v>0</v>
      </c>
    </row>
    <row r="104" spans="1:17" s="36" customFormat="1" ht="15" customHeight="1" outlineLevel="1">
      <c r="A104" s="60"/>
      <c r="B104" s="70" t="s">
        <v>493</v>
      </c>
      <c r="C104" s="13" t="s">
        <v>240</v>
      </c>
      <c r="D104" s="241"/>
      <c r="E104" s="241">
        <f>'4.10_сбыт_КТЭЦ'!E104+'4.10_сбыт_котельн.'!E104</f>
        <v>357</v>
      </c>
      <c r="F104" s="241"/>
      <c r="G104" s="241">
        <v>551</v>
      </c>
      <c r="H104" s="241">
        <v>0</v>
      </c>
      <c r="I104" s="241">
        <v>534</v>
      </c>
      <c r="J104" s="241">
        <v>0</v>
      </c>
      <c r="K104" s="241">
        <v>883</v>
      </c>
      <c r="L104" s="241">
        <v>961</v>
      </c>
      <c r="M104" s="241">
        <v>466</v>
      </c>
      <c r="N104" s="241">
        <v>495</v>
      </c>
      <c r="O104" s="241">
        <v>1021</v>
      </c>
      <c r="P104" s="241">
        <v>489</v>
      </c>
      <c r="Q104" s="241">
        <v>532</v>
      </c>
    </row>
    <row r="105" spans="1:17" s="36" customFormat="1" ht="15" customHeight="1" outlineLevel="1">
      <c r="A105" s="60"/>
      <c r="B105" s="70" t="s">
        <v>494</v>
      </c>
      <c r="C105" s="13" t="s">
        <v>240</v>
      </c>
      <c r="D105" s="241"/>
      <c r="E105" s="241">
        <f>'4.10_сбыт_КТЭЦ'!E105+'4.10_сбыт_котельн.'!E105</f>
        <v>136</v>
      </c>
      <c r="F105" s="241"/>
      <c r="G105" s="241">
        <v>233</v>
      </c>
      <c r="H105" s="241">
        <v>0</v>
      </c>
      <c r="I105" s="241">
        <v>132</v>
      </c>
      <c r="J105" s="241">
        <v>0</v>
      </c>
      <c r="K105" s="241">
        <v>212</v>
      </c>
      <c r="L105" s="241">
        <v>249</v>
      </c>
      <c r="M105" s="241">
        <v>143</v>
      </c>
      <c r="N105" s="241">
        <v>106</v>
      </c>
      <c r="O105" s="241">
        <v>249</v>
      </c>
      <c r="P105" s="241">
        <v>143</v>
      </c>
      <c r="Q105" s="241">
        <v>106</v>
      </c>
    </row>
    <row r="106" spans="1:17" s="36" customFormat="1" ht="15" customHeight="1" outlineLevel="1">
      <c r="A106" s="60"/>
      <c r="B106" s="70" t="s">
        <v>495</v>
      </c>
      <c r="C106" s="13" t="s">
        <v>240</v>
      </c>
      <c r="D106" s="241"/>
      <c r="E106" s="241">
        <f>'4.10_сбыт_КТЭЦ'!E106+'4.10_сбыт_котельн.'!E106</f>
        <v>21</v>
      </c>
      <c r="F106" s="241"/>
      <c r="G106" s="241">
        <v>63</v>
      </c>
      <c r="H106" s="241">
        <v>0</v>
      </c>
      <c r="I106" s="241">
        <v>55</v>
      </c>
      <c r="J106" s="241">
        <v>0</v>
      </c>
      <c r="K106" s="241">
        <v>55</v>
      </c>
      <c r="L106" s="241">
        <v>55</v>
      </c>
      <c r="M106" s="241">
        <v>27</v>
      </c>
      <c r="N106" s="241">
        <v>28</v>
      </c>
      <c r="O106" s="241">
        <v>55</v>
      </c>
      <c r="P106" s="241">
        <v>27</v>
      </c>
      <c r="Q106" s="241">
        <v>28</v>
      </c>
    </row>
    <row r="107" spans="1:17" s="36" customFormat="1" ht="15" customHeight="1" outlineLevel="1">
      <c r="A107" s="60"/>
      <c r="B107" s="70" t="s">
        <v>496</v>
      </c>
      <c r="C107" s="13" t="s">
        <v>240</v>
      </c>
      <c r="D107" s="241"/>
      <c r="E107" s="241">
        <f>'4.10_сбыт_КТЭЦ'!E107+'4.10_сбыт_котельн.'!E107</f>
        <v>0</v>
      </c>
      <c r="F107" s="241"/>
      <c r="G107" s="241">
        <v>0</v>
      </c>
      <c r="H107" s="241">
        <v>0</v>
      </c>
      <c r="I107" s="241">
        <v>0</v>
      </c>
      <c r="J107" s="241">
        <v>0</v>
      </c>
      <c r="K107" s="241">
        <v>0</v>
      </c>
      <c r="L107" s="241">
        <v>0</v>
      </c>
      <c r="M107" s="241">
        <v>0</v>
      </c>
      <c r="N107" s="241">
        <v>0</v>
      </c>
      <c r="O107" s="241">
        <v>0</v>
      </c>
      <c r="P107" s="241">
        <v>0</v>
      </c>
      <c r="Q107" s="241">
        <v>0</v>
      </c>
    </row>
    <row r="108" spans="1:17" s="36" customFormat="1" ht="15" customHeight="1" outlineLevel="1">
      <c r="A108" s="60"/>
      <c r="B108" s="70" t="s">
        <v>497</v>
      </c>
      <c r="C108" s="13" t="s">
        <v>240</v>
      </c>
      <c r="D108" s="241"/>
      <c r="E108" s="241">
        <f>'4.10_сбыт_КТЭЦ'!E108+'4.10_сбыт_котельн.'!E108</f>
        <v>1</v>
      </c>
      <c r="F108" s="241"/>
      <c r="G108" s="241">
        <v>1</v>
      </c>
      <c r="H108" s="241">
        <v>0</v>
      </c>
      <c r="I108" s="241">
        <v>1</v>
      </c>
      <c r="J108" s="241">
        <v>0</v>
      </c>
      <c r="K108" s="241">
        <v>1</v>
      </c>
      <c r="L108" s="241">
        <v>1</v>
      </c>
      <c r="M108" s="241">
        <v>1</v>
      </c>
      <c r="N108" s="241">
        <v>0</v>
      </c>
      <c r="O108" s="241">
        <v>0</v>
      </c>
      <c r="P108" s="241">
        <v>0</v>
      </c>
      <c r="Q108" s="241">
        <v>0</v>
      </c>
    </row>
    <row r="109" spans="1:17" s="36" customFormat="1" ht="15" customHeight="1" outlineLevel="1">
      <c r="A109" s="60"/>
      <c r="B109" s="68" t="s">
        <v>498</v>
      </c>
      <c r="C109" s="13" t="s">
        <v>240</v>
      </c>
      <c r="D109" s="241"/>
      <c r="E109" s="241">
        <f>'4.10_сбыт_КТЭЦ'!E109+'4.10_сбыт_котельн.'!E109</f>
        <v>633</v>
      </c>
      <c r="F109" s="241"/>
      <c r="G109" s="241">
        <v>69</v>
      </c>
      <c r="H109" s="241">
        <v>0</v>
      </c>
      <c r="I109" s="241">
        <v>64</v>
      </c>
      <c r="J109" s="241">
        <v>0</v>
      </c>
      <c r="K109" s="241">
        <v>64</v>
      </c>
      <c r="L109" s="241">
        <v>64</v>
      </c>
      <c r="M109" s="241">
        <v>30</v>
      </c>
      <c r="N109" s="241">
        <v>34</v>
      </c>
      <c r="O109" s="241">
        <v>64</v>
      </c>
      <c r="P109" s="241">
        <v>30</v>
      </c>
      <c r="Q109" s="241">
        <v>34</v>
      </c>
    </row>
    <row r="110" spans="1:17" s="36" customFormat="1" ht="15" customHeight="1" outlineLevel="1">
      <c r="A110" s="60"/>
      <c r="B110" s="68" t="s">
        <v>499</v>
      </c>
      <c r="C110" s="13" t="s">
        <v>240</v>
      </c>
      <c r="D110" s="241"/>
      <c r="E110" s="241">
        <f>'4.10_сбыт_КТЭЦ'!E110+'4.10_сбыт_котельн.'!E110</f>
        <v>0</v>
      </c>
      <c r="F110" s="241"/>
      <c r="G110" s="241">
        <v>9</v>
      </c>
      <c r="H110" s="241">
        <v>0</v>
      </c>
      <c r="I110" s="241">
        <v>8</v>
      </c>
      <c r="J110" s="241">
        <v>0</v>
      </c>
      <c r="K110" s="241">
        <v>27</v>
      </c>
      <c r="L110" s="241">
        <v>27</v>
      </c>
      <c r="M110" s="241">
        <v>10</v>
      </c>
      <c r="N110" s="241">
        <v>17</v>
      </c>
      <c r="O110" s="241">
        <v>27</v>
      </c>
      <c r="P110" s="241">
        <v>10</v>
      </c>
      <c r="Q110" s="241">
        <v>17</v>
      </c>
    </row>
    <row r="111" spans="1:17" s="1001" customFormat="1" ht="28.5">
      <c r="A111" s="82" t="s">
        <v>151</v>
      </c>
      <c r="B111" s="80" t="s">
        <v>1524</v>
      </c>
      <c r="C111" s="999" t="s">
        <v>240</v>
      </c>
      <c r="D111" s="1000">
        <f>'4.10_сбыт_КТЭЦ'!D111+'4.10_сбыт_котельн.'!D111</f>
        <v>883</v>
      </c>
      <c r="E111" s="1000">
        <f>'4.10_сбыт_КТЭЦ'!E111+'4.10_сбыт_котельн.'!E111</f>
        <v>1561</v>
      </c>
      <c r="F111" s="1000">
        <f>'4.10_сбыт_КТЭЦ'!F111+'4.10_сбыт_котельн.'!F111</f>
        <v>0</v>
      </c>
      <c r="G111" s="1000">
        <v>1548</v>
      </c>
      <c r="H111" s="1000">
        <v>0</v>
      </c>
      <c r="I111" s="1000">
        <v>1452</v>
      </c>
      <c r="J111" s="1000">
        <v>0</v>
      </c>
      <c r="K111" s="1000">
        <v>1960</v>
      </c>
      <c r="L111" s="1000">
        <v>2426</v>
      </c>
      <c r="M111" s="1000">
        <v>1199</v>
      </c>
      <c r="N111" s="1000">
        <v>1227</v>
      </c>
      <c r="O111" s="1000">
        <v>2865</v>
      </c>
      <c r="P111" s="1000">
        <v>1401</v>
      </c>
      <c r="Q111" s="1000">
        <v>1464</v>
      </c>
    </row>
    <row r="112" spans="1:17" s="36" customFormat="1" ht="15" customHeight="1">
      <c r="A112" s="60" t="s">
        <v>153</v>
      </c>
      <c r="B112" s="70" t="s">
        <v>402</v>
      </c>
      <c r="C112" s="13" t="s">
        <v>240</v>
      </c>
      <c r="D112" s="241"/>
      <c r="E112" s="241"/>
      <c r="F112" s="241"/>
      <c r="G112" s="241"/>
      <c r="H112" s="241"/>
      <c r="I112" s="241"/>
      <c r="J112" s="241"/>
      <c r="K112" s="241"/>
      <c r="L112" s="241"/>
      <c r="M112" s="241"/>
      <c r="N112" s="241"/>
      <c r="O112" s="241"/>
      <c r="P112" s="241"/>
      <c r="Q112" s="241"/>
    </row>
    <row r="113" spans="1:17" s="36" customFormat="1" ht="15" customHeight="1">
      <c r="A113" s="60" t="s">
        <v>1528</v>
      </c>
      <c r="B113" s="70" t="s">
        <v>404</v>
      </c>
      <c r="C113" s="13" t="s">
        <v>240</v>
      </c>
      <c r="D113" s="241">
        <f>D111</f>
        <v>883</v>
      </c>
      <c r="E113" s="241">
        <f t="shared" ref="E113:N113" si="4">E111</f>
        <v>1561</v>
      </c>
      <c r="F113" s="241">
        <f t="shared" si="4"/>
        <v>0</v>
      </c>
      <c r="G113" s="241">
        <v>1548</v>
      </c>
      <c r="H113" s="241">
        <v>0</v>
      </c>
      <c r="I113" s="241">
        <v>1452</v>
      </c>
      <c r="J113" s="241">
        <v>0</v>
      </c>
      <c r="K113" s="241">
        <v>1960</v>
      </c>
      <c r="L113" s="241">
        <v>2426</v>
      </c>
      <c r="M113" s="241">
        <v>1199</v>
      </c>
      <c r="N113" s="241">
        <v>1227</v>
      </c>
      <c r="O113" s="241">
        <v>2865</v>
      </c>
      <c r="P113" s="241">
        <v>1401</v>
      </c>
      <c r="Q113" s="241">
        <v>1464</v>
      </c>
    </row>
    <row r="114" spans="1:17" s="36" customFormat="1" ht="15" customHeight="1">
      <c r="A114" s="60" t="s">
        <v>1529</v>
      </c>
      <c r="B114" s="70" t="s">
        <v>406</v>
      </c>
      <c r="C114" s="13" t="s">
        <v>240</v>
      </c>
      <c r="D114" s="241"/>
      <c r="E114" s="241"/>
      <c r="F114" s="241"/>
      <c r="G114" s="241"/>
      <c r="H114" s="241"/>
      <c r="I114" s="241"/>
      <c r="J114" s="241"/>
      <c r="K114" s="241"/>
      <c r="L114" s="241"/>
      <c r="M114" s="241"/>
      <c r="N114" s="241"/>
      <c r="O114" s="241"/>
      <c r="P114" s="241"/>
      <c r="Q114" s="241"/>
    </row>
    <row r="115" spans="1:17" s="36" customFormat="1" ht="15" customHeight="1">
      <c r="A115" s="60" t="s">
        <v>1530</v>
      </c>
      <c r="B115" s="70" t="s">
        <v>408</v>
      </c>
      <c r="C115" s="13" t="s">
        <v>240</v>
      </c>
      <c r="D115" s="241"/>
      <c r="E115" s="241"/>
      <c r="F115" s="241"/>
      <c r="G115" s="241"/>
      <c r="H115" s="241"/>
      <c r="I115" s="241"/>
      <c r="J115" s="241"/>
      <c r="K115" s="241"/>
      <c r="L115" s="241"/>
      <c r="M115" s="241"/>
      <c r="N115" s="241"/>
      <c r="O115" s="241"/>
      <c r="P115" s="241"/>
      <c r="Q115" s="241"/>
    </row>
    <row r="116" spans="1:17" customFormat="1" ht="12.75"/>
    <row r="117" spans="1:17" s="26" customFormat="1">
      <c r="A117" s="26" t="s">
        <v>88</v>
      </c>
      <c r="C117" s="48"/>
    </row>
    <row r="118" spans="1:17" s="541" customFormat="1" ht="51.75" customHeight="1">
      <c r="A118" s="541" t="s">
        <v>89</v>
      </c>
      <c r="B118" s="1842" t="s">
        <v>506</v>
      </c>
      <c r="C118" s="1842"/>
      <c r="D118" s="1842"/>
      <c r="E118" s="1842"/>
      <c r="F118" s="1842"/>
      <c r="G118" s="1842"/>
      <c r="H118" s="1842"/>
      <c r="I118" s="1842"/>
      <c r="J118" s="1842"/>
      <c r="K118" s="1842"/>
      <c r="L118" s="1842"/>
      <c r="M118" s="1842"/>
      <c r="N118" s="1842"/>
    </row>
    <row r="119" spans="1:17" s="541" customFormat="1" ht="58.5" customHeight="1">
      <c r="A119" s="541" t="s">
        <v>91</v>
      </c>
      <c r="B119" s="1842" t="s">
        <v>507</v>
      </c>
      <c r="C119" s="1842"/>
      <c r="D119" s="1842"/>
      <c r="E119" s="1842"/>
      <c r="F119" s="1842"/>
      <c r="G119" s="1842"/>
      <c r="H119" s="1842"/>
      <c r="I119" s="1842"/>
      <c r="J119" s="1842"/>
      <c r="K119" s="1842"/>
      <c r="L119" s="1842"/>
      <c r="M119" s="1842"/>
      <c r="N119" s="1842"/>
    </row>
    <row r="120" spans="1:17" ht="21" customHeight="1"/>
  </sheetData>
  <mergeCells count="3">
    <mergeCell ref="A3:N3"/>
    <mergeCell ref="B118:N118"/>
    <mergeCell ref="B119:N119"/>
  </mergeCells>
  <pageMargins left="0.78740157480314965" right="0.51181102362204722" top="0.59055118110236227" bottom="0.39370078740157483" header="0.19685039370078741" footer="0.19685039370078741"/>
  <pageSetup paperSize="9" scale="43" orientation="portrait" r:id="rId1"/>
  <headerFooter alignWithMargins="0"/>
  <rowBreaks count="1" manualBreakCount="1">
    <brk id="116" max="6" man="1"/>
  </row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Q120"/>
  <sheetViews>
    <sheetView view="pageBreakPreview" zoomScaleNormal="100" workbookViewId="0">
      <pane xSplit="2" ySplit="5" topLeftCell="C6" activePane="bottomRight" state="frozen"/>
      <selection activeCell="Q7" sqref="Q7"/>
      <selection pane="topRight" activeCell="Q7" sqref="Q7"/>
      <selection pane="bottomLeft" activeCell="Q7" sqref="Q7"/>
      <selection pane="bottomRight" activeCell="R2" sqref="R2"/>
    </sheetView>
  </sheetViews>
  <sheetFormatPr defaultColWidth="4.28515625" defaultRowHeight="15" outlineLevelRow="1"/>
  <cols>
    <col min="1" max="1" width="5.42578125" style="1" customWidth="1"/>
    <col min="2" max="2" width="42.28515625" style="1" customWidth="1"/>
    <col min="3" max="3" width="12" style="21" customWidth="1"/>
    <col min="4" max="4" width="12.5703125" style="1" hidden="1" customWidth="1"/>
    <col min="5" max="5" width="11.5703125" style="1" hidden="1" customWidth="1"/>
    <col min="6" max="10" width="12.5703125" style="1" customWidth="1"/>
    <col min="11" max="11" width="15.7109375" style="1" customWidth="1"/>
    <col min="12" max="12" width="12.5703125" style="1" customWidth="1"/>
    <col min="13" max="13" width="11.42578125" style="1" customWidth="1"/>
    <col min="14" max="14" width="11" style="1" customWidth="1"/>
    <col min="15" max="15" width="12.7109375" style="1" customWidth="1"/>
    <col min="16" max="16" width="10.85546875" style="1" customWidth="1"/>
    <col min="17" max="17" width="10.5703125" style="1" customWidth="1"/>
    <col min="18" max="16384" width="4.28515625" style="1"/>
  </cols>
  <sheetData>
    <row r="1" spans="1:17" s="5" customFormat="1" ht="15.75" customHeight="1">
      <c r="A1" s="74" t="s">
        <v>1860</v>
      </c>
      <c r="C1" s="20"/>
      <c r="N1" s="6" t="s">
        <v>943</v>
      </c>
      <c r="Q1" s="6" t="s">
        <v>943</v>
      </c>
    </row>
    <row r="2" spans="1:17" s="5" customFormat="1" ht="12.75" customHeight="1">
      <c r="A2" s="105" t="str">
        <f>'3.1'!$A$2</f>
        <v>ПКГО - Комбинированная выработка КТЭЦ</v>
      </c>
      <c r="C2" s="20"/>
    </row>
    <row r="3" spans="1:17" ht="37.5" customHeight="1">
      <c r="A3" s="1915" t="s">
        <v>1178</v>
      </c>
      <c r="B3" s="1915"/>
      <c r="C3" s="1915"/>
      <c r="D3" s="1915"/>
      <c r="E3" s="1915"/>
      <c r="F3" s="1915"/>
      <c r="G3" s="1915"/>
      <c r="H3" s="1915"/>
      <c r="I3" s="1915"/>
      <c r="J3" s="1915"/>
      <c r="K3" s="1915"/>
      <c r="L3" s="1915"/>
      <c r="M3" s="1915"/>
      <c r="N3" s="1915"/>
    </row>
    <row r="4" spans="1:17" customFormat="1" ht="12.75" customHeight="1"/>
    <row r="5" spans="1:17" s="3" customFormat="1" ht="63" customHeight="1">
      <c r="A5" s="913" t="s">
        <v>1527</v>
      </c>
      <c r="B5" s="913" t="s">
        <v>1</v>
      </c>
      <c r="C5" s="913" t="s">
        <v>2</v>
      </c>
      <c r="D5" s="913" t="s">
        <v>1129</v>
      </c>
      <c r="E5" s="913" t="s">
        <v>1130</v>
      </c>
      <c r="F5" s="975" t="s">
        <v>1553</v>
      </c>
      <c r="G5" s="913" t="s">
        <v>1695</v>
      </c>
      <c r="H5" s="1310" t="s">
        <v>1702</v>
      </c>
      <c r="I5" s="1576" t="s">
        <v>1828</v>
      </c>
      <c r="J5" s="1613" t="s">
        <v>1842</v>
      </c>
      <c r="K5" s="1631" t="s">
        <v>1861</v>
      </c>
      <c r="L5" s="1631" t="s">
        <v>1862</v>
      </c>
      <c r="M5" s="1631" t="s">
        <v>763</v>
      </c>
      <c r="N5" s="1631" t="s">
        <v>764</v>
      </c>
      <c r="O5" s="1631" t="s">
        <v>1863</v>
      </c>
      <c r="P5" s="1631" t="s">
        <v>763</v>
      </c>
      <c r="Q5" s="1631" t="s">
        <v>764</v>
      </c>
    </row>
    <row r="6" spans="1:17" s="2" customFormat="1">
      <c r="A6" s="13">
        <v>1</v>
      </c>
      <c r="B6" s="13">
        <v>2</v>
      </c>
      <c r="C6" s="13">
        <v>3</v>
      </c>
      <c r="D6" s="13">
        <v>4</v>
      </c>
      <c r="E6" s="13">
        <v>5</v>
      </c>
      <c r="F6" s="13">
        <v>4</v>
      </c>
      <c r="G6" s="13">
        <v>5</v>
      </c>
      <c r="H6" s="13">
        <v>6</v>
      </c>
      <c r="I6" s="13">
        <v>7</v>
      </c>
      <c r="J6" s="13">
        <v>8</v>
      </c>
      <c r="K6" s="13">
        <v>9</v>
      </c>
      <c r="L6" s="13">
        <v>10</v>
      </c>
      <c r="M6" s="13">
        <v>11</v>
      </c>
      <c r="N6" s="13">
        <v>12</v>
      </c>
      <c r="O6" s="13">
        <v>13</v>
      </c>
      <c r="P6" s="13">
        <v>14</v>
      </c>
      <c r="Q6" s="13">
        <v>15</v>
      </c>
    </row>
    <row r="7" spans="1:17" s="1001" customFormat="1" ht="30" customHeight="1">
      <c r="A7" s="82" t="s">
        <v>4</v>
      </c>
      <c r="B7" s="80" t="s">
        <v>486</v>
      </c>
      <c r="C7" s="1002" t="s">
        <v>240</v>
      </c>
      <c r="D7" s="1000">
        <f>'4.10_пр-во_КТЭЦ'!D7+'4.10_транзит_КТЭЦ'!D7+'4.10_сбыт_КТЭЦ'!D7</f>
        <v>1131127.3636363635</v>
      </c>
      <c r="E7" s="1000">
        <f>'4.10_пр-во_КТЭЦ'!E7+'4.10_транзит_КТЭЦ'!E7+'4.10_сбыт_КТЭЦ'!E7</f>
        <v>1566743</v>
      </c>
      <c r="F7" s="1006">
        <f>'4.10_пр-во_КТЭЦ'!F7+'4.10_транзит_КТЭЦ'!F7+'4.10_сбыт_КТЭЦ'!F7</f>
        <v>948511</v>
      </c>
      <c r="G7" s="1000">
        <v>2596638</v>
      </c>
      <c r="H7" s="1006">
        <v>1840737</v>
      </c>
      <c r="I7" s="1000">
        <v>2776825</v>
      </c>
      <c r="J7" s="1000">
        <v>0</v>
      </c>
      <c r="K7" s="1000">
        <v>2836029</v>
      </c>
      <c r="L7" s="1000">
        <v>3096572.95</v>
      </c>
      <c r="M7" s="1000">
        <v>3096572.95</v>
      </c>
      <c r="N7" s="1000">
        <v>3096728.95</v>
      </c>
      <c r="O7" s="1000">
        <v>3173951.15</v>
      </c>
      <c r="P7" s="1000">
        <v>3173951.15</v>
      </c>
      <c r="Q7" s="1000">
        <v>3173979.15</v>
      </c>
    </row>
    <row r="8" spans="1:17" s="36" customFormat="1" ht="15" customHeight="1" outlineLevel="1">
      <c r="A8" s="60"/>
      <c r="B8" s="68" t="s">
        <v>487</v>
      </c>
      <c r="C8" s="13" t="s">
        <v>240</v>
      </c>
      <c r="D8" s="1000"/>
      <c r="E8" s="241">
        <f>'4.10_пр-во_КТЭЦ'!E8+'4.10_транзит_КТЭЦ'!E8+'4.10_сбыт_КТЭЦ'!E8</f>
        <v>813666</v>
      </c>
      <c r="F8" s="983"/>
      <c r="G8" s="241">
        <v>1718757</v>
      </c>
      <c r="H8" s="983">
        <v>0</v>
      </c>
      <c r="I8" s="241">
        <v>1861558</v>
      </c>
      <c r="J8" s="241">
        <v>0</v>
      </c>
      <c r="K8" s="241">
        <v>1880547</v>
      </c>
      <c r="L8" s="241">
        <v>1874449</v>
      </c>
      <c r="M8" s="241">
        <v>1874449</v>
      </c>
      <c r="N8" s="241">
        <v>1874415</v>
      </c>
      <c r="O8" s="241">
        <v>1875228</v>
      </c>
      <c r="P8" s="241">
        <v>1875228</v>
      </c>
      <c r="Q8" s="241">
        <v>1875223</v>
      </c>
    </row>
    <row r="9" spans="1:17" s="36" customFormat="1" ht="15" customHeight="1" outlineLevel="1">
      <c r="A9" s="60"/>
      <c r="B9" s="68" t="s">
        <v>488</v>
      </c>
      <c r="C9" s="13" t="s">
        <v>240</v>
      </c>
      <c r="D9" s="241"/>
      <c r="E9" s="241">
        <f>'4.10_пр-во_КТЭЦ'!E9+'4.10_транзит_КТЭЦ'!E9+'4.10_сбыт_КТЭЦ'!E9</f>
        <v>315179</v>
      </c>
      <c r="F9" s="983"/>
      <c r="G9" s="241">
        <v>362737</v>
      </c>
      <c r="H9" s="983">
        <v>0</v>
      </c>
      <c r="I9" s="241">
        <v>369497</v>
      </c>
      <c r="J9" s="241">
        <v>0</v>
      </c>
      <c r="K9" s="241">
        <v>391183</v>
      </c>
      <c r="L9" s="241">
        <v>622880</v>
      </c>
      <c r="M9" s="241">
        <v>622880</v>
      </c>
      <c r="N9" s="241">
        <v>622874</v>
      </c>
      <c r="O9" s="241">
        <v>645407</v>
      </c>
      <c r="P9" s="241">
        <v>645407</v>
      </c>
      <c r="Q9" s="241">
        <v>645406</v>
      </c>
    </row>
    <row r="10" spans="1:17" s="36" customFormat="1" ht="15" customHeight="1" outlineLevel="1">
      <c r="A10" s="60"/>
      <c r="B10" s="68" t="s">
        <v>489</v>
      </c>
      <c r="C10" s="13" t="s">
        <v>240</v>
      </c>
      <c r="D10" s="241"/>
      <c r="E10" s="241">
        <f>'4.10_пр-во_КТЭЦ'!E10+'4.10_транзит_КТЭЦ'!E10+'4.10_сбыт_КТЭЦ'!E10</f>
        <v>20071</v>
      </c>
      <c r="F10" s="983"/>
      <c r="G10" s="241">
        <v>23139</v>
      </c>
      <c r="H10" s="983">
        <v>0</v>
      </c>
      <c r="I10" s="241">
        <v>23139</v>
      </c>
      <c r="J10" s="241">
        <v>0</v>
      </c>
      <c r="K10" s="241">
        <v>23023</v>
      </c>
      <c r="L10" s="241">
        <v>22902</v>
      </c>
      <c r="M10" s="241">
        <v>22902</v>
      </c>
      <c r="N10" s="241">
        <v>22901</v>
      </c>
      <c r="O10" s="241">
        <v>22697</v>
      </c>
      <c r="P10" s="241">
        <v>22697</v>
      </c>
      <c r="Q10" s="241">
        <v>22697</v>
      </c>
    </row>
    <row r="11" spans="1:17" s="36" customFormat="1" ht="15" customHeight="1" outlineLevel="1">
      <c r="A11" s="60"/>
      <c r="B11" s="68" t="s">
        <v>490</v>
      </c>
      <c r="C11" s="13" t="s">
        <v>240</v>
      </c>
      <c r="D11" s="241"/>
      <c r="E11" s="241">
        <f>'4.10_пр-во_КТЭЦ'!E11+'4.10_транзит_КТЭЦ'!E11+'4.10_сбыт_КТЭЦ'!E11</f>
        <v>402963</v>
      </c>
      <c r="F11" s="983"/>
      <c r="G11" s="241">
        <v>475012</v>
      </c>
      <c r="H11" s="983">
        <v>0</v>
      </c>
      <c r="I11" s="241">
        <v>502906</v>
      </c>
      <c r="J11" s="241">
        <v>0</v>
      </c>
      <c r="K11" s="241">
        <v>520595</v>
      </c>
      <c r="L11" s="241">
        <v>544577</v>
      </c>
      <c r="M11" s="241">
        <v>544577</v>
      </c>
      <c r="N11" s="241">
        <v>544775</v>
      </c>
      <c r="O11" s="241">
        <v>584845.19999999995</v>
      </c>
      <c r="P11" s="241">
        <v>584845.19999999995</v>
      </c>
      <c r="Q11" s="241">
        <v>584879.19999999995</v>
      </c>
    </row>
    <row r="12" spans="1:17" s="36" customFormat="1" ht="15" customHeight="1" outlineLevel="1">
      <c r="A12" s="60"/>
      <c r="B12" s="68" t="s">
        <v>491</v>
      </c>
      <c r="C12" s="13" t="s">
        <v>240</v>
      </c>
      <c r="D12" s="241"/>
      <c r="E12" s="241">
        <f>'4.10_пр-во_КТЭЦ'!E12+'4.10_транзит_КТЭЦ'!E12+'4.10_сбыт_КТЭЦ'!E12</f>
        <v>102181</v>
      </c>
      <c r="F12" s="983"/>
      <c r="G12" s="241">
        <v>117805</v>
      </c>
      <c r="H12" s="983">
        <v>0</v>
      </c>
      <c r="I12" s="241">
        <v>117805</v>
      </c>
      <c r="J12" s="241">
        <v>0</v>
      </c>
      <c r="K12" s="241">
        <v>117219</v>
      </c>
      <c r="L12" s="241">
        <v>116601</v>
      </c>
      <c r="M12" s="241">
        <v>116601</v>
      </c>
      <c r="N12" s="241">
        <v>116598</v>
      </c>
      <c r="O12" s="241">
        <v>147183</v>
      </c>
      <c r="P12" s="241">
        <v>147183</v>
      </c>
      <c r="Q12" s="241">
        <v>147183</v>
      </c>
    </row>
    <row r="13" spans="1:17" s="36" customFormat="1" ht="15" customHeight="1" outlineLevel="1">
      <c r="A13" s="60"/>
      <c r="B13" s="70" t="s">
        <v>492</v>
      </c>
      <c r="C13" s="13" t="s">
        <v>240</v>
      </c>
      <c r="D13" s="241"/>
      <c r="E13" s="241">
        <f>'4.10_пр-во_КТЭЦ'!E13+'4.10_транзит_КТЭЦ'!E13+'4.10_сбыт_КТЭЦ'!E13</f>
        <v>40051</v>
      </c>
      <c r="F13" s="983"/>
      <c r="G13" s="241">
        <v>50472</v>
      </c>
      <c r="H13" s="983">
        <v>0</v>
      </c>
      <c r="I13" s="241">
        <v>60650</v>
      </c>
      <c r="J13" s="241">
        <v>0</v>
      </c>
      <c r="K13" s="241">
        <v>74083</v>
      </c>
      <c r="L13" s="241">
        <v>87393</v>
      </c>
      <c r="M13" s="241">
        <v>87393</v>
      </c>
      <c r="N13" s="241">
        <v>87391</v>
      </c>
      <c r="O13" s="241">
        <v>89484</v>
      </c>
      <c r="P13" s="241">
        <v>89484</v>
      </c>
      <c r="Q13" s="241">
        <v>89483</v>
      </c>
    </row>
    <row r="14" spans="1:17" s="36" customFormat="1" ht="15" customHeight="1" outlineLevel="1">
      <c r="A14" s="60"/>
      <c r="B14" s="70" t="s">
        <v>493</v>
      </c>
      <c r="C14" s="13" t="s">
        <v>240</v>
      </c>
      <c r="D14" s="241"/>
      <c r="E14" s="241">
        <f>'4.10_пр-во_КТЭЦ'!E14+'4.10_транзит_КТЭЦ'!E14+'4.10_сбыт_КТЭЦ'!E14</f>
        <v>4944</v>
      </c>
      <c r="F14" s="983"/>
      <c r="G14" s="241">
        <v>5936</v>
      </c>
      <c r="H14" s="983">
        <v>0</v>
      </c>
      <c r="I14" s="241">
        <v>6365</v>
      </c>
      <c r="J14" s="241">
        <v>0</v>
      </c>
      <c r="K14" s="241">
        <v>6575</v>
      </c>
      <c r="L14" s="241">
        <v>16722</v>
      </c>
      <c r="M14" s="241">
        <v>16722</v>
      </c>
      <c r="N14" s="241">
        <v>16932</v>
      </c>
      <c r="O14" s="241">
        <v>25200.2</v>
      </c>
      <c r="P14" s="241">
        <v>25200.2</v>
      </c>
      <c r="Q14" s="241">
        <v>25236.2</v>
      </c>
    </row>
    <row r="15" spans="1:17" s="36" customFormat="1" ht="15" customHeight="1" outlineLevel="1">
      <c r="A15" s="60"/>
      <c r="B15" s="70" t="s">
        <v>494</v>
      </c>
      <c r="C15" s="13" t="s">
        <v>240</v>
      </c>
      <c r="D15" s="241"/>
      <c r="E15" s="241">
        <f>'4.10_пр-во_КТЭЦ'!E15+'4.10_транзит_КТЭЦ'!E15+'4.10_сбыт_КТЭЦ'!E15</f>
        <v>1388</v>
      </c>
      <c r="F15" s="983"/>
      <c r="G15" s="241">
        <v>1708</v>
      </c>
      <c r="H15" s="983">
        <v>0</v>
      </c>
      <c r="I15" s="241">
        <v>17856</v>
      </c>
      <c r="J15" s="241">
        <v>0</v>
      </c>
      <c r="K15" s="241">
        <v>23710</v>
      </c>
      <c r="L15" s="241">
        <v>23694</v>
      </c>
      <c r="M15" s="241">
        <v>23694</v>
      </c>
      <c r="N15" s="241">
        <v>23694</v>
      </c>
      <c r="O15" s="241">
        <v>25432</v>
      </c>
      <c r="P15" s="241">
        <v>25432</v>
      </c>
      <c r="Q15" s="241">
        <v>25432</v>
      </c>
    </row>
    <row r="16" spans="1:17" s="36" customFormat="1" ht="15" customHeight="1" outlineLevel="1">
      <c r="A16" s="60"/>
      <c r="B16" s="70" t="s">
        <v>495</v>
      </c>
      <c r="C16" s="13" t="s">
        <v>240</v>
      </c>
      <c r="D16" s="241"/>
      <c r="E16" s="241">
        <f>'4.10_пр-во_КТЭЦ'!E16+'4.10_транзит_КТЭЦ'!E16+'4.10_сбыт_КТЭЦ'!E16</f>
        <v>254399</v>
      </c>
      <c r="F16" s="983"/>
      <c r="G16" s="241">
        <v>299091</v>
      </c>
      <c r="H16" s="983">
        <v>0</v>
      </c>
      <c r="I16" s="241">
        <v>300230</v>
      </c>
      <c r="J16" s="241">
        <v>0</v>
      </c>
      <c r="K16" s="241">
        <v>299008</v>
      </c>
      <c r="L16" s="241">
        <v>300167</v>
      </c>
      <c r="M16" s="241">
        <v>300167</v>
      </c>
      <c r="N16" s="241">
        <v>300160</v>
      </c>
      <c r="O16" s="241">
        <v>297546</v>
      </c>
      <c r="P16" s="241">
        <v>297546</v>
      </c>
      <c r="Q16" s="241">
        <v>297545</v>
      </c>
    </row>
    <row r="17" spans="1:17" s="36" customFormat="1" ht="15" customHeight="1" outlineLevel="1">
      <c r="A17" s="60"/>
      <c r="B17" s="70" t="s">
        <v>496</v>
      </c>
      <c r="C17" s="13" t="s">
        <v>240</v>
      </c>
      <c r="D17" s="241"/>
      <c r="E17" s="241">
        <f>'4.10_пр-во_КТЭЦ'!E17+'4.10_транзит_КТЭЦ'!E17+'4.10_сбыт_КТЭЦ'!E17</f>
        <v>7066</v>
      </c>
      <c r="F17" s="983"/>
      <c r="G17" s="241">
        <v>7340</v>
      </c>
      <c r="H17" s="983">
        <v>0</v>
      </c>
      <c r="I17" s="241">
        <v>6357</v>
      </c>
      <c r="J17" s="241">
        <v>0</v>
      </c>
      <c r="K17" s="241">
        <v>6955</v>
      </c>
      <c r="L17" s="241">
        <v>14735</v>
      </c>
      <c r="M17" s="241">
        <v>14735</v>
      </c>
      <c r="N17" s="241">
        <v>14734</v>
      </c>
      <c r="O17" s="241">
        <v>24665.47</v>
      </c>
      <c r="P17" s="241">
        <v>24665.47</v>
      </c>
      <c r="Q17" s="241">
        <v>24665.47</v>
      </c>
    </row>
    <row r="18" spans="1:17" s="36" customFormat="1" ht="15" customHeight="1" outlineLevel="1">
      <c r="A18" s="60"/>
      <c r="B18" s="70" t="s">
        <v>497</v>
      </c>
      <c r="C18" s="13" t="s">
        <v>240</v>
      </c>
      <c r="D18" s="241"/>
      <c r="E18" s="241">
        <f>'4.10_пр-во_КТЭЦ'!E18+'4.10_транзит_КТЭЦ'!E18+'4.10_сбыт_КТЭЦ'!E18</f>
        <v>22</v>
      </c>
      <c r="F18" s="983"/>
      <c r="G18" s="241">
        <v>28</v>
      </c>
      <c r="H18" s="983">
        <v>0</v>
      </c>
      <c r="I18" s="241">
        <v>144</v>
      </c>
      <c r="J18" s="241">
        <v>0</v>
      </c>
      <c r="K18" s="241">
        <v>256</v>
      </c>
      <c r="L18" s="241">
        <v>254</v>
      </c>
      <c r="M18" s="241">
        <v>254</v>
      </c>
      <c r="N18" s="241">
        <v>254</v>
      </c>
      <c r="O18" s="241">
        <v>253</v>
      </c>
      <c r="P18" s="241">
        <v>253</v>
      </c>
      <c r="Q18" s="241">
        <v>253</v>
      </c>
    </row>
    <row r="19" spans="1:17" s="36" customFormat="1" ht="15" customHeight="1" outlineLevel="1">
      <c r="A19" s="60"/>
      <c r="B19" s="68" t="s">
        <v>498</v>
      </c>
      <c r="C19" s="13" t="s">
        <v>240</v>
      </c>
      <c r="D19" s="241"/>
      <c r="E19" s="241">
        <f>'4.10_пр-во_КТЭЦ'!E19+'4.10_транзит_КТЭЦ'!E19+'4.10_сбыт_КТЭЦ'!E19</f>
        <v>964</v>
      </c>
      <c r="F19" s="983"/>
      <c r="G19" s="241">
        <v>1289</v>
      </c>
      <c r="H19" s="983">
        <v>0</v>
      </c>
      <c r="I19" s="241">
        <v>4214</v>
      </c>
      <c r="J19" s="241">
        <v>0</v>
      </c>
      <c r="K19" s="241">
        <v>4393</v>
      </c>
      <c r="L19" s="241">
        <v>4383</v>
      </c>
      <c r="M19" s="241">
        <v>4383</v>
      </c>
      <c r="N19" s="241">
        <v>4383</v>
      </c>
      <c r="O19" s="241">
        <v>4369</v>
      </c>
      <c r="P19" s="241">
        <v>4369</v>
      </c>
      <c r="Q19" s="241">
        <v>4369</v>
      </c>
    </row>
    <row r="20" spans="1:17" s="36" customFormat="1" ht="15" customHeight="1" outlineLevel="1">
      <c r="A20" s="60"/>
      <c r="B20" s="68" t="s">
        <v>499</v>
      </c>
      <c r="C20" s="13" t="s">
        <v>240</v>
      </c>
      <c r="D20" s="241"/>
      <c r="E20" s="241">
        <f>'4.10_пр-во_КТЭЦ'!E20+'4.10_транзит_КТЭЦ'!E20+'4.10_сбыт_КТЭЦ'!E20</f>
        <v>6812</v>
      </c>
      <c r="F20" s="983"/>
      <c r="G20" s="241">
        <v>8336</v>
      </c>
      <c r="H20" s="983">
        <v>0</v>
      </c>
      <c r="I20" s="241">
        <v>9010</v>
      </c>
      <c r="J20" s="241">
        <v>0</v>
      </c>
      <c r="K20" s="241">
        <v>9077</v>
      </c>
      <c r="L20" s="241">
        <v>12392.95</v>
      </c>
      <c r="M20" s="241">
        <v>12392.95</v>
      </c>
      <c r="N20" s="241">
        <v>12392.95</v>
      </c>
      <c r="O20" s="241">
        <v>16486.48</v>
      </c>
      <c r="P20" s="241">
        <v>16486.48</v>
      </c>
      <c r="Q20" s="241">
        <v>16486.48</v>
      </c>
    </row>
    <row r="21" spans="1:17" s="36" customFormat="1">
      <c r="A21" s="60"/>
      <c r="B21" s="68"/>
      <c r="C21" s="13"/>
      <c r="D21" s="241"/>
      <c r="E21" s="241"/>
      <c r="F21" s="983"/>
      <c r="G21" s="241"/>
      <c r="H21" s="983"/>
      <c r="I21" s="241"/>
      <c r="J21" s="241"/>
      <c r="K21" s="241"/>
      <c r="L21" s="241"/>
      <c r="M21" s="241"/>
      <c r="N21" s="241"/>
      <c r="O21" s="241"/>
      <c r="P21" s="241"/>
      <c r="Q21" s="241"/>
    </row>
    <row r="22" spans="1:17" s="1001" customFormat="1" ht="60" customHeight="1">
      <c r="A22" s="82" t="s">
        <v>23</v>
      </c>
      <c r="B22" s="80" t="s">
        <v>500</v>
      </c>
      <c r="C22" s="1002" t="s">
        <v>240</v>
      </c>
      <c r="D22" s="1000">
        <f>'4.10_пр-во_КТЭЦ'!D22+'4.10_транзит_КТЭЦ'!D22+'4.10_сбыт_КТЭЦ'!D22</f>
        <v>0</v>
      </c>
      <c r="E22" s="1000">
        <f>'4.10_пр-во_КТЭЦ'!E22+'4.10_транзит_КТЭЦ'!E22+'4.10_сбыт_КТЭЦ'!E22</f>
        <v>724223</v>
      </c>
      <c r="F22" s="1006">
        <f>'4.10_пр-во_КТЭЦ'!F22+'4.10_транзит_КТЭЦ'!F22+'4.10_сбыт_КТЭЦ'!F22</f>
        <v>0</v>
      </c>
      <c r="G22" s="1000">
        <v>0</v>
      </c>
      <c r="H22" s="1006">
        <v>0</v>
      </c>
      <c r="I22" s="1000">
        <v>0</v>
      </c>
      <c r="J22" s="1000">
        <v>0</v>
      </c>
      <c r="K22" s="1000">
        <v>0</v>
      </c>
      <c r="L22" s="1000">
        <v>0</v>
      </c>
      <c r="M22" s="1000">
        <v>0</v>
      </c>
      <c r="N22" s="1000">
        <v>0</v>
      </c>
      <c r="O22" s="1000">
        <v>0</v>
      </c>
      <c r="P22" s="1000">
        <v>0</v>
      </c>
      <c r="Q22" s="1000">
        <v>0</v>
      </c>
    </row>
    <row r="23" spans="1:17" s="36" customFormat="1" ht="15" customHeight="1" outlineLevel="1">
      <c r="A23" s="60"/>
      <c r="B23" s="68" t="s">
        <v>487</v>
      </c>
      <c r="C23" s="13" t="s">
        <v>240</v>
      </c>
      <c r="D23" s="241"/>
      <c r="E23" s="241">
        <f>'4.10_пр-во_КТЭЦ'!E23+'4.10_транзит_КТЭЦ'!E23+'4.10_сбыт_КТЭЦ'!E23</f>
        <v>724223</v>
      </c>
      <c r="F23" s="983"/>
      <c r="G23" s="241">
        <v>0</v>
      </c>
      <c r="H23" s="983">
        <v>0</v>
      </c>
      <c r="I23" s="241">
        <v>0</v>
      </c>
      <c r="J23" s="241">
        <v>0</v>
      </c>
      <c r="K23" s="241">
        <v>0</v>
      </c>
      <c r="L23" s="241">
        <v>0</v>
      </c>
      <c r="M23" s="241">
        <v>0</v>
      </c>
      <c r="N23" s="241">
        <v>0</v>
      </c>
      <c r="O23" s="241">
        <v>0</v>
      </c>
      <c r="P23" s="241">
        <v>0</v>
      </c>
      <c r="Q23" s="241">
        <v>0</v>
      </c>
    </row>
    <row r="24" spans="1:17" s="36" customFormat="1" ht="15" customHeight="1" outlineLevel="1">
      <c r="A24" s="60"/>
      <c r="B24" s="68" t="s">
        <v>488</v>
      </c>
      <c r="C24" s="13" t="s">
        <v>240</v>
      </c>
      <c r="D24" s="241"/>
      <c r="E24" s="241">
        <f>'4.10_пр-во_КТЭЦ'!E24+'4.10_транзит_КТЭЦ'!E24+'4.10_сбыт_КТЭЦ'!E24</f>
        <v>0</v>
      </c>
      <c r="F24" s="983"/>
      <c r="G24" s="241">
        <v>0</v>
      </c>
      <c r="H24" s="983">
        <v>0</v>
      </c>
      <c r="I24" s="241">
        <v>0</v>
      </c>
      <c r="J24" s="241">
        <v>0</v>
      </c>
      <c r="K24" s="241">
        <v>0</v>
      </c>
      <c r="L24" s="241">
        <v>0</v>
      </c>
      <c r="M24" s="241">
        <v>0</v>
      </c>
      <c r="N24" s="241">
        <v>0</v>
      </c>
      <c r="O24" s="241">
        <v>0</v>
      </c>
      <c r="P24" s="241">
        <v>0</v>
      </c>
      <c r="Q24" s="241">
        <v>0</v>
      </c>
    </row>
    <row r="25" spans="1:17" s="36" customFormat="1" ht="15" customHeight="1" outlineLevel="1">
      <c r="A25" s="60"/>
      <c r="B25" s="68" t="s">
        <v>489</v>
      </c>
      <c r="C25" s="13" t="s">
        <v>240</v>
      </c>
      <c r="D25" s="241"/>
      <c r="E25" s="241">
        <f>'4.10_пр-во_КТЭЦ'!E25+'4.10_транзит_КТЭЦ'!E25+'4.10_сбыт_КТЭЦ'!E25</f>
        <v>0</v>
      </c>
      <c r="F25" s="983"/>
      <c r="G25" s="241">
        <v>0</v>
      </c>
      <c r="H25" s="983">
        <v>0</v>
      </c>
      <c r="I25" s="241">
        <v>0</v>
      </c>
      <c r="J25" s="241">
        <v>0</v>
      </c>
      <c r="K25" s="241">
        <v>0</v>
      </c>
      <c r="L25" s="241">
        <v>0</v>
      </c>
      <c r="M25" s="241">
        <v>0</v>
      </c>
      <c r="N25" s="241">
        <v>0</v>
      </c>
      <c r="O25" s="241">
        <v>0</v>
      </c>
      <c r="P25" s="241">
        <v>0</v>
      </c>
      <c r="Q25" s="241">
        <v>0</v>
      </c>
    </row>
    <row r="26" spans="1:17" s="36" customFormat="1" ht="15" customHeight="1" outlineLevel="1">
      <c r="A26" s="60"/>
      <c r="B26" s="68" t="s">
        <v>490</v>
      </c>
      <c r="C26" s="13" t="s">
        <v>240</v>
      </c>
      <c r="D26" s="241"/>
      <c r="E26" s="241">
        <f>'4.10_пр-во_КТЭЦ'!E26+'4.10_транзит_КТЭЦ'!E26+'4.10_сбыт_КТЭЦ'!E26</f>
        <v>0</v>
      </c>
      <c r="F26" s="983"/>
      <c r="G26" s="241">
        <v>0</v>
      </c>
      <c r="H26" s="983">
        <v>0</v>
      </c>
      <c r="I26" s="241">
        <v>0</v>
      </c>
      <c r="J26" s="241">
        <v>0</v>
      </c>
      <c r="K26" s="241">
        <v>0</v>
      </c>
      <c r="L26" s="241">
        <v>0</v>
      </c>
      <c r="M26" s="241">
        <v>0</v>
      </c>
      <c r="N26" s="241">
        <v>0</v>
      </c>
      <c r="O26" s="241">
        <v>0</v>
      </c>
      <c r="P26" s="241">
        <v>0</v>
      </c>
      <c r="Q26" s="241">
        <v>0</v>
      </c>
    </row>
    <row r="27" spans="1:17" s="36" customFormat="1" ht="15" customHeight="1" outlineLevel="1">
      <c r="A27" s="60"/>
      <c r="B27" s="68" t="s">
        <v>491</v>
      </c>
      <c r="C27" s="13" t="s">
        <v>240</v>
      </c>
      <c r="D27" s="241"/>
      <c r="E27" s="241">
        <f>'4.10_пр-во_КТЭЦ'!E27+'4.10_транзит_КТЭЦ'!E27+'4.10_сбыт_КТЭЦ'!E27</f>
        <v>0</v>
      </c>
      <c r="F27" s="983"/>
      <c r="G27" s="241">
        <v>0</v>
      </c>
      <c r="H27" s="983">
        <v>0</v>
      </c>
      <c r="I27" s="241">
        <v>0</v>
      </c>
      <c r="J27" s="241">
        <v>0</v>
      </c>
      <c r="K27" s="241">
        <v>0</v>
      </c>
      <c r="L27" s="241">
        <v>0</v>
      </c>
      <c r="M27" s="241">
        <v>0</v>
      </c>
      <c r="N27" s="241">
        <v>0</v>
      </c>
      <c r="O27" s="241">
        <v>0</v>
      </c>
      <c r="P27" s="241">
        <v>0</v>
      </c>
      <c r="Q27" s="241">
        <v>0</v>
      </c>
    </row>
    <row r="28" spans="1:17" s="36" customFormat="1" ht="15" customHeight="1" outlineLevel="1">
      <c r="A28" s="60"/>
      <c r="B28" s="70" t="s">
        <v>492</v>
      </c>
      <c r="C28" s="13" t="s">
        <v>240</v>
      </c>
      <c r="D28" s="241"/>
      <c r="E28" s="241">
        <f>'4.10_пр-во_КТЭЦ'!E28+'4.10_транзит_КТЭЦ'!E28+'4.10_сбыт_КТЭЦ'!E28</f>
        <v>0</v>
      </c>
      <c r="F28" s="983"/>
      <c r="G28" s="241">
        <v>0</v>
      </c>
      <c r="H28" s="983">
        <v>0</v>
      </c>
      <c r="I28" s="241">
        <v>0</v>
      </c>
      <c r="J28" s="241">
        <v>0</v>
      </c>
      <c r="K28" s="241">
        <v>0</v>
      </c>
      <c r="L28" s="241">
        <v>0</v>
      </c>
      <c r="M28" s="241">
        <v>0</v>
      </c>
      <c r="N28" s="241">
        <v>0</v>
      </c>
      <c r="O28" s="241">
        <v>0</v>
      </c>
      <c r="P28" s="241">
        <v>0</v>
      </c>
      <c r="Q28" s="241">
        <v>0</v>
      </c>
    </row>
    <row r="29" spans="1:17" s="36" customFormat="1" ht="15" customHeight="1" outlineLevel="1">
      <c r="A29" s="60"/>
      <c r="B29" s="70" t="s">
        <v>493</v>
      </c>
      <c r="C29" s="13" t="s">
        <v>240</v>
      </c>
      <c r="D29" s="241"/>
      <c r="E29" s="241">
        <f>'4.10_пр-во_КТЭЦ'!E29+'4.10_транзит_КТЭЦ'!E29+'4.10_сбыт_КТЭЦ'!E29</f>
        <v>0</v>
      </c>
      <c r="F29" s="983"/>
      <c r="G29" s="241">
        <v>0</v>
      </c>
      <c r="H29" s="983">
        <v>0</v>
      </c>
      <c r="I29" s="241">
        <v>0</v>
      </c>
      <c r="J29" s="241">
        <v>0</v>
      </c>
      <c r="K29" s="241">
        <v>0</v>
      </c>
      <c r="L29" s="241">
        <v>0</v>
      </c>
      <c r="M29" s="241">
        <v>0</v>
      </c>
      <c r="N29" s="241">
        <v>0</v>
      </c>
      <c r="O29" s="241">
        <v>0</v>
      </c>
      <c r="P29" s="241">
        <v>0</v>
      </c>
      <c r="Q29" s="241">
        <v>0</v>
      </c>
    </row>
    <row r="30" spans="1:17" s="36" customFormat="1" ht="15" customHeight="1" outlineLevel="1">
      <c r="A30" s="60"/>
      <c r="B30" s="70" t="s">
        <v>494</v>
      </c>
      <c r="C30" s="13" t="s">
        <v>240</v>
      </c>
      <c r="D30" s="241"/>
      <c r="E30" s="241">
        <f>'4.10_пр-во_КТЭЦ'!E30+'4.10_транзит_КТЭЦ'!E30+'4.10_сбыт_КТЭЦ'!E30</f>
        <v>0</v>
      </c>
      <c r="F30" s="983"/>
      <c r="G30" s="241">
        <v>0</v>
      </c>
      <c r="H30" s="983">
        <v>0</v>
      </c>
      <c r="I30" s="241">
        <v>0</v>
      </c>
      <c r="J30" s="241">
        <v>0</v>
      </c>
      <c r="K30" s="241">
        <v>0</v>
      </c>
      <c r="L30" s="241">
        <v>0</v>
      </c>
      <c r="M30" s="241">
        <v>0</v>
      </c>
      <c r="N30" s="241">
        <v>0</v>
      </c>
      <c r="O30" s="241">
        <v>0</v>
      </c>
      <c r="P30" s="241">
        <v>0</v>
      </c>
      <c r="Q30" s="241">
        <v>0</v>
      </c>
    </row>
    <row r="31" spans="1:17" s="36" customFormat="1" ht="15" customHeight="1" outlineLevel="1">
      <c r="A31" s="60"/>
      <c r="B31" s="70" t="s">
        <v>495</v>
      </c>
      <c r="C31" s="13" t="s">
        <v>240</v>
      </c>
      <c r="D31" s="241"/>
      <c r="E31" s="241">
        <f>'4.10_пр-во_КТЭЦ'!E31+'4.10_транзит_КТЭЦ'!E31+'4.10_сбыт_КТЭЦ'!E31</f>
        <v>0</v>
      </c>
      <c r="F31" s="983"/>
      <c r="G31" s="241">
        <v>0</v>
      </c>
      <c r="H31" s="983">
        <v>0</v>
      </c>
      <c r="I31" s="241">
        <v>0</v>
      </c>
      <c r="J31" s="241">
        <v>0</v>
      </c>
      <c r="K31" s="241">
        <v>0</v>
      </c>
      <c r="L31" s="241">
        <v>0</v>
      </c>
      <c r="M31" s="241">
        <v>0</v>
      </c>
      <c r="N31" s="241">
        <v>0</v>
      </c>
      <c r="O31" s="241">
        <v>0</v>
      </c>
      <c r="P31" s="241">
        <v>0</v>
      </c>
      <c r="Q31" s="241">
        <v>0</v>
      </c>
    </row>
    <row r="32" spans="1:17" s="36" customFormat="1" ht="15" customHeight="1" outlineLevel="1">
      <c r="A32" s="60"/>
      <c r="B32" s="70" t="s">
        <v>496</v>
      </c>
      <c r="C32" s="13" t="s">
        <v>240</v>
      </c>
      <c r="D32" s="241"/>
      <c r="E32" s="241">
        <f>'4.10_пр-во_КТЭЦ'!E32+'4.10_транзит_КТЭЦ'!E32+'4.10_сбыт_КТЭЦ'!E32</f>
        <v>0</v>
      </c>
      <c r="F32" s="983"/>
      <c r="G32" s="241">
        <v>0</v>
      </c>
      <c r="H32" s="983">
        <v>0</v>
      </c>
      <c r="I32" s="241">
        <v>0</v>
      </c>
      <c r="J32" s="241">
        <v>0</v>
      </c>
      <c r="K32" s="241">
        <v>0</v>
      </c>
      <c r="L32" s="241">
        <v>0</v>
      </c>
      <c r="M32" s="241">
        <v>0</v>
      </c>
      <c r="N32" s="241">
        <v>0</v>
      </c>
      <c r="O32" s="241">
        <v>0</v>
      </c>
      <c r="P32" s="241">
        <v>0</v>
      </c>
      <c r="Q32" s="241">
        <v>0</v>
      </c>
    </row>
    <row r="33" spans="1:17" s="36" customFormat="1" ht="15" customHeight="1" outlineLevel="1">
      <c r="A33" s="60"/>
      <c r="B33" s="70" t="s">
        <v>497</v>
      </c>
      <c r="C33" s="13" t="s">
        <v>240</v>
      </c>
      <c r="D33" s="241"/>
      <c r="E33" s="241">
        <f>'4.10_пр-во_КТЭЦ'!E33+'4.10_транзит_КТЭЦ'!E33+'4.10_сбыт_КТЭЦ'!E33</f>
        <v>0</v>
      </c>
      <c r="F33" s="983"/>
      <c r="G33" s="241">
        <v>0</v>
      </c>
      <c r="H33" s="983">
        <v>0</v>
      </c>
      <c r="I33" s="241">
        <v>0</v>
      </c>
      <c r="J33" s="241">
        <v>0</v>
      </c>
      <c r="K33" s="241">
        <v>0</v>
      </c>
      <c r="L33" s="241">
        <v>0</v>
      </c>
      <c r="M33" s="241">
        <v>0</v>
      </c>
      <c r="N33" s="241">
        <v>0</v>
      </c>
      <c r="O33" s="241">
        <v>0</v>
      </c>
      <c r="P33" s="241">
        <v>0</v>
      </c>
      <c r="Q33" s="241">
        <v>0</v>
      </c>
    </row>
    <row r="34" spans="1:17" s="36" customFormat="1" ht="15" customHeight="1" outlineLevel="1">
      <c r="A34" s="60"/>
      <c r="B34" s="68" t="s">
        <v>498</v>
      </c>
      <c r="C34" s="13" t="s">
        <v>240</v>
      </c>
      <c r="D34" s="241"/>
      <c r="E34" s="241">
        <f>'4.10_пр-во_КТЭЦ'!E34+'4.10_транзит_КТЭЦ'!E34+'4.10_сбыт_КТЭЦ'!E34</f>
        <v>0</v>
      </c>
      <c r="F34" s="983"/>
      <c r="G34" s="241">
        <v>0</v>
      </c>
      <c r="H34" s="983">
        <v>0</v>
      </c>
      <c r="I34" s="241">
        <v>0</v>
      </c>
      <c r="J34" s="241">
        <v>0</v>
      </c>
      <c r="K34" s="241">
        <v>0</v>
      </c>
      <c r="L34" s="241">
        <v>0</v>
      </c>
      <c r="M34" s="241">
        <v>0</v>
      </c>
      <c r="N34" s="241">
        <v>0</v>
      </c>
      <c r="O34" s="241">
        <v>0</v>
      </c>
      <c r="P34" s="241">
        <v>0</v>
      </c>
      <c r="Q34" s="241">
        <v>0</v>
      </c>
    </row>
    <row r="35" spans="1:17" s="36" customFormat="1" ht="15" customHeight="1" outlineLevel="1">
      <c r="A35" s="60"/>
      <c r="B35" s="68" t="s">
        <v>499</v>
      </c>
      <c r="C35" s="13" t="s">
        <v>240</v>
      </c>
      <c r="D35" s="241"/>
      <c r="E35" s="241">
        <f>'4.10_пр-во_КТЭЦ'!E35+'4.10_транзит_КТЭЦ'!E35+'4.10_сбыт_КТЭЦ'!E35</f>
        <v>0</v>
      </c>
      <c r="F35" s="983"/>
      <c r="G35" s="241">
        <v>0</v>
      </c>
      <c r="H35" s="983">
        <v>0</v>
      </c>
      <c r="I35" s="241">
        <v>0</v>
      </c>
      <c r="J35" s="241">
        <v>0</v>
      </c>
      <c r="K35" s="241">
        <v>0</v>
      </c>
      <c r="L35" s="241">
        <v>0</v>
      </c>
      <c r="M35" s="241">
        <v>0</v>
      </c>
      <c r="N35" s="241">
        <v>0</v>
      </c>
      <c r="O35" s="241">
        <v>0</v>
      </c>
      <c r="P35" s="241">
        <v>0</v>
      </c>
      <c r="Q35" s="241">
        <v>0</v>
      </c>
    </row>
    <row r="36" spans="1:17" s="36" customFormat="1">
      <c r="A36" s="60"/>
      <c r="B36" s="68"/>
      <c r="C36" s="13"/>
      <c r="D36" s="241"/>
      <c r="E36" s="241"/>
      <c r="F36" s="983"/>
      <c r="G36" s="241"/>
      <c r="H36" s="983"/>
      <c r="I36" s="241"/>
      <c r="J36" s="241"/>
      <c r="K36" s="241"/>
      <c r="L36" s="241"/>
      <c r="M36" s="241"/>
      <c r="N36" s="241"/>
      <c r="O36" s="241"/>
      <c r="P36" s="241"/>
      <c r="Q36" s="241"/>
    </row>
    <row r="37" spans="1:17" s="1001" customFormat="1" ht="15" customHeight="1">
      <c r="A37" s="82" t="s">
        <v>27</v>
      </c>
      <c r="B37" s="80" t="s">
        <v>501</v>
      </c>
      <c r="C37" s="999" t="s">
        <v>240</v>
      </c>
      <c r="D37" s="1000">
        <f>'4.10_пр-во_КТЭЦ'!D37+'4.10_транзит_КТЭЦ'!D37+'4.10_сбыт_КТЭЦ'!D37</f>
        <v>51919</v>
      </c>
      <c r="E37" s="1000">
        <f>'4.10_пр-во_КТЭЦ'!E37+'4.10_транзит_КТЭЦ'!E37+'4.10_сбыт_КТЭЦ'!E37</f>
        <v>26493</v>
      </c>
      <c r="F37" s="1006">
        <f>'4.10_пр-во_КТЭЦ'!F37+'4.10_транзит_КТЭЦ'!F37+'4.10_сбыт_КТЭЦ'!F37</f>
        <v>0</v>
      </c>
      <c r="G37" s="1000">
        <v>46830</v>
      </c>
      <c r="H37" s="1006">
        <v>27660.169491525423</v>
      </c>
      <c r="I37" s="1000">
        <v>59761</v>
      </c>
      <c r="J37" s="1000">
        <v>0</v>
      </c>
      <c r="K37" s="1000">
        <v>260543.95</v>
      </c>
      <c r="L37" s="1000">
        <v>77376.2</v>
      </c>
      <c r="M37" s="1000">
        <v>156</v>
      </c>
      <c r="N37" s="1000">
        <v>77220.2</v>
      </c>
      <c r="O37" s="1000">
        <v>214938.7</v>
      </c>
      <c r="P37" s="1000">
        <v>28</v>
      </c>
      <c r="Q37" s="1000">
        <v>214910.7</v>
      </c>
    </row>
    <row r="38" spans="1:17" s="36" customFormat="1" ht="15" customHeight="1" outlineLevel="1">
      <c r="A38" s="60"/>
      <c r="B38" s="68" t="s">
        <v>487</v>
      </c>
      <c r="C38" s="13" t="s">
        <v>240</v>
      </c>
      <c r="D38" s="241"/>
      <c r="E38" s="241">
        <f>'4.10_пр-во_КТЭЦ'!E38+'4.10_транзит_КТЭЦ'!E38+'4.10_сбыт_КТЭЦ'!E38</f>
        <v>0</v>
      </c>
      <c r="F38" s="983"/>
      <c r="G38" s="241">
        <v>32205</v>
      </c>
      <c r="H38" s="983">
        <v>0</v>
      </c>
      <c r="I38" s="241">
        <v>19451</v>
      </c>
      <c r="J38" s="241">
        <v>0</v>
      </c>
      <c r="K38" s="241">
        <v>924</v>
      </c>
      <c r="L38" s="241">
        <v>9037</v>
      </c>
      <c r="M38" s="241">
        <v>0</v>
      </c>
      <c r="N38" s="241">
        <v>9037</v>
      </c>
      <c r="O38" s="241">
        <v>1428</v>
      </c>
      <c r="P38" s="241">
        <v>0</v>
      </c>
      <c r="Q38" s="241">
        <v>1428</v>
      </c>
    </row>
    <row r="39" spans="1:17" s="36" customFormat="1" ht="15" customHeight="1" outlineLevel="1">
      <c r="A39" s="60"/>
      <c r="B39" s="68" t="s">
        <v>488</v>
      </c>
      <c r="C39" s="13" t="s">
        <v>240</v>
      </c>
      <c r="D39" s="241"/>
      <c r="E39" s="241">
        <f>'4.10_пр-во_КТЭЦ'!E39+'4.10_транзит_КТЭЦ'!E39+'4.10_сбыт_КТЭЦ'!E39</f>
        <v>17120</v>
      </c>
      <c r="F39" s="983"/>
      <c r="G39" s="241">
        <v>6760</v>
      </c>
      <c r="H39" s="983">
        <v>0</v>
      </c>
      <c r="I39" s="241">
        <v>20623</v>
      </c>
      <c r="J39" s="241">
        <v>0</v>
      </c>
      <c r="K39" s="241">
        <v>230811</v>
      </c>
      <c r="L39" s="241">
        <v>23460</v>
      </c>
      <c r="M39" s="241">
        <v>0</v>
      </c>
      <c r="N39" s="241">
        <v>23460</v>
      </c>
      <c r="O39" s="241">
        <v>147329</v>
      </c>
      <c r="P39" s="241">
        <v>0</v>
      </c>
      <c r="Q39" s="241">
        <v>147329</v>
      </c>
    </row>
    <row r="40" spans="1:17" s="36" customFormat="1" ht="15" customHeight="1" outlineLevel="1">
      <c r="A40" s="60"/>
      <c r="B40" s="68" t="s">
        <v>489</v>
      </c>
      <c r="C40" s="13" t="s">
        <v>240</v>
      </c>
      <c r="D40" s="241"/>
      <c r="E40" s="241">
        <f>'4.10_пр-во_КТЭЦ'!E40+'4.10_транзит_КТЭЦ'!E40+'4.10_сбыт_КТЭЦ'!E40</f>
        <v>0</v>
      </c>
      <c r="F40" s="983"/>
      <c r="G40" s="241">
        <v>0</v>
      </c>
      <c r="H40" s="983">
        <v>0</v>
      </c>
      <c r="I40" s="241">
        <v>0</v>
      </c>
      <c r="J40" s="241">
        <v>0</v>
      </c>
      <c r="K40" s="241">
        <v>0</v>
      </c>
      <c r="L40" s="241">
        <v>0</v>
      </c>
      <c r="M40" s="241">
        <v>0</v>
      </c>
      <c r="N40" s="241">
        <v>0</v>
      </c>
      <c r="O40" s="241">
        <v>0</v>
      </c>
      <c r="P40" s="241">
        <v>0</v>
      </c>
      <c r="Q40" s="241">
        <v>0</v>
      </c>
    </row>
    <row r="41" spans="1:17" s="36" customFormat="1" ht="15" customHeight="1" outlineLevel="1">
      <c r="A41" s="60"/>
      <c r="B41" s="68" t="s">
        <v>490</v>
      </c>
      <c r="C41" s="13" t="s">
        <v>240</v>
      </c>
      <c r="D41" s="241"/>
      <c r="E41" s="241">
        <f>'4.10_пр-во_КТЭЦ'!E41+'4.10_транзит_КТЭЦ'!E41+'4.10_сбыт_КТЭЦ'!E41</f>
        <v>8615</v>
      </c>
      <c r="F41" s="983"/>
      <c r="G41" s="241">
        <v>6874</v>
      </c>
      <c r="H41" s="983">
        <v>0</v>
      </c>
      <c r="I41" s="241">
        <v>18794</v>
      </c>
      <c r="J41" s="241">
        <v>0</v>
      </c>
      <c r="K41" s="241">
        <v>17741</v>
      </c>
      <c r="L41" s="241">
        <v>30767.200000000001</v>
      </c>
      <c r="M41" s="241">
        <v>156</v>
      </c>
      <c r="N41" s="241">
        <v>30611.200000000001</v>
      </c>
      <c r="O41" s="241">
        <v>51934.46</v>
      </c>
      <c r="P41" s="241">
        <v>28</v>
      </c>
      <c r="Q41" s="241">
        <v>51906.46</v>
      </c>
    </row>
    <row r="42" spans="1:17" s="36" customFormat="1" ht="15" customHeight="1" outlineLevel="1">
      <c r="A42" s="60"/>
      <c r="B42" s="68" t="s">
        <v>491</v>
      </c>
      <c r="C42" s="13" t="s">
        <v>240</v>
      </c>
      <c r="D42" s="241"/>
      <c r="E42" s="241">
        <f>'4.10_пр-во_КТЭЦ'!E42+'4.10_транзит_КТЭЦ'!E42+'4.10_сбыт_КТЭЦ'!E42</f>
        <v>26</v>
      </c>
      <c r="F42" s="983"/>
      <c r="G42" s="241">
        <v>0</v>
      </c>
      <c r="H42" s="983">
        <v>0</v>
      </c>
      <c r="I42" s="241">
        <v>0</v>
      </c>
      <c r="J42" s="241">
        <v>0</v>
      </c>
      <c r="K42" s="241">
        <v>0</v>
      </c>
      <c r="L42" s="241">
        <v>21372</v>
      </c>
      <c r="M42" s="241">
        <v>0</v>
      </c>
      <c r="N42" s="241">
        <v>21372</v>
      </c>
      <c r="O42" s="241">
        <v>43600</v>
      </c>
      <c r="P42" s="241">
        <v>0</v>
      </c>
      <c r="Q42" s="241">
        <v>43600</v>
      </c>
    </row>
    <row r="43" spans="1:17" s="36" customFormat="1" ht="15" customHeight="1" outlineLevel="1">
      <c r="A43" s="60"/>
      <c r="B43" s="70" t="s">
        <v>492</v>
      </c>
      <c r="C43" s="13" t="s">
        <v>240</v>
      </c>
      <c r="D43" s="241"/>
      <c r="E43" s="241">
        <f>'4.10_пр-во_КТЭЦ'!E43+'4.10_транзит_КТЭЦ'!E43+'4.10_сбыт_КТЭЦ'!E43</f>
        <v>2254</v>
      </c>
      <c r="F43" s="983"/>
      <c r="G43" s="241">
        <v>4505</v>
      </c>
      <c r="H43" s="983">
        <v>0</v>
      </c>
      <c r="I43" s="241">
        <v>12241</v>
      </c>
      <c r="J43" s="241">
        <v>0</v>
      </c>
      <c r="K43" s="241">
        <v>9066</v>
      </c>
      <c r="L43" s="241">
        <v>1750</v>
      </c>
      <c r="M43" s="241">
        <v>0</v>
      </c>
      <c r="N43" s="241">
        <v>1750</v>
      </c>
      <c r="O43" s="241">
        <v>1920</v>
      </c>
      <c r="P43" s="241">
        <v>0</v>
      </c>
      <c r="Q43" s="241">
        <v>1920</v>
      </c>
    </row>
    <row r="44" spans="1:17" s="36" customFormat="1" ht="15" customHeight="1" outlineLevel="1">
      <c r="A44" s="60"/>
      <c r="B44" s="70" t="s">
        <v>493</v>
      </c>
      <c r="C44" s="13" t="s">
        <v>240</v>
      </c>
      <c r="D44" s="241"/>
      <c r="E44" s="241">
        <f>'4.10_пр-во_КТЭЦ'!E44+'4.10_транзит_КТЭЦ'!E44+'4.10_сбыт_КТЭЦ'!E44</f>
        <v>294</v>
      </c>
      <c r="F44" s="983"/>
      <c r="G44" s="241">
        <v>602</v>
      </c>
      <c r="H44" s="983">
        <v>0</v>
      </c>
      <c r="I44" s="241">
        <v>340</v>
      </c>
      <c r="J44" s="241">
        <v>0</v>
      </c>
      <c r="K44" s="241">
        <v>6864</v>
      </c>
      <c r="L44" s="241">
        <v>5881.2</v>
      </c>
      <c r="M44" s="241">
        <v>156</v>
      </c>
      <c r="N44" s="241">
        <v>5725.2</v>
      </c>
      <c r="O44" s="241">
        <v>1161.5</v>
      </c>
      <c r="P44" s="241">
        <v>28</v>
      </c>
      <c r="Q44" s="241">
        <v>1133.5</v>
      </c>
    </row>
    <row r="45" spans="1:17" s="36" customFormat="1" ht="15" customHeight="1" outlineLevel="1">
      <c r="A45" s="60"/>
      <c r="B45" s="70" t="s">
        <v>494</v>
      </c>
      <c r="C45" s="13" t="s">
        <v>240</v>
      </c>
      <c r="D45" s="241"/>
      <c r="E45" s="241">
        <f>'4.10_пр-во_КТЭЦ'!E45+'4.10_транзит_КТЭЦ'!E45+'4.10_сбыт_КТЭЦ'!E45</f>
        <v>107</v>
      </c>
      <c r="F45" s="983"/>
      <c r="G45" s="241">
        <v>616</v>
      </c>
      <c r="H45" s="983">
        <v>0</v>
      </c>
      <c r="I45" s="241">
        <v>6134</v>
      </c>
      <c r="J45" s="241">
        <v>0</v>
      </c>
      <c r="K45" s="241">
        <v>0</v>
      </c>
      <c r="L45" s="241">
        <v>1764</v>
      </c>
      <c r="M45" s="241">
        <v>0</v>
      </c>
      <c r="N45" s="241">
        <v>1764</v>
      </c>
      <c r="O45" s="241">
        <v>3235.96</v>
      </c>
      <c r="P45" s="241">
        <v>0</v>
      </c>
      <c r="Q45" s="241">
        <v>3235.96</v>
      </c>
    </row>
    <row r="46" spans="1:17" s="36" customFormat="1" ht="15" customHeight="1" outlineLevel="1">
      <c r="A46" s="60"/>
      <c r="B46" s="70" t="s">
        <v>495</v>
      </c>
      <c r="C46" s="13" t="s">
        <v>240</v>
      </c>
      <c r="D46" s="241"/>
      <c r="E46" s="241">
        <f>'4.10_пр-во_КТЭЦ'!E46+'4.10_транзит_КТЭЦ'!E46+'4.10_сбыт_КТЭЦ'!E46</f>
        <v>5934</v>
      </c>
      <c r="F46" s="983"/>
      <c r="G46" s="241">
        <v>1151</v>
      </c>
      <c r="H46" s="983">
        <v>0</v>
      </c>
      <c r="I46" s="241">
        <v>79</v>
      </c>
      <c r="J46" s="241">
        <v>0</v>
      </c>
      <c r="K46" s="241">
        <v>1811</v>
      </c>
      <c r="L46" s="241">
        <v>0</v>
      </c>
      <c r="M46" s="241">
        <v>0</v>
      </c>
      <c r="N46" s="241">
        <v>0</v>
      </c>
      <c r="O46" s="241">
        <v>2017</v>
      </c>
      <c r="P46" s="241">
        <v>0</v>
      </c>
      <c r="Q46" s="241">
        <v>2017</v>
      </c>
    </row>
    <row r="47" spans="1:17" s="36" customFormat="1" ht="15" customHeight="1" outlineLevel="1">
      <c r="A47" s="60"/>
      <c r="B47" s="70" t="s">
        <v>496</v>
      </c>
      <c r="C47" s="13" t="s">
        <v>240</v>
      </c>
      <c r="D47" s="241"/>
      <c r="E47" s="241">
        <f>'4.10_пр-во_КТЭЦ'!E47+'4.10_транзит_КТЭЦ'!E47+'4.10_сбыт_КТЭЦ'!E47</f>
        <v>0</v>
      </c>
      <c r="F47" s="983"/>
      <c r="G47" s="241">
        <v>0</v>
      </c>
      <c r="H47" s="983">
        <v>0</v>
      </c>
      <c r="I47" s="241">
        <v>611</v>
      </c>
      <c r="J47" s="241">
        <v>0</v>
      </c>
      <c r="K47" s="241">
        <v>7791</v>
      </c>
      <c r="L47" s="241">
        <v>9948.4699999999993</v>
      </c>
      <c r="M47" s="241">
        <v>0</v>
      </c>
      <c r="N47" s="241">
        <v>9948.4699999999993</v>
      </c>
      <c r="O47" s="241">
        <v>10021.969999999999</v>
      </c>
      <c r="P47" s="241">
        <v>0</v>
      </c>
      <c r="Q47" s="241">
        <v>10021.969999999999</v>
      </c>
    </row>
    <row r="48" spans="1:17" s="36" customFormat="1" ht="15" customHeight="1" outlineLevel="1">
      <c r="A48" s="60"/>
      <c r="B48" s="70" t="s">
        <v>497</v>
      </c>
      <c r="C48" s="13" t="s">
        <v>240</v>
      </c>
      <c r="D48" s="241"/>
      <c r="E48" s="241">
        <f>'4.10_пр-во_КТЭЦ'!E48+'4.10_транзит_КТЭЦ'!E48+'4.10_сбыт_КТЭЦ'!E48</f>
        <v>5</v>
      </c>
      <c r="F48" s="983"/>
      <c r="G48" s="241">
        <v>116</v>
      </c>
      <c r="H48" s="983">
        <v>0</v>
      </c>
      <c r="I48" s="241">
        <v>95</v>
      </c>
      <c r="J48" s="241">
        <v>0</v>
      </c>
      <c r="K48" s="241">
        <v>0</v>
      </c>
      <c r="L48" s="241">
        <v>0</v>
      </c>
      <c r="M48" s="241">
        <v>0</v>
      </c>
      <c r="N48" s="241">
        <v>0</v>
      </c>
      <c r="O48" s="241">
        <v>0</v>
      </c>
      <c r="P48" s="241">
        <v>0</v>
      </c>
      <c r="Q48" s="241">
        <v>0</v>
      </c>
    </row>
    <row r="49" spans="1:17" s="36" customFormat="1" ht="15" customHeight="1" outlineLevel="1">
      <c r="A49" s="60"/>
      <c r="B49" s="68" t="s">
        <v>498</v>
      </c>
      <c r="C49" s="13" t="s">
        <v>240</v>
      </c>
      <c r="D49" s="241"/>
      <c r="E49" s="241">
        <f>'4.10_пр-во_КТЭЦ'!E49+'4.10_транзит_КТЭЦ'!E49+'4.10_сбыт_КТЭЦ'!E49</f>
        <v>156</v>
      </c>
      <c r="F49" s="983"/>
      <c r="G49" s="241">
        <v>224</v>
      </c>
      <c r="H49" s="983">
        <v>0</v>
      </c>
      <c r="I49" s="241">
        <v>160.5</v>
      </c>
      <c r="J49" s="241">
        <v>0</v>
      </c>
      <c r="K49" s="241">
        <v>0</v>
      </c>
      <c r="L49" s="241">
        <v>0</v>
      </c>
      <c r="M49" s="241">
        <v>0</v>
      </c>
      <c r="N49" s="241">
        <v>0</v>
      </c>
      <c r="O49" s="241">
        <v>0</v>
      </c>
      <c r="P49" s="241">
        <v>0</v>
      </c>
      <c r="Q49" s="241">
        <v>0</v>
      </c>
    </row>
    <row r="50" spans="1:17" s="36" customFormat="1" ht="15" customHeight="1" outlineLevel="1">
      <c r="A50" s="60"/>
      <c r="B50" s="68" t="s">
        <v>499</v>
      </c>
      <c r="C50" s="13" t="s">
        <v>240</v>
      </c>
      <c r="D50" s="241"/>
      <c r="E50" s="241">
        <f>'4.10_пр-во_КТЭЦ'!E50+'4.10_транзит_КТЭЦ'!E50+'4.10_сбыт_КТЭЦ'!E50</f>
        <v>597</v>
      </c>
      <c r="F50" s="983"/>
      <c r="G50" s="241">
        <v>651</v>
      </c>
      <c r="H50" s="983">
        <v>0</v>
      </c>
      <c r="I50" s="241">
        <v>26.5</v>
      </c>
      <c r="J50" s="241">
        <v>0</v>
      </c>
      <c r="K50" s="241">
        <v>3276.95</v>
      </c>
      <c r="L50" s="241">
        <v>4163.53</v>
      </c>
      <c r="M50" s="241">
        <v>0</v>
      </c>
      <c r="N50" s="241">
        <v>4163.53</v>
      </c>
      <c r="O50" s="241">
        <v>4225.2699999999995</v>
      </c>
      <c r="P50" s="241">
        <v>0</v>
      </c>
      <c r="Q50" s="241">
        <v>4225.2699999999995</v>
      </c>
    </row>
    <row r="51" spans="1:17" s="36" customFormat="1">
      <c r="A51" s="60"/>
      <c r="B51" s="68"/>
      <c r="C51" s="13"/>
      <c r="D51" s="241"/>
      <c r="E51" s="241"/>
      <c r="F51" s="983"/>
      <c r="G51" s="241"/>
      <c r="H51" s="983"/>
      <c r="I51" s="241"/>
      <c r="J51" s="241"/>
      <c r="K51" s="241"/>
      <c r="L51" s="241"/>
      <c r="M51" s="241"/>
      <c r="N51" s="241"/>
      <c r="O51" s="241"/>
      <c r="P51" s="241"/>
      <c r="Q51" s="241"/>
    </row>
    <row r="52" spans="1:17" s="1001" customFormat="1" ht="28.5">
      <c r="A52" s="82" t="s">
        <v>30</v>
      </c>
      <c r="B52" s="80" t="s">
        <v>502</v>
      </c>
      <c r="C52" s="1002" t="s">
        <v>240</v>
      </c>
      <c r="D52" s="1000">
        <f>'4.10_пр-во_КТЭЦ'!D52+'4.10_транзит_КТЭЦ'!D52+'4.10_сбыт_КТЭЦ'!D52</f>
        <v>0</v>
      </c>
      <c r="E52" s="1000">
        <f>'4.10_пр-во_КТЭЦ'!E52+'4.10_транзит_КТЭЦ'!E52+'4.10_сбыт_КТЭЦ'!E52</f>
        <v>1178</v>
      </c>
      <c r="F52" s="1006">
        <f>'4.10_пр-во_КТЭЦ'!F52+'4.10_транзит_КТЭЦ'!F52+'4.10_сбыт_КТЭЦ'!F52</f>
        <v>0</v>
      </c>
      <c r="G52" s="1000">
        <v>1781</v>
      </c>
      <c r="H52" s="1006">
        <v>0</v>
      </c>
      <c r="I52" s="1000">
        <v>558</v>
      </c>
      <c r="J52" s="1000">
        <v>0</v>
      </c>
      <c r="K52" s="1000">
        <v>0</v>
      </c>
      <c r="L52" s="1000">
        <v>0</v>
      </c>
      <c r="M52" s="1000">
        <v>0</v>
      </c>
      <c r="N52" s="1000">
        <v>0</v>
      </c>
      <c r="O52" s="1000">
        <v>0</v>
      </c>
      <c r="P52" s="1000">
        <v>0</v>
      </c>
      <c r="Q52" s="1000">
        <v>0</v>
      </c>
    </row>
    <row r="53" spans="1:17" s="36" customFormat="1" ht="15" customHeight="1" outlineLevel="1">
      <c r="A53" s="60"/>
      <c r="B53" s="68" t="s">
        <v>487</v>
      </c>
      <c r="C53" s="13" t="s">
        <v>240</v>
      </c>
      <c r="D53" s="241"/>
      <c r="E53" s="241">
        <f>'4.10_пр-во_КТЭЦ'!E53+'4.10_транзит_КТЭЦ'!E53+'4.10_сбыт_КТЭЦ'!E53</f>
        <v>0</v>
      </c>
      <c r="F53" s="983"/>
      <c r="G53" s="241">
        <v>0</v>
      </c>
      <c r="H53" s="983">
        <v>0</v>
      </c>
      <c r="I53" s="241">
        <v>0</v>
      </c>
      <c r="J53" s="241">
        <v>0</v>
      </c>
      <c r="K53" s="241">
        <v>0</v>
      </c>
      <c r="L53" s="241">
        <v>0</v>
      </c>
      <c r="M53" s="241">
        <v>0</v>
      </c>
      <c r="N53" s="241">
        <v>0</v>
      </c>
      <c r="O53" s="241">
        <v>0</v>
      </c>
      <c r="P53" s="241">
        <v>0</v>
      </c>
      <c r="Q53" s="241">
        <v>0</v>
      </c>
    </row>
    <row r="54" spans="1:17" s="36" customFormat="1" ht="15" customHeight="1" outlineLevel="1">
      <c r="A54" s="60"/>
      <c r="B54" s="68" t="s">
        <v>488</v>
      </c>
      <c r="C54" s="13" t="s">
        <v>240</v>
      </c>
      <c r="D54" s="241"/>
      <c r="E54" s="241">
        <f>'4.10_пр-во_КТЭЦ'!E54+'4.10_транзит_КТЭЦ'!E54+'4.10_сбыт_КТЭЦ'!E54</f>
        <v>1178</v>
      </c>
      <c r="F54" s="983"/>
      <c r="G54" s="241">
        <v>0</v>
      </c>
      <c r="H54" s="983">
        <v>0</v>
      </c>
      <c r="I54" s="241">
        <v>0</v>
      </c>
      <c r="J54" s="241">
        <v>0</v>
      </c>
      <c r="K54" s="241">
        <v>0</v>
      </c>
      <c r="L54" s="241">
        <v>0</v>
      </c>
      <c r="M54" s="241">
        <v>0</v>
      </c>
      <c r="N54" s="241">
        <v>0</v>
      </c>
      <c r="O54" s="241">
        <v>0</v>
      </c>
      <c r="P54" s="241">
        <v>0</v>
      </c>
      <c r="Q54" s="241">
        <v>0</v>
      </c>
    </row>
    <row r="55" spans="1:17" s="36" customFormat="1" ht="15" customHeight="1" outlineLevel="1">
      <c r="A55" s="60"/>
      <c r="B55" s="68" t="s">
        <v>489</v>
      </c>
      <c r="C55" s="13" t="s">
        <v>240</v>
      </c>
      <c r="D55" s="241"/>
      <c r="E55" s="241">
        <f>'4.10_пр-во_КТЭЦ'!E55+'4.10_транзит_КТЭЦ'!E55+'4.10_сбыт_КТЭЦ'!E55</f>
        <v>0</v>
      </c>
      <c r="F55" s="983"/>
      <c r="G55" s="241">
        <v>0</v>
      </c>
      <c r="H55" s="983">
        <v>0</v>
      </c>
      <c r="I55" s="241">
        <v>0</v>
      </c>
      <c r="J55" s="241">
        <v>0</v>
      </c>
      <c r="K55" s="241">
        <v>0</v>
      </c>
      <c r="L55" s="241">
        <v>0</v>
      </c>
      <c r="M55" s="241">
        <v>0</v>
      </c>
      <c r="N55" s="241">
        <v>0</v>
      </c>
      <c r="O55" s="241">
        <v>0</v>
      </c>
      <c r="P55" s="241">
        <v>0</v>
      </c>
      <c r="Q55" s="241">
        <v>0</v>
      </c>
    </row>
    <row r="56" spans="1:17" s="36" customFormat="1" ht="15" customHeight="1" outlineLevel="1">
      <c r="A56" s="60"/>
      <c r="B56" s="68" t="s">
        <v>490</v>
      </c>
      <c r="C56" s="13" t="s">
        <v>240</v>
      </c>
      <c r="D56" s="241"/>
      <c r="E56" s="241">
        <f>'4.10_пр-во_КТЭЦ'!E56+'4.10_транзит_КТЭЦ'!E56+'4.10_сбыт_КТЭЦ'!E56</f>
        <v>0</v>
      </c>
      <c r="F56" s="983"/>
      <c r="G56" s="241">
        <v>722</v>
      </c>
      <c r="H56" s="983">
        <v>0</v>
      </c>
      <c r="I56" s="241">
        <v>544</v>
      </c>
      <c r="J56" s="241">
        <v>0</v>
      </c>
      <c r="K56" s="241">
        <v>0</v>
      </c>
      <c r="L56" s="241">
        <v>0</v>
      </c>
      <c r="M56" s="241">
        <v>0</v>
      </c>
      <c r="N56" s="241">
        <v>0</v>
      </c>
      <c r="O56" s="241">
        <v>0</v>
      </c>
      <c r="P56" s="241">
        <v>0</v>
      </c>
      <c r="Q56" s="241">
        <v>0</v>
      </c>
    </row>
    <row r="57" spans="1:17" s="36" customFormat="1" ht="15" customHeight="1" outlineLevel="1">
      <c r="A57" s="60"/>
      <c r="B57" s="68" t="s">
        <v>491</v>
      </c>
      <c r="C57" s="13" t="s">
        <v>240</v>
      </c>
      <c r="D57" s="241"/>
      <c r="E57" s="241">
        <f>'4.10_пр-во_КТЭЦ'!E57+'4.10_транзит_КТЭЦ'!E57+'4.10_сбыт_КТЭЦ'!E57</f>
        <v>0</v>
      </c>
      <c r="F57" s="983"/>
      <c r="G57" s="241">
        <v>0</v>
      </c>
      <c r="H57" s="983">
        <v>0</v>
      </c>
      <c r="I57" s="241">
        <v>0</v>
      </c>
      <c r="J57" s="241">
        <v>0</v>
      </c>
      <c r="K57" s="241">
        <v>0</v>
      </c>
      <c r="L57" s="241">
        <v>0</v>
      </c>
      <c r="M57" s="241">
        <v>0</v>
      </c>
      <c r="N57" s="241">
        <v>0</v>
      </c>
      <c r="O57" s="241">
        <v>0</v>
      </c>
      <c r="P57" s="241">
        <v>0</v>
      </c>
      <c r="Q57" s="241">
        <v>0</v>
      </c>
    </row>
    <row r="58" spans="1:17" s="36" customFormat="1" ht="15" customHeight="1" outlineLevel="1">
      <c r="A58" s="60"/>
      <c r="B58" s="70" t="s">
        <v>492</v>
      </c>
      <c r="C58" s="13" t="s">
        <v>240</v>
      </c>
      <c r="D58" s="241"/>
      <c r="E58" s="241">
        <f>'4.10_пр-во_КТЭЦ'!E58+'4.10_транзит_КТЭЦ'!E58+'4.10_сбыт_КТЭЦ'!E58</f>
        <v>0</v>
      </c>
      <c r="F58" s="983"/>
      <c r="G58" s="241">
        <v>526</v>
      </c>
      <c r="H58" s="983">
        <v>0</v>
      </c>
      <c r="I58" s="241">
        <v>0</v>
      </c>
      <c r="J58" s="241">
        <v>0</v>
      </c>
      <c r="K58" s="241">
        <v>0</v>
      </c>
      <c r="L58" s="241">
        <v>0</v>
      </c>
      <c r="M58" s="241">
        <v>0</v>
      </c>
      <c r="N58" s="241">
        <v>0</v>
      </c>
      <c r="O58" s="241">
        <v>0</v>
      </c>
      <c r="P58" s="241">
        <v>0</v>
      </c>
      <c r="Q58" s="241">
        <v>0</v>
      </c>
    </row>
    <row r="59" spans="1:17" s="36" customFormat="1" ht="15" customHeight="1" outlineLevel="1">
      <c r="A59" s="60"/>
      <c r="B59" s="70" t="s">
        <v>493</v>
      </c>
      <c r="C59" s="13" t="s">
        <v>240</v>
      </c>
      <c r="D59" s="241"/>
      <c r="E59" s="241">
        <f>'4.10_пр-во_КТЭЦ'!E59+'4.10_транзит_КТЭЦ'!E59+'4.10_сбыт_КТЭЦ'!E59</f>
        <v>0</v>
      </c>
      <c r="F59" s="983"/>
      <c r="G59" s="241">
        <v>173</v>
      </c>
      <c r="H59" s="983">
        <v>0</v>
      </c>
      <c r="I59" s="241">
        <v>123</v>
      </c>
      <c r="J59" s="241">
        <v>0</v>
      </c>
      <c r="K59" s="241">
        <v>0</v>
      </c>
      <c r="L59" s="241">
        <v>0</v>
      </c>
      <c r="M59" s="241">
        <v>0</v>
      </c>
      <c r="N59" s="241">
        <v>0</v>
      </c>
      <c r="O59" s="241">
        <v>0</v>
      </c>
      <c r="P59" s="241">
        <v>0</v>
      </c>
      <c r="Q59" s="241">
        <v>0</v>
      </c>
    </row>
    <row r="60" spans="1:17" s="36" customFormat="1" ht="15" customHeight="1" outlineLevel="1">
      <c r="A60" s="60"/>
      <c r="B60" s="70" t="s">
        <v>494</v>
      </c>
      <c r="C60" s="13" t="s">
        <v>240</v>
      </c>
      <c r="D60" s="241"/>
      <c r="E60" s="241">
        <f>'4.10_пр-во_КТЭЦ'!E60+'4.10_транзит_КТЭЦ'!E60+'4.10_сбыт_КТЭЦ'!E60</f>
        <v>0</v>
      </c>
      <c r="F60" s="983"/>
      <c r="G60" s="241">
        <v>11</v>
      </c>
      <c r="H60" s="983">
        <v>0</v>
      </c>
      <c r="I60" s="241">
        <v>421</v>
      </c>
      <c r="J60" s="241">
        <v>0</v>
      </c>
      <c r="K60" s="241">
        <v>0</v>
      </c>
      <c r="L60" s="241">
        <v>0</v>
      </c>
      <c r="M60" s="241">
        <v>0</v>
      </c>
      <c r="N60" s="241">
        <v>0</v>
      </c>
      <c r="O60" s="241">
        <v>0</v>
      </c>
      <c r="P60" s="241">
        <v>0</v>
      </c>
      <c r="Q60" s="241">
        <v>0</v>
      </c>
    </row>
    <row r="61" spans="1:17" s="36" customFormat="1" ht="15" customHeight="1" outlineLevel="1">
      <c r="A61" s="60"/>
      <c r="B61" s="70" t="s">
        <v>495</v>
      </c>
      <c r="C61" s="13" t="s">
        <v>240</v>
      </c>
      <c r="D61" s="241"/>
      <c r="E61" s="241">
        <f>'4.10_пр-во_КТЭЦ'!E61+'4.10_транзит_КТЭЦ'!E61+'4.10_сбыт_КТЭЦ'!E61</f>
        <v>0</v>
      </c>
      <c r="F61" s="983"/>
      <c r="G61" s="241">
        <v>12</v>
      </c>
      <c r="H61" s="983">
        <v>0</v>
      </c>
      <c r="I61" s="241">
        <v>0</v>
      </c>
      <c r="J61" s="241">
        <v>0</v>
      </c>
      <c r="K61" s="241">
        <v>0</v>
      </c>
      <c r="L61" s="241">
        <v>0</v>
      </c>
      <c r="M61" s="241">
        <v>0</v>
      </c>
      <c r="N61" s="241">
        <v>0</v>
      </c>
      <c r="O61" s="241">
        <v>0</v>
      </c>
      <c r="P61" s="241">
        <v>0</v>
      </c>
      <c r="Q61" s="241">
        <v>0</v>
      </c>
    </row>
    <row r="62" spans="1:17" s="36" customFormat="1" ht="15" customHeight="1" outlineLevel="1">
      <c r="A62" s="60"/>
      <c r="B62" s="70" t="s">
        <v>496</v>
      </c>
      <c r="C62" s="13" t="s">
        <v>240</v>
      </c>
      <c r="D62" s="241"/>
      <c r="E62" s="241">
        <f>'4.10_пр-во_КТЭЦ'!E62+'4.10_транзит_КТЭЦ'!E62+'4.10_сбыт_КТЭЦ'!E62</f>
        <v>0</v>
      </c>
      <c r="F62" s="983"/>
      <c r="G62" s="241">
        <v>983</v>
      </c>
      <c r="H62" s="983">
        <v>0</v>
      </c>
      <c r="I62" s="241">
        <v>0</v>
      </c>
      <c r="J62" s="241">
        <v>0</v>
      </c>
      <c r="K62" s="241">
        <v>0</v>
      </c>
      <c r="L62" s="241">
        <v>0</v>
      </c>
      <c r="M62" s="241">
        <v>0</v>
      </c>
      <c r="N62" s="241">
        <v>0</v>
      </c>
      <c r="O62" s="241">
        <v>0</v>
      </c>
      <c r="P62" s="241">
        <v>0</v>
      </c>
      <c r="Q62" s="241">
        <v>0</v>
      </c>
    </row>
    <row r="63" spans="1:17" s="36" customFormat="1" ht="15" customHeight="1" outlineLevel="1">
      <c r="A63" s="60"/>
      <c r="B63" s="70" t="s">
        <v>497</v>
      </c>
      <c r="C63" s="13" t="s">
        <v>240</v>
      </c>
      <c r="D63" s="241"/>
      <c r="E63" s="241">
        <f>'4.10_пр-во_КТЭЦ'!E63+'4.10_транзит_КТЭЦ'!E63+'4.10_сбыт_КТЭЦ'!E63</f>
        <v>0</v>
      </c>
      <c r="F63" s="983"/>
      <c r="G63" s="241">
        <v>0</v>
      </c>
      <c r="H63" s="983">
        <v>0</v>
      </c>
      <c r="I63" s="241">
        <v>0</v>
      </c>
      <c r="J63" s="241">
        <v>0</v>
      </c>
      <c r="K63" s="241">
        <v>0</v>
      </c>
      <c r="L63" s="241">
        <v>0</v>
      </c>
      <c r="M63" s="241">
        <v>0</v>
      </c>
      <c r="N63" s="241">
        <v>0</v>
      </c>
      <c r="O63" s="241">
        <v>0</v>
      </c>
      <c r="P63" s="241">
        <v>0</v>
      </c>
      <c r="Q63" s="241">
        <v>0</v>
      </c>
    </row>
    <row r="64" spans="1:17" s="36" customFormat="1" ht="15" customHeight="1" outlineLevel="1">
      <c r="A64" s="60"/>
      <c r="B64" s="68" t="s">
        <v>498</v>
      </c>
      <c r="C64" s="13" t="s">
        <v>240</v>
      </c>
      <c r="D64" s="241"/>
      <c r="E64" s="241">
        <f>'4.10_пр-во_КТЭЦ'!E64+'4.10_транзит_КТЭЦ'!E64+'4.10_сбыт_КТЭЦ'!E64</f>
        <v>0</v>
      </c>
      <c r="F64" s="983"/>
      <c r="G64" s="241">
        <v>8</v>
      </c>
      <c r="H64" s="983">
        <v>0</v>
      </c>
      <c r="I64" s="241">
        <v>14</v>
      </c>
      <c r="J64" s="241">
        <v>0</v>
      </c>
      <c r="K64" s="241">
        <v>0</v>
      </c>
      <c r="L64" s="241">
        <v>0</v>
      </c>
      <c r="M64" s="241">
        <v>0</v>
      </c>
      <c r="N64" s="241">
        <v>0</v>
      </c>
      <c r="O64" s="241">
        <v>0</v>
      </c>
      <c r="P64" s="241">
        <v>0</v>
      </c>
      <c r="Q64" s="241">
        <v>0</v>
      </c>
    </row>
    <row r="65" spans="1:17" s="36" customFormat="1" ht="15" customHeight="1" outlineLevel="1">
      <c r="A65" s="60"/>
      <c r="B65" s="68" t="s">
        <v>499</v>
      </c>
      <c r="C65" s="13" t="s">
        <v>240</v>
      </c>
      <c r="D65" s="241"/>
      <c r="E65" s="241">
        <f>'4.10_пр-во_КТЭЦ'!E65+'4.10_транзит_КТЭЦ'!E65+'4.10_сбыт_КТЭЦ'!E65</f>
        <v>0</v>
      </c>
      <c r="F65" s="983"/>
      <c r="G65" s="241">
        <v>68</v>
      </c>
      <c r="H65" s="983">
        <v>0</v>
      </c>
      <c r="I65" s="241">
        <v>0</v>
      </c>
      <c r="J65" s="241">
        <v>0</v>
      </c>
      <c r="K65" s="241">
        <v>0</v>
      </c>
      <c r="L65" s="241">
        <v>0</v>
      </c>
      <c r="M65" s="241">
        <v>0</v>
      </c>
      <c r="N65" s="241">
        <v>0</v>
      </c>
      <c r="O65" s="241">
        <v>0</v>
      </c>
      <c r="P65" s="241">
        <v>0</v>
      </c>
      <c r="Q65" s="241">
        <v>0</v>
      </c>
    </row>
    <row r="66" spans="1:17" s="36" customFormat="1">
      <c r="A66" s="60"/>
      <c r="B66" s="68"/>
      <c r="C66" s="13"/>
      <c r="D66" s="241"/>
      <c r="E66" s="241"/>
      <c r="F66" s="983"/>
      <c r="G66" s="241"/>
      <c r="H66" s="983"/>
      <c r="I66" s="241"/>
      <c r="J66" s="241"/>
      <c r="K66" s="241"/>
      <c r="L66" s="241"/>
      <c r="M66" s="241"/>
      <c r="N66" s="241"/>
      <c r="O66" s="241"/>
      <c r="P66" s="241"/>
      <c r="Q66" s="241"/>
    </row>
    <row r="67" spans="1:17" s="1001" customFormat="1" ht="30" customHeight="1">
      <c r="A67" s="82" t="s">
        <v>78</v>
      </c>
      <c r="B67" s="80" t="s">
        <v>503</v>
      </c>
      <c r="C67" s="1002" t="s">
        <v>240</v>
      </c>
      <c r="D67" s="1000">
        <f>'4.10_пр-во_КТЭЦ'!D67+'4.10_транзит_КТЭЦ'!D67+'4.10_сбыт_КТЭЦ'!D67</f>
        <v>1292773.3636363635</v>
      </c>
      <c r="E67" s="1000">
        <f>'4.10_пр-во_КТЭЦ'!E67+'4.10_транзит_КТЭЦ'!E67+'4.10_сбыт_КТЭЦ'!E67</f>
        <v>1600453</v>
      </c>
      <c r="F67" s="1006">
        <f>'4.10_пр-во_КТЭЦ'!F67+'4.10_транзит_КТЭЦ'!F67+'4.10_сбыт_КТЭЦ'!F67</f>
        <v>948511</v>
      </c>
      <c r="G67" s="1000">
        <v>2380051</v>
      </c>
      <c r="H67" s="1006">
        <v>1420755.6500479099</v>
      </c>
      <c r="I67" s="1000">
        <v>2782029</v>
      </c>
      <c r="J67" s="1000">
        <v>0</v>
      </c>
      <c r="K67" s="1000">
        <v>2206937.0699999998</v>
      </c>
      <c r="L67" s="1000">
        <v>2374530.353333333</v>
      </c>
      <c r="M67" s="1000">
        <v>2543326.42</v>
      </c>
      <c r="N67" s="1000">
        <v>2197727.6866666665</v>
      </c>
      <c r="O67" s="1000">
        <v>2457999.0949999997</v>
      </c>
      <c r="P67" s="1000">
        <v>2643854.1533333333</v>
      </c>
      <c r="Q67" s="1000">
        <v>2299140.5866666669</v>
      </c>
    </row>
    <row r="68" spans="1:17" s="36" customFormat="1" ht="15" customHeight="1" outlineLevel="1">
      <c r="A68" s="60"/>
      <c r="B68" s="68" t="s">
        <v>487</v>
      </c>
      <c r="C68" s="13" t="s">
        <v>240</v>
      </c>
      <c r="D68" s="241"/>
      <c r="E68" s="241">
        <f>'4.10_пр-во_КТЭЦ'!E68+'4.10_транзит_КТЭЦ'!E68+'4.10_сбыт_КТЭЦ'!E68</f>
        <v>843841</v>
      </c>
      <c r="F68" s="983"/>
      <c r="G68" s="241">
        <v>1585427</v>
      </c>
      <c r="H68" s="983">
        <v>0</v>
      </c>
      <c r="I68" s="241">
        <v>1848471</v>
      </c>
      <c r="J68" s="241">
        <v>0</v>
      </c>
      <c r="K68" s="241">
        <v>1396072.6066666665</v>
      </c>
      <c r="L68" s="241">
        <v>1397287.3566666665</v>
      </c>
      <c r="M68" s="241">
        <v>1516608.19</v>
      </c>
      <c r="N68" s="241">
        <v>1277966.5233333334</v>
      </c>
      <c r="O68" s="241">
        <v>1406055.7316666665</v>
      </c>
      <c r="P68" s="241">
        <v>1526790.19</v>
      </c>
      <c r="Q68" s="241">
        <v>1285321.2733333334</v>
      </c>
    </row>
    <row r="69" spans="1:17" s="36" customFormat="1" ht="15" customHeight="1" outlineLevel="1">
      <c r="A69" s="60"/>
      <c r="B69" s="68" t="s">
        <v>488</v>
      </c>
      <c r="C69" s="13" t="s">
        <v>240</v>
      </c>
      <c r="D69" s="241"/>
      <c r="E69" s="241">
        <f>'4.10_пр-во_КТЭЦ'!E69+'4.10_транзит_КТЭЦ'!E69+'4.10_сбыт_КТЭЦ'!E69</f>
        <v>316929</v>
      </c>
      <c r="F69" s="983"/>
      <c r="G69" s="241">
        <v>334834</v>
      </c>
      <c r="H69" s="983">
        <v>0</v>
      </c>
      <c r="I69" s="241">
        <v>382692</v>
      </c>
      <c r="J69" s="241">
        <v>0</v>
      </c>
      <c r="K69" s="241">
        <v>406147.875</v>
      </c>
      <c r="L69" s="241">
        <v>540083.16666666674</v>
      </c>
      <c r="M69" s="241">
        <v>558120</v>
      </c>
      <c r="N69" s="241">
        <v>522046.33333333331</v>
      </c>
      <c r="O69" s="241">
        <v>567099.5</v>
      </c>
      <c r="P69" s="241">
        <v>581958</v>
      </c>
      <c r="Q69" s="241">
        <v>552241</v>
      </c>
    </row>
    <row r="70" spans="1:17" s="36" customFormat="1" ht="15" customHeight="1" outlineLevel="1">
      <c r="A70" s="60"/>
      <c r="B70" s="68" t="s">
        <v>489</v>
      </c>
      <c r="C70" s="13" t="s">
        <v>240</v>
      </c>
      <c r="D70" s="241"/>
      <c r="E70" s="241">
        <f>'4.10_пр-во_КТЭЦ'!E70+'4.10_транзит_КТЭЦ'!E70+'4.10_сбыт_КТЭЦ'!E70</f>
        <v>20071</v>
      </c>
      <c r="F70" s="983"/>
      <c r="G70" s="241">
        <v>20399</v>
      </c>
      <c r="H70" s="983">
        <v>0</v>
      </c>
      <c r="I70" s="241">
        <v>22511</v>
      </c>
      <c r="J70" s="241">
        <v>0</v>
      </c>
      <c r="K70" s="241">
        <v>15340</v>
      </c>
      <c r="L70" s="241">
        <v>15339.5</v>
      </c>
      <c r="M70" s="241">
        <v>17284</v>
      </c>
      <c r="N70" s="241">
        <v>13395</v>
      </c>
      <c r="O70" s="241">
        <v>15339.5</v>
      </c>
      <c r="P70" s="241">
        <v>17284</v>
      </c>
      <c r="Q70" s="241">
        <v>13395</v>
      </c>
    </row>
    <row r="71" spans="1:17" s="36" customFormat="1" ht="15" customHeight="1" outlineLevel="1">
      <c r="A71" s="60"/>
      <c r="B71" s="68" t="s">
        <v>490</v>
      </c>
      <c r="C71" s="13" t="s">
        <v>240</v>
      </c>
      <c r="D71" s="241"/>
      <c r="E71" s="241">
        <f>'4.10_пр-во_КТЭЦ'!E71+'4.10_транзит_КТЭЦ'!E71+'4.10_сбыт_КТЭЦ'!E71</f>
        <v>404053</v>
      </c>
      <c r="F71" s="983"/>
      <c r="G71" s="241">
        <v>424361</v>
      </c>
      <c r="H71" s="983">
        <v>0</v>
      </c>
      <c r="I71" s="241">
        <v>507297</v>
      </c>
      <c r="J71" s="241">
        <v>0</v>
      </c>
      <c r="K71" s="241">
        <v>367324.29</v>
      </c>
      <c r="L71" s="241">
        <v>387144.64</v>
      </c>
      <c r="M71" s="241">
        <v>422707.04</v>
      </c>
      <c r="N71" s="241">
        <v>350631.64</v>
      </c>
      <c r="O71" s="241">
        <v>420649.05333333334</v>
      </c>
      <c r="P71" s="241">
        <v>460855.53333333338</v>
      </c>
      <c r="Q71" s="241">
        <v>386068.26333333325</v>
      </c>
    </row>
    <row r="72" spans="1:17" s="36" customFormat="1" ht="15" customHeight="1" outlineLevel="1">
      <c r="A72" s="60"/>
      <c r="B72" s="68" t="s">
        <v>491</v>
      </c>
      <c r="C72" s="13" t="s">
        <v>240</v>
      </c>
      <c r="D72" s="241"/>
      <c r="E72" s="241">
        <f>'4.10_пр-во_КТЭЦ'!E72+'4.10_транзит_КТЭЦ'!E72+'4.10_сбыт_КТЭЦ'!E72</f>
        <v>102183</v>
      </c>
      <c r="F72" s="983"/>
      <c r="G72" s="241">
        <v>103876</v>
      </c>
      <c r="H72" s="983">
        <v>0</v>
      </c>
      <c r="I72" s="241">
        <v>115667</v>
      </c>
      <c r="J72" s="241">
        <v>0</v>
      </c>
      <c r="K72" s="241">
        <v>78149</v>
      </c>
      <c r="L72" s="241">
        <v>81274.75</v>
      </c>
      <c r="M72" s="241">
        <v>88036</v>
      </c>
      <c r="N72" s="241">
        <v>74513.5</v>
      </c>
      <c r="O72" s="241">
        <v>105483.375</v>
      </c>
      <c r="P72" s="241">
        <v>112116</v>
      </c>
      <c r="Q72" s="241">
        <v>98850.75</v>
      </c>
    </row>
    <row r="73" spans="1:17" s="36" customFormat="1" ht="15" customHeight="1" outlineLevel="1">
      <c r="A73" s="60"/>
      <c r="B73" s="70" t="s">
        <v>492</v>
      </c>
      <c r="C73" s="13" t="s">
        <v>240</v>
      </c>
      <c r="D73" s="241"/>
      <c r="E73" s="241">
        <f>'4.10_пр-во_КТЭЦ'!E73+'4.10_транзит_КТЭЦ'!E73+'4.10_сбыт_КТЭЦ'!E73</f>
        <v>40794</v>
      </c>
      <c r="F73" s="983"/>
      <c r="G73" s="241">
        <v>49386</v>
      </c>
      <c r="H73" s="983">
        <v>0</v>
      </c>
      <c r="I73" s="241">
        <v>74925</v>
      </c>
      <c r="J73" s="241">
        <v>0</v>
      </c>
      <c r="K73" s="241">
        <v>61077.89166666667</v>
      </c>
      <c r="L73" s="241">
        <v>68138.016666666677</v>
      </c>
      <c r="M73" s="241">
        <v>72816.100000000006</v>
      </c>
      <c r="N73" s="241">
        <v>63459.933333333327</v>
      </c>
      <c r="O73" s="241">
        <v>69905.891666666677</v>
      </c>
      <c r="P73" s="241">
        <v>74788.100000000006</v>
      </c>
      <c r="Q73" s="241">
        <v>65023.683333333327</v>
      </c>
    </row>
    <row r="74" spans="1:17" s="36" customFormat="1" ht="15" customHeight="1" outlineLevel="1">
      <c r="A74" s="60"/>
      <c r="B74" s="70" t="s">
        <v>493</v>
      </c>
      <c r="C74" s="13" t="s">
        <v>240</v>
      </c>
      <c r="D74" s="241"/>
      <c r="E74" s="241">
        <f>'4.10_пр-во_КТЭЦ'!E74+'4.10_транзит_КТЭЦ'!E74+'4.10_сбыт_КТЭЦ'!E74</f>
        <v>4974</v>
      </c>
      <c r="F74" s="983"/>
      <c r="G74" s="241">
        <v>5352</v>
      </c>
      <c r="H74" s="983">
        <v>0</v>
      </c>
      <c r="I74" s="241">
        <v>6454</v>
      </c>
      <c r="J74" s="241">
        <v>0</v>
      </c>
      <c r="K74" s="241">
        <v>6091.9166666666661</v>
      </c>
      <c r="L74" s="241">
        <v>13108.433333333336</v>
      </c>
      <c r="M74" s="241">
        <v>12950</v>
      </c>
      <c r="N74" s="241">
        <v>13198.266666666665</v>
      </c>
      <c r="O74" s="241">
        <v>18050.783333333336</v>
      </c>
      <c r="P74" s="241">
        <v>20046.533333333336</v>
      </c>
      <c r="Q74" s="241">
        <v>16826.783333333336</v>
      </c>
    </row>
    <row r="75" spans="1:17" s="36" customFormat="1" ht="15" customHeight="1" outlineLevel="1">
      <c r="A75" s="60"/>
      <c r="B75" s="70" t="s">
        <v>494</v>
      </c>
      <c r="C75" s="13" t="s">
        <v>240</v>
      </c>
      <c r="D75" s="241"/>
      <c r="E75" s="241">
        <f>'4.10_пр-во_КТЭЦ'!E75+'4.10_транзит_КТЭЦ'!E75+'4.10_сбыт_КТЭЦ'!E75</f>
        <v>1426</v>
      </c>
      <c r="F75" s="983"/>
      <c r="G75" s="241">
        <v>1626</v>
      </c>
      <c r="H75" s="983">
        <v>0</v>
      </c>
      <c r="I75" s="241">
        <v>19715</v>
      </c>
      <c r="J75" s="241">
        <v>0</v>
      </c>
      <c r="K75" s="241">
        <v>20454.939999999999</v>
      </c>
      <c r="L75" s="241">
        <v>21337.439999999999</v>
      </c>
      <c r="M75" s="241">
        <v>20708.939999999999</v>
      </c>
      <c r="N75" s="241">
        <v>21083.94</v>
      </c>
      <c r="O75" s="241">
        <v>23837.42</v>
      </c>
      <c r="P75" s="241">
        <v>25708.899999999998</v>
      </c>
      <c r="Q75" s="241">
        <v>26819.88</v>
      </c>
    </row>
    <row r="76" spans="1:17" s="36" customFormat="1" ht="15" customHeight="1" outlineLevel="1">
      <c r="A76" s="60"/>
      <c r="B76" s="70" t="s">
        <v>495</v>
      </c>
      <c r="C76" s="13" t="s">
        <v>240</v>
      </c>
      <c r="D76" s="241"/>
      <c r="E76" s="241">
        <f>'4.10_пр-во_КТЭЦ'!E76+'4.10_транзит_КТЭЦ'!E76+'4.10_сбыт_КТЭЦ'!E76</f>
        <v>254676</v>
      </c>
      <c r="F76" s="983"/>
      <c r="G76" s="241">
        <v>264121</v>
      </c>
      <c r="H76" s="983">
        <v>0</v>
      </c>
      <c r="I76" s="241">
        <v>290536</v>
      </c>
      <c r="J76" s="241">
        <v>0</v>
      </c>
      <c r="K76" s="241">
        <v>201550.54166666663</v>
      </c>
      <c r="L76" s="241">
        <v>203286</v>
      </c>
      <c r="M76" s="241">
        <v>228196</v>
      </c>
      <c r="N76" s="241">
        <v>178376</v>
      </c>
      <c r="O76" s="241">
        <v>203371.58333333337</v>
      </c>
      <c r="P76" s="241">
        <v>228196</v>
      </c>
      <c r="Q76" s="241">
        <v>178547.16666666663</v>
      </c>
    </row>
    <row r="77" spans="1:17" s="36" customFormat="1" ht="15" customHeight="1" outlineLevel="1">
      <c r="A77" s="60"/>
      <c r="B77" s="70" t="s">
        <v>496</v>
      </c>
      <c r="C77" s="13" t="s">
        <v>240</v>
      </c>
      <c r="D77" s="241"/>
      <c r="E77" s="241">
        <f>'4.10_пр-во_КТЭЦ'!E77+'4.10_транзит_КТЭЦ'!E77+'4.10_сбыт_КТЭЦ'!E77</f>
        <v>7066</v>
      </c>
      <c r="F77" s="983"/>
      <c r="G77" s="241">
        <v>6153</v>
      </c>
      <c r="H77" s="983">
        <v>0</v>
      </c>
      <c r="I77" s="241">
        <v>6753</v>
      </c>
      <c r="J77" s="241">
        <v>0</v>
      </c>
      <c r="K77" s="241">
        <v>10171.5</v>
      </c>
      <c r="L77" s="241">
        <v>19041.735000000001</v>
      </c>
      <c r="M77" s="241">
        <v>14239</v>
      </c>
      <c r="N77" s="241">
        <v>18870.235000000001</v>
      </c>
      <c r="O77" s="241">
        <v>29026.954999999998</v>
      </c>
      <c r="P77" s="241">
        <v>34209.440000000002</v>
      </c>
      <c r="Q77" s="241">
        <v>38877.425000000003</v>
      </c>
    </row>
    <row r="78" spans="1:17" s="36" customFormat="1" ht="15" customHeight="1" outlineLevel="1">
      <c r="A78" s="60"/>
      <c r="B78" s="70" t="s">
        <v>497</v>
      </c>
      <c r="C78" s="13" t="s">
        <v>240</v>
      </c>
      <c r="D78" s="241"/>
      <c r="E78" s="241">
        <f>'4.10_пр-во_КТЭЦ'!E78+'4.10_транзит_КТЭЦ'!E78+'4.10_сбыт_КТЭЦ'!E78</f>
        <v>23</v>
      </c>
      <c r="F78" s="983"/>
      <c r="G78" s="241">
        <v>84</v>
      </c>
      <c r="H78" s="983">
        <v>0</v>
      </c>
      <c r="I78" s="241">
        <v>178</v>
      </c>
      <c r="J78" s="241">
        <v>0</v>
      </c>
      <c r="K78" s="241">
        <v>200</v>
      </c>
      <c r="L78" s="241">
        <v>200</v>
      </c>
      <c r="M78" s="241">
        <v>214</v>
      </c>
      <c r="N78" s="241">
        <v>186</v>
      </c>
      <c r="O78" s="241">
        <v>200</v>
      </c>
      <c r="P78" s="241">
        <v>214</v>
      </c>
      <c r="Q78" s="241">
        <v>186</v>
      </c>
    </row>
    <row r="79" spans="1:17" s="36" customFormat="1" ht="15" customHeight="1" outlineLevel="1">
      <c r="A79" s="60"/>
      <c r="B79" s="68" t="s">
        <v>498</v>
      </c>
      <c r="C79" s="13" t="s">
        <v>240</v>
      </c>
      <c r="D79" s="241"/>
      <c r="E79" s="241">
        <f>'4.10_пр-во_КТЭЦ'!E79+'4.10_транзит_КТЭЦ'!E79+'4.10_сбыт_КТЭЦ'!E79</f>
        <v>1458</v>
      </c>
      <c r="F79" s="983"/>
      <c r="G79" s="241">
        <v>1212</v>
      </c>
      <c r="H79" s="983">
        <v>0</v>
      </c>
      <c r="I79" s="241">
        <v>4107</v>
      </c>
      <c r="J79" s="241">
        <v>0</v>
      </c>
      <c r="K79" s="241">
        <v>3551.37</v>
      </c>
      <c r="L79" s="241">
        <v>3551.37</v>
      </c>
      <c r="M79" s="241">
        <v>3689.37</v>
      </c>
      <c r="N79" s="241">
        <v>3413.37</v>
      </c>
      <c r="O79" s="241">
        <v>3551.37</v>
      </c>
      <c r="P79" s="241">
        <v>3689.37</v>
      </c>
      <c r="Q79" s="241">
        <v>3413.37</v>
      </c>
    </row>
    <row r="80" spans="1:17" s="36" customFormat="1" ht="15" customHeight="1" outlineLevel="1">
      <c r="A80" s="60"/>
      <c r="B80" s="68" t="s">
        <v>499</v>
      </c>
      <c r="C80" s="13" t="s">
        <v>240</v>
      </c>
      <c r="D80" s="241"/>
      <c r="E80" s="241">
        <f>'4.10_пр-во_КТЭЦ'!E80+'4.10_транзит_КТЭЦ'!E80+'4.10_сбыт_КТЭЦ'!E80</f>
        <v>7012</v>
      </c>
      <c r="F80" s="983"/>
      <c r="G80" s="241">
        <v>7581</v>
      </c>
      <c r="H80" s="983">
        <v>0</v>
      </c>
      <c r="I80" s="241">
        <v>10020</v>
      </c>
      <c r="J80" s="241">
        <v>0</v>
      </c>
      <c r="K80" s="241">
        <v>8129.4283333333342</v>
      </c>
      <c r="L80" s="241">
        <v>11882.584999999999</v>
      </c>
      <c r="M80" s="241">
        <v>10464.82</v>
      </c>
      <c r="N80" s="241">
        <v>11218.584999999999</v>
      </c>
      <c r="O80" s="241">
        <v>16076.985000000001</v>
      </c>
      <c r="P80" s="241">
        <v>18853.62</v>
      </c>
      <c r="Q80" s="241">
        <v>19638.254999999997</v>
      </c>
    </row>
    <row r="81" spans="1:17" s="36" customFormat="1">
      <c r="A81" s="60"/>
      <c r="B81" s="68"/>
      <c r="C81" s="13"/>
      <c r="D81" s="66"/>
      <c r="E81" s="66"/>
      <c r="F81" s="990"/>
      <c r="G81" s="66"/>
      <c r="H81" s="990"/>
      <c r="I81" s="66"/>
      <c r="J81" s="66"/>
      <c r="K81" s="66"/>
      <c r="L81" s="66"/>
      <c r="M81" s="66"/>
      <c r="N81" s="66"/>
      <c r="O81" s="66"/>
      <c r="P81" s="66"/>
      <c r="Q81" s="66"/>
    </row>
    <row r="82" spans="1:17" s="1001" customFormat="1" ht="15" customHeight="1">
      <c r="A82" s="82" t="s">
        <v>86</v>
      </c>
      <c r="B82" s="80" t="s">
        <v>504</v>
      </c>
      <c r="C82" s="999"/>
      <c r="D82" s="432">
        <f>D97/D67*100</f>
        <v>5.7599423142930144</v>
      </c>
      <c r="E82" s="432">
        <f t="shared" ref="E82:N83" si="0">E97/E67*100</f>
        <v>6.127515147273928</v>
      </c>
      <c r="F82" s="1007">
        <f t="shared" si="0"/>
        <v>6.3834789475293379</v>
      </c>
      <c r="G82" s="432">
        <v>5.0316148687570141</v>
      </c>
      <c r="H82" s="1007">
        <v>4.8601601547508544</v>
      </c>
      <c r="I82" s="432">
        <v>3.6646634524658084</v>
      </c>
      <c r="J82" s="432" t="e">
        <v>#DIV/0!</v>
      </c>
      <c r="K82" s="432">
        <v>5.3605982521286855</v>
      </c>
      <c r="L82" s="432">
        <v>5.8158060521795312</v>
      </c>
      <c r="M82" s="432">
        <v>2.8805787343647382</v>
      </c>
      <c r="N82" s="432">
        <v>2.9501179965720534</v>
      </c>
      <c r="O82" s="432">
        <v>6.0962642461835408</v>
      </c>
      <c r="P82" s="432">
        <v>3.0058367591799815</v>
      </c>
      <c r="Q82" s="432">
        <v>3.0609776717496242</v>
      </c>
    </row>
    <row r="83" spans="1:17" s="36" customFormat="1" ht="15" customHeight="1" outlineLevel="1">
      <c r="A83" s="60"/>
      <c r="B83" s="68" t="s">
        <v>487</v>
      </c>
      <c r="C83" s="13" t="s">
        <v>138</v>
      </c>
      <c r="D83" s="66"/>
      <c r="E83" s="251">
        <f t="shared" si="0"/>
        <v>2.9494892995244366</v>
      </c>
      <c r="F83" s="990"/>
      <c r="G83" s="251">
        <v>2.9889108738529115</v>
      </c>
      <c r="H83" s="1359" t="e">
        <v>#DIV/0!</v>
      </c>
      <c r="I83" s="251">
        <v>2.1259733044229527</v>
      </c>
      <c r="J83" s="251" t="e">
        <v>#DIV/0!</v>
      </c>
      <c r="K83" s="251">
        <v>2.986442094838325</v>
      </c>
      <c r="L83" s="251">
        <v>2.9926485629809862</v>
      </c>
      <c r="M83" s="251">
        <v>1.4918454317459542</v>
      </c>
      <c r="N83" s="251">
        <v>1.5016394913025852</v>
      </c>
      <c r="O83" s="251">
        <v>3.059473321801319</v>
      </c>
      <c r="P83" s="251">
        <v>1.5265653494931091</v>
      </c>
      <c r="Q83" s="251">
        <v>1.5335037557484137</v>
      </c>
    </row>
    <row r="84" spans="1:17" s="36" customFormat="1" ht="15" customHeight="1" outlineLevel="1">
      <c r="A84" s="60"/>
      <c r="B84" s="68" t="s">
        <v>488</v>
      </c>
      <c r="C84" s="13" t="s">
        <v>138</v>
      </c>
      <c r="D84" s="66"/>
      <c r="E84" s="251">
        <f t="shared" ref="E84:G84" si="1">E99/E69*100</f>
        <v>7.4511956936727159</v>
      </c>
      <c r="F84" s="990"/>
      <c r="G84" s="251">
        <v>7.3254209548612144</v>
      </c>
      <c r="H84" s="1359" t="e">
        <v>#DIV/0!</v>
      </c>
      <c r="I84" s="251">
        <v>6.0453314937338645</v>
      </c>
      <c r="J84" s="251" t="e">
        <v>#DIV/0!</v>
      </c>
      <c r="K84" s="251">
        <v>7.9539995131083714</v>
      </c>
      <c r="L84" s="251">
        <v>8.6397804782535026</v>
      </c>
      <c r="M84" s="251">
        <v>4.2551780979000933</v>
      </c>
      <c r="N84" s="251">
        <v>4.3890740221653379</v>
      </c>
      <c r="O84" s="251">
        <v>8.6231781195363428</v>
      </c>
      <c r="P84" s="251">
        <v>4.2903439767130962</v>
      </c>
      <c r="Q84" s="251">
        <v>4.3339773758196154</v>
      </c>
    </row>
    <row r="85" spans="1:17" s="36" customFormat="1" ht="15" customHeight="1" outlineLevel="1">
      <c r="A85" s="60"/>
      <c r="B85" s="68" t="s">
        <v>489</v>
      </c>
      <c r="C85" s="13" t="s">
        <v>138</v>
      </c>
      <c r="D85" s="66"/>
      <c r="E85" s="251">
        <f t="shared" ref="E85:G85" si="2">E100/E70*100</f>
        <v>8.5745603108963167</v>
      </c>
      <c r="F85" s="990"/>
      <c r="G85" s="251">
        <v>7.059169567135644</v>
      </c>
      <c r="H85" s="1359" t="e">
        <v>#DIV/0!</v>
      </c>
      <c r="I85" s="251">
        <v>5.1352672027009012</v>
      </c>
      <c r="J85" s="251" t="e">
        <v>#DIV/0!</v>
      </c>
      <c r="K85" s="251">
        <v>7.9986962190352022</v>
      </c>
      <c r="L85" s="251">
        <v>7.9989569412301575</v>
      </c>
      <c r="M85" s="251">
        <v>3.9979171488081464</v>
      </c>
      <c r="N85" s="251">
        <v>4.0014930944382225</v>
      </c>
      <c r="O85" s="251">
        <v>7.9989569412301575</v>
      </c>
      <c r="P85" s="251">
        <v>3.9979171488081464</v>
      </c>
      <c r="Q85" s="251">
        <v>4.0014930944382225</v>
      </c>
    </row>
    <row r="86" spans="1:17" s="36" customFormat="1" ht="15" customHeight="1" outlineLevel="1">
      <c r="A86" s="60"/>
      <c r="B86" s="68" t="s">
        <v>490</v>
      </c>
      <c r="C86" s="13" t="s">
        <v>138</v>
      </c>
      <c r="D86" s="66"/>
      <c r="E86" s="251">
        <f t="shared" ref="E86:G86" si="3">E101/E71*100</f>
        <v>11.484136982029586</v>
      </c>
      <c r="F86" s="990"/>
      <c r="G86" s="251">
        <v>10.607242418601144</v>
      </c>
      <c r="H86" s="1359" t="e">
        <v>#DIV/0!</v>
      </c>
      <c r="I86" s="251">
        <v>7.2907980926360691</v>
      </c>
      <c r="J86" s="251" t="e">
        <v>#DIV/0!</v>
      </c>
      <c r="K86" s="251">
        <v>11.311187724612495</v>
      </c>
      <c r="L86" s="251">
        <v>11.742779132884289</v>
      </c>
      <c r="M86" s="251">
        <v>5.838736444985634</v>
      </c>
      <c r="N86" s="251">
        <v>5.9266727897117333</v>
      </c>
      <c r="O86" s="251">
        <v>12.34348433416182</v>
      </c>
      <c r="P86" s="251">
        <v>6.0898693777211159</v>
      </c>
      <c r="Q86" s="251">
        <v>6.179541875318959</v>
      </c>
    </row>
    <row r="87" spans="1:17" s="36" customFormat="1" ht="15" customHeight="1" outlineLevel="1">
      <c r="A87" s="60"/>
      <c r="B87" s="68" t="s">
        <v>491</v>
      </c>
      <c r="C87" s="13" t="s">
        <v>138</v>
      </c>
      <c r="D87" s="66"/>
      <c r="E87" s="251">
        <f t="shared" ref="E87:G87" si="4">E102/E72*100</f>
        <v>12.29656596498439</v>
      </c>
      <c r="F87" s="990"/>
      <c r="G87" s="251">
        <v>11.86799645731449</v>
      </c>
      <c r="H87" s="1359" t="e">
        <v>#DIV/0!</v>
      </c>
      <c r="I87" s="251">
        <v>7.4221688121936245</v>
      </c>
      <c r="J87" s="251" t="e">
        <v>#DIV/0!</v>
      </c>
      <c r="K87" s="251">
        <v>11.652100474734162</v>
      </c>
      <c r="L87" s="251">
        <v>11.782257097068893</v>
      </c>
      <c r="M87" s="251">
        <v>5.8260257167522376</v>
      </c>
      <c r="N87" s="251">
        <v>5.9680460587678743</v>
      </c>
      <c r="O87" s="251">
        <v>13.42770839480629</v>
      </c>
      <c r="P87" s="251">
        <v>6.7019872275143593</v>
      </c>
      <c r="Q87" s="251">
        <v>6.7273136521473029</v>
      </c>
    </row>
    <row r="88" spans="1:17" s="36" customFormat="1" ht="15" customHeight="1" outlineLevel="1">
      <c r="A88" s="60"/>
      <c r="B88" s="70" t="s">
        <v>492</v>
      </c>
      <c r="C88" s="13" t="s">
        <v>138</v>
      </c>
      <c r="D88" s="66"/>
      <c r="E88" s="251">
        <f t="shared" ref="E88:G88" si="5">E103/E73*100</f>
        <v>20.235818992989167</v>
      </c>
      <c r="F88" s="990"/>
      <c r="G88" s="251">
        <v>9.7841493540679547</v>
      </c>
      <c r="H88" s="1359" t="e">
        <v>#DIV/0!</v>
      </c>
      <c r="I88" s="251">
        <v>6.9803136469803144</v>
      </c>
      <c r="J88" s="251" t="e">
        <v>#DIV/0!</v>
      </c>
      <c r="K88" s="251">
        <v>11.731904629430153</v>
      </c>
      <c r="L88" s="251">
        <v>12.682494182762877</v>
      </c>
      <c r="M88" s="251">
        <v>6.441981924327175</v>
      </c>
      <c r="N88" s="251">
        <v>6.2256604954937451</v>
      </c>
      <c r="O88" s="251">
        <v>12.861004681651176</v>
      </c>
      <c r="P88" s="251">
        <v>6.5341946111747724</v>
      </c>
      <c r="Q88" s="251">
        <v>6.3112389050041005</v>
      </c>
    </row>
    <row r="89" spans="1:17" s="36" customFormat="1" ht="15" customHeight="1" outlineLevel="1">
      <c r="A89" s="60"/>
      <c r="B89" s="70" t="s">
        <v>493</v>
      </c>
      <c r="C89" s="13" t="s">
        <v>138</v>
      </c>
      <c r="D89" s="66"/>
      <c r="E89" s="251">
        <f t="shared" ref="E89:G89" si="6">E104/E74*100</f>
        <v>25.492561318858066</v>
      </c>
      <c r="F89" s="990"/>
      <c r="G89" s="251">
        <v>26.905829596412556</v>
      </c>
      <c r="H89" s="1359" t="e">
        <v>#DIV/0!</v>
      </c>
      <c r="I89" s="251">
        <v>17.35357917570499</v>
      </c>
      <c r="J89" s="251" t="e">
        <v>#DIV/0!</v>
      </c>
      <c r="K89" s="251">
        <v>27.441281479556245</v>
      </c>
      <c r="L89" s="251">
        <v>23.910256247250494</v>
      </c>
      <c r="M89" s="251">
        <v>11.935907335907336</v>
      </c>
      <c r="N89" s="251">
        <v>12.03612595593361</v>
      </c>
      <c r="O89" s="251">
        <v>24.072971902419741</v>
      </c>
      <c r="P89" s="251">
        <v>11.121124849516789</v>
      </c>
      <c r="Q89" s="251">
        <v>12.574952431985908</v>
      </c>
    </row>
    <row r="90" spans="1:17" s="36" customFormat="1" ht="15" customHeight="1" outlineLevel="1">
      <c r="A90" s="60"/>
      <c r="B90" s="70" t="s">
        <v>494</v>
      </c>
      <c r="C90" s="13" t="s">
        <v>138</v>
      </c>
      <c r="D90" s="66"/>
      <c r="E90" s="251">
        <f t="shared" ref="E90:G90" si="7">E105/E75*100</f>
        <v>40.883590462833098</v>
      </c>
      <c r="F90" s="990"/>
      <c r="G90" s="251">
        <v>40.59040590405904</v>
      </c>
      <c r="H90" s="1359" t="e">
        <v>#DIV/0!</v>
      </c>
      <c r="I90" s="251">
        <v>16.987065686025868</v>
      </c>
      <c r="J90" s="251" t="e">
        <v>#DIV/0!</v>
      </c>
      <c r="K90" s="251">
        <v>18.408462698986163</v>
      </c>
      <c r="L90" s="251">
        <v>18.313724608012961</v>
      </c>
      <c r="M90" s="251">
        <v>9.4029438493713347</v>
      </c>
      <c r="N90" s="251">
        <v>9.2982146600682789</v>
      </c>
      <c r="O90" s="251">
        <v>17.706572271663628</v>
      </c>
      <c r="P90" s="251">
        <v>8.0411841813535396</v>
      </c>
      <c r="Q90" s="251">
        <v>8.0294542704889054</v>
      </c>
    </row>
    <row r="91" spans="1:17" s="36" customFormat="1" ht="15" customHeight="1" outlineLevel="1">
      <c r="A91" s="60"/>
      <c r="B91" s="70" t="s">
        <v>495</v>
      </c>
      <c r="C91" s="13" t="s">
        <v>138</v>
      </c>
      <c r="D91" s="66"/>
      <c r="E91" s="251">
        <f t="shared" ref="E91:G91" si="8">E106/E76*100</f>
        <v>9.3181139958221433</v>
      </c>
      <c r="F91" s="990"/>
      <c r="G91" s="251">
        <v>9.7504552837525225</v>
      </c>
      <c r="H91" s="1359" t="e">
        <v>#DIV/0!</v>
      </c>
      <c r="I91" s="251">
        <v>6.4370680397609927</v>
      </c>
      <c r="J91" s="251" t="e">
        <v>#DIV/0!</v>
      </c>
      <c r="K91" s="251">
        <v>9.8436847829525007</v>
      </c>
      <c r="L91" s="251">
        <v>9.9377232076975304</v>
      </c>
      <c r="M91" s="251">
        <v>4.9816824133639503</v>
      </c>
      <c r="N91" s="251">
        <v>4.9524599721935685</v>
      </c>
      <c r="O91" s="251">
        <v>9.9335411904072117</v>
      </c>
      <c r="P91" s="251">
        <v>4.9816824133639503</v>
      </c>
      <c r="Q91" s="251">
        <v>4.9477122291682036</v>
      </c>
    </row>
    <row r="92" spans="1:17" s="36" customFormat="1" ht="15" customHeight="1" outlineLevel="1">
      <c r="A92" s="60"/>
      <c r="B92" s="70" t="s">
        <v>496</v>
      </c>
      <c r="C92" s="13" t="s">
        <v>138</v>
      </c>
      <c r="D92" s="66"/>
      <c r="E92" s="251">
        <f t="shared" ref="E92:G92" si="9">E107/E77*100</f>
        <v>4.7693178601754882</v>
      </c>
      <c r="F92" s="990"/>
      <c r="G92" s="251">
        <v>3.201690232406956</v>
      </c>
      <c r="H92" s="1359" t="e">
        <v>#DIV/0!</v>
      </c>
      <c r="I92" s="251">
        <v>1.4512068710202874</v>
      </c>
      <c r="J92" s="251" t="e">
        <v>#DIV/0!</v>
      </c>
      <c r="K92" s="251">
        <v>1.3763948286880008</v>
      </c>
      <c r="L92" s="251">
        <v>6.1906123575398979</v>
      </c>
      <c r="M92" s="251">
        <v>4.1955193482688387</v>
      </c>
      <c r="N92" s="251">
        <v>3.0810427109148346</v>
      </c>
      <c r="O92" s="251">
        <v>8.6307020491815258</v>
      </c>
      <c r="P92" s="251">
        <v>3.6842754514543352</v>
      </c>
      <c r="Q92" s="251">
        <v>3.2020124789643343</v>
      </c>
    </row>
    <row r="93" spans="1:17" s="36" customFormat="1" ht="15" customHeight="1" outlineLevel="1">
      <c r="A93" s="60"/>
      <c r="B93" s="70" t="s">
        <v>497</v>
      </c>
      <c r="C93" s="13" t="s">
        <v>138</v>
      </c>
      <c r="D93" s="66"/>
      <c r="E93" s="251">
        <f t="shared" ref="E93:G93" si="10">E108/E78*100</f>
        <v>39.130434782608695</v>
      </c>
      <c r="F93" s="990"/>
      <c r="G93" s="251">
        <v>22.61904761904762</v>
      </c>
      <c r="H93" s="1359" t="e">
        <v>#DIV/0!</v>
      </c>
      <c r="I93" s="251">
        <v>16.292134831460675</v>
      </c>
      <c r="J93" s="251" t="e">
        <v>#DIV/0!</v>
      </c>
      <c r="K93" s="251">
        <v>13</v>
      </c>
      <c r="L93" s="251">
        <v>13</v>
      </c>
      <c r="M93" s="251">
        <v>6.5420560747663545</v>
      </c>
      <c r="N93" s="251">
        <v>6.4516129032258061</v>
      </c>
      <c r="O93" s="251">
        <v>12.5</v>
      </c>
      <c r="P93" s="251">
        <v>6.0747663551401869</v>
      </c>
      <c r="Q93" s="251">
        <v>6.4516129032258061</v>
      </c>
    </row>
    <row r="94" spans="1:17" s="36" customFormat="1" ht="15" customHeight="1" outlineLevel="1">
      <c r="A94" s="60"/>
      <c r="B94" s="68" t="s">
        <v>498</v>
      </c>
      <c r="C94" s="13" t="s">
        <v>138</v>
      </c>
      <c r="D94" s="66"/>
      <c r="E94" s="251">
        <f t="shared" ref="E94:G94" si="11">E109/E79*100</f>
        <v>21.124828532235938</v>
      </c>
      <c r="F94" s="990"/>
      <c r="G94" s="251">
        <v>29.455445544554454</v>
      </c>
      <c r="H94" s="1359" t="e">
        <v>#DIV/0!</v>
      </c>
      <c r="I94" s="251">
        <v>14.170927684441198</v>
      </c>
      <c r="J94" s="251" t="e">
        <v>#DIV/0!</v>
      </c>
      <c r="K94" s="251">
        <v>15.472057262408592</v>
      </c>
      <c r="L94" s="251">
        <v>15.458259770173202</v>
      </c>
      <c r="M94" s="251">
        <v>7.6975201728208349</v>
      </c>
      <c r="N94" s="251">
        <v>7.7632955114739985</v>
      </c>
      <c r="O94" s="251">
        <v>15.458259770173202</v>
      </c>
      <c r="P94" s="251">
        <v>7.6975201728208349</v>
      </c>
      <c r="Q94" s="251">
        <v>7.7632955114739985</v>
      </c>
    </row>
    <row r="95" spans="1:17" s="36" customFormat="1" ht="15" customHeight="1" outlineLevel="1">
      <c r="A95" s="60"/>
      <c r="B95" s="68" t="s">
        <v>499</v>
      </c>
      <c r="C95" s="13" t="s">
        <v>138</v>
      </c>
      <c r="D95" s="66"/>
      <c r="E95" s="251">
        <f t="shared" ref="E95:G95" si="12">E110/E80*100</f>
        <v>11.223616657159157</v>
      </c>
      <c r="F95" s="990"/>
      <c r="G95" s="251">
        <v>10.737369740139824</v>
      </c>
      <c r="H95" s="1359" t="e">
        <v>#DIV/0!</v>
      </c>
      <c r="I95" s="251">
        <v>6.666666666666667</v>
      </c>
      <c r="J95" s="251" t="e">
        <v>#DIV/0!</v>
      </c>
      <c r="K95" s="251">
        <v>10.036622091303261</v>
      </c>
      <c r="L95" s="251">
        <v>9.9124895803396331</v>
      </c>
      <c r="M95" s="251">
        <v>5.9334990950632704</v>
      </c>
      <c r="N95" s="251">
        <v>4.9643515648363863</v>
      </c>
      <c r="O95" s="251">
        <v>10.557078954791585</v>
      </c>
      <c r="P95" s="251">
        <v>4.6708801811005003</v>
      </c>
      <c r="Q95" s="251">
        <v>4.1583633576404839</v>
      </c>
    </row>
    <row r="96" spans="1:17" s="36" customFormat="1">
      <c r="A96" s="60"/>
      <c r="B96" s="68"/>
      <c r="C96" s="13"/>
      <c r="D96" s="66"/>
      <c r="E96" s="66"/>
      <c r="F96" s="990"/>
      <c r="G96" s="66"/>
      <c r="H96" s="990"/>
      <c r="I96" s="66"/>
      <c r="J96" s="66"/>
      <c r="K96" s="66"/>
      <c r="L96" s="66"/>
      <c r="M96" s="66"/>
      <c r="N96" s="66"/>
      <c r="O96" s="66"/>
      <c r="P96" s="66"/>
      <c r="Q96" s="66"/>
    </row>
    <row r="97" spans="1:17" s="1001" customFormat="1" ht="15" customHeight="1">
      <c r="A97" s="82" t="s">
        <v>109</v>
      </c>
      <c r="B97" s="80" t="s">
        <v>505</v>
      </c>
      <c r="C97" s="999" t="s">
        <v>240</v>
      </c>
      <c r="D97" s="1000">
        <f>'4.10_пр-во_КТЭЦ'!D97+'4.10_транзит_КТЭЦ'!D97+'4.10_сбыт_КТЭЦ'!D97</f>
        <v>74463</v>
      </c>
      <c r="E97" s="1000">
        <f>'4.10_пр-во_КТЭЦ'!E97+'4.10_транзит_КТЭЦ'!E97+'4.10_сбыт_КТЭЦ'!E97</f>
        <v>98068</v>
      </c>
      <c r="F97" s="1006">
        <f>'4.10_пр-во_КТЭЦ'!F97+'4.10_транзит_КТЭЦ'!F97+'4.10_сбыт_КТЭЦ'!F97</f>
        <v>60548</v>
      </c>
      <c r="G97" s="1000">
        <v>119755</v>
      </c>
      <c r="H97" s="1006">
        <v>69051</v>
      </c>
      <c r="I97" s="1000">
        <v>101952</v>
      </c>
      <c r="J97" s="1000">
        <v>0</v>
      </c>
      <c r="K97" s="1000">
        <v>118305.03</v>
      </c>
      <c r="L97" s="1000">
        <v>138098.07999999999</v>
      </c>
      <c r="M97" s="1000">
        <v>73262.52</v>
      </c>
      <c r="N97" s="1000">
        <v>64835.56</v>
      </c>
      <c r="O97" s="1000">
        <v>149846.12</v>
      </c>
      <c r="P97" s="1000">
        <v>79469.94</v>
      </c>
      <c r="Q97" s="1000">
        <v>70376.179999999993</v>
      </c>
    </row>
    <row r="98" spans="1:17" s="36" customFormat="1" ht="15" customHeight="1" outlineLevel="1">
      <c r="A98" s="60"/>
      <c r="B98" s="68" t="s">
        <v>487</v>
      </c>
      <c r="C98" s="13" t="s">
        <v>240</v>
      </c>
      <c r="D98" s="241"/>
      <c r="E98" s="241">
        <f>'4.10_пр-во_КТЭЦ'!E98+'4.10_транзит_КТЭЦ'!E98+'4.10_сбыт_КТЭЦ'!E98</f>
        <v>24889</v>
      </c>
      <c r="F98" s="983"/>
      <c r="G98" s="241">
        <v>47387</v>
      </c>
      <c r="H98" s="983">
        <v>0</v>
      </c>
      <c r="I98" s="241">
        <v>39298</v>
      </c>
      <c r="J98" s="241">
        <v>0</v>
      </c>
      <c r="K98" s="241">
        <v>41692.9</v>
      </c>
      <c r="L98" s="241">
        <v>41815.9</v>
      </c>
      <c r="M98" s="241">
        <v>22625.45</v>
      </c>
      <c r="N98" s="241">
        <v>19190.45</v>
      </c>
      <c r="O98" s="241">
        <v>43017.9</v>
      </c>
      <c r="P98" s="241">
        <v>23307.45</v>
      </c>
      <c r="Q98" s="241">
        <v>19710.45</v>
      </c>
    </row>
    <row r="99" spans="1:17" s="36" customFormat="1" ht="15" customHeight="1" outlineLevel="1">
      <c r="A99" s="60"/>
      <c r="B99" s="68" t="s">
        <v>488</v>
      </c>
      <c r="C99" s="13" t="s">
        <v>240</v>
      </c>
      <c r="D99" s="241"/>
      <c r="E99" s="241">
        <f>'4.10_пр-во_КТЭЦ'!E99+'4.10_транзит_КТЭЦ'!E99+'4.10_сбыт_КТЭЦ'!E99</f>
        <v>23615</v>
      </c>
      <c r="F99" s="983"/>
      <c r="G99" s="241">
        <v>24528</v>
      </c>
      <c r="H99" s="983">
        <v>0</v>
      </c>
      <c r="I99" s="241">
        <v>23135</v>
      </c>
      <c r="J99" s="241">
        <v>0</v>
      </c>
      <c r="K99" s="241">
        <v>32305</v>
      </c>
      <c r="L99" s="241">
        <v>46662</v>
      </c>
      <c r="M99" s="241">
        <v>23749</v>
      </c>
      <c r="N99" s="241">
        <v>22913</v>
      </c>
      <c r="O99" s="241">
        <v>48902</v>
      </c>
      <c r="P99" s="241">
        <v>24968</v>
      </c>
      <c r="Q99" s="241">
        <v>23934</v>
      </c>
    </row>
    <row r="100" spans="1:17" s="36" customFormat="1" ht="15" customHeight="1" outlineLevel="1">
      <c r="A100" s="60"/>
      <c r="B100" s="68" t="s">
        <v>489</v>
      </c>
      <c r="C100" s="13" t="s">
        <v>240</v>
      </c>
      <c r="D100" s="241"/>
      <c r="E100" s="241">
        <f>'4.10_пр-во_КТЭЦ'!E100+'4.10_транзит_КТЭЦ'!E100+'4.10_сбыт_КТЭЦ'!E100</f>
        <v>1721</v>
      </c>
      <c r="F100" s="983"/>
      <c r="G100" s="241">
        <v>1440</v>
      </c>
      <c r="H100" s="983">
        <v>0</v>
      </c>
      <c r="I100" s="241">
        <v>1156</v>
      </c>
      <c r="J100" s="241">
        <v>0</v>
      </c>
      <c r="K100" s="241">
        <v>1227</v>
      </c>
      <c r="L100" s="241">
        <v>1227</v>
      </c>
      <c r="M100" s="241">
        <v>691</v>
      </c>
      <c r="N100" s="241">
        <v>536</v>
      </c>
      <c r="O100" s="241">
        <v>1227</v>
      </c>
      <c r="P100" s="241">
        <v>691</v>
      </c>
      <c r="Q100" s="241">
        <v>536</v>
      </c>
    </row>
    <row r="101" spans="1:17" s="36" customFormat="1" ht="15" customHeight="1" outlineLevel="1">
      <c r="A101" s="60"/>
      <c r="B101" s="68" t="s">
        <v>490</v>
      </c>
      <c r="C101" s="13" t="s">
        <v>240</v>
      </c>
      <c r="D101" s="241"/>
      <c r="E101" s="241">
        <f>'4.10_пр-во_КТЭЦ'!E101+'4.10_транзит_КТЭЦ'!E101+'4.10_сбыт_КТЭЦ'!E101</f>
        <v>46402</v>
      </c>
      <c r="F101" s="983"/>
      <c r="G101" s="241">
        <v>45013</v>
      </c>
      <c r="H101" s="983">
        <v>0</v>
      </c>
      <c r="I101" s="241">
        <v>36986</v>
      </c>
      <c r="J101" s="241">
        <v>0</v>
      </c>
      <c r="K101" s="241">
        <v>41548.74</v>
      </c>
      <c r="L101" s="241">
        <v>45461.54</v>
      </c>
      <c r="M101" s="241">
        <v>24680.75</v>
      </c>
      <c r="N101" s="241">
        <v>20780.79</v>
      </c>
      <c r="O101" s="241">
        <v>51922.75</v>
      </c>
      <c r="P101" s="241">
        <v>28065.5</v>
      </c>
      <c r="Q101" s="241">
        <v>23857.25</v>
      </c>
    </row>
    <row r="102" spans="1:17" s="36" customFormat="1" ht="15" customHeight="1" outlineLevel="1">
      <c r="A102" s="60"/>
      <c r="B102" s="68" t="s">
        <v>491</v>
      </c>
      <c r="C102" s="13" t="s">
        <v>240</v>
      </c>
      <c r="D102" s="241"/>
      <c r="E102" s="241">
        <f>'4.10_пр-во_КТЭЦ'!E102+'4.10_транзит_КТЭЦ'!E102+'4.10_сбыт_КТЭЦ'!E102</f>
        <v>12565</v>
      </c>
      <c r="F102" s="983"/>
      <c r="G102" s="241">
        <v>12328</v>
      </c>
      <c r="H102" s="983">
        <v>0</v>
      </c>
      <c r="I102" s="241">
        <v>8585</v>
      </c>
      <c r="J102" s="241">
        <v>0</v>
      </c>
      <c r="K102" s="241">
        <v>9106</v>
      </c>
      <c r="L102" s="241">
        <v>9576</v>
      </c>
      <c r="M102" s="241">
        <v>5129</v>
      </c>
      <c r="N102" s="241">
        <v>4447</v>
      </c>
      <c r="O102" s="241">
        <v>14164</v>
      </c>
      <c r="P102" s="241">
        <v>7514</v>
      </c>
      <c r="Q102" s="241">
        <v>6650</v>
      </c>
    </row>
    <row r="103" spans="1:17" s="36" customFormat="1" ht="15" customHeight="1" outlineLevel="1">
      <c r="A103" s="60"/>
      <c r="B103" s="70" t="s">
        <v>492</v>
      </c>
      <c r="C103" s="13" t="s">
        <v>240</v>
      </c>
      <c r="D103" s="241"/>
      <c r="E103" s="241">
        <f>'4.10_пр-во_КТЭЦ'!E103+'4.10_транзит_КТЭЦ'!E103+'4.10_сбыт_КТЭЦ'!E103</f>
        <v>8255</v>
      </c>
      <c r="F103" s="983"/>
      <c r="G103" s="241">
        <v>4832</v>
      </c>
      <c r="H103" s="983">
        <v>0</v>
      </c>
      <c r="I103" s="241">
        <v>5230</v>
      </c>
      <c r="J103" s="241">
        <v>0</v>
      </c>
      <c r="K103" s="241">
        <v>7165.6</v>
      </c>
      <c r="L103" s="241">
        <v>8641.6</v>
      </c>
      <c r="M103" s="241">
        <v>4690.8</v>
      </c>
      <c r="N103" s="241">
        <v>3950.8</v>
      </c>
      <c r="O103" s="241">
        <v>8990.6</v>
      </c>
      <c r="P103" s="241">
        <v>4886.8</v>
      </c>
      <c r="Q103" s="241">
        <v>4103.8</v>
      </c>
    </row>
    <row r="104" spans="1:17" s="36" customFormat="1" ht="15" customHeight="1" outlineLevel="1">
      <c r="A104" s="60"/>
      <c r="B104" s="70" t="s">
        <v>493</v>
      </c>
      <c r="C104" s="13" t="s">
        <v>240</v>
      </c>
      <c r="D104" s="241"/>
      <c r="E104" s="241">
        <f>'4.10_пр-во_КТЭЦ'!E104+'4.10_транзит_КТЭЦ'!E104+'4.10_сбыт_КТЭЦ'!E104</f>
        <v>1268</v>
      </c>
      <c r="F104" s="983"/>
      <c r="G104" s="241">
        <v>1440</v>
      </c>
      <c r="H104" s="983">
        <v>0</v>
      </c>
      <c r="I104" s="241">
        <v>1120</v>
      </c>
      <c r="J104" s="241">
        <v>0</v>
      </c>
      <c r="K104" s="241">
        <v>1671.7</v>
      </c>
      <c r="L104" s="241">
        <v>3134.26</v>
      </c>
      <c r="M104" s="241">
        <v>1545.7</v>
      </c>
      <c r="N104" s="241">
        <v>1588.56</v>
      </c>
      <c r="O104" s="241">
        <v>4345.3599999999997</v>
      </c>
      <c r="P104" s="241">
        <v>2229.4</v>
      </c>
      <c r="Q104" s="241">
        <v>2115.96</v>
      </c>
    </row>
    <row r="105" spans="1:17" s="36" customFormat="1" ht="15" customHeight="1" outlineLevel="1">
      <c r="A105" s="60"/>
      <c r="B105" s="70" t="s">
        <v>494</v>
      </c>
      <c r="C105" s="13" t="s">
        <v>240</v>
      </c>
      <c r="D105" s="241"/>
      <c r="E105" s="241">
        <f>'4.10_пр-во_КТЭЦ'!E105+'4.10_транзит_КТЭЦ'!E105+'4.10_сбыт_КТЭЦ'!E105</f>
        <v>583</v>
      </c>
      <c r="F105" s="983"/>
      <c r="G105" s="241">
        <v>660</v>
      </c>
      <c r="H105" s="983">
        <v>0</v>
      </c>
      <c r="I105" s="241">
        <v>3349</v>
      </c>
      <c r="J105" s="241">
        <v>0</v>
      </c>
      <c r="K105" s="241">
        <v>3765.44</v>
      </c>
      <c r="L105" s="241">
        <v>3907.6800000000003</v>
      </c>
      <c r="M105" s="241">
        <v>1947.25</v>
      </c>
      <c r="N105" s="241">
        <v>1960.43</v>
      </c>
      <c r="O105" s="241">
        <v>4220.79</v>
      </c>
      <c r="P105" s="241">
        <v>2067.3000000000002</v>
      </c>
      <c r="Q105" s="241">
        <v>2153.4899999999998</v>
      </c>
    </row>
    <row r="106" spans="1:17" s="36" customFormat="1" ht="15" customHeight="1" outlineLevel="1">
      <c r="A106" s="60"/>
      <c r="B106" s="70" t="s">
        <v>495</v>
      </c>
      <c r="C106" s="13" t="s">
        <v>240</v>
      </c>
      <c r="D106" s="241"/>
      <c r="E106" s="241">
        <f>'4.10_пр-во_КТЭЦ'!E106+'4.10_транзит_КТЭЦ'!E106+'4.10_сбыт_КТЭЦ'!E106</f>
        <v>23731</v>
      </c>
      <c r="F106" s="983"/>
      <c r="G106" s="241">
        <v>25753</v>
      </c>
      <c r="H106" s="983">
        <v>0</v>
      </c>
      <c r="I106" s="241">
        <v>18702</v>
      </c>
      <c r="J106" s="241">
        <v>0</v>
      </c>
      <c r="K106" s="241">
        <v>19840</v>
      </c>
      <c r="L106" s="241">
        <v>20202</v>
      </c>
      <c r="M106" s="241">
        <v>11368</v>
      </c>
      <c r="N106" s="241">
        <v>8834</v>
      </c>
      <c r="O106" s="241">
        <v>20202</v>
      </c>
      <c r="P106" s="241">
        <v>11368</v>
      </c>
      <c r="Q106" s="241">
        <v>8834</v>
      </c>
    </row>
    <row r="107" spans="1:17" s="36" customFormat="1" ht="15" customHeight="1" outlineLevel="1">
      <c r="A107" s="60"/>
      <c r="B107" s="70" t="s">
        <v>496</v>
      </c>
      <c r="C107" s="13" t="s">
        <v>240</v>
      </c>
      <c r="D107" s="241"/>
      <c r="E107" s="241">
        <f>'4.10_пр-во_КТЭЦ'!E107+'4.10_транзит_КТЭЦ'!E107+'4.10_сбыт_КТЭЦ'!E107</f>
        <v>337</v>
      </c>
      <c r="F107" s="983"/>
      <c r="G107" s="241">
        <v>197</v>
      </c>
      <c r="H107" s="983">
        <v>0</v>
      </c>
      <c r="I107" s="241">
        <v>98</v>
      </c>
      <c r="J107" s="241">
        <v>0</v>
      </c>
      <c r="K107" s="241">
        <v>140</v>
      </c>
      <c r="L107" s="241">
        <v>1178.8</v>
      </c>
      <c r="M107" s="241">
        <v>597.4</v>
      </c>
      <c r="N107" s="241">
        <v>581.4</v>
      </c>
      <c r="O107" s="241">
        <v>2505.2299999999996</v>
      </c>
      <c r="P107" s="241">
        <v>1260.3699999999999</v>
      </c>
      <c r="Q107" s="241">
        <v>1244.8599999999999</v>
      </c>
    </row>
    <row r="108" spans="1:17" s="36" customFormat="1" ht="15" customHeight="1" outlineLevel="1">
      <c r="A108" s="60"/>
      <c r="B108" s="70" t="s">
        <v>497</v>
      </c>
      <c r="C108" s="13" t="s">
        <v>240</v>
      </c>
      <c r="D108" s="241"/>
      <c r="E108" s="241">
        <f>'4.10_пр-во_КТЭЦ'!E108+'4.10_транзит_КТЭЦ'!E108+'4.10_сбыт_КТЭЦ'!E108</f>
        <v>9</v>
      </c>
      <c r="F108" s="983"/>
      <c r="G108" s="241">
        <v>19</v>
      </c>
      <c r="H108" s="983">
        <v>0</v>
      </c>
      <c r="I108" s="241">
        <v>29</v>
      </c>
      <c r="J108" s="241">
        <v>0</v>
      </c>
      <c r="K108" s="241">
        <v>26</v>
      </c>
      <c r="L108" s="241">
        <v>26</v>
      </c>
      <c r="M108" s="241">
        <v>14</v>
      </c>
      <c r="N108" s="241">
        <v>12</v>
      </c>
      <c r="O108" s="241">
        <v>25</v>
      </c>
      <c r="P108" s="241">
        <v>13</v>
      </c>
      <c r="Q108" s="241">
        <v>12</v>
      </c>
    </row>
    <row r="109" spans="1:17" s="36" customFormat="1" ht="15" customHeight="1" outlineLevel="1">
      <c r="A109" s="60"/>
      <c r="B109" s="68" t="s">
        <v>498</v>
      </c>
      <c r="C109" s="13" t="s">
        <v>240</v>
      </c>
      <c r="D109" s="241"/>
      <c r="E109" s="241">
        <f>'4.10_пр-во_КТЭЦ'!E109+'4.10_транзит_КТЭЦ'!E109+'4.10_сбыт_КТЭЦ'!E109</f>
        <v>308</v>
      </c>
      <c r="F109" s="983"/>
      <c r="G109" s="241">
        <v>357</v>
      </c>
      <c r="H109" s="983">
        <v>0</v>
      </c>
      <c r="I109" s="241">
        <v>582</v>
      </c>
      <c r="J109" s="241">
        <v>0</v>
      </c>
      <c r="K109" s="241">
        <v>549.47</v>
      </c>
      <c r="L109" s="241">
        <v>548.98</v>
      </c>
      <c r="M109" s="241">
        <v>283.99</v>
      </c>
      <c r="N109" s="241">
        <v>264.99</v>
      </c>
      <c r="O109" s="241">
        <v>548.98</v>
      </c>
      <c r="P109" s="241">
        <v>283.99</v>
      </c>
      <c r="Q109" s="241">
        <v>264.99</v>
      </c>
    </row>
    <row r="110" spans="1:17" s="36" customFormat="1" ht="15" customHeight="1" outlineLevel="1">
      <c r="A110" s="60"/>
      <c r="B110" s="68" t="s">
        <v>499</v>
      </c>
      <c r="C110" s="13" t="s">
        <v>240</v>
      </c>
      <c r="D110" s="241"/>
      <c r="E110" s="241">
        <f>'4.10_пр-во_КТЭЦ'!E110+'4.10_транзит_КТЭЦ'!E110+'4.10_сбыт_КТЭЦ'!E110</f>
        <v>787</v>
      </c>
      <c r="F110" s="983"/>
      <c r="G110" s="241">
        <v>814</v>
      </c>
      <c r="H110" s="983">
        <v>0</v>
      </c>
      <c r="I110" s="241">
        <v>668</v>
      </c>
      <c r="J110" s="241">
        <v>0</v>
      </c>
      <c r="K110" s="241">
        <v>815.92</v>
      </c>
      <c r="L110" s="241">
        <v>1177.8600000000001</v>
      </c>
      <c r="M110" s="241">
        <v>620.93000000000006</v>
      </c>
      <c r="N110" s="241">
        <v>556.93000000000006</v>
      </c>
      <c r="O110" s="241">
        <v>1697.26</v>
      </c>
      <c r="P110" s="241">
        <v>880.63</v>
      </c>
      <c r="Q110" s="241">
        <v>816.63</v>
      </c>
    </row>
    <row r="111" spans="1:17" s="1001" customFormat="1" ht="28.5">
      <c r="A111" s="82" t="s">
        <v>151</v>
      </c>
      <c r="B111" s="80" t="s">
        <v>1524</v>
      </c>
      <c r="C111" s="1002" t="s">
        <v>240</v>
      </c>
      <c r="D111" s="1000">
        <f>'4.10_пр-во_КТЭЦ'!D111+'4.10_транзит_КТЭЦ'!D111+'4.10_сбыт_КТЭЦ'!D111</f>
        <v>77044</v>
      </c>
      <c r="E111" s="1000">
        <f>'4.10_пр-во_КТЭЦ'!E111+'4.10_транзит_КТЭЦ'!E111+'4.10_сбыт_КТЭЦ'!E111</f>
        <v>101818</v>
      </c>
      <c r="F111" s="1006">
        <f>'4.10_пр-во_КТЭЦ'!F111+'4.10_транзит_КТЭЦ'!F111+'4.10_сбыт_КТЭЦ'!F111</f>
        <v>60548</v>
      </c>
      <c r="G111" s="1000">
        <v>124524</v>
      </c>
      <c r="H111" s="1006">
        <v>71146</v>
      </c>
      <c r="I111" s="1000">
        <v>101952</v>
      </c>
      <c r="J111" s="1000">
        <v>0</v>
      </c>
      <c r="K111" s="1000">
        <v>118305</v>
      </c>
      <c r="L111" s="1000">
        <v>138098</v>
      </c>
      <c r="M111" s="1000">
        <v>73263</v>
      </c>
      <c r="N111" s="1000">
        <v>64835</v>
      </c>
      <c r="O111" s="1000">
        <v>149846</v>
      </c>
      <c r="P111" s="1000">
        <v>79470</v>
      </c>
      <c r="Q111" s="1000">
        <v>70376</v>
      </c>
    </row>
    <row r="112" spans="1:17" s="36" customFormat="1" ht="15" customHeight="1">
      <c r="A112" s="60" t="s">
        <v>153</v>
      </c>
      <c r="B112" s="70" t="s">
        <v>402</v>
      </c>
      <c r="C112" s="13" t="s">
        <v>240</v>
      </c>
      <c r="D112" s="241"/>
      <c r="E112" s="241"/>
      <c r="F112" s="983"/>
      <c r="G112" s="241"/>
      <c r="H112" s="983"/>
      <c r="I112" s="241"/>
      <c r="J112" s="241"/>
      <c r="K112" s="241"/>
      <c r="L112" s="241"/>
      <c r="M112" s="241"/>
      <c r="N112" s="241"/>
      <c r="O112" s="241"/>
      <c r="P112" s="241"/>
      <c r="Q112" s="241"/>
    </row>
    <row r="113" spans="1:17" s="36" customFormat="1" ht="15" customHeight="1">
      <c r="A113" s="60" t="s">
        <v>1528</v>
      </c>
      <c r="B113" s="70" t="s">
        <v>404</v>
      </c>
      <c r="C113" s="13" t="s">
        <v>240</v>
      </c>
      <c r="D113" s="241"/>
      <c r="E113" s="241"/>
      <c r="F113" s="983"/>
      <c r="G113" s="241"/>
      <c r="H113" s="983"/>
      <c r="I113" s="241"/>
      <c r="J113" s="241"/>
      <c r="K113" s="241"/>
      <c r="L113" s="241"/>
      <c r="M113" s="241"/>
      <c r="N113" s="241"/>
      <c r="O113" s="241"/>
      <c r="P113" s="241"/>
      <c r="Q113" s="241"/>
    </row>
    <row r="114" spans="1:17" s="36" customFormat="1" ht="15" customHeight="1">
      <c r="A114" s="60" t="s">
        <v>1529</v>
      </c>
      <c r="B114" s="70" t="s">
        <v>406</v>
      </c>
      <c r="C114" s="13" t="s">
        <v>240</v>
      </c>
      <c r="D114" s="241">
        <f>D111</f>
        <v>77044</v>
      </c>
      <c r="E114" s="241">
        <f t="shared" ref="E114:N114" si="13">E111</f>
        <v>101818</v>
      </c>
      <c r="F114" s="241">
        <f t="shared" si="13"/>
        <v>60548</v>
      </c>
      <c r="G114" s="241">
        <v>124524</v>
      </c>
      <c r="H114" s="983">
        <v>71146</v>
      </c>
      <c r="I114" s="241">
        <v>101952</v>
      </c>
      <c r="J114" s="241">
        <v>0</v>
      </c>
      <c r="K114" s="241">
        <v>118305</v>
      </c>
      <c r="L114" s="241">
        <v>138098</v>
      </c>
      <c r="M114" s="241">
        <v>73263</v>
      </c>
      <c r="N114" s="241">
        <v>64835</v>
      </c>
      <c r="O114" s="241">
        <v>149846</v>
      </c>
      <c r="P114" s="241">
        <v>79470</v>
      </c>
      <c r="Q114" s="241">
        <v>70376</v>
      </c>
    </row>
    <row r="115" spans="1:17" s="36" customFormat="1" ht="15" customHeight="1">
      <c r="A115" s="60" t="s">
        <v>1530</v>
      </c>
      <c r="B115" s="70" t="s">
        <v>408</v>
      </c>
      <c r="C115" s="13" t="s">
        <v>240</v>
      </c>
      <c r="D115" s="241"/>
      <c r="E115" s="241"/>
      <c r="F115" s="241"/>
      <c r="G115" s="241"/>
      <c r="H115" s="241"/>
      <c r="I115" s="241"/>
      <c r="J115" s="241"/>
      <c r="K115" s="241"/>
      <c r="L115" s="241"/>
      <c r="M115" s="241"/>
      <c r="N115" s="241"/>
      <c r="O115" s="241"/>
      <c r="P115" s="241"/>
      <c r="Q115" s="241"/>
    </row>
    <row r="116" spans="1:17" customFormat="1" ht="12.75"/>
    <row r="117" spans="1:17" s="26" customFormat="1">
      <c r="A117" s="26" t="s">
        <v>88</v>
      </c>
      <c r="C117" s="48"/>
    </row>
    <row r="118" spans="1:17" s="334" customFormat="1" ht="51.75" customHeight="1">
      <c r="A118" s="334" t="s">
        <v>89</v>
      </c>
      <c r="B118" s="1842" t="s">
        <v>506</v>
      </c>
      <c r="C118" s="1842"/>
      <c r="D118" s="1842"/>
      <c r="E118" s="1842"/>
      <c r="F118" s="1842"/>
      <c r="G118" s="1842"/>
      <c r="H118" s="1842"/>
      <c r="I118" s="1842"/>
      <c r="J118" s="1842"/>
      <c r="K118" s="1842"/>
      <c r="L118" s="1842"/>
      <c r="M118" s="1842"/>
      <c r="N118" s="1842"/>
    </row>
    <row r="119" spans="1:17" s="334" customFormat="1" ht="58.5" customHeight="1">
      <c r="A119" s="334" t="s">
        <v>91</v>
      </c>
      <c r="B119" s="1842" t="s">
        <v>507</v>
      </c>
      <c r="C119" s="1842"/>
      <c r="D119" s="1842"/>
      <c r="E119" s="1842"/>
      <c r="F119" s="1842"/>
      <c r="G119" s="1842"/>
      <c r="H119" s="1842"/>
      <c r="I119" s="1842"/>
      <c r="J119" s="1842"/>
      <c r="K119" s="1842"/>
      <c r="L119" s="1842"/>
      <c r="M119" s="1842"/>
      <c r="N119" s="1842"/>
    </row>
    <row r="120" spans="1:17" ht="21" customHeight="1"/>
  </sheetData>
  <mergeCells count="3">
    <mergeCell ref="A3:N3"/>
    <mergeCell ref="B118:N118"/>
    <mergeCell ref="B119:N119"/>
  </mergeCells>
  <pageMargins left="0.78740157480314965" right="0.51181102362204722" top="0.34" bottom="0.39370078740157483" header="0.19685039370078741" footer="0.19685039370078741"/>
  <pageSetup paperSize="9" scale="43" orientation="portrait" r:id="rId1"/>
  <headerFooter alignWithMargins="0"/>
  <rowBreaks count="1" manualBreakCount="1">
    <brk id="116" max="6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FF00"/>
  </sheetPr>
  <dimension ref="A1:EZ36"/>
  <sheetViews>
    <sheetView view="pageBreakPreview" zoomScaleNormal="100" zoomScaleSheetLayoutView="100" workbookViewId="0">
      <pane xSplit="2" ySplit="8" topLeftCell="EE23" activePane="bottomRight" state="frozen"/>
      <selection activeCell="BH26" sqref="BH26"/>
      <selection pane="topRight" activeCell="BH26" sqref="BH26"/>
      <selection pane="bottomLeft" activeCell="BH26" sqref="BH26"/>
      <selection pane="bottomRight" activeCell="FA2" sqref="FA2"/>
    </sheetView>
  </sheetViews>
  <sheetFormatPr defaultColWidth="4.85546875" defaultRowHeight="12" customHeight="1" outlineLevelCol="1"/>
  <cols>
    <col min="1" max="1" width="4.85546875" style="26" customWidth="1"/>
    <col min="2" max="2" width="40.140625" style="26" customWidth="1"/>
    <col min="3" max="3" width="10.28515625" style="26" hidden="1" customWidth="1"/>
    <col min="4" max="7" width="10" style="26" hidden="1" customWidth="1"/>
    <col min="8" max="8" width="7.85546875" style="26" hidden="1" customWidth="1"/>
    <col min="9" max="9" width="3.85546875" style="26" hidden="1" customWidth="1"/>
    <col min="10" max="10" width="7.140625" style="26" hidden="1" customWidth="1"/>
    <col min="11" max="12" width="3.85546875" style="26" hidden="1" customWidth="1"/>
    <col min="13" max="13" width="3.140625" style="26" hidden="1" customWidth="1"/>
    <col min="14" max="14" width="10.7109375" style="26" hidden="1" customWidth="1"/>
    <col min="15" max="18" width="9.7109375" style="26" hidden="1" customWidth="1"/>
    <col min="19" max="19" width="7.140625" style="26" hidden="1" customWidth="1"/>
    <col min="20" max="20" width="2.7109375" style="26" hidden="1" customWidth="1" outlineLevel="1"/>
    <col min="21" max="21" width="6.42578125" style="26" hidden="1" customWidth="1" outlineLevel="1"/>
    <col min="22" max="24" width="3.140625" style="26" hidden="1" customWidth="1" outlineLevel="1"/>
    <col min="25" max="25" width="10.5703125" style="26" customWidth="1" outlineLevel="1"/>
    <col min="26" max="26" width="10.140625" style="26" customWidth="1" outlineLevel="1"/>
    <col min="27" max="29" width="10.140625" style="26" hidden="1" customWidth="1" outlineLevel="1"/>
    <col min="30" max="30" width="7" style="26" customWidth="1" outlineLevel="1"/>
    <col min="31" max="31" width="3.140625" style="26" customWidth="1" outlineLevel="1"/>
    <col min="32" max="32" width="7.140625" style="26" customWidth="1" outlineLevel="1"/>
    <col min="33" max="35" width="3.140625" style="26" customWidth="1" outlineLevel="1"/>
    <col min="36" max="36" width="10.28515625" style="26" customWidth="1" outlineLevel="1"/>
    <col min="37" max="40" width="9.85546875" style="26" customWidth="1" outlineLevel="1"/>
    <col min="41" max="41" width="7" style="26" customWidth="1" outlineLevel="1"/>
    <col min="42" max="42" width="3.140625" style="26" customWidth="1" outlineLevel="1"/>
    <col min="43" max="43" width="7.5703125" style="26" customWidth="1" outlineLevel="1"/>
    <col min="44" max="46" width="3.140625" style="26" customWidth="1" outlineLevel="1"/>
    <col min="47" max="47" width="10" style="26" customWidth="1" outlineLevel="1"/>
    <col min="48" max="48" width="10.28515625" style="26" customWidth="1" outlineLevel="1"/>
    <col min="49" max="51" width="10.28515625" style="26" hidden="1" customWidth="1" outlineLevel="1"/>
    <col min="52" max="52" width="6.5703125" style="26" customWidth="1" outlineLevel="1"/>
    <col min="53" max="53" width="3.140625" style="26" customWidth="1" outlineLevel="1"/>
    <col min="54" max="54" width="6.28515625" style="26" customWidth="1" outlineLevel="1"/>
    <col min="55" max="57" width="3.140625" style="26" customWidth="1" outlineLevel="1"/>
    <col min="58" max="58" width="9.85546875" style="26" customWidth="1" outlineLevel="1"/>
    <col min="59" max="62" width="9" style="26" customWidth="1" outlineLevel="1"/>
    <col min="63" max="63" width="7.85546875" style="26" customWidth="1" outlineLevel="1"/>
    <col min="64" max="64" width="3.140625" style="26" customWidth="1" outlineLevel="1"/>
    <col min="65" max="65" width="7.140625" style="26" customWidth="1" outlineLevel="1"/>
    <col min="66" max="68" width="3.140625" style="26" customWidth="1" outlineLevel="1"/>
    <col min="69" max="69" width="10.28515625" style="26" customWidth="1" outlineLevel="1"/>
    <col min="70" max="70" width="10.42578125" style="26" customWidth="1" outlineLevel="1"/>
    <col min="71" max="71" width="10.140625" style="26" customWidth="1" outlineLevel="1"/>
    <col min="72" max="72" width="9.42578125" style="26" customWidth="1" outlineLevel="1"/>
    <col min="73" max="73" width="9.5703125" style="26" customWidth="1" outlineLevel="1"/>
    <col min="74" max="74" width="9.7109375" style="26" customWidth="1" outlineLevel="1"/>
    <col min="75" max="75" width="3.140625" style="26" customWidth="1" outlineLevel="1"/>
    <col min="76" max="76" width="9.42578125" style="26" customWidth="1" outlineLevel="1"/>
    <col min="77" max="79" width="3.140625" style="26" customWidth="1" outlineLevel="1"/>
    <col min="80" max="81" width="10.28515625" style="26" customWidth="1" outlineLevel="1"/>
    <col min="82" max="82" width="11" style="26" customWidth="1" outlineLevel="1"/>
    <col min="83" max="83" width="9.7109375" style="26" customWidth="1" outlineLevel="1"/>
    <col min="84" max="84" width="9.85546875" style="26" customWidth="1" outlineLevel="1"/>
    <col min="85" max="85" width="8.7109375" style="26" customWidth="1" outlineLevel="1"/>
    <col min="86" max="86" width="3.140625" style="26" customWidth="1" outlineLevel="1"/>
    <col min="87" max="87" width="8.7109375" style="26" customWidth="1" outlineLevel="1"/>
    <col min="88" max="90" width="3.140625" style="26" customWidth="1" outlineLevel="1"/>
    <col min="91" max="91" width="10.7109375" style="300" customWidth="1"/>
    <col min="92" max="95" width="10.42578125" style="300" customWidth="1"/>
    <col min="96" max="96" width="5.85546875" style="300" customWidth="1"/>
    <col min="97" max="97" width="2.5703125" style="300" customWidth="1" outlineLevel="1"/>
    <col min="98" max="98" width="6.28515625" style="300" customWidth="1" outlineLevel="1"/>
    <col min="99" max="101" width="2.7109375" style="300" customWidth="1" outlineLevel="1"/>
    <col min="102" max="102" width="9.85546875" style="26" customWidth="1"/>
    <col min="103" max="106" width="10" style="26" customWidth="1"/>
    <col min="107" max="107" width="7.140625" style="26" customWidth="1"/>
    <col min="108" max="108" width="3.140625" style="26" customWidth="1" outlineLevel="1"/>
    <col min="109" max="109" width="7" style="26" customWidth="1" outlineLevel="1"/>
    <col min="110" max="112" width="2.42578125" style="26" customWidth="1" outlineLevel="1"/>
    <col min="113" max="113" width="9.85546875" style="26" customWidth="1"/>
    <col min="114" max="117" width="9.7109375" style="26" customWidth="1"/>
    <col min="118" max="118" width="6.140625" style="26" customWidth="1"/>
    <col min="119" max="119" width="2.5703125" style="26" customWidth="1" outlineLevel="1"/>
    <col min="120" max="120" width="7.140625" style="26" customWidth="1" outlineLevel="1"/>
    <col min="121" max="121" width="2.85546875" style="26" customWidth="1" outlineLevel="1"/>
    <col min="122" max="122" width="3" style="26" customWidth="1" outlineLevel="1"/>
    <col min="123" max="123" width="3.42578125" style="26" customWidth="1" outlineLevel="1"/>
    <col min="124" max="124" width="11" style="26" customWidth="1"/>
    <col min="125" max="125" width="10.28515625" style="26" customWidth="1"/>
    <col min="126" max="128" width="8.85546875" style="26" customWidth="1"/>
    <col min="129" max="129" width="7.85546875" style="26" customWidth="1"/>
    <col min="130" max="130" width="4.85546875" style="26"/>
    <col min="131" max="131" width="7.140625" style="26" customWidth="1"/>
    <col min="132" max="134" width="4.85546875" style="26"/>
    <col min="135" max="135" width="11.42578125" style="26" customWidth="1"/>
    <col min="136" max="136" width="9.7109375" style="26" customWidth="1"/>
    <col min="137" max="137" width="10.140625" style="26" customWidth="1"/>
    <col min="138" max="138" width="9.28515625" style="26" customWidth="1"/>
    <col min="139" max="139" width="8.85546875" style="26" customWidth="1"/>
    <col min="140" max="140" width="8.5703125" style="26" customWidth="1"/>
    <col min="141" max="141" width="4" style="26" customWidth="1"/>
    <col min="142" max="142" width="7.85546875" style="26" customWidth="1"/>
    <col min="143" max="143" width="4.28515625" style="26" customWidth="1"/>
    <col min="144" max="144" width="3.7109375" style="26" customWidth="1"/>
    <col min="145" max="145" width="4.85546875" style="26"/>
    <col min="146" max="146" width="10.85546875" style="26" customWidth="1"/>
    <col min="147" max="148" width="9.7109375" style="26" customWidth="1"/>
    <col min="149" max="149" width="10.140625" style="26" customWidth="1"/>
    <col min="150" max="150" width="11.140625" style="26" customWidth="1"/>
    <col min="151" max="151" width="8.85546875" style="26" customWidth="1"/>
    <col min="152" max="152" width="3.5703125" style="26" customWidth="1"/>
    <col min="153" max="153" width="8.140625" style="26" customWidth="1"/>
    <col min="154" max="154" width="3.5703125" style="26" customWidth="1"/>
    <col min="155" max="155" width="3.7109375" style="26" customWidth="1"/>
    <col min="156" max="16384" width="4.85546875" style="26"/>
  </cols>
  <sheetData>
    <row r="1" spans="1:156" s="24" customFormat="1" ht="14.25">
      <c r="A1" s="74" t="s">
        <v>1860</v>
      </c>
      <c r="BE1" s="25" t="s">
        <v>60</v>
      </c>
      <c r="CL1" s="25" t="s">
        <v>60</v>
      </c>
      <c r="CM1" s="298"/>
      <c r="CN1" s="298"/>
      <c r="CO1" s="298"/>
      <c r="CP1" s="298"/>
      <c r="CQ1" s="298"/>
      <c r="CR1" s="298"/>
      <c r="CS1" s="298"/>
      <c r="CT1" s="298"/>
      <c r="CU1" s="298"/>
      <c r="CV1" s="298"/>
      <c r="CW1" s="299"/>
      <c r="DH1" s="25"/>
      <c r="DS1" s="25" t="s">
        <v>60</v>
      </c>
      <c r="EZ1" s="25" t="s">
        <v>60</v>
      </c>
    </row>
    <row r="2" spans="1:156" ht="15" customHeight="1">
      <c r="A2" s="105" t="str">
        <f>'Показатели ТСО 3.1. котельн.'!A2</f>
        <v>ПКГО - выработка котельными</v>
      </c>
    </row>
    <row r="3" spans="1:156" ht="18.75">
      <c r="A3" s="1622"/>
      <c r="B3" s="1625"/>
      <c r="C3" s="1625"/>
      <c r="D3" s="1625"/>
      <c r="E3" s="1625"/>
      <c r="F3" s="1625"/>
      <c r="G3" s="1625"/>
      <c r="H3" s="1625"/>
      <c r="I3" s="1625"/>
      <c r="J3" s="1625"/>
      <c r="K3" s="1625"/>
      <c r="L3" s="1625"/>
      <c r="M3" s="1625"/>
      <c r="N3" s="1625"/>
      <c r="O3" s="1625"/>
      <c r="P3" s="1625"/>
      <c r="Q3" s="1625"/>
      <c r="R3" s="1625"/>
      <c r="S3" s="1625"/>
      <c r="T3" s="1625"/>
      <c r="U3" s="1625"/>
      <c r="V3" s="1625"/>
      <c r="W3" s="1625"/>
      <c r="X3" s="1625"/>
      <c r="Y3" s="1625"/>
      <c r="Z3" s="1625"/>
      <c r="AA3" s="1625"/>
      <c r="AB3" s="1625"/>
      <c r="AC3" s="1625"/>
      <c r="AD3" s="1622" t="s">
        <v>61</v>
      </c>
      <c r="AE3" s="1625"/>
      <c r="AF3" s="1625"/>
      <c r="AG3" s="1625"/>
      <c r="AH3" s="1625"/>
      <c r="AI3" s="1625"/>
      <c r="AJ3" s="1625"/>
      <c r="AK3" s="1625"/>
      <c r="AL3" s="1625"/>
      <c r="AM3" s="1625"/>
      <c r="AN3" s="1625"/>
      <c r="AO3" s="1625"/>
      <c r="AP3" s="1625"/>
      <c r="AQ3" s="1625"/>
      <c r="AR3" s="1625"/>
      <c r="AS3" s="1625"/>
      <c r="AT3" s="1625"/>
      <c r="AU3" s="1625"/>
      <c r="AV3" s="1625"/>
      <c r="AW3" s="1625"/>
      <c r="AX3" s="1625"/>
      <c r="AY3" s="1625"/>
      <c r="AZ3" s="1625"/>
      <c r="BA3" s="1625"/>
      <c r="BB3" s="1625"/>
      <c r="BC3" s="1625"/>
      <c r="BD3" s="1625"/>
      <c r="BE3" s="1622"/>
      <c r="BF3" s="1625"/>
      <c r="BG3" s="1625"/>
      <c r="BH3" s="1625"/>
      <c r="BI3" s="1625"/>
      <c r="BJ3" s="1622" t="s">
        <v>61</v>
      </c>
      <c r="BK3" s="1625"/>
      <c r="BL3" s="1625"/>
      <c r="BM3" s="1625"/>
      <c r="BN3" s="1625"/>
      <c r="BO3" s="1625"/>
      <c r="BP3" s="1625"/>
      <c r="BQ3" s="1625"/>
      <c r="BR3" s="1625"/>
      <c r="BS3" s="1625"/>
      <c r="BT3" s="1625"/>
      <c r="BU3" s="1625"/>
      <c r="BV3" s="1625"/>
      <c r="BW3" s="1625"/>
      <c r="BX3" s="1625"/>
      <c r="BY3" s="1625"/>
      <c r="BZ3" s="1625"/>
      <c r="CA3" s="1625"/>
      <c r="CB3" s="1625"/>
      <c r="CC3" s="1625"/>
      <c r="CD3" s="1625"/>
      <c r="CE3" s="1625"/>
      <c r="CF3" s="1625"/>
      <c r="CG3" s="1625"/>
      <c r="CH3" s="1625"/>
      <c r="CI3" s="1625"/>
      <c r="CJ3" s="1625"/>
      <c r="CK3" s="1625"/>
      <c r="CL3" s="1622"/>
      <c r="CM3" s="1625"/>
      <c r="CN3" s="1625"/>
      <c r="CO3" s="1625"/>
      <c r="CP3" s="1625"/>
      <c r="CQ3" s="1622" t="s">
        <v>61</v>
      </c>
      <c r="CR3" s="1625"/>
      <c r="CS3" s="1625"/>
      <c r="CT3" s="1625"/>
      <c r="CU3" s="1625"/>
      <c r="CV3" s="1625"/>
      <c r="CW3" s="1625"/>
      <c r="CX3" s="537"/>
      <c r="CY3" s="537"/>
      <c r="CZ3" s="1379"/>
      <c r="DA3" s="1379"/>
      <c r="DB3" s="1379"/>
      <c r="DC3" s="537"/>
      <c r="DD3" s="537"/>
      <c r="DE3" s="537"/>
      <c r="DF3" s="537"/>
      <c r="DG3" s="537"/>
      <c r="DH3" s="537"/>
      <c r="DI3" s="537"/>
      <c r="DJ3" s="537"/>
      <c r="DK3" s="1379"/>
      <c r="DL3" s="1379"/>
      <c r="DM3" s="1379"/>
      <c r="DN3" s="537"/>
      <c r="DO3" s="537"/>
      <c r="DP3" s="537"/>
      <c r="DQ3" s="537"/>
      <c r="DR3" s="537"/>
      <c r="DS3" s="537"/>
      <c r="DY3" s="1622" t="s">
        <v>61</v>
      </c>
      <c r="EZ3" s="1622"/>
    </row>
    <row r="4" spans="1:156" s="541" customFormat="1" ht="15.75" customHeight="1">
      <c r="E4" s="1382"/>
      <c r="F4" s="1382"/>
      <c r="G4" s="1382"/>
      <c r="P4" s="1382"/>
      <c r="Q4" s="1382"/>
      <c r="R4" s="1382"/>
      <c r="AA4" s="1382"/>
      <c r="AB4" s="1382"/>
      <c r="AC4" s="1382"/>
      <c r="AL4" s="1382"/>
      <c r="AM4" s="1382"/>
      <c r="AN4" s="1382"/>
      <c r="AU4" s="1275"/>
      <c r="AV4" s="1275"/>
      <c r="AW4" s="1382"/>
      <c r="AX4" s="1382"/>
      <c r="AY4" s="1382"/>
      <c r="AZ4" s="1275"/>
      <c r="BA4" s="1275"/>
      <c r="BB4" s="1275"/>
      <c r="BC4" s="1275"/>
      <c r="BD4" s="1275"/>
      <c r="BE4" s="29" t="s">
        <v>62</v>
      </c>
      <c r="BF4" s="1275"/>
      <c r="BG4" s="1275"/>
      <c r="BH4" s="1382"/>
      <c r="BI4" s="1382"/>
      <c r="BJ4" s="1382"/>
      <c r="BK4" s="1275"/>
      <c r="BL4" s="1275"/>
      <c r="BM4" s="1275"/>
      <c r="BN4" s="1275"/>
      <c r="BO4" s="1275"/>
      <c r="BP4" s="1275"/>
      <c r="BQ4" s="1579"/>
      <c r="BR4" s="1579"/>
      <c r="BS4" s="1579"/>
      <c r="BT4" s="1579"/>
      <c r="BU4" s="1579"/>
      <c r="BV4" s="1579"/>
      <c r="BW4" s="1579"/>
      <c r="BX4" s="1579"/>
      <c r="BY4" s="1579"/>
      <c r="BZ4" s="1579"/>
      <c r="CA4" s="1579"/>
      <c r="CB4" s="1579"/>
      <c r="CC4" s="1579"/>
      <c r="CD4" s="1579"/>
      <c r="CE4" s="1579"/>
      <c r="CF4" s="1579"/>
      <c r="CG4" s="1579"/>
      <c r="CH4" s="1579"/>
      <c r="CI4" s="1579"/>
      <c r="CJ4" s="1579"/>
      <c r="CK4" s="1579"/>
      <c r="CL4" s="29" t="s">
        <v>62</v>
      </c>
      <c r="CM4" s="294"/>
      <c r="CN4" s="294"/>
      <c r="CO4" s="294"/>
      <c r="CP4" s="294"/>
      <c r="CQ4" s="294"/>
      <c r="CR4" s="294"/>
      <c r="CS4" s="294"/>
      <c r="CT4" s="294"/>
      <c r="CU4" s="294"/>
      <c r="CV4" s="294"/>
      <c r="CW4" s="29"/>
      <c r="CZ4" s="1382"/>
      <c r="DA4" s="1382"/>
      <c r="DB4" s="1382"/>
      <c r="DH4" s="29"/>
      <c r="DK4" s="1382"/>
      <c r="DL4" s="1382"/>
      <c r="DM4" s="1382"/>
      <c r="DS4" s="29" t="s">
        <v>62</v>
      </c>
      <c r="DV4" s="1382"/>
      <c r="DW4" s="1382"/>
      <c r="DX4" s="1382"/>
      <c r="EZ4" s="29" t="s">
        <v>62</v>
      </c>
    </row>
    <row r="5" spans="1:156" s="31" customFormat="1" ht="19.5" customHeight="1">
      <c r="A5" s="1858" t="s">
        <v>0</v>
      </c>
      <c r="B5" s="1858" t="s">
        <v>1</v>
      </c>
      <c r="C5" s="1834" t="s">
        <v>1126</v>
      </c>
      <c r="D5" s="1835"/>
      <c r="E5" s="1835"/>
      <c r="F5" s="1835"/>
      <c r="G5" s="1835"/>
      <c r="H5" s="1835"/>
      <c r="I5" s="1835"/>
      <c r="J5" s="1835"/>
      <c r="K5" s="1835"/>
      <c r="L5" s="1835"/>
      <c r="M5" s="1836"/>
      <c r="N5" s="1834" t="s">
        <v>1127</v>
      </c>
      <c r="O5" s="1835"/>
      <c r="P5" s="1835"/>
      <c r="Q5" s="1835"/>
      <c r="R5" s="1835"/>
      <c r="S5" s="1835"/>
      <c r="T5" s="1835"/>
      <c r="U5" s="1835"/>
      <c r="V5" s="1835"/>
      <c r="W5" s="1835"/>
      <c r="X5" s="1836"/>
      <c r="Y5" s="1834" t="s">
        <v>1128</v>
      </c>
      <c r="Z5" s="1835"/>
      <c r="AA5" s="1835"/>
      <c r="AB5" s="1835"/>
      <c r="AC5" s="1835"/>
      <c r="AD5" s="1835"/>
      <c r="AE5" s="1835"/>
      <c r="AF5" s="1835"/>
      <c r="AG5" s="1835"/>
      <c r="AH5" s="1835"/>
      <c r="AI5" s="1836"/>
      <c r="AJ5" s="1834" t="s">
        <v>1691</v>
      </c>
      <c r="AK5" s="1835"/>
      <c r="AL5" s="1835"/>
      <c r="AM5" s="1835"/>
      <c r="AN5" s="1835"/>
      <c r="AO5" s="1835"/>
      <c r="AP5" s="1835"/>
      <c r="AQ5" s="1835"/>
      <c r="AR5" s="1835"/>
      <c r="AS5" s="1835"/>
      <c r="AT5" s="1836"/>
      <c r="AU5" s="1834" t="s">
        <v>1692</v>
      </c>
      <c r="AV5" s="1835"/>
      <c r="AW5" s="1835"/>
      <c r="AX5" s="1835"/>
      <c r="AY5" s="1835"/>
      <c r="AZ5" s="1835"/>
      <c r="BA5" s="1835"/>
      <c r="BB5" s="1835"/>
      <c r="BC5" s="1835"/>
      <c r="BD5" s="1835"/>
      <c r="BE5" s="1836"/>
      <c r="BF5" s="1834" t="s">
        <v>1832</v>
      </c>
      <c r="BG5" s="1835"/>
      <c r="BH5" s="1835"/>
      <c r="BI5" s="1835"/>
      <c r="BJ5" s="1835"/>
      <c r="BK5" s="1835"/>
      <c r="BL5" s="1835"/>
      <c r="BM5" s="1835"/>
      <c r="BN5" s="1835"/>
      <c r="BO5" s="1835"/>
      <c r="BP5" s="1836"/>
      <c r="BQ5" s="1834" t="s">
        <v>1829</v>
      </c>
      <c r="BR5" s="1835"/>
      <c r="BS5" s="1835"/>
      <c r="BT5" s="1835"/>
      <c r="BU5" s="1835"/>
      <c r="BV5" s="1835"/>
      <c r="BW5" s="1835"/>
      <c r="BX5" s="1835"/>
      <c r="BY5" s="1835"/>
      <c r="BZ5" s="1835"/>
      <c r="CA5" s="1836"/>
      <c r="CB5" s="1834" t="s">
        <v>1861</v>
      </c>
      <c r="CC5" s="1835"/>
      <c r="CD5" s="1835"/>
      <c r="CE5" s="1835"/>
      <c r="CF5" s="1835"/>
      <c r="CG5" s="1835"/>
      <c r="CH5" s="1835"/>
      <c r="CI5" s="1835"/>
      <c r="CJ5" s="1835"/>
      <c r="CK5" s="1835"/>
      <c r="CL5" s="1836"/>
      <c r="CM5" s="1844" t="s">
        <v>1862</v>
      </c>
      <c r="CN5" s="1845"/>
      <c r="CO5" s="1845"/>
      <c r="CP5" s="1845"/>
      <c r="CQ5" s="1845"/>
      <c r="CR5" s="1845"/>
      <c r="CS5" s="1845"/>
      <c r="CT5" s="1845"/>
      <c r="CU5" s="1845"/>
      <c r="CV5" s="1845"/>
      <c r="CW5" s="1845"/>
      <c r="CX5" s="1834" t="s">
        <v>1830</v>
      </c>
      <c r="CY5" s="1835"/>
      <c r="CZ5" s="1835"/>
      <c r="DA5" s="1835"/>
      <c r="DB5" s="1835"/>
      <c r="DC5" s="1835"/>
      <c r="DD5" s="1835"/>
      <c r="DE5" s="1835"/>
      <c r="DF5" s="1835"/>
      <c r="DG5" s="1835"/>
      <c r="DH5" s="1835"/>
      <c r="DI5" s="1846" t="s">
        <v>1831</v>
      </c>
      <c r="DJ5" s="1846"/>
      <c r="DK5" s="1846"/>
      <c r="DL5" s="1846"/>
      <c r="DM5" s="1846"/>
      <c r="DN5" s="1846"/>
      <c r="DO5" s="1846"/>
      <c r="DP5" s="1846"/>
      <c r="DQ5" s="1846"/>
      <c r="DR5" s="1846"/>
      <c r="DS5" s="1846"/>
      <c r="DT5" s="1844" t="s">
        <v>1863</v>
      </c>
      <c r="DU5" s="1845"/>
      <c r="DV5" s="1845"/>
      <c r="DW5" s="1845"/>
      <c r="DX5" s="1845"/>
      <c r="DY5" s="1845"/>
      <c r="DZ5" s="1845"/>
      <c r="EA5" s="1845"/>
      <c r="EB5" s="1845"/>
      <c r="EC5" s="1845"/>
      <c r="ED5" s="1845"/>
      <c r="EE5" s="1834" t="s">
        <v>1864</v>
      </c>
      <c r="EF5" s="1835"/>
      <c r="EG5" s="1835"/>
      <c r="EH5" s="1835"/>
      <c r="EI5" s="1835"/>
      <c r="EJ5" s="1835"/>
      <c r="EK5" s="1835"/>
      <c r="EL5" s="1835"/>
      <c r="EM5" s="1835"/>
      <c r="EN5" s="1835"/>
      <c r="EO5" s="1835"/>
      <c r="EP5" s="1846" t="s">
        <v>1865</v>
      </c>
      <c r="EQ5" s="1846"/>
      <c r="ER5" s="1846"/>
      <c r="ES5" s="1846"/>
      <c r="ET5" s="1846"/>
      <c r="EU5" s="1846"/>
      <c r="EV5" s="1846"/>
      <c r="EW5" s="1846"/>
      <c r="EX5" s="1846"/>
      <c r="EY5" s="1846"/>
      <c r="EZ5" s="1846"/>
    </row>
    <row r="6" spans="1:156" s="31" customFormat="1" ht="15" customHeight="1">
      <c r="A6" s="1859"/>
      <c r="B6" s="1859"/>
      <c r="C6" s="1837" t="s">
        <v>63</v>
      </c>
      <c r="D6" s="1834" t="s">
        <v>64</v>
      </c>
      <c r="E6" s="1835"/>
      <c r="F6" s="1835"/>
      <c r="G6" s="1835"/>
      <c r="H6" s="1835"/>
      <c r="I6" s="1835"/>
      <c r="J6" s="1835"/>
      <c r="K6" s="1835"/>
      <c r="L6" s="1835"/>
      <c r="M6" s="1836"/>
      <c r="N6" s="1837" t="s">
        <v>63</v>
      </c>
      <c r="O6" s="1834" t="s">
        <v>64</v>
      </c>
      <c r="P6" s="1835"/>
      <c r="Q6" s="1835"/>
      <c r="R6" s="1835"/>
      <c r="S6" s="1835"/>
      <c r="T6" s="1835"/>
      <c r="U6" s="1835"/>
      <c r="V6" s="1835"/>
      <c r="W6" s="1835"/>
      <c r="X6" s="1836"/>
      <c r="Y6" s="1837" t="s">
        <v>63</v>
      </c>
      <c r="Z6" s="1834" t="s">
        <v>64</v>
      </c>
      <c r="AA6" s="1835"/>
      <c r="AB6" s="1835"/>
      <c r="AC6" s="1835"/>
      <c r="AD6" s="1835"/>
      <c r="AE6" s="1835"/>
      <c r="AF6" s="1835"/>
      <c r="AG6" s="1835"/>
      <c r="AH6" s="1835"/>
      <c r="AI6" s="1836"/>
      <c r="AJ6" s="1837" t="s">
        <v>63</v>
      </c>
      <c r="AK6" s="1834" t="s">
        <v>64</v>
      </c>
      <c r="AL6" s="1835"/>
      <c r="AM6" s="1835"/>
      <c r="AN6" s="1835"/>
      <c r="AO6" s="1835"/>
      <c r="AP6" s="1835"/>
      <c r="AQ6" s="1835"/>
      <c r="AR6" s="1835"/>
      <c r="AS6" s="1835"/>
      <c r="AT6" s="1836"/>
      <c r="AU6" s="1837" t="s">
        <v>63</v>
      </c>
      <c r="AV6" s="1834" t="s">
        <v>64</v>
      </c>
      <c r="AW6" s="1835"/>
      <c r="AX6" s="1835"/>
      <c r="AY6" s="1835"/>
      <c r="AZ6" s="1835"/>
      <c r="BA6" s="1835"/>
      <c r="BB6" s="1835"/>
      <c r="BC6" s="1835"/>
      <c r="BD6" s="1835"/>
      <c r="BE6" s="1836"/>
      <c r="BF6" s="1837" t="s">
        <v>63</v>
      </c>
      <c r="BG6" s="1834" t="s">
        <v>64</v>
      </c>
      <c r="BH6" s="1835"/>
      <c r="BI6" s="1835"/>
      <c r="BJ6" s="1835"/>
      <c r="BK6" s="1835"/>
      <c r="BL6" s="1835"/>
      <c r="BM6" s="1835"/>
      <c r="BN6" s="1835"/>
      <c r="BO6" s="1835"/>
      <c r="BP6" s="1836"/>
      <c r="BQ6" s="1837" t="s">
        <v>63</v>
      </c>
      <c r="BR6" s="1834" t="s">
        <v>64</v>
      </c>
      <c r="BS6" s="1835"/>
      <c r="BT6" s="1835"/>
      <c r="BU6" s="1835"/>
      <c r="BV6" s="1835"/>
      <c r="BW6" s="1835"/>
      <c r="BX6" s="1835"/>
      <c r="BY6" s="1835"/>
      <c r="BZ6" s="1835"/>
      <c r="CA6" s="1836"/>
      <c r="CB6" s="1837" t="s">
        <v>63</v>
      </c>
      <c r="CC6" s="1834" t="s">
        <v>64</v>
      </c>
      <c r="CD6" s="1835"/>
      <c r="CE6" s="1835"/>
      <c r="CF6" s="1835"/>
      <c r="CG6" s="1835"/>
      <c r="CH6" s="1835"/>
      <c r="CI6" s="1835"/>
      <c r="CJ6" s="1835"/>
      <c r="CK6" s="1835"/>
      <c r="CL6" s="1836"/>
      <c r="CM6" s="1851" t="s">
        <v>63</v>
      </c>
      <c r="CN6" s="1844" t="s">
        <v>64</v>
      </c>
      <c r="CO6" s="1845"/>
      <c r="CP6" s="1845"/>
      <c r="CQ6" s="1845"/>
      <c r="CR6" s="1845"/>
      <c r="CS6" s="1845"/>
      <c r="CT6" s="1845"/>
      <c r="CU6" s="1845"/>
      <c r="CV6" s="1845"/>
      <c r="CW6" s="1871"/>
      <c r="CX6" s="1837" t="s">
        <v>63</v>
      </c>
      <c r="CY6" s="1834" t="s">
        <v>64</v>
      </c>
      <c r="CZ6" s="1835"/>
      <c r="DA6" s="1835"/>
      <c r="DB6" s="1835"/>
      <c r="DC6" s="1835"/>
      <c r="DD6" s="1835"/>
      <c r="DE6" s="1835"/>
      <c r="DF6" s="1835"/>
      <c r="DG6" s="1835"/>
      <c r="DH6" s="1835"/>
      <c r="DI6" s="1846" t="s">
        <v>63</v>
      </c>
      <c r="DJ6" s="1846" t="s">
        <v>64</v>
      </c>
      <c r="DK6" s="1846"/>
      <c r="DL6" s="1846"/>
      <c r="DM6" s="1846"/>
      <c r="DN6" s="1846"/>
      <c r="DO6" s="1846"/>
      <c r="DP6" s="1846"/>
      <c r="DQ6" s="1846"/>
      <c r="DR6" s="1846"/>
      <c r="DS6" s="1846"/>
      <c r="DT6" s="1851" t="s">
        <v>63</v>
      </c>
      <c r="DU6" s="1844" t="s">
        <v>64</v>
      </c>
      <c r="DV6" s="1845"/>
      <c r="DW6" s="1845"/>
      <c r="DX6" s="1845"/>
      <c r="DY6" s="1845"/>
      <c r="DZ6" s="1845"/>
      <c r="EA6" s="1845"/>
      <c r="EB6" s="1845"/>
      <c r="EC6" s="1845"/>
      <c r="ED6" s="1871"/>
      <c r="EE6" s="1837" t="s">
        <v>63</v>
      </c>
      <c r="EF6" s="1834" t="s">
        <v>64</v>
      </c>
      <c r="EG6" s="1835"/>
      <c r="EH6" s="1835"/>
      <c r="EI6" s="1835"/>
      <c r="EJ6" s="1835"/>
      <c r="EK6" s="1835"/>
      <c r="EL6" s="1835"/>
      <c r="EM6" s="1835"/>
      <c r="EN6" s="1835"/>
      <c r="EO6" s="1835"/>
      <c r="EP6" s="1846" t="s">
        <v>63</v>
      </c>
      <c r="EQ6" s="1846" t="s">
        <v>64</v>
      </c>
      <c r="ER6" s="1846"/>
      <c r="ES6" s="1846"/>
      <c r="ET6" s="1846"/>
      <c r="EU6" s="1846"/>
      <c r="EV6" s="1846"/>
      <c r="EW6" s="1846"/>
      <c r="EX6" s="1846"/>
      <c r="EY6" s="1846"/>
      <c r="EZ6" s="1846"/>
    </row>
    <row r="7" spans="1:156" s="31" customFormat="1" ht="15" customHeight="1">
      <c r="A7" s="1859"/>
      <c r="B7" s="1859"/>
      <c r="C7" s="1838"/>
      <c r="D7" s="1840" t="s">
        <v>65</v>
      </c>
      <c r="E7" s="1834" t="s">
        <v>64</v>
      </c>
      <c r="F7" s="1835"/>
      <c r="G7" s="1835"/>
      <c r="H7" s="1840" t="s">
        <v>66</v>
      </c>
      <c r="I7" s="1834" t="s">
        <v>64</v>
      </c>
      <c r="J7" s="1835"/>
      <c r="K7" s="1835"/>
      <c r="L7" s="1835"/>
      <c r="M7" s="1836"/>
      <c r="N7" s="1838"/>
      <c r="O7" s="1840" t="s">
        <v>65</v>
      </c>
      <c r="P7" s="1834" t="s">
        <v>64</v>
      </c>
      <c r="Q7" s="1835"/>
      <c r="R7" s="1835"/>
      <c r="S7" s="1840" t="s">
        <v>66</v>
      </c>
      <c r="T7" s="1834" t="s">
        <v>64</v>
      </c>
      <c r="U7" s="1835"/>
      <c r="V7" s="1835"/>
      <c r="W7" s="1835"/>
      <c r="X7" s="1836"/>
      <c r="Y7" s="1838"/>
      <c r="Z7" s="1840" t="s">
        <v>65</v>
      </c>
      <c r="AA7" s="1834" t="s">
        <v>64</v>
      </c>
      <c r="AB7" s="1835"/>
      <c r="AC7" s="1835"/>
      <c r="AD7" s="1840" t="s">
        <v>66</v>
      </c>
      <c r="AE7" s="1834" t="s">
        <v>64</v>
      </c>
      <c r="AF7" s="1835"/>
      <c r="AG7" s="1835"/>
      <c r="AH7" s="1835"/>
      <c r="AI7" s="1836"/>
      <c r="AJ7" s="1838"/>
      <c r="AK7" s="1840" t="s">
        <v>65</v>
      </c>
      <c r="AL7" s="1834" t="s">
        <v>64</v>
      </c>
      <c r="AM7" s="1835"/>
      <c r="AN7" s="1835"/>
      <c r="AO7" s="1840" t="s">
        <v>66</v>
      </c>
      <c r="AP7" s="1834" t="s">
        <v>64</v>
      </c>
      <c r="AQ7" s="1835"/>
      <c r="AR7" s="1835"/>
      <c r="AS7" s="1835"/>
      <c r="AT7" s="1836"/>
      <c r="AU7" s="1838"/>
      <c r="AV7" s="1840" t="s">
        <v>65</v>
      </c>
      <c r="AW7" s="1834" t="s">
        <v>64</v>
      </c>
      <c r="AX7" s="1835"/>
      <c r="AY7" s="1835"/>
      <c r="AZ7" s="1840" t="s">
        <v>66</v>
      </c>
      <c r="BA7" s="1834" t="s">
        <v>64</v>
      </c>
      <c r="BB7" s="1835"/>
      <c r="BC7" s="1835"/>
      <c r="BD7" s="1835"/>
      <c r="BE7" s="1836"/>
      <c r="BF7" s="1838"/>
      <c r="BG7" s="1840" t="s">
        <v>65</v>
      </c>
      <c r="BH7" s="1834" t="s">
        <v>64</v>
      </c>
      <c r="BI7" s="1835"/>
      <c r="BJ7" s="1835"/>
      <c r="BK7" s="1840" t="s">
        <v>66</v>
      </c>
      <c r="BL7" s="1834" t="s">
        <v>64</v>
      </c>
      <c r="BM7" s="1835"/>
      <c r="BN7" s="1835"/>
      <c r="BO7" s="1835"/>
      <c r="BP7" s="1836"/>
      <c r="BQ7" s="1838"/>
      <c r="BR7" s="1840" t="s">
        <v>65</v>
      </c>
      <c r="BS7" s="1834" t="s">
        <v>64</v>
      </c>
      <c r="BT7" s="1835"/>
      <c r="BU7" s="1835"/>
      <c r="BV7" s="1840" t="s">
        <v>66</v>
      </c>
      <c r="BW7" s="1834" t="s">
        <v>64</v>
      </c>
      <c r="BX7" s="1835"/>
      <c r="BY7" s="1835"/>
      <c r="BZ7" s="1835"/>
      <c r="CA7" s="1836"/>
      <c r="CB7" s="1838"/>
      <c r="CC7" s="1840" t="s">
        <v>65</v>
      </c>
      <c r="CD7" s="1834" t="s">
        <v>64</v>
      </c>
      <c r="CE7" s="1835"/>
      <c r="CF7" s="1835"/>
      <c r="CG7" s="1840" t="s">
        <v>66</v>
      </c>
      <c r="CH7" s="1834" t="s">
        <v>64</v>
      </c>
      <c r="CI7" s="1835"/>
      <c r="CJ7" s="1835"/>
      <c r="CK7" s="1835"/>
      <c r="CL7" s="1836"/>
      <c r="CM7" s="1852"/>
      <c r="CN7" s="1854" t="s">
        <v>65</v>
      </c>
      <c r="CO7" s="1834" t="s">
        <v>64</v>
      </c>
      <c r="CP7" s="1835"/>
      <c r="CQ7" s="1835"/>
      <c r="CR7" s="1856" t="s">
        <v>66</v>
      </c>
      <c r="CS7" s="1844" t="s">
        <v>64</v>
      </c>
      <c r="CT7" s="1845"/>
      <c r="CU7" s="1845"/>
      <c r="CV7" s="1845"/>
      <c r="CW7" s="1871"/>
      <c r="CX7" s="1838"/>
      <c r="CY7" s="1840" t="s">
        <v>65</v>
      </c>
      <c r="CZ7" s="1834" t="s">
        <v>64</v>
      </c>
      <c r="DA7" s="1835"/>
      <c r="DB7" s="1835"/>
      <c r="DC7" s="1847" t="s">
        <v>66</v>
      </c>
      <c r="DD7" s="1834" t="s">
        <v>64</v>
      </c>
      <c r="DE7" s="1835"/>
      <c r="DF7" s="1835"/>
      <c r="DG7" s="1835"/>
      <c r="DH7" s="1835"/>
      <c r="DI7" s="1846"/>
      <c r="DJ7" s="1849" t="s">
        <v>65</v>
      </c>
      <c r="DK7" s="1834" t="s">
        <v>64</v>
      </c>
      <c r="DL7" s="1835"/>
      <c r="DM7" s="1835"/>
      <c r="DN7" s="1850" t="s">
        <v>66</v>
      </c>
      <c r="DO7" s="1846" t="s">
        <v>64</v>
      </c>
      <c r="DP7" s="1846"/>
      <c r="DQ7" s="1846"/>
      <c r="DR7" s="1846"/>
      <c r="DS7" s="1846"/>
      <c r="DT7" s="1852"/>
      <c r="DU7" s="1854" t="s">
        <v>65</v>
      </c>
      <c r="DV7" s="1834" t="s">
        <v>64</v>
      </c>
      <c r="DW7" s="1835"/>
      <c r="DX7" s="1835"/>
      <c r="DY7" s="1856" t="s">
        <v>66</v>
      </c>
      <c r="DZ7" s="1844" t="s">
        <v>64</v>
      </c>
      <c r="EA7" s="1845"/>
      <c r="EB7" s="1845"/>
      <c r="EC7" s="1845"/>
      <c r="ED7" s="1871"/>
      <c r="EE7" s="1838"/>
      <c r="EF7" s="1840" t="s">
        <v>65</v>
      </c>
      <c r="EG7" s="1834" t="s">
        <v>64</v>
      </c>
      <c r="EH7" s="1835"/>
      <c r="EI7" s="1835"/>
      <c r="EJ7" s="1847" t="s">
        <v>66</v>
      </c>
      <c r="EK7" s="1834" t="s">
        <v>64</v>
      </c>
      <c r="EL7" s="1835"/>
      <c r="EM7" s="1835"/>
      <c r="EN7" s="1835"/>
      <c r="EO7" s="1835"/>
      <c r="EP7" s="1846"/>
      <c r="EQ7" s="1849" t="s">
        <v>65</v>
      </c>
      <c r="ER7" s="1834" t="s">
        <v>64</v>
      </c>
      <c r="ES7" s="1835"/>
      <c r="ET7" s="1835"/>
      <c r="EU7" s="1850" t="s">
        <v>66</v>
      </c>
      <c r="EV7" s="1846" t="s">
        <v>64</v>
      </c>
      <c r="EW7" s="1846"/>
      <c r="EX7" s="1846"/>
      <c r="EY7" s="1846"/>
      <c r="EZ7" s="1846"/>
    </row>
    <row r="8" spans="1:156" s="31" customFormat="1" ht="84.75" customHeight="1">
      <c r="A8" s="1860"/>
      <c r="B8" s="1860"/>
      <c r="C8" s="1839"/>
      <c r="D8" s="1841"/>
      <c r="E8" s="1380" t="s">
        <v>1697</v>
      </c>
      <c r="F8" s="1380" t="s">
        <v>1512</v>
      </c>
      <c r="G8" s="1380" t="s">
        <v>1513</v>
      </c>
      <c r="H8" s="1841"/>
      <c r="I8" s="277" t="s">
        <v>942</v>
      </c>
      <c r="J8" s="284" t="s">
        <v>67</v>
      </c>
      <c r="K8" s="277" t="s">
        <v>940</v>
      </c>
      <c r="L8" s="277" t="s">
        <v>941</v>
      </c>
      <c r="M8" s="277" t="s">
        <v>68</v>
      </c>
      <c r="N8" s="1839"/>
      <c r="O8" s="1841"/>
      <c r="P8" s="1380" t="s">
        <v>1697</v>
      </c>
      <c r="Q8" s="1380" t="s">
        <v>1512</v>
      </c>
      <c r="R8" s="1380" t="s">
        <v>1513</v>
      </c>
      <c r="S8" s="1841"/>
      <c r="T8" s="277" t="s">
        <v>942</v>
      </c>
      <c r="U8" s="284" t="s">
        <v>67</v>
      </c>
      <c r="V8" s="277" t="s">
        <v>940</v>
      </c>
      <c r="W8" s="277" t="s">
        <v>941</v>
      </c>
      <c r="X8" s="277" t="s">
        <v>68</v>
      </c>
      <c r="Y8" s="1839"/>
      <c r="Z8" s="1841"/>
      <c r="AA8" s="1380" t="s">
        <v>1697</v>
      </c>
      <c r="AB8" s="1380" t="s">
        <v>1512</v>
      </c>
      <c r="AC8" s="1380" t="s">
        <v>1513</v>
      </c>
      <c r="AD8" s="1841"/>
      <c r="AE8" s="277" t="s">
        <v>942</v>
      </c>
      <c r="AF8" s="284" t="s">
        <v>67</v>
      </c>
      <c r="AG8" s="277" t="s">
        <v>940</v>
      </c>
      <c r="AH8" s="277" t="s">
        <v>941</v>
      </c>
      <c r="AI8" s="277" t="s">
        <v>68</v>
      </c>
      <c r="AJ8" s="1839"/>
      <c r="AK8" s="1841"/>
      <c r="AL8" s="1380" t="s">
        <v>1697</v>
      </c>
      <c r="AM8" s="1380" t="s">
        <v>1512</v>
      </c>
      <c r="AN8" s="1380" t="s">
        <v>1513</v>
      </c>
      <c r="AO8" s="1841"/>
      <c r="AP8" s="277" t="s">
        <v>942</v>
      </c>
      <c r="AQ8" s="284" t="s">
        <v>67</v>
      </c>
      <c r="AR8" s="277" t="s">
        <v>940</v>
      </c>
      <c r="AS8" s="277" t="s">
        <v>941</v>
      </c>
      <c r="AT8" s="277" t="s">
        <v>68</v>
      </c>
      <c r="AU8" s="1839"/>
      <c r="AV8" s="1841"/>
      <c r="AW8" s="1380" t="s">
        <v>1697</v>
      </c>
      <c r="AX8" s="1380" t="s">
        <v>1512</v>
      </c>
      <c r="AY8" s="1380" t="s">
        <v>1513</v>
      </c>
      <c r="AZ8" s="1841"/>
      <c r="BA8" s="277" t="s">
        <v>942</v>
      </c>
      <c r="BB8" s="284" t="s">
        <v>67</v>
      </c>
      <c r="BC8" s="277" t="s">
        <v>940</v>
      </c>
      <c r="BD8" s="277" t="s">
        <v>941</v>
      </c>
      <c r="BE8" s="277" t="s">
        <v>68</v>
      </c>
      <c r="BF8" s="1839"/>
      <c r="BG8" s="1841"/>
      <c r="BH8" s="1380" t="s">
        <v>1697</v>
      </c>
      <c r="BI8" s="1380" t="s">
        <v>1512</v>
      </c>
      <c r="BJ8" s="1380" t="s">
        <v>1513</v>
      </c>
      <c r="BK8" s="1841"/>
      <c r="BL8" s="277" t="s">
        <v>942</v>
      </c>
      <c r="BM8" s="284" t="s">
        <v>67</v>
      </c>
      <c r="BN8" s="277" t="s">
        <v>940</v>
      </c>
      <c r="BO8" s="277" t="s">
        <v>941</v>
      </c>
      <c r="BP8" s="277" t="s">
        <v>68</v>
      </c>
      <c r="BQ8" s="1839"/>
      <c r="BR8" s="1841"/>
      <c r="BS8" s="1573" t="s">
        <v>1697</v>
      </c>
      <c r="BT8" s="1573" t="s">
        <v>1512</v>
      </c>
      <c r="BU8" s="1573" t="s">
        <v>1513</v>
      </c>
      <c r="BV8" s="1841"/>
      <c r="BW8" s="277" t="s">
        <v>942</v>
      </c>
      <c r="BX8" s="284" t="s">
        <v>67</v>
      </c>
      <c r="BY8" s="277" t="s">
        <v>940</v>
      </c>
      <c r="BZ8" s="277" t="s">
        <v>941</v>
      </c>
      <c r="CA8" s="277" t="s">
        <v>68</v>
      </c>
      <c r="CB8" s="1839"/>
      <c r="CC8" s="1841"/>
      <c r="CD8" s="1573" t="s">
        <v>1697</v>
      </c>
      <c r="CE8" s="1573" t="s">
        <v>1512</v>
      </c>
      <c r="CF8" s="1573" t="s">
        <v>1513</v>
      </c>
      <c r="CG8" s="1841"/>
      <c r="CH8" s="277" t="s">
        <v>942</v>
      </c>
      <c r="CI8" s="284" t="s">
        <v>67</v>
      </c>
      <c r="CJ8" s="277" t="s">
        <v>940</v>
      </c>
      <c r="CK8" s="277" t="s">
        <v>941</v>
      </c>
      <c r="CL8" s="277" t="s">
        <v>68</v>
      </c>
      <c r="CM8" s="1853"/>
      <c r="CN8" s="1855"/>
      <c r="CO8" s="1380" t="s">
        <v>1697</v>
      </c>
      <c r="CP8" s="1380" t="s">
        <v>1512</v>
      </c>
      <c r="CQ8" s="1380" t="s">
        <v>1513</v>
      </c>
      <c r="CR8" s="1857"/>
      <c r="CS8" s="302" t="s">
        <v>942</v>
      </c>
      <c r="CT8" s="303" t="s">
        <v>67</v>
      </c>
      <c r="CU8" s="302" t="s">
        <v>940</v>
      </c>
      <c r="CV8" s="302" t="s">
        <v>941</v>
      </c>
      <c r="CW8" s="579" t="s">
        <v>68</v>
      </c>
      <c r="CX8" s="1839"/>
      <c r="CY8" s="1841"/>
      <c r="CZ8" s="1380" t="s">
        <v>1697</v>
      </c>
      <c r="DA8" s="1380" t="s">
        <v>1512</v>
      </c>
      <c r="DB8" s="1380" t="s">
        <v>1513</v>
      </c>
      <c r="DC8" s="1848"/>
      <c r="DD8" s="277" t="s">
        <v>942</v>
      </c>
      <c r="DE8" s="284" t="s">
        <v>67</v>
      </c>
      <c r="DF8" s="277" t="s">
        <v>940</v>
      </c>
      <c r="DG8" s="277" t="s">
        <v>941</v>
      </c>
      <c r="DH8" s="277" t="s">
        <v>68</v>
      </c>
      <c r="DI8" s="1846"/>
      <c r="DJ8" s="1849"/>
      <c r="DK8" s="1380" t="s">
        <v>1697</v>
      </c>
      <c r="DL8" s="1380" t="s">
        <v>1512</v>
      </c>
      <c r="DM8" s="1380" t="s">
        <v>1513</v>
      </c>
      <c r="DN8" s="1850"/>
      <c r="DO8" s="278" t="s">
        <v>942</v>
      </c>
      <c r="DP8" s="65" t="s">
        <v>67</v>
      </c>
      <c r="DQ8" s="278" t="s">
        <v>940</v>
      </c>
      <c r="DR8" s="278" t="s">
        <v>941</v>
      </c>
      <c r="DS8" s="278" t="s">
        <v>68</v>
      </c>
      <c r="DT8" s="1853"/>
      <c r="DU8" s="1855"/>
      <c r="DV8" s="1624" t="s">
        <v>1697</v>
      </c>
      <c r="DW8" s="1624" t="s">
        <v>1512</v>
      </c>
      <c r="DX8" s="1624" t="s">
        <v>1513</v>
      </c>
      <c r="DY8" s="1857"/>
      <c r="DZ8" s="302" t="s">
        <v>942</v>
      </c>
      <c r="EA8" s="303" t="s">
        <v>67</v>
      </c>
      <c r="EB8" s="302" t="s">
        <v>940</v>
      </c>
      <c r="EC8" s="302" t="s">
        <v>941</v>
      </c>
      <c r="ED8" s="579" t="s">
        <v>68</v>
      </c>
      <c r="EE8" s="1839"/>
      <c r="EF8" s="1841"/>
      <c r="EG8" s="1624" t="s">
        <v>1697</v>
      </c>
      <c r="EH8" s="1624" t="s">
        <v>1512</v>
      </c>
      <c r="EI8" s="1624" t="s">
        <v>1513</v>
      </c>
      <c r="EJ8" s="1848"/>
      <c r="EK8" s="277" t="s">
        <v>942</v>
      </c>
      <c r="EL8" s="284" t="s">
        <v>67</v>
      </c>
      <c r="EM8" s="277" t="s">
        <v>940</v>
      </c>
      <c r="EN8" s="277" t="s">
        <v>941</v>
      </c>
      <c r="EO8" s="277" t="s">
        <v>68</v>
      </c>
      <c r="EP8" s="1846"/>
      <c r="EQ8" s="1849"/>
      <c r="ER8" s="1624" t="s">
        <v>1697</v>
      </c>
      <c r="ES8" s="1624" t="s">
        <v>1512</v>
      </c>
      <c r="ET8" s="1624" t="s">
        <v>1513</v>
      </c>
      <c r="EU8" s="1850"/>
      <c r="EV8" s="278" t="s">
        <v>942</v>
      </c>
      <c r="EW8" s="1620" t="s">
        <v>67</v>
      </c>
      <c r="EX8" s="278" t="s">
        <v>940</v>
      </c>
      <c r="EY8" s="278" t="s">
        <v>941</v>
      </c>
      <c r="EZ8" s="278" t="s">
        <v>68</v>
      </c>
    </row>
    <row r="9" spans="1:156" s="48" customFormat="1" ht="15">
      <c r="A9" s="13">
        <v>1</v>
      </c>
      <c r="B9" s="13">
        <v>2</v>
      </c>
      <c r="C9" s="33">
        <v>3</v>
      </c>
      <c r="D9" s="33">
        <v>4</v>
      </c>
      <c r="E9" s="33"/>
      <c r="F9" s="33"/>
      <c r="G9" s="33"/>
      <c r="H9" s="33">
        <v>5</v>
      </c>
      <c r="I9" s="33">
        <v>6</v>
      </c>
      <c r="J9" s="33">
        <v>7</v>
      </c>
      <c r="K9" s="33">
        <v>8</v>
      </c>
      <c r="L9" s="33">
        <v>9</v>
      </c>
      <c r="M9" s="33">
        <v>10</v>
      </c>
      <c r="N9" s="281">
        <v>11</v>
      </c>
      <c r="O9" s="281">
        <v>12</v>
      </c>
      <c r="P9" s="281"/>
      <c r="Q9" s="281"/>
      <c r="R9" s="281"/>
      <c r="S9" s="281">
        <v>13</v>
      </c>
      <c r="T9" s="281">
        <v>14</v>
      </c>
      <c r="U9" s="281">
        <v>15</v>
      </c>
      <c r="V9" s="281">
        <v>16</v>
      </c>
      <c r="W9" s="281">
        <v>17</v>
      </c>
      <c r="X9" s="281">
        <v>18</v>
      </c>
      <c r="Y9" s="281">
        <v>3</v>
      </c>
      <c r="Z9" s="281">
        <v>4</v>
      </c>
      <c r="AA9" s="281"/>
      <c r="AB9" s="281"/>
      <c r="AC9" s="281"/>
      <c r="AD9" s="281">
        <v>5</v>
      </c>
      <c r="AE9" s="281">
        <v>6</v>
      </c>
      <c r="AF9" s="281">
        <v>7</v>
      </c>
      <c r="AG9" s="281">
        <v>8</v>
      </c>
      <c r="AH9" s="281">
        <v>9</v>
      </c>
      <c r="AI9" s="281">
        <v>10</v>
      </c>
      <c r="AJ9" s="281">
        <v>11</v>
      </c>
      <c r="AK9" s="281">
        <v>12</v>
      </c>
      <c r="AL9" s="281">
        <v>13</v>
      </c>
      <c r="AM9" s="281">
        <v>14</v>
      </c>
      <c r="AN9" s="281">
        <v>15</v>
      </c>
      <c r="AO9" s="281">
        <v>16</v>
      </c>
      <c r="AP9" s="281">
        <v>17</v>
      </c>
      <c r="AQ9" s="281">
        <v>18</v>
      </c>
      <c r="AR9" s="281">
        <v>19</v>
      </c>
      <c r="AS9" s="281">
        <v>20</v>
      </c>
      <c r="AT9" s="281">
        <v>21</v>
      </c>
      <c r="AU9" s="281">
        <v>22</v>
      </c>
      <c r="AV9" s="281">
        <v>23</v>
      </c>
      <c r="AW9" s="281">
        <v>21</v>
      </c>
      <c r="AX9" s="281">
        <v>22</v>
      </c>
      <c r="AY9" s="281">
        <v>23</v>
      </c>
      <c r="AZ9" s="281">
        <v>24</v>
      </c>
      <c r="BA9" s="281">
        <v>25</v>
      </c>
      <c r="BB9" s="281">
        <v>26</v>
      </c>
      <c r="BC9" s="281">
        <v>27</v>
      </c>
      <c r="BD9" s="281">
        <v>28</v>
      </c>
      <c r="BE9" s="281">
        <v>29</v>
      </c>
      <c r="BF9" s="281">
        <v>30</v>
      </c>
      <c r="BG9" s="281">
        <v>31</v>
      </c>
      <c r="BH9" s="281">
        <v>32</v>
      </c>
      <c r="BI9" s="281">
        <v>33</v>
      </c>
      <c r="BJ9" s="281">
        <v>34</v>
      </c>
      <c r="BK9" s="281">
        <v>35</v>
      </c>
      <c r="BL9" s="281">
        <v>36</v>
      </c>
      <c r="BM9" s="281">
        <v>37</v>
      </c>
      <c r="BN9" s="281">
        <v>38</v>
      </c>
      <c r="BO9" s="281">
        <v>39</v>
      </c>
      <c r="BP9" s="281">
        <v>40</v>
      </c>
      <c r="BQ9" s="281">
        <v>41</v>
      </c>
      <c r="BR9" s="281">
        <v>42</v>
      </c>
      <c r="BS9" s="281">
        <v>40</v>
      </c>
      <c r="BT9" s="281">
        <v>41</v>
      </c>
      <c r="BU9" s="281">
        <v>42</v>
      </c>
      <c r="BV9" s="281">
        <v>43</v>
      </c>
      <c r="BW9" s="281">
        <v>44</v>
      </c>
      <c r="BX9" s="281">
        <v>45</v>
      </c>
      <c r="BY9" s="281">
        <v>46</v>
      </c>
      <c r="BZ9" s="281">
        <v>47</v>
      </c>
      <c r="CA9" s="281">
        <v>48</v>
      </c>
      <c r="CB9" s="281">
        <v>49</v>
      </c>
      <c r="CC9" s="281">
        <v>50</v>
      </c>
      <c r="CD9" s="281">
        <v>51</v>
      </c>
      <c r="CE9" s="281">
        <v>52</v>
      </c>
      <c r="CF9" s="281">
        <v>53</v>
      </c>
      <c r="CG9" s="281">
        <v>54</v>
      </c>
      <c r="CH9" s="281">
        <v>55</v>
      </c>
      <c r="CI9" s="281">
        <v>56</v>
      </c>
      <c r="CJ9" s="281">
        <v>57</v>
      </c>
      <c r="CK9" s="281">
        <v>58</v>
      </c>
      <c r="CL9" s="281">
        <v>59</v>
      </c>
      <c r="CM9" s="281">
        <v>60</v>
      </c>
      <c r="CN9" s="281">
        <v>61</v>
      </c>
      <c r="CO9" s="281">
        <v>62</v>
      </c>
      <c r="CP9" s="281">
        <v>63</v>
      </c>
      <c r="CQ9" s="281">
        <v>64</v>
      </c>
      <c r="CR9" s="281">
        <v>65</v>
      </c>
      <c r="CS9" s="281">
        <v>66</v>
      </c>
      <c r="CT9" s="281">
        <v>67</v>
      </c>
      <c r="CU9" s="281">
        <v>68</v>
      </c>
      <c r="CV9" s="281">
        <v>69</v>
      </c>
      <c r="CW9" s="281">
        <v>70</v>
      </c>
      <c r="CX9" s="281">
        <v>71</v>
      </c>
      <c r="CY9" s="281">
        <v>72</v>
      </c>
      <c r="CZ9" s="281">
        <v>73</v>
      </c>
      <c r="DA9" s="281">
        <v>74</v>
      </c>
      <c r="DB9" s="281">
        <v>75</v>
      </c>
      <c r="DC9" s="281">
        <v>76</v>
      </c>
      <c r="DD9" s="281">
        <v>77</v>
      </c>
      <c r="DE9" s="281">
        <v>78</v>
      </c>
      <c r="DF9" s="281">
        <v>79</v>
      </c>
      <c r="DG9" s="281">
        <v>80</v>
      </c>
      <c r="DH9" s="281">
        <v>81</v>
      </c>
      <c r="DI9" s="281">
        <v>82</v>
      </c>
      <c r="DJ9" s="281">
        <v>83</v>
      </c>
      <c r="DK9" s="281">
        <v>84</v>
      </c>
      <c r="DL9" s="281">
        <v>85</v>
      </c>
      <c r="DM9" s="281">
        <v>86</v>
      </c>
      <c r="DN9" s="281">
        <v>87</v>
      </c>
      <c r="DO9" s="281">
        <v>88</v>
      </c>
      <c r="DP9" s="281">
        <v>89</v>
      </c>
      <c r="DQ9" s="281">
        <v>90</v>
      </c>
      <c r="DR9" s="281">
        <v>91</v>
      </c>
      <c r="DS9" s="281">
        <v>92</v>
      </c>
      <c r="DT9" s="281">
        <v>93</v>
      </c>
      <c r="DU9" s="281">
        <v>94</v>
      </c>
      <c r="DV9" s="281">
        <v>95</v>
      </c>
      <c r="DW9" s="281">
        <v>96</v>
      </c>
      <c r="DX9" s="281">
        <v>97</v>
      </c>
      <c r="DY9" s="281">
        <v>98</v>
      </c>
      <c r="DZ9" s="281">
        <v>99</v>
      </c>
      <c r="EA9" s="281">
        <v>100</v>
      </c>
      <c r="EB9" s="281">
        <v>101</v>
      </c>
      <c r="EC9" s="281">
        <v>102</v>
      </c>
      <c r="ED9" s="281">
        <v>103</v>
      </c>
      <c r="EE9" s="281">
        <v>104</v>
      </c>
      <c r="EF9" s="281">
        <v>105</v>
      </c>
      <c r="EG9" s="281">
        <v>106</v>
      </c>
      <c r="EH9" s="281">
        <v>107</v>
      </c>
      <c r="EI9" s="281">
        <v>108</v>
      </c>
      <c r="EJ9" s="281">
        <v>109</v>
      </c>
      <c r="EK9" s="281">
        <v>110</v>
      </c>
      <c r="EL9" s="281">
        <v>111</v>
      </c>
      <c r="EM9" s="281">
        <v>112</v>
      </c>
      <c r="EN9" s="281">
        <v>113</v>
      </c>
      <c r="EO9" s="281">
        <v>114</v>
      </c>
      <c r="EP9" s="281">
        <v>115</v>
      </c>
      <c r="EQ9" s="281">
        <v>116</v>
      </c>
      <c r="ER9" s="281">
        <v>117</v>
      </c>
      <c r="ES9" s="281">
        <v>118</v>
      </c>
      <c r="ET9" s="281">
        <v>119</v>
      </c>
      <c r="EU9" s="281">
        <v>120</v>
      </c>
      <c r="EV9" s="281">
        <v>121</v>
      </c>
      <c r="EW9" s="281">
        <v>122</v>
      </c>
      <c r="EX9" s="281">
        <v>123</v>
      </c>
      <c r="EY9" s="281">
        <v>124</v>
      </c>
      <c r="EZ9" s="281">
        <v>125</v>
      </c>
    </row>
    <row r="10" spans="1:156" s="106" customFormat="1" ht="42.75">
      <c r="A10" s="110" t="s">
        <v>4</v>
      </c>
      <c r="B10" s="111" t="s">
        <v>69</v>
      </c>
      <c r="C10" s="286">
        <f>C14+C15</f>
        <v>557.30600000000004</v>
      </c>
      <c r="D10" s="286">
        <f t="shared" ref="D10:H10" si="0">D14+D15</f>
        <v>557.30600000000004</v>
      </c>
      <c r="E10" s="286"/>
      <c r="F10" s="286"/>
      <c r="G10" s="286"/>
      <c r="H10" s="286">
        <f t="shared" si="0"/>
        <v>0</v>
      </c>
      <c r="I10" s="286"/>
      <c r="J10" s="286">
        <f t="shared" ref="J10" si="1">J14+J15</f>
        <v>0</v>
      </c>
      <c r="K10" s="111"/>
      <c r="L10" s="111"/>
      <c r="M10" s="111"/>
      <c r="N10" s="286">
        <f>N14+N15</f>
        <v>567.09349999999995</v>
      </c>
      <c r="O10" s="286">
        <f t="shared" ref="O10:U10" si="2">O14+O15</f>
        <v>565.34049999999991</v>
      </c>
      <c r="P10" s="286"/>
      <c r="Q10" s="286"/>
      <c r="R10" s="286"/>
      <c r="S10" s="286">
        <f t="shared" si="2"/>
        <v>1.7529999999999999</v>
      </c>
      <c r="T10" s="286"/>
      <c r="U10" s="286">
        <f t="shared" si="2"/>
        <v>1.7529999999999999</v>
      </c>
      <c r="V10" s="286"/>
      <c r="W10" s="286"/>
      <c r="X10" s="286"/>
      <c r="Y10" s="286">
        <v>564.173</v>
      </c>
      <c r="Z10" s="286">
        <v>564.173</v>
      </c>
      <c r="AA10" s="286"/>
      <c r="AB10" s="286"/>
      <c r="AC10" s="286"/>
      <c r="AD10" s="286">
        <v>0</v>
      </c>
      <c r="AE10" s="286"/>
      <c r="AF10" s="286">
        <v>0</v>
      </c>
      <c r="AG10" s="286"/>
      <c r="AH10" s="286"/>
      <c r="AI10" s="286"/>
      <c r="AJ10" s="286">
        <v>512.65819999999997</v>
      </c>
      <c r="AK10" s="1400">
        <v>511.29019999999997</v>
      </c>
      <c r="AL10" s="1400">
        <v>2.89</v>
      </c>
      <c r="AM10" s="1400">
        <v>8.3260000000000005</v>
      </c>
      <c r="AN10" s="1400">
        <v>500.07399999999996</v>
      </c>
      <c r="AO10" s="286">
        <v>1.3680000000000001</v>
      </c>
      <c r="AP10" s="286"/>
      <c r="AQ10" s="286">
        <v>1.3680000000000001</v>
      </c>
      <c r="AR10" s="286"/>
      <c r="AS10" s="286"/>
      <c r="AT10" s="286"/>
      <c r="AU10" s="286">
        <v>563.23599999999999</v>
      </c>
      <c r="AV10" s="286">
        <v>561.45500000000004</v>
      </c>
      <c r="AW10" s="286"/>
      <c r="AX10" s="286"/>
      <c r="AY10" s="286"/>
      <c r="AZ10" s="286">
        <v>1.7810000000000001</v>
      </c>
      <c r="BA10" s="286"/>
      <c r="BB10" s="286">
        <v>1.7810000000000001</v>
      </c>
      <c r="BC10" s="286"/>
      <c r="BD10" s="286"/>
      <c r="BE10" s="286"/>
      <c r="BF10" s="286">
        <v>460.92900000000003</v>
      </c>
      <c r="BG10" s="286">
        <v>460.42900000000003</v>
      </c>
      <c r="BH10" s="286">
        <v>460.42900000000003</v>
      </c>
      <c r="BI10" s="286">
        <v>0</v>
      </c>
      <c r="BJ10" s="286">
        <v>0</v>
      </c>
      <c r="BK10" s="286">
        <v>0.5</v>
      </c>
      <c r="BL10" s="286"/>
      <c r="BM10" s="286">
        <v>0.5</v>
      </c>
      <c r="BN10" s="286"/>
      <c r="BO10" s="286"/>
      <c r="BP10" s="286"/>
      <c r="BQ10" s="286">
        <v>499.53600000000012</v>
      </c>
      <c r="BR10" s="286">
        <v>498.16800000000012</v>
      </c>
      <c r="BS10" s="1697">
        <v>2.8899999999999997</v>
      </c>
      <c r="BT10" s="1400">
        <v>8.3260000000000005</v>
      </c>
      <c r="BU10" s="1400">
        <v>486.95200000000011</v>
      </c>
      <c r="BV10" s="286">
        <v>1.3680000000000001</v>
      </c>
      <c r="BW10" s="286"/>
      <c r="BX10" s="286">
        <v>1.3680000000000001</v>
      </c>
      <c r="BY10" s="286"/>
      <c r="BZ10" s="286"/>
      <c r="CA10" s="286"/>
      <c r="CB10" s="286">
        <v>485.15200000000004</v>
      </c>
      <c r="CC10" s="286">
        <v>483.95600000000002</v>
      </c>
      <c r="CD10" s="286">
        <v>483.95600000000002</v>
      </c>
      <c r="CE10" s="286">
        <v>0</v>
      </c>
      <c r="CF10" s="286">
        <v>0</v>
      </c>
      <c r="CG10" s="286">
        <v>1.196</v>
      </c>
      <c r="CH10" s="286"/>
      <c r="CI10" s="286">
        <v>1.196</v>
      </c>
      <c r="CJ10" s="286"/>
      <c r="CK10" s="286"/>
      <c r="CL10" s="286"/>
      <c r="CM10" s="286">
        <v>486.14800000000002</v>
      </c>
      <c r="CN10" s="286">
        <v>484.952</v>
      </c>
      <c r="CO10" s="286">
        <v>483.02499999999998</v>
      </c>
      <c r="CP10" s="286">
        <v>0</v>
      </c>
      <c r="CQ10" s="286">
        <v>0</v>
      </c>
      <c r="CR10" s="286">
        <v>1.196</v>
      </c>
      <c r="CS10" s="286"/>
      <c r="CT10" s="286">
        <v>1.196</v>
      </c>
      <c r="CU10" s="304"/>
      <c r="CV10" s="304"/>
      <c r="CW10" s="304"/>
      <c r="CX10" s="286">
        <v>290.738</v>
      </c>
      <c r="CY10" s="286">
        <v>290.24299999999999</v>
      </c>
      <c r="CZ10" s="286">
        <v>290.24299999999999</v>
      </c>
      <c r="DA10" s="286">
        <v>0</v>
      </c>
      <c r="DB10" s="286">
        <v>0</v>
      </c>
      <c r="DC10" s="286">
        <v>0.495</v>
      </c>
      <c r="DD10" s="286"/>
      <c r="DE10" s="286">
        <v>0.495</v>
      </c>
      <c r="DF10" s="286"/>
      <c r="DG10" s="286"/>
      <c r="DH10" s="112"/>
      <c r="DI10" s="286">
        <v>195.41</v>
      </c>
      <c r="DJ10" s="286">
        <v>194.709</v>
      </c>
      <c r="DK10" s="286">
        <v>194.709</v>
      </c>
      <c r="DL10" s="286">
        <v>0</v>
      </c>
      <c r="DM10" s="286">
        <v>0</v>
      </c>
      <c r="DN10" s="286">
        <v>0.70099999999999996</v>
      </c>
      <c r="DO10" s="286"/>
      <c r="DP10" s="286">
        <v>0.70099999999999996</v>
      </c>
      <c r="DQ10" s="286"/>
      <c r="DR10" s="286"/>
      <c r="DS10" s="112"/>
      <c r="DT10" s="286">
        <v>486.14800000000002</v>
      </c>
      <c r="DU10" s="286">
        <v>484.952</v>
      </c>
      <c r="DV10" s="286">
        <v>483.02499999999998</v>
      </c>
      <c r="DW10" s="286">
        <v>0</v>
      </c>
      <c r="DX10" s="286">
        <v>0</v>
      </c>
      <c r="DY10" s="286">
        <v>1.196</v>
      </c>
      <c r="DZ10" s="286"/>
      <c r="EA10" s="286">
        <v>1.196</v>
      </c>
      <c r="EB10" s="304"/>
      <c r="EC10" s="304"/>
      <c r="ED10" s="304"/>
      <c r="EE10" s="286">
        <v>290.738</v>
      </c>
      <c r="EF10" s="286">
        <v>290.24299999999999</v>
      </c>
      <c r="EG10" s="286">
        <v>290.24299999999999</v>
      </c>
      <c r="EH10" s="286">
        <v>0</v>
      </c>
      <c r="EI10" s="286">
        <v>0</v>
      </c>
      <c r="EJ10" s="286">
        <v>0.495</v>
      </c>
      <c r="EK10" s="286"/>
      <c r="EL10" s="286">
        <v>0.495</v>
      </c>
      <c r="EM10" s="286"/>
      <c r="EN10" s="286"/>
      <c r="EO10" s="112"/>
      <c r="EP10" s="286">
        <v>195.41</v>
      </c>
      <c r="EQ10" s="286">
        <v>194.709</v>
      </c>
      <c r="ER10" s="286">
        <v>194.709</v>
      </c>
      <c r="ES10" s="286">
        <v>0</v>
      </c>
      <c r="ET10" s="286">
        <v>0</v>
      </c>
      <c r="EU10" s="286">
        <v>0.70099999999999996</v>
      </c>
      <c r="EV10" s="286"/>
      <c r="EW10" s="286">
        <v>0.70099999999999996</v>
      </c>
      <c r="EX10" s="286"/>
      <c r="EY10" s="286"/>
      <c r="EZ10" s="112"/>
    </row>
    <row r="11" spans="1:156" ht="15" customHeight="1">
      <c r="A11" s="17"/>
      <c r="B11" s="16" t="s">
        <v>70</v>
      </c>
      <c r="C11" s="260"/>
      <c r="D11" s="260"/>
      <c r="E11" s="260"/>
      <c r="F11" s="260"/>
      <c r="G11" s="260"/>
      <c r="H11" s="283"/>
      <c r="I11" s="283"/>
      <c r="J11" s="283"/>
      <c r="K11" s="16"/>
      <c r="L11" s="16"/>
      <c r="M11" s="16"/>
      <c r="N11" s="260"/>
      <c r="O11" s="260"/>
      <c r="P11" s="260"/>
      <c r="Q11" s="260"/>
      <c r="R11" s="260"/>
      <c r="S11" s="283"/>
      <c r="T11" s="283"/>
      <c r="U11" s="283"/>
      <c r="V11" s="283"/>
      <c r="W11" s="283"/>
      <c r="X11" s="283"/>
      <c r="Y11" s="260"/>
      <c r="Z11" s="260"/>
      <c r="AA11" s="260"/>
      <c r="AB11" s="260"/>
      <c r="AC11" s="260"/>
      <c r="AD11" s="283"/>
      <c r="AE11" s="283"/>
      <c r="AF11" s="283"/>
      <c r="AG11" s="283"/>
      <c r="AH11" s="283"/>
      <c r="AI11" s="283"/>
      <c r="AJ11" s="260"/>
      <c r="AK11" s="260"/>
      <c r="AL11" s="260"/>
      <c r="AM11" s="260"/>
      <c r="AN11" s="260"/>
      <c r="AO11" s="283"/>
      <c r="AP11" s="283"/>
      <c r="AQ11" s="283"/>
      <c r="AR11" s="283"/>
      <c r="AS11" s="283"/>
      <c r="AT11" s="283"/>
      <c r="AU11" s="260"/>
      <c r="AV11" s="260"/>
      <c r="AW11" s="260"/>
      <c r="AX11" s="260"/>
      <c r="AY11" s="260"/>
      <c r="AZ11" s="283"/>
      <c r="BA11" s="283"/>
      <c r="BB11" s="283"/>
      <c r="BC11" s="283"/>
      <c r="BD11" s="283"/>
      <c r="BE11" s="283"/>
      <c r="BF11" s="260"/>
      <c r="BG11" s="260"/>
      <c r="BH11" s="260"/>
      <c r="BI11" s="260"/>
      <c r="BJ11" s="260"/>
      <c r="BK11" s="283"/>
      <c r="BL11" s="283"/>
      <c r="BM11" s="283"/>
      <c r="BN11" s="283"/>
      <c r="BO11" s="283"/>
      <c r="BP11" s="283"/>
      <c r="BQ11" s="260"/>
      <c r="BR11" s="260"/>
      <c r="BS11" s="260"/>
      <c r="BT11" s="260"/>
      <c r="BU11" s="260"/>
      <c r="BV11" s="283"/>
      <c r="BW11" s="283"/>
      <c r="BX11" s="283"/>
      <c r="BY11" s="283"/>
      <c r="BZ11" s="283"/>
      <c r="CA11" s="283"/>
      <c r="CB11" s="260"/>
      <c r="CC11" s="260"/>
      <c r="CD11" s="260"/>
      <c r="CE11" s="260"/>
      <c r="CF11" s="260"/>
      <c r="CG11" s="283"/>
      <c r="CH11" s="283"/>
      <c r="CI11" s="283"/>
      <c r="CJ11" s="283"/>
      <c r="CK11" s="283"/>
      <c r="CL11" s="283"/>
      <c r="CM11" s="305"/>
      <c r="CN11" s="305"/>
      <c r="CO11" s="305"/>
      <c r="CP11" s="305"/>
      <c r="CQ11" s="305"/>
      <c r="CR11" s="306"/>
      <c r="CS11" s="305"/>
      <c r="CT11" s="305"/>
      <c r="CU11" s="305"/>
      <c r="CV11" s="305"/>
      <c r="CW11" s="305"/>
      <c r="CX11" s="260"/>
      <c r="CY11" s="260"/>
      <c r="CZ11" s="260"/>
      <c r="DA11" s="260"/>
      <c r="DB11" s="260"/>
      <c r="DC11" s="283"/>
      <c r="DD11" s="283"/>
      <c r="DE11" s="283"/>
      <c r="DF11" s="283"/>
      <c r="DG11" s="283"/>
      <c r="DH11" s="50"/>
      <c r="DI11" s="260"/>
      <c r="DJ11" s="260"/>
      <c r="DK11" s="260"/>
      <c r="DL11" s="260"/>
      <c r="DM11" s="260"/>
      <c r="DN11" s="283"/>
      <c r="DO11" s="283"/>
      <c r="DP11" s="283"/>
      <c r="DQ11" s="283"/>
      <c r="DR11" s="283"/>
      <c r="DS11" s="50"/>
      <c r="DT11" s="305"/>
      <c r="DU11" s="305"/>
      <c r="DV11" s="305"/>
      <c r="DW11" s="305"/>
      <c r="DX11" s="305"/>
      <c r="DY11" s="306"/>
      <c r="DZ11" s="305"/>
      <c r="EA11" s="305"/>
      <c r="EB11" s="305"/>
      <c r="EC11" s="305"/>
      <c r="ED11" s="305"/>
      <c r="EE11" s="260"/>
      <c r="EF11" s="260"/>
      <c r="EG11" s="260"/>
      <c r="EH11" s="260"/>
      <c r="EI11" s="260"/>
      <c r="EJ11" s="283"/>
      <c r="EK11" s="283"/>
      <c r="EL11" s="283"/>
      <c r="EM11" s="283"/>
      <c r="EN11" s="283"/>
      <c r="EO11" s="50"/>
      <c r="EP11" s="260"/>
      <c r="EQ11" s="260"/>
      <c r="ER11" s="260"/>
      <c r="ES11" s="260"/>
      <c r="ET11" s="260"/>
      <c r="EU11" s="283"/>
      <c r="EV11" s="283"/>
      <c r="EW11" s="283"/>
      <c r="EX11" s="283"/>
      <c r="EY11" s="283"/>
      <c r="EZ11" s="50"/>
    </row>
    <row r="12" spans="1:156" ht="15" customHeight="1">
      <c r="A12" s="17"/>
      <c r="B12" s="51" t="s">
        <v>71</v>
      </c>
      <c r="C12" s="260">
        <f>D12+H12</f>
        <v>0</v>
      </c>
      <c r="D12" s="260"/>
      <c r="E12" s="260"/>
      <c r="F12" s="260"/>
      <c r="G12" s="260"/>
      <c r="H12" s="260">
        <f>J12</f>
        <v>0</v>
      </c>
      <c r="I12" s="283"/>
      <c r="J12" s="283"/>
      <c r="K12" s="51"/>
      <c r="L12" s="51"/>
      <c r="M12" s="51"/>
      <c r="N12" s="260">
        <f>O12+S12</f>
        <v>0</v>
      </c>
      <c r="O12" s="260"/>
      <c r="P12" s="260"/>
      <c r="Q12" s="260"/>
      <c r="R12" s="260"/>
      <c r="S12" s="260">
        <f>U12</f>
        <v>0</v>
      </c>
      <c r="T12" s="283"/>
      <c r="U12" s="283"/>
      <c r="V12" s="283"/>
      <c r="W12" s="283"/>
      <c r="X12" s="283"/>
      <c r="Y12" s="260">
        <v>0</v>
      </c>
      <c r="Z12" s="260"/>
      <c r="AA12" s="260"/>
      <c r="AB12" s="260"/>
      <c r="AC12" s="260"/>
      <c r="AD12" s="260">
        <v>0</v>
      </c>
      <c r="AE12" s="283"/>
      <c r="AF12" s="283"/>
      <c r="AG12" s="283"/>
      <c r="AH12" s="283"/>
      <c r="AI12" s="283"/>
      <c r="AJ12" s="260">
        <v>0</v>
      </c>
      <c r="AK12" s="260"/>
      <c r="AL12" s="260"/>
      <c r="AM12" s="260"/>
      <c r="AN12" s="260"/>
      <c r="AO12" s="260">
        <v>0</v>
      </c>
      <c r="AP12" s="283"/>
      <c r="AQ12" s="283"/>
      <c r="AR12" s="283"/>
      <c r="AS12" s="283"/>
      <c r="AT12" s="283"/>
      <c r="AU12" s="260">
        <v>0</v>
      </c>
      <c r="AV12" s="260"/>
      <c r="AW12" s="260"/>
      <c r="AX12" s="260"/>
      <c r="AY12" s="260"/>
      <c r="AZ12" s="260">
        <v>0</v>
      </c>
      <c r="BA12" s="283"/>
      <c r="BB12" s="283"/>
      <c r="BC12" s="283"/>
      <c r="BD12" s="283"/>
      <c r="BE12" s="283"/>
      <c r="BF12" s="260">
        <v>0</v>
      </c>
      <c r="BG12" s="260"/>
      <c r="BH12" s="260"/>
      <c r="BI12" s="260"/>
      <c r="BJ12" s="260"/>
      <c r="BK12" s="260">
        <v>0</v>
      </c>
      <c r="BL12" s="283"/>
      <c r="BM12" s="283"/>
      <c r="BN12" s="283"/>
      <c r="BO12" s="283"/>
      <c r="BP12" s="283"/>
      <c r="BQ12" s="260"/>
      <c r="BR12" s="260"/>
      <c r="BS12" s="260"/>
      <c r="BT12" s="260"/>
      <c r="BU12" s="260"/>
      <c r="BV12" s="260"/>
      <c r="BW12" s="283"/>
      <c r="BX12" s="283"/>
      <c r="BY12" s="283"/>
      <c r="BZ12" s="283"/>
      <c r="CA12" s="283"/>
      <c r="CB12" s="260">
        <v>0</v>
      </c>
      <c r="CC12" s="260"/>
      <c r="CD12" s="260"/>
      <c r="CE12" s="260"/>
      <c r="CF12" s="260"/>
      <c r="CG12" s="260">
        <v>0</v>
      </c>
      <c r="CH12" s="283"/>
      <c r="CI12" s="283"/>
      <c r="CJ12" s="283"/>
      <c r="CK12" s="283"/>
      <c r="CL12" s="283"/>
      <c r="CM12" s="306">
        <v>0</v>
      </c>
      <c r="CN12" s="305"/>
      <c r="CO12" s="305"/>
      <c r="CP12" s="305"/>
      <c r="CQ12" s="305"/>
      <c r="CR12" s="306">
        <v>0</v>
      </c>
      <c r="CS12" s="305"/>
      <c r="CT12" s="305">
        <v>0</v>
      </c>
      <c r="CU12" s="305"/>
      <c r="CV12" s="305"/>
      <c r="CW12" s="305"/>
      <c r="CX12" s="260">
        <v>0</v>
      </c>
      <c r="CY12" s="260"/>
      <c r="CZ12" s="260"/>
      <c r="DA12" s="260"/>
      <c r="DB12" s="260"/>
      <c r="DC12" s="260">
        <v>0</v>
      </c>
      <c r="DD12" s="283"/>
      <c r="DE12" s="283"/>
      <c r="DF12" s="283"/>
      <c r="DG12" s="283"/>
      <c r="DH12" s="50"/>
      <c r="DI12" s="260">
        <v>0</v>
      </c>
      <c r="DJ12" s="260"/>
      <c r="DK12" s="260"/>
      <c r="DL12" s="260"/>
      <c r="DM12" s="260"/>
      <c r="DN12" s="260">
        <v>0</v>
      </c>
      <c r="DO12" s="283"/>
      <c r="DP12" s="283"/>
      <c r="DQ12" s="283"/>
      <c r="DR12" s="283"/>
      <c r="DS12" s="50"/>
      <c r="DT12" s="306">
        <v>0</v>
      </c>
      <c r="DU12" s="305"/>
      <c r="DV12" s="305"/>
      <c r="DW12" s="305"/>
      <c r="DX12" s="305"/>
      <c r="DY12" s="306">
        <v>0</v>
      </c>
      <c r="DZ12" s="305"/>
      <c r="EA12" s="305">
        <v>0</v>
      </c>
      <c r="EB12" s="305"/>
      <c r="EC12" s="305"/>
      <c r="ED12" s="305"/>
      <c r="EE12" s="260">
        <v>0</v>
      </c>
      <c r="EF12" s="260"/>
      <c r="EG12" s="260"/>
      <c r="EH12" s="260"/>
      <c r="EI12" s="260"/>
      <c r="EJ12" s="260">
        <v>0</v>
      </c>
      <c r="EK12" s="283"/>
      <c r="EL12" s="283"/>
      <c r="EM12" s="283"/>
      <c r="EN12" s="283"/>
      <c r="EO12" s="50"/>
      <c r="EP12" s="260">
        <v>0</v>
      </c>
      <c r="EQ12" s="260"/>
      <c r="ER12" s="260"/>
      <c r="ES12" s="260"/>
      <c r="ET12" s="260"/>
      <c r="EU12" s="260">
        <v>0</v>
      </c>
      <c r="EV12" s="283"/>
      <c r="EW12" s="283"/>
      <c r="EX12" s="283"/>
      <c r="EY12" s="283"/>
      <c r="EZ12" s="50"/>
    </row>
    <row r="13" spans="1:156" ht="15" customHeight="1">
      <c r="A13" s="17"/>
      <c r="B13" s="51" t="s">
        <v>72</v>
      </c>
      <c r="C13" s="260"/>
      <c r="D13" s="260"/>
      <c r="E13" s="260"/>
      <c r="F13" s="260"/>
      <c r="G13" s="260"/>
      <c r="H13" s="260"/>
      <c r="I13" s="260"/>
      <c r="J13" s="260"/>
      <c r="K13" s="51"/>
      <c r="L13" s="51"/>
      <c r="M13" s="51"/>
      <c r="N13" s="260"/>
      <c r="O13" s="260"/>
      <c r="P13" s="260"/>
      <c r="Q13" s="260"/>
      <c r="R13" s="260"/>
      <c r="S13" s="260"/>
      <c r="T13" s="260"/>
      <c r="U13" s="260"/>
      <c r="V13" s="260"/>
      <c r="W13" s="260"/>
      <c r="X13" s="260"/>
      <c r="Y13" s="260"/>
      <c r="Z13" s="260"/>
      <c r="AA13" s="260"/>
      <c r="AB13" s="260"/>
      <c r="AC13" s="260"/>
      <c r="AD13" s="260"/>
      <c r="AE13" s="260"/>
      <c r="AF13" s="260"/>
      <c r="AG13" s="260"/>
      <c r="AH13" s="260"/>
      <c r="AI13" s="260"/>
      <c r="AJ13" s="260"/>
      <c r="AK13" s="260"/>
      <c r="AL13" s="260"/>
      <c r="AM13" s="260"/>
      <c r="AN13" s="260"/>
      <c r="AO13" s="260"/>
      <c r="AP13" s="260"/>
      <c r="AQ13" s="260"/>
      <c r="AR13" s="260"/>
      <c r="AS13" s="260"/>
      <c r="AT13" s="260"/>
      <c r="AU13" s="260"/>
      <c r="AV13" s="260"/>
      <c r="AW13" s="260"/>
      <c r="AX13" s="260"/>
      <c r="AY13" s="260"/>
      <c r="AZ13" s="260"/>
      <c r="BA13" s="260"/>
      <c r="BB13" s="260"/>
      <c r="BC13" s="260"/>
      <c r="BD13" s="260"/>
      <c r="BE13" s="260"/>
      <c r="BF13" s="260"/>
      <c r="BG13" s="260"/>
      <c r="BH13" s="260"/>
      <c r="BI13" s="260"/>
      <c r="BJ13" s="260"/>
      <c r="BK13" s="260"/>
      <c r="BL13" s="260"/>
      <c r="BM13" s="260"/>
      <c r="BN13" s="260"/>
      <c r="BO13" s="260"/>
      <c r="BP13" s="260"/>
      <c r="BQ13" s="260"/>
      <c r="BR13" s="260"/>
      <c r="BS13" s="260"/>
      <c r="BT13" s="260"/>
      <c r="BU13" s="260"/>
      <c r="BV13" s="260"/>
      <c r="BW13" s="260"/>
      <c r="BX13" s="260"/>
      <c r="BY13" s="260"/>
      <c r="BZ13" s="260"/>
      <c r="CA13" s="260"/>
      <c r="CB13" s="260"/>
      <c r="CC13" s="260"/>
      <c r="CD13" s="260"/>
      <c r="CE13" s="260"/>
      <c r="CF13" s="260"/>
      <c r="CG13" s="260"/>
      <c r="CH13" s="260"/>
      <c r="CI13" s="260"/>
      <c r="CJ13" s="260"/>
      <c r="CK13" s="260"/>
      <c r="CL13" s="260"/>
      <c r="CM13" s="306"/>
      <c r="CN13" s="306"/>
      <c r="CO13" s="306"/>
      <c r="CP13" s="306"/>
      <c r="CQ13" s="306"/>
      <c r="CR13" s="306"/>
      <c r="CS13" s="306"/>
      <c r="CT13" s="306"/>
      <c r="CU13" s="306"/>
      <c r="CV13" s="306"/>
      <c r="CW13" s="306"/>
      <c r="CX13" s="260"/>
      <c r="CY13" s="260"/>
      <c r="CZ13" s="260"/>
      <c r="DA13" s="260"/>
      <c r="DB13" s="260"/>
      <c r="DC13" s="260"/>
      <c r="DD13" s="260"/>
      <c r="DE13" s="260"/>
      <c r="DF13" s="260"/>
      <c r="DG13" s="260"/>
      <c r="DH13" s="49"/>
      <c r="DI13" s="260"/>
      <c r="DJ13" s="260"/>
      <c r="DK13" s="260"/>
      <c r="DL13" s="260"/>
      <c r="DM13" s="260"/>
      <c r="DN13" s="260"/>
      <c r="DO13" s="260"/>
      <c r="DP13" s="260"/>
      <c r="DQ13" s="260"/>
      <c r="DR13" s="260"/>
      <c r="DS13" s="49"/>
      <c r="DT13" s="306"/>
      <c r="DU13" s="306"/>
      <c r="DV13" s="306"/>
      <c r="DW13" s="306"/>
      <c r="DX13" s="306"/>
      <c r="DY13" s="306"/>
      <c r="DZ13" s="306"/>
      <c r="EA13" s="306"/>
      <c r="EB13" s="306"/>
      <c r="EC13" s="306"/>
      <c r="ED13" s="306"/>
      <c r="EE13" s="260"/>
      <c r="EF13" s="260"/>
      <c r="EG13" s="260"/>
      <c r="EH13" s="260"/>
      <c r="EI13" s="260"/>
      <c r="EJ13" s="260"/>
      <c r="EK13" s="260"/>
      <c r="EL13" s="260"/>
      <c r="EM13" s="260"/>
      <c r="EN13" s="260"/>
      <c r="EO13" s="49"/>
      <c r="EP13" s="260"/>
      <c r="EQ13" s="260"/>
      <c r="ER13" s="260"/>
      <c r="ES13" s="260"/>
      <c r="ET13" s="260"/>
      <c r="EU13" s="260"/>
      <c r="EV13" s="260"/>
      <c r="EW13" s="260"/>
      <c r="EX13" s="260"/>
      <c r="EY13" s="260"/>
      <c r="EZ13" s="49"/>
    </row>
    <row r="14" spans="1:156" ht="15" customHeight="1">
      <c r="A14" s="17"/>
      <c r="B14" s="51" t="s">
        <v>73</v>
      </c>
      <c r="C14" s="260">
        <f>D14+H14</f>
        <v>555.37900000000002</v>
      </c>
      <c r="D14" s="260">
        <f>554.399+0.98</f>
        <v>555.37900000000002</v>
      </c>
      <c r="E14" s="260"/>
      <c r="F14" s="260"/>
      <c r="G14" s="260"/>
      <c r="H14" s="260">
        <f>J14</f>
        <v>0</v>
      </c>
      <c r="I14" s="283"/>
      <c r="J14" s="283"/>
      <c r="K14" s="51"/>
      <c r="L14" s="51"/>
      <c r="M14" s="51"/>
      <c r="N14" s="260">
        <f>O14+S14</f>
        <v>565.14549999999997</v>
      </c>
      <c r="O14" s="877">
        <f>504.0116+32.1203+29.0136-1.753</f>
        <v>563.39249999999993</v>
      </c>
      <c r="P14" s="877"/>
      <c r="Q14" s="877"/>
      <c r="R14" s="877"/>
      <c r="S14" s="260">
        <f>U14</f>
        <v>1.7529999999999999</v>
      </c>
      <c r="T14" s="283"/>
      <c r="U14" s="283">
        <v>1.7529999999999999</v>
      </c>
      <c r="V14" s="283"/>
      <c r="W14" s="283"/>
      <c r="X14" s="283"/>
      <c r="Y14" s="260">
        <v>562.24599999999998</v>
      </c>
      <c r="Z14" s="260">
        <v>562.24599999999998</v>
      </c>
      <c r="AA14" s="260"/>
      <c r="AB14" s="260"/>
      <c r="AC14" s="260"/>
      <c r="AD14" s="260">
        <v>0</v>
      </c>
      <c r="AE14" s="283"/>
      <c r="AF14" s="283"/>
      <c r="AG14" s="283"/>
      <c r="AH14" s="283"/>
      <c r="AI14" s="283"/>
      <c r="AJ14" s="260">
        <v>510.99399999999997</v>
      </c>
      <c r="AK14" s="1404">
        <v>509.62599999999998</v>
      </c>
      <c r="AL14" s="1402">
        <v>2.89</v>
      </c>
      <c r="AM14" s="1403">
        <v>8.3260000000000005</v>
      </c>
      <c r="AN14" s="1403">
        <v>498.40999999999997</v>
      </c>
      <c r="AO14" s="260">
        <v>1.3680000000000001</v>
      </c>
      <c r="AP14" s="283"/>
      <c r="AQ14" s="288">
        <v>1.3680000000000001</v>
      </c>
      <c r="AR14" s="283"/>
      <c r="AS14" s="283"/>
      <c r="AT14" s="283"/>
      <c r="AU14" s="260">
        <v>561.30899999999997</v>
      </c>
      <c r="AV14" s="269">
        <v>559.52800000000002</v>
      </c>
      <c r="AW14" s="269"/>
      <c r="AX14" s="269"/>
      <c r="AY14" s="269"/>
      <c r="AZ14" s="260">
        <v>1.7810000000000001</v>
      </c>
      <c r="BA14" s="283"/>
      <c r="BB14" s="288">
        <v>1.7810000000000001</v>
      </c>
      <c r="BC14" s="283"/>
      <c r="BD14" s="283"/>
      <c r="BE14" s="283"/>
      <c r="BF14" s="260">
        <v>459.084</v>
      </c>
      <c r="BG14" s="269">
        <v>458.584</v>
      </c>
      <c r="BH14" s="269">
        <v>458.584</v>
      </c>
      <c r="BI14" s="269"/>
      <c r="BJ14" s="1698"/>
      <c r="BK14" s="260">
        <v>0.5</v>
      </c>
      <c r="BL14" s="283"/>
      <c r="BM14" s="288">
        <v>0.5</v>
      </c>
      <c r="BN14" s="283"/>
      <c r="BO14" s="283"/>
      <c r="BP14" s="283"/>
      <c r="BQ14" s="260">
        <v>497.60900000000009</v>
      </c>
      <c r="BR14" s="269">
        <v>496.2410000000001</v>
      </c>
      <c r="BS14" s="269">
        <v>2.8899999999999997</v>
      </c>
      <c r="BT14" s="269">
        <v>8.3260000000000005</v>
      </c>
      <c r="BU14" s="1403">
        <v>485.02500000000009</v>
      </c>
      <c r="BV14" s="260">
        <v>1.3680000000000001</v>
      </c>
      <c r="BW14" s="283"/>
      <c r="BX14" s="288">
        <v>1.3680000000000001</v>
      </c>
      <c r="BY14" s="283"/>
      <c r="BZ14" s="283"/>
      <c r="CA14" s="283"/>
      <c r="CB14" s="260">
        <v>483.22500000000002</v>
      </c>
      <c r="CC14" s="269">
        <v>482.029</v>
      </c>
      <c r="CD14" s="269">
        <v>482.029</v>
      </c>
      <c r="CE14" s="269"/>
      <c r="CF14" s="1698"/>
      <c r="CG14" s="260">
        <v>1.196</v>
      </c>
      <c r="CH14" s="283"/>
      <c r="CI14" s="288">
        <v>1.196</v>
      </c>
      <c r="CJ14" s="283"/>
      <c r="CK14" s="283"/>
      <c r="CL14" s="283"/>
      <c r="CM14" s="306">
        <v>484.221</v>
      </c>
      <c r="CN14" s="305">
        <v>483.02499999999998</v>
      </c>
      <c r="CO14" s="305">
        <v>483.02499999999998</v>
      </c>
      <c r="CP14" s="305">
        <v>0</v>
      </c>
      <c r="CQ14" s="305">
        <v>0</v>
      </c>
      <c r="CR14" s="306">
        <v>1.196</v>
      </c>
      <c r="CS14" s="305"/>
      <c r="CT14" s="305">
        <v>1.196</v>
      </c>
      <c r="CU14" s="306"/>
      <c r="CV14" s="306"/>
      <c r="CW14" s="306"/>
      <c r="CX14" s="260">
        <v>289.52800000000002</v>
      </c>
      <c r="CY14" s="269">
        <v>289.03300000000002</v>
      </c>
      <c r="CZ14" s="269">
        <v>289.03300000000002</v>
      </c>
      <c r="DA14" s="269"/>
      <c r="DB14" s="1698"/>
      <c r="DC14" s="260">
        <v>0.495</v>
      </c>
      <c r="DD14" s="283"/>
      <c r="DE14" s="288">
        <v>0.495</v>
      </c>
      <c r="DF14" s="283"/>
      <c r="DG14" s="283"/>
      <c r="DH14" s="49"/>
      <c r="DI14" s="260">
        <v>194.69299999999998</v>
      </c>
      <c r="DJ14" s="269">
        <v>193.99199999999999</v>
      </c>
      <c r="DK14" s="269">
        <v>193.99199999999999</v>
      </c>
      <c r="DL14" s="269"/>
      <c r="DM14" s="1698"/>
      <c r="DN14" s="260">
        <v>0.70099999999999996</v>
      </c>
      <c r="DO14" s="283"/>
      <c r="DP14" s="288">
        <v>0.70099999999999996</v>
      </c>
      <c r="DQ14" s="283"/>
      <c r="DR14" s="283"/>
      <c r="DS14" s="49"/>
      <c r="DT14" s="306">
        <v>484.221</v>
      </c>
      <c r="DU14" s="305">
        <v>483.02499999999998</v>
      </c>
      <c r="DV14" s="305">
        <v>483.02499999999998</v>
      </c>
      <c r="DW14" s="305">
        <v>0</v>
      </c>
      <c r="DX14" s="305">
        <v>0</v>
      </c>
      <c r="DY14" s="306">
        <v>1.196</v>
      </c>
      <c r="DZ14" s="305"/>
      <c r="EA14" s="305">
        <v>1.196</v>
      </c>
      <c r="EB14" s="306"/>
      <c r="EC14" s="306"/>
      <c r="ED14" s="306"/>
      <c r="EE14" s="260">
        <v>289.52800000000002</v>
      </c>
      <c r="EF14" s="269">
        <v>289.03300000000002</v>
      </c>
      <c r="EG14" s="269">
        <v>289.03300000000002</v>
      </c>
      <c r="EH14" s="269"/>
      <c r="EI14" s="1698"/>
      <c r="EJ14" s="260">
        <v>0.495</v>
      </c>
      <c r="EK14" s="283"/>
      <c r="EL14" s="288">
        <v>0.495</v>
      </c>
      <c r="EM14" s="283"/>
      <c r="EN14" s="283"/>
      <c r="EO14" s="49"/>
      <c r="EP14" s="260">
        <v>194.69299999999998</v>
      </c>
      <c r="EQ14" s="269">
        <v>193.99199999999999</v>
      </c>
      <c r="ER14" s="269">
        <v>193.99199999999999</v>
      </c>
      <c r="ES14" s="269"/>
      <c r="ET14" s="1698"/>
      <c r="EU14" s="260">
        <v>0.70099999999999996</v>
      </c>
      <c r="EV14" s="283"/>
      <c r="EW14" s="288">
        <v>0.70099999999999996</v>
      </c>
      <c r="EX14" s="283"/>
      <c r="EY14" s="283"/>
      <c r="EZ14" s="49"/>
    </row>
    <row r="15" spans="1:156" ht="15" customHeight="1">
      <c r="A15" s="17"/>
      <c r="B15" s="51" t="s">
        <v>74</v>
      </c>
      <c r="C15" s="260">
        <f>D15+H15</f>
        <v>1.927</v>
      </c>
      <c r="D15" s="260">
        <v>1.927</v>
      </c>
      <c r="E15" s="260"/>
      <c r="F15" s="260"/>
      <c r="G15" s="260"/>
      <c r="H15" s="260">
        <f>J15</f>
        <v>0</v>
      </c>
      <c r="I15" s="283"/>
      <c r="J15" s="283"/>
      <c r="K15" s="51"/>
      <c r="L15" s="51"/>
      <c r="M15" s="51"/>
      <c r="N15" s="260">
        <f>O15+S15</f>
        <v>1.948</v>
      </c>
      <c r="O15" s="877">
        <v>1.948</v>
      </c>
      <c r="P15" s="877"/>
      <c r="Q15" s="877"/>
      <c r="R15" s="877"/>
      <c r="S15" s="260">
        <f>U15</f>
        <v>0</v>
      </c>
      <c r="T15" s="283"/>
      <c r="U15" s="283"/>
      <c r="V15" s="283"/>
      <c r="W15" s="283"/>
      <c r="X15" s="283"/>
      <c r="Y15" s="260">
        <v>1.927</v>
      </c>
      <c r="Z15" s="260">
        <v>1.927</v>
      </c>
      <c r="AA15" s="260"/>
      <c r="AB15" s="260"/>
      <c r="AC15" s="260"/>
      <c r="AD15" s="260">
        <v>0</v>
      </c>
      <c r="AE15" s="283"/>
      <c r="AF15" s="283"/>
      <c r="AG15" s="283"/>
      <c r="AH15" s="283"/>
      <c r="AI15" s="283"/>
      <c r="AJ15" s="260">
        <v>1.6641999999999999</v>
      </c>
      <c r="AK15" s="1404">
        <v>1.6641999999999999</v>
      </c>
      <c r="AL15" s="1402"/>
      <c r="AM15" s="1403"/>
      <c r="AN15" s="1403">
        <v>1.6639999999999999</v>
      </c>
      <c r="AO15" s="260"/>
      <c r="AP15" s="283"/>
      <c r="AQ15" s="283"/>
      <c r="AR15" s="283"/>
      <c r="AS15" s="283"/>
      <c r="AT15" s="283"/>
      <c r="AU15" s="260">
        <v>1.927</v>
      </c>
      <c r="AV15" s="269">
        <v>1.927</v>
      </c>
      <c r="AW15" s="269"/>
      <c r="AX15" s="269"/>
      <c r="AY15" s="269"/>
      <c r="AZ15" s="260">
        <v>0</v>
      </c>
      <c r="BA15" s="283"/>
      <c r="BB15" s="283"/>
      <c r="BC15" s="283"/>
      <c r="BD15" s="283"/>
      <c r="BE15" s="283"/>
      <c r="BF15" s="260">
        <v>1.845</v>
      </c>
      <c r="BG15" s="269">
        <v>1.845</v>
      </c>
      <c r="BH15" s="269">
        <v>1.845</v>
      </c>
      <c r="BI15" s="260"/>
      <c r="BJ15" s="269"/>
      <c r="BK15" s="260">
        <v>0</v>
      </c>
      <c r="BL15" s="283"/>
      <c r="BM15" s="283"/>
      <c r="BN15" s="283"/>
      <c r="BO15" s="283"/>
      <c r="BP15" s="283"/>
      <c r="BQ15" s="260">
        <v>1.927</v>
      </c>
      <c r="BR15" s="269">
        <v>1.927</v>
      </c>
      <c r="BS15" s="306"/>
      <c r="BT15" s="260"/>
      <c r="BU15" s="269">
        <v>1.927</v>
      </c>
      <c r="BV15" s="260"/>
      <c r="BW15" s="283"/>
      <c r="BX15" s="283"/>
      <c r="BY15" s="283"/>
      <c r="BZ15" s="283"/>
      <c r="CA15" s="283"/>
      <c r="CB15" s="260">
        <v>1.927</v>
      </c>
      <c r="CC15" s="269">
        <v>1.927</v>
      </c>
      <c r="CD15" s="269">
        <v>1.927</v>
      </c>
      <c r="CE15" s="260"/>
      <c r="CF15" s="269"/>
      <c r="CG15" s="260">
        <v>0</v>
      </c>
      <c r="CH15" s="283"/>
      <c r="CI15" s="283"/>
      <c r="CJ15" s="283"/>
      <c r="CK15" s="283"/>
      <c r="CL15" s="283"/>
      <c r="CM15" s="306">
        <v>1.927</v>
      </c>
      <c r="CN15" s="305">
        <v>1.927</v>
      </c>
      <c r="CO15" s="305"/>
      <c r="CP15" s="305"/>
      <c r="CQ15" s="305">
        <v>0</v>
      </c>
      <c r="CR15" s="306">
        <v>0</v>
      </c>
      <c r="CS15" s="305"/>
      <c r="CT15" s="305"/>
      <c r="CU15" s="306"/>
      <c r="CV15" s="306"/>
      <c r="CW15" s="306"/>
      <c r="CX15" s="260">
        <v>1.21</v>
      </c>
      <c r="CY15" s="269">
        <v>1.21</v>
      </c>
      <c r="CZ15" s="269">
        <v>1.21</v>
      </c>
      <c r="DA15" s="260"/>
      <c r="DB15" s="269"/>
      <c r="DC15" s="260">
        <v>0</v>
      </c>
      <c r="DD15" s="283"/>
      <c r="DE15" s="283"/>
      <c r="DF15" s="283"/>
      <c r="DG15" s="283"/>
      <c r="DH15" s="49"/>
      <c r="DI15" s="260">
        <v>0.71699999999999997</v>
      </c>
      <c r="DJ15" s="269">
        <v>0.71699999999999997</v>
      </c>
      <c r="DK15" s="269">
        <v>0.71699999999999997</v>
      </c>
      <c r="DL15" s="260"/>
      <c r="DM15" s="269"/>
      <c r="DN15" s="260">
        <v>0</v>
      </c>
      <c r="DO15" s="283"/>
      <c r="DP15" s="283"/>
      <c r="DQ15" s="283"/>
      <c r="DR15" s="283"/>
      <c r="DS15" s="49"/>
      <c r="DT15" s="306">
        <v>1.927</v>
      </c>
      <c r="DU15" s="305">
        <v>1.927</v>
      </c>
      <c r="DV15" s="305"/>
      <c r="DW15" s="305"/>
      <c r="DX15" s="305">
        <v>0</v>
      </c>
      <c r="DY15" s="306">
        <v>0</v>
      </c>
      <c r="DZ15" s="305"/>
      <c r="EA15" s="305"/>
      <c r="EB15" s="306"/>
      <c r="EC15" s="306"/>
      <c r="ED15" s="306"/>
      <c r="EE15" s="260">
        <v>1.21</v>
      </c>
      <c r="EF15" s="269">
        <v>1.21</v>
      </c>
      <c r="EG15" s="269">
        <v>1.21</v>
      </c>
      <c r="EH15" s="260"/>
      <c r="EI15" s="269"/>
      <c r="EJ15" s="260">
        <v>0</v>
      </c>
      <c r="EK15" s="283"/>
      <c r="EL15" s="283"/>
      <c r="EM15" s="283"/>
      <c r="EN15" s="283"/>
      <c r="EO15" s="49"/>
      <c r="EP15" s="260">
        <v>0.71699999999999997</v>
      </c>
      <c r="EQ15" s="269">
        <v>0.71699999999999997</v>
      </c>
      <c r="ER15" s="269">
        <v>0.71699999999999997</v>
      </c>
      <c r="ES15" s="260"/>
      <c r="ET15" s="269"/>
      <c r="EU15" s="260">
        <v>0</v>
      </c>
      <c r="EV15" s="283"/>
      <c r="EW15" s="283"/>
      <c r="EX15" s="283"/>
      <c r="EY15" s="283"/>
      <c r="EZ15" s="49"/>
    </row>
    <row r="16" spans="1:156" ht="15" customHeight="1">
      <c r="A16" s="17" t="s">
        <v>23</v>
      </c>
      <c r="B16" s="16" t="s">
        <v>75</v>
      </c>
      <c r="C16" s="260"/>
      <c r="D16" s="260"/>
      <c r="E16" s="260"/>
      <c r="F16" s="260"/>
      <c r="G16" s="260"/>
      <c r="H16" s="260"/>
      <c r="I16" s="260"/>
      <c r="J16" s="260"/>
      <c r="K16" s="16"/>
      <c r="L16" s="16"/>
      <c r="M16" s="16"/>
      <c r="N16" s="260"/>
      <c r="O16" s="260"/>
      <c r="P16" s="260"/>
      <c r="Q16" s="260"/>
      <c r="R16" s="260"/>
      <c r="S16" s="260"/>
      <c r="T16" s="260"/>
      <c r="U16" s="260"/>
      <c r="V16" s="260"/>
      <c r="W16" s="260"/>
      <c r="X16" s="260"/>
      <c r="Y16" s="260"/>
      <c r="Z16" s="260"/>
      <c r="AA16" s="260"/>
      <c r="AB16" s="260"/>
      <c r="AC16" s="260"/>
      <c r="AD16" s="260"/>
      <c r="AE16" s="260"/>
      <c r="AF16" s="260"/>
      <c r="AG16" s="260"/>
      <c r="AH16" s="260"/>
      <c r="AI16" s="260"/>
      <c r="AJ16" s="260"/>
      <c r="AK16" s="260"/>
      <c r="AL16" s="260"/>
      <c r="AM16" s="260"/>
      <c r="AN16" s="260"/>
      <c r="AO16" s="260"/>
      <c r="AP16" s="260"/>
      <c r="AQ16" s="260"/>
      <c r="AR16" s="260"/>
      <c r="AS16" s="260"/>
      <c r="AT16" s="260"/>
      <c r="AU16" s="260"/>
      <c r="AV16" s="260"/>
      <c r="AW16" s="260"/>
      <c r="AX16" s="260"/>
      <c r="AY16" s="260"/>
      <c r="AZ16" s="260"/>
      <c r="BA16" s="260"/>
      <c r="BB16" s="260"/>
      <c r="BC16" s="260"/>
      <c r="BD16" s="260"/>
      <c r="BE16" s="260"/>
      <c r="BF16" s="260"/>
      <c r="BG16" s="260"/>
      <c r="BH16" s="260"/>
      <c r="BI16" s="260"/>
      <c r="BJ16" s="260"/>
      <c r="BK16" s="260"/>
      <c r="BL16" s="260"/>
      <c r="BM16" s="260"/>
      <c r="BN16" s="260"/>
      <c r="BO16" s="260"/>
      <c r="BP16" s="260"/>
      <c r="BQ16" s="260"/>
      <c r="BR16" s="260"/>
      <c r="BS16" s="260"/>
      <c r="BT16" s="260"/>
      <c r="BU16" s="260"/>
      <c r="BV16" s="260"/>
      <c r="BW16" s="260"/>
      <c r="BX16" s="260"/>
      <c r="BY16" s="260"/>
      <c r="BZ16" s="260"/>
      <c r="CA16" s="260"/>
      <c r="CB16" s="260"/>
      <c r="CC16" s="260"/>
      <c r="CD16" s="260"/>
      <c r="CE16" s="260"/>
      <c r="CF16" s="260"/>
      <c r="CG16" s="260"/>
      <c r="CH16" s="260"/>
      <c r="CI16" s="260"/>
      <c r="CJ16" s="260"/>
      <c r="CK16" s="260"/>
      <c r="CL16" s="260"/>
      <c r="CM16" s="306"/>
      <c r="CN16" s="306"/>
      <c r="CO16" s="306"/>
      <c r="CP16" s="306"/>
      <c r="CQ16" s="306"/>
      <c r="CR16" s="306"/>
      <c r="CS16" s="306"/>
      <c r="CT16" s="306"/>
      <c r="CU16" s="306"/>
      <c r="CV16" s="306"/>
      <c r="CW16" s="306"/>
      <c r="CX16" s="260"/>
      <c r="CY16" s="260"/>
      <c r="CZ16" s="260"/>
      <c r="DA16" s="260"/>
      <c r="DB16" s="260"/>
      <c r="DC16" s="260"/>
      <c r="DD16" s="260"/>
      <c r="DE16" s="260"/>
      <c r="DF16" s="260"/>
      <c r="DG16" s="260"/>
      <c r="DH16" s="49"/>
      <c r="DI16" s="260"/>
      <c r="DJ16" s="260"/>
      <c r="DK16" s="260"/>
      <c r="DL16" s="260"/>
      <c r="DM16" s="260"/>
      <c r="DN16" s="260"/>
      <c r="DO16" s="260"/>
      <c r="DP16" s="260"/>
      <c r="DQ16" s="260"/>
      <c r="DR16" s="260"/>
      <c r="DS16" s="49"/>
      <c r="DT16" s="306"/>
      <c r="DU16" s="306"/>
      <c r="DV16" s="306"/>
      <c r="DW16" s="306"/>
      <c r="DX16" s="306"/>
      <c r="DY16" s="306"/>
      <c r="DZ16" s="306"/>
      <c r="EA16" s="306"/>
      <c r="EB16" s="306"/>
      <c r="EC16" s="306"/>
      <c r="ED16" s="306"/>
      <c r="EE16" s="260"/>
      <c r="EF16" s="260"/>
      <c r="EG16" s="260"/>
      <c r="EH16" s="260"/>
      <c r="EI16" s="260"/>
      <c r="EJ16" s="260"/>
      <c r="EK16" s="260"/>
      <c r="EL16" s="260"/>
      <c r="EM16" s="260"/>
      <c r="EN16" s="260"/>
      <c r="EO16" s="49"/>
      <c r="EP16" s="260"/>
      <c r="EQ16" s="260"/>
      <c r="ER16" s="260"/>
      <c r="ES16" s="260"/>
      <c r="ET16" s="260"/>
      <c r="EU16" s="260"/>
      <c r="EV16" s="260"/>
      <c r="EW16" s="260"/>
      <c r="EX16" s="260"/>
      <c r="EY16" s="260"/>
      <c r="EZ16" s="49"/>
    </row>
    <row r="17" spans="1:156" ht="15" customHeight="1">
      <c r="A17" s="17"/>
      <c r="B17" s="16" t="s">
        <v>70</v>
      </c>
      <c r="C17" s="260"/>
      <c r="D17" s="260"/>
      <c r="E17" s="260"/>
      <c r="F17" s="260"/>
      <c r="G17" s="260"/>
      <c r="H17" s="260"/>
      <c r="I17" s="260"/>
      <c r="J17" s="260"/>
      <c r="K17" s="16"/>
      <c r="L17" s="16"/>
      <c r="M17" s="16"/>
      <c r="N17" s="260"/>
      <c r="O17" s="260"/>
      <c r="P17" s="260"/>
      <c r="Q17" s="260"/>
      <c r="R17" s="260"/>
      <c r="S17" s="260"/>
      <c r="T17" s="260"/>
      <c r="U17" s="260"/>
      <c r="V17" s="260"/>
      <c r="W17" s="260"/>
      <c r="X17" s="260"/>
      <c r="Y17" s="260"/>
      <c r="Z17" s="260"/>
      <c r="AA17" s="260"/>
      <c r="AB17" s="260"/>
      <c r="AC17" s="260"/>
      <c r="AD17" s="260"/>
      <c r="AE17" s="260"/>
      <c r="AF17" s="260"/>
      <c r="AG17" s="260"/>
      <c r="AH17" s="260"/>
      <c r="AI17" s="260"/>
      <c r="AJ17" s="260"/>
      <c r="AK17" s="260"/>
      <c r="AL17" s="260"/>
      <c r="AM17" s="260"/>
      <c r="AN17" s="260"/>
      <c r="AO17" s="260"/>
      <c r="AP17" s="260"/>
      <c r="AQ17" s="260"/>
      <c r="AR17" s="260"/>
      <c r="AS17" s="260"/>
      <c r="AT17" s="260"/>
      <c r="AU17" s="260"/>
      <c r="AV17" s="260"/>
      <c r="AW17" s="260"/>
      <c r="AX17" s="260"/>
      <c r="AY17" s="260"/>
      <c r="AZ17" s="260"/>
      <c r="BA17" s="260"/>
      <c r="BB17" s="260"/>
      <c r="BC17" s="260"/>
      <c r="BD17" s="260"/>
      <c r="BE17" s="260"/>
      <c r="BF17" s="260"/>
      <c r="BG17" s="260"/>
      <c r="BH17" s="260"/>
      <c r="BI17" s="260"/>
      <c r="BJ17" s="260"/>
      <c r="BK17" s="260"/>
      <c r="BL17" s="260"/>
      <c r="BM17" s="260"/>
      <c r="BN17" s="260"/>
      <c r="BO17" s="260"/>
      <c r="BP17" s="260"/>
      <c r="BQ17" s="260"/>
      <c r="BR17" s="260"/>
      <c r="BS17" s="260"/>
      <c r="BT17" s="260"/>
      <c r="BU17" s="260"/>
      <c r="BV17" s="260"/>
      <c r="BW17" s="260"/>
      <c r="BX17" s="260"/>
      <c r="BY17" s="260"/>
      <c r="BZ17" s="260"/>
      <c r="CA17" s="260"/>
      <c r="CB17" s="260"/>
      <c r="CC17" s="260"/>
      <c r="CD17" s="260"/>
      <c r="CE17" s="260"/>
      <c r="CF17" s="260"/>
      <c r="CG17" s="260"/>
      <c r="CH17" s="260"/>
      <c r="CI17" s="260"/>
      <c r="CJ17" s="260"/>
      <c r="CK17" s="260"/>
      <c r="CL17" s="260"/>
      <c r="CM17" s="306"/>
      <c r="CN17" s="306"/>
      <c r="CO17" s="306"/>
      <c r="CP17" s="306"/>
      <c r="CQ17" s="306"/>
      <c r="CR17" s="306"/>
      <c r="CS17" s="306"/>
      <c r="CT17" s="306"/>
      <c r="CU17" s="306"/>
      <c r="CV17" s="306"/>
      <c r="CW17" s="306"/>
      <c r="CX17" s="260"/>
      <c r="CY17" s="260"/>
      <c r="CZ17" s="260"/>
      <c r="DA17" s="260"/>
      <c r="DB17" s="260"/>
      <c r="DC17" s="260"/>
      <c r="DD17" s="260"/>
      <c r="DE17" s="260"/>
      <c r="DF17" s="260"/>
      <c r="DG17" s="260"/>
      <c r="DH17" s="49"/>
      <c r="DI17" s="260"/>
      <c r="DJ17" s="260"/>
      <c r="DK17" s="260"/>
      <c r="DL17" s="260"/>
      <c r="DM17" s="260"/>
      <c r="DN17" s="260"/>
      <c r="DO17" s="260"/>
      <c r="DP17" s="260"/>
      <c r="DQ17" s="260"/>
      <c r="DR17" s="260"/>
      <c r="DS17" s="49"/>
      <c r="DT17" s="306"/>
      <c r="DU17" s="306"/>
      <c r="DV17" s="306"/>
      <c r="DW17" s="306"/>
      <c r="DX17" s="306"/>
      <c r="DY17" s="306"/>
      <c r="DZ17" s="306"/>
      <c r="EA17" s="306"/>
      <c r="EB17" s="306"/>
      <c r="EC17" s="306"/>
      <c r="ED17" s="306"/>
      <c r="EE17" s="260"/>
      <c r="EF17" s="260"/>
      <c r="EG17" s="260"/>
      <c r="EH17" s="260"/>
      <c r="EI17" s="260"/>
      <c r="EJ17" s="260"/>
      <c r="EK17" s="260"/>
      <c r="EL17" s="260"/>
      <c r="EM17" s="260"/>
      <c r="EN17" s="260"/>
      <c r="EO17" s="49"/>
      <c r="EP17" s="260"/>
      <c r="EQ17" s="260"/>
      <c r="ER17" s="260"/>
      <c r="ES17" s="260"/>
      <c r="ET17" s="260"/>
      <c r="EU17" s="260"/>
      <c r="EV17" s="260"/>
      <c r="EW17" s="260"/>
      <c r="EX17" s="260"/>
      <c r="EY17" s="260"/>
      <c r="EZ17" s="49"/>
    </row>
    <row r="18" spans="1:156" ht="15">
      <c r="A18" s="17"/>
      <c r="B18" s="16" t="s">
        <v>26</v>
      </c>
      <c r="C18" s="260"/>
      <c r="D18" s="260"/>
      <c r="E18" s="260"/>
      <c r="F18" s="260"/>
      <c r="G18" s="260"/>
      <c r="H18" s="260"/>
      <c r="I18" s="260"/>
      <c r="J18" s="260"/>
      <c r="K18" s="16"/>
      <c r="L18" s="16"/>
      <c r="M18" s="16"/>
      <c r="N18" s="260"/>
      <c r="O18" s="260"/>
      <c r="P18" s="260"/>
      <c r="Q18" s="260"/>
      <c r="R18" s="260"/>
      <c r="S18" s="260"/>
      <c r="T18" s="260"/>
      <c r="U18" s="260"/>
      <c r="V18" s="260"/>
      <c r="W18" s="260"/>
      <c r="X18" s="260"/>
      <c r="Y18" s="260"/>
      <c r="Z18" s="260"/>
      <c r="AA18" s="260"/>
      <c r="AB18" s="260"/>
      <c r="AC18" s="260"/>
      <c r="AD18" s="260"/>
      <c r="AE18" s="260"/>
      <c r="AF18" s="260"/>
      <c r="AG18" s="260"/>
      <c r="AH18" s="260"/>
      <c r="AI18" s="260"/>
      <c r="AJ18" s="260"/>
      <c r="AK18" s="260"/>
      <c r="AL18" s="260"/>
      <c r="AM18" s="260"/>
      <c r="AN18" s="260"/>
      <c r="AO18" s="260"/>
      <c r="AP18" s="260"/>
      <c r="AQ18" s="260"/>
      <c r="AR18" s="260"/>
      <c r="AS18" s="260"/>
      <c r="AT18" s="260"/>
      <c r="AU18" s="260"/>
      <c r="AV18" s="260"/>
      <c r="AW18" s="260"/>
      <c r="AX18" s="260"/>
      <c r="AY18" s="260"/>
      <c r="AZ18" s="260"/>
      <c r="BA18" s="260"/>
      <c r="BB18" s="260"/>
      <c r="BC18" s="260"/>
      <c r="BD18" s="260"/>
      <c r="BE18" s="260"/>
      <c r="BF18" s="260"/>
      <c r="BG18" s="260"/>
      <c r="BH18" s="260"/>
      <c r="BI18" s="260"/>
      <c r="BJ18" s="260"/>
      <c r="BK18" s="260"/>
      <c r="BL18" s="260"/>
      <c r="BM18" s="260"/>
      <c r="BN18" s="260"/>
      <c r="BO18" s="260"/>
      <c r="BP18" s="260"/>
      <c r="BQ18" s="260"/>
      <c r="BR18" s="260"/>
      <c r="BS18" s="260"/>
      <c r="BT18" s="260"/>
      <c r="BU18" s="260"/>
      <c r="BV18" s="260"/>
      <c r="BW18" s="260"/>
      <c r="BX18" s="260"/>
      <c r="BY18" s="260"/>
      <c r="BZ18" s="260"/>
      <c r="CA18" s="260"/>
      <c r="CB18" s="260"/>
      <c r="CC18" s="260"/>
      <c r="CD18" s="260"/>
      <c r="CE18" s="260"/>
      <c r="CF18" s="260"/>
      <c r="CG18" s="260"/>
      <c r="CH18" s="260"/>
      <c r="CI18" s="260"/>
      <c r="CJ18" s="260"/>
      <c r="CK18" s="260"/>
      <c r="CL18" s="260"/>
      <c r="CM18" s="306"/>
      <c r="CN18" s="306"/>
      <c r="CO18" s="306"/>
      <c r="CP18" s="306"/>
      <c r="CQ18" s="306"/>
      <c r="CR18" s="306"/>
      <c r="CS18" s="306"/>
      <c r="CT18" s="306"/>
      <c r="CU18" s="306"/>
      <c r="CV18" s="306"/>
      <c r="CW18" s="306"/>
      <c r="CX18" s="260"/>
      <c r="CY18" s="260"/>
      <c r="CZ18" s="260"/>
      <c r="DA18" s="260"/>
      <c r="DB18" s="260"/>
      <c r="DC18" s="260"/>
      <c r="DD18" s="260"/>
      <c r="DE18" s="260"/>
      <c r="DF18" s="260"/>
      <c r="DG18" s="260"/>
      <c r="DH18" s="49"/>
      <c r="DI18" s="260"/>
      <c r="DJ18" s="260"/>
      <c r="DK18" s="260"/>
      <c r="DL18" s="260"/>
      <c r="DM18" s="260"/>
      <c r="DN18" s="260"/>
      <c r="DO18" s="260"/>
      <c r="DP18" s="260"/>
      <c r="DQ18" s="260"/>
      <c r="DR18" s="260"/>
      <c r="DS18" s="49"/>
      <c r="DT18" s="306"/>
      <c r="DU18" s="306"/>
      <c r="DV18" s="306"/>
      <c r="DW18" s="306"/>
      <c r="DX18" s="306"/>
      <c r="DY18" s="306"/>
      <c r="DZ18" s="306"/>
      <c r="EA18" s="306"/>
      <c r="EB18" s="306"/>
      <c r="EC18" s="306"/>
      <c r="ED18" s="306"/>
      <c r="EE18" s="260"/>
      <c r="EF18" s="260"/>
      <c r="EG18" s="260"/>
      <c r="EH18" s="260"/>
      <c r="EI18" s="260"/>
      <c r="EJ18" s="260"/>
      <c r="EK18" s="260"/>
      <c r="EL18" s="260"/>
      <c r="EM18" s="260"/>
      <c r="EN18" s="260"/>
      <c r="EO18" s="49"/>
      <c r="EP18" s="260"/>
      <c r="EQ18" s="260"/>
      <c r="ER18" s="260"/>
      <c r="ES18" s="260"/>
      <c r="ET18" s="260"/>
      <c r="EU18" s="260"/>
      <c r="EV18" s="260"/>
      <c r="EW18" s="260"/>
      <c r="EX18" s="260"/>
      <c r="EY18" s="260"/>
      <c r="EZ18" s="49"/>
    </row>
    <row r="19" spans="1:156" s="106" customFormat="1" ht="30" customHeight="1">
      <c r="A19" s="110" t="s">
        <v>27</v>
      </c>
      <c r="B19" s="111" t="s">
        <v>76</v>
      </c>
      <c r="C19" s="286">
        <f>D19</f>
        <v>0.98</v>
      </c>
      <c r="D19" s="286">
        <v>0.98</v>
      </c>
      <c r="E19" s="286"/>
      <c r="F19" s="286"/>
      <c r="G19" s="286"/>
      <c r="H19" s="286"/>
      <c r="I19" s="286"/>
      <c r="J19" s="286"/>
      <c r="K19" s="111"/>
      <c r="L19" s="111"/>
      <c r="M19" s="111"/>
      <c r="N19" s="286">
        <f>O19</f>
        <v>2.8365999999999998</v>
      </c>
      <c r="O19" s="286">
        <v>2.8365999999999998</v>
      </c>
      <c r="P19" s="286"/>
      <c r="Q19" s="286"/>
      <c r="R19" s="286"/>
      <c r="S19" s="286"/>
      <c r="T19" s="286"/>
      <c r="U19" s="286"/>
      <c r="V19" s="286"/>
      <c r="W19" s="286"/>
      <c r="X19" s="286"/>
      <c r="Y19" s="286">
        <v>2.9060000000000001</v>
      </c>
      <c r="Z19" s="286">
        <v>2.9060000000000001</v>
      </c>
      <c r="AA19" s="286"/>
      <c r="AB19" s="286"/>
      <c r="AC19" s="286"/>
      <c r="AD19" s="286"/>
      <c r="AE19" s="286"/>
      <c r="AF19" s="286"/>
      <c r="AG19" s="286"/>
      <c r="AH19" s="286"/>
      <c r="AI19" s="286"/>
      <c r="AJ19" s="286">
        <v>2.8896999999999999</v>
      </c>
      <c r="AK19" s="287">
        <v>2.8896999999999999</v>
      </c>
      <c r="AL19" s="286">
        <v>2.89</v>
      </c>
      <c r="AM19" s="286"/>
      <c r="AN19" s="286"/>
      <c r="AO19" s="286"/>
      <c r="AP19" s="286"/>
      <c r="AQ19" s="286"/>
      <c r="AR19" s="286"/>
      <c r="AS19" s="286"/>
      <c r="AT19" s="286"/>
      <c r="AU19" s="286">
        <v>3.5</v>
      </c>
      <c r="AV19" s="287">
        <v>3.5</v>
      </c>
      <c r="AW19" s="287"/>
      <c r="AX19" s="287"/>
      <c r="AY19" s="287"/>
      <c r="AZ19" s="286"/>
      <c r="BA19" s="286"/>
      <c r="BB19" s="286"/>
      <c r="BC19" s="286"/>
      <c r="BD19" s="286"/>
      <c r="BE19" s="286"/>
      <c r="BF19" s="286">
        <v>3.3069999999999999</v>
      </c>
      <c r="BG19" s="287">
        <v>3.3069999999999999</v>
      </c>
      <c r="BH19" s="287">
        <v>3.3069999999999999</v>
      </c>
      <c r="BI19" s="286"/>
      <c r="BJ19" s="286"/>
      <c r="BK19" s="286"/>
      <c r="BL19" s="286"/>
      <c r="BM19" s="286"/>
      <c r="BN19" s="286"/>
      <c r="BO19" s="286"/>
      <c r="BP19" s="286"/>
      <c r="BQ19" s="286">
        <v>2.8899999999999997</v>
      </c>
      <c r="BR19" s="287">
        <v>2.8899999999999997</v>
      </c>
      <c r="BS19" s="287">
        <v>2.8899999999999997</v>
      </c>
      <c r="BT19" s="286"/>
      <c r="BU19" s="286"/>
      <c r="BV19" s="286"/>
      <c r="BW19" s="286"/>
      <c r="BX19" s="286"/>
      <c r="BY19" s="286"/>
      <c r="BZ19" s="286"/>
      <c r="CA19" s="286"/>
      <c r="CB19" s="286">
        <v>2.9580000000000002</v>
      </c>
      <c r="CC19" s="287">
        <v>2.9580000000000002</v>
      </c>
      <c r="CD19" s="287">
        <v>2.9580000000000002</v>
      </c>
      <c r="CE19" s="286"/>
      <c r="CF19" s="286"/>
      <c r="CG19" s="286"/>
      <c r="CH19" s="286"/>
      <c r="CI19" s="286"/>
      <c r="CJ19" s="286"/>
      <c r="CK19" s="286"/>
      <c r="CL19" s="286"/>
      <c r="CM19" s="304">
        <v>3.5</v>
      </c>
      <c r="CN19" s="304">
        <v>3.5</v>
      </c>
      <c r="CO19" s="304">
        <v>3.5</v>
      </c>
      <c r="CP19" s="304"/>
      <c r="CQ19" s="304"/>
      <c r="CR19" s="304"/>
      <c r="CS19" s="304"/>
      <c r="CT19" s="304"/>
      <c r="CU19" s="304"/>
      <c r="CV19" s="304"/>
      <c r="CW19" s="304"/>
      <c r="CX19" s="286">
        <v>2.3149999999999999</v>
      </c>
      <c r="CY19" s="287">
        <v>2.3149999999999999</v>
      </c>
      <c r="CZ19" s="287">
        <v>2.3149999999999999</v>
      </c>
      <c r="DA19" s="286"/>
      <c r="DB19" s="286"/>
      <c r="DC19" s="286"/>
      <c r="DD19" s="286"/>
      <c r="DE19" s="286"/>
      <c r="DF19" s="286"/>
      <c r="DG19" s="286"/>
      <c r="DH19" s="112"/>
      <c r="DI19" s="286">
        <v>1.1850000000000001</v>
      </c>
      <c r="DJ19" s="287">
        <v>1.1850000000000001</v>
      </c>
      <c r="DK19" s="287">
        <v>1.1850000000000001</v>
      </c>
      <c r="DL19" s="286"/>
      <c r="DM19" s="286"/>
      <c r="DN19" s="286"/>
      <c r="DO19" s="286"/>
      <c r="DP19" s="286"/>
      <c r="DQ19" s="286"/>
      <c r="DR19" s="286"/>
      <c r="DS19" s="112"/>
      <c r="DT19" s="304">
        <v>3.5</v>
      </c>
      <c r="DU19" s="304">
        <v>3.5</v>
      </c>
      <c r="DV19" s="304">
        <v>3.5</v>
      </c>
      <c r="DW19" s="304"/>
      <c r="DX19" s="304"/>
      <c r="DY19" s="304"/>
      <c r="DZ19" s="304"/>
      <c r="EA19" s="304"/>
      <c r="EB19" s="304"/>
      <c r="EC19" s="304"/>
      <c r="ED19" s="304"/>
      <c r="EE19" s="286">
        <v>2.3149999999999999</v>
      </c>
      <c r="EF19" s="287">
        <v>2.3149999999999999</v>
      </c>
      <c r="EG19" s="287">
        <v>2.3149999999999999</v>
      </c>
      <c r="EH19" s="286"/>
      <c r="EI19" s="286"/>
      <c r="EJ19" s="286"/>
      <c r="EK19" s="286"/>
      <c r="EL19" s="286"/>
      <c r="EM19" s="286"/>
      <c r="EN19" s="286"/>
      <c r="EO19" s="112"/>
      <c r="EP19" s="286">
        <v>1.1850000000000001</v>
      </c>
      <c r="EQ19" s="287">
        <v>1.1850000000000001</v>
      </c>
      <c r="ER19" s="287">
        <v>1.1850000000000001</v>
      </c>
      <c r="ES19" s="286"/>
      <c r="ET19" s="286"/>
      <c r="EU19" s="286"/>
      <c r="EV19" s="286"/>
      <c r="EW19" s="286"/>
      <c r="EX19" s="286"/>
      <c r="EY19" s="286"/>
      <c r="EZ19" s="112"/>
    </row>
    <row r="20" spans="1:156" s="106" customFormat="1" ht="42.75">
      <c r="A20" s="110" t="s">
        <v>30</v>
      </c>
      <c r="B20" s="111" t="s">
        <v>77</v>
      </c>
      <c r="C20" s="286">
        <f>C10+C16-C19</f>
        <v>556.32600000000002</v>
      </c>
      <c r="D20" s="286">
        <f t="shared" ref="D20:J20" si="3">D10+D16-D19</f>
        <v>556.32600000000002</v>
      </c>
      <c r="E20" s="286"/>
      <c r="F20" s="286"/>
      <c r="G20" s="286"/>
      <c r="H20" s="286">
        <f t="shared" si="3"/>
        <v>0</v>
      </c>
      <c r="I20" s="286"/>
      <c r="J20" s="286">
        <f t="shared" si="3"/>
        <v>0</v>
      </c>
      <c r="K20" s="111"/>
      <c r="L20" s="111"/>
      <c r="M20" s="111"/>
      <c r="N20" s="286">
        <f>N10+N16-N19</f>
        <v>564.25689999999997</v>
      </c>
      <c r="O20" s="286">
        <f t="shared" ref="O20" si="4">O10+O16-O19</f>
        <v>562.50389999999993</v>
      </c>
      <c r="P20" s="286"/>
      <c r="Q20" s="286"/>
      <c r="R20" s="286"/>
      <c r="S20" s="286">
        <f t="shared" ref="S20" si="5">S10+S16-S19</f>
        <v>1.7529999999999999</v>
      </c>
      <c r="T20" s="286"/>
      <c r="U20" s="286">
        <f t="shared" ref="U20" si="6">U10+U16-U19</f>
        <v>1.7529999999999999</v>
      </c>
      <c r="V20" s="286"/>
      <c r="W20" s="286"/>
      <c r="X20" s="286"/>
      <c r="Y20" s="286">
        <v>561.26700000000005</v>
      </c>
      <c r="Z20" s="286">
        <v>561.26700000000005</v>
      </c>
      <c r="AA20" s="286"/>
      <c r="AB20" s="286"/>
      <c r="AC20" s="286"/>
      <c r="AD20" s="286">
        <v>0</v>
      </c>
      <c r="AE20" s="286"/>
      <c r="AF20" s="286">
        <v>0</v>
      </c>
      <c r="AG20" s="286"/>
      <c r="AH20" s="286"/>
      <c r="AI20" s="286"/>
      <c r="AJ20" s="286">
        <v>509.76849999999996</v>
      </c>
      <c r="AK20" s="1400">
        <v>508.40049999999997</v>
      </c>
      <c r="AL20" s="1400">
        <v>0</v>
      </c>
      <c r="AM20" s="1400">
        <v>8.3260000000000005</v>
      </c>
      <c r="AN20" s="1400">
        <v>500.07399999999996</v>
      </c>
      <c r="AO20" s="1401">
        <v>1.3680000000000001</v>
      </c>
      <c r="AP20" s="286"/>
      <c r="AQ20" s="286">
        <v>1.3680000000000001</v>
      </c>
      <c r="AR20" s="286"/>
      <c r="AS20" s="286"/>
      <c r="AT20" s="286"/>
      <c r="AU20" s="286">
        <v>559.73599999999999</v>
      </c>
      <c r="AV20" s="286">
        <v>557.95500000000004</v>
      </c>
      <c r="AW20" s="286"/>
      <c r="AX20" s="286"/>
      <c r="AY20" s="286"/>
      <c r="AZ20" s="286">
        <v>1.7810000000000001</v>
      </c>
      <c r="BA20" s="286"/>
      <c r="BB20" s="286">
        <v>1.7810000000000001</v>
      </c>
      <c r="BC20" s="286"/>
      <c r="BD20" s="286"/>
      <c r="BE20" s="286"/>
      <c r="BF20" s="286">
        <v>457.62200000000001</v>
      </c>
      <c r="BG20" s="286">
        <v>457.12200000000001</v>
      </c>
      <c r="BH20" s="1400">
        <v>457.12200000000001</v>
      </c>
      <c r="BI20" s="1400">
        <v>457.12200000000001</v>
      </c>
      <c r="BJ20" s="1697">
        <v>448.86</v>
      </c>
      <c r="BK20" s="286">
        <v>0.5</v>
      </c>
      <c r="BL20" s="286"/>
      <c r="BM20" s="286">
        <v>0.5</v>
      </c>
      <c r="BN20" s="286"/>
      <c r="BO20" s="286"/>
      <c r="BP20" s="286"/>
      <c r="BQ20" s="286">
        <v>496.64600000000013</v>
      </c>
      <c r="BR20" s="286">
        <v>495.27800000000008</v>
      </c>
      <c r="BS20" s="1400"/>
      <c r="BT20" s="1400">
        <v>8.3260000000000005</v>
      </c>
      <c r="BU20" s="1400">
        <v>486.95200000000006</v>
      </c>
      <c r="BV20" s="286">
        <v>1.3680000000000001</v>
      </c>
      <c r="BW20" s="286"/>
      <c r="BX20" s="286">
        <v>1.3680000000000001</v>
      </c>
      <c r="BY20" s="286"/>
      <c r="BZ20" s="286"/>
      <c r="CA20" s="286"/>
      <c r="CB20" s="286">
        <v>482.19400000000002</v>
      </c>
      <c r="CC20" s="286">
        <v>480.99799999999999</v>
      </c>
      <c r="CD20" s="1400">
        <v>480.99799999999999</v>
      </c>
      <c r="CE20" s="1400">
        <v>480.99799999999999</v>
      </c>
      <c r="CF20" s="1697">
        <v>473.08299999999997</v>
      </c>
      <c r="CG20" s="286">
        <v>1.196</v>
      </c>
      <c r="CH20" s="286"/>
      <c r="CI20" s="286">
        <v>1.196</v>
      </c>
      <c r="CJ20" s="286"/>
      <c r="CK20" s="286"/>
      <c r="CL20" s="286"/>
      <c r="CM20" s="286">
        <v>482.64800000000002</v>
      </c>
      <c r="CN20" s="286">
        <v>481.452</v>
      </c>
      <c r="CO20" s="1400">
        <v>479.52499999999998</v>
      </c>
      <c r="CP20" s="1400">
        <v>0</v>
      </c>
      <c r="CQ20" s="1400">
        <v>0</v>
      </c>
      <c r="CR20" s="286">
        <v>1.196</v>
      </c>
      <c r="CS20" s="286"/>
      <c r="CT20" s="286">
        <v>1.196</v>
      </c>
      <c r="CU20" s="304"/>
      <c r="CV20" s="304"/>
      <c r="CW20" s="304"/>
      <c r="CX20" s="286">
        <v>288.423</v>
      </c>
      <c r="CY20" s="286">
        <v>287.928</v>
      </c>
      <c r="CZ20" s="1400">
        <v>287.928</v>
      </c>
      <c r="DA20" s="1400">
        <v>287.928</v>
      </c>
      <c r="DB20" s="1697">
        <v>282.654</v>
      </c>
      <c r="DC20" s="286">
        <v>0.495</v>
      </c>
      <c r="DD20" s="286"/>
      <c r="DE20" s="286">
        <v>0.495</v>
      </c>
      <c r="DF20" s="286"/>
      <c r="DG20" s="286"/>
      <c r="DH20" s="112"/>
      <c r="DI20" s="286">
        <v>194.22499999999999</v>
      </c>
      <c r="DJ20" s="286">
        <v>193.524</v>
      </c>
      <c r="DK20" s="1400">
        <v>193.524</v>
      </c>
      <c r="DL20" s="1400">
        <v>193.524</v>
      </c>
      <c r="DM20" s="1697">
        <v>190.88300000000001</v>
      </c>
      <c r="DN20" s="286">
        <v>0.70099999999999996</v>
      </c>
      <c r="DO20" s="286"/>
      <c r="DP20" s="286">
        <v>0.70099999999999996</v>
      </c>
      <c r="DQ20" s="286"/>
      <c r="DR20" s="286"/>
      <c r="DS20" s="112"/>
      <c r="DT20" s="286">
        <v>482.64800000000002</v>
      </c>
      <c r="DU20" s="286">
        <v>481.452</v>
      </c>
      <c r="DV20" s="1400">
        <v>479.52499999999998</v>
      </c>
      <c r="DW20" s="1400">
        <v>0</v>
      </c>
      <c r="DX20" s="1400">
        <v>0</v>
      </c>
      <c r="DY20" s="286">
        <v>1.196</v>
      </c>
      <c r="DZ20" s="286"/>
      <c r="EA20" s="286">
        <v>1.196</v>
      </c>
      <c r="EB20" s="304"/>
      <c r="EC20" s="304"/>
      <c r="ED20" s="304"/>
      <c r="EE20" s="286">
        <v>288.423</v>
      </c>
      <c r="EF20" s="286">
        <v>287.928</v>
      </c>
      <c r="EG20" s="1400">
        <v>287.928</v>
      </c>
      <c r="EH20" s="1400">
        <v>287.928</v>
      </c>
      <c r="EI20" s="1697">
        <v>282.654</v>
      </c>
      <c r="EJ20" s="286">
        <v>0.495</v>
      </c>
      <c r="EK20" s="286"/>
      <c r="EL20" s="286">
        <v>0.495</v>
      </c>
      <c r="EM20" s="286"/>
      <c r="EN20" s="286"/>
      <c r="EO20" s="112"/>
      <c r="EP20" s="286">
        <v>194.22499999999999</v>
      </c>
      <c r="EQ20" s="286">
        <v>193.524</v>
      </c>
      <c r="ER20" s="1400">
        <v>193.524</v>
      </c>
      <c r="ES20" s="1400">
        <v>193.524</v>
      </c>
      <c r="ET20" s="1697">
        <v>190.88300000000001</v>
      </c>
      <c r="EU20" s="286">
        <v>0.70099999999999996</v>
      </c>
      <c r="EV20" s="286"/>
      <c r="EW20" s="286">
        <v>0.70099999999999996</v>
      </c>
      <c r="EX20" s="286"/>
      <c r="EY20" s="286"/>
      <c r="EZ20" s="112"/>
    </row>
    <row r="21" spans="1:156" s="106" customFormat="1" ht="30" customHeight="1">
      <c r="A21" s="110" t="s">
        <v>78</v>
      </c>
      <c r="B21" s="111" t="s">
        <v>79</v>
      </c>
      <c r="C21" s="286">
        <f>SUM(C23:C24)</f>
        <v>99.316999999999993</v>
      </c>
      <c r="D21" s="286">
        <f t="shared" ref="D21:H21" si="7">SUM(D23:D24)</f>
        <v>99.316999999999993</v>
      </c>
      <c r="E21" s="286"/>
      <c r="F21" s="286"/>
      <c r="G21" s="286"/>
      <c r="H21" s="286">
        <f t="shared" si="7"/>
        <v>0</v>
      </c>
      <c r="I21" s="286"/>
      <c r="J21" s="286">
        <f t="shared" ref="J21" si="8">SUM(J23:J24)</f>
        <v>0</v>
      </c>
      <c r="K21" s="111"/>
      <c r="L21" s="111"/>
      <c r="M21" s="111"/>
      <c r="N21" s="286">
        <f>SUM(N23:N24)</f>
        <v>99.727199999999996</v>
      </c>
      <c r="O21" s="286">
        <f t="shared" ref="O21:U21" si="9">SUM(O23:O24)</f>
        <v>99.727199999999996</v>
      </c>
      <c r="P21" s="286"/>
      <c r="Q21" s="286"/>
      <c r="R21" s="286"/>
      <c r="S21" s="286">
        <f t="shared" si="9"/>
        <v>0</v>
      </c>
      <c r="T21" s="286"/>
      <c r="U21" s="286">
        <f t="shared" si="9"/>
        <v>0</v>
      </c>
      <c r="V21" s="286"/>
      <c r="W21" s="286"/>
      <c r="X21" s="286"/>
      <c r="Y21" s="286">
        <v>99.316999999999993</v>
      </c>
      <c r="Z21" s="286">
        <v>99.316999999999993</v>
      </c>
      <c r="AA21" s="286"/>
      <c r="AB21" s="286"/>
      <c r="AC21" s="286"/>
      <c r="AD21" s="286">
        <v>0</v>
      </c>
      <c r="AE21" s="286"/>
      <c r="AF21" s="286">
        <v>0</v>
      </c>
      <c r="AG21" s="286"/>
      <c r="AH21" s="286"/>
      <c r="AI21" s="286"/>
      <c r="AJ21" s="286">
        <v>98.000299999999996</v>
      </c>
      <c r="AK21" s="286">
        <v>98.000299999999996</v>
      </c>
      <c r="AL21" s="286">
        <v>0</v>
      </c>
      <c r="AM21" s="286">
        <v>0</v>
      </c>
      <c r="AN21" s="286">
        <v>98</v>
      </c>
      <c r="AO21" s="286">
        <v>0</v>
      </c>
      <c r="AP21" s="286"/>
      <c r="AQ21" s="286">
        <v>0</v>
      </c>
      <c r="AR21" s="286"/>
      <c r="AS21" s="286"/>
      <c r="AT21" s="286"/>
      <c r="AU21" s="286">
        <v>93.648399999999981</v>
      </c>
      <c r="AV21" s="286">
        <v>93.648399999999981</v>
      </c>
      <c r="AW21" s="286"/>
      <c r="AX21" s="286"/>
      <c r="AY21" s="286"/>
      <c r="AZ21" s="286">
        <v>0</v>
      </c>
      <c r="BA21" s="286"/>
      <c r="BB21" s="286">
        <v>0</v>
      </c>
      <c r="BC21" s="286"/>
      <c r="BD21" s="286"/>
      <c r="BE21" s="286"/>
      <c r="BF21" s="286">
        <v>92.82</v>
      </c>
      <c r="BG21" s="286">
        <v>92.82</v>
      </c>
      <c r="BH21" s="286">
        <v>0</v>
      </c>
      <c r="BI21" s="286">
        <v>0</v>
      </c>
      <c r="BJ21" s="286">
        <v>92.82</v>
      </c>
      <c r="BK21" s="286">
        <v>0</v>
      </c>
      <c r="BL21" s="286"/>
      <c r="BM21" s="286">
        <v>0</v>
      </c>
      <c r="BN21" s="286"/>
      <c r="BO21" s="286"/>
      <c r="BP21" s="286"/>
      <c r="BQ21" s="286">
        <v>94.005599999999987</v>
      </c>
      <c r="BR21" s="286">
        <v>93.648399999999981</v>
      </c>
      <c r="BS21" s="286"/>
      <c r="BT21" s="286"/>
      <c r="BU21" s="286">
        <v>93.648399999999981</v>
      </c>
      <c r="BV21" s="286">
        <v>0.35720000000000002</v>
      </c>
      <c r="BW21" s="286"/>
      <c r="BX21" s="286"/>
      <c r="BY21" s="286"/>
      <c r="BZ21" s="286"/>
      <c r="CA21" s="286"/>
      <c r="CB21" s="286">
        <v>93.483000000000004</v>
      </c>
      <c r="CC21" s="286">
        <v>93.483000000000004</v>
      </c>
      <c r="CD21" s="286">
        <v>0</v>
      </c>
      <c r="CE21" s="286">
        <v>0</v>
      </c>
      <c r="CF21" s="286">
        <v>93.483000000000004</v>
      </c>
      <c r="CG21" s="286">
        <v>0</v>
      </c>
      <c r="CH21" s="286"/>
      <c r="CI21" s="286">
        <v>0</v>
      </c>
      <c r="CJ21" s="286"/>
      <c r="CK21" s="286"/>
      <c r="CL21" s="286"/>
      <c r="CM21" s="304">
        <v>93.647999999999996</v>
      </c>
      <c r="CN21" s="304">
        <v>93.647999999999996</v>
      </c>
      <c r="CO21" s="304">
        <v>0</v>
      </c>
      <c r="CP21" s="304">
        <v>0</v>
      </c>
      <c r="CQ21" s="304">
        <v>93.647999999999996</v>
      </c>
      <c r="CR21" s="304">
        <v>0</v>
      </c>
      <c r="CS21" s="304"/>
      <c r="CT21" s="304">
        <v>0</v>
      </c>
      <c r="CU21" s="304"/>
      <c r="CV21" s="304"/>
      <c r="CW21" s="304"/>
      <c r="CX21" s="286">
        <v>57.220999999999997</v>
      </c>
      <c r="CY21" s="286">
        <v>57.220999999999997</v>
      </c>
      <c r="CZ21" s="286">
        <v>0</v>
      </c>
      <c r="DA21" s="286">
        <v>0</v>
      </c>
      <c r="DB21" s="286">
        <v>57.220999999999997</v>
      </c>
      <c r="DC21" s="286">
        <v>0</v>
      </c>
      <c r="DD21" s="286"/>
      <c r="DE21" s="286">
        <v>0</v>
      </c>
      <c r="DF21" s="286"/>
      <c r="DG21" s="286"/>
      <c r="DH21" s="112"/>
      <c r="DI21" s="286">
        <v>36.427</v>
      </c>
      <c r="DJ21" s="286">
        <v>36.427</v>
      </c>
      <c r="DK21" s="286">
        <v>0</v>
      </c>
      <c r="DL21" s="286">
        <v>0</v>
      </c>
      <c r="DM21" s="286">
        <v>36.427</v>
      </c>
      <c r="DN21" s="286">
        <v>0</v>
      </c>
      <c r="DO21" s="286"/>
      <c r="DP21" s="286">
        <v>0</v>
      </c>
      <c r="DQ21" s="286"/>
      <c r="DR21" s="286"/>
      <c r="DS21" s="112"/>
      <c r="DT21" s="304">
        <v>93.647999999999996</v>
      </c>
      <c r="DU21" s="304">
        <v>93.647999999999996</v>
      </c>
      <c r="DV21" s="304">
        <v>0</v>
      </c>
      <c r="DW21" s="304">
        <v>0</v>
      </c>
      <c r="DX21" s="304">
        <v>93.647999999999996</v>
      </c>
      <c r="DY21" s="304">
        <v>0</v>
      </c>
      <c r="DZ21" s="304"/>
      <c r="EA21" s="304">
        <v>0</v>
      </c>
      <c r="EB21" s="304"/>
      <c r="EC21" s="304"/>
      <c r="ED21" s="304"/>
      <c r="EE21" s="286">
        <v>57.220999999999997</v>
      </c>
      <c r="EF21" s="286">
        <v>57.220999999999997</v>
      </c>
      <c r="EG21" s="286">
        <v>0</v>
      </c>
      <c r="EH21" s="286">
        <v>0</v>
      </c>
      <c r="EI21" s="286">
        <v>57.220999999999997</v>
      </c>
      <c r="EJ21" s="286">
        <v>0</v>
      </c>
      <c r="EK21" s="286"/>
      <c r="EL21" s="286">
        <v>0</v>
      </c>
      <c r="EM21" s="286"/>
      <c r="EN21" s="286"/>
      <c r="EO21" s="112"/>
      <c r="EP21" s="286">
        <v>36.427</v>
      </c>
      <c r="EQ21" s="286">
        <v>36.427</v>
      </c>
      <c r="ER21" s="286">
        <v>0</v>
      </c>
      <c r="ES21" s="286">
        <v>0</v>
      </c>
      <c r="ET21" s="286">
        <v>36.427</v>
      </c>
      <c r="EU21" s="286">
        <v>0</v>
      </c>
      <c r="EV21" s="286"/>
      <c r="EW21" s="286">
        <v>0</v>
      </c>
      <c r="EX21" s="286"/>
      <c r="EY21" s="286"/>
      <c r="EZ21" s="112"/>
    </row>
    <row r="22" spans="1:156" ht="15" customHeight="1">
      <c r="A22" s="17" t="s">
        <v>80</v>
      </c>
      <c r="B22" s="16" t="s">
        <v>70</v>
      </c>
      <c r="C22" s="283"/>
      <c r="D22" s="283"/>
      <c r="E22" s="283"/>
      <c r="F22" s="283"/>
      <c r="G22" s="283"/>
      <c r="H22" s="283"/>
      <c r="I22" s="283"/>
      <c r="J22" s="283"/>
      <c r="K22" s="16"/>
      <c r="L22" s="16"/>
      <c r="M22" s="16"/>
      <c r="N22" s="283"/>
      <c r="O22" s="283"/>
      <c r="P22" s="283"/>
      <c r="Q22" s="283"/>
      <c r="R22" s="283"/>
      <c r="S22" s="283"/>
      <c r="T22" s="283"/>
      <c r="U22" s="283"/>
      <c r="V22" s="283"/>
      <c r="W22" s="283"/>
      <c r="X22" s="283"/>
      <c r="Y22" s="283"/>
      <c r="Z22" s="283"/>
      <c r="AA22" s="283"/>
      <c r="AB22" s="283"/>
      <c r="AC22" s="283"/>
      <c r="AD22" s="283"/>
      <c r="AE22" s="283"/>
      <c r="AF22" s="283"/>
      <c r="AG22" s="283"/>
      <c r="AH22" s="283"/>
      <c r="AI22" s="283"/>
      <c r="AJ22" s="283"/>
      <c r="AK22" s="283"/>
      <c r="AL22" s="283"/>
      <c r="AM22" s="283"/>
      <c r="AN22" s="283"/>
      <c r="AO22" s="283"/>
      <c r="AP22" s="283"/>
      <c r="AQ22" s="283"/>
      <c r="AR22" s="283"/>
      <c r="AS22" s="283"/>
      <c r="AT22" s="283"/>
      <c r="AU22" s="283"/>
      <c r="AV22" s="283"/>
      <c r="AW22" s="283"/>
      <c r="AX22" s="283"/>
      <c r="AY22" s="283"/>
      <c r="AZ22" s="283"/>
      <c r="BA22" s="283"/>
      <c r="BB22" s="283"/>
      <c r="BC22" s="283"/>
      <c r="BD22" s="283"/>
      <c r="BE22" s="283"/>
      <c r="BF22" s="283"/>
      <c r="BG22" s="283"/>
      <c r="BH22" s="283"/>
      <c r="BI22" s="283"/>
      <c r="BJ22" s="283"/>
      <c r="BK22" s="283"/>
      <c r="BL22" s="283"/>
      <c r="BM22" s="283"/>
      <c r="BN22" s="283"/>
      <c r="BO22" s="283"/>
      <c r="BP22" s="283"/>
      <c r="BQ22" s="283"/>
      <c r="BR22" s="283"/>
      <c r="BS22" s="283"/>
      <c r="BT22" s="283"/>
      <c r="BU22" s="283"/>
      <c r="BV22" s="283"/>
      <c r="BW22" s="283"/>
      <c r="BX22" s="283"/>
      <c r="BY22" s="283"/>
      <c r="BZ22" s="283"/>
      <c r="CA22" s="283"/>
      <c r="CB22" s="283"/>
      <c r="CC22" s="283"/>
      <c r="CD22" s="283"/>
      <c r="CE22" s="283"/>
      <c r="CF22" s="283"/>
      <c r="CG22" s="283"/>
      <c r="CH22" s="283"/>
      <c r="CI22" s="283"/>
      <c r="CJ22" s="283"/>
      <c r="CK22" s="283"/>
      <c r="CL22" s="283"/>
      <c r="CM22" s="305"/>
      <c r="CN22" s="305"/>
      <c r="CO22" s="305"/>
      <c r="CP22" s="305"/>
      <c r="CQ22" s="305"/>
      <c r="CR22" s="305"/>
      <c r="CS22" s="305"/>
      <c r="CT22" s="305"/>
      <c r="CU22" s="305"/>
      <c r="CV22" s="305"/>
      <c r="CW22" s="305"/>
      <c r="CX22" s="283"/>
      <c r="CY22" s="283"/>
      <c r="CZ22" s="283"/>
      <c r="DA22" s="283"/>
      <c r="DB22" s="283"/>
      <c r="DC22" s="283"/>
      <c r="DD22" s="283"/>
      <c r="DE22" s="283"/>
      <c r="DF22" s="283"/>
      <c r="DG22" s="283"/>
      <c r="DH22" s="50"/>
      <c r="DI22" s="283"/>
      <c r="DJ22" s="283"/>
      <c r="DK22" s="283"/>
      <c r="DL22" s="283"/>
      <c r="DM22" s="283"/>
      <c r="DN22" s="283"/>
      <c r="DO22" s="283"/>
      <c r="DP22" s="283"/>
      <c r="DQ22" s="283"/>
      <c r="DR22" s="283"/>
      <c r="DS22" s="50"/>
      <c r="DT22" s="305"/>
      <c r="DU22" s="305"/>
      <c r="DV22" s="305"/>
      <c r="DW22" s="305"/>
      <c r="DX22" s="305"/>
      <c r="DY22" s="305"/>
      <c r="DZ22" s="305"/>
      <c r="EA22" s="305"/>
      <c r="EB22" s="305"/>
      <c r="EC22" s="305"/>
      <c r="ED22" s="305"/>
      <c r="EE22" s="283"/>
      <c r="EF22" s="283"/>
      <c r="EG22" s="283"/>
      <c r="EH22" s="283"/>
      <c r="EI22" s="283"/>
      <c r="EJ22" s="283"/>
      <c r="EK22" s="283"/>
      <c r="EL22" s="283"/>
      <c r="EM22" s="283"/>
      <c r="EN22" s="283"/>
      <c r="EO22" s="50"/>
      <c r="EP22" s="283"/>
      <c r="EQ22" s="283"/>
      <c r="ER22" s="283"/>
      <c r="ES22" s="283"/>
      <c r="ET22" s="283"/>
      <c r="EU22" s="283"/>
      <c r="EV22" s="283"/>
      <c r="EW22" s="283"/>
      <c r="EX22" s="283"/>
      <c r="EY22" s="283"/>
      <c r="EZ22" s="50"/>
    </row>
    <row r="23" spans="1:156" ht="15" customHeight="1">
      <c r="A23" s="17"/>
      <c r="B23" s="51" t="s">
        <v>81</v>
      </c>
      <c r="C23" s="260">
        <f t="shared" ref="C23:C25" si="10">D23+H23</f>
        <v>99.316999999999993</v>
      </c>
      <c r="D23" s="283">
        <v>99.316999999999993</v>
      </c>
      <c r="E23" s="283"/>
      <c r="F23" s="283"/>
      <c r="G23" s="283"/>
      <c r="H23" s="260">
        <f t="shared" ref="H23" si="11">J23</f>
        <v>0</v>
      </c>
      <c r="I23" s="283"/>
      <c r="J23" s="283"/>
      <c r="K23" s="51"/>
      <c r="L23" s="51"/>
      <c r="M23" s="51"/>
      <c r="N23" s="260">
        <f t="shared" ref="N23:N25" si="12">O23+S23</f>
        <v>99.727199999999996</v>
      </c>
      <c r="O23" s="283">
        <v>99.727199999999996</v>
      </c>
      <c r="P23" s="283"/>
      <c r="Q23" s="283"/>
      <c r="R23" s="283"/>
      <c r="S23" s="260">
        <f t="shared" ref="S23:S25" si="13">U23</f>
        <v>0</v>
      </c>
      <c r="T23" s="283"/>
      <c r="U23" s="283"/>
      <c r="V23" s="283"/>
      <c r="W23" s="283"/>
      <c r="X23" s="283"/>
      <c r="Y23" s="260">
        <v>99.316999999999993</v>
      </c>
      <c r="Z23" s="283">
        <v>99.316999999999993</v>
      </c>
      <c r="AA23" s="283"/>
      <c r="AB23" s="283"/>
      <c r="AC23" s="283"/>
      <c r="AD23" s="260">
        <v>0</v>
      </c>
      <c r="AE23" s="283"/>
      <c r="AF23" s="283"/>
      <c r="AG23" s="283"/>
      <c r="AH23" s="283"/>
      <c r="AI23" s="283"/>
      <c r="AJ23" s="260">
        <v>98.000299999999996</v>
      </c>
      <c r="AK23" s="288">
        <v>98.000299999999996</v>
      </c>
      <c r="AL23" s="283"/>
      <c r="AM23" s="288"/>
      <c r="AN23" s="288">
        <v>98</v>
      </c>
      <c r="AO23" s="260">
        <v>0</v>
      </c>
      <c r="AP23" s="283"/>
      <c r="AQ23" s="283"/>
      <c r="AR23" s="283"/>
      <c r="AS23" s="283"/>
      <c r="AT23" s="283"/>
      <c r="AU23" s="260">
        <v>93.648399999999981</v>
      </c>
      <c r="AV23" s="288">
        <v>93.648399999999981</v>
      </c>
      <c r="AW23" s="288"/>
      <c r="AX23" s="288"/>
      <c r="AY23" s="288"/>
      <c r="AZ23" s="260">
        <v>0</v>
      </c>
      <c r="BA23" s="283"/>
      <c r="BB23" s="283"/>
      <c r="BC23" s="283"/>
      <c r="BD23" s="283"/>
      <c r="BE23" s="283"/>
      <c r="BF23" s="260">
        <v>92.82</v>
      </c>
      <c r="BG23" s="288">
        <v>92.82</v>
      </c>
      <c r="BH23" s="283"/>
      <c r="BI23" s="288"/>
      <c r="BJ23" s="288">
        <v>92.82</v>
      </c>
      <c r="BK23" s="260">
        <v>0</v>
      </c>
      <c r="BL23" s="283"/>
      <c r="BM23" s="283"/>
      <c r="BN23" s="283"/>
      <c r="BO23" s="283"/>
      <c r="BP23" s="283"/>
      <c r="BQ23" s="260">
        <v>94.005599999999987</v>
      </c>
      <c r="BR23" s="288">
        <v>93.648399999999981</v>
      </c>
      <c r="BS23" s="283"/>
      <c r="BT23" s="288"/>
      <c r="BU23" s="288">
        <v>93.648399999999981</v>
      </c>
      <c r="BV23" s="260">
        <v>0.35720000000000002</v>
      </c>
      <c r="BW23" s="283"/>
      <c r="BX23" s="283"/>
      <c r="BY23" s="283"/>
      <c r="BZ23" s="283"/>
      <c r="CA23" s="283"/>
      <c r="CB23" s="260">
        <v>93.483000000000004</v>
      </c>
      <c r="CC23" s="288">
        <v>93.483000000000004</v>
      </c>
      <c r="CD23" s="283"/>
      <c r="CE23" s="288"/>
      <c r="CF23" s="288">
        <v>93.483000000000004</v>
      </c>
      <c r="CG23" s="260">
        <v>0</v>
      </c>
      <c r="CH23" s="283"/>
      <c r="CI23" s="283"/>
      <c r="CJ23" s="283"/>
      <c r="CK23" s="283"/>
      <c r="CL23" s="283"/>
      <c r="CM23" s="306">
        <v>93.647999999999996</v>
      </c>
      <c r="CN23" s="305">
        <v>93.647999999999996</v>
      </c>
      <c r="CO23" s="305"/>
      <c r="CP23" s="305"/>
      <c r="CQ23" s="305">
        <v>93.647999999999996</v>
      </c>
      <c r="CR23" s="306">
        <v>0</v>
      </c>
      <c r="CS23" s="305"/>
      <c r="CT23" s="305">
        <v>0</v>
      </c>
      <c r="CU23" s="305"/>
      <c r="CV23" s="305"/>
      <c r="CW23" s="305"/>
      <c r="CX23" s="260">
        <v>57.220999999999997</v>
      </c>
      <c r="CY23" s="288">
        <v>57.220999999999997</v>
      </c>
      <c r="CZ23" s="283"/>
      <c r="DA23" s="288"/>
      <c r="DB23" s="288">
        <v>57.220999999999997</v>
      </c>
      <c r="DC23" s="260">
        <v>0</v>
      </c>
      <c r="DD23" s="283"/>
      <c r="DE23" s="283"/>
      <c r="DF23" s="283"/>
      <c r="DG23" s="283"/>
      <c r="DH23" s="50"/>
      <c r="DI23" s="260">
        <v>36.427</v>
      </c>
      <c r="DJ23" s="288">
        <v>36.427</v>
      </c>
      <c r="DK23" s="283"/>
      <c r="DL23" s="288"/>
      <c r="DM23" s="288">
        <v>36.427</v>
      </c>
      <c r="DN23" s="260">
        <v>0</v>
      </c>
      <c r="DO23" s="283"/>
      <c r="DP23" s="283"/>
      <c r="DQ23" s="283"/>
      <c r="DR23" s="283"/>
      <c r="DS23" s="50"/>
      <c r="DT23" s="306">
        <v>93.647999999999996</v>
      </c>
      <c r="DU23" s="305">
        <v>93.647999999999996</v>
      </c>
      <c r="DV23" s="305"/>
      <c r="DW23" s="305"/>
      <c r="DX23" s="305">
        <v>93.647999999999996</v>
      </c>
      <c r="DY23" s="306">
        <v>0</v>
      </c>
      <c r="DZ23" s="305"/>
      <c r="EA23" s="305">
        <v>0</v>
      </c>
      <c r="EB23" s="305"/>
      <c r="EC23" s="305"/>
      <c r="ED23" s="305"/>
      <c r="EE23" s="260">
        <v>57.220999999999997</v>
      </c>
      <c r="EF23" s="288">
        <v>57.220999999999997</v>
      </c>
      <c r="EG23" s="283"/>
      <c r="EH23" s="288"/>
      <c r="EI23" s="288">
        <v>57.220999999999997</v>
      </c>
      <c r="EJ23" s="260">
        <v>0</v>
      </c>
      <c r="EK23" s="283"/>
      <c r="EL23" s="283"/>
      <c r="EM23" s="283"/>
      <c r="EN23" s="283"/>
      <c r="EO23" s="50"/>
      <c r="EP23" s="260">
        <v>36.427</v>
      </c>
      <c r="EQ23" s="288">
        <v>36.427</v>
      </c>
      <c r="ER23" s="283"/>
      <c r="ES23" s="288"/>
      <c r="ET23" s="288">
        <v>36.427</v>
      </c>
      <c r="EU23" s="260">
        <v>0</v>
      </c>
      <c r="EV23" s="283"/>
      <c r="EW23" s="283"/>
      <c r="EX23" s="283"/>
      <c r="EY23" s="283"/>
      <c r="EZ23" s="50"/>
    </row>
    <row r="24" spans="1:156" ht="15" customHeight="1">
      <c r="A24" s="17" t="s">
        <v>82</v>
      </c>
      <c r="B24" s="51" t="s">
        <v>83</v>
      </c>
      <c r="C24" s="260">
        <f t="shared" si="10"/>
        <v>0</v>
      </c>
      <c r="D24" s="260"/>
      <c r="E24" s="260"/>
      <c r="F24" s="260"/>
      <c r="G24" s="260"/>
      <c r="H24" s="260"/>
      <c r="I24" s="260"/>
      <c r="J24" s="260"/>
      <c r="K24" s="51"/>
      <c r="L24" s="51"/>
      <c r="M24" s="51"/>
      <c r="N24" s="260">
        <f t="shared" si="12"/>
        <v>0</v>
      </c>
      <c r="O24" s="260"/>
      <c r="P24" s="260"/>
      <c r="Q24" s="260"/>
      <c r="R24" s="260"/>
      <c r="S24" s="260"/>
      <c r="T24" s="260"/>
      <c r="U24" s="260"/>
      <c r="V24" s="260"/>
      <c r="W24" s="260"/>
      <c r="X24" s="260"/>
      <c r="Y24" s="260">
        <v>0</v>
      </c>
      <c r="Z24" s="260"/>
      <c r="AA24" s="260"/>
      <c r="AB24" s="260"/>
      <c r="AC24" s="260"/>
      <c r="AD24" s="260"/>
      <c r="AE24" s="260"/>
      <c r="AF24" s="260"/>
      <c r="AG24" s="260"/>
      <c r="AH24" s="260"/>
      <c r="AI24" s="260"/>
      <c r="AJ24" s="260">
        <v>0</v>
      </c>
      <c r="AK24" s="260"/>
      <c r="AL24" s="260"/>
      <c r="AM24" s="260"/>
      <c r="AN24" s="260"/>
      <c r="AO24" s="260"/>
      <c r="AP24" s="260"/>
      <c r="AQ24" s="260"/>
      <c r="AR24" s="260"/>
      <c r="AS24" s="260"/>
      <c r="AT24" s="260"/>
      <c r="AU24" s="260">
        <v>0</v>
      </c>
      <c r="AV24" s="260"/>
      <c r="AW24" s="260"/>
      <c r="AX24" s="260"/>
      <c r="AY24" s="260"/>
      <c r="AZ24" s="260"/>
      <c r="BA24" s="260"/>
      <c r="BB24" s="260"/>
      <c r="BC24" s="260"/>
      <c r="BD24" s="260"/>
      <c r="BE24" s="260"/>
      <c r="BF24" s="260">
        <v>0</v>
      </c>
      <c r="BG24" s="260"/>
      <c r="BH24" s="260"/>
      <c r="BI24" s="260"/>
      <c r="BJ24" s="260"/>
      <c r="BK24" s="260"/>
      <c r="BL24" s="260"/>
      <c r="BM24" s="260"/>
      <c r="BN24" s="260"/>
      <c r="BO24" s="260"/>
      <c r="BP24" s="260"/>
      <c r="BQ24" s="260"/>
      <c r="BR24" s="260"/>
      <c r="BS24" s="260"/>
      <c r="BT24" s="260"/>
      <c r="BU24" s="260"/>
      <c r="BV24" s="260"/>
      <c r="BW24" s="260"/>
      <c r="BX24" s="260"/>
      <c r="BY24" s="260"/>
      <c r="BZ24" s="260"/>
      <c r="CA24" s="260"/>
      <c r="CB24" s="260">
        <v>0</v>
      </c>
      <c r="CC24" s="260"/>
      <c r="CD24" s="260"/>
      <c r="CE24" s="260"/>
      <c r="CF24" s="260"/>
      <c r="CG24" s="260"/>
      <c r="CH24" s="260"/>
      <c r="CI24" s="260"/>
      <c r="CJ24" s="260"/>
      <c r="CK24" s="260"/>
      <c r="CL24" s="260"/>
      <c r="CM24" s="306">
        <v>0</v>
      </c>
      <c r="CN24" s="305"/>
      <c r="CO24" s="305"/>
      <c r="CP24" s="305"/>
      <c r="CQ24" s="305"/>
      <c r="CR24" s="306"/>
      <c r="CS24" s="306"/>
      <c r="CT24" s="305">
        <v>0</v>
      </c>
      <c r="CU24" s="306"/>
      <c r="CV24" s="306"/>
      <c r="CW24" s="306"/>
      <c r="CX24" s="260">
        <v>0</v>
      </c>
      <c r="CY24" s="260"/>
      <c r="CZ24" s="260"/>
      <c r="DA24" s="260"/>
      <c r="DB24" s="260"/>
      <c r="DC24" s="260"/>
      <c r="DD24" s="260"/>
      <c r="DE24" s="260"/>
      <c r="DF24" s="260"/>
      <c r="DG24" s="260"/>
      <c r="DH24" s="49"/>
      <c r="DI24" s="260">
        <v>0</v>
      </c>
      <c r="DJ24" s="260"/>
      <c r="DK24" s="260"/>
      <c r="DL24" s="260"/>
      <c r="DM24" s="260"/>
      <c r="DN24" s="260"/>
      <c r="DO24" s="260"/>
      <c r="DP24" s="260"/>
      <c r="DQ24" s="260"/>
      <c r="DR24" s="260"/>
      <c r="DS24" s="49"/>
      <c r="DT24" s="306">
        <v>0</v>
      </c>
      <c r="DU24" s="305"/>
      <c r="DV24" s="305"/>
      <c r="DW24" s="305"/>
      <c r="DX24" s="305"/>
      <c r="DY24" s="306"/>
      <c r="DZ24" s="306"/>
      <c r="EA24" s="305">
        <v>0</v>
      </c>
      <c r="EB24" s="306"/>
      <c r="EC24" s="306"/>
      <c r="ED24" s="306"/>
      <c r="EE24" s="260">
        <v>0</v>
      </c>
      <c r="EF24" s="260"/>
      <c r="EG24" s="260"/>
      <c r="EH24" s="260"/>
      <c r="EI24" s="260"/>
      <c r="EJ24" s="260"/>
      <c r="EK24" s="260"/>
      <c r="EL24" s="260"/>
      <c r="EM24" s="260"/>
      <c r="EN24" s="260"/>
      <c r="EO24" s="49"/>
      <c r="EP24" s="260">
        <v>0</v>
      </c>
      <c r="EQ24" s="260"/>
      <c r="ER24" s="260"/>
      <c r="ES24" s="260"/>
      <c r="ET24" s="260"/>
      <c r="EU24" s="260"/>
      <c r="EV24" s="260"/>
      <c r="EW24" s="260"/>
      <c r="EX24" s="260"/>
      <c r="EY24" s="260"/>
      <c r="EZ24" s="49"/>
    </row>
    <row r="25" spans="1:156" ht="30">
      <c r="A25" s="17" t="s">
        <v>84</v>
      </c>
      <c r="B25" s="16" t="s">
        <v>85</v>
      </c>
      <c r="C25" s="428">
        <f t="shared" si="10"/>
        <v>17.852302426994243</v>
      </c>
      <c r="D25" s="428">
        <f t="shared" ref="D25" si="14">D21/D20*100</f>
        <v>17.852302426994243</v>
      </c>
      <c r="E25" s="428"/>
      <c r="F25" s="428"/>
      <c r="G25" s="428"/>
      <c r="H25" s="428">
        <f t="shared" ref="H25" si="15">J25</f>
        <v>0</v>
      </c>
      <c r="I25" s="428"/>
      <c r="J25" s="428"/>
      <c r="K25" s="1313"/>
      <c r="L25" s="1313"/>
      <c r="M25" s="1313"/>
      <c r="N25" s="428">
        <f t="shared" si="12"/>
        <v>17.729157077844263</v>
      </c>
      <c r="O25" s="428">
        <f t="shared" ref="O25" si="16">O21/O20*100</f>
        <v>17.729157077844263</v>
      </c>
      <c r="P25" s="428"/>
      <c r="Q25" s="428"/>
      <c r="R25" s="428"/>
      <c r="S25" s="428">
        <f t="shared" si="13"/>
        <v>0</v>
      </c>
      <c r="T25" s="428"/>
      <c r="U25" s="428"/>
      <c r="V25" s="428"/>
      <c r="W25" s="428"/>
      <c r="X25" s="428"/>
      <c r="Y25" s="428">
        <v>17.695143309690394</v>
      </c>
      <c r="Z25" s="428">
        <v>17.695143309690394</v>
      </c>
      <c r="AA25" s="428"/>
      <c r="AB25" s="428"/>
      <c r="AC25" s="428"/>
      <c r="AD25" s="428">
        <v>0</v>
      </c>
      <c r="AE25" s="428"/>
      <c r="AF25" s="428"/>
      <c r="AG25" s="428"/>
      <c r="AH25" s="428"/>
      <c r="AI25" s="428"/>
      <c r="AJ25" s="428">
        <v>19.276200554484113</v>
      </c>
      <c r="AK25" s="428">
        <v>19.276200554484113</v>
      </c>
      <c r="AL25" s="260" t="e">
        <v>#DIV/0!</v>
      </c>
      <c r="AM25" s="260">
        <v>0</v>
      </c>
      <c r="AN25" s="260">
        <v>19.59709962925487</v>
      </c>
      <c r="AO25" s="428">
        <v>0</v>
      </c>
      <c r="AP25" s="428"/>
      <c r="AQ25" s="428"/>
      <c r="AR25" s="428"/>
      <c r="AS25" s="428"/>
      <c r="AT25" s="428"/>
      <c r="AU25" s="428">
        <v>16.784220949718161</v>
      </c>
      <c r="AV25" s="428">
        <v>16.784220949718161</v>
      </c>
      <c r="AW25" s="428"/>
      <c r="AX25" s="428"/>
      <c r="AY25" s="428"/>
      <c r="AZ25" s="428">
        <v>0</v>
      </c>
      <c r="BA25" s="428"/>
      <c r="BB25" s="260"/>
      <c r="BC25" s="260"/>
      <c r="BD25" s="260"/>
      <c r="BE25" s="260"/>
      <c r="BF25" s="428">
        <v>20.305301429377714</v>
      </c>
      <c r="BG25" s="428">
        <v>20.305301429377714</v>
      </c>
      <c r="BH25" s="260"/>
      <c r="BI25" s="260"/>
      <c r="BJ25" s="260">
        <v>20.679053602459561</v>
      </c>
      <c r="BK25" s="260">
        <v>0</v>
      </c>
      <c r="BL25" s="428"/>
      <c r="BM25" s="428"/>
      <c r="BN25" s="428"/>
      <c r="BO25" s="428"/>
      <c r="BP25" s="428"/>
      <c r="BQ25" s="428">
        <v>18.908249508356917</v>
      </c>
      <c r="BR25" s="428">
        <v>18.908249508356917</v>
      </c>
      <c r="BS25" s="260"/>
      <c r="BT25" s="260"/>
      <c r="BU25" s="260">
        <v>19.231546435788328</v>
      </c>
      <c r="BV25" s="428"/>
      <c r="BW25" s="428"/>
      <c r="BX25" s="428"/>
      <c r="BY25" s="428"/>
      <c r="BZ25" s="428"/>
      <c r="CA25" s="428"/>
      <c r="CB25" s="428">
        <v>19.435215946843858</v>
      </c>
      <c r="CC25" s="428">
        <v>19.435215946843858</v>
      </c>
      <c r="CD25" s="260"/>
      <c r="CE25" s="260"/>
      <c r="CF25" s="260">
        <v>19.760380313813858</v>
      </c>
      <c r="CG25" s="260">
        <v>0</v>
      </c>
      <c r="CH25" s="428"/>
      <c r="CI25" s="428"/>
      <c r="CJ25" s="428"/>
      <c r="CK25" s="428"/>
      <c r="CL25" s="428"/>
      <c r="CM25" s="307">
        <v>19.451160240273175</v>
      </c>
      <c r="CN25" s="307">
        <v>19.451160240273175</v>
      </c>
      <c r="CO25" s="307"/>
      <c r="CP25" s="307"/>
      <c r="CQ25" s="307" t="e">
        <v>#DIV/0!</v>
      </c>
      <c r="CR25" s="307">
        <v>0</v>
      </c>
      <c r="CS25" s="307"/>
      <c r="CT25" s="307">
        <v>0</v>
      </c>
      <c r="CU25" s="307"/>
      <c r="CV25" s="307"/>
      <c r="CW25" s="307"/>
      <c r="CX25" s="428">
        <v>19.873371120557916</v>
      </c>
      <c r="CY25" s="428">
        <v>19.873371120557916</v>
      </c>
      <c r="CZ25" s="260"/>
      <c r="DA25" s="260"/>
      <c r="DB25" s="260">
        <v>20.244185470575331</v>
      </c>
      <c r="DC25" s="260">
        <v>0</v>
      </c>
      <c r="DD25" s="428"/>
      <c r="DE25" s="428"/>
      <c r="DF25" s="428"/>
      <c r="DG25" s="428"/>
      <c r="DH25" s="428"/>
      <c r="DI25" s="428">
        <v>18.82298836320043</v>
      </c>
      <c r="DJ25" s="428">
        <v>18.82298836320043</v>
      </c>
      <c r="DK25" s="260"/>
      <c r="DL25" s="260">
        <v>0</v>
      </c>
      <c r="DM25" s="260">
        <v>19.083417590880273</v>
      </c>
      <c r="DN25" s="260">
        <v>0</v>
      </c>
      <c r="DO25" s="428"/>
      <c r="DP25" s="428"/>
      <c r="DQ25" s="428"/>
      <c r="DR25" s="428"/>
      <c r="DS25" s="49"/>
      <c r="DT25" s="307">
        <v>19.451160240273175</v>
      </c>
      <c r="DU25" s="307">
        <v>19.451160240273175</v>
      </c>
      <c r="DV25" s="307"/>
      <c r="DW25" s="307"/>
      <c r="DX25" s="307" t="e">
        <v>#DIV/0!</v>
      </c>
      <c r="DY25" s="307">
        <v>0</v>
      </c>
      <c r="DZ25" s="307"/>
      <c r="EA25" s="307">
        <v>0</v>
      </c>
      <c r="EB25" s="307"/>
      <c r="EC25" s="307"/>
      <c r="ED25" s="307"/>
      <c r="EE25" s="428">
        <v>19.873371120557916</v>
      </c>
      <c r="EF25" s="428">
        <v>19.873371120557916</v>
      </c>
      <c r="EG25" s="260"/>
      <c r="EH25" s="260"/>
      <c r="EI25" s="260">
        <v>20.244185470575331</v>
      </c>
      <c r="EJ25" s="260">
        <v>0</v>
      </c>
      <c r="EK25" s="428"/>
      <c r="EL25" s="428"/>
      <c r="EM25" s="428"/>
      <c r="EN25" s="428"/>
      <c r="EO25" s="428"/>
      <c r="EP25" s="428">
        <v>18.82298836320043</v>
      </c>
      <c r="EQ25" s="428">
        <v>18.82298836320043</v>
      </c>
      <c r="ER25" s="260"/>
      <c r="ES25" s="260">
        <v>0</v>
      </c>
      <c r="ET25" s="260">
        <v>19.083417590880273</v>
      </c>
      <c r="EU25" s="260">
        <v>0</v>
      </c>
      <c r="EV25" s="428"/>
      <c r="EW25" s="428"/>
      <c r="EX25" s="428"/>
      <c r="EY25" s="428"/>
      <c r="EZ25" s="49"/>
    </row>
    <row r="26" spans="1:156" ht="30">
      <c r="A26" s="17"/>
      <c r="B26" s="113" t="s">
        <v>787</v>
      </c>
      <c r="C26" s="260">
        <f>D26+H26</f>
        <v>0</v>
      </c>
      <c r="D26" s="260"/>
      <c r="E26" s="260"/>
      <c r="F26" s="260"/>
      <c r="G26" s="260"/>
      <c r="H26" s="260"/>
      <c r="I26" s="260"/>
      <c r="J26" s="260"/>
      <c r="K26" s="113"/>
      <c r="L26" s="113"/>
      <c r="M26" s="113"/>
      <c r="N26" s="260">
        <f>O26+S26</f>
        <v>0</v>
      </c>
      <c r="O26" s="260"/>
      <c r="P26" s="260"/>
      <c r="Q26" s="260"/>
      <c r="R26" s="260"/>
      <c r="S26" s="260"/>
      <c r="T26" s="260"/>
      <c r="U26" s="260"/>
      <c r="V26" s="260"/>
      <c r="W26" s="260"/>
      <c r="X26" s="260"/>
      <c r="Y26" s="260">
        <v>0</v>
      </c>
      <c r="Z26" s="260"/>
      <c r="AA26" s="260"/>
      <c r="AB26" s="260"/>
      <c r="AC26" s="260"/>
      <c r="AD26" s="260"/>
      <c r="AE26" s="260"/>
      <c r="AF26" s="260"/>
      <c r="AG26" s="260"/>
      <c r="AH26" s="260"/>
      <c r="AI26" s="260"/>
      <c r="AJ26" s="260">
        <v>0</v>
      </c>
      <c r="AK26" s="260"/>
      <c r="AL26" s="260"/>
      <c r="AM26" s="260"/>
      <c r="AN26" s="260"/>
      <c r="AO26" s="260"/>
      <c r="AP26" s="260"/>
      <c r="AQ26" s="260"/>
      <c r="AR26" s="260"/>
      <c r="AS26" s="260"/>
      <c r="AT26" s="260"/>
      <c r="AU26" s="260">
        <v>0</v>
      </c>
      <c r="AV26" s="260"/>
      <c r="AW26" s="260"/>
      <c r="AX26" s="260"/>
      <c r="AY26" s="260"/>
      <c r="AZ26" s="260"/>
      <c r="BA26" s="260"/>
      <c r="BB26" s="260"/>
      <c r="BC26" s="260"/>
      <c r="BD26" s="260"/>
      <c r="BE26" s="260"/>
      <c r="BF26" s="260">
        <v>0</v>
      </c>
      <c r="BG26" s="260"/>
      <c r="BH26" s="260"/>
      <c r="BI26" s="260"/>
      <c r="BJ26" s="260"/>
      <c r="BK26" s="260"/>
      <c r="BL26" s="260"/>
      <c r="BM26" s="260"/>
      <c r="BN26" s="260"/>
      <c r="BO26" s="260"/>
      <c r="BP26" s="260"/>
      <c r="BQ26" s="260"/>
      <c r="BR26" s="260"/>
      <c r="BS26" s="260"/>
      <c r="BT26" s="260"/>
      <c r="BU26" s="260"/>
      <c r="BV26" s="260"/>
      <c r="BW26" s="260"/>
      <c r="BX26" s="260"/>
      <c r="BY26" s="260"/>
      <c r="BZ26" s="260"/>
      <c r="CA26" s="260"/>
      <c r="CB26" s="260">
        <v>0</v>
      </c>
      <c r="CC26" s="260"/>
      <c r="CD26" s="260"/>
      <c r="CE26" s="260"/>
      <c r="CF26" s="260"/>
      <c r="CG26" s="260"/>
      <c r="CH26" s="260"/>
      <c r="CI26" s="260"/>
      <c r="CJ26" s="260"/>
      <c r="CK26" s="260"/>
      <c r="CL26" s="260"/>
      <c r="CM26" s="306">
        <v>0</v>
      </c>
      <c r="CN26" s="306">
        <v>0</v>
      </c>
      <c r="CO26" s="306"/>
      <c r="CP26" s="306"/>
      <c r="CQ26" s="306"/>
      <c r="CR26" s="306"/>
      <c r="CS26" s="306"/>
      <c r="CT26" s="306">
        <v>0</v>
      </c>
      <c r="CU26" s="306"/>
      <c r="CV26" s="306"/>
      <c r="CW26" s="306"/>
      <c r="CX26" s="260">
        <v>0</v>
      </c>
      <c r="CY26" s="260"/>
      <c r="CZ26" s="260"/>
      <c r="DA26" s="260"/>
      <c r="DB26" s="260"/>
      <c r="DC26" s="260"/>
      <c r="DD26" s="260"/>
      <c r="DE26" s="260"/>
      <c r="DF26" s="260"/>
      <c r="DG26" s="260"/>
      <c r="DH26" s="49"/>
      <c r="DI26" s="260">
        <v>0</v>
      </c>
      <c r="DJ26" s="260"/>
      <c r="DK26" s="260"/>
      <c r="DL26" s="260"/>
      <c r="DM26" s="260"/>
      <c r="DN26" s="260"/>
      <c r="DO26" s="260"/>
      <c r="DP26" s="260"/>
      <c r="DQ26" s="260"/>
      <c r="DR26" s="260"/>
      <c r="DS26" s="49"/>
      <c r="DT26" s="306">
        <v>0</v>
      </c>
      <c r="DU26" s="306">
        <v>0</v>
      </c>
      <c r="DV26" s="306"/>
      <c r="DW26" s="306"/>
      <c r="DX26" s="306"/>
      <c r="DY26" s="306"/>
      <c r="DZ26" s="306"/>
      <c r="EA26" s="306">
        <v>0</v>
      </c>
      <c r="EB26" s="306"/>
      <c r="EC26" s="306"/>
      <c r="ED26" s="306"/>
      <c r="EE26" s="260">
        <v>0</v>
      </c>
      <c r="EF26" s="260"/>
      <c r="EG26" s="260"/>
      <c r="EH26" s="260"/>
      <c r="EI26" s="260"/>
      <c r="EJ26" s="260"/>
      <c r="EK26" s="260"/>
      <c r="EL26" s="260"/>
      <c r="EM26" s="260"/>
      <c r="EN26" s="260"/>
      <c r="EO26" s="49"/>
      <c r="EP26" s="260">
        <v>0</v>
      </c>
      <c r="EQ26" s="260"/>
      <c r="ER26" s="260"/>
      <c r="ES26" s="260"/>
      <c r="ET26" s="260"/>
      <c r="EU26" s="260"/>
      <c r="EV26" s="260"/>
      <c r="EW26" s="260"/>
      <c r="EX26" s="260"/>
      <c r="EY26" s="260"/>
      <c r="EZ26" s="49"/>
    </row>
    <row r="27" spans="1:156" ht="15" hidden="1">
      <c r="A27" s="17"/>
      <c r="B27" s="113" t="s">
        <v>788</v>
      </c>
      <c r="C27" s="260">
        <f>D27+H27</f>
        <v>0</v>
      </c>
      <c r="D27" s="260"/>
      <c r="E27" s="260"/>
      <c r="F27" s="260"/>
      <c r="G27" s="260"/>
      <c r="H27" s="260">
        <f>J27</f>
        <v>0</v>
      </c>
      <c r="I27" s="260"/>
      <c r="J27" s="260"/>
      <c r="K27" s="113"/>
      <c r="L27" s="113"/>
      <c r="M27" s="113"/>
      <c r="N27" s="260">
        <f>O27+S27</f>
        <v>53.954000000000001</v>
      </c>
      <c r="O27" s="260">
        <v>53.954000000000001</v>
      </c>
      <c r="P27" s="260"/>
      <c r="Q27" s="260"/>
      <c r="R27" s="260"/>
      <c r="S27" s="260">
        <f>U27</f>
        <v>0</v>
      </c>
      <c r="T27" s="260"/>
      <c r="U27" s="260"/>
      <c r="V27" s="260"/>
      <c r="W27" s="260"/>
      <c r="X27" s="260"/>
      <c r="Y27" s="260">
        <v>0</v>
      </c>
      <c r="Z27" s="260"/>
      <c r="AA27" s="260"/>
      <c r="AB27" s="260"/>
      <c r="AC27" s="260"/>
      <c r="AD27" s="260">
        <v>0</v>
      </c>
      <c r="AE27" s="260"/>
      <c r="AF27" s="260"/>
      <c r="AG27" s="260"/>
      <c r="AH27" s="260"/>
      <c r="AI27" s="260"/>
      <c r="AJ27" s="260">
        <v>12.13</v>
      </c>
      <c r="AK27" s="269">
        <v>12.13</v>
      </c>
      <c r="AL27" s="260"/>
      <c r="AM27" s="260"/>
      <c r="AN27" s="260">
        <v>12.13</v>
      </c>
      <c r="AO27" s="260">
        <v>0</v>
      </c>
      <c r="AP27" s="260"/>
      <c r="AQ27" s="260"/>
      <c r="AR27" s="260"/>
      <c r="AS27" s="260"/>
      <c r="AT27" s="260"/>
      <c r="AU27" s="260">
        <v>0</v>
      </c>
      <c r="AV27" s="260"/>
      <c r="AW27" s="260"/>
      <c r="AX27" s="260"/>
      <c r="AY27" s="260"/>
      <c r="AZ27" s="260">
        <v>0</v>
      </c>
      <c r="BA27" s="260"/>
      <c r="BB27" s="260"/>
      <c r="BC27" s="260"/>
      <c r="BD27" s="260"/>
      <c r="BE27" s="260"/>
      <c r="BF27" s="260">
        <v>-12.48</v>
      </c>
      <c r="BG27" s="269">
        <v>-12.48</v>
      </c>
      <c r="BH27" s="260"/>
      <c r="BI27" s="260"/>
      <c r="BJ27" s="269">
        <v>-12.48</v>
      </c>
      <c r="BK27" s="260">
        <v>0</v>
      </c>
      <c r="BL27" s="260"/>
      <c r="BM27" s="260"/>
      <c r="BN27" s="260"/>
      <c r="BO27" s="260"/>
      <c r="BP27" s="260"/>
      <c r="BQ27" s="260"/>
      <c r="BR27" s="269"/>
      <c r="BS27" s="260"/>
      <c r="BT27" s="260"/>
      <c r="BU27" s="269"/>
      <c r="BV27" s="260"/>
      <c r="BW27" s="260"/>
      <c r="BX27" s="260"/>
      <c r="BY27" s="260"/>
      <c r="BZ27" s="260"/>
      <c r="CA27" s="260"/>
      <c r="CB27" s="260">
        <v>-11.7</v>
      </c>
      <c r="CC27" s="269">
        <v>-11.7</v>
      </c>
      <c r="CD27" s="260"/>
      <c r="CE27" s="260"/>
      <c r="CF27" s="269">
        <v>-11.7</v>
      </c>
      <c r="CG27" s="260">
        <v>0</v>
      </c>
      <c r="CH27" s="260"/>
      <c r="CI27" s="260"/>
      <c r="CJ27" s="260"/>
      <c r="CK27" s="260"/>
      <c r="CL27" s="260"/>
      <c r="CM27" s="306">
        <v>0</v>
      </c>
      <c r="CN27" s="305">
        <v>0</v>
      </c>
      <c r="CO27" s="305"/>
      <c r="CP27" s="305"/>
      <c r="CQ27" s="305"/>
      <c r="CR27" s="306">
        <v>0</v>
      </c>
      <c r="CS27" s="306"/>
      <c r="CT27" s="305">
        <v>0</v>
      </c>
      <c r="CU27" s="306"/>
      <c r="CV27" s="306"/>
      <c r="CW27" s="306"/>
      <c r="CX27" s="260">
        <v>-5.8979999999999997</v>
      </c>
      <c r="CY27" s="269">
        <v>-5.8979999999999997</v>
      </c>
      <c r="CZ27" s="260"/>
      <c r="DA27" s="260"/>
      <c r="DB27" s="269">
        <v>-5.8979999999999997</v>
      </c>
      <c r="DC27" s="260">
        <v>0</v>
      </c>
      <c r="DD27" s="260"/>
      <c r="DE27" s="260"/>
      <c r="DF27" s="260"/>
      <c r="DG27" s="260"/>
      <c r="DH27" s="49"/>
      <c r="DI27" s="260">
        <v>5.8979999999999997</v>
      </c>
      <c r="DJ27" s="269">
        <v>5.8979999999999997</v>
      </c>
      <c r="DK27" s="260"/>
      <c r="DL27" s="260"/>
      <c r="DM27" s="269">
        <v>5.8979999999999997</v>
      </c>
      <c r="DN27" s="260">
        <v>0</v>
      </c>
      <c r="DO27" s="260"/>
      <c r="DP27" s="260"/>
      <c r="DQ27" s="260"/>
      <c r="DR27" s="260"/>
      <c r="DS27" s="49"/>
      <c r="DT27" s="306">
        <v>0</v>
      </c>
      <c r="DU27" s="305">
        <v>0</v>
      </c>
      <c r="DV27" s="305"/>
      <c r="DW27" s="305"/>
      <c r="DX27" s="305"/>
      <c r="DY27" s="306">
        <v>0</v>
      </c>
      <c r="DZ27" s="306"/>
      <c r="EA27" s="305">
        <v>0</v>
      </c>
      <c r="EB27" s="306"/>
      <c r="EC27" s="306"/>
      <c r="ED27" s="306"/>
      <c r="EE27" s="260">
        <v>-5.8979999999999997</v>
      </c>
      <c r="EF27" s="269">
        <v>-5.8979999999999997</v>
      </c>
      <c r="EG27" s="260"/>
      <c r="EH27" s="260"/>
      <c r="EI27" s="269">
        <v>-5.8979999999999997</v>
      </c>
      <c r="EJ27" s="260">
        <v>0</v>
      </c>
      <c r="EK27" s="260"/>
      <c r="EL27" s="260"/>
      <c r="EM27" s="260"/>
      <c r="EN27" s="260"/>
      <c r="EO27" s="49"/>
      <c r="EP27" s="260">
        <v>5.8979999999999997</v>
      </c>
      <c r="EQ27" s="269">
        <v>5.8979999999999997</v>
      </c>
      <c r="ER27" s="260"/>
      <c r="ES27" s="260"/>
      <c r="ET27" s="269">
        <v>5.8979999999999997</v>
      </c>
      <c r="EU27" s="260">
        <v>0</v>
      </c>
      <c r="EV27" s="260"/>
      <c r="EW27" s="260"/>
      <c r="EX27" s="260"/>
      <c r="EY27" s="260"/>
      <c r="EZ27" s="49"/>
    </row>
    <row r="28" spans="1:156" ht="42.75">
      <c r="A28" s="110" t="s">
        <v>86</v>
      </c>
      <c r="B28" s="111" t="s">
        <v>87</v>
      </c>
      <c r="C28" s="286">
        <f>D28+H28</f>
        <v>456.029</v>
      </c>
      <c r="D28" s="286">
        <f>D20-D21-D26-D27-D19</f>
        <v>456.029</v>
      </c>
      <c r="E28" s="286"/>
      <c r="F28" s="286"/>
      <c r="G28" s="286"/>
      <c r="H28" s="286">
        <f>H20-H21-H26-H27-H19</f>
        <v>0</v>
      </c>
      <c r="I28" s="286"/>
      <c r="J28" s="286">
        <f>J20-J21-J26-J27-J19</f>
        <v>0</v>
      </c>
      <c r="K28" s="111"/>
      <c r="L28" s="111"/>
      <c r="M28" s="111"/>
      <c r="N28" s="286">
        <f>O28+S28</f>
        <v>410.57569999999993</v>
      </c>
      <c r="O28" s="286">
        <f>O20-O21-O26-O27</f>
        <v>408.82269999999994</v>
      </c>
      <c r="P28" s="286"/>
      <c r="Q28" s="286"/>
      <c r="R28" s="286"/>
      <c r="S28" s="286">
        <f>S20-S21-S26-S27</f>
        <v>1.7529999999999999</v>
      </c>
      <c r="T28" s="286"/>
      <c r="U28" s="286">
        <f>U20-U21-U26-U27</f>
        <v>1.7529999999999999</v>
      </c>
      <c r="V28" s="286"/>
      <c r="W28" s="286"/>
      <c r="X28" s="286"/>
      <c r="Y28" s="286">
        <v>461.95000000000005</v>
      </c>
      <c r="Z28" s="286">
        <v>461.95000000000005</v>
      </c>
      <c r="AA28" s="286"/>
      <c r="AB28" s="286"/>
      <c r="AC28" s="286"/>
      <c r="AD28" s="286">
        <v>0</v>
      </c>
      <c r="AE28" s="286"/>
      <c r="AF28" s="286">
        <v>0</v>
      </c>
      <c r="AG28" s="286"/>
      <c r="AH28" s="286"/>
      <c r="AI28" s="286"/>
      <c r="AJ28" s="286">
        <v>399.63919999999996</v>
      </c>
      <c r="AK28" s="1401">
        <v>398.27119999999996</v>
      </c>
      <c r="AL28" s="1401">
        <v>0</v>
      </c>
      <c r="AM28" s="1401">
        <v>8.3260000000000005</v>
      </c>
      <c r="AN28" s="1401">
        <v>389.94499999999994</v>
      </c>
      <c r="AO28" s="1401">
        <v>1.3680000000000001</v>
      </c>
      <c r="AP28" s="1400"/>
      <c r="AQ28" s="1400">
        <v>1.3680000000000001</v>
      </c>
      <c r="AR28" s="286"/>
      <c r="AS28" s="286"/>
      <c r="AT28" s="286"/>
      <c r="AU28" s="286">
        <v>466.08760000000007</v>
      </c>
      <c r="AV28" s="286">
        <v>464.30660000000006</v>
      </c>
      <c r="AW28" s="286"/>
      <c r="AX28" s="286"/>
      <c r="AY28" s="286"/>
      <c r="AZ28" s="286">
        <v>1.7810000000000001</v>
      </c>
      <c r="BA28" s="286"/>
      <c r="BB28" s="286">
        <v>1.7810000000000001</v>
      </c>
      <c r="BC28" s="286"/>
      <c r="BD28" s="286"/>
      <c r="BE28" s="286"/>
      <c r="BF28" s="286">
        <v>377.28199999999998</v>
      </c>
      <c r="BG28" s="1400">
        <v>376.78199999999998</v>
      </c>
      <c r="BH28" s="1400"/>
      <c r="BI28" s="287">
        <v>8.2620000000000005</v>
      </c>
      <c r="BJ28" s="287">
        <v>368.52</v>
      </c>
      <c r="BK28" s="1400">
        <v>0.5</v>
      </c>
      <c r="BL28" s="1400"/>
      <c r="BM28" s="1400">
        <v>0.5</v>
      </c>
      <c r="BN28" s="286"/>
      <c r="BO28" s="286"/>
      <c r="BP28" s="286"/>
      <c r="BQ28" s="286">
        <v>402.64040000000011</v>
      </c>
      <c r="BR28" s="1400">
        <v>401.6296000000001</v>
      </c>
      <c r="BS28" s="1400"/>
      <c r="BT28" s="1400">
        <v>8.3260000000000005</v>
      </c>
      <c r="BU28" s="1400">
        <v>393.30360000000007</v>
      </c>
      <c r="BV28" s="1400">
        <v>1.0108000000000001</v>
      </c>
      <c r="BW28" s="1400"/>
      <c r="BX28" s="1400">
        <v>1.3680000000000001</v>
      </c>
      <c r="BY28" s="286"/>
      <c r="BZ28" s="286"/>
      <c r="CA28" s="286"/>
      <c r="CB28" s="286">
        <v>400.411</v>
      </c>
      <c r="CC28" s="1400">
        <v>399.21499999999997</v>
      </c>
      <c r="CD28" s="1400"/>
      <c r="CE28" s="287">
        <v>7.9149999999999991</v>
      </c>
      <c r="CF28" s="287">
        <v>391.29999999999995</v>
      </c>
      <c r="CG28" s="1400">
        <v>1.196</v>
      </c>
      <c r="CH28" s="1400"/>
      <c r="CI28" s="1400">
        <v>1.196</v>
      </c>
      <c r="CJ28" s="286"/>
      <c r="CK28" s="286"/>
      <c r="CL28" s="286"/>
      <c r="CM28" s="286">
        <v>389.00000000000006</v>
      </c>
      <c r="CN28" s="1400">
        <v>387.80400000000003</v>
      </c>
      <c r="CO28" s="1400">
        <v>0</v>
      </c>
      <c r="CP28" s="1400">
        <v>7.915</v>
      </c>
      <c r="CQ28" s="1400">
        <v>379.88900000000001</v>
      </c>
      <c r="CR28" s="1401">
        <v>1.196</v>
      </c>
      <c r="CS28" s="1400">
        <v>0</v>
      </c>
      <c r="CT28" s="1400">
        <v>1.196</v>
      </c>
      <c r="CU28" s="304"/>
      <c r="CV28" s="304"/>
      <c r="CW28" s="304"/>
      <c r="CX28" s="286">
        <v>237.1</v>
      </c>
      <c r="CY28" s="1400">
        <v>236.60499999999999</v>
      </c>
      <c r="CZ28" s="1400"/>
      <c r="DA28" s="287">
        <v>5.274</v>
      </c>
      <c r="DB28" s="287">
        <v>231.33099999999999</v>
      </c>
      <c r="DC28" s="1400">
        <v>0.495</v>
      </c>
      <c r="DD28" s="1400"/>
      <c r="DE28" s="1400">
        <v>0.495</v>
      </c>
      <c r="DF28" s="286"/>
      <c r="DG28" s="286"/>
      <c r="DH28" s="112"/>
      <c r="DI28" s="286">
        <v>151.89999999999998</v>
      </c>
      <c r="DJ28" s="1400">
        <v>151.19899999999998</v>
      </c>
      <c r="DK28" s="1400"/>
      <c r="DL28" s="287">
        <v>2.641</v>
      </c>
      <c r="DM28" s="287">
        <v>148.55799999999999</v>
      </c>
      <c r="DN28" s="1400">
        <v>0.70099999999999996</v>
      </c>
      <c r="DO28" s="1400"/>
      <c r="DP28" s="1400">
        <v>0.70099999999999996</v>
      </c>
      <c r="DQ28" s="286"/>
      <c r="DR28" s="286"/>
      <c r="DS28" s="112"/>
      <c r="DT28" s="286">
        <v>389.00000000000006</v>
      </c>
      <c r="DU28" s="1400">
        <v>387.80400000000003</v>
      </c>
      <c r="DV28" s="1400">
        <v>0</v>
      </c>
      <c r="DW28" s="1400">
        <v>7.915</v>
      </c>
      <c r="DX28" s="1400">
        <v>379.88900000000001</v>
      </c>
      <c r="DY28" s="1401">
        <v>1.196</v>
      </c>
      <c r="DZ28" s="1400">
        <v>0</v>
      </c>
      <c r="EA28" s="1400">
        <v>1.196</v>
      </c>
      <c r="EB28" s="304"/>
      <c r="EC28" s="304"/>
      <c r="ED28" s="304"/>
      <c r="EE28" s="286">
        <v>237.1</v>
      </c>
      <c r="EF28" s="1400">
        <v>236.60499999999999</v>
      </c>
      <c r="EG28" s="1400"/>
      <c r="EH28" s="287">
        <v>5.274</v>
      </c>
      <c r="EI28" s="287">
        <v>231.33099999999999</v>
      </c>
      <c r="EJ28" s="1400">
        <v>0.495</v>
      </c>
      <c r="EK28" s="1400"/>
      <c r="EL28" s="1400">
        <v>0.495</v>
      </c>
      <c r="EM28" s="286"/>
      <c r="EN28" s="286"/>
      <c r="EO28" s="112"/>
      <c r="EP28" s="286">
        <v>151.89999999999998</v>
      </c>
      <c r="EQ28" s="1400">
        <v>151.19899999999998</v>
      </c>
      <c r="ER28" s="1400"/>
      <c r="ES28" s="287">
        <v>2.641</v>
      </c>
      <c r="ET28" s="287">
        <v>148.55799999999999</v>
      </c>
      <c r="EU28" s="1400">
        <v>0.70099999999999996</v>
      </c>
      <c r="EV28" s="1400"/>
      <c r="EW28" s="1400">
        <v>0.70099999999999996</v>
      </c>
      <c r="EX28" s="286"/>
      <c r="EY28" s="286"/>
      <c r="EZ28" s="112"/>
    </row>
    <row r="29" spans="1:156" ht="15">
      <c r="CN29" s="1446">
        <f>CN20-CO29</f>
        <v>481.452</v>
      </c>
      <c r="CO29" s="1569">
        <f>CZ29+DK29</f>
        <v>0</v>
      </c>
      <c r="CY29" s="1446">
        <f>CY20-CZ29</f>
        <v>287.928</v>
      </c>
      <c r="CZ29" s="1569">
        <v>0</v>
      </c>
      <c r="DJ29" s="1446">
        <f>DJ20-DK29</f>
        <v>193.524</v>
      </c>
      <c r="DK29" s="1569">
        <v>0</v>
      </c>
    </row>
    <row r="30" spans="1:156" ht="15">
      <c r="A30" s="26" t="s">
        <v>88</v>
      </c>
    </row>
    <row r="31" spans="1:156" s="541" customFormat="1" ht="51.75" customHeight="1">
      <c r="A31" s="45" t="s">
        <v>89</v>
      </c>
      <c r="B31" s="1842" t="s">
        <v>90</v>
      </c>
      <c r="C31" s="1842"/>
      <c r="D31" s="1842"/>
      <c r="E31" s="1842"/>
      <c r="F31" s="1842"/>
      <c r="G31" s="1842"/>
      <c r="H31" s="1842"/>
      <c r="I31" s="1842"/>
      <c r="J31" s="1842"/>
      <c r="K31" s="1842"/>
      <c r="L31" s="1842"/>
      <c r="M31" s="1842"/>
      <c r="N31" s="1843"/>
      <c r="O31" s="1843"/>
      <c r="P31" s="1843"/>
      <c r="Q31" s="1843"/>
      <c r="R31" s="1843"/>
      <c r="S31" s="1843"/>
      <c r="T31" s="1843"/>
      <c r="U31" s="1843"/>
      <c r="V31" s="1843"/>
      <c r="W31" s="1843"/>
      <c r="X31" s="1843"/>
      <c r="Y31" s="1843"/>
      <c r="Z31" s="1843"/>
      <c r="AA31" s="1843"/>
      <c r="AB31" s="1843"/>
      <c r="AC31" s="1843"/>
      <c r="AD31" s="1843"/>
      <c r="AE31" s="1843"/>
      <c r="AF31" s="1843"/>
      <c r="AG31" s="1843"/>
      <c r="AH31" s="1843"/>
      <c r="AI31" s="1843"/>
      <c r="AJ31" s="1843"/>
      <c r="AK31" s="1843"/>
      <c r="AL31" s="1843"/>
      <c r="AM31" s="1843"/>
      <c r="AN31" s="1843"/>
      <c r="AO31" s="1843"/>
      <c r="AP31" s="1843"/>
      <c r="AQ31" s="1843"/>
      <c r="AR31" s="1843"/>
      <c r="AS31" s="1843"/>
      <c r="AT31" s="1843"/>
      <c r="AU31" s="1843"/>
      <c r="AV31" s="1843"/>
      <c r="AW31" s="1843"/>
      <c r="AX31" s="1843"/>
      <c r="AY31" s="1843"/>
      <c r="AZ31" s="1843"/>
      <c r="BA31" s="1843"/>
      <c r="BB31" s="1843"/>
      <c r="BC31" s="1843"/>
      <c r="BD31" s="1843"/>
      <c r="BE31" s="1843"/>
      <c r="BF31" s="1843"/>
      <c r="BG31" s="1843"/>
      <c r="BH31" s="1843"/>
      <c r="BI31" s="1843"/>
      <c r="BJ31" s="1843"/>
      <c r="BK31" s="1843"/>
      <c r="BL31" s="1843"/>
      <c r="BM31" s="1843"/>
      <c r="BN31" s="1843"/>
      <c r="BO31" s="1843"/>
      <c r="BP31" s="1843"/>
      <c r="BQ31" s="1843"/>
      <c r="BR31" s="1843"/>
      <c r="BS31" s="1843"/>
      <c r="BT31" s="1843"/>
      <c r="BU31" s="1843"/>
      <c r="BV31" s="1843"/>
      <c r="BW31" s="1843"/>
      <c r="BX31" s="1843"/>
      <c r="BY31" s="1843"/>
      <c r="BZ31" s="1843"/>
      <c r="CA31" s="1843"/>
      <c r="CB31" s="1843"/>
      <c r="CC31" s="1843"/>
      <c r="CD31" s="1843"/>
      <c r="CE31" s="1843"/>
      <c r="CF31" s="1843"/>
      <c r="CG31" s="1843"/>
      <c r="CH31" s="1843"/>
      <c r="CI31" s="1843"/>
      <c r="CJ31" s="1843"/>
      <c r="CK31" s="1843"/>
      <c r="CL31" s="1843"/>
      <c r="CM31" s="1843"/>
      <c r="CN31" s="1843"/>
      <c r="CO31" s="1843"/>
      <c r="CP31" s="1843"/>
      <c r="CQ31" s="1843"/>
      <c r="CR31" s="1843"/>
      <c r="CS31" s="1843"/>
      <c r="CT31" s="1843"/>
      <c r="CU31" s="1843"/>
      <c r="CV31" s="1843"/>
      <c r="CW31" s="1843"/>
      <c r="CX31" s="536"/>
      <c r="CY31" s="536"/>
      <c r="CZ31" s="1381"/>
      <c r="DA31" s="1381"/>
      <c r="DB31" s="1381"/>
      <c r="DC31" s="536"/>
      <c r="DD31" s="536"/>
      <c r="DE31" s="536"/>
      <c r="DF31" s="536"/>
      <c r="DG31" s="536"/>
      <c r="DH31" s="536"/>
      <c r="DI31" s="536"/>
      <c r="DJ31" s="536"/>
      <c r="DK31" s="1381"/>
      <c r="DL31" s="1381"/>
      <c r="DM31" s="1381"/>
      <c r="DN31" s="536"/>
      <c r="DO31" s="536"/>
      <c r="DP31" s="536"/>
      <c r="DQ31" s="536"/>
      <c r="DR31" s="536"/>
      <c r="DS31" s="536"/>
      <c r="DV31" s="1382"/>
      <c r="DW31" s="1382"/>
      <c r="DX31" s="1382"/>
    </row>
    <row r="32" spans="1:156" s="541" customFormat="1" ht="15" customHeight="1">
      <c r="A32" s="45" t="s">
        <v>91</v>
      </c>
      <c r="B32" s="541" t="s">
        <v>92</v>
      </c>
      <c r="E32" s="1382"/>
      <c r="F32" s="1382"/>
      <c r="G32" s="1382"/>
      <c r="P32" s="1382"/>
      <c r="Q32" s="1382"/>
      <c r="R32" s="1382"/>
      <c r="AA32" s="1382"/>
      <c r="AB32" s="1382"/>
      <c r="AC32" s="1382"/>
      <c r="AL32" s="1382"/>
      <c r="AM32" s="1382"/>
      <c r="AN32" s="1382"/>
      <c r="AU32" s="1275"/>
      <c r="AV32" s="1275"/>
      <c r="AW32" s="1382"/>
      <c r="AX32" s="1382"/>
      <c r="AY32" s="1382"/>
      <c r="AZ32" s="1275"/>
      <c r="BA32" s="1275"/>
      <c r="BB32" s="1275"/>
      <c r="BC32" s="1275"/>
      <c r="BD32" s="1275"/>
      <c r="BE32" s="1275"/>
      <c r="BF32" s="1275"/>
      <c r="BG32" s="1275"/>
      <c r="BH32" s="1382"/>
      <c r="BI32" s="1382"/>
      <c r="BJ32" s="1382"/>
      <c r="BK32" s="1275"/>
      <c r="BL32" s="1275"/>
      <c r="BM32" s="1275"/>
      <c r="BN32" s="1275"/>
      <c r="BO32" s="1275"/>
      <c r="BP32" s="1275"/>
      <c r="BQ32" s="1579"/>
      <c r="BR32" s="1579"/>
      <c r="BS32" s="1579"/>
      <c r="BT32" s="1579"/>
      <c r="BU32" s="1579"/>
      <c r="BV32" s="1579"/>
      <c r="BW32" s="1579"/>
      <c r="BX32" s="1579"/>
      <c r="BY32" s="1579"/>
      <c r="BZ32" s="1579"/>
      <c r="CA32" s="1579"/>
      <c r="CB32" s="1579"/>
      <c r="CC32" s="1579"/>
      <c r="CD32" s="1579"/>
      <c r="CE32" s="1579"/>
      <c r="CF32" s="1579"/>
      <c r="CG32" s="1579"/>
      <c r="CH32" s="1579"/>
      <c r="CI32" s="1579"/>
      <c r="CJ32" s="1579"/>
      <c r="CK32" s="1579"/>
      <c r="CL32" s="1579"/>
      <c r="CM32" s="294"/>
      <c r="CN32" s="294"/>
      <c r="CO32" s="294"/>
      <c r="CP32" s="294"/>
      <c r="CQ32" s="294"/>
      <c r="CR32" s="294"/>
      <c r="CS32" s="294"/>
      <c r="CT32" s="294"/>
      <c r="CU32" s="294"/>
      <c r="CV32" s="294"/>
      <c r="CW32" s="294"/>
      <c r="CZ32" s="1382"/>
      <c r="DA32" s="1382"/>
      <c r="DB32" s="1382"/>
      <c r="DK32" s="1382"/>
      <c r="DL32" s="1382"/>
      <c r="DM32" s="1382"/>
      <c r="DV32" s="1382"/>
      <c r="DW32" s="1382"/>
      <c r="DX32" s="1382"/>
    </row>
    <row r="33" spans="1:128" s="541" customFormat="1" ht="15" customHeight="1">
      <c r="A33" s="45" t="s">
        <v>93</v>
      </c>
      <c r="B33" s="541" t="s">
        <v>94</v>
      </c>
      <c r="E33" s="1382"/>
      <c r="F33" s="1382"/>
      <c r="G33" s="1382"/>
      <c r="P33" s="1382"/>
      <c r="Q33" s="1382"/>
      <c r="R33" s="1382"/>
      <c r="AA33" s="1382"/>
      <c r="AB33" s="1382"/>
      <c r="AC33" s="1382"/>
      <c r="AL33" s="1382"/>
      <c r="AM33" s="1382"/>
      <c r="AN33" s="1382"/>
      <c r="AU33" s="1275"/>
      <c r="AV33" s="1275"/>
      <c r="AW33" s="1382"/>
      <c r="AX33" s="1382"/>
      <c r="AY33" s="1382"/>
      <c r="AZ33" s="1275"/>
      <c r="BA33" s="1275"/>
      <c r="BB33" s="1275"/>
      <c r="BC33" s="1275"/>
      <c r="BD33" s="1275"/>
      <c r="BE33" s="1275"/>
      <c r="BF33" s="1275"/>
      <c r="BG33" s="1275"/>
      <c r="BH33" s="1382"/>
      <c r="BI33" s="1382"/>
      <c r="BJ33" s="1382"/>
      <c r="BK33" s="1275"/>
      <c r="BL33" s="1275"/>
      <c r="BM33" s="1275"/>
      <c r="BN33" s="1275"/>
      <c r="BO33" s="1275"/>
      <c r="BP33" s="1275"/>
      <c r="BQ33" s="1579"/>
      <c r="BR33" s="1579"/>
      <c r="BS33" s="1579"/>
      <c r="BT33" s="1579"/>
      <c r="BU33" s="1579"/>
      <c r="BV33" s="1579"/>
      <c r="BW33" s="1579"/>
      <c r="BX33" s="1579"/>
      <c r="BY33" s="1579"/>
      <c r="BZ33" s="1579"/>
      <c r="CA33" s="1579"/>
      <c r="CB33" s="1579"/>
      <c r="CC33" s="1579"/>
      <c r="CD33" s="1579"/>
      <c r="CE33" s="1579"/>
      <c r="CF33" s="1579"/>
      <c r="CG33" s="1579"/>
      <c r="CH33" s="1579"/>
      <c r="CI33" s="1579"/>
      <c r="CJ33" s="1579"/>
      <c r="CK33" s="1579"/>
      <c r="CL33" s="1579"/>
      <c r="CM33" s="294"/>
      <c r="CN33" s="294"/>
      <c r="CO33" s="294"/>
      <c r="CP33" s="294"/>
      <c r="CQ33" s="294"/>
      <c r="CR33" s="294"/>
      <c r="CS33" s="294"/>
      <c r="CT33" s="294"/>
      <c r="CU33" s="294"/>
      <c r="CV33" s="294"/>
      <c r="CW33" s="294"/>
      <c r="CZ33" s="1382"/>
      <c r="DA33" s="1382"/>
      <c r="DB33" s="1382"/>
      <c r="DK33" s="1382"/>
      <c r="DL33" s="1382"/>
      <c r="DM33" s="1382"/>
      <c r="DV33" s="1382"/>
      <c r="DW33" s="1382"/>
      <c r="DX33" s="1382"/>
    </row>
    <row r="34" spans="1:128" s="541" customFormat="1" ht="15" customHeight="1">
      <c r="A34" s="45" t="s">
        <v>95</v>
      </c>
      <c r="B34" s="541" t="s">
        <v>96</v>
      </c>
      <c r="E34" s="1382"/>
      <c r="F34" s="1382"/>
      <c r="G34" s="1382"/>
      <c r="P34" s="1382"/>
      <c r="Q34" s="1382"/>
      <c r="R34" s="1382"/>
      <c r="AA34" s="1382"/>
      <c r="AB34" s="1382"/>
      <c r="AC34" s="1382"/>
      <c r="AL34" s="1382"/>
      <c r="AM34" s="1382"/>
      <c r="AN34" s="1382"/>
      <c r="AU34" s="1275"/>
      <c r="AV34" s="1275"/>
      <c r="AW34" s="1382"/>
      <c r="AX34" s="1382"/>
      <c r="AY34" s="1382"/>
      <c r="AZ34" s="1275"/>
      <c r="BA34" s="1275"/>
      <c r="BB34" s="1275"/>
      <c r="BC34" s="1275"/>
      <c r="BD34" s="1275"/>
      <c r="BE34" s="1275"/>
      <c r="BF34" s="1275"/>
      <c r="BG34" s="1275"/>
      <c r="BH34" s="1382"/>
      <c r="BI34" s="1382"/>
      <c r="BJ34" s="1382"/>
      <c r="BK34" s="1275"/>
      <c r="BL34" s="1275"/>
      <c r="BM34" s="1275"/>
      <c r="BN34" s="1275"/>
      <c r="BO34" s="1275"/>
      <c r="BP34" s="1275"/>
      <c r="BQ34" s="1579"/>
      <c r="BR34" s="1579"/>
      <c r="BS34" s="1579"/>
      <c r="BT34" s="1579"/>
      <c r="BU34" s="1579"/>
      <c r="BV34" s="1579"/>
      <c r="BW34" s="1579"/>
      <c r="BX34" s="1579"/>
      <c r="BY34" s="1579"/>
      <c r="BZ34" s="1579"/>
      <c r="CA34" s="1579"/>
      <c r="CB34" s="1579"/>
      <c r="CC34" s="1579"/>
      <c r="CD34" s="1579"/>
      <c r="CE34" s="1579"/>
      <c r="CF34" s="1579"/>
      <c r="CG34" s="1579"/>
      <c r="CH34" s="1579"/>
      <c r="CI34" s="1579"/>
      <c r="CJ34" s="1579"/>
      <c r="CK34" s="1579"/>
      <c r="CL34" s="1579"/>
      <c r="CM34" s="294"/>
      <c r="CN34" s="294"/>
      <c r="CO34" s="294"/>
      <c r="CP34" s="294"/>
      <c r="CQ34" s="294"/>
      <c r="CR34" s="294"/>
      <c r="CS34" s="294"/>
      <c r="CT34" s="294"/>
      <c r="CU34" s="294"/>
      <c r="CV34" s="294"/>
      <c r="CW34" s="294"/>
      <c r="CZ34" s="1382"/>
      <c r="DA34" s="1382"/>
      <c r="DB34" s="1382"/>
      <c r="DK34" s="1382"/>
      <c r="DL34" s="1382"/>
      <c r="DM34" s="1382"/>
      <c r="DV34" s="1382"/>
      <c r="DW34" s="1382"/>
      <c r="DX34" s="1382"/>
    </row>
    <row r="35" spans="1:128" s="541" customFormat="1" ht="32.25" customHeight="1">
      <c r="A35" s="45" t="s">
        <v>97</v>
      </c>
      <c r="B35" s="1842" t="s">
        <v>98</v>
      </c>
      <c r="C35" s="1842"/>
      <c r="D35" s="1842"/>
      <c r="E35" s="1842"/>
      <c r="F35" s="1842"/>
      <c r="G35" s="1842"/>
      <c r="H35" s="1842"/>
      <c r="I35" s="1842"/>
      <c r="J35" s="1842"/>
      <c r="K35" s="1842"/>
      <c r="L35" s="1842"/>
      <c r="M35" s="1842"/>
      <c r="N35" s="1843"/>
      <c r="O35" s="1843"/>
      <c r="P35" s="1843"/>
      <c r="Q35" s="1843"/>
      <c r="R35" s="1843"/>
      <c r="S35" s="1843"/>
      <c r="T35" s="1843"/>
      <c r="U35" s="1843"/>
      <c r="V35" s="1843"/>
      <c r="W35" s="1843"/>
      <c r="X35" s="1843"/>
      <c r="Y35" s="1843"/>
      <c r="Z35" s="1843"/>
      <c r="AA35" s="1843"/>
      <c r="AB35" s="1843"/>
      <c r="AC35" s="1843"/>
      <c r="AD35" s="1843"/>
      <c r="AE35" s="1843"/>
      <c r="AF35" s="1843"/>
      <c r="AG35" s="1843"/>
      <c r="AH35" s="1843"/>
      <c r="AI35" s="1843"/>
      <c r="AJ35" s="1843"/>
      <c r="AK35" s="1843"/>
      <c r="AL35" s="1843"/>
      <c r="AM35" s="1843"/>
      <c r="AN35" s="1843"/>
      <c r="AO35" s="1843"/>
      <c r="AP35" s="1843"/>
      <c r="AQ35" s="1843"/>
      <c r="AR35" s="1843"/>
      <c r="AS35" s="1843"/>
      <c r="AT35" s="1843"/>
      <c r="AU35" s="1843"/>
      <c r="AV35" s="1843"/>
      <c r="AW35" s="1843"/>
      <c r="AX35" s="1843"/>
      <c r="AY35" s="1843"/>
      <c r="AZ35" s="1843"/>
      <c r="BA35" s="1843"/>
      <c r="BB35" s="1843"/>
      <c r="BC35" s="1843"/>
      <c r="BD35" s="1843"/>
      <c r="BE35" s="1843"/>
      <c r="BF35" s="1843"/>
      <c r="BG35" s="1843"/>
      <c r="BH35" s="1843"/>
      <c r="BI35" s="1843"/>
      <c r="BJ35" s="1843"/>
      <c r="BK35" s="1843"/>
      <c r="BL35" s="1843"/>
      <c r="BM35" s="1843"/>
      <c r="BN35" s="1843"/>
      <c r="BO35" s="1843"/>
      <c r="BP35" s="1843"/>
      <c r="BQ35" s="1843"/>
      <c r="BR35" s="1843"/>
      <c r="BS35" s="1843"/>
      <c r="BT35" s="1843"/>
      <c r="BU35" s="1843"/>
      <c r="BV35" s="1843"/>
      <c r="BW35" s="1843"/>
      <c r="BX35" s="1843"/>
      <c r="BY35" s="1843"/>
      <c r="BZ35" s="1843"/>
      <c r="CA35" s="1843"/>
      <c r="CB35" s="1843"/>
      <c r="CC35" s="1843"/>
      <c r="CD35" s="1843"/>
      <c r="CE35" s="1843"/>
      <c r="CF35" s="1843"/>
      <c r="CG35" s="1843"/>
      <c r="CH35" s="1843"/>
      <c r="CI35" s="1843"/>
      <c r="CJ35" s="1843"/>
      <c r="CK35" s="1843"/>
      <c r="CL35" s="1843"/>
      <c r="CM35" s="1843"/>
      <c r="CN35" s="1843"/>
      <c r="CO35" s="1843"/>
      <c r="CP35" s="1843"/>
      <c r="CQ35" s="1843"/>
      <c r="CR35" s="1843"/>
      <c r="CS35" s="1843"/>
      <c r="CT35" s="1843"/>
      <c r="CU35" s="1843"/>
      <c r="CV35" s="1843"/>
      <c r="CW35" s="1843"/>
      <c r="CX35" s="536"/>
      <c r="CY35" s="536"/>
      <c r="CZ35" s="1381"/>
      <c r="DA35" s="1381"/>
      <c r="DB35" s="1381"/>
      <c r="DC35" s="536"/>
      <c r="DD35" s="536"/>
      <c r="DE35" s="536"/>
      <c r="DF35" s="536"/>
      <c r="DG35" s="536"/>
      <c r="DH35" s="536"/>
      <c r="DI35" s="536"/>
      <c r="DJ35" s="536"/>
      <c r="DK35" s="1381"/>
      <c r="DL35" s="1381"/>
      <c r="DM35" s="1381"/>
      <c r="DN35" s="536"/>
      <c r="DO35" s="536"/>
      <c r="DP35" s="536"/>
      <c r="DQ35" s="536"/>
      <c r="DR35" s="536"/>
      <c r="DS35" s="536"/>
      <c r="DV35" s="1382"/>
      <c r="DW35" s="1382"/>
      <c r="DX35" s="1382"/>
    </row>
    <row r="36" spans="1:128" s="541" customFormat="1" ht="26.25" customHeight="1">
      <c r="E36" s="1382"/>
      <c r="F36" s="1382"/>
      <c r="G36" s="1382"/>
      <c r="P36" s="1382"/>
      <c r="Q36" s="1382"/>
      <c r="R36" s="1382"/>
      <c r="AA36" s="1382"/>
      <c r="AB36" s="1382"/>
      <c r="AC36" s="1382"/>
      <c r="AL36" s="1382"/>
      <c r="AM36" s="1382"/>
      <c r="AN36" s="1382"/>
      <c r="AU36" s="1275"/>
      <c r="AV36" s="1275"/>
      <c r="AW36" s="1382"/>
      <c r="AX36" s="1382"/>
      <c r="AY36" s="1382"/>
      <c r="AZ36" s="1275"/>
      <c r="BA36" s="1275"/>
      <c r="BB36" s="1275"/>
      <c r="BC36" s="1275"/>
      <c r="BD36" s="1275"/>
      <c r="BE36" s="1275"/>
      <c r="BF36" s="1275"/>
      <c r="BG36" s="1275"/>
      <c r="BH36" s="1382"/>
      <c r="BI36" s="1382"/>
      <c r="BJ36" s="1382"/>
      <c r="BK36" s="1275"/>
      <c r="BL36" s="1275"/>
      <c r="BM36" s="1275"/>
      <c r="BN36" s="1275"/>
      <c r="BO36" s="1275"/>
      <c r="BP36" s="1275"/>
      <c r="BQ36" s="1579"/>
      <c r="BR36" s="1579"/>
      <c r="BS36" s="1579"/>
      <c r="BT36" s="1579"/>
      <c r="BU36" s="1579"/>
      <c r="BV36" s="1579"/>
      <c r="BW36" s="1579"/>
      <c r="BX36" s="1579"/>
      <c r="BY36" s="1579"/>
      <c r="BZ36" s="1579"/>
      <c r="CA36" s="1579"/>
      <c r="CB36" s="1579"/>
      <c r="CC36" s="1579"/>
      <c r="CD36" s="1579"/>
      <c r="CE36" s="1579"/>
      <c r="CF36" s="1579"/>
      <c r="CG36" s="1579"/>
      <c r="CH36" s="1579"/>
      <c r="CI36" s="1579"/>
      <c r="CJ36" s="1579"/>
      <c r="CK36" s="1579"/>
      <c r="CL36" s="1579"/>
      <c r="CM36" s="294"/>
      <c r="CN36" s="294"/>
      <c r="CO36" s="294"/>
      <c r="CP36" s="294"/>
      <c r="CQ36" s="294"/>
      <c r="CR36" s="294"/>
      <c r="CS36" s="294"/>
      <c r="CT36" s="294"/>
      <c r="CU36" s="294"/>
      <c r="CV36" s="294"/>
      <c r="CW36" s="294"/>
      <c r="CZ36" s="1382"/>
      <c r="DA36" s="1382"/>
      <c r="DB36" s="1382"/>
      <c r="DK36" s="1382"/>
      <c r="DL36" s="1382"/>
      <c r="DM36" s="1382"/>
      <c r="DV36" s="1382"/>
      <c r="DW36" s="1382"/>
      <c r="DX36" s="1382"/>
    </row>
  </sheetData>
  <mergeCells count="102">
    <mergeCell ref="EE5:EO5"/>
    <mergeCell ref="EP5:EZ5"/>
    <mergeCell ref="EE6:EE8"/>
    <mergeCell ref="EF6:EO6"/>
    <mergeCell ref="EP6:EP8"/>
    <mergeCell ref="EQ6:EZ6"/>
    <mergeCell ref="EF7:EF8"/>
    <mergeCell ref="EG7:EI7"/>
    <mergeCell ref="EJ7:EJ8"/>
    <mergeCell ref="EK7:EO7"/>
    <mergeCell ref="EQ7:EQ8"/>
    <mergeCell ref="ER7:ET7"/>
    <mergeCell ref="EU7:EU8"/>
    <mergeCell ref="EV7:EZ7"/>
    <mergeCell ref="DV7:DX7"/>
    <mergeCell ref="CY7:CY8"/>
    <mergeCell ref="DC7:DC8"/>
    <mergeCell ref="DD7:DH7"/>
    <mergeCell ref="DN7:DN8"/>
    <mergeCell ref="E7:G7"/>
    <mergeCell ref="P7:R7"/>
    <mergeCell ref="AA7:AC7"/>
    <mergeCell ref="AL7:AN7"/>
    <mergeCell ref="AW7:AY7"/>
    <mergeCell ref="O7:O8"/>
    <mergeCell ref="AO7:AO8"/>
    <mergeCell ref="AP7:AT7"/>
    <mergeCell ref="DO7:DS7"/>
    <mergeCell ref="DJ7:DJ8"/>
    <mergeCell ref="CX6:CX8"/>
    <mergeCell ref="CY6:DH6"/>
    <mergeCell ref="CZ7:DB7"/>
    <mergeCell ref="DK7:DM7"/>
    <mergeCell ref="A5:A8"/>
    <mergeCell ref="B5:B8"/>
    <mergeCell ref="N5:X5"/>
    <mergeCell ref="CM5:CW5"/>
    <mergeCell ref="S7:S8"/>
    <mergeCell ref="T7:X7"/>
    <mergeCell ref="CN7:CN8"/>
    <mergeCell ref="CR7:CR8"/>
    <mergeCell ref="O6:X6"/>
    <mergeCell ref="CM6:CM8"/>
    <mergeCell ref="CN6:CW6"/>
    <mergeCell ref="AJ5:AT5"/>
    <mergeCell ref="AJ6:AJ8"/>
    <mergeCell ref="AK6:AT6"/>
    <mergeCell ref="AK7:AK8"/>
    <mergeCell ref="CO7:CQ7"/>
    <mergeCell ref="BA7:BE7"/>
    <mergeCell ref="BG7:BG8"/>
    <mergeCell ref="BK7:BK8"/>
    <mergeCell ref="BL7:BP7"/>
    <mergeCell ref="BH7:BJ7"/>
    <mergeCell ref="B31:CW31"/>
    <mergeCell ref="B35:CW35"/>
    <mergeCell ref="C5:M5"/>
    <mergeCell ref="C6:C8"/>
    <mergeCell ref="D6:M6"/>
    <mergeCell ref="D7:D8"/>
    <mergeCell ref="H7:H8"/>
    <mergeCell ref="I7:M7"/>
    <mergeCell ref="Y5:AI5"/>
    <mergeCell ref="CS7:CW7"/>
    <mergeCell ref="Y6:Y8"/>
    <mergeCell ref="Z6:AI6"/>
    <mergeCell ref="Z7:Z8"/>
    <mergeCell ref="AD7:AD8"/>
    <mergeCell ref="AE7:AI7"/>
    <mergeCell ref="N6:N8"/>
    <mergeCell ref="AU5:BE5"/>
    <mergeCell ref="BF5:BP5"/>
    <mergeCell ref="AU6:AU8"/>
    <mergeCell ref="AV6:BE6"/>
    <mergeCell ref="BF6:BF8"/>
    <mergeCell ref="BG6:BP6"/>
    <mergeCell ref="AV7:AV8"/>
    <mergeCell ref="AZ7:AZ8"/>
    <mergeCell ref="DT5:ED5"/>
    <mergeCell ref="DT6:DT8"/>
    <mergeCell ref="DU6:ED6"/>
    <mergeCell ref="DU7:DU8"/>
    <mergeCell ref="DY7:DY8"/>
    <mergeCell ref="DZ7:ED7"/>
    <mergeCell ref="BQ5:CA5"/>
    <mergeCell ref="BQ6:BQ8"/>
    <mergeCell ref="BR6:CA6"/>
    <mergeCell ref="BR7:BR8"/>
    <mergeCell ref="BS7:BU7"/>
    <mergeCell ref="BV7:BV8"/>
    <mergeCell ref="BW7:CA7"/>
    <mergeCell ref="CB5:CL5"/>
    <mergeCell ref="CB6:CB8"/>
    <mergeCell ref="CC6:CL6"/>
    <mergeCell ref="CC7:CC8"/>
    <mergeCell ref="CD7:CF7"/>
    <mergeCell ref="CG7:CG8"/>
    <mergeCell ref="CH7:CL7"/>
    <mergeCell ref="DI5:DS5"/>
    <mergeCell ref="DI6:DI8"/>
    <mergeCell ref="DJ6:DS6"/>
    <mergeCell ref="CX5:DH5"/>
  </mergeCells>
  <pageMargins left="0.78740157480314965" right="0.23622047244094491" top="0.78740157480314965" bottom="0.39370078740157483" header="0.19685039370078741" footer="0.19685039370078741"/>
  <pageSetup paperSize="9" scale="45" orientation="landscape" r:id="rId1"/>
  <headerFooter alignWithMargins="0"/>
  <rowBreaks count="1" manualBreakCount="1">
    <brk id="35" max="33" man="1"/>
  </rowBreaks>
  <colBreaks count="3" manualBreakCount="3">
    <brk id="57" max="27" man="1"/>
    <brk id="90" max="27" man="1"/>
    <brk id="123" max="27" man="1"/>
  </colBreaks>
  <legacy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 tint="0.39997558519241921"/>
  </sheetPr>
  <dimension ref="A1:Q120"/>
  <sheetViews>
    <sheetView view="pageBreakPreview" zoomScaleNormal="100" workbookViewId="0">
      <pane xSplit="2" ySplit="5" topLeftCell="C6" activePane="bottomRight" state="frozen"/>
      <selection activeCell="Q7" sqref="Q7"/>
      <selection pane="topRight" activeCell="Q7" sqref="Q7"/>
      <selection pane="bottomLeft" activeCell="Q7" sqref="Q7"/>
      <selection pane="bottomRight" activeCell="R2" sqref="R2"/>
    </sheetView>
  </sheetViews>
  <sheetFormatPr defaultColWidth="4.28515625" defaultRowHeight="15" outlineLevelRow="1"/>
  <cols>
    <col min="1" max="1" width="5.42578125" style="1" customWidth="1"/>
    <col min="2" max="2" width="42.28515625" style="1" customWidth="1"/>
    <col min="3" max="3" width="12" style="21" customWidth="1"/>
    <col min="4" max="4" width="12.5703125" style="1" hidden="1" customWidth="1"/>
    <col min="5" max="5" width="11.5703125" style="1" hidden="1" customWidth="1"/>
    <col min="6" max="10" width="12.5703125" style="1" customWidth="1"/>
    <col min="11" max="11" width="15.7109375" style="1" customWidth="1"/>
    <col min="12" max="12" width="12.5703125" style="1" customWidth="1"/>
    <col min="13" max="13" width="11.42578125" style="1" customWidth="1"/>
    <col min="14" max="14" width="11" style="1" customWidth="1"/>
    <col min="15" max="15" width="12.7109375" style="1" customWidth="1"/>
    <col min="16" max="16" width="10.85546875" style="1" customWidth="1"/>
    <col min="17" max="17" width="10.5703125" style="1" customWidth="1"/>
    <col min="18" max="16384" width="4.28515625" style="1"/>
  </cols>
  <sheetData>
    <row r="1" spans="1:17" s="5" customFormat="1" ht="15.75" customHeight="1">
      <c r="A1" s="74" t="s">
        <v>1860</v>
      </c>
      <c r="C1" s="20"/>
      <c r="N1" s="6" t="s">
        <v>943</v>
      </c>
      <c r="Q1" s="6" t="s">
        <v>943</v>
      </c>
    </row>
    <row r="2" spans="1:17" s="5" customFormat="1" ht="12.75" customHeight="1">
      <c r="A2" s="105" t="str">
        <f>'3.1'!$A$2</f>
        <v>ПКГО - Комбинированная выработка КТЭЦ</v>
      </c>
      <c r="C2" s="20"/>
    </row>
    <row r="3" spans="1:17" ht="37.5" customHeight="1">
      <c r="A3" s="1964" t="s">
        <v>1179</v>
      </c>
      <c r="B3" s="1964"/>
      <c r="C3" s="1964"/>
      <c r="D3" s="1964"/>
      <c r="E3" s="1964"/>
      <c r="F3" s="1964"/>
      <c r="G3" s="1964"/>
      <c r="H3" s="1964"/>
      <c r="I3" s="1964"/>
      <c r="J3" s="1964"/>
      <c r="K3" s="1964"/>
      <c r="L3" s="1964"/>
      <c r="M3" s="1964"/>
      <c r="N3" s="1964"/>
    </row>
    <row r="4" spans="1:17" customFormat="1" ht="12.75" customHeight="1"/>
    <row r="5" spans="1:17" s="3" customFormat="1" ht="63" customHeight="1">
      <c r="A5" s="913" t="s">
        <v>1527</v>
      </c>
      <c r="B5" s="913" t="s">
        <v>1</v>
      </c>
      <c r="C5" s="913" t="s">
        <v>2</v>
      </c>
      <c r="D5" s="913" t="s">
        <v>1129</v>
      </c>
      <c r="E5" s="913" t="s">
        <v>1130</v>
      </c>
      <c r="F5" s="913" t="s">
        <v>1131</v>
      </c>
      <c r="G5" s="913" t="s">
        <v>1695</v>
      </c>
      <c r="H5" s="1284" t="s">
        <v>1696</v>
      </c>
      <c r="I5" s="1576" t="s">
        <v>1828</v>
      </c>
      <c r="J5" s="1613" t="s">
        <v>1842</v>
      </c>
      <c r="K5" s="1631" t="s">
        <v>1861</v>
      </c>
      <c r="L5" s="1631" t="s">
        <v>1862</v>
      </c>
      <c r="M5" s="1631" t="s">
        <v>763</v>
      </c>
      <c r="N5" s="1631" t="s">
        <v>764</v>
      </c>
      <c r="O5" s="1631" t="s">
        <v>1863</v>
      </c>
      <c r="P5" s="1631" t="s">
        <v>763</v>
      </c>
      <c r="Q5" s="1631" t="s">
        <v>764</v>
      </c>
    </row>
    <row r="6" spans="1:17" s="2" customFormat="1">
      <c r="A6" s="13">
        <v>1</v>
      </c>
      <c r="B6" s="13">
        <v>2</v>
      </c>
      <c r="C6" s="13">
        <v>3</v>
      </c>
      <c r="D6" s="13">
        <v>4</v>
      </c>
      <c r="E6" s="13">
        <v>5</v>
      </c>
      <c r="F6" s="13">
        <v>4</v>
      </c>
      <c r="G6" s="13">
        <v>5</v>
      </c>
      <c r="H6" s="13">
        <v>6</v>
      </c>
      <c r="I6" s="13">
        <v>7</v>
      </c>
      <c r="J6" s="13">
        <v>8</v>
      </c>
      <c r="K6" s="13">
        <v>9</v>
      </c>
      <c r="L6" s="13">
        <v>10</v>
      </c>
      <c r="M6" s="13">
        <v>11</v>
      </c>
      <c r="N6" s="13">
        <v>12</v>
      </c>
      <c r="O6" s="13">
        <v>13</v>
      </c>
      <c r="P6" s="13">
        <v>14</v>
      </c>
      <c r="Q6" s="13">
        <v>15</v>
      </c>
    </row>
    <row r="7" spans="1:17" s="1001" customFormat="1" ht="30" customHeight="1">
      <c r="A7" s="82" t="s">
        <v>4</v>
      </c>
      <c r="B7" s="80" t="s">
        <v>486</v>
      </c>
      <c r="C7" s="1002" t="s">
        <v>240</v>
      </c>
      <c r="D7" s="1000">
        <v>866147</v>
      </c>
      <c r="E7" s="1000">
        <f t="shared" ref="E7:N7" si="0">E8+E9+E10+E11+E17+E18+E19+E20</f>
        <v>1301729</v>
      </c>
      <c r="F7" s="1000">
        <v>948511</v>
      </c>
      <c r="G7" s="1000">
        <v>2086735</v>
      </c>
      <c r="H7" s="1000">
        <v>1840737</v>
      </c>
      <c r="I7" s="1000">
        <v>2128777</v>
      </c>
      <c r="J7" s="1000">
        <v>0</v>
      </c>
      <c r="K7" s="1000">
        <v>2168639</v>
      </c>
      <c r="L7" s="1000">
        <v>2191887</v>
      </c>
      <c r="M7" s="1000">
        <v>2191887</v>
      </c>
      <c r="N7" s="1000">
        <v>2192043</v>
      </c>
      <c r="O7" s="1000">
        <v>2232760</v>
      </c>
      <c r="P7" s="1000">
        <v>2232760</v>
      </c>
      <c r="Q7" s="1000">
        <v>2232788</v>
      </c>
    </row>
    <row r="8" spans="1:17" s="36" customFormat="1" ht="15" customHeight="1" outlineLevel="1">
      <c r="A8" s="60"/>
      <c r="B8" s="68" t="s">
        <v>487</v>
      </c>
      <c r="C8" s="13" t="s">
        <v>240</v>
      </c>
      <c r="D8" s="241"/>
      <c r="E8" s="241">
        <v>703326</v>
      </c>
      <c r="F8" s="241"/>
      <c r="G8" s="241">
        <v>1364157</v>
      </c>
      <c r="H8" s="241"/>
      <c r="I8" s="241">
        <v>1396362</v>
      </c>
      <c r="J8" s="241"/>
      <c r="K8" s="241">
        <v>1415351</v>
      </c>
      <c r="L8" s="241">
        <v>1409253</v>
      </c>
      <c r="M8" s="241">
        <v>1409253</v>
      </c>
      <c r="N8" s="241">
        <v>1409219</v>
      </c>
      <c r="O8" s="241">
        <v>1410032</v>
      </c>
      <c r="P8" s="241">
        <v>1410032</v>
      </c>
      <c r="Q8" s="241">
        <v>1410027</v>
      </c>
    </row>
    <row r="9" spans="1:17" s="36" customFormat="1" ht="15" customHeight="1" outlineLevel="1">
      <c r="A9" s="60"/>
      <c r="B9" s="68" t="s">
        <v>488</v>
      </c>
      <c r="C9" s="13" t="s">
        <v>240</v>
      </c>
      <c r="D9" s="241"/>
      <c r="E9" s="241">
        <v>190892</v>
      </c>
      <c r="F9" s="241"/>
      <c r="G9" s="241">
        <v>238450</v>
      </c>
      <c r="H9" s="241"/>
      <c r="I9" s="241">
        <v>245210</v>
      </c>
      <c r="J9" s="241"/>
      <c r="K9" s="241">
        <v>258543</v>
      </c>
      <c r="L9" s="241">
        <v>263996</v>
      </c>
      <c r="M9" s="241">
        <v>263996</v>
      </c>
      <c r="N9" s="241">
        <v>263990</v>
      </c>
      <c r="O9" s="241">
        <v>266031</v>
      </c>
      <c r="P9" s="241">
        <v>266031</v>
      </c>
      <c r="Q9" s="241">
        <v>266030</v>
      </c>
    </row>
    <row r="10" spans="1:17" s="36" customFormat="1" ht="15" customHeight="1" outlineLevel="1">
      <c r="A10" s="60"/>
      <c r="B10" s="68" t="s">
        <v>489</v>
      </c>
      <c r="C10" s="13" t="s">
        <v>240</v>
      </c>
      <c r="D10" s="241"/>
      <c r="E10" s="241">
        <v>20071</v>
      </c>
      <c r="F10" s="241"/>
      <c r="G10" s="241">
        <v>23139</v>
      </c>
      <c r="H10" s="241"/>
      <c r="I10" s="241">
        <v>23139</v>
      </c>
      <c r="J10" s="241"/>
      <c r="K10" s="241">
        <v>23023</v>
      </c>
      <c r="L10" s="241">
        <v>22902</v>
      </c>
      <c r="M10" s="241">
        <v>22902</v>
      </c>
      <c r="N10" s="241">
        <v>22901</v>
      </c>
      <c r="O10" s="241">
        <v>22697</v>
      </c>
      <c r="P10" s="241">
        <v>22697</v>
      </c>
      <c r="Q10" s="241">
        <v>22697</v>
      </c>
    </row>
    <row r="11" spans="1:17" s="36" customFormat="1" ht="15" customHeight="1" outlineLevel="1">
      <c r="A11" s="60"/>
      <c r="B11" s="68" t="s">
        <v>490</v>
      </c>
      <c r="C11" s="13" t="s">
        <v>240</v>
      </c>
      <c r="D11" s="241"/>
      <c r="E11" s="241">
        <f t="shared" ref="E11" si="1">E12+E13+E14+E15+E16</f>
        <v>378881</v>
      </c>
      <c r="F11" s="241"/>
      <c r="G11" s="241">
        <v>450640</v>
      </c>
      <c r="H11" s="241">
        <v>0</v>
      </c>
      <c r="I11" s="241">
        <v>452964</v>
      </c>
      <c r="J11" s="241">
        <v>0</v>
      </c>
      <c r="K11" s="241">
        <v>460271</v>
      </c>
      <c r="L11" s="241">
        <v>484106</v>
      </c>
      <c r="M11" s="241">
        <v>484106</v>
      </c>
      <c r="N11" s="241">
        <v>484304</v>
      </c>
      <c r="O11" s="241">
        <v>522473</v>
      </c>
      <c r="P11" s="241">
        <v>522473</v>
      </c>
      <c r="Q11" s="241">
        <v>522507</v>
      </c>
    </row>
    <row r="12" spans="1:17" s="36" customFormat="1" ht="15" customHeight="1" outlineLevel="1">
      <c r="A12" s="60"/>
      <c r="B12" s="68" t="s">
        <v>491</v>
      </c>
      <c r="C12" s="13" t="s">
        <v>240</v>
      </c>
      <c r="D12" s="241"/>
      <c r="E12" s="241">
        <v>102053</v>
      </c>
      <c r="F12" s="241"/>
      <c r="G12" s="241">
        <v>117651</v>
      </c>
      <c r="H12" s="241"/>
      <c r="I12" s="241">
        <v>117651</v>
      </c>
      <c r="J12" s="241"/>
      <c r="K12" s="241">
        <v>117065</v>
      </c>
      <c r="L12" s="241">
        <v>116447</v>
      </c>
      <c r="M12" s="241">
        <v>116447</v>
      </c>
      <c r="N12" s="241">
        <v>116444</v>
      </c>
      <c r="O12" s="241">
        <v>147029</v>
      </c>
      <c r="P12" s="241">
        <v>147029</v>
      </c>
      <c r="Q12" s="241">
        <v>147029</v>
      </c>
    </row>
    <row r="13" spans="1:17" s="36" customFormat="1" ht="15" customHeight="1" outlineLevel="1">
      <c r="A13" s="60"/>
      <c r="B13" s="70" t="s">
        <v>492</v>
      </c>
      <c r="C13" s="13" t="s">
        <v>240</v>
      </c>
      <c r="D13" s="241"/>
      <c r="E13" s="241">
        <v>23461</v>
      </c>
      <c r="F13" s="241"/>
      <c r="G13" s="241">
        <v>33806</v>
      </c>
      <c r="H13" s="241"/>
      <c r="I13" s="241">
        <v>34499</v>
      </c>
      <c r="J13" s="241"/>
      <c r="K13" s="241">
        <v>42541</v>
      </c>
      <c r="L13" s="241">
        <v>55851</v>
      </c>
      <c r="M13" s="241">
        <v>55851</v>
      </c>
      <c r="N13" s="241">
        <v>55849</v>
      </c>
      <c r="O13" s="241">
        <v>57942</v>
      </c>
      <c r="P13" s="241">
        <v>57942</v>
      </c>
      <c r="Q13" s="241">
        <v>57941</v>
      </c>
    </row>
    <row r="14" spans="1:17" s="36" customFormat="1" ht="15" customHeight="1" outlineLevel="1">
      <c r="A14" s="60"/>
      <c r="B14" s="70" t="s">
        <v>493</v>
      </c>
      <c r="C14" s="13" t="s">
        <v>240</v>
      </c>
      <c r="D14" s="241"/>
      <c r="E14" s="241">
        <v>4442</v>
      </c>
      <c r="F14" s="241"/>
      <c r="G14" s="241">
        <v>5260</v>
      </c>
      <c r="H14" s="241"/>
      <c r="I14" s="241">
        <v>5224</v>
      </c>
      <c r="J14" s="241"/>
      <c r="K14" s="241">
        <v>5434</v>
      </c>
      <c r="L14" s="241">
        <v>15434</v>
      </c>
      <c r="M14" s="241">
        <v>15434</v>
      </c>
      <c r="N14" s="241">
        <v>15644</v>
      </c>
      <c r="O14" s="241">
        <v>23775</v>
      </c>
      <c r="P14" s="241">
        <v>23775</v>
      </c>
      <c r="Q14" s="241">
        <v>23811</v>
      </c>
    </row>
    <row r="15" spans="1:17" s="36" customFormat="1" ht="15" customHeight="1" outlineLevel="1">
      <c r="A15" s="60"/>
      <c r="B15" s="70" t="s">
        <v>494</v>
      </c>
      <c r="C15" s="13" t="s">
        <v>240</v>
      </c>
      <c r="D15" s="241"/>
      <c r="E15" s="241">
        <v>1290</v>
      </c>
      <c r="F15" s="241"/>
      <c r="G15" s="241">
        <v>1608</v>
      </c>
      <c r="H15" s="241"/>
      <c r="I15" s="241">
        <v>2136</v>
      </c>
      <c r="J15" s="241"/>
      <c r="K15" s="241">
        <v>2999</v>
      </c>
      <c r="L15" s="241">
        <v>2983</v>
      </c>
      <c r="M15" s="241">
        <v>2983</v>
      </c>
      <c r="N15" s="241">
        <v>2983</v>
      </c>
      <c r="O15" s="241">
        <v>2957</v>
      </c>
      <c r="P15" s="241">
        <v>2957</v>
      </c>
      <c r="Q15" s="241">
        <v>2957</v>
      </c>
    </row>
    <row r="16" spans="1:17" s="36" customFormat="1" ht="15" customHeight="1" outlineLevel="1">
      <c r="A16" s="60"/>
      <c r="B16" s="70" t="s">
        <v>495</v>
      </c>
      <c r="C16" s="13" t="s">
        <v>240</v>
      </c>
      <c r="D16" s="241"/>
      <c r="E16" s="241">
        <v>247635</v>
      </c>
      <c r="F16" s="241"/>
      <c r="G16" s="241">
        <v>292315</v>
      </c>
      <c r="H16" s="241"/>
      <c r="I16" s="241">
        <v>293454</v>
      </c>
      <c r="J16" s="241"/>
      <c r="K16" s="241">
        <v>292232</v>
      </c>
      <c r="L16" s="241">
        <v>293391</v>
      </c>
      <c r="M16" s="241">
        <v>293391</v>
      </c>
      <c r="N16" s="241">
        <v>293384</v>
      </c>
      <c r="O16" s="241">
        <v>290770</v>
      </c>
      <c r="P16" s="241">
        <v>290770</v>
      </c>
      <c r="Q16" s="241">
        <v>290769</v>
      </c>
    </row>
    <row r="17" spans="1:17" s="36" customFormat="1" ht="15" customHeight="1" outlineLevel="1">
      <c r="A17" s="60"/>
      <c r="B17" s="70" t="s">
        <v>496</v>
      </c>
      <c r="C17" s="13" t="s">
        <v>240</v>
      </c>
      <c r="D17" s="241"/>
      <c r="E17" s="241">
        <v>1798</v>
      </c>
      <c r="F17" s="241"/>
      <c r="G17" s="241">
        <v>2072</v>
      </c>
      <c r="H17" s="241"/>
      <c r="I17" s="241">
        <v>2046</v>
      </c>
      <c r="J17" s="241"/>
      <c r="K17" s="241">
        <v>2033</v>
      </c>
      <c r="L17" s="241">
        <v>2022</v>
      </c>
      <c r="M17" s="241">
        <v>2022</v>
      </c>
      <c r="N17" s="241">
        <v>2021</v>
      </c>
      <c r="O17" s="241">
        <v>2004</v>
      </c>
      <c r="P17" s="241">
        <v>2004</v>
      </c>
      <c r="Q17" s="241">
        <v>2004</v>
      </c>
    </row>
    <row r="18" spans="1:17" s="36" customFormat="1" ht="15" customHeight="1" outlineLevel="1">
      <c r="A18" s="60"/>
      <c r="B18" s="70" t="s">
        <v>497</v>
      </c>
      <c r="C18" s="13" t="s">
        <v>240</v>
      </c>
      <c r="D18" s="241"/>
      <c r="E18" s="241">
        <v>5</v>
      </c>
      <c r="F18" s="241"/>
      <c r="G18" s="241">
        <v>11</v>
      </c>
      <c r="H18" s="241"/>
      <c r="I18" s="241">
        <v>56</v>
      </c>
      <c r="J18" s="241"/>
      <c r="K18" s="241">
        <v>168</v>
      </c>
      <c r="L18" s="241">
        <v>166</v>
      </c>
      <c r="M18" s="241">
        <v>166</v>
      </c>
      <c r="N18" s="241">
        <v>166</v>
      </c>
      <c r="O18" s="241">
        <v>165</v>
      </c>
      <c r="P18" s="241">
        <v>165</v>
      </c>
      <c r="Q18" s="241">
        <v>165</v>
      </c>
    </row>
    <row r="19" spans="1:17" s="36" customFormat="1" ht="15" customHeight="1" outlineLevel="1">
      <c r="A19" s="60"/>
      <c r="B19" s="68" t="s">
        <v>498</v>
      </c>
      <c r="C19" s="13" t="s">
        <v>240</v>
      </c>
      <c r="D19" s="241"/>
      <c r="E19" s="241">
        <v>946</v>
      </c>
      <c r="F19" s="241"/>
      <c r="G19" s="241">
        <v>1271</v>
      </c>
      <c r="H19" s="241"/>
      <c r="I19" s="241">
        <v>1450</v>
      </c>
      <c r="J19" s="241"/>
      <c r="K19" s="241">
        <v>1633</v>
      </c>
      <c r="L19" s="241">
        <v>1623</v>
      </c>
      <c r="M19" s="241">
        <v>1623</v>
      </c>
      <c r="N19" s="241">
        <v>1623</v>
      </c>
      <c r="O19" s="241">
        <v>1609</v>
      </c>
      <c r="P19" s="241">
        <v>1609</v>
      </c>
      <c r="Q19" s="241">
        <v>1609</v>
      </c>
    </row>
    <row r="20" spans="1:17" s="36" customFormat="1" ht="15" customHeight="1" outlineLevel="1">
      <c r="A20" s="60"/>
      <c r="B20" s="68" t="s">
        <v>499</v>
      </c>
      <c r="C20" s="13" t="s">
        <v>240</v>
      </c>
      <c r="D20" s="241"/>
      <c r="E20" s="241">
        <v>5810</v>
      </c>
      <c r="F20" s="241"/>
      <c r="G20" s="241">
        <v>6995</v>
      </c>
      <c r="H20" s="241"/>
      <c r="I20" s="241">
        <v>7550</v>
      </c>
      <c r="J20" s="241"/>
      <c r="K20" s="241">
        <v>7617</v>
      </c>
      <c r="L20" s="241">
        <v>7819</v>
      </c>
      <c r="M20" s="241">
        <v>7819</v>
      </c>
      <c r="N20" s="241">
        <v>7819</v>
      </c>
      <c r="O20" s="241">
        <v>7749</v>
      </c>
      <c r="P20" s="241">
        <v>7749</v>
      </c>
      <c r="Q20" s="241">
        <v>7749</v>
      </c>
    </row>
    <row r="21" spans="1:17" s="36" customFormat="1">
      <c r="A21" s="60"/>
      <c r="B21" s="68"/>
      <c r="C21" s="13"/>
      <c r="D21" s="241"/>
      <c r="E21" s="241"/>
      <c r="F21" s="241"/>
      <c r="G21" s="241"/>
      <c r="H21" s="241"/>
      <c r="I21" s="241"/>
      <c r="J21" s="241"/>
      <c r="K21" s="241"/>
      <c r="L21" s="241"/>
      <c r="M21" s="241"/>
      <c r="N21" s="241"/>
      <c r="O21" s="241"/>
      <c r="P21" s="241"/>
      <c r="Q21" s="241"/>
    </row>
    <row r="22" spans="1:17" s="1001" customFormat="1" ht="60" customHeight="1">
      <c r="A22" s="82" t="s">
        <v>23</v>
      </c>
      <c r="B22" s="80" t="s">
        <v>500</v>
      </c>
      <c r="C22" s="1002" t="s">
        <v>240</v>
      </c>
      <c r="D22" s="1000">
        <f t="shared" ref="D22:N22" si="2">D23+D24+D25+D26+D32+D33+D34+D35</f>
        <v>0</v>
      </c>
      <c r="E22" s="1000">
        <f t="shared" si="2"/>
        <v>479963</v>
      </c>
      <c r="F22" s="1000">
        <f t="shared" si="2"/>
        <v>0</v>
      </c>
      <c r="G22" s="1000">
        <v>0</v>
      </c>
      <c r="H22" s="1000">
        <v>0</v>
      </c>
      <c r="I22" s="1000">
        <v>0</v>
      </c>
      <c r="J22" s="1000">
        <v>0</v>
      </c>
      <c r="K22" s="1000">
        <v>0</v>
      </c>
      <c r="L22" s="1000">
        <v>0</v>
      </c>
      <c r="M22" s="1000">
        <v>0</v>
      </c>
      <c r="N22" s="1000">
        <v>0</v>
      </c>
      <c r="O22" s="1000">
        <v>0</v>
      </c>
      <c r="P22" s="1000">
        <v>0</v>
      </c>
      <c r="Q22" s="1000">
        <v>0</v>
      </c>
    </row>
    <row r="23" spans="1:17" s="36" customFormat="1" ht="15" customHeight="1" outlineLevel="1">
      <c r="A23" s="60"/>
      <c r="B23" s="68" t="s">
        <v>487</v>
      </c>
      <c r="C23" s="13" t="s">
        <v>240</v>
      </c>
      <c r="D23" s="241"/>
      <c r="E23" s="241">
        <v>479963</v>
      </c>
      <c r="F23" s="241"/>
      <c r="G23" s="241"/>
      <c r="H23" s="241"/>
      <c r="I23" s="241"/>
      <c r="J23" s="241"/>
      <c r="K23" s="241"/>
      <c r="L23" s="241"/>
      <c r="M23" s="241"/>
      <c r="N23" s="241"/>
      <c r="O23" s="241"/>
      <c r="P23" s="241"/>
      <c r="Q23" s="241"/>
    </row>
    <row r="24" spans="1:17" s="36" customFormat="1" ht="15" customHeight="1" outlineLevel="1">
      <c r="A24" s="60"/>
      <c r="B24" s="68" t="s">
        <v>488</v>
      </c>
      <c r="C24" s="13" t="s">
        <v>240</v>
      </c>
      <c r="D24" s="241"/>
      <c r="E24" s="241"/>
      <c r="F24" s="241"/>
      <c r="G24" s="241"/>
      <c r="H24" s="241"/>
      <c r="I24" s="241"/>
      <c r="J24" s="241"/>
      <c r="K24" s="241"/>
      <c r="L24" s="241"/>
      <c r="M24" s="241"/>
      <c r="N24" s="241"/>
      <c r="O24" s="241"/>
      <c r="P24" s="241"/>
      <c r="Q24" s="241"/>
    </row>
    <row r="25" spans="1:17" s="36" customFormat="1" ht="15" customHeight="1" outlineLevel="1">
      <c r="A25" s="60"/>
      <c r="B25" s="68" t="s">
        <v>489</v>
      </c>
      <c r="C25" s="13" t="s">
        <v>240</v>
      </c>
      <c r="D25" s="241"/>
      <c r="E25" s="241"/>
      <c r="F25" s="241"/>
      <c r="G25" s="241"/>
      <c r="H25" s="241"/>
      <c r="I25" s="241"/>
      <c r="J25" s="241"/>
      <c r="K25" s="241"/>
      <c r="L25" s="241"/>
      <c r="M25" s="241"/>
      <c r="N25" s="241"/>
      <c r="O25" s="241"/>
      <c r="P25" s="241"/>
      <c r="Q25" s="241"/>
    </row>
    <row r="26" spans="1:17" s="36" customFormat="1" ht="15" customHeight="1" outlineLevel="1">
      <c r="A26" s="60"/>
      <c r="B26" s="68" t="s">
        <v>490</v>
      </c>
      <c r="C26" s="13" t="s">
        <v>240</v>
      </c>
      <c r="D26" s="241"/>
      <c r="E26" s="241"/>
      <c r="F26" s="241"/>
      <c r="G26" s="241"/>
      <c r="H26" s="241"/>
      <c r="I26" s="241"/>
      <c r="J26" s="241"/>
      <c r="K26" s="241"/>
      <c r="L26" s="241"/>
      <c r="M26" s="241"/>
      <c r="N26" s="241"/>
      <c r="O26" s="241"/>
      <c r="P26" s="241"/>
      <c r="Q26" s="241"/>
    </row>
    <row r="27" spans="1:17" s="36" customFormat="1" ht="15" customHeight="1" outlineLevel="1">
      <c r="A27" s="60"/>
      <c r="B27" s="68" t="s">
        <v>491</v>
      </c>
      <c r="C27" s="13" t="s">
        <v>240</v>
      </c>
      <c r="D27" s="241"/>
      <c r="E27" s="241"/>
      <c r="F27" s="241"/>
      <c r="G27" s="241"/>
      <c r="H27" s="241"/>
      <c r="I27" s="241"/>
      <c r="J27" s="241"/>
      <c r="K27" s="241"/>
      <c r="L27" s="241"/>
      <c r="M27" s="241"/>
      <c r="N27" s="241"/>
      <c r="O27" s="241"/>
      <c r="P27" s="241"/>
      <c r="Q27" s="241"/>
    </row>
    <row r="28" spans="1:17" s="36" customFormat="1" ht="15" customHeight="1" outlineLevel="1">
      <c r="A28" s="60"/>
      <c r="B28" s="70" t="s">
        <v>492</v>
      </c>
      <c r="C28" s="13" t="s">
        <v>240</v>
      </c>
      <c r="D28" s="241"/>
      <c r="E28" s="241"/>
      <c r="F28" s="241"/>
      <c r="G28" s="241"/>
      <c r="H28" s="241"/>
      <c r="I28" s="241"/>
      <c r="J28" s="241"/>
      <c r="K28" s="241"/>
      <c r="L28" s="241"/>
      <c r="M28" s="241"/>
      <c r="N28" s="241"/>
      <c r="O28" s="241"/>
      <c r="P28" s="241"/>
      <c r="Q28" s="241"/>
    </row>
    <row r="29" spans="1:17" s="36" customFormat="1" ht="15" customHeight="1" outlineLevel="1">
      <c r="A29" s="60"/>
      <c r="B29" s="70" t="s">
        <v>493</v>
      </c>
      <c r="C29" s="13" t="s">
        <v>240</v>
      </c>
      <c r="D29" s="241"/>
      <c r="E29" s="241"/>
      <c r="F29" s="241"/>
      <c r="G29" s="241"/>
      <c r="H29" s="241"/>
      <c r="I29" s="241"/>
      <c r="J29" s="241"/>
      <c r="K29" s="241"/>
      <c r="L29" s="241"/>
      <c r="M29" s="241"/>
      <c r="N29" s="241"/>
      <c r="O29" s="241"/>
      <c r="P29" s="241"/>
      <c r="Q29" s="241"/>
    </row>
    <row r="30" spans="1:17" s="36" customFormat="1" ht="15" customHeight="1" outlineLevel="1">
      <c r="A30" s="60"/>
      <c r="B30" s="70" t="s">
        <v>494</v>
      </c>
      <c r="C30" s="13" t="s">
        <v>240</v>
      </c>
      <c r="D30" s="241"/>
      <c r="E30" s="241"/>
      <c r="F30" s="241"/>
      <c r="G30" s="241"/>
      <c r="H30" s="241"/>
      <c r="I30" s="241"/>
      <c r="J30" s="241"/>
      <c r="K30" s="241"/>
      <c r="L30" s="241"/>
      <c r="M30" s="241"/>
      <c r="N30" s="241"/>
      <c r="O30" s="241"/>
      <c r="P30" s="241"/>
      <c r="Q30" s="241"/>
    </row>
    <row r="31" spans="1:17" s="36" customFormat="1" ht="15" customHeight="1" outlineLevel="1">
      <c r="A31" s="60"/>
      <c r="B31" s="70" t="s">
        <v>495</v>
      </c>
      <c r="C31" s="13" t="s">
        <v>240</v>
      </c>
      <c r="D31" s="241"/>
      <c r="E31" s="241"/>
      <c r="F31" s="241"/>
      <c r="G31" s="241"/>
      <c r="H31" s="241"/>
      <c r="I31" s="241"/>
      <c r="J31" s="241"/>
      <c r="K31" s="241"/>
      <c r="L31" s="241"/>
      <c r="M31" s="241"/>
      <c r="N31" s="241"/>
      <c r="O31" s="241"/>
      <c r="P31" s="241"/>
      <c r="Q31" s="241"/>
    </row>
    <row r="32" spans="1:17" s="36" customFormat="1" ht="15" customHeight="1" outlineLevel="1">
      <c r="A32" s="60"/>
      <c r="B32" s="70" t="s">
        <v>496</v>
      </c>
      <c r="C32" s="13" t="s">
        <v>240</v>
      </c>
      <c r="D32" s="241"/>
      <c r="E32" s="241"/>
      <c r="F32" s="241"/>
      <c r="G32" s="241"/>
      <c r="H32" s="241"/>
      <c r="I32" s="241"/>
      <c r="J32" s="241"/>
      <c r="K32" s="241"/>
      <c r="L32" s="241"/>
      <c r="M32" s="241"/>
      <c r="N32" s="241"/>
      <c r="O32" s="241"/>
      <c r="P32" s="241"/>
      <c r="Q32" s="241"/>
    </row>
    <row r="33" spans="1:17" s="36" customFormat="1" ht="15" customHeight="1" outlineLevel="1">
      <c r="A33" s="60"/>
      <c r="B33" s="70" t="s">
        <v>497</v>
      </c>
      <c r="C33" s="13" t="s">
        <v>240</v>
      </c>
      <c r="D33" s="241"/>
      <c r="E33" s="241"/>
      <c r="F33" s="241"/>
      <c r="G33" s="241"/>
      <c r="H33" s="241"/>
      <c r="I33" s="241"/>
      <c r="J33" s="241"/>
      <c r="K33" s="241"/>
      <c r="L33" s="241"/>
      <c r="M33" s="241"/>
      <c r="N33" s="241"/>
      <c r="O33" s="241"/>
      <c r="P33" s="241"/>
      <c r="Q33" s="241"/>
    </row>
    <row r="34" spans="1:17" s="36" customFormat="1" ht="15" customHeight="1" outlineLevel="1">
      <c r="A34" s="60"/>
      <c r="B34" s="68" t="s">
        <v>498</v>
      </c>
      <c r="C34" s="13" t="s">
        <v>240</v>
      </c>
      <c r="D34" s="241"/>
      <c r="E34" s="241"/>
      <c r="F34" s="241"/>
      <c r="G34" s="241"/>
      <c r="H34" s="241"/>
      <c r="I34" s="241"/>
      <c r="J34" s="241"/>
      <c r="K34" s="241"/>
      <c r="L34" s="241"/>
      <c r="M34" s="241"/>
      <c r="N34" s="241"/>
      <c r="O34" s="241"/>
      <c r="P34" s="241"/>
      <c r="Q34" s="241"/>
    </row>
    <row r="35" spans="1:17" s="36" customFormat="1" ht="15" customHeight="1" outlineLevel="1">
      <c r="A35" s="60"/>
      <c r="B35" s="68" t="s">
        <v>499</v>
      </c>
      <c r="C35" s="13" t="s">
        <v>240</v>
      </c>
      <c r="D35" s="241"/>
      <c r="E35" s="241"/>
      <c r="F35" s="241"/>
      <c r="G35" s="241"/>
      <c r="H35" s="241"/>
      <c r="I35" s="241"/>
      <c r="J35" s="241"/>
      <c r="K35" s="241"/>
      <c r="L35" s="241"/>
      <c r="M35" s="241"/>
      <c r="N35" s="241"/>
      <c r="O35" s="241"/>
      <c r="P35" s="241"/>
      <c r="Q35" s="241"/>
    </row>
    <row r="36" spans="1:17" s="36" customFormat="1">
      <c r="A36" s="60"/>
      <c r="B36" s="68"/>
      <c r="C36" s="13"/>
      <c r="D36" s="241"/>
      <c r="E36" s="241"/>
      <c r="F36" s="241"/>
      <c r="G36" s="241"/>
      <c r="H36" s="241"/>
      <c r="I36" s="241"/>
      <c r="J36" s="241"/>
      <c r="K36" s="241"/>
      <c r="L36" s="241"/>
      <c r="M36" s="241"/>
      <c r="N36" s="241"/>
      <c r="O36" s="241"/>
      <c r="P36" s="241"/>
      <c r="Q36" s="241"/>
    </row>
    <row r="37" spans="1:17" s="1001" customFormat="1" ht="15" customHeight="1">
      <c r="A37" s="82" t="s">
        <v>27</v>
      </c>
      <c r="B37" s="80" t="s">
        <v>501</v>
      </c>
      <c r="C37" s="999" t="s">
        <v>240</v>
      </c>
      <c r="D37" s="1000">
        <v>23334</v>
      </c>
      <c r="E37" s="1000">
        <f t="shared" ref="E37:N37" si="3">E38+E39+E40+E41+E47+E48+E49+E50</f>
        <v>25864</v>
      </c>
      <c r="F37" s="1000">
        <f t="shared" si="3"/>
        <v>0</v>
      </c>
      <c r="G37" s="1000">
        <v>42244</v>
      </c>
      <c r="H37" s="1000">
        <v>27660.169491525423</v>
      </c>
      <c r="I37" s="1000">
        <v>39984</v>
      </c>
      <c r="J37" s="1000">
        <v>0</v>
      </c>
      <c r="K37" s="1000">
        <v>23248</v>
      </c>
      <c r="L37" s="1000">
        <v>40872</v>
      </c>
      <c r="M37" s="1000">
        <v>156</v>
      </c>
      <c r="N37" s="1000">
        <v>40716</v>
      </c>
      <c r="O37" s="1000">
        <v>56077</v>
      </c>
      <c r="P37" s="1000">
        <v>28</v>
      </c>
      <c r="Q37" s="1000">
        <v>56049</v>
      </c>
    </row>
    <row r="38" spans="1:17" s="36" customFormat="1" ht="15" customHeight="1" outlineLevel="1">
      <c r="A38" s="60"/>
      <c r="B38" s="68" t="s">
        <v>487</v>
      </c>
      <c r="C38" s="13" t="s">
        <v>240</v>
      </c>
      <c r="D38" s="241"/>
      <c r="E38" s="241"/>
      <c r="F38" s="241"/>
      <c r="G38" s="1003">
        <v>32205</v>
      </c>
      <c r="H38" s="1003"/>
      <c r="I38" s="1003">
        <v>19451</v>
      </c>
      <c r="J38" s="1003"/>
      <c r="K38" s="1003">
        <v>924</v>
      </c>
      <c r="L38" s="1003">
        <v>9037</v>
      </c>
      <c r="M38" s="1003">
        <v>0</v>
      </c>
      <c r="N38" s="1003">
        <v>9037</v>
      </c>
      <c r="O38" s="1003">
        <v>1428</v>
      </c>
      <c r="P38" s="1003">
        <v>0</v>
      </c>
      <c r="Q38" s="1003">
        <v>1428</v>
      </c>
    </row>
    <row r="39" spans="1:17" s="36" customFormat="1" ht="15" customHeight="1" outlineLevel="1">
      <c r="A39" s="60"/>
      <c r="B39" s="68" t="s">
        <v>488</v>
      </c>
      <c r="C39" s="13" t="s">
        <v>240</v>
      </c>
      <c r="D39" s="241"/>
      <c r="E39" s="241">
        <v>17120</v>
      </c>
      <c r="F39" s="241"/>
      <c r="G39" s="1003">
        <v>6760</v>
      </c>
      <c r="H39" s="1003"/>
      <c r="I39" s="1003">
        <v>12270</v>
      </c>
      <c r="J39" s="1003"/>
      <c r="K39" s="1003">
        <v>4567</v>
      </c>
      <c r="L39" s="1003">
        <v>2969</v>
      </c>
      <c r="M39" s="1003">
        <v>0</v>
      </c>
      <c r="N39" s="1003">
        <v>2969</v>
      </c>
      <c r="O39" s="1003">
        <v>6465</v>
      </c>
      <c r="P39" s="1003">
        <v>0</v>
      </c>
      <c r="Q39" s="1003">
        <v>6465</v>
      </c>
    </row>
    <row r="40" spans="1:17" s="36" customFormat="1" ht="15" customHeight="1" outlineLevel="1">
      <c r="A40" s="60"/>
      <c r="B40" s="68" t="s">
        <v>489</v>
      </c>
      <c r="C40" s="13" t="s">
        <v>240</v>
      </c>
      <c r="D40" s="241"/>
      <c r="E40" s="241"/>
      <c r="F40" s="241"/>
      <c r="G40" s="1003">
        <v>0</v>
      </c>
      <c r="H40" s="1003"/>
      <c r="I40" s="1003">
        <v>0</v>
      </c>
      <c r="J40" s="1003"/>
      <c r="K40" s="1003">
        <v>0</v>
      </c>
      <c r="L40" s="1003">
        <v>0</v>
      </c>
      <c r="M40" s="1003">
        <v>0</v>
      </c>
      <c r="N40" s="1003">
        <v>0</v>
      </c>
      <c r="O40" s="1003">
        <v>0</v>
      </c>
      <c r="P40" s="1003">
        <v>0</v>
      </c>
      <c r="Q40" s="1003">
        <v>0</v>
      </c>
    </row>
    <row r="41" spans="1:17" s="36" customFormat="1" ht="15" customHeight="1" outlineLevel="1">
      <c r="A41" s="60"/>
      <c r="B41" s="68" t="s">
        <v>490</v>
      </c>
      <c r="C41" s="13" t="s">
        <v>240</v>
      </c>
      <c r="D41" s="241"/>
      <c r="E41" s="241">
        <f t="shared" ref="E41" si="4">E42+E43+E44+E45+E46</f>
        <v>8325</v>
      </c>
      <c r="F41" s="241"/>
      <c r="G41" s="1003">
        <v>2426</v>
      </c>
      <c r="H41" s="1003">
        <v>0</v>
      </c>
      <c r="I41" s="1003">
        <v>7991</v>
      </c>
      <c r="J41" s="1003"/>
      <c r="K41" s="1003">
        <v>17594</v>
      </c>
      <c r="L41" s="1003">
        <v>28866</v>
      </c>
      <c r="M41" s="1003">
        <v>156</v>
      </c>
      <c r="N41" s="1003">
        <v>28710</v>
      </c>
      <c r="O41" s="1003">
        <v>48184</v>
      </c>
      <c r="P41" s="1003">
        <v>28</v>
      </c>
      <c r="Q41" s="1003">
        <v>48156</v>
      </c>
    </row>
    <row r="42" spans="1:17" s="36" customFormat="1" ht="15" customHeight="1" outlineLevel="1">
      <c r="A42" s="60"/>
      <c r="B42" s="68" t="s">
        <v>491</v>
      </c>
      <c r="C42" s="13" t="s">
        <v>240</v>
      </c>
      <c r="D42" s="241"/>
      <c r="E42" s="241"/>
      <c r="F42" s="241"/>
      <c r="G42" s="1003">
        <v>0</v>
      </c>
      <c r="H42" s="1003"/>
      <c r="I42" s="1003">
        <v>0</v>
      </c>
      <c r="J42" s="1003"/>
      <c r="K42" s="1003">
        <v>0</v>
      </c>
      <c r="L42" s="1003">
        <v>21372</v>
      </c>
      <c r="M42" s="1003">
        <v>0</v>
      </c>
      <c r="N42" s="1003">
        <v>21372</v>
      </c>
      <c r="O42" s="1003">
        <v>43600</v>
      </c>
      <c r="P42" s="1003">
        <v>0</v>
      </c>
      <c r="Q42" s="1003">
        <v>43600</v>
      </c>
    </row>
    <row r="43" spans="1:17" s="36" customFormat="1" ht="15" customHeight="1" outlineLevel="1">
      <c r="A43" s="60"/>
      <c r="B43" s="70" t="s">
        <v>492</v>
      </c>
      <c r="C43" s="13" t="s">
        <v>240</v>
      </c>
      <c r="D43" s="241"/>
      <c r="E43" s="241">
        <v>2178</v>
      </c>
      <c r="F43" s="241"/>
      <c r="G43" s="1003">
        <v>632</v>
      </c>
      <c r="H43" s="1003"/>
      <c r="I43" s="1003">
        <v>6850</v>
      </c>
      <c r="J43" s="1003"/>
      <c r="K43" s="1003">
        <v>9066</v>
      </c>
      <c r="L43" s="1003">
        <v>1750</v>
      </c>
      <c r="M43" s="1003">
        <v>0</v>
      </c>
      <c r="N43" s="1003">
        <v>1750</v>
      </c>
      <c r="O43" s="1003">
        <v>1920</v>
      </c>
      <c r="P43" s="1003">
        <v>0</v>
      </c>
      <c r="Q43" s="1003">
        <v>1920</v>
      </c>
    </row>
    <row r="44" spans="1:17" s="36" customFormat="1" ht="15" customHeight="1" outlineLevel="1">
      <c r="A44" s="60"/>
      <c r="B44" s="70" t="s">
        <v>493</v>
      </c>
      <c r="C44" s="13" t="s">
        <v>240</v>
      </c>
      <c r="D44" s="241"/>
      <c r="E44" s="241">
        <v>120</v>
      </c>
      <c r="F44" s="241"/>
      <c r="G44" s="1003">
        <v>104</v>
      </c>
      <c r="H44" s="1003"/>
      <c r="I44" s="1003">
        <v>340</v>
      </c>
      <c r="J44" s="1003"/>
      <c r="K44" s="1003">
        <v>6717</v>
      </c>
      <c r="L44" s="1003">
        <v>5744</v>
      </c>
      <c r="M44" s="1003">
        <v>156</v>
      </c>
      <c r="N44" s="1003">
        <v>5588</v>
      </c>
      <c r="O44" s="1003">
        <v>647</v>
      </c>
      <c r="P44" s="1003">
        <v>28</v>
      </c>
      <c r="Q44" s="1003">
        <v>619</v>
      </c>
    </row>
    <row r="45" spans="1:17" s="36" customFormat="1" ht="15" customHeight="1" outlineLevel="1">
      <c r="A45" s="60"/>
      <c r="B45" s="70" t="s">
        <v>494</v>
      </c>
      <c r="C45" s="13" t="s">
        <v>240</v>
      </c>
      <c r="D45" s="241"/>
      <c r="E45" s="241">
        <v>105</v>
      </c>
      <c r="F45" s="241"/>
      <c r="G45" s="1003">
        <v>539</v>
      </c>
      <c r="H45" s="1003"/>
      <c r="I45" s="1003">
        <v>722</v>
      </c>
      <c r="J45" s="1003"/>
      <c r="K45" s="1003">
        <v>0</v>
      </c>
      <c r="L45" s="1003">
        <v>0</v>
      </c>
      <c r="M45" s="1003">
        <v>0</v>
      </c>
      <c r="N45" s="1003">
        <v>0</v>
      </c>
      <c r="O45" s="1003">
        <v>0</v>
      </c>
      <c r="P45" s="1003">
        <v>0</v>
      </c>
      <c r="Q45" s="1003">
        <v>0</v>
      </c>
    </row>
    <row r="46" spans="1:17" s="36" customFormat="1" ht="15" customHeight="1" outlineLevel="1">
      <c r="A46" s="60"/>
      <c r="B46" s="70" t="s">
        <v>495</v>
      </c>
      <c r="C46" s="13" t="s">
        <v>240</v>
      </c>
      <c r="D46" s="241"/>
      <c r="E46" s="241">
        <v>5922</v>
      </c>
      <c r="F46" s="241"/>
      <c r="G46" s="1003">
        <v>1151</v>
      </c>
      <c r="H46" s="1003"/>
      <c r="I46" s="1003">
        <v>79</v>
      </c>
      <c r="J46" s="1003"/>
      <c r="K46" s="1003">
        <v>1811</v>
      </c>
      <c r="L46" s="1003">
        <v>0</v>
      </c>
      <c r="M46" s="1003">
        <v>0</v>
      </c>
      <c r="N46" s="1003">
        <v>0</v>
      </c>
      <c r="O46" s="1003">
        <v>2017</v>
      </c>
      <c r="P46" s="1003">
        <v>0</v>
      </c>
      <c r="Q46" s="1003">
        <v>2017</v>
      </c>
    </row>
    <row r="47" spans="1:17" s="36" customFormat="1" ht="15" customHeight="1" outlineLevel="1">
      <c r="A47" s="60"/>
      <c r="B47" s="70" t="s">
        <v>496</v>
      </c>
      <c r="C47" s="13" t="s">
        <v>240</v>
      </c>
      <c r="D47" s="241"/>
      <c r="E47" s="241"/>
      <c r="F47" s="241"/>
      <c r="G47" s="1003">
        <v>0</v>
      </c>
      <c r="H47" s="1003"/>
      <c r="I47" s="1003">
        <v>0</v>
      </c>
      <c r="J47" s="1003"/>
      <c r="K47" s="1003">
        <v>0</v>
      </c>
      <c r="L47" s="1003">
        <v>0</v>
      </c>
      <c r="M47" s="1003">
        <v>0</v>
      </c>
      <c r="N47" s="1003">
        <v>0</v>
      </c>
      <c r="O47" s="1003">
        <v>0</v>
      </c>
      <c r="P47" s="1003">
        <v>0</v>
      </c>
      <c r="Q47" s="1003">
        <v>0</v>
      </c>
    </row>
    <row r="48" spans="1:17" s="36" customFormat="1" ht="15" customHeight="1" outlineLevel="1">
      <c r="A48" s="60"/>
      <c r="B48" s="70" t="s">
        <v>497</v>
      </c>
      <c r="C48" s="13" t="s">
        <v>240</v>
      </c>
      <c r="D48" s="241"/>
      <c r="E48" s="241">
        <v>5</v>
      </c>
      <c r="F48" s="241"/>
      <c r="G48" s="1003">
        <v>45</v>
      </c>
      <c r="H48" s="1003"/>
      <c r="I48" s="1003">
        <v>95</v>
      </c>
      <c r="J48" s="1003"/>
      <c r="K48" s="1003">
        <v>0</v>
      </c>
      <c r="L48" s="1003">
        <v>0</v>
      </c>
      <c r="M48" s="1003">
        <v>0</v>
      </c>
      <c r="N48" s="1003">
        <v>0</v>
      </c>
      <c r="O48" s="1003">
        <v>0</v>
      </c>
      <c r="P48" s="1003">
        <v>0</v>
      </c>
      <c r="Q48" s="1003">
        <v>0</v>
      </c>
    </row>
    <row r="49" spans="1:17" s="36" customFormat="1" ht="15" customHeight="1" outlineLevel="1">
      <c r="A49" s="60"/>
      <c r="B49" s="68" t="s">
        <v>498</v>
      </c>
      <c r="C49" s="13" t="s">
        <v>240</v>
      </c>
      <c r="D49" s="241"/>
      <c r="E49" s="241">
        <v>156</v>
      </c>
      <c r="F49" s="241"/>
      <c r="G49" s="1003">
        <v>186</v>
      </c>
      <c r="H49" s="1003"/>
      <c r="I49" s="1003">
        <v>150.5</v>
      </c>
      <c r="J49" s="1003"/>
      <c r="K49" s="1003">
        <v>0</v>
      </c>
      <c r="L49" s="1003">
        <v>0</v>
      </c>
      <c r="M49" s="1003">
        <v>0</v>
      </c>
      <c r="N49" s="1003">
        <v>0</v>
      </c>
      <c r="O49" s="1003">
        <v>0</v>
      </c>
      <c r="P49" s="1003">
        <v>0</v>
      </c>
      <c r="Q49" s="1003">
        <v>0</v>
      </c>
    </row>
    <row r="50" spans="1:17" s="36" customFormat="1" ht="15" customHeight="1" outlineLevel="1">
      <c r="A50" s="60"/>
      <c r="B50" s="68" t="s">
        <v>499</v>
      </c>
      <c r="C50" s="13" t="s">
        <v>240</v>
      </c>
      <c r="D50" s="241"/>
      <c r="E50" s="241">
        <v>258</v>
      </c>
      <c r="F50" s="241"/>
      <c r="G50" s="1003">
        <v>622</v>
      </c>
      <c r="H50" s="1003"/>
      <c r="I50" s="1003">
        <v>26.5</v>
      </c>
      <c r="J50" s="1003"/>
      <c r="K50" s="1003">
        <v>163</v>
      </c>
      <c r="L50" s="1003">
        <v>0</v>
      </c>
      <c r="M50" s="1003">
        <v>0</v>
      </c>
      <c r="N50" s="1003">
        <v>0</v>
      </c>
      <c r="O50" s="1003">
        <v>0</v>
      </c>
      <c r="P50" s="1003">
        <v>0</v>
      </c>
      <c r="Q50" s="1003">
        <v>0</v>
      </c>
    </row>
    <row r="51" spans="1:17" s="36" customFormat="1">
      <c r="A51" s="60"/>
      <c r="B51" s="68"/>
      <c r="C51" s="13"/>
      <c r="D51" s="241"/>
      <c r="E51" s="241"/>
      <c r="F51" s="241"/>
      <c r="G51" s="241"/>
      <c r="H51" s="241"/>
      <c r="I51" s="241"/>
      <c r="J51" s="241"/>
      <c r="K51" s="241"/>
      <c r="L51" s="241"/>
      <c r="M51" s="241"/>
      <c r="N51" s="241"/>
      <c r="O51" s="241"/>
      <c r="P51" s="241"/>
      <c r="Q51" s="241"/>
    </row>
    <row r="52" spans="1:17" s="1001" customFormat="1" ht="28.5">
      <c r="A52" s="82" t="s">
        <v>30</v>
      </c>
      <c r="B52" s="80" t="s">
        <v>502</v>
      </c>
      <c r="C52" s="1002" t="s">
        <v>240</v>
      </c>
      <c r="D52" s="1000">
        <v>0</v>
      </c>
      <c r="E52" s="1000">
        <f t="shared" ref="E52:N52" si="5">E53+E54+E55+E56+E62+E63+E64+E65</f>
        <v>1178</v>
      </c>
      <c r="F52" s="1000">
        <f t="shared" si="5"/>
        <v>0</v>
      </c>
      <c r="G52" s="1000">
        <v>265</v>
      </c>
      <c r="H52" s="1000">
        <v>0</v>
      </c>
      <c r="I52" s="1000">
        <v>123</v>
      </c>
      <c r="J52" s="1000">
        <v>0</v>
      </c>
      <c r="K52" s="1000">
        <v>0</v>
      </c>
      <c r="L52" s="1000">
        <v>0</v>
      </c>
      <c r="M52" s="1000">
        <v>0</v>
      </c>
      <c r="N52" s="1000">
        <v>0</v>
      </c>
      <c r="O52" s="1000">
        <v>0</v>
      </c>
      <c r="P52" s="1000">
        <v>0</v>
      </c>
      <c r="Q52" s="1000">
        <v>0</v>
      </c>
    </row>
    <row r="53" spans="1:17" s="36" customFormat="1" ht="15" customHeight="1" outlineLevel="1">
      <c r="A53" s="60"/>
      <c r="B53" s="68" t="s">
        <v>487</v>
      </c>
      <c r="C53" s="13" t="s">
        <v>240</v>
      </c>
      <c r="D53" s="241"/>
      <c r="E53" s="241"/>
      <c r="F53" s="241"/>
      <c r="G53" s="1003"/>
      <c r="H53" s="1003"/>
      <c r="I53" s="1003">
        <v>0</v>
      </c>
      <c r="J53" s="1003"/>
      <c r="K53" s="1003"/>
      <c r="L53" s="1003">
        <v>0</v>
      </c>
      <c r="M53" s="1003"/>
      <c r="N53" s="1003"/>
      <c r="O53" s="1003">
        <v>0</v>
      </c>
      <c r="P53" s="1003"/>
      <c r="Q53" s="1003"/>
    </row>
    <row r="54" spans="1:17" s="36" customFormat="1" ht="15" customHeight="1" outlineLevel="1">
      <c r="A54" s="60"/>
      <c r="B54" s="68" t="s">
        <v>488</v>
      </c>
      <c r="C54" s="13" t="s">
        <v>240</v>
      </c>
      <c r="D54" s="241"/>
      <c r="E54" s="241">
        <v>1178</v>
      </c>
      <c r="F54" s="241"/>
      <c r="G54" s="1003"/>
      <c r="H54" s="1003"/>
      <c r="I54" s="1003">
        <v>0</v>
      </c>
      <c r="J54" s="1003"/>
      <c r="K54" s="1003"/>
      <c r="L54" s="1003">
        <v>0</v>
      </c>
      <c r="M54" s="1003"/>
      <c r="N54" s="1003"/>
      <c r="O54" s="1003">
        <v>0</v>
      </c>
      <c r="P54" s="1003"/>
      <c r="Q54" s="1003"/>
    </row>
    <row r="55" spans="1:17" s="36" customFormat="1" ht="15" customHeight="1" outlineLevel="1">
      <c r="A55" s="60"/>
      <c r="B55" s="68" t="s">
        <v>489</v>
      </c>
      <c r="C55" s="13" t="s">
        <v>240</v>
      </c>
      <c r="D55" s="241"/>
      <c r="E55" s="241"/>
      <c r="F55" s="241"/>
      <c r="G55" s="1003"/>
      <c r="H55" s="1003"/>
      <c r="I55" s="1003">
        <v>0</v>
      </c>
      <c r="J55" s="1003"/>
      <c r="K55" s="1003"/>
      <c r="L55" s="1003">
        <v>0</v>
      </c>
      <c r="M55" s="1003"/>
      <c r="N55" s="1003"/>
      <c r="O55" s="1003">
        <v>0</v>
      </c>
      <c r="P55" s="1003"/>
      <c r="Q55" s="1003"/>
    </row>
    <row r="56" spans="1:17" s="36" customFormat="1" ht="15" customHeight="1" outlineLevel="1">
      <c r="A56" s="60"/>
      <c r="B56" s="68" t="s">
        <v>490</v>
      </c>
      <c r="C56" s="13" t="s">
        <v>240</v>
      </c>
      <c r="D56" s="241"/>
      <c r="E56" s="241"/>
      <c r="F56" s="241"/>
      <c r="G56" s="1003">
        <v>163</v>
      </c>
      <c r="H56" s="1003">
        <v>0</v>
      </c>
      <c r="I56" s="1003">
        <v>123</v>
      </c>
      <c r="J56" s="1003">
        <v>0</v>
      </c>
      <c r="K56" s="1003">
        <v>0</v>
      </c>
      <c r="L56" s="1003">
        <v>0</v>
      </c>
      <c r="M56" s="1003">
        <v>0</v>
      </c>
      <c r="N56" s="1003">
        <v>0</v>
      </c>
      <c r="O56" s="1003">
        <v>0</v>
      </c>
      <c r="P56" s="1003">
        <v>0</v>
      </c>
      <c r="Q56" s="1003">
        <v>0</v>
      </c>
    </row>
    <row r="57" spans="1:17" s="36" customFormat="1" ht="15" customHeight="1" outlineLevel="1">
      <c r="A57" s="60"/>
      <c r="B57" s="68" t="s">
        <v>491</v>
      </c>
      <c r="C57" s="13" t="s">
        <v>240</v>
      </c>
      <c r="D57" s="241"/>
      <c r="E57" s="241"/>
      <c r="F57" s="241"/>
      <c r="G57" s="1003">
        <v>0</v>
      </c>
      <c r="H57" s="1003"/>
      <c r="I57" s="1003">
        <v>0</v>
      </c>
      <c r="J57" s="1003"/>
      <c r="K57" s="1003"/>
      <c r="L57" s="1003">
        <v>0</v>
      </c>
      <c r="M57" s="1003"/>
      <c r="N57" s="1003"/>
      <c r="O57" s="1003">
        <v>0</v>
      </c>
      <c r="P57" s="1003"/>
      <c r="Q57" s="1003"/>
    </row>
    <row r="58" spans="1:17" s="36" customFormat="1" ht="15" customHeight="1" outlineLevel="1">
      <c r="A58" s="60"/>
      <c r="B58" s="70" t="s">
        <v>492</v>
      </c>
      <c r="C58" s="13" t="s">
        <v>240</v>
      </c>
      <c r="D58" s="241"/>
      <c r="E58" s="241"/>
      <c r="F58" s="241"/>
      <c r="G58" s="1003">
        <v>0</v>
      </c>
      <c r="H58" s="1003"/>
      <c r="I58" s="1003">
        <v>0</v>
      </c>
      <c r="J58" s="1003"/>
      <c r="K58" s="1003"/>
      <c r="L58" s="1003">
        <v>0</v>
      </c>
      <c r="M58" s="1003"/>
      <c r="N58" s="1003"/>
      <c r="O58" s="1003">
        <v>0</v>
      </c>
      <c r="P58" s="1003"/>
      <c r="Q58" s="1003"/>
    </row>
    <row r="59" spans="1:17" s="36" customFormat="1" ht="15" customHeight="1" outlineLevel="1">
      <c r="A59" s="60"/>
      <c r="B59" s="70" t="s">
        <v>493</v>
      </c>
      <c r="C59" s="13" t="s">
        <v>240</v>
      </c>
      <c r="D59" s="241"/>
      <c r="E59" s="241"/>
      <c r="F59" s="241"/>
      <c r="G59" s="1003">
        <v>140</v>
      </c>
      <c r="H59" s="1003"/>
      <c r="I59" s="1003">
        <v>123</v>
      </c>
      <c r="J59" s="1003"/>
      <c r="K59" s="1003"/>
      <c r="L59" s="1003">
        <v>0</v>
      </c>
      <c r="M59" s="1003"/>
      <c r="N59" s="1003"/>
      <c r="O59" s="1003">
        <v>0</v>
      </c>
      <c r="P59" s="1003"/>
      <c r="Q59" s="1003"/>
    </row>
    <row r="60" spans="1:17" s="36" customFormat="1" ht="15" customHeight="1" outlineLevel="1">
      <c r="A60" s="60"/>
      <c r="B60" s="70" t="s">
        <v>494</v>
      </c>
      <c r="C60" s="13" t="s">
        <v>240</v>
      </c>
      <c r="D60" s="241"/>
      <c r="E60" s="241"/>
      <c r="F60" s="241"/>
      <c r="G60" s="1003">
        <v>11</v>
      </c>
      <c r="H60" s="1003"/>
      <c r="I60" s="1003">
        <v>0</v>
      </c>
      <c r="J60" s="1003"/>
      <c r="K60" s="1003"/>
      <c r="L60" s="1003">
        <v>0</v>
      </c>
      <c r="M60" s="1003"/>
      <c r="N60" s="1003"/>
      <c r="O60" s="1003">
        <v>0</v>
      </c>
      <c r="P60" s="1003"/>
      <c r="Q60" s="1003"/>
    </row>
    <row r="61" spans="1:17" s="36" customFormat="1" ht="15" customHeight="1" outlineLevel="1">
      <c r="A61" s="60"/>
      <c r="B61" s="70" t="s">
        <v>495</v>
      </c>
      <c r="C61" s="13" t="s">
        <v>240</v>
      </c>
      <c r="D61" s="241"/>
      <c r="E61" s="241"/>
      <c r="F61" s="241"/>
      <c r="G61" s="1003">
        <v>12</v>
      </c>
      <c r="H61" s="1003"/>
      <c r="I61" s="1003">
        <v>0</v>
      </c>
      <c r="J61" s="1003"/>
      <c r="K61" s="1003"/>
      <c r="L61" s="1003">
        <v>0</v>
      </c>
      <c r="M61" s="1003"/>
      <c r="N61" s="1003"/>
      <c r="O61" s="1003">
        <v>0</v>
      </c>
      <c r="P61" s="1003"/>
      <c r="Q61" s="1003"/>
    </row>
    <row r="62" spans="1:17" s="36" customFormat="1" ht="15" customHeight="1" outlineLevel="1">
      <c r="A62" s="60"/>
      <c r="B62" s="70" t="s">
        <v>496</v>
      </c>
      <c r="C62" s="13" t="s">
        <v>240</v>
      </c>
      <c r="D62" s="241"/>
      <c r="E62" s="241"/>
      <c r="F62" s="241"/>
      <c r="G62" s="1003">
        <v>26</v>
      </c>
      <c r="H62" s="1003"/>
      <c r="I62" s="1003">
        <v>0</v>
      </c>
      <c r="J62" s="1003"/>
      <c r="K62" s="1003"/>
      <c r="L62" s="1003">
        <v>0</v>
      </c>
      <c r="M62" s="1003"/>
      <c r="N62" s="1003"/>
      <c r="O62" s="1003">
        <v>0</v>
      </c>
      <c r="P62" s="1003"/>
      <c r="Q62" s="1003"/>
    </row>
    <row r="63" spans="1:17" s="36" customFormat="1" ht="15" customHeight="1" outlineLevel="1">
      <c r="A63" s="60"/>
      <c r="B63" s="70" t="s">
        <v>497</v>
      </c>
      <c r="C63" s="13" t="s">
        <v>240</v>
      </c>
      <c r="D63" s="241"/>
      <c r="E63" s="241"/>
      <c r="F63" s="241"/>
      <c r="G63" s="1003">
        <v>0</v>
      </c>
      <c r="H63" s="1003"/>
      <c r="I63" s="1003">
        <v>0</v>
      </c>
      <c r="J63" s="1003"/>
      <c r="K63" s="1003"/>
      <c r="L63" s="1003">
        <v>0</v>
      </c>
      <c r="M63" s="1003"/>
      <c r="N63" s="1003"/>
      <c r="O63" s="1003">
        <v>0</v>
      </c>
      <c r="P63" s="1003"/>
      <c r="Q63" s="1003"/>
    </row>
    <row r="64" spans="1:17" s="36" customFormat="1" ht="15" customHeight="1" outlineLevel="1">
      <c r="A64" s="60"/>
      <c r="B64" s="68" t="s">
        <v>498</v>
      </c>
      <c r="C64" s="13" t="s">
        <v>240</v>
      </c>
      <c r="D64" s="241"/>
      <c r="E64" s="241"/>
      <c r="F64" s="241"/>
      <c r="G64" s="1003">
        <v>8</v>
      </c>
      <c r="H64" s="1003"/>
      <c r="I64" s="1003">
        <v>0</v>
      </c>
      <c r="J64" s="1003"/>
      <c r="K64" s="1003"/>
      <c r="L64" s="1003">
        <v>0</v>
      </c>
      <c r="M64" s="1003"/>
      <c r="N64" s="1003"/>
      <c r="O64" s="1003">
        <v>0</v>
      </c>
      <c r="P64" s="1003"/>
      <c r="Q64" s="1003"/>
    </row>
    <row r="65" spans="1:17" s="36" customFormat="1" ht="15" customHeight="1" outlineLevel="1">
      <c r="A65" s="60"/>
      <c r="B65" s="68" t="s">
        <v>499</v>
      </c>
      <c r="C65" s="13" t="s">
        <v>240</v>
      </c>
      <c r="D65" s="241"/>
      <c r="E65" s="241"/>
      <c r="F65" s="241"/>
      <c r="G65" s="1003">
        <v>68</v>
      </c>
      <c r="H65" s="1003"/>
      <c r="I65" s="1003">
        <v>0</v>
      </c>
      <c r="J65" s="1003"/>
      <c r="K65" s="1003"/>
      <c r="L65" s="1003">
        <v>0</v>
      </c>
      <c r="M65" s="1003"/>
      <c r="N65" s="1003"/>
      <c r="O65" s="1003">
        <v>0</v>
      </c>
      <c r="P65" s="1003"/>
      <c r="Q65" s="1003"/>
    </row>
    <row r="66" spans="1:17" s="36" customFormat="1">
      <c r="A66" s="60"/>
      <c r="B66" s="68"/>
      <c r="C66" s="13"/>
      <c r="D66" s="241"/>
      <c r="E66" s="241"/>
      <c r="F66" s="241"/>
      <c r="G66" s="241"/>
      <c r="H66" s="241"/>
      <c r="I66" s="241"/>
      <c r="J66" s="241"/>
      <c r="K66" s="241"/>
      <c r="L66" s="241"/>
      <c r="M66" s="241"/>
      <c r="N66" s="241"/>
      <c r="O66" s="241"/>
      <c r="P66" s="241"/>
      <c r="Q66" s="241"/>
    </row>
    <row r="67" spans="1:17" s="1001" customFormat="1" ht="30" customHeight="1">
      <c r="A67" s="82" t="s">
        <v>78</v>
      </c>
      <c r="B67" s="80" t="s">
        <v>503</v>
      </c>
      <c r="C67" s="1002" t="s">
        <v>240</v>
      </c>
      <c r="D67" s="1000">
        <v>1011130</v>
      </c>
      <c r="E67" s="1000">
        <f t="shared" ref="E67:N67" si="6">E68+E69+E70+E71+E77+E78+E79+E80</f>
        <v>1324478</v>
      </c>
      <c r="F67" s="1000">
        <v>948511</v>
      </c>
      <c r="G67" s="1000">
        <v>1869399</v>
      </c>
      <c r="H67" s="1000">
        <v>1420755.6500479099</v>
      </c>
      <c r="I67" s="1000">
        <v>2128929</v>
      </c>
      <c r="J67" s="1000">
        <v>0</v>
      </c>
      <c r="K67" s="1000">
        <v>1448534.7916666665</v>
      </c>
      <c r="L67" s="1000">
        <v>1473145.1666666665</v>
      </c>
      <c r="M67" s="1000">
        <v>1654217</v>
      </c>
      <c r="N67" s="1000">
        <v>1292073.3333333335</v>
      </c>
      <c r="O67" s="1000">
        <v>1515727.2916666665</v>
      </c>
      <c r="P67" s="1000">
        <v>1700241.8333333335</v>
      </c>
      <c r="Q67" s="1000">
        <v>1331212.75</v>
      </c>
    </row>
    <row r="68" spans="1:17" s="36" customFormat="1" ht="15" customHeight="1" outlineLevel="1">
      <c r="A68" s="60"/>
      <c r="B68" s="68" t="s">
        <v>487</v>
      </c>
      <c r="C68" s="13" t="s">
        <v>240</v>
      </c>
      <c r="D68" s="241"/>
      <c r="E68" s="241">
        <v>723324</v>
      </c>
      <c r="F68" s="241"/>
      <c r="G68" s="1003">
        <v>1230827</v>
      </c>
      <c r="H68" s="1003"/>
      <c r="I68" s="1003">
        <v>1389849</v>
      </c>
      <c r="J68" s="1003"/>
      <c r="K68" s="1003">
        <v>943016.41666666651</v>
      </c>
      <c r="L68" s="1003">
        <v>944231.16666666651</v>
      </c>
      <c r="M68" s="1003">
        <v>1063552</v>
      </c>
      <c r="N68" s="1003">
        <v>824910.33333333349</v>
      </c>
      <c r="O68" s="1003">
        <v>952999.54166666651</v>
      </c>
      <c r="P68" s="1003">
        <v>1073734</v>
      </c>
      <c r="Q68" s="1003">
        <v>832265.08333333349</v>
      </c>
    </row>
    <row r="69" spans="1:17" s="36" customFormat="1" ht="15" customHeight="1" outlineLevel="1">
      <c r="A69" s="60"/>
      <c r="B69" s="68" t="s">
        <v>488</v>
      </c>
      <c r="C69" s="13" t="s">
        <v>240</v>
      </c>
      <c r="D69" s="241"/>
      <c r="E69" s="241">
        <v>192742</v>
      </c>
      <c r="F69" s="241"/>
      <c r="G69" s="1003">
        <v>210547</v>
      </c>
      <c r="H69" s="1003"/>
      <c r="I69" s="1003">
        <v>252577</v>
      </c>
      <c r="J69" s="1003"/>
      <c r="K69" s="1003">
        <v>172445.04166666669</v>
      </c>
      <c r="L69" s="1003">
        <v>176930</v>
      </c>
      <c r="M69" s="1003">
        <v>199236</v>
      </c>
      <c r="N69" s="1003">
        <v>154624</v>
      </c>
      <c r="O69" s="1003">
        <v>180065.16666666669</v>
      </c>
      <c r="P69" s="1003">
        <v>202582</v>
      </c>
      <c r="Q69" s="1003">
        <v>157548.33333333331</v>
      </c>
    </row>
    <row r="70" spans="1:17" s="36" customFormat="1" ht="15" customHeight="1" outlineLevel="1">
      <c r="A70" s="60"/>
      <c r="B70" s="68" t="s">
        <v>489</v>
      </c>
      <c r="C70" s="13" t="s">
        <v>240</v>
      </c>
      <c r="D70" s="241"/>
      <c r="E70" s="241">
        <v>20071</v>
      </c>
      <c r="F70" s="241"/>
      <c r="G70" s="1003">
        <v>20399</v>
      </c>
      <c r="H70" s="1003"/>
      <c r="I70" s="1003">
        <v>22511</v>
      </c>
      <c r="J70" s="1003"/>
      <c r="K70" s="1003">
        <v>15340</v>
      </c>
      <c r="L70" s="1003">
        <v>15339.5</v>
      </c>
      <c r="M70" s="1003">
        <v>17284</v>
      </c>
      <c r="N70" s="1003">
        <v>13395</v>
      </c>
      <c r="O70" s="1003">
        <v>15339.5</v>
      </c>
      <c r="P70" s="1003">
        <v>17284</v>
      </c>
      <c r="Q70" s="1003">
        <v>13395</v>
      </c>
    </row>
    <row r="71" spans="1:17" s="36" customFormat="1" ht="15" customHeight="1" outlineLevel="1">
      <c r="A71" s="60"/>
      <c r="B71" s="68" t="s">
        <v>490</v>
      </c>
      <c r="C71" s="13" t="s">
        <v>240</v>
      </c>
      <c r="D71" s="241"/>
      <c r="E71" s="241">
        <f t="shared" ref="E71" si="7">E72+E73+E74+E75+E76</f>
        <v>379971</v>
      </c>
      <c r="F71" s="241"/>
      <c r="G71" s="1003">
        <v>398375</v>
      </c>
      <c r="H71" s="1003">
        <v>0</v>
      </c>
      <c r="I71" s="1003">
        <v>452478</v>
      </c>
      <c r="J71" s="1003">
        <v>0</v>
      </c>
      <c r="K71" s="1003">
        <v>310056.75</v>
      </c>
      <c r="L71" s="1003">
        <v>328853</v>
      </c>
      <c r="M71" s="1003">
        <v>365366</v>
      </c>
      <c r="N71" s="1003">
        <v>292340</v>
      </c>
      <c r="O71" s="1003">
        <v>359531.58333333337</v>
      </c>
      <c r="P71" s="1003">
        <v>397862.83333333337</v>
      </c>
      <c r="Q71" s="1003">
        <v>321200.33333333326</v>
      </c>
    </row>
    <row r="72" spans="1:17" s="36" customFormat="1" ht="15" customHeight="1" outlineLevel="1">
      <c r="A72" s="60"/>
      <c r="B72" s="68" t="s">
        <v>491</v>
      </c>
      <c r="C72" s="13" t="s">
        <v>240</v>
      </c>
      <c r="D72" s="241"/>
      <c r="E72" s="241">
        <v>102055</v>
      </c>
      <c r="F72" s="241"/>
      <c r="G72" s="1003">
        <v>103722</v>
      </c>
      <c r="H72" s="1003"/>
      <c r="I72" s="1003">
        <v>115518</v>
      </c>
      <c r="J72" s="1003"/>
      <c r="K72" s="1003">
        <v>77995</v>
      </c>
      <c r="L72" s="1003">
        <v>81120.75</v>
      </c>
      <c r="M72" s="1003">
        <v>87882</v>
      </c>
      <c r="N72" s="1003">
        <v>74359.5</v>
      </c>
      <c r="O72" s="1003">
        <v>105329.375</v>
      </c>
      <c r="P72" s="1003">
        <v>111962</v>
      </c>
      <c r="Q72" s="1003">
        <v>98696.75</v>
      </c>
    </row>
    <row r="73" spans="1:17" s="36" customFormat="1" ht="15" customHeight="1" outlineLevel="1">
      <c r="A73" s="60"/>
      <c r="B73" s="70" t="s">
        <v>492</v>
      </c>
      <c r="C73" s="13" t="s">
        <v>240</v>
      </c>
      <c r="D73" s="241"/>
      <c r="E73" s="241">
        <v>24204</v>
      </c>
      <c r="F73" s="241"/>
      <c r="G73" s="1003">
        <v>30792</v>
      </c>
      <c r="H73" s="1003"/>
      <c r="I73" s="1003">
        <v>44897</v>
      </c>
      <c r="J73" s="1003"/>
      <c r="K73" s="1003">
        <v>30411.791666666672</v>
      </c>
      <c r="L73" s="1003">
        <v>37471.916666666672</v>
      </c>
      <c r="M73" s="1003">
        <v>42150</v>
      </c>
      <c r="N73" s="1003">
        <v>32793.833333333328</v>
      </c>
      <c r="O73" s="1003">
        <v>39239.791666666672</v>
      </c>
      <c r="P73" s="1003">
        <v>44122</v>
      </c>
      <c r="Q73" s="1003">
        <v>34357.583333333328</v>
      </c>
    </row>
    <row r="74" spans="1:17" s="36" customFormat="1" ht="15" customHeight="1" outlineLevel="1">
      <c r="A74" s="60"/>
      <c r="B74" s="70" t="s">
        <v>493</v>
      </c>
      <c r="C74" s="13" t="s">
        <v>240</v>
      </c>
      <c r="D74" s="241"/>
      <c r="E74" s="241">
        <v>4472</v>
      </c>
      <c r="F74" s="241"/>
      <c r="G74" s="1003">
        <v>4520</v>
      </c>
      <c r="H74" s="1003"/>
      <c r="I74" s="1003">
        <v>5339</v>
      </c>
      <c r="J74" s="1003"/>
      <c r="K74" s="1003">
        <v>4877.4166666666661</v>
      </c>
      <c r="L74" s="1003">
        <v>11751.833333333336</v>
      </c>
      <c r="M74" s="1003">
        <v>11662</v>
      </c>
      <c r="N74" s="1003">
        <v>11841.666666666664</v>
      </c>
      <c r="O74" s="1003">
        <v>16368.333333333336</v>
      </c>
      <c r="P74" s="1003">
        <v>18106.833333333336</v>
      </c>
      <c r="Q74" s="1003">
        <v>14629.833333333336</v>
      </c>
    </row>
    <row r="75" spans="1:17" s="36" customFormat="1" ht="15" customHeight="1" outlineLevel="1">
      <c r="A75" s="60"/>
      <c r="B75" s="70" t="s">
        <v>494</v>
      </c>
      <c r="C75" s="13" t="s">
        <v>240</v>
      </c>
      <c r="D75" s="241"/>
      <c r="E75" s="241">
        <v>1328</v>
      </c>
      <c r="F75" s="241"/>
      <c r="G75" s="1003">
        <v>1516</v>
      </c>
      <c r="H75" s="1003"/>
      <c r="I75" s="1003">
        <v>2805</v>
      </c>
      <c r="J75" s="1003"/>
      <c r="K75" s="1003">
        <v>1998</v>
      </c>
      <c r="L75" s="1003">
        <v>1998.5</v>
      </c>
      <c r="M75" s="1003">
        <v>2252</v>
      </c>
      <c r="N75" s="1003">
        <v>1745</v>
      </c>
      <c r="O75" s="1003">
        <v>1998.5</v>
      </c>
      <c r="P75" s="1003">
        <v>2252</v>
      </c>
      <c r="Q75" s="1003">
        <v>1745</v>
      </c>
    </row>
    <row r="76" spans="1:17" s="36" customFormat="1" ht="15" customHeight="1" outlineLevel="1">
      <c r="A76" s="60"/>
      <c r="B76" s="70" t="s">
        <v>495</v>
      </c>
      <c r="C76" s="13" t="s">
        <v>240</v>
      </c>
      <c r="D76" s="241"/>
      <c r="E76" s="241">
        <v>247912</v>
      </c>
      <c r="F76" s="241"/>
      <c r="G76" s="1003">
        <v>257825</v>
      </c>
      <c r="H76" s="1003"/>
      <c r="I76" s="1003">
        <v>283919</v>
      </c>
      <c r="J76" s="1003"/>
      <c r="K76" s="1003">
        <v>194774.54166666663</v>
      </c>
      <c r="L76" s="1003">
        <v>196510</v>
      </c>
      <c r="M76" s="1003">
        <v>221420</v>
      </c>
      <c r="N76" s="1003">
        <v>171600</v>
      </c>
      <c r="O76" s="1003">
        <v>196595.58333333337</v>
      </c>
      <c r="P76" s="1003">
        <v>221420</v>
      </c>
      <c r="Q76" s="1003">
        <v>171771.16666666663</v>
      </c>
    </row>
    <row r="77" spans="1:17" s="36" customFormat="1" ht="15" customHeight="1" outlineLevel="1">
      <c r="A77" s="60"/>
      <c r="B77" s="70" t="s">
        <v>496</v>
      </c>
      <c r="C77" s="13" t="s">
        <v>240</v>
      </c>
      <c r="D77" s="241"/>
      <c r="E77" s="241">
        <v>1798</v>
      </c>
      <c r="F77" s="241"/>
      <c r="G77" s="1003">
        <v>1802</v>
      </c>
      <c r="H77" s="1003"/>
      <c r="I77" s="1003">
        <v>1801</v>
      </c>
      <c r="J77" s="1003"/>
      <c r="K77" s="1003">
        <v>1354</v>
      </c>
      <c r="L77" s="1003">
        <v>1354.5</v>
      </c>
      <c r="M77" s="1003">
        <v>1526</v>
      </c>
      <c r="N77" s="1003">
        <v>1183</v>
      </c>
      <c r="O77" s="1003">
        <v>1354.5</v>
      </c>
      <c r="P77" s="1003">
        <v>1526</v>
      </c>
      <c r="Q77" s="1003">
        <v>1183</v>
      </c>
    </row>
    <row r="78" spans="1:17" s="36" customFormat="1" ht="15" customHeight="1" outlineLevel="1">
      <c r="A78" s="60"/>
      <c r="B78" s="70" t="s">
        <v>497</v>
      </c>
      <c r="C78" s="13" t="s">
        <v>240</v>
      </c>
      <c r="D78" s="241"/>
      <c r="E78" s="241">
        <v>6</v>
      </c>
      <c r="F78" s="241"/>
      <c r="G78" s="1003">
        <v>35</v>
      </c>
      <c r="H78" s="1003"/>
      <c r="I78" s="1003">
        <v>90</v>
      </c>
      <c r="J78" s="1003"/>
      <c r="K78" s="1003">
        <v>112</v>
      </c>
      <c r="L78" s="1003">
        <v>112</v>
      </c>
      <c r="M78" s="1003">
        <v>126</v>
      </c>
      <c r="N78" s="1003">
        <v>98</v>
      </c>
      <c r="O78" s="1003">
        <v>112</v>
      </c>
      <c r="P78" s="1003">
        <v>126</v>
      </c>
      <c r="Q78" s="1003">
        <v>98</v>
      </c>
    </row>
    <row r="79" spans="1:17" s="36" customFormat="1" ht="15" customHeight="1" outlineLevel="1">
      <c r="A79" s="60"/>
      <c r="B79" s="68" t="s">
        <v>498</v>
      </c>
      <c r="C79" s="13" t="s">
        <v>240</v>
      </c>
      <c r="D79" s="241"/>
      <c r="E79" s="241">
        <v>656</v>
      </c>
      <c r="F79" s="241"/>
      <c r="G79" s="1003">
        <v>1172</v>
      </c>
      <c r="H79" s="1003"/>
      <c r="I79" s="1003">
        <v>1351</v>
      </c>
      <c r="J79" s="1003"/>
      <c r="K79" s="1003">
        <v>1088</v>
      </c>
      <c r="L79" s="1003">
        <v>1088</v>
      </c>
      <c r="M79" s="1003">
        <v>1226</v>
      </c>
      <c r="N79" s="1003">
        <v>950</v>
      </c>
      <c r="O79" s="1003">
        <v>1088</v>
      </c>
      <c r="P79" s="1003">
        <v>1226</v>
      </c>
      <c r="Q79" s="1003">
        <v>950</v>
      </c>
    </row>
    <row r="80" spans="1:17" s="36" customFormat="1" ht="15" customHeight="1" outlineLevel="1">
      <c r="A80" s="60"/>
      <c r="B80" s="68" t="s">
        <v>499</v>
      </c>
      <c r="C80" s="13" t="s">
        <v>240</v>
      </c>
      <c r="D80" s="241"/>
      <c r="E80" s="241">
        <v>5910</v>
      </c>
      <c r="F80" s="241"/>
      <c r="G80" s="1003">
        <v>6242</v>
      </c>
      <c r="H80" s="1003"/>
      <c r="I80" s="1003">
        <v>8272</v>
      </c>
      <c r="J80" s="1003"/>
      <c r="K80" s="1003">
        <v>5122.5833333333339</v>
      </c>
      <c r="L80" s="1003">
        <v>5237</v>
      </c>
      <c r="M80" s="1003">
        <v>5901</v>
      </c>
      <c r="N80" s="1003">
        <v>4573</v>
      </c>
      <c r="O80" s="1003">
        <v>5237</v>
      </c>
      <c r="P80" s="1003">
        <v>5901</v>
      </c>
      <c r="Q80" s="1003">
        <v>4573</v>
      </c>
    </row>
    <row r="81" spans="1:17" s="36" customFormat="1">
      <c r="A81" s="60"/>
      <c r="B81" s="68"/>
      <c r="C81" s="13"/>
      <c r="D81" s="66"/>
      <c r="E81" s="66"/>
      <c r="F81" s="66"/>
      <c r="G81" s="66"/>
      <c r="H81" s="66"/>
      <c r="I81" s="66"/>
      <c r="J81" s="66"/>
      <c r="K81" s="66"/>
      <c r="L81" s="66"/>
      <c r="M81" s="66"/>
      <c r="N81" s="66"/>
      <c r="O81" s="66"/>
      <c r="P81" s="66"/>
      <c r="Q81" s="66"/>
    </row>
    <row r="82" spans="1:17" s="1001" customFormat="1" ht="15" customHeight="1">
      <c r="A82" s="82" t="s">
        <v>86</v>
      </c>
      <c r="B82" s="80" t="s">
        <v>504</v>
      </c>
      <c r="C82" s="999"/>
      <c r="D82" s="432">
        <f>D97/D67*100</f>
        <v>5.1909250046977142</v>
      </c>
      <c r="E82" s="432">
        <f>E97/E67*100</f>
        <v>5.9365274470395129</v>
      </c>
      <c r="F82" s="432">
        <f t="shared" ref="F82:N95" si="8">F97/F67*100</f>
        <v>6.3834789475293379</v>
      </c>
      <c r="G82" s="432">
        <v>4.8980447726782774</v>
      </c>
      <c r="H82" s="432">
        <v>4.8601601547508544</v>
      </c>
      <c r="I82" s="432">
        <v>3.0704640690224991</v>
      </c>
      <c r="J82" s="432" t="e">
        <v>#DIV/0!</v>
      </c>
      <c r="K82" s="432">
        <v>4.9623247169158144</v>
      </c>
      <c r="L82" s="432">
        <v>5.1709771530775832</v>
      </c>
      <c r="M82" s="432">
        <v>2.5700981189287742</v>
      </c>
      <c r="N82" s="432">
        <v>2.605192687721543</v>
      </c>
      <c r="O82" s="432">
        <v>5.5137227164462166</v>
      </c>
      <c r="P82" s="432">
        <v>2.7400219831472992</v>
      </c>
      <c r="Q82" s="432">
        <v>2.7783688219632814</v>
      </c>
    </row>
    <row r="83" spans="1:17" s="36" customFormat="1" ht="15" customHeight="1" outlineLevel="1">
      <c r="A83" s="60"/>
      <c r="B83" s="68" t="s">
        <v>487</v>
      </c>
      <c r="C83" s="13" t="s">
        <v>138</v>
      </c>
      <c r="D83" s="66"/>
      <c r="E83" s="1004">
        <f t="shared" ref="E83:E95" si="9">E98/E68*100</f>
        <v>2.8695301137526199</v>
      </c>
      <c r="F83" s="66"/>
      <c r="G83" s="1004">
        <v>2.833866985368374</v>
      </c>
      <c r="H83" s="1004"/>
      <c r="I83" s="1004">
        <v>1.7644362804880243</v>
      </c>
      <c r="J83" s="1004" t="e">
        <v>#DIV/0!</v>
      </c>
      <c r="K83" s="1004">
        <v>2.8671823228245326</v>
      </c>
      <c r="L83" s="1004">
        <v>2.8765201741734505</v>
      </c>
      <c r="M83" s="1004">
        <v>1.4387636899747263</v>
      </c>
      <c r="N83" s="1004">
        <v>1.4376107948702301</v>
      </c>
      <c r="O83" s="1004">
        <v>2.9761819140434183</v>
      </c>
      <c r="P83" s="1004">
        <v>1.4881711857871689</v>
      </c>
      <c r="Q83" s="1004">
        <v>1.4879874511135822</v>
      </c>
    </row>
    <row r="84" spans="1:17" s="36" customFormat="1" ht="15" customHeight="1" outlineLevel="1">
      <c r="A84" s="60"/>
      <c r="B84" s="68" t="s">
        <v>488</v>
      </c>
      <c r="C84" s="13" t="s">
        <v>138</v>
      </c>
      <c r="D84" s="66"/>
      <c r="E84" s="1004">
        <f t="shared" si="9"/>
        <v>5.3750609623226904</v>
      </c>
      <c r="F84" s="66"/>
      <c r="G84" s="1004">
        <v>5.4386906486437709</v>
      </c>
      <c r="H84" s="1004"/>
      <c r="I84" s="1004">
        <v>3.4943799316644033</v>
      </c>
      <c r="J84" s="1004" t="e">
        <v>#DIV/0!</v>
      </c>
      <c r="K84" s="1004">
        <v>5.1256910112183078</v>
      </c>
      <c r="L84" s="1004">
        <v>5.2540552760978914</v>
      </c>
      <c r="M84" s="1004">
        <v>2.6285410267220781</v>
      </c>
      <c r="N84" s="1004">
        <v>2.6250776076158941</v>
      </c>
      <c r="O84" s="1004">
        <v>5.3280710409472114</v>
      </c>
      <c r="P84" s="1004">
        <v>2.668055404725</v>
      </c>
      <c r="Q84" s="1004">
        <v>2.6588665912048155</v>
      </c>
    </row>
    <row r="85" spans="1:17" s="36" customFormat="1" ht="15" customHeight="1" outlineLevel="1">
      <c r="A85" s="60"/>
      <c r="B85" s="68" t="s">
        <v>489</v>
      </c>
      <c r="C85" s="13" t="s">
        <v>138</v>
      </c>
      <c r="D85" s="66"/>
      <c r="E85" s="1004">
        <f t="shared" si="9"/>
        <v>8.5745603108963167</v>
      </c>
      <c r="F85" s="66"/>
      <c r="G85" s="1004">
        <v>7.059169567135644</v>
      </c>
      <c r="H85" s="1004"/>
      <c r="I85" s="1004">
        <v>5.1352672027009012</v>
      </c>
      <c r="J85" s="1004" t="e">
        <v>#DIV/0!</v>
      </c>
      <c r="K85" s="1004">
        <v>7.9986962190352022</v>
      </c>
      <c r="L85" s="1004">
        <v>7.9989569412301575</v>
      </c>
      <c r="M85" s="1004">
        <v>3.9979171488081464</v>
      </c>
      <c r="N85" s="1004">
        <v>4.0014930944382225</v>
      </c>
      <c r="O85" s="1004">
        <v>7.9989569412301575</v>
      </c>
      <c r="P85" s="1004">
        <v>3.9979171488081464</v>
      </c>
      <c r="Q85" s="1004">
        <v>4.0014930944382225</v>
      </c>
    </row>
    <row r="86" spans="1:17" s="36" customFormat="1" ht="15" customHeight="1" outlineLevel="1">
      <c r="A86" s="60"/>
      <c r="B86" s="68" t="s">
        <v>490</v>
      </c>
      <c r="C86" s="13" t="s">
        <v>138</v>
      </c>
      <c r="D86" s="66"/>
      <c r="E86" s="1004">
        <f t="shared" si="9"/>
        <v>11.714841395790732</v>
      </c>
      <c r="F86" s="66"/>
      <c r="G86" s="1004">
        <v>10.708001255098839</v>
      </c>
      <c r="H86" s="1004"/>
      <c r="I86" s="1004">
        <v>6.6633073873204882</v>
      </c>
      <c r="J86" s="1004" t="e">
        <v>#DIV/0!</v>
      </c>
      <c r="K86" s="1004">
        <v>10.960574152957482</v>
      </c>
      <c r="L86" s="1004">
        <v>11.458919334778761</v>
      </c>
      <c r="M86" s="1004">
        <v>5.7011325629642604</v>
      </c>
      <c r="N86" s="1004">
        <v>5.7648628309502632</v>
      </c>
      <c r="O86" s="1004">
        <v>12.121327310373056</v>
      </c>
      <c r="P86" s="1004">
        <v>6.0465562461434565</v>
      </c>
      <c r="Q86" s="1004">
        <v>6.0781381505415633</v>
      </c>
    </row>
    <row r="87" spans="1:17" s="36" customFormat="1" ht="15" customHeight="1" outlineLevel="1">
      <c r="A87" s="60"/>
      <c r="B87" s="68" t="s">
        <v>491</v>
      </c>
      <c r="C87" s="13" t="s">
        <v>138</v>
      </c>
      <c r="D87" s="66"/>
      <c r="E87" s="1004">
        <f t="shared" si="9"/>
        <v>12.291411493802361</v>
      </c>
      <c r="F87" s="66"/>
      <c r="G87" s="1004">
        <v>11.861514432810782</v>
      </c>
      <c r="H87" s="1004"/>
      <c r="I87" s="1004">
        <v>7.4083692584705414</v>
      </c>
      <c r="J87" s="1004" t="e">
        <v>#DIV/0!</v>
      </c>
      <c r="K87" s="1004">
        <v>11.644336175395859</v>
      </c>
      <c r="L87" s="1004">
        <v>11.775039062138848</v>
      </c>
      <c r="M87" s="1004">
        <v>5.8225802781001796</v>
      </c>
      <c r="N87" s="1004">
        <v>5.9642681836214608</v>
      </c>
      <c r="O87" s="1004">
        <v>13.424555115797467</v>
      </c>
      <c r="P87" s="1004">
        <v>6.7004876654579233</v>
      </c>
      <c r="Q87" s="1004">
        <v>6.7256520604781826</v>
      </c>
    </row>
    <row r="88" spans="1:17" s="36" customFormat="1" ht="15" customHeight="1" outlineLevel="1">
      <c r="A88" s="60"/>
      <c r="B88" s="70" t="s">
        <v>492</v>
      </c>
      <c r="C88" s="13" t="s">
        <v>138</v>
      </c>
      <c r="D88" s="66"/>
      <c r="E88" s="1004">
        <f t="shared" si="9"/>
        <v>29.528177160799867</v>
      </c>
      <c r="F88" s="66"/>
      <c r="G88" s="1004">
        <v>11.252922837100545</v>
      </c>
      <c r="H88" s="1004"/>
      <c r="I88" s="1004">
        <v>5.4212976368131498</v>
      </c>
      <c r="J88" s="1004" t="e">
        <v>#DIV/0!</v>
      </c>
      <c r="K88" s="1004">
        <v>14.323391557276985</v>
      </c>
      <c r="L88" s="1004">
        <v>15.563655448635977</v>
      </c>
      <c r="M88" s="1004">
        <v>7.795966785290628</v>
      </c>
      <c r="N88" s="1004">
        <v>7.763654752163772</v>
      </c>
      <c r="O88" s="1004">
        <v>15.751867523931381</v>
      </c>
      <c r="P88" s="1004">
        <v>7.8917546802048859</v>
      </c>
      <c r="Q88" s="1004">
        <v>7.8556165426846585</v>
      </c>
    </row>
    <row r="89" spans="1:17" s="36" customFormat="1" ht="15" customHeight="1" outlineLevel="1">
      <c r="A89" s="60"/>
      <c r="B89" s="70" t="s">
        <v>493</v>
      </c>
      <c r="C89" s="13" t="s">
        <v>138</v>
      </c>
      <c r="D89" s="66"/>
      <c r="E89" s="1004">
        <f t="shared" si="9"/>
        <v>18.872987477638638</v>
      </c>
      <c r="F89" s="66"/>
      <c r="G89" s="1004">
        <v>19.070796460176993</v>
      </c>
      <c r="H89" s="1004"/>
      <c r="I89" s="1004">
        <v>7.5856902041580829</v>
      </c>
      <c r="J89" s="1004" t="e">
        <v>#DIV/0!</v>
      </c>
      <c r="K89" s="1004">
        <v>13.101197696868223</v>
      </c>
      <c r="L89" s="1004">
        <v>17.273900526159036</v>
      </c>
      <c r="M89" s="1004">
        <v>8.6434573829531818</v>
      </c>
      <c r="N89" s="1004">
        <v>8.6305418719211833</v>
      </c>
      <c r="O89" s="1004">
        <v>18.266978922716625</v>
      </c>
      <c r="P89" s="1004">
        <v>9.1346729135409266</v>
      </c>
      <c r="Q89" s="1004">
        <v>9.1320247439592599</v>
      </c>
    </row>
    <row r="90" spans="1:17" s="36" customFormat="1" ht="15" customHeight="1" outlineLevel="1">
      <c r="A90" s="60"/>
      <c r="B90" s="70" t="s">
        <v>494</v>
      </c>
      <c r="C90" s="13" t="s">
        <v>138</v>
      </c>
      <c r="D90" s="66"/>
      <c r="E90" s="1004">
        <f t="shared" si="9"/>
        <v>32.53012048192771</v>
      </c>
      <c r="F90" s="66"/>
      <c r="G90" s="1004">
        <v>31.86015831134565</v>
      </c>
      <c r="H90" s="1004"/>
      <c r="I90" s="1004">
        <v>9.4117647058823533</v>
      </c>
      <c r="J90" s="1004" t="e">
        <v>#DIV/0!</v>
      </c>
      <c r="K90" s="1004">
        <v>14.064064064064063</v>
      </c>
      <c r="L90" s="1004">
        <v>14.060545409056793</v>
      </c>
      <c r="M90" s="1004">
        <v>7.0159857904085259</v>
      </c>
      <c r="N90" s="1004">
        <v>7.0487106017191978</v>
      </c>
      <c r="O90" s="1004">
        <v>14.060545409056793</v>
      </c>
      <c r="P90" s="1004">
        <v>7.0159857904085259</v>
      </c>
      <c r="Q90" s="1004">
        <v>7.0487106017191978</v>
      </c>
    </row>
    <row r="91" spans="1:17" s="36" customFormat="1" ht="15" customHeight="1" outlineLevel="1">
      <c r="A91" s="60"/>
      <c r="B91" s="70" t="s">
        <v>495</v>
      </c>
      <c r="C91" s="13" t="s">
        <v>138</v>
      </c>
      <c r="D91" s="66"/>
      <c r="E91" s="1004">
        <f t="shared" si="9"/>
        <v>9.4977249991932613</v>
      </c>
      <c r="F91" s="66"/>
      <c r="G91" s="1004">
        <v>9.9078832541452542</v>
      </c>
      <c r="H91" s="1004"/>
      <c r="I91" s="1004">
        <v>6.5120685829409091</v>
      </c>
      <c r="J91" s="1004" t="e">
        <v>#DIV/0!</v>
      </c>
      <c r="K91" s="1004">
        <v>10.076265528370518</v>
      </c>
      <c r="L91" s="1004">
        <v>10.171492544908656</v>
      </c>
      <c r="M91" s="1004">
        <v>5.0858097732815466</v>
      </c>
      <c r="N91" s="1004">
        <v>5.085664335664335</v>
      </c>
      <c r="O91" s="1004">
        <v>10.167064621238097</v>
      </c>
      <c r="P91" s="1004">
        <v>5.0858097732815466</v>
      </c>
      <c r="Q91" s="1004">
        <v>5.0805965688847676</v>
      </c>
    </row>
    <row r="92" spans="1:17" s="36" customFormat="1" ht="15" customHeight="1" outlineLevel="1">
      <c r="A92" s="60"/>
      <c r="B92" s="70" t="s">
        <v>496</v>
      </c>
      <c r="C92" s="13" t="s">
        <v>138</v>
      </c>
      <c r="D92" s="66"/>
      <c r="E92" s="1004">
        <f t="shared" si="9"/>
        <v>18.409343715239153</v>
      </c>
      <c r="F92" s="66"/>
      <c r="G92" s="1004">
        <v>10.654827968923417</v>
      </c>
      <c r="H92" s="1004"/>
      <c r="I92" s="1004">
        <v>5.0527484730705163</v>
      </c>
      <c r="J92" s="1004" t="e">
        <v>#DIV/0!</v>
      </c>
      <c r="K92" s="1004">
        <v>9.4534711964549487</v>
      </c>
      <c r="L92" s="1004">
        <v>9.4499815430047978</v>
      </c>
      <c r="M92" s="1004">
        <v>4.7182175622542593</v>
      </c>
      <c r="N92" s="1004">
        <v>4.7337278106508878</v>
      </c>
      <c r="O92" s="1004">
        <v>9.4499815430047978</v>
      </c>
      <c r="P92" s="1004">
        <v>4.7182175622542593</v>
      </c>
      <c r="Q92" s="1004">
        <v>4.7337278106508878</v>
      </c>
    </row>
    <row r="93" spans="1:17" s="36" customFormat="1" ht="15" customHeight="1" outlineLevel="1">
      <c r="A93" s="60"/>
      <c r="B93" s="70" t="s">
        <v>497</v>
      </c>
      <c r="C93" s="13" t="s">
        <v>138</v>
      </c>
      <c r="D93" s="66"/>
      <c r="E93" s="1004">
        <f t="shared" si="9"/>
        <v>33.333333333333329</v>
      </c>
      <c r="F93" s="66"/>
      <c r="G93" s="1004">
        <v>22.857142857142858</v>
      </c>
      <c r="H93" s="1004"/>
      <c r="I93" s="1004">
        <v>14.444444444444443</v>
      </c>
      <c r="J93" s="1004" t="e">
        <v>#DIV/0!</v>
      </c>
      <c r="K93" s="1004">
        <v>11.607142857142858</v>
      </c>
      <c r="L93" s="1004">
        <v>11.607142857142858</v>
      </c>
      <c r="M93" s="1004">
        <v>5.5555555555555554</v>
      </c>
      <c r="N93" s="1004">
        <v>6.1224489795918364</v>
      </c>
      <c r="O93" s="1004">
        <v>11.607142857142858</v>
      </c>
      <c r="P93" s="1004">
        <v>5.5555555555555554</v>
      </c>
      <c r="Q93" s="1004">
        <v>6.1224489795918364</v>
      </c>
    </row>
    <row r="94" spans="1:17" s="36" customFormat="1" ht="15" customHeight="1" outlineLevel="1">
      <c r="A94" s="60"/>
      <c r="B94" s="68" t="s">
        <v>498</v>
      </c>
      <c r="C94" s="13" t="s">
        <v>138</v>
      </c>
      <c r="D94" s="66"/>
      <c r="E94" s="1004">
        <f t="shared" si="9"/>
        <v>41.310975609756099</v>
      </c>
      <c r="F94" s="66"/>
      <c r="G94" s="1004">
        <v>25.426621160409557</v>
      </c>
      <c r="H94" s="1004"/>
      <c r="I94" s="1004">
        <v>10.73279052553664</v>
      </c>
      <c r="J94" s="1004" t="e">
        <v>#DIV/0!</v>
      </c>
      <c r="K94" s="1004">
        <v>14.0625</v>
      </c>
      <c r="L94" s="1004">
        <v>14.0625</v>
      </c>
      <c r="M94" s="1004">
        <v>7.0146818923327903</v>
      </c>
      <c r="N94" s="1004">
        <v>7.052631578947369</v>
      </c>
      <c r="O94" s="1004">
        <v>14.0625</v>
      </c>
      <c r="P94" s="1004">
        <v>7.0146818923327903</v>
      </c>
      <c r="Q94" s="1004">
        <v>7.052631578947369</v>
      </c>
    </row>
    <row r="95" spans="1:17" s="36" customFormat="1" ht="15" customHeight="1" outlineLevel="1">
      <c r="A95" s="60"/>
      <c r="B95" s="68" t="s">
        <v>499</v>
      </c>
      <c r="C95" s="13" t="s">
        <v>138</v>
      </c>
      <c r="D95" s="66"/>
      <c r="E95" s="1004">
        <f t="shared" si="9"/>
        <v>11.40439932318105</v>
      </c>
      <c r="F95" s="66"/>
      <c r="G95" s="1004">
        <v>10.205062479974366</v>
      </c>
      <c r="H95" s="1004"/>
      <c r="I95" s="1004">
        <v>5.6092843326885884</v>
      </c>
      <c r="J95" s="1004" t="e">
        <v>#DIV/0!</v>
      </c>
      <c r="K95" s="1004">
        <v>9.7411787672235679</v>
      </c>
      <c r="L95" s="1004">
        <v>9.8338743555470689</v>
      </c>
      <c r="M95" s="1004">
        <v>4.9144212845280464</v>
      </c>
      <c r="N95" s="1004">
        <v>4.9201836868576425</v>
      </c>
      <c r="O95" s="1004">
        <v>9.8338743555470689</v>
      </c>
      <c r="P95" s="1004">
        <v>4.9144212845280464</v>
      </c>
      <c r="Q95" s="1004">
        <v>4.9201836868576425</v>
      </c>
    </row>
    <row r="96" spans="1:17" s="36" customFormat="1">
      <c r="A96" s="60"/>
      <c r="B96" s="68"/>
      <c r="C96" s="13"/>
      <c r="D96" s="66"/>
      <c r="E96" s="66"/>
      <c r="F96" s="66"/>
      <c r="G96" s="66"/>
      <c r="H96" s="66"/>
      <c r="I96" s="66"/>
      <c r="J96" s="66"/>
      <c r="K96" s="66"/>
      <c r="L96" s="1004"/>
      <c r="M96" s="1004"/>
      <c r="N96" s="1004"/>
      <c r="O96" s="1004"/>
      <c r="P96" s="1004"/>
      <c r="Q96" s="1004"/>
    </row>
    <row r="97" spans="1:17" s="1001" customFormat="1" ht="15" customHeight="1">
      <c r="A97" s="82" t="s">
        <v>109</v>
      </c>
      <c r="B97" s="80" t="s">
        <v>505</v>
      </c>
      <c r="C97" s="999" t="s">
        <v>240</v>
      </c>
      <c r="D97" s="1000">
        <v>52487</v>
      </c>
      <c r="E97" s="1000">
        <f t="shared" ref="E97:N97" si="10">E98+E99+E100+E101+E107+E108+E109+E110</f>
        <v>78628</v>
      </c>
      <c r="F97" s="1000">
        <v>60548</v>
      </c>
      <c r="G97" s="1000">
        <v>91564</v>
      </c>
      <c r="H97" s="1000">
        <v>69051</v>
      </c>
      <c r="I97" s="1000">
        <v>65368</v>
      </c>
      <c r="J97" s="1000">
        <v>0</v>
      </c>
      <c r="K97" s="1000">
        <v>71881</v>
      </c>
      <c r="L97" s="1000">
        <v>76176</v>
      </c>
      <c r="M97" s="1000">
        <v>42515</v>
      </c>
      <c r="N97" s="1000">
        <v>33661</v>
      </c>
      <c r="O97" s="1000">
        <v>83573</v>
      </c>
      <c r="P97" s="1000">
        <v>46587</v>
      </c>
      <c r="Q97" s="1000">
        <v>36986</v>
      </c>
    </row>
    <row r="98" spans="1:17" s="36" customFormat="1" ht="15" customHeight="1" outlineLevel="1">
      <c r="A98" s="60"/>
      <c r="B98" s="68" t="s">
        <v>487</v>
      </c>
      <c r="C98" s="13" t="s">
        <v>240</v>
      </c>
      <c r="D98" s="241"/>
      <c r="E98" s="241">
        <v>20756</v>
      </c>
      <c r="F98" s="241"/>
      <c r="G98" s="1003">
        <v>34880</v>
      </c>
      <c r="H98" s="1003"/>
      <c r="I98" s="1003">
        <v>24523</v>
      </c>
      <c r="J98" s="1003"/>
      <c r="K98" s="1003">
        <v>27038</v>
      </c>
      <c r="L98" s="1003">
        <v>27161</v>
      </c>
      <c r="M98" s="1003">
        <v>15302</v>
      </c>
      <c r="N98" s="1003">
        <v>11859</v>
      </c>
      <c r="O98" s="1003">
        <v>28363</v>
      </c>
      <c r="P98" s="1003">
        <v>15979</v>
      </c>
      <c r="Q98" s="1003">
        <v>12384</v>
      </c>
    </row>
    <row r="99" spans="1:17" s="36" customFormat="1" ht="15" customHeight="1" outlineLevel="1">
      <c r="A99" s="60"/>
      <c r="B99" s="68" t="s">
        <v>488</v>
      </c>
      <c r="C99" s="13" t="s">
        <v>240</v>
      </c>
      <c r="D99" s="241"/>
      <c r="E99" s="241">
        <v>10360</v>
      </c>
      <c r="F99" s="241"/>
      <c r="G99" s="1003">
        <v>11451</v>
      </c>
      <c r="H99" s="1003"/>
      <c r="I99" s="1003">
        <v>8826</v>
      </c>
      <c r="J99" s="1003"/>
      <c r="K99" s="1003">
        <v>8839</v>
      </c>
      <c r="L99" s="1003">
        <v>9296</v>
      </c>
      <c r="M99" s="1003">
        <v>5237</v>
      </c>
      <c r="N99" s="1003">
        <v>4059</v>
      </c>
      <c r="O99" s="1003">
        <v>9594</v>
      </c>
      <c r="P99" s="1003">
        <v>5405</v>
      </c>
      <c r="Q99" s="1003">
        <v>4189</v>
      </c>
    </row>
    <row r="100" spans="1:17" s="36" customFormat="1" ht="15" customHeight="1" outlineLevel="1">
      <c r="A100" s="60"/>
      <c r="B100" s="68" t="s">
        <v>489</v>
      </c>
      <c r="C100" s="13" t="s">
        <v>240</v>
      </c>
      <c r="D100" s="241"/>
      <c r="E100" s="241">
        <v>1721</v>
      </c>
      <c r="F100" s="241"/>
      <c r="G100" s="1003">
        <v>1440</v>
      </c>
      <c r="H100" s="1003"/>
      <c r="I100" s="1003">
        <v>1156</v>
      </c>
      <c r="J100" s="1003"/>
      <c r="K100" s="1003">
        <v>1227</v>
      </c>
      <c r="L100" s="1003">
        <v>1227</v>
      </c>
      <c r="M100" s="1003">
        <v>691</v>
      </c>
      <c r="N100" s="1003">
        <v>536</v>
      </c>
      <c r="O100" s="1003">
        <v>1227</v>
      </c>
      <c r="P100" s="1003">
        <v>691</v>
      </c>
      <c r="Q100" s="1003">
        <v>536</v>
      </c>
    </row>
    <row r="101" spans="1:17" s="36" customFormat="1" ht="15" customHeight="1" outlineLevel="1">
      <c r="A101" s="60"/>
      <c r="B101" s="68" t="s">
        <v>490</v>
      </c>
      <c r="C101" s="13" t="s">
        <v>240</v>
      </c>
      <c r="D101" s="241"/>
      <c r="E101" s="241">
        <f t="shared" ref="E101" si="11">E102+E103+E104+E105+E106</f>
        <v>44513</v>
      </c>
      <c r="F101" s="241"/>
      <c r="G101" s="1003">
        <v>42658</v>
      </c>
      <c r="H101" s="1003">
        <v>0</v>
      </c>
      <c r="I101" s="1003">
        <v>30150</v>
      </c>
      <c r="J101" s="1003">
        <v>0</v>
      </c>
      <c r="K101" s="1003">
        <v>33984</v>
      </c>
      <c r="L101" s="1003">
        <v>37683</v>
      </c>
      <c r="M101" s="1003">
        <v>20830</v>
      </c>
      <c r="N101" s="1003">
        <v>16853</v>
      </c>
      <c r="O101" s="1003">
        <v>43580</v>
      </c>
      <c r="P101" s="1003">
        <v>24057</v>
      </c>
      <c r="Q101" s="1003">
        <v>19523</v>
      </c>
    </row>
    <row r="102" spans="1:17" s="36" customFormat="1" ht="15" customHeight="1" outlineLevel="1">
      <c r="A102" s="60"/>
      <c r="B102" s="68" t="s">
        <v>491</v>
      </c>
      <c r="C102" s="13" t="s">
        <v>240</v>
      </c>
      <c r="D102" s="241"/>
      <c r="E102" s="241">
        <v>12544</v>
      </c>
      <c r="F102" s="241"/>
      <c r="G102" s="1003">
        <v>12303</v>
      </c>
      <c r="H102" s="1003"/>
      <c r="I102" s="1003">
        <v>8558</v>
      </c>
      <c r="J102" s="1003"/>
      <c r="K102" s="1003">
        <v>9082</v>
      </c>
      <c r="L102" s="1003">
        <v>9552</v>
      </c>
      <c r="M102" s="1003">
        <v>5117</v>
      </c>
      <c r="N102" s="1003">
        <v>4435</v>
      </c>
      <c r="O102" s="1003">
        <v>14140</v>
      </c>
      <c r="P102" s="1003">
        <v>7502</v>
      </c>
      <c r="Q102" s="1003">
        <v>6638</v>
      </c>
    </row>
    <row r="103" spans="1:17" s="36" customFormat="1" ht="15" customHeight="1" outlineLevel="1">
      <c r="A103" s="60"/>
      <c r="B103" s="70" t="s">
        <v>492</v>
      </c>
      <c r="C103" s="13" t="s">
        <v>240</v>
      </c>
      <c r="D103" s="241"/>
      <c r="E103" s="241">
        <v>7147</v>
      </c>
      <c r="F103" s="241"/>
      <c r="G103" s="1003">
        <v>3465</v>
      </c>
      <c r="H103" s="1003"/>
      <c r="I103" s="1003">
        <v>2434</v>
      </c>
      <c r="J103" s="1003"/>
      <c r="K103" s="1003">
        <v>4356</v>
      </c>
      <c r="L103" s="1003">
        <v>5832</v>
      </c>
      <c r="M103" s="1003">
        <v>3286</v>
      </c>
      <c r="N103" s="1003">
        <v>2546</v>
      </c>
      <c r="O103" s="1003">
        <v>6181</v>
      </c>
      <c r="P103" s="1003">
        <v>3482</v>
      </c>
      <c r="Q103" s="1003">
        <v>2699</v>
      </c>
    </row>
    <row r="104" spans="1:17" s="36" customFormat="1" ht="15" customHeight="1" outlineLevel="1">
      <c r="A104" s="60"/>
      <c r="B104" s="70" t="s">
        <v>493</v>
      </c>
      <c r="C104" s="13" t="s">
        <v>240</v>
      </c>
      <c r="D104" s="241"/>
      <c r="E104" s="241">
        <v>844</v>
      </c>
      <c r="F104" s="241"/>
      <c r="G104" s="1003">
        <v>862</v>
      </c>
      <c r="H104" s="1003"/>
      <c r="I104" s="1003">
        <v>405</v>
      </c>
      <c r="J104" s="1003"/>
      <c r="K104" s="1003">
        <v>639</v>
      </c>
      <c r="L104" s="1003">
        <v>2030</v>
      </c>
      <c r="M104" s="1003">
        <v>1008</v>
      </c>
      <c r="N104" s="1003">
        <v>1022</v>
      </c>
      <c r="O104" s="1003">
        <v>2990</v>
      </c>
      <c r="P104" s="1003">
        <v>1654</v>
      </c>
      <c r="Q104" s="1003">
        <v>1336</v>
      </c>
    </row>
    <row r="105" spans="1:17" s="36" customFormat="1" ht="15" customHeight="1" outlineLevel="1">
      <c r="A105" s="60"/>
      <c r="B105" s="70" t="s">
        <v>494</v>
      </c>
      <c r="C105" s="13" t="s">
        <v>240</v>
      </c>
      <c r="D105" s="241"/>
      <c r="E105" s="241">
        <v>432</v>
      </c>
      <c r="F105" s="241"/>
      <c r="G105" s="1003">
        <v>483</v>
      </c>
      <c r="H105" s="1003"/>
      <c r="I105" s="1003">
        <v>264</v>
      </c>
      <c r="J105" s="1003"/>
      <c r="K105" s="1003">
        <v>281</v>
      </c>
      <c r="L105" s="1003">
        <v>281</v>
      </c>
      <c r="M105" s="1003">
        <v>158</v>
      </c>
      <c r="N105" s="1003">
        <v>123</v>
      </c>
      <c r="O105" s="1003">
        <v>281</v>
      </c>
      <c r="P105" s="1003">
        <v>158</v>
      </c>
      <c r="Q105" s="1003">
        <v>123</v>
      </c>
    </row>
    <row r="106" spans="1:17" s="36" customFormat="1" ht="15" customHeight="1" outlineLevel="1">
      <c r="A106" s="60"/>
      <c r="B106" s="70" t="s">
        <v>495</v>
      </c>
      <c r="C106" s="13" t="s">
        <v>240</v>
      </c>
      <c r="D106" s="241"/>
      <c r="E106" s="241">
        <f>23929-383</f>
        <v>23546</v>
      </c>
      <c r="F106" s="241"/>
      <c r="G106" s="1003">
        <v>25545</v>
      </c>
      <c r="H106" s="1003"/>
      <c r="I106" s="1003">
        <v>18489</v>
      </c>
      <c r="J106" s="1003"/>
      <c r="K106" s="1003">
        <v>19626</v>
      </c>
      <c r="L106" s="1003">
        <v>19988</v>
      </c>
      <c r="M106" s="1003">
        <v>11261</v>
      </c>
      <c r="N106" s="1003">
        <v>8727</v>
      </c>
      <c r="O106" s="1003">
        <v>19988</v>
      </c>
      <c r="P106" s="1003">
        <v>11261</v>
      </c>
      <c r="Q106" s="1003">
        <v>8727</v>
      </c>
    </row>
    <row r="107" spans="1:17" s="36" customFormat="1" ht="15" customHeight="1" outlineLevel="1">
      <c r="A107" s="60"/>
      <c r="B107" s="70" t="s">
        <v>496</v>
      </c>
      <c r="C107" s="13" t="s">
        <v>240</v>
      </c>
      <c r="D107" s="241"/>
      <c r="E107" s="241">
        <v>331</v>
      </c>
      <c r="F107" s="241"/>
      <c r="G107" s="1003">
        <v>192</v>
      </c>
      <c r="H107" s="1003"/>
      <c r="I107" s="1003">
        <v>91</v>
      </c>
      <c r="J107" s="1003"/>
      <c r="K107" s="1003">
        <v>128</v>
      </c>
      <c r="L107" s="1003">
        <v>128</v>
      </c>
      <c r="M107" s="1003">
        <v>72</v>
      </c>
      <c r="N107" s="1003">
        <v>56</v>
      </c>
      <c r="O107" s="1003">
        <v>128</v>
      </c>
      <c r="P107" s="1003">
        <v>72</v>
      </c>
      <c r="Q107" s="1003">
        <v>56</v>
      </c>
    </row>
    <row r="108" spans="1:17" s="36" customFormat="1" ht="15" customHeight="1" outlineLevel="1">
      <c r="A108" s="60"/>
      <c r="B108" s="70" t="s">
        <v>497</v>
      </c>
      <c r="C108" s="13" t="s">
        <v>240</v>
      </c>
      <c r="D108" s="241"/>
      <c r="E108" s="241">
        <v>2</v>
      </c>
      <c r="F108" s="241"/>
      <c r="G108" s="1003">
        <v>8</v>
      </c>
      <c r="H108" s="1003"/>
      <c r="I108" s="1003">
        <v>13</v>
      </c>
      <c r="J108" s="1003"/>
      <c r="K108" s="1003">
        <v>13</v>
      </c>
      <c r="L108" s="1003">
        <v>13</v>
      </c>
      <c r="M108" s="1003">
        <v>7</v>
      </c>
      <c r="N108" s="1003">
        <v>6</v>
      </c>
      <c r="O108" s="1003">
        <v>13</v>
      </c>
      <c r="P108" s="1003">
        <v>7</v>
      </c>
      <c r="Q108" s="1003">
        <v>6</v>
      </c>
    </row>
    <row r="109" spans="1:17" s="36" customFormat="1" ht="15" customHeight="1" outlineLevel="1">
      <c r="A109" s="60"/>
      <c r="B109" s="68" t="s">
        <v>498</v>
      </c>
      <c r="C109" s="13" t="s">
        <v>240</v>
      </c>
      <c r="D109" s="241"/>
      <c r="E109" s="241">
        <v>271</v>
      </c>
      <c r="F109" s="241"/>
      <c r="G109" s="1003">
        <v>298</v>
      </c>
      <c r="H109" s="1003"/>
      <c r="I109" s="1003">
        <v>145</v>
      </c>
      <c r="J109" s="1003"/>
      <c r="K109" s="1003">
        <v>153</v>
      </c>
      <c r="L109" s="1003">
        <v>153</v>
      </c>
      <c r="M109" s="1003">
        <v>86</v>
      </c>
      <c r="N109" s="1003">
        <v>67</v>
      </c>
      <c r="O109" s="1003">
        <v>153</v>
      </c>
      <c r="P109" s="1003">
        <v>86</v>
      </c>
      <c r="Q109" s="1003">
        <v>67</v>
      </c>
    </row>
    <row r="110" spans="1:17" s="36" customFormat="1" ht="15" customHeight="1" outlineLevel="1">
      <c r="A110" s="60"/>
      <c r="B110" s="68" t="s">
        <v>499</v>
      </c>
      <c r="C110" s="13" t="s">
        <v>240</v>
      </c>
      <c r="D110" s="241"/>
      <c r="E110" s="241">
        <v>674</v>
      </c>
      <c r="F110" s="241"/>
      <c r="G110" s="1003">
        <v>637</v>
      </c>
      <c r="H110" s="1003"/>
      <c r="I110" s="1003">
        <v>464</v>
      </c>
      <c r="J110" s="1003"/>
      <c r="K110" s="1003">
        <v>499</v>
      </c>
      <c r="L110" s="1003">
        <v>515</v>
      </c>
      <c r="M110" s="1003">
        <v>290</v>
      </c>
      <c r="N110" s="1003">
        <v>225</v>
      </c>
      <c r="O110" s="1003">
        <v>515</v>
      </c>
      <c r="P110" s="1003">
        <v>290</v>
      </c>
      <c r="Q110" s="1003">
        <v>225</v>
      </c>
    </row>
    <row r="111" spans="1:17" s="1001" customFormat="1" ht="28.5">
      <c r="A111" s="82" t="s">
        <v>151</v>
      </c>
      <c r="B111" s="80" t="s">
        <v>1524</v>
      </c>
      <c r="C111" s="1002" t="s">
        <v>240</v>
      </c>
      <c r="D111" s="1000">
        <v>53485</v>
      </c>
      <c r="E111" s="1000">
        <v>80015</v>
      </c>
      <c r="F111" s="1000">
        <v>60548</v>
      </c>
      <c r="G111" s="1013">
        <v>93360</v>
      </c>
      <c r="H111" s="1013">
        <v>71146</v>
      </c>
      <c r="I111" s="1013">
        <v>67293</v>
      </c>
      <c r="J111" s="1013">
        <v>0</v>
      </c>
      <c r="K111" s="1013">
        <v>74292</v>
      </c>
      <c r="L111" s="1013">
        <v>79244</v>
      </c>
      <c r="M111" s="1013">
        <v>44029</v>
      </c>
      <c r="N111" s="1013">
        <v>35215</v>
      </c>
      <c r="O111" s="1013">
        <v>87642</v>
      </c>
      <c r="P111" s="1013">
        <v>48551</v>
      </c>
      <c r="Q111" s="1013">
        <v>39091</v>
      </c>
    </row>
    <row r="112" spans="1:17" s="36" customFormat="1" ht="15" customHeight="1">
      <c r="A112" s="60" t="s">
        <v>153</v>
      </c>
      <c r="B112" s="70" t="s">
        <v>402</v>
      </c>
      <c r="C112" s="13" t="s">
        <v>240</v>
      </c>
      <c r="D112" s="241"/>
      <c r="E112" s="241"/>
      <c r="F112" s="241"/>
      <c r="G112" s="241"/>
      <c r="H112" s="241"/>
      <c r="I112" s="241"/>
      <c r="J112" s="241"/>
      <c r="K112" s="241"/>
      <c r="L112" s="241"/>
      <c r="M112" s="241"/>
      <c r="N112" s="241"/>
      <c r="O112" s="241"/>
      <c r="P112" s="241"/>
      <c r="Q112" s="241"/>
    </row>
    <row r="113" spans="1:17" s="36" customFormat="1" ht="15" customHeight="1">
      <c r="A113" s="60" t="s">
        <v>1528</v>
      </c>
      <c r="B113" s="70" t="s">
        <v>404</v>
      </c>
      <c r="C113" s="13" t="s">
        <v>240</v>
      </c>
      <c r="D113" s="241">
        <v>53485</v>
      </c>
      <c r="E113" s="241">
        <v>80015</v>
      </c>
      <c r="F113" s="241">
        <v>60548</v>
      </c>
      <c r="G113" s="241">
        <v>93360</v>
      </c>
      <c r="H113" s="241">
        <v>71146</v>
      </c>
      <c r="I113" s="241">
        <v>67293</v>
      </c>
      <c r="J113" s="241">
        <v>0</v>
      </c>
      <c r="K113" s="241">
        <v>74292</v>
      </c>
      <c r="L113" s="241">
        <v>79244</v>
      </c>
      <c r="M113" s="241">
        <v>44029</v>
      </c>
      <c r="N113" s="241">
        <v>35215</v>
      </c>
      <c r="O113" s="241">
        <v>87642</v>
      </c>
      <c r="P113" s="241">
        <v>48551</v>
      </c>
      <c r="Q113" s="241">
        <v>39091</v>
      </c>
    </row>
    <row r="114" spans="1:17" s="36" customFormat="1" ht="15" customHeight="1">
      <c r="A114" s="60" t="s">
        <v>1529</v>
      </c>
      <c r="B114" s="70" t="s">
        <v>406</v>
      </c>
      <c r="C114" s="13" t="s">
        <v>240</v>
      </c>
      <c r="D114" s="241"/>
      <c r="E114" s="241"/>
      <c r="F114" s="241"/>
      <c r="G114" s="241"/>
      <c r="H114" s="241"/>
      <c r="I114" s="241"/>
      <c r="J114" s="241"/>
      <c r="K114" s="241"/>
      <c r="L114" s="241"/>
      <c r="M114" s="241"/>
      <c r="N114" s="241"/>
      <c r="O114" s="241"/>
      <c r="P114" s="241"/>
      <c r="Q114" s="241"/>
    </row>
    <row r="115" spans="1:17" s="36" customFormat="1" ht="15" customHeight="1">
      <c r="A115" s="60" t="s">
        <v>1530</v>
      </c>
      <c r="B115" s="70" t="s">
        <v>408</v>
      </c>
      <c r="C115" s="13" t="s">
        <v>240</v>
      </c>
      <c r="D115" s="241"/>
      <c r="E115" s="241"/>
      <c r="F115" s="241"/>
      <c r="G115" s="241"/>
      <c r="H115" s="241"/>
      <c r="I115" s="241"/>
      <c r="J115" s="241"/>
      <c r="K115" s="241"/>
      <c r="L115" s="241"/>
      <c r="M115" s="241"/>
      <c r="N115" s="241"/>
      <c r="O115" s="241"/>
      <c r="P115" s="241"/>
      <c r="Q115" s="241"/>
    </row>
    <row r="116" spans="1:17" customFormat="1" ht="12.75"/>
    <row r="117" spans="1:17" s="26" customFormat="1">
      <c r="A117" s="26" t="s">
        <v>88</v>
      </c>
      <c r="C117" s="48"/>
    </row>
    <row r="118" spans="1:17" s="28" customFormat="1" ht="51.75" customHeight="1">
      <c r="A118" s="28" t="s">
        <v>89</v>
      </c>
      <c r="B118" s="1842" t="s">
        <v>506</v>
      </c>
      <c r="C118" s="1842"/>
      <c r="D118" s="1842"/>
      <c r="E118" s="1842"/>
      <c r="F118" s="1842"/>
      <c r="G118" s="1842"/>
      <c r="H118" s="1842"/>
      <c r="I118" s="1842"/>
      <c r="J118" s="1842"/>
      <c r="K118" s="1842"/>
      <c r="L118" s="1842"/>
      <c r="M118" s="1842"/>
      <c r="N118" s="1842"/>
    </row>
    <row r="119" spans="1:17" s="28" customFormat="1" ht="58.5" customHeight="1">
      <c r="A119" s="28" t="s">
        <v>91</v>
      </c>
      <c r="B119" s="1842" t="s">
        <v>507</v>
      </c>
      <c r="C119" s="1842"/>
      <c r="D119" s="1842"/>
      <c r="E119" s="1842"/>
      <c r="F119" s="1842"/>
      <c r="G119" s="1842"/>
      <c r="H119" s="1842"/>
      <c r="I119" s="1842"/>
      <c r="J119" s="1842"/>
      <c r="K119" s="1842"/>
      <c r="L119" s="1842"/>
      <c r="M119" s="1842"/>
      <c r="N119" s="1842"/>
    </row>
    <row r="120" spans="1:17" ht="21" customHeight="1"/>
  </sheetData>
  <mergeCells count="3">
    <mergeCell ref="B118:N118"/>
    <mergeCell ref="B119:N119"/>
    <mergeCell ref="A3:N3"/>
  </mergeCells>
  <pageMargins left="0.78740157480314965" right="0.51181102362204722" top="0.3" bottom="0.39370078740157483" header="0.19685039370078741" footer="0.19685039370078741"/>
  <pageSetup paperSize="9" scale="43" orientation="portrait" r:id="rId1"/>
  <headerFooter alignWithMargins="0"/>
  <rowBreaks count="2" manualBreakCount="2">
    <brk id="115" max="16" man="1"/>
    <brk id="116" max="6" man="1"/>
  </rowBreaks>
  <legacy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 tint="0.39997558519241921"/>
  </sheetPr>
  <dimension ref="A1:Q120"/>
  <sheetViews>
    <sheetView view="pageBreakPreview" zoomScaleNormal="100" workbookViewId="0">
      <pane xSplit="2" ySplit="5" topLeftCell="C6" activePane="bottomRight" state="frozen"/>
      <selection activeCell="Q7" sqref="Q7"/>
      <selection pane="topRight" activeCell="Q7" sqref="Q7"/>
      <selection pane="bottomLeft" activeCell="Q7" sqref="Q7"/>
      <selection pane="bottomRight" activeCell="R2" sqref="R2"/>
    </sheetView>
  </sheetViews>
  <sheetFormatPr defaultColWidth="4.28515625" defaultRowHeight="15" outlineLevelRow="1"/>
  <cols>
    <col min="1" max="1" width="5.42578125" style="1" customWidth="1"/>
    <col min="2" max="2" width="42.28515625" style="1" customWidth="1"/>
    <col min="3" max="3" width="12" style="21" customWidth="1"/>
    <col min="4" max="4" width="12.5703125" style="1" hidden="1" customWidth="1"/>
    <col min="5" max="5" width="11.5703125" style="1" hidden="1" customWidth="1"/>
    <col min="6" max="10" width="12.5703125" style="1" customWidth="1"/>
    <col min="11" max="11" width="15.7109375" style="1" customWidth="1"/>
    <col min="12" max="12" width="12.5703125" style="1" customWidth="1"/>
    <col min="13" max="13" width="11.42578125" style="1" customWidth="1"/>
    <col min="14" max="14" width="11" style="1" customWidth="1"/>
    <col min="15" max="15" width="12.7109375" style="1" customWidth="1"/>
    <col min="16" max="16" width="10.85546875" style="1" customWidth="1"/>
    <col min="17" max="17" width="10.5703125" style="1" customWidth="1"/>
    <col min="18" max="16384" width="4.28515625" style="1"/>
  </cols>
  <sheetData>
    <row r="1" spans="1:17" s="5" customFormat="1" ht="15.75" customHeight="1">
      <c r="A1" s="74" t="s">
        <v>1860</v>
      </c>
      <c r="C1" s="20"/>
      <c r="N1" s="6" t="s">
        <v>943</v>
      </c>
      <c r="Q1" s="6" t="s">
        <v>943</v>
      </c>
    </row>
    <row r="2" spans="1:17" s="5" customFormat="1" ht="12.75" customHeight="1">
      <c r="A2" s="759" t="str">
        <f>'3.1'!$A$2</f>
        <v>ПКГО - Комбинированная выработка КТЭЦ</v>
      </c>
      <c r="C2" s="20"/>
    </row>
    <row r="3" spans="1:17" ht="37.5" customHeight="1">
      <c r="A3" s="1915" t="s">
        <v>1550</v>
      </c>
      <c r="B3" s="1915"/>
      <c r="C3" s="1915"/>
      <c r="D3" s="1915"/>
      <c r="E3" s="1915"/>
      <c r="F3" s="1915"/>
      <c r="G3" s="1915"/>
      <c r="H3" s="1915"/>
      <c r="I3" s="1915"/>
      <c r="J3" s="1915"/>
      <c r="K3" s="1915"/>
      <c r="L3" s="1915"/>
      <c r="M3" s="1915"/>
      <c r="N3" s="1915"/>
    </row>
    <row r="4" spans="1:17" customFormat="1" ht="12.75" customHeight="1"/>
    <row r="5" spans="1:17" s="3" customFormat="1" ht="63" customHeight="1">
      <c r="A5" s="975" t="s">
        <v>1527</v>
      </c>
      <c r="B5" s="975" t="s">
        <v>1</v>
      </c>
      <c r="C5" s="975" t="s">
        <v>2</v>
      </c>
      <c r="D5" s="975" t="s">
        <v>1129</v>
      </c>
      <c r="E5" s="975" t="s">
        <v>1130</v>
      </c>
      <c r="F5" s="975" t="s">
        <v>1553</v>
      </c>
      <c r="G5" s="975" t="s">
        <v>1695</v>
      </c>
      <c r="H5" s="1310" t="s">
        <v>1702</v>
      </c>
      <c r="I5" s="1576" t="s">
        <v>1828</v>
      </c>
      <c r="J5" s="1613" t="s">
        <v>1842</v>
      </c>
      <c r="K5" s="1631" t="s">
        <v>1861</v>
      </c>
      <c r="L5" s="1631" t="s">
        <v>1862</v>
      </c>
      <c r="M5" s="1631" t="s">
        <v>763</v>
      </c>
      <c r="N5" s="1631" t="s">
        <v>764</v>
      </c>
      <c r="O5" s="1631" t="s">
        <v>1863</v>
      </c>
      <c r="P5" s="1631" t="s">
        <v>763</v>
      </c>
      <c r="Q5" s="1631" t="s">
        <v>764</v>
      </c>
    </row>
    <row r="6" spans="1:17" s="2" customFormat="1">
      <c r="A6" s="13">
        <v>1</v>
      </c>
      <c r="B6" s="13">
        <v>2</v>
      </c>
      <c r="C6" s="13">
        <v>3</v>
      </c>
      <c r="D6" s="13">
        <v>4</v>
      </c>
      <c r="E6" s="13">
        <v>5</v>
      </c>
      <c r="F6" s="13">
        <v>4</v>
      </c>
      <c r="G6" s="13">
        <v>5</v>
      </c>
      <c r="H6" s="13">
        <v>6</v>
      </c>
      <c r="I6" s="13">
        <v>7</v>
      </c>
      <c r="J6" s="13">
        <v>8</v>
      </c>
      <c r="K6" s="13">
        <v>9</v>
      </c>
      <c r="L6" s="13">
        <v>10</v>
      </c>
      <c r="M6" s="13">
        <v>11</v>
      </c>
      <c r="N6" s="13">
        <v>12</v>
      </c>
      <c r="O6" s="13">
        <v>13</v>
      </c>
      <c r="P6" s="13">
        <v>14</v>
      </c>
      <c r="Q6" s="13">
        <v>15</v>
      </c>
    </row>
    <row r="7" spans="1:17" s="1001" customFormat="1" ht="30" customHeight="1">
      <c r="A7" s="82" t="s">
        <v>4</v>
      </c>
      <c r="B7" s="80" t="s">
        <v>486</v>
      </c>
      <c r="C7" s="1002" t="s">
        <v>240</v>
      </c>
      <c r="D7" s="1000">
        <f>'4.10_транзит_КТЭЦ'!D7+'4.10_сбыт_КТЭЦ'!D7</f>
        <v>264980.36363636365</v>
      </c>
      <c r="E7" s="1000">
        <f>'4.10_транзит_КТЭЦ'!E7+'4.10_сбыт_КТЭЦ'!E7</f>
        <v>265014</v>
      </c>
      <c r="F7" s="1000">
        <f>'4.10_транзит_КТЭЦ'!F7+'4.10_сбыт_КТЭЦ'!F7</f>
        <v>0</v>
      </c>
      <c r="G7" s="1000">
        <v>509903</v>
      </c>
      <c r="H7" s="1006">
        <v>0</v>
      </c>
      <c r="I7" s="1000">
        <v>512973</v>
      </c>
      <c r="J7" s="1000">
        <v>0</v>
      </c>
      <c r="K7" s="1000">
        <v>525490</v>
      </c>
      <c r="L7" s="1000">
        <v>751734</v>
      </c>
      <c r="M7" s="1000">
        <v>751734</v>
      </c>
      <c r="N7" s="1000">
        <v>751734</v>
      </c>
      <c r="O7" s="1000">
        <v>772226</v>
      </c>
      <c r="P7" s="1000">
        <v>772226</v>
      </c>
      <c r="Q7" s="1000">
        <v>772226</v>
      </c>
    </row>
    <row r="8" spans="1:17" s="36" customFormat="1" ht="15" customHeight="1" outlineLevel="1">
      <c r="A8" s="60"/>
      <c r="B8" s="68" t="s">
        <v>487</v>
      </c>
      <c r="C8" s="13" t="s">
        <v>240</v>
      </c>
      <c r="D8" s="241"/>
      <c r="E8" s="241">
        <f>'4.10_транзит_КТЭЦ'!E8+'4.10_сбыт_КТЭЦ'!E8</f>
        <v>110340</v>
      </c>
      <c r="F8" s="241"/>
      <c r="G8" s="241">
        <v>354600</v>
      </c>
      <c r="H8" s="983">
        <v>0</v>
      </c>
      <c r="I8" s="241">
        <v>354600</v>
      </c>
      <c r="J8" s="241">
        <v>0</v>
      </c>
      <c r="K8" s="241">
        <v>354600</v>
      </c>
      <c r="L8" s="241">
        <v>354600</v>
      </c>
      <c r="M8" s="241">
        <v>354600</v>
      </c>
      <c r="N8" s="241">
        <v>354600</v>
      </c>
      <c r="O8" s="241">
        <v>354600</v>
      </c>
      <c r="P8" s="241">
        <v>354600</v>
      </c>
      <c r="Q8" s="241">
        <v>354600</v>
      </c>
    </row>
    <row r="9" spans="1:17" s="36" customFormat="1" ht="15" customHeight="1" outlineLevel="1">
      <c r="A9" s="60"/>
      <c r="B9" s="68" t="s">
        <v>488</v>
      </c>
      <c r="C9" s="13" t="s">
        <v>240</v>
      </c>
      <c r="D9" s="241"/>
      <c r="E9" s="241">
        <f>'4.10_транзит_КТЭЦ'!E9+'4.10_сбыт_КТЭЦ'!E9</f>
        <v>124287</v>
      </c>
      <c r="F9" s="241"/>
      <c r="G9" s="241">
        <v>124287</v>
      </c>
      <c r="H9" s="983">
        <v>0</v>
      </c>
      <c r="I9" s="241">
        <v>124287</v>
      </c>
      <c r="J9" s="241">
        <v>0</v>
      </c>
      <c r="K9" s="241">
        <v>132640</v>
      </c>
      <c r="L9" s="241">
        <v>358884</v>
      </c>
      <c r="M9" s="241">
        <v>358884</v>
      </c>
      <c r="N9" s="241">
        <v>358884</v>
      </c>
      <c r="O9" s="241">
        <v>379376</v>
      </c>
      <c r="P9" s="241">
        <v>379376</v>
      </c>
      <c r="Q9" s="241">
        <v>379376</v>
      </c>
    </row>
    <row r="10" spans="1:17" s="36" customFormat="1" ht="15" customHeight="1" outlineLevel="1">
      <c r="A10" s="60"/>
      <c r="B10" s="68" t="s">
        <v>489</v>
      </c>
      <c r="C10" s="13" t="s">
        <v>240</v>
      </c>
      <c r="D10" s="241"/>
      <c r="E10" s="241">
        <f>'4.10_транзит_КТЭЦ'!E10+'4.10_сбыт_КТЭЦ'!E10</f>
        <v>0</v>
      </c>
      <c r="F10" s="241"/>
      <c r="G10" s="241">
        <v>0</v>
      </c>
      <c r="H10" s="983">
        <v>0</v>
      </c>
      <c r="I10" s="241">
        <v>0</v>
      </c>
      <c r="J10" s="241">
        <v>0</v>
      </c>
      <c r="K10" s="241">
        <v>0</v>
      </c>
      <c r="L10" s="241">
        <v>0</v>
      </c>
      <c r="M10" s="241">
        <v>0</v>
      </c>
      <c r="N10" s="241">
        <v>0</v>
      </c>
      <c r="O10" s="241">
        <v>0</v>
      </c>
      <c r="P10" s="241">
        <v>0</v>
      </c>
      <c r="Q10" s="241">
        <v>0</v>
      </c>
    </row>
    <row r="11" spans="1:17" s="36" customFormat="1" ht="15" customHeight="1" outlineLevel="1">
      <c r="A11" s="60"/>
      <c r="B11" s="68" t="s">
        <v>490</v>
      </c>
      <c r="C11" s="13" t="s">
        <v>240</v>
      </c>
      <c r="D11" s="241"/>
      <c r="E11" s="241">
        <f>'4.10_транзит_КТЭЦ'!E11+'4.10_сбыт_КТЭЦ'!E11</f>
        <v>24082</v>
      </c>
      <c r="F11" s="241"/>
      <c r="G11" s="241">
        <v>24372</v>
      </c>
      <c r="H11" s="983">
        <v>0</v>
      </c>
      <c r="I11" s="241">
        <v>28261</v>
      </c>
      <c r="J11" s="241">
        <v>0</v>
      </c>
      <c r="K11" s="241">
        <v>31814</v>
      </c>
      <c r="L11" s="241">
        <v>31814</v>
      </c>
      <c r="M11" s="241">
        <v>31814</v>
      </c>
      <c r="N11" s="241">
        <v>31814</v>
      </c>
      <c r="O11" s="241">
        <v>31814</v>
      </c>
      <c r="P11" s="241">
        <v>31814</v>
      </c>
      <c r="Q11" s="241">
        <v>31814</v>
      </c>
    </row>
    <row r="12" spans="1:17" s="36" customFormat="1" ht="15" customHeight="1" outlineLevel="1">
      <c r="A12" s="60"/>
      <c r="B12" s="68" t="s">
        <v>491</v>
      </c>
      <c r="C12" s="13" t="s">
        <v>240</v>
      </c>
      <c r="D12" s="241"/>
      <c r="E12" s="241">
        <f>'4.10_транзит_КТЭЦ'!E12+'4.10_сбыт_КТЭЦ'!E12</f>
        <v>128</v>
      </c>
      <c r="F12" s="241"/>
      <c r="G12" s="241">
        <v>154</v>
      </c>
      <c r="H12" s="983">
        <v>0</v>
      </c>
      <c r="I12" s="241">
        <v>154</v>
      </c>
      <c r="J12" s="241">
        <v>0</v>
      </c>
      <c r="K12" s="241">
        <v>154</v>
      </c>
      <c r="L12" s="241">
        <v>154</v>
      </c>
      <c r="M12" s="241">
        <v>154</v>
      </c>
      <c r="N12" s="241">
        <v>154</v>
      </c>
      <c r="O12" s="241">
        <v>154</v>
      </c>
      <c r="P12" s="241">
        <v>154</v>
      </c>
      <c r="Q12" s="241">
        <v>154</v>
      </c>
    </row>
    <row r="13" spans="1:17" s="36" customFormat="1" ht="15" customHeight="1" outlineLevel="1">
      <c r="A13" s="60"/>
      <c r="B13" s="70" t="s">
        <v>492</v>
      </c>
      <c r="C13" s="13" t="s">
        <v>240</v>
      </c>
      <c r="D13" s="241"/>
      <c r="E13" s="241">
        <f>'4.10_транзит_КТЭЦ'!E13+'4.10_сбыт_КТЭЦ'!E13</f>
        <v>16590</v>
      </c>
      <c r="F13" s="241"/>
      <c r="G13" s="241">
        <v>16666</v>
      </c>
      <c r="H13" s="983">
        <v>0</v>
      </c>
      <c r="I13" s="241">
        <v>20013</v>
      </c>
      <c r="J13" s="241">
        <v>0</v>
      </c>
      <c r="K13" s="241">
        <v>23566</v>
      </c>
      <c r="L13" s="241">
        <v>23566</v>
      </c>
      <c r="M13" s="241">
        <v>23566</v>
      </c>
      <c r="N13" s="241">
        <v>23566</v>
      </c>
      <c r="O13" s="241">
        <v>23566</v>
      </c>
      <c r="P13" s="241">
        <v>23566</v>
      </c>
      <c r="Q13" s="241">
        <v>23566</v>
      </c>
    </row>
    <row r="14" spans="1:17" s="36" customFormat="1" ht="15" customHeight="1" outlineLevel="1">
      <c r="A14" s="60"/>
      <c r="B14" s="70" t="s">
        <v>493</v>
      </c>
      <c r="C14" s="13" t="s">
        <v>240</v>
      </c>
      <c r="D14" s="241"/>
      <c r="E14" s="241">
        <f>'4.10_транзит_КТЭЦ'!E14+'4.10_сбыт_КТЭЦ'!E14</f>
        <v>502</v>
      </c>
      <c r="F14" s="241"/>
      <c r="G14" s="241">
        <v>676</v>
      </c>
      <c r="H14" s="983">
        <v>0</v>
      </c>
      <c r="I14" s="241">
        <v>1141</v>
      </c>
      <c r="J14" s="241">
        <v>0</v>
      </c>
      <c r="K14" s="241">
        <v>1141</v>
      </c>
      <c r="L14" s="241">
        <v>1141</v>
      </c>
      <c r="M14" s="241">
        <v>1141</v>
      </c>
      <c r="N14" s="241">
        <v>1141</v>
      </c>
      <c r="O14" s="241">
        <v>1141</v>
      </c>
      <c r="P14" s="241">
        <v>1141</v>
      </c>
      <c r="Q14" s="241">
        <v>1141</v>
      </c>
    </row>
    <row r="15" spans="1:17" s="36" customFormat="1" ht="15" customHeight="1" outlineLevel="1">
      <c r="A15" s="60"/>
      <c r="B15" s="70" t="s">
        <v>494</v>
      </c>
      <c r="C15" s="13" t="s">
        <v>240</v>
      </c>
      <c r="D15" s="241"/>
      <c r="E15" s="241">
        <f>'4.10_транзит_КТЭЦ'!E15+'4.10_сбыт_КТЭЦ'!E15</f>
        <v>98</v>
      </c>
      <c r="F15" s="241"/>
      <c r="G15" s="241">
        <v>100</v>
      </c>
      <c r="H15" s="983">
        <v>0</v>
      </c>
      <c r="I15" s="241">
        <v>177</v>
      </c>
      <c r="J15" s="241">
        <v>0</v>
      </c>
      <c r="K15" s="241">
        <v>177</v>
      </c>
      <c r="L15" s="241">
        <v>177</v>
      </c>
      <c r="M15" s="241">
        <v>177</v>
      </c>
      <c r="N15" s="241">
        <v>177</v>
      </c>
      <c r="O15" s="241">
        <v>177</v>
      </c>
      <c r="P15" s="241">
        <v>177</v>
      </c>
      <c r="Q15" s="241">
        <v>177</v>
      </c>
    </row>
    <row r="16" spans="1:17" s="36" customFormat="1" ht="15" customHeight="1" outlineLevel="1">
      <c r="A16" s="60"/>
      <c r="B16" s="70" t="s">
        <v>495</v>
      </c>
      <c r="C16" s="13" t="s">
        <v>240</v>
      </c>
      <c r="D16" s="241"/>
      <c r="E16" s="241">
        <f>'4.10_транзит_КТЭЦ'!E16+'4.10_сбыт_КТЭЦ'!E16</f>
        <v>6764</v>
      </c>
      <c r="F16" s="241"/>
      <c r="G16" s="241">
        <v>6776</v>
      </c>
      <c r="H16" s="983">
        <v>0</v>
      </c>
      <c r="I16" s="241">
        <v>6776</v>
      </c>
      <c r="J16" s="241">
        <v>0</v>
      </c>
      <c r="K16" s="241">
        <v>6776</v>
      </c>
      <c r="L16" s="241">
        <v>6776</v>
      </c>
      <c r="M16" s="241">
        <v>6776</v>
      </c>
      <c r="N16" s="241">
        <v>6776</v>
      </c>
      <c r="O16" s="241">
        <v>6776</v>
      </c>
      <c r="P16" s="241">
        <v>6776</v>
      </c>
      <c r="Q16" s="241">
        <v>6776</v>
      </c>
    </row>
    <row r="17" spans="1:17" s="36" customFormat="1" ht="15" customHeight="1" outlineLevel="1">
      <c r="A17" s="60"/>
      <c r="B17" s="70" t="s">
        <v>496</v>
      </c>
      <c r="C17" s="13" t="s">
        <v>240</v>
      </c>
      <c r="D17" s="241"/>
      <c r="E17" s="241">
        <f>'4.10_транзит_КТЭЦ'!E17+'4.10_сбыт_КТЭЦ'!E17</f>
        <v>5268</v>
      </c>
      <c r="F17" s="241"/>
      <c r="G17" s="241">
        <v>5268</v>
      </c>
      <c r="H17" s="983">
        <v>0</v>
      </c>
      <c r="I17" s="241">
        <v>4311</v>
      </c>
      <c r="J17" s="241">
        <v>0</v>
      </c>
      <c r="K17" s="241">
        <v>4922</v>
      </c>
      <c r="L17" s="241">
        <v>4922</v>
      </c>
      <c r="M17" s="241">
        <v>4922</v>
      </c>
      <c r="N17" s="241">
        <v>4922</v>
      </c>
      <c r="O17" s="241">
        <v>4922</v>
      </c>
      <c r="P17" s="241">
        <v>4922</v>
      </c>
      <c r="Q17" s="241">
        <v>4922</v>
      </c>
    </row>
    <row r="18" spans="1:17" s="36" customFormat="1" ht="15" customHeight="1" outlineLevel="1">
      <c r="A18" s="60"/>
      <c r="B18" s="70" t="s">
        <v>497</v>
      </c>
      <c r="C18" s="13" t="s">
        <v>240</v>
      </c>
      <c r="D18" s="241"/>
      <c r="E18" s="241">
        <f>'4.10_транзит_КТЭЦ'!E18+'4.10_сбыт_КТЭЦ'!E18</f>
        <v>17</v>
      </c>
      <c r="F18" s="241"/>
      <c r="G18" s="241">
        <v>17</v>
      </c>
      <c r="H18" s="983">
        <v>0</v>
      </c>
      <c r="I18" s="241">
        <v>88</v>
      </c>
      <c r="J18" s="241">
        <v>0</v>
      </c>
      <c r="K18" s="241">
        <v>88</v>
      </c>
      <c r="L18" s="241">
        <v>88</v>
      </c>
      <c r="M18" s="241">
        <v>88</v>
      </c>
      <c r="N18" s="241">
        <v>88</v>
      </c>
      <c r="O18" s="241">
        <v>88</v>
      </c>
      <c r="P18" s="241">
        <v>88</v>
      </c>
      <c r="Q18" s="241">
        <v>88</v>
      </c>
    </row>
    <row r="19" spans="1:17" s="36" customFormat="1" ht="15" customHeight="1" outlineLevel="1">
      <c r="A19" s="60"/>
      <c r="B19" s="68" t="s">
        <v>498</v>
      </c>
      <c r="C19" s="13" t="s">
        <v>240</v>
      </c>
      <c r="D19" s="241"/>
      <c r="E19" s="241">
        <f>'4.10_транзит_КТЭЦ'!E19+'4.10_сбыт_КТЭЦ'!E19</f>
        <v>18</v>
      </c>
      <c r="F19" s="241"/>
      <c r="G19" s="241">
        <v>18</v>
      </c>
      <c r="H19" s="983">
        <v>0</v>
      </c>
      <c r="I19" s="241">
        <v>56</v>
      </c>
      <c r="J19" s="241">
        <v>0</v>
      </c>
      <c r="K19" s="241">
        <v>56</v>
      </c>
      <c r="L19" s="241">
        <v>56</v>
      </c>
      <c r="M19" s="241">
        <v>56</v>
      </c>
      <c r="N19" s="241">
        <v>56</v>
      </c>
      <c r="O19" s="241">
        <v>56</v>
      </c>
      <c r="P19" s="241">
        <v>56</v>
      </c>
      <c r="Q19" s="241">
        <v>56</v>
      </c>
    </row>
    <row r="20" spans="1:17" s="36" customFormat="1" ht="15" customHeight="1" outlineLevel="1">
      <c r="A20" s="60"/>
      <c r="B20" s="68" t="s">
        <v>499</v>
      </c>
      <c r="C20" s="13" t="s">
        <v>240</v>
      </c>
      <c r="D20" s="241"/>
      <c r="E20" s="241">
        <f>'4.10_транзит_КТЭЦ'!E20+'4.10_сбыт_КТЭЦ'!E20</f>
        <v>1002</v>
      </c>
      <c r="F20" s="241"/>
      <c r="G20" s="241">
        <v>1341</v>
      </c>
      <c r="H20" s="983">
        <v>0</v>
      </c>
      <c r="I20" s="241">
        <v>1370</v>
      </c>
      <c r="J20" s="241">
        <v>0</v>
      </c>
      <c r="K20" s="241">
        <v>1370</v>
      </c>
      <c r="L20" s="241">
        <v>1370</v>
      </c>
      <c r="M20" s="241">
        <v>1370</v>
      </c>
      <c r="N20" s="241">
        <v>1370</v>
      </c>
      <c r="O20" s="241">
        <v>1370</v>
      </c>
      <c r="P20" s="241">
        <v>1370</v>
      </c>
      <c r="Q20" s="241">
        <v>1370</v>
      </c>
    </row>
    <row r="21" spans="1:17" s="36" customFormat="1">
      <c r="A21" s="60"/>
      <c r="B21" s="68"/>
      <c r="C21" s="13"/>
      <c r="D21" s="241"/>
      <c r="E21" s="241"/>
      <c r="F21" s="241"/>
      <c r="G21" s="241"/>
      <c r="H21" s="983"/>
      <c r="I21" s="241"/>
      <c r="J21" s="241"/>
      <c r="K21" s="241"/>
      <c r="L21" s="241"/>
      <c r="M21" s="241"/>
      <c r="N21" s="241"/>
      <c r="O21" s="241"/>
      <c r="P21" s="241"/>
      <c r="Q21" s="241"/>
    </row>
    <row r="22" spans="1:17" s="1001" customFormat="1" ht="60" customHeight="1">
      <c r="A22" s="82" t="s">
        <v>23</v>
      </c>
      <c r="B22" s="80" t="s">
        <v>500</v>
      </c>
      <c r="C22" s="1002" t="s">
        <v>240</v>
      </c>
      <c r="D22" s="1000"/>
      <c r="E22" s="1000">
        <f>'4.10_транзит_КТЭЦ'!E22+'4.10_сбыт_КТЭЦ'!E22</f>
        <v>244260</v>
      </c>
      <c r="F22" s="1000"/>
      <c r="G22" s="1000">
        <v>0</v>
      </c>
      <c r="H22" s="1006">
        <v>0</v>
      </c>
      <c r="I22" s="1000">
        <v>0</v>
      </c>
      <c r="J22" s="1000">
        <v>0</v>
      </c>
      <c r="K22" s="1000">
        <v>0</v>
      </c>
      <c r="L22" s="1000">
        <v>0</v>
      </c>
      <c r="M22" s="1000">
        <v>0</v>
      </c>
      <c r="N22" s="1000">
        <v>0</v>
      </c>
      <c r="O22" s="1000">
        <v>0</v>
      </c>
      <c r="P22" s="1000">
        <v>0</v>
      </c>
      <c r="Q22" s="1000">
        <v>0</v>
      </c>
    </row>
    <row r="23" spans="1:17" s="36" customFormat="1" ht="15" customHeight="1" outlineLevel="1">
      <c r="A23" s="60"/>
      <c r="B23" s="68" t="s">
        <v>487</v>
      </c>
      <c r="C23" s="13" t="s">
        <v>240</v>
      </c>
      <c r="D23" s="241"/>
      <c r="E23" s="241">
        <f>'4.10_транзит_КТЭЦ'!E23+'4.10_сбыт_КТЭЦ'!E23</f>
        <v>244260</v>
      </c>
      <c r="F23" s="241"/>
      <c r="G23" s="241">
        <v>0</v>
      </c>
      <c r="H23" s="983">
        <v>0</v>
      </c>
      <c r="I23" s="241">
        <v>0</v>
      </c>
      <c r="J23" s="241">
        <v>0</v>
      </c>
      <c r="K23" s="241">
        <v>0</v>
      </c>
      <c r="L23" s="241">
        <v>0</v>
      </c>
      <c r="M23" s="241">
        <v>0</v>
      </c>
      <c r="N23" s="241">
        <v>0</v>
      </c>
      <c r="O23" s="241">
        <v>0</v>
      </c>
      <c r="P23" s="241">
        <v>0</v>
      </c>
      <c r="Q23" s="241">
        <v>0</v>
      </c>
    </row>
    <row r="24" spans="1:17" s="36" customFormat="1" ht="15" customHeight="1" outlineLevel="1">
      <c r="A24" s="60"/>
      <c r="B24" s="68" t="s">
        <v>488</v>
      </c>
      <c r="C24" s="13" t="s">
        <v>240</v>
      </c>
      <c r="D24" s="241"/>
      <c r="E24" s="241">
        <f>'4.10_транзит_КТЭЦ'!E24+'4.10_сбыт_КТЭЦ'!E24</f>
        <v>0</v>
      </c>
      <c r="F24" s="241"/>
      <c r="G24" s="241">
        <v>0</v>
      </c>
      <c r="H24" s="983">
        <v>0</v>
      </c>
      <c r="I24" s="241">
        <v>0</v>
      </c>
      <c r="J24" s="241">
        <v>0</v>
      </c>
      <c r="K24" s="241">
        <v>0</v>
      </c>
      <c r="L24" s="241">
        <v>0</v>
      </c>
      <c r="M24" s="241">
        <v>0</v>
      </c>
      <c r="N24" s="241">
        <v>0</v>
      </c>
      <c r="O24" s="241">
        <v>0</v>
      </c>
      <c r="P24" s="241">
        <v>0</v>
      </c>
      <c r="Q24" s="241">
        <v>0</v>
      </c>
    </row>
    <row r="25" spans="1:17" s="36" customFormat="1" ht="15" customHeight="1" outlineLevel="1">
      <c r="A25" s="60"/>
      <c r="B25" s="68" t="s">
        <v>489</v>
      </c>
      <c r="C25" s="13" t="s">
        <v>240</v>
      </c>
      <c r="D25" s="241"/>
      <c r="E25" s="241">
        <f>'4.10_транзит_КТЭЦ'!E25+'4.10_сбыт_КТЭЦ'!E25</f>
        <v>0</v>
      </c>
      <c r="F25" s="241"/>
      <c r="G25" s="241">
        <v>0</v>
      </c>
      <c r="H25" s="983">
        <v>0</v>
      </c>
      <c r="I25" s="241">
        <v>0</v>
      </c>
      <c r="J25" s="241">
        <v>0</v>
      </c>
      <c r="K25" s="241">
        <v>0</v>
      </c>
      <c r="L25" s="241">
        <v>0</v>
      </c>
      <c r="M25" s="241">
        <v>0</v>
      </c>
      <c r="N25" s="241">
        <v>0</v>
      </c>
      <c r="O25" s="241">
        <v>0</v>
      </c>
      <c r="P25" s="241">
        <v>0</v>
      </c>
      <c r="Q25" s="241">
        <v>0</v>
      </c>
    </row>
    <row r="26" spans="1:17" s="36" customFormat="1" ht="15" customHeight="1" outlineLevel="1">
      <c r="A26" s="60"/>
      <c r="B26" s="68" t="s">
        <v>490</v>
      </c>
      <c r="C26" s="13" t="s">
        <v>240</v>
      </c>
      <c r="D26" s="241"/>
      <c r="E26" s="241">
        <f>'4.10_транзит_КТЭЦ'!E26+'4.10_сбыт_КТЭЦ'!E26</f>
        <v>0</v>
      </c>
      <c r="F26" s="241"/>
      <c r="G26" s="241">
        <v>0</v>
      </c>
      <c r="H26" s="983">
        <v>0</v>
      </c>
      <c r="I26" s="241">
        <v>0</v>
      </c>
      <c r="J26" s="241">
        <v>0</v>
      </c>
      <c r="K26" s="241">
        <v>0</v>
      </c>
      <c r="L26" s="241">
        <v>0</v>
      </c>
      <c r="M26" s="241">
        <v>0</v>
      </c>
      <c r="N26" s="241">
        <v>0</v>
      </c>
      <c r="O26" s="241">
        <v>0</v>
      </c>
      <c r="P26" s="241">
        <v>0</v>
      </c>
      <c r="Q26" s="241">
        <v>0</v>
      </c>
    </row>
    <row r="27" spans="1:17" s="36" customFormat="1" ht="15" customHeight="1" outlineLevel="1">
      <c r="A27" s="60"/>
      <c r="B27" s="68" t="s">
        <v>491</v>
      </c>
      <c r="C27" s="13" t="s">
        <v>240</v>
      </c>
      <c r="D27" s="241"/>
      <c r="E27" s="241">
        <f>'4.10_транзит_КТЭЦ'!E27+'4.10_сбыт_КТЭЦ'!E27</f>
        <v>0</v>
      </c>
      <c r="F27" s="241"/>
      <c r="G27" s="241">
        <v>0</v>
      </c>
      <c r="H27" s="983">
        <v>0</v>
      </c>
      <c r="I27" s="241">
        <v>0</v>
      </c>
      <c r="J27" s="241">
        <v>0</v>
      </c>
      <c r="K27" s="241">
        <v>0</v>
      </c>
      <c r="L27" s="241">
        <v>0</v>
      </c>
      <c r="M27" s="241">
        <v>0</v>
      </c>
      <c r="N27" s="241">
        <v>0</v>
      </c>
      <c r="O27" s="241">
        <v>0</v>
      </c>
      <c r="P27" s="241">
        <v>0</v>
      </c>
      <c r="Q27" s="241">
        <v>0</v>
      </c>
    </row>
    <row r="28" spans="1:17" s="36" customFormat="1" ht="15" customHeight="1" outlineLevel="1">
      <c r="A28" s="60"/>
      <c r="B28" s="70" t="s">
        <v>492</v>
      </c>
      <c r="C28" s="13" t="s">
        <v>240</v>
      </c>
      <c r="D28" s="241"/>
      <c r="E28" s="241">
        <f>'4.10_транзит_КТЭЦ'!E28+'4.10_сбыт_КТЭЦ'!E28</f>
        <v>0</v>
      </c>
      <c r="F28" s="241"/>
      <c r="G28" s="241">
        <v>0</v>
      </c>
      <c r="H28" s="983">
        <v>0</v>
      </c>
      <c r="I28" s="241">
        <v>0</v>
      </c>
      <c r="J28" s="241">
        <v>0</v>
      </c>
      <c r="K28" s="241">
        <v>0</v>
      </c>
      <c r="L28" s="241">
        <v>0</v>
      </c>
      <c r="M28" s="241">
        <v>0</v>
      </c>
      <c r="N28" s="241">
        <v>0</v>
      </c>
      <c r="O28" s="241">
        <v>0</v>
      </c>
      <c r="P28" s="241">
        <v>0</v>
      </c>
      <c r="Q28" s="241">
        <v>0</v>
      </c>
    </row>
    <row r="29" spans="1:17" s="36" customFormat="1" ht="15" customHeight="1" outlineLevel="1">
      <c r="A29" s="60"/>
      <c r="B29" s="70" t="s">
        <v>493</v>
      </c>
      <c r="C29" s="13" t="s">
        <v>240</v>
      </c>
      <c r="D29" s="241"/>
      <c r="E29" s="241">
        <f>'4.10_транзит_КТЭЦ'!E29+'4.10_сбыт_КТЭЦ'!E29</f>
        <v>0</v>
      </c>
      <c r="F29" s="241"/>
      <c r="G29" s="241">
        <v>0</v>
      </c>
      <c r="H29" s="983">
        <v>0</v>
      </c>
      <c r="I29" s="241">
        <v>0</v>
      </c>
      <c r="J29" s="241">
        <v>0</v>
      </c>
      <c r="K29" s="241">
        <v>0</v>
      </c>
      <c r="L29" s="241">
        <v>0</v>
      </c>
      <c r="M29" s="241">
        <v>0</v>
      </c>
      <c r="N29" s="241">
        <v>0</v>
      </c>
      <c r="O29" s="241">
        <v>0</v>
      </c>
      <c r="P29" s="241">
        <v>0</v>
      </c>
      <c r="Q29" s="241">
        <v>0</v>
      </c>
    </row>
    <row r="30" spans="1:17" s="36" customFormat="1" ht="15" customHeight="1" outlineLevel="1">
      <c r="A30" s="60"/>
      <c r="B30" s="70" t="s">
        <v>494</v>
      </c>
      <c r="C30" s="13" t="s">
        <v>240</v>
      </c>
      <c r="D30" s="241"/>
      <c r="E30" s="241">
        <f>'4.10_транзит_КТЭЦ'!E30+'4.10_сбыт_КТЭЦ'!E30</f>
        <v>0</v>
      </c>
      <c r="F30" s="241"/>
      <c r="G30" s="241">
        <v>0</v>
      </c>
      <c r="H30" s="983">
        <v>0</v>
      </c>
      <c r="I30" s="241">
        <v>0</v>
      </c>
      <c r="J30" s="241">
        <v>0</v>
      </c>
      <c r="K30" s="241">
        <v>0</v>
      </c>
      <c r="L30" s="241">
        <v>0</v>
      </c>
      <c r="M30" s="241">
        <v>0</v>
      </c>
      <c r="N30" s="241">
        <v>0</v>
      </c>
      <c r="O30" s="241">
        <v>0</v>
      </c>
      <c r="P30" s="241">
        <v>0</v>
      </c>
      <c r="Q30" s="241">
        <v>0</v>
      </c>
    </row>
    <row r="31" spans="1:17" s="36" customFormat="1" ht="15" customHeight="1" outlineLevel="1">
      <c r="A31" s="60"/>
      <c r="B31" s="70" t="s">
        <v>495</v>
      </c>
      <c r="C31" s="13" t="s">
        <v>240</v>
      </c>
      <c r="D31" s="241"/>
      <c r="E31" s="241">
        <f>'4.10_транзит_КТЭЦ'!E31+'4.10_сбыт_КТЭЦ'!E31</f>
        <v>0</v>
      </c>
      <c r="F31" s="241"/>
      <c r="G31" s="241">
        <v>0</v>
      </c>
      <c r="H31" s="983">
        <v>0</v>
      </c>
      <c r="I31" s="241">
        <v>0</v>
      </c>
      <c r="J31" s="241">
        <v>0</v>
      </c>
      <c r="K31" s="241">
        <v>0</v>
      </c>
      <c r="L31" s="241">
        <v>0</v>
      </c>
      <c r="M31" s="241">
        <v>0</v>
      </c>
      <c r="N31" s="241">
        <v>0</v>
      </c>
      <c r="O31" s="241">
        <v>0</v>
      </c>
      <c r="P31" s="241">
        <v>0</v>
      </c>
      <c r="Q31" s="241">
        <v>0</v>
      </c>
    </row>
    <row r="32" spans="1:17" s="36" customFormat="1" ht="15" customHeight="1" outlineLevel="1">
      <c r="A32" s="60"/>
      <c r="B32" s="70" t="s">
        <v>496</v>
      </c>
      <c r="C32" s="13" t="s">
        <v>240</v>
      </c>
      <c r="D32" s="241"/>
      <c r="E32" s="241">
        <f>'4.10_транзит_КТЭЦ'!E32+'4.10_сбыт_КТЭЦ'!E32</f>
        <v>0</v>
      </c>
      <c r="F32" s="241"/>
      <c r="G32" s="241">
        <v>0</v>
      </c>
      <c r="H32" s="983">
        <v>0</v>
      </c>
      <c r="I32" s="241">
        <v>0</v>
      </c>
      <c r="J32" s="241">
        <v>0</v>
      </c>
      <c r="K32" s="241">
        <v>0</v>
      </c>
      <c r="L32" s="241">
        <v>0</v>
      </c>
      <c r="M32" s="241">
        <v>0</v>
      </c>
      <c r="N32" s="241">
        <v>0</v>
      </c>
      <c r="O32" s="241">
        <v>0</v>
      </c>
      <c r="P32" s="241">
        <v>0</v>
      </c>
      <c r="Q32" s="241">
        <v>0</v>
      </c>
    </row>
    <row r="33" spans="1:17" s="36" customFormat="1" ht="15" customHeight="1" outlineLevel="1">
      <c r="A33" s="60"/>
      <c r="B33" s="70" t="s">
        <v>497</v>
      </c>
      <c r="C33" s="13" t="s">
        <v>240</v>
      </c>
      <c r="D33" s="241"/>
      <c r="E33" s="241">
        <f>'4.10_транзит_КТЭЦ'!E33+'4.10_сбыт_КТЭЦ'!E33</f>
        <v>0</v>
      </c>
      <c r="F33" s="241"/>
      <c r="G33" s="241">
        <v>0</v>
      </c>
      <c r="H33" s="983">
        <v>0</v>
      </c>
      <c r="I33" s="241">
        <v>0</v>
      </c>
      <c r="J33" s="241">
        <v>0</v>
      </c>
      <c r="K33" s="241">
        <v>0</v>
      </c>
      <c r="L33" s="241">
        <v>0</v>
      </c>
      <c r="M33" s="241">
        <v>0</v>
      </c>
      <c r="N33" s="241">
        <v>0</v>
      </c>
      <c r="O33" s="241">
        <v>0</v>
      </c>
      <c r="P33" s="241">
        <v>0</v>
      </c>
      <c r="Q33" s="241">
        <v>0</v>
      </c>
    </row>
    <row r="34" spans="1:17" s="36" customFormat="1" ht="15" customHeight="1" outlineLevel="1">
      <c r="A34" s="60"/>
      <c r="B34" s="68" t="s">
        <v>498</v>
      </c>
      <c r="C34" s="13" t="s">
        <v>240</v>
      </c>
      <c r="D34" s="241"/>
      <c r="E34" s="241">
        <f>'4.10_транзит_КТЭЦ'!E34+'4.10_сбыт_КТЭЦ'!E34</f>
        <v>0</v>
      </c>
      <c r="F34" s="241"/>
      <c r="G34" s="241">
        <v>0</v>
      </c>
      <c r="H34" s="983">
        <v>0</v>
      </c>
      <c r="I34" s="241">
        <v>0</v>
      </c>
      <c r="J34" s="241">
        <v>0</v>
      </c>
      <c r="K34" s="241">
        <v>0</v>
      </c>
      <c r="L34" s="241">
        <v>0</v>
      </c>
      <c r="M34" s="241">
        <v>0</v>
      </c>
      <c r="N34" s="241">
        <v>0</v>
      </c>
      <c r="O34" s="241">
        <v>0</v>
      </c>
      <c r="P34" s="241">
        <v>0</v>
      </c>
      <c r="Q34" s="241">
        <v>0</v>
      </c>
    </row>
    <row r="35" spans="1:17" s="36" customFormat="1" ht="15" customHeight="1" outlineLevel="1">
      <c r="A35" s="60"/>
      <c r="B35" s="68" t="s">
        <v>499</v>
      </c>
      <c r="C35" s="13" t="s">
        <v>240</v>
      </c>
      <c r="D35" s="241"/>
      <c r="E35" s="241">
        <f>'4.10_транзит_КТЭЦ'!E35+'4.10_сбыт_КТЭЦ'!E35</f>
        <v>0</v>
      </c>
      <c r="F35" s="241"/>
      <c r="G35" s="241">
        <v>0</v>
      </c>
      <c r="H35" s="983">
        <v>0</v>
      </c>
      <c r="I35" s="241">
        <v>0</v>
      </c>
      <c r="J35" s="241">
        <v>0</v>
      </c>
      <c r="K35" s="241">
        <v>0</v>
      </c>
      <c r="L35" s="241">
        <v>0</v>
      </c>
      <c r="M35" s="241">
        <v>0</v>
      </c>
      <c r="N35" s="241">
        <v>0</v>
      </c>
      <c r="O35" s="241">
        <v>0</v>
      </c>
      <c r="P35" s="241">
        <v>0</v>
      </c>
      <c r="Q35" s="241">
        <v>0</v>
      </c>
    </row>
    <row r="36" spans="1:17" s="36" customFormat="1">
      <c r="A36" s="60"/>
      <c r="B36" s="68"/>
      <c r="C36" s="13"/>
      <c r="D36" s="241"/>
      <c r="E36" s="241"/>
      <c r="F36" s="241"/>
      <c r="G36" s="241"/>
      <c r="H36" s="983"/>
      <c r="I36" s="241"/>
      <c r="J36" s="241"/>
      <c r="K36" s="241"/>
      <c r="L36" s="241"/>
      <c r="M36" s="241"/>
      <c r="N36" s="241"/>
      <c r="O36" s="241"/>
      <c r="P36" s="241"/>
      <c r="Q36" s="241"/>
    </row>
    <row r="37" spans="1:17" s="1001" customFormat="1" ht="15" customHeight="1">
      <c r="A37" s="82" t="s">
        <v>27</v>
      </c>
      <c r="B37" s="80" t="s">
        <v>501</v>
      </c>
      <c r="C37" s="999" t="s">
        <v>240</v>
      </c>
      <c r="D37" s="1000">
        <f>'4.10_транзит_КТЭЦ'!D37+'4.10_сбыт_КТЭЦ'!D37</f>
        <v>28585</v>
      </c>
      <c r="E37" s="1000">
        <f>'4.10_транзит_КТЭЦ'!E37+'4.10_сбыт_КТЭЦ'!E37</f>
        <v>629</v>
      </c>
      <c r="F37" s="1000">
        <f>'4.10_транзит_КТЭЦ'!F37+'4.10_сбыт_КТЭЦ'!F37</f>
        <v>0</v>
      </c>
      <c r="G37" s="1000">
        <v>4586</v>
      </c>
      <c r="H37" s="1006">
        <v>0</v>
      </c>
      <c r="I37" s="1000">
        <v>12517</v>
      </c>
      <c r="J37" s="1000">
        <v>0</v>
      </c>
      <c r="K37" s="1000">
        <v>226244</v>
      </c>
      <c r="L37" s="1000">
        <v>20491</v>
      </c>
      <c r="M37" s="1000">
        <v>0</v>
      </c>
      <c r="N37" s="1000">
        <v>20491</v>
      </c>
      <c r="O37" s="1000">
        <v>140864</v>
      </c>
      <c r="P37" s="1000">
        <v>0</v>
      </c>
      <c r="Q37" s="1000">
        <v>140864</v>
      </c>
    </row>
    <row r="38" spans="1:17" s="36" customFormat="1" ht="15" customHeight="1" outlineLevel="1">
      <c r="A38" s="60"/>
      <c r="B38" s="68" t="s">
        <v>487</v>
      </c>
      <c r="C38" s="13" t="s">
        <v>240</v>
      </c>
      <c r="D38" s="241"/>
      <c r="E38" s="241">
        <f>'4.10_транзит_КТЭЦ'!E38+'4.10_сбыт_КТЭЦ'!E38</f>
        <v>0</v>
      </c>
      <c r="F38" s="241"/>
      <c r="G38" s="241">
        <v>0</v>
      </c>
      <c r="H38" s="983">
        <v>0</v>
      </c>
      <c r="I38" s="241">
        <v>0</v>
      </c>
      <c r="J38" s="241">
        <v>0</v>
      </c>
      <c r="K38" s="241">
        <v>0</v>
      </c>
      <c r="L38" s="241">
        <v>0</v>
      </c>
      <c r="M38" s="241">
        <v>0</v>
      </c>
      <c r="N38" s="241">
        <v>0</v>
      </c>
      <c r="O38" s="241">
        <v>0</v>
      </c>
      <c r="P38" s="241">
        <v>0</v>
      </c>
      <c r="Q38" s="241">
        <v>0</v>
      </c>
    </row>
    <row r="39" spans="1:17" s="36" customFormat="1" ht="15" customHeight="1" outlineLevel="1">
      <c r="A39" s="60"/>
      <c r="B39" s="68" t="s">
        <v>488</v>
      </c>
      <c r="C39" s="13" t="s">
        <v>240</v>
      </c>
      <c r="D39" s="241"/>
      <c r="E39" s="241">
        <f>'4.10_транзит_КТЭЦ'!E39+'4.10_сбыт_КТЭЦ'!E39</f>
        <v>0</v>
      </c>
      <c r="F39" s="241"/>
      <c r="G39" s="241">
        <v>0</v>
      </c>
      <c r="H39" s="983">
        <v>0</v>
      </c>
      <c r="I39" s="241">
        <v>8353</v>
      </c>
      <c r="J39" s="241">
        <v>0</v>
      </c>
      <c r="K39" s="241">
        <v>226244</v>
      </c>
      <c r="L39" s="241">
        <v>20491</v>
      </c>
      <c r="M39" s="241">
        <v>0</v>
      </c>
      <c r="N39" s="241">
        <v>20491</v>
      </c>
      <c r="O39" s="241">
        <v>140864</v>
      </c>
      <c r="P39" s="241">
        <v>0</v>
      </c>
      <c r="Q39" s="241">
        <v>140864</v>
      </c>
    </row>
    <row r="40" spans="1:17" s="36" customFormat="1" ht="15" customHeight="1" outlineLevel="1">
      <c r="A40" s="60"/>
      <c r="B40" s="68" t="s">
        <v>489</v>
      </c>
      <c r="C40" s="13" t="s">
        <v>240</v>
      </c>
      <c r="D40" s="241"/>
      <c r="E40" s="241">
        <f>'4.10_транзит_КТЭЦ'!E40+'4.10_сбыт_КТЭЦ'!E40</f>
        <v>0</v>
      </c>
      <c r="F40" s="241"/>
      <c r="G40" s="241">
        <v>0</v>
      </c>
      <c r="H40" s="983">
        <v>0</v>
      </c>
      <c r="I40" s="241">
        <v>0</v>
      </c>
      <c r="J40" s="241">
        <v>0</v>
      </c>
      <c r="K40" s="241">
        <v>0</v>
      </c>
      <c r="L40" s="241">
        <v>0</v>
      </c>
      <c r="M40" s="241">
        <v>0</v>
      </c>
      <c r="N40" s="241">
        <v>0</v>
      </c>
      <c r="O40" s="241">
        <v>0</v>
      </c>
      <c r="P40" s="241">
        <v>0</v>
      </c>
      <c r="Q40" s="241">
        <v>0</v>
      </c>
    </row>
    <row r="41" spans="1:17" s="36" customFormat="1" ht="15" customHeight="1" outlineLevel="1">
      <c r="A41" s="60"/>
      <c r="B41" s="68" t="s">
        <v>490</v>
      </c>
      <c r="C41" s="13" t="s">
        <v>240</v>
      </c>
      <c r="D41" s="241"/>
      <c r="E41" s="241">
        <f>'4.10_транзит_КТЭЦ'!E41+'4.10_сбыт_КТЭЦ'!E41</f>
        <v>290</v>
      </c>
      <c r="F41" s="241"/>
      <c r="G41" s="241">
        <v>4448</v>
      </c>
      <c r="H41" s="983">
        <v>0</v>
      </c>
      <c r="I41" s="241">
        <v>3553</v>
      </c>
      <c r="J41" s="241">
        <v>0</v>
      </c>
      <c r="K41" s="241">
        <v>0</v>
      </c>
      <c r="L41" s="241">
        <v>0</v>
      </c>
      <c r="M41" s="241">
        <v>0</v>
      </c>
      <c r="N41" s="241">
        <v>0</v>
      </c>
      <c r="O41" s="241">
        <v>0</v>
      </c>
      <c r="P41" s="241">
        <v>0</v>
      </c>
      <c r="Q41" s="241">
        <v>0</v>
      </c>
    </row>
    <row r="42" spans="1:17" s="36" customFormat="1" ht="15" customHeight="1" outlineLevel="1">
      <c r="A42" s="60"/>
      <c r="B42" s="68" t="s">
        <v>491</v>
      </c>
      <c r="C42" s="13" t="s">
        <v>240</v>
      </c>
      <c r="D42" s="241"/>
      <c r="E42" s="241">
        <f>'4.10_транзит_КТЭЦ'!E42+'4.10_сбыт_КТЭЦ'!E42</f>
        <v>26</v>
      </c>
      <c r="F42" s="241"/>
      <c r="G42" s="241">
        <v>0</v>
      </c>
      <c r="H42" s="983">
        <v>0</v>
      </c>
      <c r="I42" s="241">
        <v>0</v>
      </c>
      <c r="J42" s="241">
        <v>0</v>
      </c>
      <c r="K42" s="241">
        <v>0</v>
      </c>
      <c r="L42" s="241">
        <v>0</v>
      </c>
      <c r="M42" s="241">
        <v>0</v>
      </c>
      <c r="N42" s="241">
        <v>0</v>
      </c>
      <c r="O42" s="241">
        <v>0</v>
      </c>
      <c r="P42" s="241">
        <v>0</v>
      </c>
      <c r="Q42" s="241">
        <v>0</v>
      </c>
    </row>
    <row r="43" spans="1:17" s="36" customFormat="1" ht="15" customHeight="1" outlineLevel="1">
      <c r="A43" s="60"/>
      <c r="B43" s="70" t="s">
        <v>492</v>
      </c>
      <c r="C43" s="13" t="s">
        <v>240</v>
      </c>
      <c r="D43" s="241"/>
      <c r="E43" s="241">
        <f>'4.10_транзит_КТЭЦ'!E43+'4.10_сбыт_КТЭЦ'!E43</f>
        <v>76</v>
      </c>
      <c r="F43" s="241"/>
      <c r="G43" s="241">
        <v>3873</v>
      </c>
      <c r="H43" s="983">
        <v>0</v>
      </c>
      <c r="I43" s="241">
        <v>3553</v>
      </c>
      <c r="J43" s="241">
        <v>0</v>
      </c>
      <c r="K43" s="241">
        <v>0</v>
      </c>
      <c r="L43" s="241">
        <v>0</v>
      </c>
      <c r="M43" s="241">
        <v>0</v>
      </c>
      <c r="N43" s="241">
        <v>0</v>
      </c>
      <c r="O43" s="241">
        <v>0</v>
      </c>
      <c r="P43" s="241">
        <v>0</v>
      </c>
      <c r="Q43" s="241">
        <v>0</v>
      </c>
    </row>
    <row r="44" spans="1:17" s="36" customFormat="1" ht="15" customHeight="1" outlineLevel="1">
      <c r="A44" s="60"/>
      <c r="B44" s="70" t="s">
        <v>493</v>
      </c>
      <c r="C44" s="13" t="s">
        <v>240</v>
      </c>
      <c r="D44" s="241"/>
      <c r="E44" s="241">
        <f>'4.10_транзит_КТЭЦ'!E44+'4.10_сбыт_КТЭЦ'!E44</f>
        <v>174</v>
      </c>
      <c r="F44" s="241"/>
      <c r="G44" s="241">
        <v>498</v>
      </c>
      <c r="H44" s="983">
        <v>0</v>
      </c>
      <c r="I44" s="241">
        <v>0</v>
      </c>
      <c r="J44" s="241">
        <v>0</v>
      </c>
      <c r="K44" s="241">
        <v>0</v>
      </c>
      <c r="L44" s="241">
        <v>0</v>
      </c>
      <c r="M44" s="241">
        <v>0</v>
      </c>
      <c r="N44" s="241">
        <v>0</v>
      </c>
      <c r="O44" s="241">
        <v>0</v>
      </c>
      <c r="P44" s="241">
        <v>0</v>
      </c>
      <c r="Q44" s="241">
        <v>0</v>
      </c>
    </row>
    <row r="45" spans="1:17" s="36" customFormat="1" ht="15" customHeight="1" outlineLevel="1">
      <c r="A45" s="60"/>
      <c r="B45" s="70" t="s">
        <v>494</v>
      </c>
      <c r="C45" s="13" t="s">
        <v>240</v>
      </c>
      <c r="D45" s="241"/>
      <c r="E45" s="241">
        <f>'4.10_транзит_КТЭЦ'!E45+'4.10_сбыт_КТЭЦ'!E45</f>
        <v>2</v>
      </c>
      <c r="F45" s="241"/>
      <c r="G45" s="241">
        <v>77</v>
      </c>
      <c r="H45" s="983">
        <v>0</v>
      </c>
      <c r="I45" s="241">
        <v>0</v>
      </c>
      <c r="J45" s="241">
        <v>0</v>
      </c>
      <c r="K45" s="241">
        <v>0</v>
      </c>
      <c r="L45" s="241">
        <v>0</v>
      </c>
      <c r="M45" s="241">
        <v>0</v>
      </c>
      <c r="N45" s="241">
        <v>0</v>
      </c>
      <c r="O45" s="241">
        <v>0</v>
      </c>
      <c r="P45" s="241">
        <v>0</v>
      </c>
      <c r="Q45" s="241">
        <v>0</v>
      </c>
    </row>
    <row r="46" spans="1:17" s="36" customFormat="1" ht="15" customHeight="1" outlineLevel="1">
      <c r="A46" s="60"/>
      <c r="B46" s="70" t="s">
        <v>495</v>
      </c>
      <c r="C46" s="13" t="s">
        <v>240</v>
      </c>
      <c r="D46" s="241"/>
      <c r="E46" s="241">
        <f>'4.10_транзит_КТЭЦ'!E46+'4.10_сбыт_КТЭЦ'!E46</f>
        <v>12</v>
      </c>
      <c r="F46" s="241"/>
      <c r="G46" s="241">
        <v>0</v>
      </c>
      <c r="H46" s="983">
        <v>0</v>
      </c>
      <c r="I46" s="241">
        <v>0</v>
      </c>
      <c r="J46" s="241">
        <v>0</v>
      </c>
      <c r="K46" s="241">
        <v>0</v>
      </c>
      <c r="L46" s="241">
        <v>0</v>
      </c>
      <c r="M46" s="241">
        <v>0</v>
      </c>
      <c r="N46" s="241">
        <v>0</v>
      </c>
      <c r="O46" s="241">
        <v>0</v>
      </c>
      <c r="P46" s="241">
        <v>0</v>
      </c>
      <c r="Q46" s="241">
        <v>0</v>
      </c>
    </row>
    <row r="47" spans="1:17" s="36" customFormat="1" ht="15" customHeight="1" outlineLevel="1">
      <c r="A47" s="60"/>
      <c r="B47" s="70" t="s">
        <v>496</v>
      </c>
      <c r="C47" s="13" t="s">
        <v>240</v>
      </c>
      <c r="D47" s="241"/>
      <c r="E47" s="241">
        <f>'4.10_транзит_КТЭЦ'!E47+'4.10_сбыт_КТЭЦ'!E47</f>
        <v>0</v>
      </c>
      <c r="F47" s="241"/>
      <c r="G47" s="241">
        <v>0</v>
      </c>
      <c r="H47" s="983">
        <v>0</v>
      </c>
      <c r="I47" s="241">
        <v>611</v>
      </c>
      <c r="J47" s="241">
        <v>0</v>
      </c>
      <c r="K47" s="241">
        <v>0</v>
      </c>
      <c r="L47" s="241">
        <v>0</v>
      </c>
      <c r="M47" s="241">
        <v>0</v>
      </c>
      <c r="N47" s="241">
        <v>0</v>
      </c>
      <c r="O47" s="241">
        <v>0</v>
      </c>
      <c r="P47" s="241">
        <v>0</v>
      </c>
      <c r="Q47" s="241">
        <v>0</v>
      </c>
    </row>
    <row r="48" spans="1:17" s="36" customFormat="1" ht="15" customHeight="1" outlineLevel="1">
      <c r="A48" s="60"/>
      <c r="B48" s="70" t="s">
        <v>497</v>
      </c>
      <c r="C48" s="13" t="s">
        <v>240</v>
      </c>
      <c r="D48" s="241"/>
      <c r="E48" s="241">
        <f>'4.10_транзит_КТЭЦ'!E48+'4.10_сбыт_КТЭЦ'!E48</f>
        <v>0</v>
      </c>
      <c r="F48" s="241"/>
      <c r="G48" s="241">
        <v>71</v>
      </c>
      <c r="H48" s="983">
        <v>0</v>
      </c>
      <c r="I48" s="241">
        <v>0</v>
      </c>
      <c r="J48" s="241">
        <v>0</v>
      </c>
      <c r="K48" s="241">
        <v>0</v>
      </c>
      <c r="L48" s="241">
        <v>0</v>
      </c>
      <c r="M48" s="241">
        <v>0</v>
      </c>
      <c r="N48" s="241">
        <v>0</v>
      </c>
      <c r="O48" s="241">
        <v>0</v>
      </c>
      <c r="P48" s="241">
        <v>0</v>
      </c>
      <c r="Q48" s="241">
        <v>0</v>
      </c>
    </row>
    <row r="49" spans="1:17" s="36" customFormat="1" ht="15" customHeight="1" outlineLevel="1">
      <c r="A49" s="60"/>
      <c r="B49" s="68" t="s">
        <v>498</v>
      </c>
      <c r="C49" s="13" t="s">
        <v>240</v>
      </c>
      <c r="D49" s="241"/>
      <c r="E49" s="241">
        <f>'4.10_транзит_КТЭЦ'!E49+'4.10_сбыт_КТЭЦ'!E49</f>
        <v>0</v>
      </c>
      <c r="F49" s="241"/>
      <c r="G49" s="241">
        <v>38</v>
      </c>
      <c r="H49" s="983">
        <v>0</v>
      </c>
      <c r="I49" s="241">
        <v>0</v>
      </c>
      <c r="J49" s="241">
        <v>0</v>
      </c>
      <c r="K49" s="241">
        <v>0</v>
      </c>
      <c r="L49" s="241">
        <v>0</v>
      </c>
      <c r="M49" s="241">
        <v>0</v>
      </c>
      <c r="N49" s="241">
        <v>0</v>
      </c>
      <c r="O49" s="241">
        <v>0</v>
      </c>
      <c r="P49" s="241">
        <v>0</v>
      </c>
      <c r="Q49" s="241">
        <v>0</v>
      </c>
    </row>
    <row r="50" spans="1:17" s="36" customFormat="1" ht="15" customHeight="1" outlineLevel="1">
      <c r="A50" s="60"/>
      <c r="B50" s="68" t="s">
        <v>499</v>
      </c>
      <c r="C50" s="13" t="s">
        <v>240</v>
      </c>
      <c r="D50" s="241"/>
      <c r="E50" s="241">
        <f>'4.10_транзит_КТЭЦ'!E50+'4.10_сбыт_КТЭЦ'!E50</f>
        <v>339</v>
      </c>
      <c r="F50" s="241"/>
      <c r="G50" s="241">
        <v>29</v>
      </c>
      <c r="H50" s="983">
        <v>0</v>
      </c>
      <c r="I50" s="241">
        <v>0</v>
      </c>
      <c r="J50" s="241">
        <v>0</v>
      </c>
      <c r="K50" s="241">
        <v>0</v>
      </c>
      <c r="L50" s="241">
        <v>0</v>
      </c>
      <c r="M50" s="241">
        <v>0</v>
      </c>
      <c r="N50" s="241">
        <v>0</v>
      </c>
      <c r="O50" s="241">
        <v>0</v>
      </c>
      <c r="P50" s="241">
        <v>0</v>
      </c>
      <c r="Q50" s="241">
        <v>0</v>
      </c>
    </row>
    <row r="51" spans="1:17" s="36" customFormat="1">
      <c r="A51" s="60"/>
      <c r="B51" s="68"/>
      <c r="C51" s="13"/>
      <c r="D51" s="241"/>
      <c r="E51" s="241"/>
      <c r="F51" s="241"/>
      <c r="G51" s="241"/>
      <c r="H51" s="983"/>
      <c r="I51" s="241"/>
      <c r="J51" s="241"/>
      <c r="K51" s="241"/>
      <c r="L51" s="241"/>
      <c r="M51" s="241"/>
      <c r="N51" s="241"/>
      <c r="O51" s="241"/>
      <c r="P51" s="241"/>
      <c r="Q51" s="241"/>
    </row>
    <row r="52" spans="1:17" s="1001" customFormat="1" ht="28.5">
      <c r="A52" s="82" t="s">
        <v>30</v>
      </c>
      <c r="B52" s="80" t="s">
        <v>502</v>
      </c>
      <c r="C52" s="1002" t="s">
        <v>240</v>
      </c>
      <c r="D52" s="1000">
        <f>'4.10_транзит_КТЭЦ'!D52+'4.10_сбыт_КТЭЦ'!D52</f>
        <v>0</v>
      </c>
      <c r="E52" s="1000">
        <f>'4.10_транзит_КТЭЦ'!E52+'4.10_сбыт_КТЭЦ'!E52</f>
        <v>0</v>
      </c>
      <c r="F52" s="1000">
        <f>'4.10_транзит_КТЭЦ'!F52+'4.10_сбыт_КТЭЦ'!F52</f>
        <v>0</v>
      </c>
      <c r="G52" s="1000">
        <v>1516</v>
      </c>
      <c r="H52" s="1006">
        <v>0</v>
      </c>
      <c r="I52" s="1000">
        <v>0</v>
      </c>
      <c r="J52" s="1000">
        <v>0</v>
      </c>
      <c r="K52" s="1000">
        <v>0</v>
      </c>
      <c r="L52" s="1000">
        <v>0</v>
      </c>
      <c r="M52" s="1000">
        <v>0</v>
      </c>
      <c r="N52" s="1000">
        <v>0</v>
      </c>
      <c r="O52" s="1000">
        <v>0</v>
      </c>
      <c r="P52" s="1000">
        <v>0</v>
      </c>
      <c r="Q52" s="1000">
        <v>0</v>
      </c>
    </row>
    <row r="53" spans="1:17" s="36" customFormat="1" ht="15" customHeight="1">
      <c r="A53" s="60"/>
      <c r="B53" s="68" t="s">
        <v>487</v>
      </c>
      <c r="C53" s="13" t="s">
        <v>240</v>
      </c>
      <c r="D53" s="241"/>
      <c r="E53" s="241">
        <f>'4.10_транзит_КТЭЦ'!E53+'4.10_сбыт_КТЭЦ'!E53</f>
        <v>0</v>
      </c>
      <c r="F53" s="241"/>
      <c r="G53" s="241">
        <v>0</v>
      </c>
      <c r="H53" s="983">
        <v>0</v>
      </c>
      <c r="I53" s="241">
        <v>0</v>
      </c>
      <c r="J53" s="241">
        <v>0</v>
      </c>
      <c r="K53" s="241">
        <v>0</v>
      </c>
      <c r="L53" s="241">
        <v>0</v>
      </c>
      <c r="M53" s="241">
        <v>0</v>
      </c>
      <c r="N53" s="241">
        <v>0</v>
      </c>
      <c r="O53" s="241">
        <v>0</v>
      </c>
      <c r="P53" s="241">
        <v>0</v>
      </c>
      <c r="Q53" s="241">
        <v>0</v>
      </c>
    </row>
    <row r="54" spans="1:17" s="36" customFormat="1" ht="15" customHeight="1" outlineLevel="1">
      <c r="A54" s="60"/>
      <c r="B54" s="68" t="s">
        <v>488</v>
      </c>
      <c r="C54" s="13" t="s">
        <v>240</v>
      </c>
      <c r="D54" s="241"/>
      <c r="E54" s="241">
        <f>'4.10_транзит_КТЭЦ'!E54+'4.10_сбыт_КТЭЦ'!E54</f>
        <v>0</v>
      </c>
      <c r="F54" s="241"/>
      <c r="G54" s="241">
        <v>0</v>
      </c>
      <c r="H54" s="983">
        <v>0</v>
      </c>
      <c r="I54" s="241">
        <v>0</v>
      </c>
      <c r="J54" s="241">
        <v>0</v>
      </c>
      <c r="K54" s="241">
        <v>0</v>
      </c>
      <c r="L54" s="241">
        <v>0</v>
      </c>
      <c r="M54" s="241">
        <v>0</v>
      </c>
      <c r="N54" s="241">
        <v>0</v>
      </c>
      <c r="O54" s="241">
        <v>0</v>
      </c>
      <c r="P54" s="241">
        <v>0</v>
      </c>
      <c r="Q54" s="241">
        <v>0</v>
      </c>
    </row>
    <row r="55" spans="1:17" s="36" customFormat="1" ht="15" customHeight="1" outlineLevel="1">
      <c r="A55" s="60"/>
      <c r="B55" s="68" t="s">
        <v>489</v>
      </c>
      <c r="C55" s="13" t="s">
        <v>240</v>
      </c>
      <c r="D55" s="241"/>
      <c r="E55" s="241">
        <f>'4.10_транзит_КТЭЦ'!E55+'4.10_сбыт_КТЭЦ'!E55</f>
        <v>0</v>
      </c>
      <c r="F55" s="241"/>
      <c r="G55" s="241">
        <v>0</v>
      </c>
      <c r="H55" s="983">
        <v>0</v>
      </c>
      <c r="I55" s="241">
        <v>0</v>
      </c>
      <c r="J55" s="241">
        <v>0</v>
      </c>
      <c r="K55" s="241">
        <v>0</v>
      </c>
      <c r="L55" s="241">
        <v>0</v>
      </c>
      <c r="M55" s="241">
        <v>0</v>
      </c>
      <c r="N55" s="241">
        <v>0</v>
      </c>
      <c r="O55" s="241">
        <v>0</v>
      </c>
      <c r="P55" s="241">
        <v>0</v>
      </c>
      <c r="Q55" s="241">
        <v>0</v>
      </c>
    </row>
    <row r="56" spans="1:17" s="36" customFormat="1" ht="15" customHeight="1" outlineLevel="1">
      <c r="A56" s="60"/>
      <c r="B56" s="68" t="s">
        <v>490</v>
      </c>
      <c r="C56" s="13" t="s">
        <v>240</v>
      </c>
      <c r="D56" s="241"/>
      <c r="E56" s="241">
        <f>'4.10_транзит_КТЭЦ'!E56+'4.10_сбыт_КТЭЦ'!E56</f>
        <v>0</v>
      </c>
      <c r="F56" s="241"/>
      <c r="G56" s="241">
        <v>559</v>
      </c>
      <c r="H56" s="983">
        <v>0</v>
      </c>
      <c r="I56" s="241">
        <v>0</v>
      </c>
      <c r="J56" s="241">
        <v>0</v>
      </c>
      <c r="K56" s="241">
        <v>0</v>
      </c>
      <c r="L56" s="241">
        <v>0</v>
      </c>
      <c r="M56" s="241">
        <v>0</v>
      </c>
      <c r="N56" s="241">
        <v>0</v>
      </c>
      <c r="O56" s="241">
        <v>0</v>
      </c>
      <c r="P56" s="241">
        <v>0</v>
      </c>
      <c r="Q56" s="241">
        <v>0</v>
      </c>
    </row>
    <row r="57" spans="1:17" s="36" customFormat="1" ht="15" customHeight="1" outlineLevel="1">
      <c r="A57" s="60"/>
      <c r="B57" s="68" t="s">
        <v>491</v>
      </c>
      <c r="C57" s="13" t="s">
        <v>240</v>
      </c>
      <c r="D57" s="241"/>
      <c r="E57" s="241">
        <f>'4.10_транзит_КТЭЦ'!E57+'4.10_сбыт_КТЭЦ'!E57</f>
        <v>0</v>
      </c>
      <c r="F57" s="241"/>
      <c r="G57" s="241">
        <v>0</v>
      </c>
      <c r="H57" s="983">
        <v>0</v>
      </c>
      <c r="I57" s="241">
        <v>0</v>
      </c>
      <c r="J57" s="241">
        <v>0</v>
      </c>
      <c r="K57" s="241">
        <v>0</v>
      </c>
      <c r="L57" s="241">
        <v>0</v>
      </c>
      <c r="M57" s="241">
        <v>0</v>
      </c>
      <c r="N57" s="241">
        <v>0</v>
      </c>
      <c r="O57" s="241">
        <v>0</v>
      </c>
      <c r="P57" s="241">
        <v>0</v>
      </c>
      <c r="Q57" s="241">
        <v>0</v>
      </c>
    </row>
    <row r="58" spans="1:17" s="36" customFormat="1" ht="15" customHeight="1" outlineLevel="1">
      <c r="A58" s="60"/>
      <c r="B58" s="70" t="s">
        <v>492</v>
      </c>
      <c r="C58" s="13" t="s">
        <v>240</v>
      </c>
      <c r="D58" s="241"/>
      <c r="E58" s="241">
        <f>'4.10_транзит_КТЭЦ'!E58+'4.10_сбыт_КТЭЦ'!E58</f>
        <v>0</v>
      </c>
      <c r="F58" s="241"/>
      <c r="G58" s="241">
        <v>526</v>
      </c>
      <c r="H58" s="983">
        <v>0</v>
      </c>
      <c r="I58" s="241">
        <v>0</v>
      </c>
      <c r="J58" s="241">
        <v>0</v>
      </c>
      <c r="K58" s="241">
        <v>0</v>
      </c>
      <c r="L58" s="241">
        <v>0</v>
      </c>
      <c r="M58" s="241">
        <v>0</v>
      </c>
      <c r="N58" s="241">
        <v>0</v>
      </c>
      <c r="O58" s="241">
        <v>0</v>
      </c>
      <c r="P58" s="241">
        <v>0</v>
      </c>
      <c r="Q58" s="241">
        <v>0</v>
      </c>
    </row>
    <row r="59" spans="1:17" s="36" customFormat="1" ht="15" customHeight="1" outlineLevel="1">
      <c r="A59" s="60"/>
      <c r="B59" s="70" t="s">
        <v>493</v>
      </c>
      <c r="C59" s="13" t="s">
        <v>240</v>
      </c>
      <c r="D59" s="241"/>
      <c r="E59" s="241">
        <f>'4.10_транзит_КТЭЦ'!E59+'4.10_сбыт_КТЭЦ'!E59</f>
        <v>0</v>
      </c>
      <c r="F59" s="241"/>
      <c r="G59" s="241">
        <v>33</v>
      </c>
      <c r="H59" s="983">
        <v>0</v>
      </c>
      <c r="I59" s="241">
        <v>0</v>
      </c>
      <c r="J59" s="241">
        <v>0</v>
      </c>
      <c r="K59" s="241">
        <v>0</v>
      </c>
      <c r="L59" s="241">
        <v>0</v>
      </c>
      <c r="M59" s="241">
        <v>0</v>
      </c>
      <c r="N59" s="241">
        <v>0</v>
      </c>
      <c r="O59" s="241">
        <v>0</v>
      </c>
      <c r="P59" s="241">
        <v>0</v>
      </c>
      <c r="Q59" s="241">
        <v>0</v>
      </c>
    </row>
    <row r="60" spans="1:17" s="36" customFormat="1" ht="15" customHeight="1" outlineLevel="1">
      <c r="A60" s="60"/>
      <c r="B60" s="70" t="s">
        <v>494</v>
      </c>
      <c r="C60" s="13" t="s">
        <v>240</v>
      </c>
      <c r="D60" s="241"/>
      <c r="E60" s="241">
        <f>'4.10_транзит_КТЭЦ'!E60+'4.10_сбыт_КТЭЦ'!E60</f>
        <v>0</v>
      </c>
      <c r="F60" s="241"/>
      <c r="G60" s="241">
        <v>0</v>
      </c>
      <c r="H60" s="983">
        <v>0</v>
      </c>
      <c r="I60" s="241">
        <v>0</v>
      </c>
      <c r="J60" s="241">
        <v>0</v>
      </c>
      <c r="K60" s="241">
        <v>0</v>
      </c>
      <c r="L60" s="241">
        <v>0</v>
      </c>
      <c r="M60" s="241">
        <v>0</v>
      </c>
      <c r="N60" s="241">
        <v>0</v>
      </c>
      <c r="O60" s="241">
        <v>0</v>
      </c>
      <c r="P60" s="241">
        <v>0</v>
      </c>
      <c r="Q60" s="241">
        <v>0</v>
      </c>
    </row>
    <row r="61" spans="1:17" s="36" customFormat="1" ht="15" customHeight="1" outlineLevel="1">
      <c r="A61" s="60"/>
      <c r="B61" s="70" t="s">
        <v>495</v>
      </c>
      <c r="C61" s="13" t="s">
        <v>240</v>
      </c>
      <c r="D61" s="241"/>
      <c r="E61" s="241">
        <f>'4.10_транзит_КТЭЦ'!E61+'4.10_сбыт_КТЭЦ'!E61</f>
        <v>0</v>
      </c>
      <c r="F61" s="241"/>
      <c r="G61" s="241">
        <v>0</v>
      </c>
      <c r="H61" s="983">
        <v>0</v>
      </c>
      <c r="I61" s="241">
        <v>0</v>
      </c>
      <c r="J61" s="241">
        <v>0</v>
      </c>
      <c r="K61" s="241">
        <v>0</v>
      </c>
      <c r="L61" s="241">
        <v>0</v>
      </c>
      <c r="M61" s="241">
        <v>0</v>
      </c>
      <c r="N61" s="241">
        <v>0</v>
      </c>
      <c r="O61" s="241">
        <v>0</v>
      </c>
      <c r="P61" s="241">
        <v>0</v>
      </c>
      <c r="Q61" s="241">
        <v>0</v>
      </c>
    </row>
    <row r="62" spans="1:17" s="36" customFormat="1" ht="15" customHeight="1" outlineLevel="1">
      <c r="A62" s="60"/>
      <c r="B62" s="70" t="s">
        <v>496</v>
      </c>
      <c r="C62" s="13" t="s">
        <v>240</v>
      </c>
      <c r="D62" s="241"/>
      <c r="E62" s="241">
        <f>'4.10_транзит_КТЭЦ'!E62+'4.10_сбыт_КТЭЦ'!E62</f>
        <v>0</v>
      </c>
      <c r="F62" s="241"/>
      <c r="G62" s="241">
        <v>957</v>
      </c>
      <c r="H62" s="983">
        <v>0</v>
      </c>
      <c r="I62" s="241">
        <v>0</v>
      </c>
      <c r="J62" s="241">
        <v>0</v>
      </c>
      <c r="K62" s="241">
        <v>0</v>
      </c>
      <c r="L62" s="241">
        <v>0</v>
      </c>
      <c r="M62" s="241">
        <v>0</v>
      </c>
      <c r="N62" s="241">
        <v>0</v>
      </c>
      <c r="O62" s="241">
        <v>0</v>
      </c>
      <c r="P62" s="241">
        <v>0</v>
      </c>
      <c r="Q62" s="241">
        <v>0</v>
      </c>
    </row>
    <row r="63" spans="1:17" s="36" customFormat="1" ht="15" customHeight="1" outlineLevel="1">
      <c r="A63" s="60"/>
      <c r="B63" s="70" t="s">
        <v>497</v>
      </c>
      <c r="C63" s="13" t="s">
        <v>240</v>
      </c>
      <c r="D63" s="241"/>
      <c r="E63" s="241">
        <f>'4.10_транзит_КТЭЦ'!E63+'4.10_сбыт_КТЭЦ'!E63</f>
        <v>0</v>
      </c>
      <c r="F63" s="241"/>
      <c r="G63" s="241">
        <v>0</v>
      </c>
      <c r="H63" s="983">
        <v>0</v>
      </c>
      <c r="I63" s="241">
        <v>0</v>
      </c>
      <c r="J63" s="241">
        <v>0</v>
      </c>
      <c r="K63" s="241">
        <v>0</v>
      </c>
      <c r="L63" s="241">
        <v>0</v>
      </c>
      <c r="M63" s="241">
        <v>0</v>
      </c>
      <c r="N63" s="241">
        <v>0</v>
      </c>
      <c r="O63" s="241">
        <v>0</v>
      </c>
      <c r="P63" s="241">
        <v>0</v>
      </c>
      <c r="Q63" s="241">
        <v>0</v>
      </c>
    </row>
    <row r="64" spans="1:17" s="36" customFormat="1" ht="15" customHeight="1" outlineLevel="1">
      <c r="A64" s="60"/>
      <c r="B64" s="68" t="s">
        <v>498</v>
      </c>
      <c r="C64" s="13" t="s">
        <v>240</v>
      </c>
      <c r="D64" s="241"/>
      <c r="E64" s="241">
        <f>'4.10_транзит_КТЭЦ'!E64+'4.10_сбыт_КТЭЦ'!E64</f>
        <v>0</v>
      </c>
      <c r="F64" s="241"/>
      <c r="G64" s="241">
        <v>0</v>
      </c>
      <c r="H64" s="983">
        <v>0</v>
      </c>
      <c r="I64" s="241">
        <v>0</v>
      </c>
      <c r="J64" s="241">
        <v>0</v>
      </c>
      <c r="K64" s="241">
        <v>0</v>
      </c>
      <c r="L64" s="241">
        <v>0</v>
      </c>
      <c r="M64" s="241">
        <v>0</v>
      </c>
      <c r="N64" s="241">
        <v>0</v>
      </c>
      <c r="O64" s="241">
        <v>0</v>
      </c>
      <c r="P64" s="241">
        <v>0</v>
      </c>
      <c r="Q64" s="241">
        <v>0</v>
      </c>
    </row>
    <row r="65" spans="1:17" s="36" customFormat="1" ht="15" customHeight="1" outlineLevel="1">
      <c r="A65" s="60"/>
      <c r="B65" s="68" t="s">
        <v>499</v>
      </c>
      <c r="C65" s="13" t="s">
        <v>240</v>
      </c>
      <c r="D65" s="241"/>
      <c r="E65" s="241">
        <f>'4.10_транзит_КТЭЦ'!E65+'4.10_сбыт_КТЭЦ'!E65</f>
        <v>0</v>
      </c>
      <c r="F65" s="241"/>
      <c r="G65" s="241">
        <v>0</v>
      </c>
      <c r="H65" s="983">
        <v>0</v>
      </c>
      <c r="I65" s="241">
        <v>0</v>
      </c>
      <c r="J65" s="241">
        <v>0</v>
      </c>
      <c r="K65" s="241">
        <v>0</v>
      </c>
      <c r="L65" s="241">
        <v>0</v>
      </c>
      <c r="M65" s="241">
        <v>0</v>
      </c>
      <c r="N65" s="241">
        <v>0</v>
      </c>
      <c r="O65" s="241">
        <v>0</v>
      </c>
      <c r="P65" s="241">
        <v>0</v>
      </c>
      <c r="Q65" s="241">
        <v>0</v>
      </c>
    </row>
    <row r="66" spans="1:17" s="36" customFormat="1">
      <c r="A66" s="60"/>
      <c r="B66" s="68"/>
      <c r="C66" s="13"/>
      <c r="D66" s="241"/>
      <c r="E66" s="241"/>
      <c r="F66" s="241"/>
      <c r="G66" s="241"/>
      <c r="H66" s="983"/>
      <c r="I66" s="241"/>
      <c r="J66" s="241"/>
      <c r="K66" s="241"/>
      <c r="L66" s="241"/>
      <c r="M66" s="241"/>
      <c r="N66" s="241"/>
      <c r="O66" s="241"/>
      <c r="P66" s="241"/>
      <c r="Q66" s="241"/>
    </row>
    <row r="67" spans="1:17" s="1001" customFormat="1" ht="30" customHeight="1">
      <c r="A67" s="82" t="s">
        <v>78</v>
      </c>
      <c r="B67" s="80" t="s">
        <v>503</v>
      </c>
      <c r="C67" s="1002" t="s">
        <v>240</v>
      </c>
      <c r="D67" s="1000">
        <f>'4.10_транзит_КТЭЦ'!D67+'4.10_сбыт_КТЭЦ'!D67</f>
        <v>281643.36363636365</v>
      </c>
      <c r="E67" s="1000">
        <f>'4.10_транзит_КТЭЦ'!E67+'4.10_сбыт_КТЭЦ'!E67</f>
        <v>275975</v>
      </c>
      <c r="F67" s="1000">
        <f>'4.10_транзит_КТЭЦ'!F67+'4.10_сбыт_КТЭЦ'!F67</f>
        <v>0</v>
      </c>
      <c r="G67" s="1000">
        <v>510652</v>
      </c>
      <c r="H67" s="1006">
        <v>0</v>
      </c>
      <c r="I67" s="1000">
        <v>515960</v>
      </c>
      <c r="J67" s="1000">
        <v>0</v>
      </c>
      <c r="K67" s="1000">
        <v>626552.83333333337</v>
      </c>
      <c r="L67" s="1000">
        <v>756003.16666666674</v>
      </c>
      <c r="M67" s="1000">
        <v>751734</v>
      </c>
      <c r="N67" s="1000">
        <v>760272.33333333326</v>
      </c>
      <c r="O67" s="1000">
        <v>779884.33333333326</v>
      </c>
      <c r="P67" s="1000">
        <v>772226</v>
      </c>
      <c r="Q67" s="1000">
        <v>787542.66666666674</v>
      </c>
    </row>
    <row r="68" spans="1:17" s="36" customFormat="1" ht="15" customHeight="1" outlineLevel="1">
      <c r="A68" s="60"/>
      <c r="B68" s="68" t="s">
        <v>487</v>
      </c>
      <c r="C68" s="13" t="s">
        <v>240</v>
      </c>
      <c r="D68" s="241"/>
      <c r="E68" s="241">
        <f>'4.10_транзит_КТЭЦ'!E68+'4.10_сбыт_КТЭЦ'!E68</f>
        <v>120517</v>
      </c>
      <c r="F68" s="241"/>
      <c r="G68" s="241">
        <v>354600</v>
      </c>
      <c r="H68" s="983">
        <v>0</v>
      </c>
      <c r="I68" s="241">
        <v>348026</v>
      </c>
      <c r="J68" s="241">
        <v>0</v>
      </c>
      <c r="K68" s="241">
        <v>354600</v>
      </c>
      <c r="L68" s="241">
        <v>354600</v>
      </c>
      <c r="M68" s="241">
        <v>354600</v>
      </c>
      <c r="N68" s="241">
        <v>354600</v>
      </c>
      <c r="O68" s="241">
        <v>354600</v>
      </c>
      <c r="P68" s="241">
        <v>354600</v>
      </c>
      <c r="Q68" s="241">
        <v>354600</v>
      </c>
    </row>
    <row r="69" spans="1:17" s="36" customFormat="1" ht="15" customHeight="1" outlineLevel="1">
      <c r="A69" s="60"/>
      <c r="B69" s="68" t="s">
        <v>488</v>
      </c>
      <c r="C69" s="13" t="s">
        <v>240</v>
      </c>
      <c r="D69" s="241"/>
      <c r="E69" s="241">
        <f>'4.10_транзит_КТЭЦ'!E69+'4.10_сбыт_КТЭЦ'!E69</f>
        <v>124187</v>
      </c>
      <c r="F69" s="241"/>
      <c r="G69" s="241">
        <v>124287</v>
      </c>
      <c r="H69" s="983">
        <v>0</v>
      </c>
      <c r="I69" s="241">
        <v>130115</v>
      </c>
      <c r="J69" s="241">
        <v>0</v>
      </c>
      <c r="K69" s="241">
        <v>233702.83333333334</v>
      </c>
      <c r="L69" s="241">
        <v>363153.16666666669</v>
      </c>
      <c r="M69" s="241">
        <v>358884</v>
      </c>
      <c r="N69" s="241">
        <v>367422.33333333331</v>
      </c>
      <c r="O69" s="241">
        <v>387034.33333333331</v>
      </c>
      <c r="P69" s="241">
        <v>379376</v>
      </c>
      <c r="Q69" s="241">
        <v>394692.66666666669</v>
      </c>
    </row>
    <row r="70" spans="1:17" s="36" customFormat="1" ht="15" customHeight="1" outlineLevel="1">
      <c r="A70" s="60"/>
      <c r="B70" s="68" t="s">
        <v>489</v>
      </c>
      <c r="C70" s="13" t="s">
        <v>240</v>
      </c>
      <c r="D70" s="241"/>
      <c r="E70" s="241">
        <f>'4.10_транзит_КТЭЦ'!E70+'4.10_сбыт_КТЭЦ'!E70</f>
        <v>0</v>
      </c>
      <c r="F70" s="241"/>
      <c r="G70" s="241">
        <v>0</v>
      </c>
      <c r="H70" s="983">
        <v>0</v>
      </c>
      <c r="I70" s="241">
        <v>0</v>
      </c>
      <c r="J70" s="241">
        <v>0</v>
      </c>
      <c r="K70" s="241">
        <v>0</v>
      </c>
      <c r="L70" s="241">
        <v>0</v>
      </c>
      <c r="M70" s="241">
        <v>0</v>
      </c>
      <c r="N70" s="241">
        <v>0</v>
      </c>
      <c r="O70" s="241">
        <v>0</v>
      </c>
      <c r="P70" s="241">
        <v>0</v>
      </c>
      <c r="Q70" s="241">
        <v>0</v>
      </c>
    </row>
    <row r="71" spans="1:17" s="36" customFormat="1" ht="15" customHeight="1" outlineLevel="1">
      <c r="A71" s="60"/>
      <c r="B71" s="68" t="s">
        <v>490</v>
      </c>
      <c r="C71" s="13" t="s">
        <v>240</v>
      </c>
      <c r="D71" s="241"/>
      <c r="E71" s="241">
        <f>'4.10_транзит_КТЭЦ'!E71+'4.10_сбыт_КТЭЦ'!E71</f>
        <v>24082</v>
      </c>
      <c r="F71" s="241"/>
      <c r="G71" s="241">
        <v>25986</v>
      </c>
      <c r="H71" s="983">
        <v>0</v>
      </c>
      <c r="I71" s="241">
        <v>31066</v>
      </c>
      <c r="J71" s="241">
        <v>0</v>
      </c>
      <c r="K71" s="241">
        <v>31814</v>
      </c>
      <c r="L71" s="241">
        <v>31814</v>
      </c>
      <c r="M71" s="241">
        <v>31814</v>
      </c>
      <c r="N71" s="241">
        <v>31814</v>
      </c>
      <c r="O71" s="241">
        <v>31814</v>
      </c>
      <c r="P71" s="241">
        <v>31814</v>
      </c>
      <c r="Q71" s="241">
        <v>31814</v>
      </c>
    </row>
    <row r="72" spans="1:17" s="36" customFormat="1" ht="15" customHeight="1" outlineLevel="1">
      <c r="A72" s="60"/>
      <c r="B72" s="68" t="s">
        <v>491</v>
      </c>
      <c r="C72" s="13" t="s">
        <v>240</v>
      </c>
      <c r="D72" s="241"/>
      <c r="E72" s="241">
        <f>'4.10_транзит_КТЭЦ'!E72+'4.10_сбыт_КТЭЦ'!E72</f>
        <v>128</v>
      </c>
      <c r="F72" s="241"/>
      <c r="G72" s="241">
        <v>154</v>
      </c>
      <c r="H72" s="983">
        <v>0</v>
      </c>
      <c r="I72" s="241">
        <v>149</v>
      </c>
      <c r="J72" s="241">
        <v>0</v>
      </c>
      <c r="K72" s="241">
        <v>154</v>
      </c>
      <c r="L72" s="241">
        <v>154</v>
      </c>
      <c r="M72" s="241">
        <v>154</v>
      </c>
      <c r="N72" s="241">
        <v>154</v>
      </c>
      <c r="O72" s="241">
        <v>154</v>
      </c>
      <c r="P72" s="241">
        <v>154</v>
      </c>
      <c r="Q72" s="241">
        <v>154</v>
      </c>
    </row>
    <row r="73" spans="1:17" s="36" customFormat="1" ht="15" customHeight="1" outlineLevel="1">
      <c r="A73" s="60"/>
      <c r="B73" s="70" t="s">
        <v>492</v>
      </c>
      <c r="C73" s="13" t="s">
        <v>240</v>
      </c>
      <c r="D73" s="241"/>
      <c r="E73" s="241">
        <f>'4.10_транзит_КТЭЦ'!E73+'4.10_сбыт_КТЭЦ'!E73</f>
        <v>16590</v>
      </c>
      <c r="F73" s="241"/>
      <c r="G73" s="241">
        <v>18594</v>
      </c>
      <c r="H73" s="983">
        <v>0</v>
      </c>
      <c r="I73" s="241">
        <v>23011</v>
      </c>
      <c r="J73" s="241">
        <v>0</v>
      </c>
      <c r="K73" s="241">
        <v>23566</v>
      </c>
      <c r="L73" s="241">
        <v>23566</v>
      </c>
      <c r="M73" s="241">
        <v>23566</v>
      </c>
      <c r="N73" s="241">
        <v>23566</v>
      </c>
      <c r="O73" s="241">
        <v>23566</v>
      </c>
      <c r="P73" s="241">
        <v>23566</v>
      </c>
      <c r="Q73" s="241">
        <v>23566</v>
      </c>
    </row>
    <row r="74" spans="1:17" s="36" customFormat="1" ht="15" customHeight="1" outlineLevel="1">
      <c r="A74" s="60"/>
      <c r="B74" s="70" t="s">
        <v>493</v>
      </c>
      <c r="C74" s="13" t="s">
        <v>240</v>
      </c>
      <c r="D74" s="241"/>
      <c r="E74" s="241">
        <f>'4.10_транзит_КТЭЦ'!E74+'4.10_сбыт_КТЭЦ'!E74</f>
        <v>502</v>
      </c>
      <c r="F74" s="241"/>
      <c r="G74" s="241">
        <v>832</v>
      </c>
      <c r="H74" s="983">
        <v>0</v>
      </c>
      <c r="I74" s="241">
        <v>1115</v>
      </c>
      <c r="J74" s="241">
        <v>0</v>
      </c>
      <c r="K74" s="241">
        <v>1141</v>
      </c>
      <c r="L74" s="241">
        <v>1141</v>
      </c>
      <c r="M74" s="241">
        <v>1141</v>
      </c>
      <c r="N74" s="241">
        <v>1141</v>
      </c>
      <c r="O74" s="241">
        <v>1141</v>
      </c>
      <c r="P74" s="241">
        <v>1141</v>
      </c>
      <c r="Q74" s="241">
        <v>1141</v>
      </c>
    </row>
    <row r="75" spans="1:17" s="36" customFormat="1" ht="15" customHeight="1" outlineLevel="1">
      <c r="A75" s="60"/>
      <c r="B75" s="70" t="s">
        <v>494</v>
      </c>
      <c r="C75" s="13" t="s">
        <v>240</v>
      </c>
      <c r="D75" s="241"/>
      <c r="E75" s="241">
        <f>'4.10_транзит_КТЭЦ'!E75+'4.10_сбыт_КТЭЦ'!E75</f>
        <v>98</v>
      </c>
      <c r="F75" s="241"/>
      <c r="G75" s="241">
        <v>110</v>
      </c>
      <c r="H75" s="983">
        <v>0</v>
      </c>
      <c r="I75" s="241">
        <v>174</v>
      </c>
      <c r="J75" s="241">
        <v>0</v>
      </c>
      <c r="K75" s="241">
        <v>177</v>
      </c>
      <c r="L75" s="241">
        <v>177</v>
      </c>
      <c r="M75" s="241">
        <v>177</v>
      </c>
      <c r="N75" s="241">
        <v>177</v>
      </c>
      <c r="O75" s="241">
        <v>177</v>
      </c>
      <c r="P75" s="241">
        <v>177</v>
      </c>
      <c r="Q75" s="241">
        <v>177</v>
      </c>
    </row>
    <row r="76" spans="1:17" s="36" customFormat="1" ht="15" customHeight="1" outlineLevel="1">
      <c r="A76" s="60"/>
      <c r="B76" s="70" t="s">
        <v>495</v>
      </c>
      <c r="C76" s="13" t="s">
        <v>240</v>
      </c>
      <c r="D76" s="241"/>
      <c r="E76" s="241">
        <f>'4.10_транзит_КТЭЦ'!E76+'4.10_сбыт_КТЭЦ'!E76</f>
        <v>6764</v>
      </c>
      <c r="F76" s="241"/>
      <c r="G76" s="241">
        <v>6296</v>
      </c>
      <c r="H76" s="983">
        <v>0</v>
      </c>
      <c r="I76" s="241">
        <v>6617</v>
      </c>
      <c r="J76" s="241">
        <v>0</v>
      </c>
      <c r="K76" s="241">
        <v>6776</v>
      </c>
      <c r="L76" s="241">
        <v>6776</v>
      </c>
      <c r="M76" s="241">
        <v>6776</v>
      </c>
      <c r="N76" s="241">
        <v>6776</v>
      </c>
      <c r="O76" s="241">
        <v>6776</v>
      </c>
      <c r="P76" s="241">
        <v>6776</v>
      </c>
      <c r="Q76" s="241">
        <v>6776</v>
      </c>
    </row>
    <row r="77" spans="1:17" s="36" customFormat="1" ht="15" customHeight="1" outlineLevel="1">
      <c r="A77" s="60"/>
      <c r="B77" s="70" t="s">
        <v>496</v>
      </c>
      <c r="C77" s="13" t="s">
        <v>240</v>
      </c>
      <c r="D77" s="241"/>
      <c r="E77" s="241">
        <f>'4.10_транзит_КТЭЦ'!E77+'4.10_сбыт_КТЭЦ'!E77</f>
        <v>5268</v>
      </c>
      <c r="F77" s="241"/>
      <c r="G77" s="241">
        <v>4351</v>
      </c>
      <c r="H77" s="983">
        <v>0</v>
      </c>
      <c r="I77" s="241">
        <v>4952</v>
      </c>
      <c r="J77" s="241">
        <v>0</v>
      </c>
      <c r="K77" s="241">
        <v>4922</v>
      </c>
      <c r="L77" s="241">
        <v>4922</v>
      </c>
      <c r="M77" s="241">
        <v>4922</v>
      </c>
      <c r="N77" s="241">
        <v>4922</v>
      </c>
      <c r="O77" s="241">
        <v>4922</v>
      </c>
      <c r="P77" s="241">
        <v>4922</v>
      </c>
      <c r="Q77" s="241">
        <v>4922</v>
      </c>
    </row>
    <row r="78" spans="1:17" s="36" customFormat="1" ht="15" customHeight="1" outlineLevel="1">
      <c r="A78" s="60"/>
      <c r="B78" s="70" t="s">
        <v>497</v>
      </c>
      <c r="C78" s="13" t="s">
        <v>240</v>
      </c>
      <c r="D78" s="241"/>
      <c r="E78" s="241">
        <f>'4.10_транзит_КТЭЦ'!E78+'4.10_сбыт_КТЭЦ'!E78</f>
        <v>17</v>
      </c>
      <c r="F78" s="241"/>
      <c r="G78" s="241">
        <v>49</v>
      </c>
      <c r="H78" s="983">
        <v>0</v>
      </c>
      <c r="I78" s="241">
        <v>88</v>
      </c>
      <c r="J78" s="241">
        <v>0</v>
      </c>
      <c r="K78" s="241">
        <v>88</v>
      </c>
      <c r="L78" s="241">
        <v>88</v>
      </c>
      <c r="M78" s="241">
        <v>88</v>
      </c>
      <c r="N78" s="241">
        <v>88</v>
      </c>
      <c r="O78" s="241">
        <v>88</v>
      </c>
      <c r="P78" s="241">
        <v>88</v>
      </c>
      <c r="Q78" s="241">
        <v>88</v>
      </c>
    </row>
    <row r="79" spans="1:17" s="36" customFormat="1" ht="15" customHeight="1" outlineLevel="1">
      <c r="A79" s="60"/>
      <c r="B79" s="68" t="s">
        <v>498</v>
      </c>
      <c r="C79" s="13" t="s">
        <v>240</v>
      </c>
      <c r="D79" s="241"/>
      <c r="E79" s="241">
        <f>'4.10_транзит_КТЭЦ'!E79+'4.10_сбыт_КТЭЦ'!E79</f>
        <v>802</v>
      </c>
      <c r="F79" s="241"/>
      <c r="G79" s="241">
        <v>40</v>
      </c>
      <c r="H79" s="983">
        <v>0</v>
      </c>
      <c r="I79" s="241">
        <v>55</v>
      </c>
      <c r="J79" s="241">
        <v>0</v>
      </c>
      <c r="K79" s="241">
        <v>56</v>
      </c>
      <c r="L79" s="241">
        <v>56</v>
      </c>
      <c r="M79" s="241">
        <v>56</v>
      </c>
      <c r="N79" s="241">
        <v>56</v>
      </c>
      <c r="O79" s="241">
        <v>56</v>
      </c>
      <c r="P79" s="241">
        <v>56</v>
      </c>
      <c r="Q79" s="241">
        <v>56</v>
      </c>
    </row>
    <row r="80" spans="1:17" s="36" customFormat="1" ht="15" customHeight="1" outlineLevel="1">
      <c r="A80" s="60"/>
      <c r="B80" s="68" t="s">
        <v>499</v>
      </c>
      <c r="C80" s="13" t="s">
        <v>240</v>
      </c>
      <c r="D80" s="241"/>
      <c r="E80" s="241">
        <f>'4.10_транзит_КТЭЦ'!E80+'4.10_сбыт_КТЭЦ'!E80</f>
        <v>1102</v>
      </c>
      <c r="F80" s="241"/>
      <c r="G80" s="241">
        <v>1339</v>
      </c>
      <c r="H80" s="983">
        <v>0</v>
      </c>
      <c r="I80" s="241">
        <v>1658</v>
      </c>
      <c r="J80" s="241">
        <v>0</v>
      </c>
      <c r="K80" s="241">
        <v>1370</v>
      </c>
      <c r="L80" s="241">
        <v>1370</v>
      </c>
      <c r="M80" s="241">
        <v>1370</v>
      </c>
      <c r="N80" s="241">
        <v>1370</v>
      </c>
      <c r="O80" s="241">
        <v>1370</v>
      </c>
      <c r="P80" s="241">
        <v>1370</v>
      </c>
      <c r="Q80" s="241">
        <v>1370</v>
      </c>
    </row>
    <row r="81" spans="1:17" s="36" customFormat="1">
      <c r="A81" s="60"/>
      <c r="B81" s="68"/>
      <c r="C81" s="13"/>
      <c r="D81" s="66"/>
      <c r="E81" s="66"/>
      <c r="F81" s="66"/>
      <c r="G81" s="66"/>
      <c r="H81" s="990"/>
      <c r="I81" s="66"/>
      <c r="J81" s="66"/>
      <c r="K81" s="66"/>
      <c r="L81" s="66"/>
      <c r="M81" s="66"/>
      <c r="N81" s="66"/>
      <c r="O81" s="66"/>
      <c r="P81" s="66"/>
      <c r="Q81" s="66"/>
    </row>
    <row r="82" spans="1:17" s="1001" customFormat="1" ht="15" customHeight="1">
      <c r="A82" s="82" t="s">
        <v>86</v>
      </c>
      <c r="B82" s="80" t="s">
        <v>504</v>
      </c>
      <c r="C82" s="999"/>
      <c r="D82" s="432">
        <f>D97/D67*100</f>
        <v>7.8027757218429361</v>
      </c>
      <c r="E82" s="432">
        <f>E97/E67*100</f>
        <v>7.0441163148835946</v>
      </c>
      <c r="F82" s="432"/>
      <c r="G82" s="432">
        <v>5.520589364185394</v>
      </c>
      <c r="H82" s="1007" t="e">
        <v>#DIV/0!</v>
      </c>
      <c r="I82" s="432">
        <v>6.0526009768199085</v>
      </c>
      <c r="J82" s="432" t="e">
        <v>#DIV/0!</v>
      </c>
      <c r="K82" s="432">
        <v>6.5063946456231276</v>
      </c>
      <c r="L82" s="432">
        <v>7.2384617436567167</v>
      </c>
      <c r="M82" s="432">
        <v>3.617769051286758</v>
      </c>
      <c r="N82" s="432">
        <v>3.6206762752119093</v>
      </c>
      <c r="O82" s="432">
        <v>7.2733862671088421</v>
      </c>
      <c r="P82" s="432">
        <v>3.6613633832582688</v>
      </c>
      <c r="Q82" s="432">
        <v>3.6125026876850685</v>
      </c>
    </row>
    <row r="83" spans="1:17" s="36" customFormat="1" ht="15" customHeight="1" outlineLevel="1">
      <c r="A83" s="60"/>
      <c r="B83" s="68" t="s">
        <v>487</v>
      </c>
      <c r="C83" s="13" t="s">
        <v>138</v>
      </c>
      <c r="D83" s="66"/>
      <c r="E83" s="251">
        <f t="shared" ref="E83:E95" si="0">E98/E68*100</f>
        <v>3.429391704074944</v>
      </c>
      <c r="F83" s="66"/>
      <c r="G83" s="251">
        <v>3.5270727580372254</v>
      </c>
      <c r="H83" s="1359" t="e">
        <v>#DIV/0!</v>
      </c>
      <c r="I83" s="251">
        <v>3.9275801233241197</v>
      </c>
      <c r="J83" s="251" t="e">
        <v>#DIV/0!</v>
      </c>
      <c r="K83" s="251">
        <v>3.8550479413423577</v>
      </c>
      <c r="L83" s="251">
        <v>3.8550479413423577</v>
      </c>
      <c r="M83" s="251">
        <v>1.9263959390862944</v>
      </c>
      <c r="N83" s="251">
        <v>1.9286520022560631</v>
      </c>
      <c r="O83" s="251">
        <v>3.8550479413423577</v>
      </c>
      <c r="P83" s="251">
        <v>1.9278059785673998</v>
      </c>
      <c r="Q83" s="251">
        <v>1.9272419627749577</v>
      </c>
    </row>
    <row r="84" spans="1:17" s="36" customFormat="1" ht="15" customHeight="1" outlineLevel="1">
      <c r="A84" s="60"/>
      <c r="B84" s="68" t="s">
        <v>488</v>
      </c>
      <c r="C84" s="13" t="s">
        <v>138</v>
      </c>
      <c r="D84" s="66"/>
      <c r="E84" s="251">
        <f t="shared" si="0"/>
        <v>10.673419923180365</v>
      </c>
      <c r="F84" s="66"/>
      <c r="G84" s="251">
        <v>10.521615293634893</v>
      </c>
      <c r="H84" s="1359" t="e">
        <v>#DIV/0!</v>
      </c>
      <c r="I84" s="251">
        <v>10.997194789224917</v>
      </c>
      <c r="J84" s="251" t="e">
        <v>#DIV/0!</v>
      </c>
      <c r="K84" s="251">
        <v>10.040956570915913</v>
      </c>
      <c r="L84" s="251">
        <v>10.289322365815341</v>
      </c>
      <c r="M84" s="251">
        <v>5.1582126815349811</v>
      </c>
      <c r="N84" s="251">
        <v>5.1314246003917381</v>
      </c>
      <c r="O84" s="251">
        <v>10.156204918943454</v>
      </c>
      <c r="P84" s="251">
        <v>5.1566256168023283</v>
      </c>
      <c r="Q84" s="251">
        <v>5.0026265161585632</v>
      </c>
    </row>
    <row r="85" spans="1:17" s="36" customFormat="1" ht="15" customHeight="1" outlineLevel="1">
      <c r="A85" s="60"/>
      <c r="B85" s="68" t="s">
        <v>489</v>
      </c>
      <c r="C85" s="13" t="s">
        <v>138</v>
      </c>
      <c r="D85" s="66"/>
      <c r="E85" s="251"/>
      <c r="F85" s="66"/>
      <c r="G85" s="251"/>
      <c r="H85" s="1359"/>
      <c r="I85" s="251"/>
      <c r="J85" s="251"/>
      <c r="K85" s="251"/>
      <c r="L85" s="251"/>
      <c r="M85" s="251"/>
      <c r="N85" s="251"/>
      <c r="O85" s="251"/>
      <c r="P85" s="251"/>
      <c r="Q85" s="251"/>
    </row>
    <row r="86" spans="1:17" s="36" customFormat="1" ht="15" customHeight="1" outlineLevel="1">
      <c r="A86" s="60"/>
      <c r="B86" s="68" t="s">
        <v>490</v>
      </c>
      <c r="C86" s="13" t="s">
        <v>138</v>
      </c>
      <c r="D86" s="66"/>
      <c r="E86" s="251">
        <f t="shared" si="0"/>
        <v>7.8440328876339169</v>
      </c>
      <c r="F86" s="66"/>
      <c r="G86" s="251">
        <v>9.0625721542368964</v>
      </c>
      <c r="H86" s="1359" t="e">
        <v>#DIV/0!</v>
      </c>
      <c r="I86" s="251">
        <v>9.5731668061546387</v>
      </c>
      <c r="J86" s="251" t="e">
        <v>#DIV/0!</v>
      </c>
      <c r="K86" s="251">
        <v>10.49223612246181</v>
      </c>
      <c r="L86" s="251">
        <v>10.671402527189287</v>
      </c>
      <c r="M86" s="251">
        <v>5.3655623310492233</v>
      </c>
      <c r="N86" s="251">
        <v>5.3058401961400641</v>
      </c>
      <c r="O86" s="251">
        <v>10.859998742691896</v>
      </c>
      <c r="P86" s="251">
        <v>5.4378575469918902</v>
      </c>
      <c r="Q86" s="251">
        <v>5.4221411957000063</v>
      </c>
    </row>
    <row r="87" spans="1:17" s="36" customFormat="1" ht="15" customHeight="1" outlineLevel="1">
      <c r="A87" s="60"/>
      <c r="B87" s="68" t="s">
        <v>491</v>
      </c>
      <c r="C87" s="13" t="s">
        <v>138</v>
      </c>
      <c r="D87" s="66"/>
      <c r="E87" s="251">
        <f t="shared" si="0"/>
        <v>16.40625</v>
      </c>
      <c r="F87" s="66"/>
      <c r="G87" s="251">
        <v>16.233766233766232</v>
      </c>
      <c r="H87" s="1359" t="e">
        <v>#DIV/0!</v>
      </c>
      <c r="I87" s="251">
        <v>18.120805369127517</v>
      </c>
      <c r="J87" s="251" t="e">
        <v>#DIV/0!</v>
      </c>
      <c r="K87" s="251">
        <v>15.584415584415584</v>
      </c>
      <c r="L87" s="251">
        <v>15.584415584415584</v>
      </c>
      <c r="M87" s="251">
        <v>7.7922077922077921</v>
      </c>
      <c r="N87" s="251">
        <v>7.7922077922077921</v>
      </c>
      <c r="O87" s="251">
        <v>15.584415584415584</v>
      </c>
      <c r="P87" s="251">
        <v>7.7922077922077921</v>
      </c>
      <c r="Q87" s="251">
        <v>7.7922077922077921</v>
      </c>
    </row>
    <row r="88" spans="1:17" s="36" customFormat="1" ht="15" customHeight="1" outlineLevel="1">
      <c r="A88" s="60"/>
      <c r="B88" s="70" t="s">
        <v>492</v>
      </c>
      <c r="C88" s="13" t="s">
        <v>138</v>
      </c>
      <c r="D88" s="66"/>
      <c r="E88" s="251">
        <f t="shared" si="0"/>
        <v>6.6787221217600958</v>
      </c>
      <c r="F88" s="66"/>
      <c r="G88" s="251">
        <v>7.3518339249220173</v>
      </c>
      <c r="H88" s="1359" t="e">
        <v>#DIV/0!</v>
      </c>
      <c r="I88" s="251">
        <v>8.2786493416192251</v>
      </c>
      <c r="J88" s="251" t="e">
        <v>#DIV/0!</v>
      </c>
      <c r="K88" s="251">
        <v>8.0964100823219898</v>
      </c>
      <c r="L88" s="251">
        <v>8.0964100823219898</v>
      </c>
      <c r="M88" s="251">
        <v>4.0482050411609949</v>
      </c>
      <c r="N88" s="251">
        <v>4.0482050411609949</v>
      </c>
      <c r="O88" s="251">
        <v>8.0964100823219898</v>
      </c>
      <c r="P88" s="251">
        <v>4.0482050411609949</v>
      </c>
      <c r="Q88" s="251">
        <v>4.0482050411609949</v>
      </c>
    </row>
    <row r="89" spans="1:17" s="36" customFormat="1" ht="15" customHeight="1" outlineLevel="1">
      <c r="A89" s="60"/>
      <c r="B89" s="70" t="s">
        <v>493</v>
      </c>
      <c r="C89" s="13" t="s">
        <v>138</v>
      </c>
      <c r="D89" s="66"/>
      <c r="E89" s="251">
        <f t="shared" si="0"/>
        <v>84.462151394422307</v>
      </c>
      <c r="F89" s="66"/>
      <c r="G89" s="251">
        <v>69.47115384615384</v>
      </c>
      <c r="H89" s="1359" t="e">
        <v>#DIV/0!</v>
      </c>
      <c r="I89" s="251">
        <v>64.125560538116588</v>
      </c>
      <c r="J89" s="251" t="e">
        <v>#DIV/0!</v>
      </c>
      <c r="K89" s="251">
        <v>89.219982471516218</v>
      </c>
      <c r="L89" s="251">
        <v>93.602103418054341</v>
      </c>
      <c r="M89" s="251">
        <v>45.83698510078878</v>
      </c>
      <c r="N89" s="251">
        <v>47.765118317265561</v>
      </c>
      <c r="O89" s="251">
        <v>98.860648553900091</v>
      </c>
      <c r="P89" s="251">
        <v>47.852760736196323</v>
      </c>
      <c r="Q89" s="251">
        <v>51.007887817703768</v>
      </c>
    </row>
    <row r="90" spans="1:17" s="36" customFormat="1" ht="15" customHeight="1" outlineLevel="1">
      <c r="A90" s="60"/>
      <c r="B90" s="70" t="s">
        <v>494</v>
      </c>
      <c r="C90" s="13" t="s">
        <v>138</v>
      </c>
      <c r="D90" s="66"/>
      <c r="E90" s="251">
        <f t="shared" si="0"/>
        <v>154.08163265306123</v>
      </c>
      <c r="F90" s="66"/>
      <c r="G90" s="251">
        <v>160.90909090909091</v>
      </c>
      <c r="H90" s="1359" t="e">
        <v>#DIV/0!</v>
      </c>
      <c r="I90" s="251">
        <v>65.517241379310349</v>
      </c>
      <c r="J90" s="251" t="e">
        <v>#DIV/0!</v>
      </c>
      <c r="K90" s="251">
        <v>98.305084745762713</v>
      </c>
      <c r="L90" s="251">
        <v>102.25988700564972</v>
      </c>
      <c r="M90" s="251">
        <v>62.711864406779661</v>
      </c>
      <c r="N90" s="251">
        <v>39.548022598870055</v>
      </c>
      <c r="O90" s="251">
        <v>102.25988700564972</v>
      </c>
      <c r="P90" s="251">
        <v>62.711864406779661</v>
      </c>
      <c r="Q90" s="251">
        <v>39.548022598870055</v>
      </c>
    </row>
    <row r="91" spans="1:17" s="36" customFormat="1" ht="15" customHeight="1" outlineLevel="1">
      <c r="A91" s="60"/>
      <c r="B91" s="70" t="s">
        <v>495</v>
      </c>
      <c r="C91" s="13" t="s">
        <v>138</v>
      </c>
      <c r="D91" s="66"/>
      <c r="E91" s="251">
        <f t="shared" si="0"/>
        <v>2.7350680070963929</v>
      </c>
      <c r="F91" s="66"/>
      <c r="G91" s="251">
        <v>3.3036848792884368</v>
      </c>
      <c r="H91" s="1359" t="e">
        <v>#DIV/0!</v>
      </c>
      <c r="I91" s="251">
        <v>3.2189814115157929</v>
      </c>
      <c r="J91" s="251" t="e">
        <v>#DIV/0!</v>
      </c>
      <c r="K91" s="251">
        <v>3.1582054309327035</v>
      </c>
      <c r="L91" s="251">
        <v>3.1582054309327035</v>
      </c>
      <c r="M91" s="251">
        <v>1.5791027154663517</v>
      </c>
      <c r="N91" s="251">
        <v>1.5791027154663517</v>
      </c>
      <c r="O91" s="251">
        <v>3.1582054309327035</v>
      </c>
      <c r="P91" s="251">
        <v>1.5791027154663517</v>
      </c>
      <c r="Q91" s="251">
        <v>1.5791027154663517</v>
      </c>
    </row>
    <row r="92" spans="1:17" s="36" customFormat="1" ht="15" customHeight="1" outlineLevel="1">
      <c r="A92" s="60"/>
      <c r="B92" s="70" t="s">
        <v>496</v>
      </c>
      <c r="C92" s="13" t="s">
        <v>138</v>
      </c>
      <c r="D92" s="66"/>
      <c r="E92" s="251">
        <f t="shared" si="0"/>
        <v>0.11389521640091116</v>
      </c>
      <c r="F92" s="66"/>
      <c r="G92" s="251">
        <v>0.11491611123879567</v>
      </c>
      <c r="H92" s="1359" t="e">
        <v>#DIV/0!</v>
      </c>
      <c r="I92" s="251">
        <v>0.14135702746365103</v>
      </c>
      <c r="J92" s="251" t="e">
        <v>#DIV/0!</v>
      </c>
      <c r="K92" s="251">
        <v>0.24380333197887039</v>
      </c>
      <c r="L92" s="251">
        <v>0.24380333197887039</v>
      </c>
      <c r="M92" s="251">
        <v>0.12190166598943519</v>
      </c>
      <c r="N92" s="251">
        <v>0.12190166598943519</v>
      </c>
      <c r="O92" s="251">
        <v>0.24380333197887039</v>
      </c>
      <c r="P92" s="251">
        <v>0.12190166598943519</v>
      </c>
      <c r="Q92" s="251">
        <v>0.12190166598943519</v>
      </c>
    </row>
    <row r="93" spans="1:17" s="36" customFormat="1" ht="15" customHeight="1" outlineLevel="1">
      <c r="A93" s="60"/>
      <c r="B93" s="70" t="s">
        <v>497</v>
      </c>
      <c r="C93" s="13" t="s">
        <v>138</v>
      </c>
      <c r="D93" s="66"/>
      <c r="E93" s="251">
        <f t="shared" si="0"/>
        <v>41.17647058823529</v>
      </c>
      <c r="F93" s="66"/>
      <c r="G93" s="251">
        <v>22.448979591836736</v>
      </c>
      <c r="H93" s="1359" t="e">
        <v>#DIV/0!</v>
      </c>
      <c r="I93" s="251">
        <v>18.181818181818183</v>
      </c>
      <c r="J93" s="251" t="e">
        <v>#DIV/0!</v>
      </c>
      <c r="K93" s="251">
        <v>14.772727272727273</v>
      </c>
      <c r="L93" s="251">
        <v>14.772727272727273</v>
      </c>
      <c r="M93" s="251">
        <v>7.9545454545454541</v>
      </c>
      <c r="N93" s="251">
        <v>6.8181818181818175</v>
      </c>
      <c r="O93" s="251">
        <v>13.636363636363635</v>
      </c>
      <c r="P93" s="251">
        <v>6.8181818181818175</v>
      </c>
      <c r="Q93" s="251">
        <v>6.8181818181818175</v>
      </c>
    </row>
    <row r="94" spans="1:17" s="36" customFormat="1" ht="15" customHeight="1" outlineLevel="1">
      <c r="A94" s="60"/>
      <c r="B94" s="68" t="s">
        <v>498</v>
      </c>
      <c r="C94" s="13" t="s">
        <v>138</v>
      </c>
      <c r="D94" s="66"/>
      <c r="E94" s="251">
        <f t="shared" si="0"/>
        <v>4.6134663341645883</v>
      </c>
      <c r="F94" s="66"/>
      <c r="G94" s="251">
        <v>147.5</v>
      </c>
      <c r="H94" s="1359" t="e">
        <v>#DIV/0!</v>
      </c>
      <c r="I94" s="251">
        <v>90.909090909090907</v>
      </c>
      <c r="J94" s="251" t="e">
        <v>#DIV/0!</v>
      </c>
      <c r="K94" s="251">
        <v>92.857142857142861</v>
      </c>
      <c r="L94" s="251">
        <v>92.857142857142861</v>
      </c>
      <c r="M94" s="251">
        <v>46.428571428571431</v>
      </c>
      <c r="N94" s="251">
        <v>46.428571428571431</v>
      </c>
      <c r="O94" s="251">
        <v>92.857142857142861</v>
      </c>
      <c r="P94" s="251">
        <v>46.428571428571431</v>
      </c>
      <c r="Q94" s="251">
        <v>46.428571428571431</v>
      </c>
    </row>
    <row r="95" spans="1:17" s="36" customFormat="1" ht="15" customHeight="1" outlineLevel="1">
      <c r="A95" s="60"/>
      <c r="B95" s="68" t="s">
        <v>499</v>
      </c>
      <c r="C95" s="13" t="s">
        <v>138</v>
      </c>
      <c r="D95" s="66"/>
      <c r="E95" s="251">
        <f t="shared" si="0"/>
        <v>10.254083484573503</v>
      </c>
      <c r="F95" s="66"/>
      <c r="G95" s="251">
        <v>13.218820014936519</v>
      </c>
      <c r="H95" s="1359" t="e">
        <v>#DIV/0!</v>
      </c>
      <c r="I95" s="251">
        <v>12.303980699638119</v>
      </c>
      <c r="J95" s="251" t="e">
        <v>#DIV/0!</v>
      </c>
      <c r="K95" s="251">
        <v>15.693430656934307</v>
      </c>
      <c r="L95" s="251">
        <v>15.693430656934307</v>
      </c>
      <c r="M95" s="251">
        <v>7.8102189781021902</v>
      </c>
      <c r="N95" s="251">
        <v>7.8832116788321169</v>
      </c>
      <c r="O95" s="251">
        <v>15.693430656934307</v>
      </c>
      <c r="P95" s="251">
        <v>7.8102189781021902</v>
      </c>
      <c r="Q95" s="251">
        <v>7.8832116788321169</v>
      </c>
    </row>
    <row r="96" spans="1:17" s="36" customFormat="1">
      <c r="A96" s="60"/>
      <c r="B96" s="68"/>
      <c r="C96" s="13"/>
      <c r="D96" s="66"/>
      <c r="E96" s="66"/>
      <c r="F96" s="66"/>
      <c r="G96" s="66"/>
      <c r="H96" s="990"/>
      <c r="I96" s="66"/>
      <c r="J96" s="66"/>
      <c r="K96" s="66"/>
      <c r="L96" s="66"/>
      <c r="M96" s="66"/>
      <c r="N96" s="66"/>
      <c r="O96" s="66"/>
      <c r="P96" s="66"/>
      <c r="Q96" s="66"/>
    </row>
    <row r="97" spans="1:17" s="1001" customFormat="1" ht="15" customHeight="1">
      <c r="A97" s="82" t="s">
        <v>109</v>
      </c>
      <c r="B97" s="80" t="s">
        <v>505</v>
      </c>
      <c r="C97" s="999" t="s">
        <v>240</v>
      </c>
      <c r="D97" s="1000">
        <f>'4.10_транзит_КТЭЦ'!D97+'4.10_сбыт_КТЭЦ'!D97</f>
        <v>21976</v>
      </c>
      <c r="E97" s="1000">
        <f>'4.10_транзит_КТЭЦ'!E97+'4.10_сбыт_КТЭЦ'!E97</f>
        <v>19440</v>
      </c>
      <c r="F97" s="1000">
        <f>'4.10_транзит_КТЭЦ'!F97+'4.10_сбыт_КТЭЦ'!F97</f>
        <v>0</v>
      </c>
      <c r="G97" s="1000">
        <v>28191</v>
      </c>
      <c r="H97" s="1006">
        <v>0</v>
      </c>
      <c r="I97" s="1000">
        <v>31229</v>
      </c>
      <c r="J97" s="1000">
        <v>0</v>
      </c>
      <c r="K97" s="1000">
        <v>40766</v>
      </c>
      <c r="L97" s="1000">
        <v>54723</v>
      </c>
      <c r="M97" s="1000">
        <v>27196</v>
      </c>
      <c r="N97" s="1000">
        <v>27527</v>
      </c>
      <c r="O97" s="1000">
        <v>56724</v>
      </c>
      <c r="P97" s="1000">
        <v>28274</v>
      </c>
      <c r="Q97" s="1000">
        <v>28450</v>
      </c>
    </row>
    <row r="98" spans="1:17" s="36" customFormat="1" ht="15" customHeight="1" outlineLevel="1">
      <c r="A98" s="60"/>
      <c r="B98" s="68" t="s">
        <v>487</v>
      </c>
      <c r="C98" s="13" t="s">
        <v>240</v>
      </c>
      <c r="D98" s="241"/>
      <c r="E98" s="241">
        <f>'4.10_транзит_КТЭЦ'!E98+'4.10_сбыт_КТЭЦ'!E98</f>
        <v>4133</v>
      </c>
      <c r="F98" s="241"/>
      <c r="G98" s="241">
        <v>12507</v>
      </c>
      <c r="H98" s="983">
        <v>0</v>
      </c>
      <c r="I98" s="241">
        <v>13669</v>
      </c>
      <c r="J98" s="241">
        <v>0</v>
      </c>
      <c r="K98" s="241">
        <v>13670</v>
      </c>
      <c r="L98" s="241">
        <v>13670</v>
      </c>
      <c r="M98" s="241">
        <v>6831</v>
      </c>
      <c r="N98" s="241">
        <v>6839</v>
      </c>
      <c r="O98" s="241">
        <v>13670</v>
      </c>
      <c r="P98" s="241">
        <v>6836</v>
      </c>
      <c r="Q98" s="241">
        <v>6834</v>
      </c>
    </row>
    <row r="99" spans="1:17" s="36" customFormat="1" ht="15" customHeight="1" outlineLevel="1">
      <c r="A99" s="60"/>
      <c r="B99" s="68" t="s">
        <v>488</v>
      </c>
      <c r="C99" s="13" t="s">
        <v>240</v>
      </c>
      <c r="D99" s="241"/>
      <c r="E99" s="241">
        <f>'4.10_транзит_КТЭЦ'!E99+'4.10_сбыт_КТЭЦ'!E99</f>
        <v>13255</v>
      </c>
      <c r="F99" s="241"/>
      <c r="G99" s="241">
        <v>13077</v>
      </c>
      <c r="H99" s="983">
        <v>0</v>
      </c>
      <c r="I99" s="241">
        <v>14309</v>
      </c>
      <c r="J99" s="241">
        <v>0</v>
      </c>
      <c r="K99" s="241">
        <v>23466</v>
      </c>
      <c r="L99" s="241">
        <v>37366</v>
      </c>
      <c r="M99" s="241">
        <v>18512</v>
      </c>
      <c r="N99" s="241">
        <v>18854</v>
      </c>
      <c r="O99" s="241">
        <v>39308</v>
      </c>
      <c r="P99" s="241">
        <v>19563</v>
      </c>
      <c r="Q99" s="241">
        <v>19745</v>
      </c>
    </row>
    <row r="100" spans="1:17" s="36" customFormat="1" ht="15" customHeight="1" outlineLevel="1">
      <c r="A100" s="60"/>
      <c r="B100" s="68" t="s">
        <v>489</v>
      </c>
      <c r="C100" s="13" t="s">
        <v>240</v>
      </c>
      <c r="D100" s="241"/>
      <c r="E100" s="241">
        <f>'4.10_транзит_КТЭЦ'!E100+'4.10_сбыт_КТЭЦ'!E100</f>
        <v>0</v>
      </c>
      <c r="F100" s="241"/>
      <c r="G100" s="241">
        <v>0</v>
      </c>
      <c r="H100" s="983">
        <v>0</v>
      </c>
      <c r="I100" s="241">
        <v>0</v>
      </c>
      <c r="J100" s="241">
        <v>0</v>
      </c>
      <c r="K100" s="241">
        <v>0</v>
      </c>
      <c r="L100" s="241">
        <v>0</v>
      </c>
      <c r="M100" s="241">
        <v>0</v>
      </c>
      <c r="N100" s="241">
        <v>0</v>
      </c>
      <c r="O100" s="241">
        <v>0</v>
      </c>
      <c r="P100" s="241">
        <v>0</v>
      </c>
      <c r="Q100" s="241">
        <v>0</v>
      </c>
    </row>
    <row r="101" spans="1:17" s="36" customFormat="1" ht="15" customHeight="1" outlineLevel="1">
      <c r="A101" s="60"/>
      <c r="B101" s="68" t="s">
        <v>490</v>
      </c>
      <c r="C101" s="13" t="s">
        <v>240</v>
      </c>
      <c r="D101" s="241"/>
      <c r="E101" s="241">
        <f>'4.10_транзит_КТЭЦ'!E101+'4.10_сбыт_КТЭЦ'!E101</f>
        <v>1889</v>
      </c>
      <c r="F101" s="241"/>
      <c r="G101" s="241">
        <v>2355</v>
      </c>
      <c r="H101" s="983">
        <v>0</v>
      </c>
      <c r="I101" s="241">
        <v>2974</v>
      </c>
      <c r="J101" s="241">
        <v>0</v>
      </c>
      <c r="K101" s="241">
        <v>3338</v>
      </c>
      <c r="L101" s="241">
        <v>3395</v>
      </c>
      <c r="M101" s="241">
        <v>1707</v>
      </c>
      <c r="N101" s="241">
        <v>1688</v>
      </c>
      <c r="O101" s="241">
        <v>3455</v>
      </c>
      <c r="P101" s="241">
        <v>1730</v>
      </c>
      <c r="Q101" s="241">
        <v>1725</v>
      </c>
    </row>
    <row r="102" spans="1:17" s="36" customFormat="1" ht="15" customHeight="1" outlineLevel="1">
      <c r="A102" s="60"/>
      <c r="B102" s="68" t="s">
        <v>491</v>
      </c>
      <c r="C102" s="13" t="s">
        <v>240</v>
      </c>
      <c r="D102" s="241"/>
      <c r="E102" s="241">
        <f>'4.10_транзит_КТЭЦ'!E102+'4.10_сбыт_КТЭЦ'!E102</f>
        <v>21</v>
      </c>
      <c r="F102" s="241"/>
      <c r="G102" s="241">
        <v>25</v>
      </c>
      <c r="H102" s="983">
        <v>0</v>
      </c>
      <c r="I102" s="241">
        <v>27</v>
      </c>
      <c r="J102" s="241">
        <v>0</v>
      </c>
      <c r="K102" s="241">
        <v>24</v>
      </c>
      <c r="L102" s="241">
        <v>24</v>
      </c>
      <c r="M102" s="241">
        <v>12</v>
      </c>
      <c r="N102" s="241">
        <v>12</v>
      </c>
      <c r="O102" s="241">
        <v>24</v>
      </c>
      <c r="P102" s="241">
        <v>12</v>
      </c>
      <c r="Q102" s="241">
        <v>12</v>
      </c>
    </row>
    <row r="103" spans="1:17" s="36" customFormat="1" ht="15" customHeight="1" outlineLevel="1">
      <c r="A103" s="60"/>
      <c r="B103" s="70" t="s">
        <v>492</v>
      </c>
      <c r="C103" s="13" t="s">
        <v>240</v>
      </c>
      <c r="D103" s="241"/>
      <c r="E103" s="241">
        <f>'4.10_транзит_КТЭЦ'!E103+'4.10_сбыт_КТЭЦ'!E103</f>
        <v>1108</v>
      </c>
      <c r="F103" s="241"/>
      <c r="G103" s="241">
        <v>1367</v>
      </c>
      <c r="H103" s="983">
        <v>0</v>
      </c>
      <c r="I103" s="241">
        <v>1905</v>
      </c>
      <c r="J103" s="241">
        <v>0</v>
      </c>
      <c r="K103" s="241">
        <v>1908</v>
      </c>
      <c r="L103" s="241">
        <v>1908</v>
      </c>
      <c r="M103" s="241">
        <v>954</v>
      </c>
      <c r="N103" s="241">
        <v>954</v>
      </c>
      <c r="O103" s="241">
        <v>1908</v>
      </c>
      <c r="P103" s="241">
        <v>954</v>
      </c>
      <c r="Q103" s="241">
        <v>954</v>
      </c>
    </row>
    <row r="104" spans="1:17" s="36" customFormat="1" ht="15" customHeight="1" outlineLevel="1">
      <c r="A104" s="60"/>
      <c r="B104" s="70" t="s">
        <v>493</v>
      </c>
      <c r="C104" s="13" t="s">
        <v>240</v>
      </c>
      <c r="D104" s="241"/>
      <c r="E104" s="241">
        <f>'4.10_транзит_КТЭЦ'!E104+'4.10_сбыт_КТЭЦ'!E104</f>
        <v>424</v>
      </c>
      <c r="F104" s="241"/>
      <c r="G104" s="241">
        <v>578</v>
      </c>
      <c r="H104" s="983">
        <v>0</v>
      </c>
      <c r="I104" s="241">
        <v>715</v>
      </c>
      <c r="J104" s="241">
        <v>0</v>
      </c>
      <c r="K104" s="241">
        <v>1018</v>
      </c>
      <c r="L104" s="241">
        <v>1068</v>
      </c>
      <c r="M104" s="241">
        <v>523</v>
      </c>
      <c r="N104" s="241">
        <v>545</v>
      </c>
      <c r="O104" s="241">
        <v>1128</v>
      </c>
      <c r="P104" s="241">
        <v>546</v>
      </c>
      <c r="Q104" s="241">
        <v>582</v>
      </c>
    </row>
    <row r="105" spans="1:17" s="36" customFormat="1" ht="15" customHeight="1" outlineLevel="1">
      <c r="A105" s="60"/>
      <c r="B105" s="70" t="s">
        <v>494</v>
      </c>
      <c r="C105" s="13" t="s">
        <v>240</v>
      </c>
      <c r="D105" s="241"/>
      <c r="E105" s="241">
        <f>'4.10_транзит_КТЭЦ'!E105+'4.10_сбыт_КТЭЦ'!E105</f>
        <v>151</v>
      </c>
      <c r="F105" s="241"/>
      <c r="G105" s="241">
        <v>177</v>
      </c>
      <c r="H105" s="983">
        <v>0</v>
      </c>
      <c r="I105" s="241">
        <v>114</v>
      </c>
      <c r="J105" s="241">
        <v>0</v>
      </c>
      <c r="K105" s="241">
        <v>174</v>
      </c>
      <c r="L105" s="241">
        <v>181</v>
      </c>
      <c r="M105" s="241">
        <v>111</v>
      </c>
      <c r="N105" s="241">
        <v>70</v>
      </c>
      <c r="O105" s="241">
        <v>181</v>
      </c>
      <c r="P105" s="241">
        <v>111</v>
      </c>
      <c r="Q105" s="241">
        <v>70</v>
      </c>
    </row>
    <row r="106" spans="1:17" s="36" customFormat="1" ht="15" customHeight="1" outlineLevel="1">
      <c r="A106" s="60"/>
      <c r="B106" s="70" t="s">
        <v>495</v>
      </c>
      <c r="C106" s="13" t="s">
        <v>240</v>
      </c>
      <c r="D106" s="241"/>
      <c r="E106" s="241">
        <f>'4.10_транзит_КТЭЦ'!E106+'4.10_сбыт_КТЭЦ'!E106</f>
        <v>185</v>
      </c>
      <c r="F106" s="241"/>
      <c r="G106" s="241">
        <v>208</v>
      </c>
      <c r="H106" s="983">
        <v>0</v>
      </c>
      <c r="I106" s="241">
        <v>213</v>
      </c>
      <c r="J106" s="241">
        <v>0</v>
      </c>
      <c r="K106" s="241">
        <v>214</v>
      </c>
      <c r="L106" s="241">
        <v>214</v>
      </c>
      <c r="M106" s="241">
        <v>107</v>
      </c>
      <c r="N106" s="241">
        <v>107</v>
      </c>
      <c r="O106" s="241">
        <v>214</v>
      </c>
      <c r="P106" s="241">
        <v>107</v>
      </c>
      <c r="Q106" s="241">
        <v>107</v>
      </c>
    </row>
    <row r="107" spans="1:17" s="36" customFormat="1" ht="15" customHeight="1" outlineLevel="1">
      <c r="A107" s="60"/>
      <c r="B107" s="70" t="s">
        <v>496</v>
      </c>
      <c r="C107" s="13" t="s">
        <v>240</v>
      </c>
      <c r="D107" s="241"/>
      <c r="E107" s="241">
        <f>'4.10_транзит_КТЭЦ'!E107+'4.10_сбыт_КТЭЦ'!E107</f>
        <v>6</v>
      </c>
      <c r="F107" s="241"/>
      <c r="G107" s="241">
        <v>5</v>
      </c>
      <c r="H107" s="983">
        <v>0</v>
      </c>
      <c r="I107" s="241">
        <v>7</v>
      </c>
      <c r="J107" s="241">
        <v>0</v>
      </c>
      <c r="K107" s="241">
        <v>12</v>
      </c>
      <c r="L107" s="241">
        <v>12</v>
      </c>
      <c r="M107" s="241">
        <v>6</v>
      </c>
      <c r="N107" s="241">
        <v>6</v>
      </c>
      <c r="O107" s="241">
        <v>12</v>
      </c>
      <c r="P107" s="241">
        <v>6</v>
      </c>
      <c r="Q107" s="241">
        <v>6</v>
      </c>
    </row>
    <row r="108" spans="1:17" s="36" customFormat="1" ht="15" customHeight="1" outlineLevel="1">
      <c r="A108" s="60"/>
      <c r="B108" s="70" t="s">
        <v>497</v>
      </c>
      <c r="C108" s="13" t="s">
        <v>240</v>
      </c>
      <c r="D108" s="241"/>
      <c r="E108" s="241">
        <f>'4.10_транзит_КТЭЦ'!E108+'4.10_сбыт_КТЭЦ'!E108</f>
        <v>7</v>
      </c>
      <c r="F108" s="241"/>
      <c r="G108" s="241">
        <v>11</v>
      </c>
      <c r="H108" s="983">
        <v>0</v>
      </c>
      <c r="I108" s="241">
        <v>16</v>
      </c>
      <c r="J108" s="241">
        <v>0</v>
      </c>
      <c r="K108" s="241">
        <v>13</v>
      </c>
      <c r="L108" s="241">
        <v>13</v>
      </c>
      <c r="M108" s="241">
        <v>7</v>
      </c>
      <c r="N108" s="241">
        <v>6</v>
      </c>
      <c r="O108" s="241">
        <v>12</v>
      </c>
      <c r="P108" s="241">
        <v>6</v>
      </c>
      <c r="Q108" s="241">
        <v>6</v>
      </c>
    </row>
    <row r="109" spans="1:17" s="36" customFormat="1" ht="15" customHeight="1" outlineLevel="1">
      <c r="A109" s="60"/>
      <c r="B109" s="68" t="s">
        <v>498</v>
      </c>
      <c r="C109" s="13" t="s">
        <v>240</v>
      </c>
      <c r="D109" s="241"/>
      <c r="E109" s="241">
        <f>'4.10_транзит_КТЭЦ'!E109+'4.10_сбыт_КТЭЦ'!E109</f>
        <v>37</v>
      </c>
      <c r="F109" s="241"/>
      <c r="G109" s="241">
        <v>59</v>
      </c>
      <c r="H109" s="983">
        <v>0</v>
      </c>
      <c r="I109" s="241">
        <v>50</v>
      </c>
      <c r="J109" s="241">
        <v>0</v>
      </c>
      <c r="K109" s="241">
        <v>52</v>
      </c>
      <c r="L109" s="241">
        <v>52</v>
      </c>
      <c r="M109" s="241">
        <v>26</v>
      </c>
      <c r="N109" s="241">
        <v>26</v>
      </c>
      <c r="O109" s="241">
        <v>52</v>
      </c>
      <c r="P109" s="241">
        <v>26</v>
      </c>
      <c r="Q109" s="241">
        <v>26</v>
      </c>
    </row>
    <row r="110" spans="1:17" s="36" customFormat="1" ht="15" customHeight="1" outlineLevel="1">
      <c r="A110" s="60"/>
      <c r="B110" s="68" t="s">
        <v>499</v>
      </c>
      <c r="C110" s="13" t="s">
        <v>240</v>
      </c>
      <c r="D110" s="241"/>
      <c r="E110" s="241">
        <f>'4.10_транзит_КТЭЦ'!E110+'4.10_сбыт_КТЭЦ'!E110</f>
        <v>113</v>
      </c>
      <c r="F110" s="241"/>
      <c r="G110" s="241">
        <v>177</v>
      </c>
      <c r="H110" s="983">
        <v>0</v>
      </c>
      <c r="I110" s="241">
        <v>204</v>
      </c>
      <c r="J110" s="241">
        <v>0</v>
      </c>
      <c r="K110" s="241">
        <v>215</v>
      </c>
      <c r="L110" s="241">
        <v>215</v>
      </c>
      <c r="M110" s="241">
        <v>107</v>
      </c>
      <c r="N110" s="241">
        <v>108</v>
      </c>
      <c r="O110" s="241">
        <v>215</v>
      </c>
      <c r="P110" s="241">
        <v>107</v>
      </c>
      <c r="Q110" s="241">
        <v>108</v>
      </c>
    </row>
    <row r="111" spans="1:17" s="1001" customFormat="1" ht="28.5">
      <c r="A111" s="82" t="s">
        <v>151</v>
      </c>
      <c r="B111" s="80" t="s">
        <v>1524</v>
      </c>
      <c r="C111" s="1002" t="s">
        <v>240</v>
      </c>
      <c r="D111" s="1000">
        <f>'4.10_транзит_КТЭЦ'!D111+'4.10_сбыт_КТЭЦ'!D111</f>
        <v>23559</v>
      </c>
      <c r="E111" s="1000">
        <f>'4.10_транзит_КТЭЦ'!E111+'4.10_сбыт_КТЭЦ'!E111</f>
        <v>21803</v>
      </c>
      <c r="F111" s="1000">
        <f>'4.10_транзит_КТЭЦ'!F111+'4.10_сбыт_КТЭЦ'!F111</f>
        <v>0</v>
      </c>
      <c r="G111" s="1000">
        <v>31164</v>
      </c>
      <c r="H111" s="1006">
        <v>0</v>
      </c>
      <c r="I111" s="1000">
        <v>34659</v>
      </c>
      <c r="J111" s="1000">
        <v>0</v>
      </c>
      <c r="K111" s="1000">
        <v>44013</v>
      </c>
      <c r="L111" s="1000">
        <v>58854</v>
      </c>
      <c r="M111" s="1000">
        <v>29234</v>
      </c>
      <c r="N111" s="1000">
        <v>29620</v>
      </c>
      <c r="O111" s="1000">
        <v>62204</v>
      </c>
      <c r="P111" s="1000">
        <v>30919</v>
      </c>
      <c r="Q111" s="1000">
        <v>31285</v>
      </c>
    </row>
    <row r="112" spans="1:17" s="36" customFormat="1" ht="15" customHeight="1">
      <c r="A112" s="60" t="s">
        <v>153</v>
      </c>
      <c r="B112" s="70" t="s">
        <v>402</v>
      </c>
      <c r="C112" s="13" t="s">
        <v>240</v>
      </c>
      <c r="D112" s="241"/>
      <c r="E112" s="241"/>
      <c r="F112" s="241"/>
      <c r="G112" s="241"/>
      <c r="H112" s="983"/>
      <c r="I112" s="241"/>
      <c r="J112" s="241"/>
      <c r="K112" s="241"/>
      <c r="L112" s="241"/>
      <c r="M112" s="241"/>
      <c r="N112" s="241"/>
      <c r="O112" s="241"/>
      <c r="P112" s="241"/>
      <c r="Q112" s="241"/>
    </row>
    <row r="113" spans="1:17" s="36" customFormat="1" ht="15" customHeight="1">
      <c r="A113" s="60" t="s">
        <v>1528</v>
      </c>
      <c r="B113" s="70" t="s">
        <v>404</v>
      </c>
      <c r="C113" s="13" t="s">
        <v>240</v>
      </c>
      <c r="D113" s="241">
        <v>23559</v>
      </c>
      <c r="E113" s="241">
        <f>E111</f>
        <v>21803</v>
      </c>
      <c r="F113" s="241">
        <f t="shared" ref="F113:N113" si="1">F111</f>
        <v>0</v>
      </c>
      <c r="G113" s="241">
        <v>31164</v>
      </c>
      <c r="H113" s="983">
        <v>0</v>
      </c>
      <c r="I113" s="241">
        <v>34659</v>
      </c>
      <c r="J113" s="241">
        <v>0</v>
      </c>
      <c r="K113" s="241">
        <v>44013</v>
      </c>
      <c r="L113" s="241">
        <v>58854</v>
      </c>
      <c r="M113" s="241">
        <v>29234</v>
      </c>
      <c r="N113" s="241">
        <v>29620</v>
      </c>
      <c r="O113" s="241">
        <v>62204</v>
      </c>
      <c r="P113" s="241">
        <v>30919</v>
      </c>
      <c r="Q113" s="241">
        <v>31285</v>
      </c>
    </row>
    <row r="114" spans="1:17" s="36" customFormat="1" ht="15" customHeight="1">
      <c r="A114" s="60" t="s">
        <v>1529</v>
      </c>
      <c r="B114" s="70" t="s">
        <v>406</v>
      </c>
      <c r="C114" s="13" t="s">
        <v>240</v>
      </c>
      <c r="D114" s="241"/>
      <c r="E114" s="241"/>
      <c r="F114" s="241"/>
      <c r="G114" s="241"/>
      <c r="H114" s="983"/>
      <c r="I114" s="241"/>
      <c r="J114" s="241"/>
      <c r="K114" s="241"/>
      <c r="L114" s="241"/>
      <c r="M114" s="241"/>
      <c r="N114" s="241"/>
      <c r="O114" s="241"/>
      <c r="P114" s="241"/>
      <c r="Q114" s="241"/>
    </row>
    <row r="115" spans="1:17" s="36" customFormat="1" ht="15" customHeight="1">
      <c r="A115" s="60" t="s">
        <v>1530</v>
      </c>
      <c r="B115" s="70" t="s">
        <v>408</v>
      </c>
      <c r="C115" s="13" t="s">
        <v>240</v>
      </c>
      <c r="D115" s="241"/>
      <c r="E115" s="241"/>
      <c r="F115" s="241"/>
      <c r="G115" s="241"/>
      <c r="H115" s="241"/>
      <c r="I115" s="241"/>
      <c r="J115" s="241"/>
      <c r="K115" s="241"/>
      <c r="L115" s="241"/>
      <c r="M115" s="241"/>
      <c r="N115" s="241"/>
      <c r="O115" s="241"/>
      <c r="P115" s="241"/>
      <c r="Q115" s="241"/>
    </row>
    <row r="116" spans="1:17" customFormat="1" ht="12.75"/>
    <row r="117" spans="1:17" s="26" customFormat="1">
      <c r="A117" s="26" t="s">
        <v>88</v>
      </c>
      <c r="C117" s="48"/>
    </row>
    <row r="118" spans="1:17" s="976" customFormat="1" ht="51.75" customHeight="1">
      <c r="A118" s="976" t="s">
        <v>89</v>
      </c>
      <c r="B118" s="1842" t="s">
        <v>506</v>
      </c>
      <c r="C118" s="1842"/>
      <c r="D118" s="1842"/>
      <c r="E118" s="1842"/>
      <c r="F118" s="1842"/>
      <c r="G118" s="1842"/>
      <c r="H118" s="1842"/>
      <c r="I118" s="1842"/>
      <c r="J118" s="1842"/>
      <c r="K118" s="1842"/>
      <c r="L118" s="1842"/>
      <c r="M118" s="1842"/>
      <c r="N118" s="1842"/>
    </row>
    <row r="119" spans="1:17" s="976" customFormat="1" ht="58.5" customHeight="1">
      <c r="A119" s="976" t="s">
        <v>91</v>
      </c>
      <c r="B119" s="1842" t="s">
        <v>507</v>
      </c>
      <c r="C119" s="1842"/>
      <c r="D119" s="1842"/>
      <c r="E119" s="1842"/>
      <c r="F119" s="1842"/>
      <c r="G119" s="1842"/>
      <c r="H119" s="1842"/>
      <c r="I119" s="1842"/>
      <c r="J119" s="1842"/>
      <c r="K119" s="1842"/>
      <c r="L119" s="1842"/>
      <c r="M119" s="1842"/>
      <c r="N119" s="1842"/>
    </row>
    <row r="120" spans="1:17" ht="21" customHeight="1"/>
  </sheetData>
  <mergeCells count="3">
    <mergeCell ref="A3:N3"/>
    <mergeCell ref="B118:N118"/>
    <mergeCell ref="B119:N119"/>
  </mergeCells>
  <pageMargins left="0.78740157480314965" right="0.51181102362204722" top="0.33" bottom="0.39370078740157483" header="0.19685039370078741" footer="0.19685039370078741"/>
  <pageSetup paperSize="9" scale="43" orientation="portrait" r:id="rId1"/>
  <headerFooter alignWithMargins="0"/>
  <rowBreaks count="1" manualBreakCount="1">
    <brk id="116" max="6" man="1"/>
  </rowBreaks>
  <legacy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 tint="0.39997558519241921"/>
  </sheetPr>
  <dimension ref="A1:R120"/>
  <sheetViews>
    <sheetView view="pageBreakPreview" zoomScaleNormal="100" workbookViewId="0">
      <pane xSplit="2" ySplit="5" topLeftCell="C6" activePane="bottomRight" state="frozen"/>
      <selection activeCell="F4" sqref="F4"/>
      <selection pane="topRight" activeCell="F4" sqref="F4"/>
      <selection pane="bottomLeft" activeCell="F4" sqref="F4"/>
      <selection pane="bottomRight" activeCell="F4" sqref="F4"/>
    </sheetView>
  </sheetViews>
  <sheetFormatPr defaultColWidth="4.28515625" defaultRowHeight="15" outlineLevelRow="1"/>
  <cols>
    <col min="1" max="1" width="5.42578125" style="1" customWidth="1"/>
    <col min="2" max="2" width="42.28515625" style="1" customWidth="1"/>
    <col min="3" max="3" width="12" style="21" customWidth="1"/>
    <col min="4" max="4" width="12.5703125" style="1" hidden="1" customWidth="1"/>
    <col min="5" max="5" width="11.5703125" style="1" hidden="1" customWidth="1"/>
    <col min="6" max="10" width="12.5703125" style="1" customWidth="1"/>
    <col min="11" max="11" width="15.7109375" style="1" customWidth="1"/>
    <col min="12" max="12" width="12.5703125" style="1" customWidth="1"/>
    <col min="13" max="13" width="11.42578125" style="1" customWidth="1"/>
    <col min="14" max="14" width="11" style="1" customWidth="1"/>
    <col min="15" max="15" width="12.7109375" style="1" customWidth="1"/>
    <col min="16" max="16" width="10.85546875" style="1" customWidth="1"/>
    <col min="17" max="17" width="10.5703125" style="1" customWidth="1"/>
    <col min="18" max="16384" width="4.28515625" style="1"/>
  </cols>
  <sheetData>
    <row r="1" spans="1:18" s="5" customFormat="1" ht="15.75" customHeight="1">
      <c r="A1" s="74" t="s">
        <v>1860</v>
      </c>
      <c r="C1" s="20"/>
      <c r="N1" s="6" t="s">
        <v>943</v>
      </c>
      <c r="Q1" s="6" t="s">
        <v>943</v>
      </c>
    </row>
    <row r="2" spans="1:18" s="5" customFormat="1" ht="12.75" customHeight="1">
      <c r="A2" s="105" t="str">
        <f>'3.1'!$A$2</f>
        <v>ПКГО - Комбинированная выработка КТЭЦ</v>
      </c>
      <c r="C2" s="20"/>
      <c r="R2" s="5" t="s">
        <v>1243</v>
      </c>
    </row>
    <row r="3" spans="1:18" ht="37.5" customHeight="1">
      <c r="A3" s="1915" t="s">
        <v>1180</v>
      </c>
      <c r="B3" s="1915"/>
      <c r="C3" s="1915"/>
      <c r="D3" s="1915"/>
      <c r="E3" s="1915"/>
      <c r="F3" s="1915"/>
      <c r="G3" s="1915"/>
      <c r="H3" s="1915"/>
      <c r="I3" s="1915"/>
      <c r="J3" s="1915"/>
      <c r="K3" s="1915"/>
      <c r="L3" s="1915"/>
      <c r="M3" s="1915"/>
      <c r="N3" s="1915"/>
    </row>
    <row r="4" spans="1:18" customFormat="1" ht="12.75" customHeight="1"/>
    <row r="5" spans="1:18" s="3" customFormat="1" ht="63" customHeight="1">
      <c r="A5" s="913" t="s">
        <v>1527</v>
      </c>
      <c r="B5" s="913" t="s">
        <v>1</v>
      </c>
      <c r="C5" s="913" t="s">
        <v>2</v>
      </c>
      <c r="D5" s="913" t="s">
        <v>1129</v>
      </c>
      <c r="E5" s="913" t="s">
        <v>1130</v>
      </c>
      <c r="F5" s="975" t="s">
        <v>1553</v>
      </c>
      <c r="G5" s="913" t="s">
        <v>1695</v>
      </c>
      <c r="H5" s="1310" t="s">
        <v>1702</v>
      </c>
      <c r="I5" s="1576" t="s">
        <v>1828</v>
      </c>
      <c r="J5" s="1613" t="s">
        <v>1842</v>
      </c>
      <c r="K5" s="1631" t="s">
        <v>1861</v>
      </c>
      <c r="L5" s="1631" t="s">
        <v>1862</v>
      </c>
      <c r="M5" s="1631" t="s">
        <v>763</v>
      </c>
      <c r="N5" s="1631" t="s">
        <v>764</v>
      </c>
      <c r="O5" s="1631" t="s">
        <v>1863</v>
      </c>
      <c r="P5" s="1631" t="s">
        <v>763</v>
      </c>
      <c r="Q5" s="1631" t="s">
        <v>764</v>
      </c>
    </row>
    <row r="6" spans="1:18" s="2" customFormat="1">
      <c r="A6" s="13">
        <v>1</v>
      </c>
      <c r="B6" s="13">
        <v>2</v>
      </c>
      <c r="C6" s="13">
        <v>3</v>
      </c>
      <c r="D6" s="13">
        <v>4</v>
      </c>
      <c r="E6" s="13">
        <v>5</v>
      </c>
      <c r="F6" s="13">
        <v>4</v>
      </c>
      <c r="G6" s="13">
        <v>5</v>
      </c>
      <c r="H6" s="13">
        <v>6</v>
      </c>
      <c r="I6" s="13">
        <v>7</v>
      </c>
      <c r="J6" s="13">
        <v>8</v>
      </c>
      <c r="K6" s="13">
        <v>9</v>
      </c>
      <c r="L6" s="13">
        <v>10</v>
      </c>
      <c r="M6" s="13">
        <v>11</v>
      </c>
      <c r="N6" s="13">
        <v>12</v>
      </c>
      <c r="O6" s="13">
        <v>13</v>
      </c>
      <c r="P6" s="13">
        <v>14</v>
      </c>
      <c r="Q6" s="13">
        <v>15</v>
      </c>
    </row>
    <row r="7" spans="1:18" s="1001" customFormat="1" ht="30" customHeight="1">
      <c r="A7" s="82" t="s">
        <v>4</v>
      </c>
      <c r="B7" s="80" t="s">
        <v>486</v>
      </c>
      <c r="C7" s="1002" t="s">
        <v>240</v>
      </c>
      <c r="D7" s="1000">
        <v>256944</v>
      </c>
      <c r="E7" s="1000">
        <f t="shared" ref="E7" si="0">E8+E9+E10+E11+E17+E18+E19+E20</f>
        <v>265014</v>
      </c>
      <c r="F7" s="1000"/>
      <c r="G7" s="1000">
        <v>509903</v>
      </c>
      <c r="H7" s="1000">
        <v>0</v>
      </c>
      <c r="I7" s="1000">
        <v>512973</v>
      </c>
      <c r="J7" s="1000">
        <v>0</v>
      </c>
      <c r="K7" s="1000">
        <v>525490</v>
      </c>
      <c r="L7" s="1000">
        <v>751734</v>
      </c>
      <c r="M7" s="1000">
        <v>751734</v>
      </c>
      <c r="N7" s="1000">
        <v>751734</v>
      </c>
      <c r="O7" s="1000">
        <v>772226</v>
      </c>
      <c r="P7" s="1000">
        <v>772226</v>
      </c>
      <c r="Q7" s="1000">
        <v>772226</v>
      </c>
    </row>
    <row r="8" spans="1:18" s="36" customFormat="1" ht="15" customHeight="1" outlineLevel="1">
      <c r="A8" s="60"/>
      <c r="B8" s="68" t="s">
        <v>487</v>
      </c>
      <c r="C8" s="13" t="s">
        <v>240</v>
      </c>
      <c r="D8" s="241"/>
      <c r="E8" s="241">
        <v>110340</v>
      </c>
      <c r="F8" s="241"/>
      <c r="G8" s="241">
        <v>354600</v>
      </c>
      <c r="H8" s="241"/>
      <c r="I8" s="250">
        <v>354600</v>
      </c>
      <c r="J8" s="241"/>
      <c r="K8" s="241">
        <v>354600</v>
      </c>
      <c r="L8" s="241">
        <v>354600</v>
      </c>
      <c r="M8" s="241">
        <v>354600</v>
      </c>
      <c r="N8" s="241">
        <v>354600</v>
      </c>
      <c r="O8" s="241">
        <v>354600</v>
      </c>
      <c r="P8" s="241">
        <v>354600</v>
      </c>
      <c r="Q8" s="241">
        <v>354600</v>
      </c>
    </row>
    <row r="9" spans="1:18" s="36" customFormat="1" ht="15" customHeight="1" outlineLevel="1">
      <c r="A9" s="60"/>
      <c r="B9" s="68" t="s">
        <v>488</v>
      </c>
      <c r="C9" s="13" t="s">
        <v>240</v>
      </c>
      <c r="D9" s="241"/>
      <c r="E9" s="241">
        <v>124287</v>
      </c>
      <c r="F9" s="241"/>
      <c r="G9" s="241">
        <v>124287</v>
      </c>
      <c r="H9" s="241"/>
      <c r="I9" s="250">
        <v>124287</v>
      </c>
      <c r="J9" s="241"/>
      <c r="K9" s="241">
        <v>132640</v>
      </c>
      <c r="L9" s="241">
        <v>358884</v>
      </c>
      <c r="M9" s="241">
        <v>358884</v>
      </c>
      <c r="N9" s="241">
        <v>358884</v>
      </c>
      <c r="O9" s="241">
        <v>379376</v>
      </c>
      <c r="P9" s="241">
        <v>379376</v>
      </c>
      <c r="Q9" s="241">
        <v>379376</v>
      </c>
    </row>
    <row r="10" spans="1:18" s="36" customFormat="1" ht="15" customHeight="1" outlineLevel="1">
      <c r="A10" s="60"/>
      <c r="B10" s="68" t="s">
        <v>489</v>
      </c>
      <c r="C10" s="13" t="s">
        <v>240</v>
      </c>
      <c r="D10" s="241"/>
      <c r="E10" s="241">
        <v>0</v>
      </c>
      <c r="F10" s="241"/>
      <c r="G10" s="241">
        <v>0</v>
      </c>
      <c r="H10" s="241"/>
      <c r="I10" s="250">
        <v>0</v>
      </c>
      <c r="J10" s="241"/>
      <c r="K10" s="241">
        <v>0</v>
      </c>
      <c r="L10" s="241">
        <v>0</v>
      </c>
      <c r="M10" s="241">
        <v>0</v>
      </c>
      <c r="N10" s="241">
        <v>0</v>
      </c>
      <c r="O10" s="241">
        <v>0</v>
      </c>
      <c r="P10" s="241">
        <v>0</v>
      </c>
      <c r="Q10" s="241">
        <v>0</v>
      </c>
    </row>
    <row r="11" spans="1:18" s="36" customFormat="1" ht="15" customHeight="1" outlineLevel="1">
      <c r="A11" s="60"/>
      <c r="B11" s="68" t="s">
        <v>490</v>
      </c>
      <c r="C11" s="13" t="s">
        <v>240</v>
      </c>
      <c r="D11" s="241"/>
      <c r="E11" s="241">
        <f t="shared" ref="E11" si="1">E12+E13+E14+E15+E16</f>
        <v>24082</v>
      </c>
      <c r="F11" s="241"/>
      <c r="G11" s="241">
        <v>24372</v>
      </c>
      <c r="H11" s="241">
        <v>0</v>
      </c>
      <c r="I11" s="250">
        <v>28261</v>
      </c>
      <c r="J11" s="241"/>
      <c r="K11" s="241">
        <v>31814</v>
      </c>
      <c r="L11" s="241">
        <v>31814</v>
      </c>
      <c r="M11" s="241">
        <v>31814</v>
      </c>
      <c r="N11" s="241">
        <v>31814</v>
      </c>
      <c r="O11" s="241">
        <v>31814</v>
      </c>
      <c r="P11" s="241">
        <v>31814</v>
      </c>
      <c r="Q11" s="241">
        <v>31814</v>
      </c>
    </row>
    <row r="12" spans="1:18" s="36" customFormat="1" ht="15" customHeight="1" outlineLevel="1">
      <c r="A12" s="60"/>
      <c r="B12" s="68" t="s">
        <v>491</v>
      </c>
      <c r="C12" s="13" t="s">
        <v>240</v>
      </c>
      <c r="D12" s="241"/>
      <c r="E12" s="241">
        <v>128</v>
      </c>
      <c r="F12" s="241"/>
      <c r="G12" s="241">
        <v>154</v>
      </c>
      <c r="H12" s="241"/>
      <c r="I12" s="250">
        <v>154</v>
      </c>
      <c r="J12" s="241"/>
      <c r="K12" s="241">
        <v>154</v>
      </c>
      <c r="L12" s="241">
        <v>154</v>
      </c>
      <c r="M12" s="241">
        <v>154</v>
      </c>
      <c r="N12" s="241">
        <v>154</v>
      </c>
      <c r="O12" s="241">
        <v>154</v>
      </c>
      <c r="P12" s="241">
        <v>154</v>
      </c>
      <c r="Q12" s="241">
        <v>154</v>
      </c>
    </row>
    <row r="13" spans="1:18" s="36" customFormat="1" ht="15" customHeight="1" outlineLevel="1">
      <c r="A13" s="60"/>
      <c r="B13" s="70" t="s">
        <v>492</v>
      </c>
      <c r="C13" s="13" t="s">
        <v>240</v>
      </c>
      <c r="D13" s="241"/>
      <c r="E13" s="241">
        <v>16590</v>
      </c>
      <c r="F13" s="241"/>
      <c r="G13" s="241">
        <v>16666</v>
      </c>
      <c r="H13" s="241"/>
      <c r="I13" s="250">
        <v>20013</v>
      </c>
      <c r="J13" s="241"/>
      <c r="K13" s="241">
        <v>23566</v>
      </c>
      <c r="L13" s="241">
        <v>23566</v>
      </c>
      <c r="M13" s="241">
        <v>23566</v>
      </c>
      <c r="N13" s="241">
        <v>23566</v>
      </c>
      <c r="O13" s="241">
        <v>23566</v>
      </c>
      <c r="P13" s="241">
        <v>23566</v>
      </c>
      <c r="Q13" s="241">
        <v>23566</v>
      </c>
    </row>
    <row r="14" spans="1:18" s="36" customFormat="1" ht="15" customHeight="1" outlineLevel="1">
      <c r="A14" s="60"/>
      <c r="B14" s="70" t="s">
        <v>493</v>
      </c>
      <c r="C14" s="13" t="s">
        <v>240</v>
      </c>
      <c r="D14" s="241"/>
      <c r="E14" s="241">
        <v>502</v>
      </c>
      <c r="F14" s="241"/>
      <c r="G14" s="241">
        <v>676</v>
      </c>
      <c r="H14" s="241"/>
      <c r="I14" s="250">
        <v>1141</v>
      </c>
      <c r="J14" s="241"/>
      <c r="K14" s="241">
        <v>1141</v>
      </c>
      <c r="L14" s="241">
        <v>1141</v>
      </c>
      <c r="M14" s="241">
        <v>1141</v>
      </c>
      <c r="N14" s="241">
        <v>1141</v>
      </c>
      <c r="O14" s="241">
        <v>1141</v>
      </c>
      <c r="P14" s="241">
        <v>1141</v>
      </c>
      <c r="Q14" s="241">
        <v>1141</v>
      </c>
    </row>
    <row r="15" spans="1:18" s="36" customFormat="1" ht="15" customHeight="1" outlineLevel="1">
      <c r="A15" s="60"/>
      <c r="B15" s="70" t="s">
        <v>494</v>
      </c>
      <c r="C15" s="13" t="s">
        <v>240</v>
      </c>
      <c r="D15" s="241"/>
      <c r="E15" s="241">
        <v>98</v>
      </c>
      <c r="F15" s="241"/>
      <c r="G15" s="241">
        <v>100</v>
      </c>
      <c r="H15" s="241"/>
      <c r="I15" s="250">
        <v>177</v>
      </c>
      <c r="J15" s="241"/>
      <c r="K15" s="241">
        <v>177</v>
      </c>
      <c r="L15" s="241">
        <v>177</v>
      </c>
      <c r="M15" s="241">
        <v>177</v>
      </c>
      <c r="N15" s="241">
        <v>177</v>
      </c>
      <c r="O15" s="241">
        <v>177</v>
      </c>
      <c r="P15" s="241">
        <v>177</v>
      </c>
      <c r="Q15" s="241">
        <v>177</v>
      </c>
    </row>
    <row r="16" spans="1:18" s="36" customFormat="1" ht="15" customHeight="1" outlineLevel="1">
      <c r="A16" s="60"/>
      <c r="B16" s="70" t="s">
        <v>495</v>
      </c>
      <c r="C16" s="13" t="s">
        <v>240</v>
      </c>
      <c r="D16" s="241"/>
      <c r="E16" s="241">
        <v>6764</v>
      </c>
      <c r="F16" s="241"/>
      <c r="G16" s="241">
        <v>6776</v>
      </c>
      <c r="H16" s="241"/>
      <c r="I16" s="250">
        <v>6776</v>
      </c>
      <c r="J16" s="241"/>
      <c r="K16" s="241">
        <v>6776</v>
      </c>
      <c r="L16" s="241">
        <v>6776</v>
      </c>
      <c r="M16" s="241">
        <v>6776</v>
      </c>
      <c r="N16" s="241">
        <v>6776</v>
      </c>
      <c r="O16" s="241">
        <v>6776</v>
      </c>
      <c r="P16" s="241">
        <v>6776</v>
      </c>
      <c r="Q16" s="241">
        <v>6776</v>
      </c>
    </row>
    <row r="17" spans="1:17" s="36" customFormat="1" ht="15" customHeight="1" outlineLevel="1">
      <c r="A17" s="60"/>
      <c r="B17" s="70" t="s">
        <v>496</v>
      </c>
      <c r="C17" s="13" t="s">
        <v>240</v>
      </c>
      <c r="D17" s="241"/>
      <c r="E17" s="241">
        <v>5268</v>
      </c>
      <c r="F17" s="241"/>
      <c r="G17" s="241">
        <v>5268</v>
      </c>
      <c r="H17" s="241"/>
      <c r="I17" s="250">
        <v>4311</v>
      </c>
      <c r="J17" s="241"/>
      <c r="K17" s="241">
        <v>4922</v>
      </c>
      <c r="L17" s="241">
        <v>4922</v>
      </c>
      <c r="M17" s="241">
        <v>4922</v>
      </c>
      <c r="N17" s="241">
        <v>4922</v>
      </c>
      <c r="O17" s="241">
        <v>4922</v>
      </c>
      <c r="P17" s="241">
        <v>4922</v>
      </c>
      <c r="Q17" s="241">
        <v>4922</v>
      </c>
    </row>
    <row r="18" spans="1:17" s="36" customFormat="1" ht="15" customHeight="1" outlineLevel="1">
      <c r="A18" s="60"/>
      <c r="B18" s="70" t="s">
        <v>497</v>
      </c>
      <c r="C18" s="13" t="s">
        <v>240</v>
      </c>
      <c r="D18" s="241"/>
      <c r="E18" s="241">
        <v>17</v>
      </c>
      <c r="F18" s="241"/>
      <c r="G18" s="241">
        <v>17</v>
      </c>
      <c r="H18" s="241"/>
      <c r="I18" s="250">
        <v>88</v>
      </c>
      <c r="J18" s="241"/>
      <c r="K18" s="241">
        <v>88</v>
      </c>
      <c r="L18" s="241">
        <v>88</v>
      </c>
      <c r="M18" s="241">
        <v>88</v>
      </c>
      <c r="N18" s="241">
        <v>88</v>
      </c>
      <c r="O18" s="241">
        <v>88</v>
      </c>
      <c r="P18" s="241">
        <v>88</v>
      </c>
      <c r="Q18" s="241">
        <v>88</v>
      </c>
    </row>
    <row r="19" spans="1:17" s="36" customFormat="1" ht="15" customHeight="1" outlineLevel="1">
      <c r="A19" s="60"/>
      <c r="B19" s="68" t="s">
        <v>498</v>
      </c>
      <c r="C19" s="13" t="s">
        <v>240</v>
      </c>
      <c r="D19" s="241"/>
      <c r="E19" s="241">
        <v>18</v>
      </c>
      <c r="F19" s="241"/>
      <c r="G19" s="241">
        <v>18</v>
      </c>
      <c r="H19" s="241"/>
      <c r="I19" s="250">
        <v>56</v>
      </c>
      <c r="J19" s="241"/>
      <c r="K19" s="241">
        <v>56</v>
      </c>
      <c r="L19" s="241">
        <v>56</v>
      </c>
      <c r="M19" s="241">
        <v>56</v>
      </c>
      <c r="N19" s="241">
        <v>56</v>
      </c>
      <c r="O19" s="241">
        <v>56</v>
      </c>
      <c r="P19" s="241">
        <v>56</v>
      </c>
      <c r="Q19" s="241">
        <v>56</v>
      </c>
    </row>
    <row r="20" spans="1:17" s="36" customFormat="1" ht="15" customHeight="1" outlineLevel="1">
      <c r="A20" s="60"/>
      <c r="B20" s="68" t="s">
        <v>499</v>
      </c>
      <c r="C20" s="13" t="s">
        <v>240</v>
      </c>
      <c r="D20" s="241"/>
      <c r="E20" s="241">
        <v>1002</v>
      </c>
      <c r="F20" s="241"/>
      <c r="G20" s="241">
        <v>1341</v>
      </c>
      <c r="H20" s="241"/>
      <c r="I20" s="250">
        <v>1370</v>
      </c>
      <c r="J20" s="241"/>
      <c r="K20" s="241">
        <v>1370</v>
      </c>
      <c r="L20" s="241">
        <v>1370</v>
      </c>
      <c r="M20" s="241">
        <v>1370</v>
      </c>
      <c r="N20" s="241">
        <v>1370</v>
      </c>
      <c r="O20" s="241">
        <v>1370</v>
      </c>
      <c r="P20" s="241">
        <v>1370</v>
      </c>
      <c r="Q20" s="241">
        <v>1370</v>
      </c>
    </row>
    <row r="21" spans="1:17" s="36" customFormat="1">
      <c r="A21" s="60"/>
      <c r="B21" s="68"/>
      <c r="C21" s="13"/>
      <c r="D21" s="241"/>
      <c r="E21" s="241"/>
      <c r="F21" s="241"/>
      <c r="G21" s="241"/>
      <c r="H21" s="241"/>
      <c r="I21" s="241"/>
      <c r="J21" s="241"/>
      <c r="K21" s="241"/>
      <c r="L21" s="241"/>
      <c r="M21" s="241"/>
      <c r="N21" s="241"/>
      <c r="O21" s="241"/>
      <c r="P21" s="241"/>
      <c r="Q21" s="241"/>
    </row>
    <row r="22" spans="1:17" s="1001" customFormat="1" ht="60" customHeight="1">
      <c r="A22" s="82" t="s">
        <v>23</v>
      </c>
      <c r="B22" s="80" t="s">
        <v>500</v>
      </c>
      <c r="C22" s="1002" t="s">
        <v>240</v>
      </c>
      <c r="D22" s="1000">
        <f t="shared" ref="D22:N22" si="2">D23+D24+D25+D26+D32+D33+D34+D35</f>
        <v>0</v>
      </c>
      <c r="E22" s="1000">
        <f t="shared" si="2"/>
        <v>244260</v>
      </c>
      <c r="F22" s="1000">
        <f t="shared" si="2"/>
        <v>0</v>
      </c>
      <c r="G22" s="1000">
        <v>0</v>
      </c>
      <c r="H22" s="1000">
        <v>0</v>
      </c>
      <c r="I22" s="1000">
        <v>0</v>
      </c>
      <c r="J22" s="1000">
        <v>0</v>
      </c>
      <c r="K22" s="1000">
        <v>0</v>
      </c>
      <c r="L22" s="1000">
        <v>0</v>
      </c>
      <c r="M22" s="1000">
        <v>0</v>
      </c>
      <c r="N22" s="1000">
        <v>0</v>
      </c>
      <c r="O22" s="1000">
        <v>0</v>
      </c>
      <c r="P22" s="1000">
        <v>0</v>
      </c>
      <c r="Q22" s="1000">
        <v>0</v>
      </c>
    </row>
    <row r="23" spans="1:17" s="36" customFormat="1" ht="15" customHeight="1" outlineLevel="1">
      <c r="A23" s="60"/>
      <c r="B23" s="68" t="s">
        <v>487</v>
      </c>
      <c r="C23" s="13" t="s">
        <v>240</v>
      </c>
      <c r="D23" s="241"/>
      <c r="E23" s="241">
        <v>244260</v>
      </c>
      <c r="F23" s="241"/>
      <c r="G23" s="241"/>
      <c r="H23" s="241"/>
      <c r="I23" s="241"/>
      <c r="J23" s="241"/>
      <c r="K23" s="241"/>
      <c r="L23" s="241"/>
      <c r="M23" s="241"/>
      <c r="N23" s="241"/>
      <c r="O23" s="241"/>
      <c r="P23" s="241"/>
      <c r="Q23" s="241"/>
    </row>
    <row r="24" spans="1:17" s="36" customFormat="1" ht="15" customHeight="1" outlineLevel="1">
      <c r="A24" s="60"/>
      <c r="B24" s="68" t="s">
        <v>488</v>
      </c>
      <c r="C24" s="13" t="s">
        <v>240</v>
      </c>
      <c r="D24" s="241"/>
      <c r="E24" s="241"/>
      <c r="F24" s="241"/>
      <c r="G24" s="241"/>
      <c r="H24" s="241"/>
      <c r="I24" s="241"/>
      <c r="J24" s="241"/>
      <c r="K24" s="241"/>
      <c r="L24" s="241"/>
      <c r="M24" s="241"/>
      <c r="N24" s="241"/>
      <c r="O24" s="241"/>
      <c r="P24" s="241"/>
      <c r="Q24" s="241"/>
    </row>
    <row r="25" spans="1:17" s="36" customFormat="1" ht="15" customHeight="1" outlineLevel="1">
      <c r="A25" s="60"/>
      <c r="B25" s="68" t="s">
        <v>489</v>
      </c>
      <c r="C25" s="13" t="s">
        <v>240</v>
      </c>
      <c r="D25" s="241"/>
      <c r="E25" s="241"/>
      <c r="F25" s="241"/>
      <c r="G25" s="241"/>
      <c r="H25" s="241"/>
      <c r="I25" s="241"/>
      <c r="J25" s="241"/>
      <c r="K25" s="241"/>
      <c r="L25" s="241"/>
      <c r="M25" s="241"/>
      <c r="N25" s="241"/>
      <c r="O25" s="241"/>
      <c r="P25" s="241"/>
      <c r="Q25" s="241"/>
    </row>
    <row r="26" spans="1:17" s="36" customFormat="1" ht="15" customHeight="1" outlineLevel="1">
      <c r="A26" s="60"/>
      <c r="B26" s="68" t="s">
        <v>490</v>
      </c>
      <c r="C26" s="13" t="s">
        <v>240</v>
      </c>
      <c r="D26" s="241"/>
      <c r="E26" s="241"/>
      <c r="F26" s="241"/>
      <c r="G26" s="241"/>
      <c r="H26" s="241"/>
      <c r="I26" s="241"/>
      <c r="J26" s="241"/>
      <c r="K26" s="241"/>
      <c r="L26" s="241"/>
      <c r="M26" s="241"/>
      <c r="N26" s="241"/>
      <c r="O26" s="241"/>
      <c r="P26" s="241"/>
      <c r="Q26" s="241"/>
    </row>
    <row r="27" spans="1:17" s="36" customFormat="1" ht="15" customHeight="1" outlineLevel="1">
      <c r="A27" s="60"/>
      <c r="B27" s="68" t="s">
        <v>491</v>
      </c>
      <c r="C27" s="13" t="s">
        <v>240</v>
      </c>
      <c r="D27" s="241"/>
      <c r="E27" s="241"/>
      <c r="F27" s="241"/>
      <c r="G27" s="241"/>
      <c r="H27" s="241"/>
      <c r="I27" s="241"/>
      <c r="J27" s="241"/>
      <c r="K27" s="241"/>
      <c r="L27" s="241"/>
      <c r="M27" s="241"/>
      <c r="N27" s="241"/>
      <c r="O27" s="241"/>
      <c r="P27" s="241"/>
      <c r="Q27" s="241"/>
    </row>
    <row r="28" spans="1:17" s="36" customFormat="1" ht="15" customHeight="1" outlineLevel="1">
      <c r="A28" s="60"/>
      <c r="B28" s="70" t="s">
        <v>492</v>
      </c>
      <c r="C28" s="13" t="s">
        <v>240</v>
      </c>
      <c r="D28" s="241"/>
      <c r="E28" s="241"/>
      <c r="F28" s="241"/>
      <c r="G28" s="241"/>
      <c r="H28" s="241"/>
      <c r="I28" s="241"/>
      <c r="J28" s="241"/>
      <c r="K28" s="241"/>
      <c r="L28" s="241"/>
      <c r="M28" s="241"/>
      <c r="N28" s="241"/>
      <c r="O28" s="241"/>
      <c r="P28" s="241"/>
      <c r="Q28" s="241"/>
    </row>
    <row r="29" spans="1:17" s="36" customFormat="1" ht="15" customHeight="1" outlineLevel="1">
      <c r="A29" s="60"/>
      <c r="B29" s="70" t="s">
        <v>493</v>
      </c>
      <c r="C29" s="13" t="s">
        <v>240</v>
      </c>
      <c r="D29" s="241"/>
      <c r="E29" s="241"/>
      <c r="F29" s="241"/>
      <c r="G29" s="241"/>
      <c r="H29" s="241"/>
      <c r="I29" s="241"/>
      <c r="J29" s="241"/>
      <c r="K29" s="241"/>
      <c r="L29" s="241"/>
      <c r="M29" s="241"/>
      <c r="N29" s="241"/>
      <c r="O29" s="241"/>
      <c r="P29" s="241"/>
      <c r="Q29" s="241"/>
    </row>
    <row r="30" spans="1:17" s="36" customFormat="1" ht="15" customHeight="1" outlineLevel="1">
      <c r="A30" s="60"/>
      <c r="B30" s="70" t="s">
        <v>494</v>
      </c>
      <c r="C30" s="13" t="s">
        <v>240</v>
      </c>
      <c r="D30" s="241"/>
      <c r="E30" s="241"/>
      <c r="F30" s="241"/>
      <c r="G30" s="241"/>
      <c r="H30" s="241"/>
      <c r="I30" s="241"/>
      <c r="J30" s="241"/>
      <c r="K30" s="241"/>
      <c r="L30" s="241"/>
      <c r="M30" s="241"/>
      <c r="N30" s="241"/>
      <c r="O30" s="241"/>
      <c r="P30" s="241"/>
      <c r="Q30" s="241"/>
    </row>
    <row r="31" spans="1:17" s="36" customFormat="1" ht="15" customHeight="1" outlineLevel="1">
      <c r="A31" s="60"/>
      <c r="B31" s="70" t="s">
        <v>495</v>
      </c>
      <c r="C31" s="13" t="s">
        <v>240</v>
      </c>
      <c r="D31" s="241"/>
      <c r="E31" s="241"/>
      <c r="F31" s="241"/>
      <c r="G31" s="241"/>
      <c r="H31" s="241"/>
      <c r="I31" s="241"/>
      <c r="J31" s="241"/>
      <c r="K31" s="241"/>
      <c r="L31" s="241"/>
      <c r="M31" s="241"/>
      <c r="N31" s="241"/>
      <c r="O31" s="241"/>
      <c r="P31" s="241"/>
      <c r="Q31" s="241"/>
    </row>
    <row r="32" spans="1:17" s="36" customFormat="1" ht="15" customHeight="1" outlineLevel="1">
      <c r="A32" s="60"/>
      <c r="B32" s="70" t="s">
        <v>496</v>
      </c>
      <c r="C32" s="13" t="s">
        <v>240</v>
      </c>
      <c r="D32" s="241"/>
      <c r="E32" s="241"/>
      <c r="F32" s="241"/>
      <c r="G32" s="241"/>
      <c r="H32" s="241"/>
      <c r="I32" s="241"/>
      <c r="J32" s="241"/>
      <c r="K32" s="241"/>
      <c r="L32" s="241"/>
      <c r="M32" s="241"/>
      <c r="N32" s="241"/>
      <c r="O32" s="241"/>
      <c r="P32" s="241"/>
      <c r="Q32" s="241"/>
    </row>
    <row r="33" spans="1:17" s="36" customFormat="1" ht="15" customHeight="1" outlineLevel="1">
      <c r="A33" s="60"/>
      <c r="B33" s="70" t="s">
        <v>497</v>
      </c>
      <c r="C33" s="13" t="s">
        <v>240</v>
      </c>
      <c r="D33" s="241"/>
      <c r="E33" s="241"/>
      <c r="F33" s="241"/>
      <c r="G33" s="241"/>
      <c r="H33" s="241"/>
      <c r="I33" s="241"/>
      <c r="J33" s="241"/>
      <c r="K33" s="241"/>
      <c r="L33" s="241"/>
      <c r="M33" s="241"/>
      <c r="N33" s="241"/>
      <c r="O33" s="241"/>
      <c r="P33" s="241"/>
      <c r="Q33" s="241"/>
    </row>
    <row r="34" spans="1:17" s="36" customFormat="1" ht="15" customHeight="1" outlineLevel="1">
      <c r="A34" s="60"/>
      <c r="B34" s="68" t="s">
        <v>498</v>
      </c>
      <c r="C34" s="13" t="s">
        <v>240</v>
      </c>
      <c r="D34" s="241"/>
      <c r="E34" s="241"/>
      <c r="F34" s="241"/>
      <c r="G34" s="241"/>
      <c r="H34" s="241"/>
      <c r="I34" s="241"/>
      <c r="J34" s="241"/>
      <c r="K34" s="241"/>
      <c r="L34" s="241"/>
      <c r="M34" s="241"/>
      <c r="N34" s="241"/>
      <c r="O34" s="241"/>
      <c r="P34" s="241"/>
      <c r="Q34" s="241"/>
    </row>
    <row r="35" spans="1:17" s="36" customFormat="1" ht="15" customHeight="1" outlineLevel="1">
      <c r="A35" s="60"/>
      <c r="B35" s="68" t="s">
        <v>499</v>
      </c>
      <c r="C35" s="13" t="s">
        <v>240</v>
      </c>
      <c r="D35" s="241"/>
      <c r="E35" s="241"/>
      <c r="F35" s="241"/>
      <c r="G35" s="241"/>
      <c r="H35" s="241"/>
      <c r="I35" s="241"/>
      <c r="J35" s="241"/>
      <c r="K35" s="241"/>
      <c r="L35" s="241"/>
      <c r="M35" s="241"/>
      <c r="N35" s="241"/>
      <c r="O35" s="241"/>
      <c r="P35" s="241"/>
      <c r="Q35" s="241"/>
    </row>
    <row r="36" spans="1:17" s="36" customFormat="1">
      <c r="A36" s="60"/>
      <c r="B36" s="68"/>
      <c r="C36" s="13"/>
      <c r="D36" s="241"/>
      <c r="E36" s="241"/>
      <c r="F36" s="241"/>
      <c r="G36" s="241"/>
      <c r="H36" s="241"/>
      <c r="I36" s="241"/>
      <c r="J36" s="241"/>
      <c r="K36" s="241"/>
      <c r="L36" s="241"/>
      <c r="M36" s="241"/>
      <c r="N36" s="241"/>
      <c r="O36" s="241"/>
      <c r="P36" s="241"/>
      <c r="Q36" s="241"/>
    </row>
    <row r="37" spans="1:17" s="1001" customFormat="1" ht="15" customHeight="1">
      <c r="A37" s="82" t="s">
        <v>27</v>
      </c>
      <c r="B37" s="80" t="s">
        <v>501</v>
      </c>
      <c r="C37" s="999" t="s">
        <v>240</v>
      </c>
      <c r="D37" s="1000">
        <v>28585</v>
      </c>
      <c r="E37" s="1000">
        <f t="shared" ref="E37:N37" si="3">E38+E39+E40+E41+E47+E48+E49+E50</f>
        <v>629</v>
      </c>
      <c r="F37" s="1000"/>
      <c r="G37" s="1000">
        <v>4586</v>
      </c>
      <c r="H37" s="1000">
        <v>0</v>
      </c>
      <c r="I37" s="1000">
        <v>12517</v>
      </c>
      <c r="J37" s="1000">
        <v>0</v>
      </c>
      <c r="K37" s="1000">
        <v>226244</v>
      </c>
      <c r="L37" s="1000">
        <v>20491</v>
      </c>
      <c r="M37" s="1000">
        <v>0</v>
      </c>
      <c r="N37" s="1000">
        <v>20491</v>
      </c>
      <c r="O37" s="1000">
        <v>140864</v>
      </c>
      <c r="P37" s="1000">
        <v>0</v>
      </c>
      <c r="Q37" s="1000">
        <v>140864</v>
      </c>
    </row>
    <row r="38" spans="1:17" s="36" customFormat="1" ht="15" customHeight="1" outlineLevel="1">
      <c r="A38" s="60"/>
      <c r="B38" s="68" t="s">
        <v>487</v>
      </c>
      <c r="C38" s="13" t="s">
        <v>240</v>
      </c>
      <c r="D38" s="241"/>
      <c r="E38" s="241"/>
      <c r="F38" s="241"/>
      <c r="G38" s="241"/>
      <c r="H38" s="241"/>
      <c r="I38" s="241">
        <v>0</v>
      </c>
      <c r="J38" s="241"/>
      <c r="K38" s="241">
        <v>0</v>
      </c>
      <c r="L38" s="241">
        <v>0</v>
      </c>
      <c r="M38" s="241">
        <v>0</v>
      </c>
      <c r="N38" s="241"/>
      <c r="O38" s="241">
        <v>0</v>
      </c>
      <c r="P38" s="241">
        <v>0</v>
      </c>
      <c r="Q38" s="241">
        <v>0</v>
      </c>
    </row>
    <row r="39" spans="1:17" s="36" customFormat="1" ht="15" customHeight="1" outlineLevel="1">
      <c r="A39" s="60"/>
      <c r="B39" s="68" t="s">
        <v>488</v>
      </c>
      <c r="C39" s="13" t="s">
        <v>240</v>
      </c>
      <c r="D39" s="241"/>
      <c r="E39" s="241"/>
      <c r="F39" s="241"/>
      <c r="G39" s="241"/>
      <c r="H39" s="241"/>
      <c r="I39" s="241">
        <v>8353</v>
      </c>
      <c r="J39" s="241"/>
      <c r="K39" s="241">
        <v>226244</v>
      </c>
      <c r="L39" s="241">
        <v>20491</v>
      </c>
      <c r="M39" s="241">
        <v>0</v>
      </c>
      <c r="N39" s="241">
        <v>20491</v>
      </c>
      <c r="O39" s="241">
        <v>140864</v>
      </c>
      <c r="P39" s="241">
        <v>0</v>
      </c>
      <c r="Q39" s="241">
        <v>140864</v>
      </c>
    </row>
    <row r="40" spans="1:17" s="36" customFormat="1" ht="15" customHeight="1" outlineLevel="1">
      <c r="A40" s="60"/>
      <c r="B40" s="68" t="s">
        <v>489</v>
      </c>
      <c r="C40" s="13" t="s">
        <v>240</v>
      </c>
      <c r="D40" s="241"/>
      <c r="E40" s="241"/>
      <c r="F40" s="241"/>
      <c r="G40" s="241"/>
      <c r="H40" s="241"/>
      <c r="I40" s="241">
        <v>0</v>
      </c>
      <c r="J40" s="241"/>
      <c r="K40" s="241">
        <v>0</v>
      </c>
      <c r="L40" s="241">
        <v>0</v>
      </c>
      <c r="M40" s="241">
        <v>0</v>
      </c>
      <c r="N40" s="241">
        <v>0</v>
      </c>
      <c r="O40" s="241">
        <v>0</v>
      </c>
      <c r="P40" s="241">
        <v>0</v>
      </c>
      <c r="Q40" s="241">
        <v>0</v>
      </c>
    </row>
    <row r="41" spans="1:17" s="36" customFormat="1" ht="15" customHeight="1" outlineLevel="1">
      <c r="A41" s="60"/>
      <c r="B41" s="68" t="s">
        <v>490</v>
      </c>
      <c r="C41" s="13" t="s">
        <v>240</v>
      </c>
      <c r="D41" s="241"/>
      <c r="E41" s="241">
        <f t="shared" ref="E41" si="4">E42+E43+E44+E45+E46</f>
        <v>290</v>
      </c>
      <c r="F41" s="241"/>
      <c r="G41" s="241">
        <v>4448</v>
      </c>
      <c r="H41" s="241">
        <v>0</v>
      </c>
      <c r="I41" s="241">
        <v>3553</v>
      </c>
      <c r="J41" s="241"/>
      <c r="K41" s="241">
        <v>0</v>
      </c>
      <c r="L41" s="241">
        <v>0</v>
      </c>
      <c r="M41" s="241">
        <v>0</v>
      </c>
      <c r="N41" s="241">
        <v>0</v>
      </c>
      <c r="O41" s="241">
        <v>0</v>
      </c>
      <c r="P41" s="241">
        <v>0</v>
      </c>
      <c r="Q41" s="241">
        <v>0</v>
      </c>
    </row>
    <row r="42" spans="1:17" s="36" customFormat="1" ht="15" customHeight="1" outlineLevel="1">
      <c r="A42" s="60"/>
      <c r="B42" s="68" t="s">
        <v>491</v>
      </c>
      <c r="C42" s="13" t="s">
        <v>240</v>
      </c>
      <c r="D42" s="241"/>
      <c r="E42" s="241">
        <v>26</v>
      </c>
      <c r="F42" s="241"/>
      <c r="G42" s="241"/>
      <c r="H42" s="241"/>
      <c r="I42" s="241">
        <v>0</v>
      </c>
      <c r="J42" s="241"/>
      <c r="K42" s="241">
        <v>0</v>
      </c>
      <c r="L42" s="241">
        <v>0</v>
      </c>
      <c r="M42" s="241">
        <v>0</v>
      </c>
      <c r="N42" s="241">
        <v>0</v>
      </c>
      <c r="O42" s="241">
        <v>0</v>
      </c>
      <c r="P42" s="241">
        <v>0</v>
      </c>
      <c r="Q42" s="241">
        <v>0</v>
      </c>
    </row>
    <row r="43" spans="1:17" s="36" customFormat="1" ht="15" customHeight="1" outlineLevel="1">
      <c r="A43" s="60"/>
      <c r="B43" s="70" t="s">
        <v>492</v>
      </c>
      <c r="C43" s="13" t="s">
        <v>240</v>
      </c>
      <c r="D43" s="241"/>
      <c r="E43" s="241">
        <v>76</v>
      </c>
      <c r="F43" s="241"/>
      <c r="G43" s="241">
        <v>3873</v>
      </c>
      <c r="H43" s="241"/>
      <c r="I43" s="241">
        <v>3553</v>
      </c>
      <c r="J43" s="241"/>
      <c r="K43" s="241">
        <v>0</v>
      </c>
      <c r="L43" s="241">
        <v>0</v>
      </c>
      <c r="M43" s="241">
        <v>0</v>
      </c>
      <c r="N43" s="241">
        <v>0</v>
      </c>
      <c r="O43" s="241">
        <v>0</v>
      </c>
      <c r="P43" s="241">
        <v>0</v>
      </c>
      <c r="Q43" s="241">
        <v>0</v>
      </c>
    </row>
    <row r="44" spans="1:17" s="36" customFormat="1" ht="15" customHeight="1" outlineLevel="1">
      <c r="A44" s="60"/>
      <c r="B44" s="70" t="s">
        <v>493</v>
      </c>
      <c r="C44" s="13" t="s">
        <v>240</v>
      </c>
      <c r="D44" s="241"/>
      <c r="E44" s="241">
        <v>174</v>
      </c>
      <c r="F44" s="241"/>
      <c r="G44" s="241">
        <v>498</v>
      </c>
      <c r="H44" s="241"/>
      <c r="I44" s="241">
        <v>0</v>
      </c>
      <c r="J44" s="241"/>
      <c r="K44" s="241">
        <v>0</v>
      </c>
      <c r="L44" s="241">
        <v>0</v>
      </c>
      <c r="M44" s="241">
        <v>0</v>
      </c>
      <c r="N44" s="241">
        <v>0</v>
      </c>
      <c r="O44" s="241">
        <v>0</v>
      </c>
      <c r="P44" s="241">
        <v>0</v>
      </c>
      <c r="Q44" s="241">
        <v>0</v>
      </c>
    </row>
    <row r="45" spans="1:17" s="36" customFormat="1" ht="15" customHeight="1" outlineLevel="1">
      <c r="A45" s="60"/>
      <c r="B45" s="70" t="s">
        <v>494</v>
      </c>
      <c r="C45" s="13" t="s">
        <v>240</v>
      </c>
      <c r="D45" s="241"/>
      <c r="E45" s="241">
        <v>2</v>
      </c>
      <c r="F45" s="241"/>
      <c r="G45" s="241">
        <v>77</v>
      </c>
      <c r="H45" s="241"/>
      <c r="I45" s="241">
        <v>0</v>
      </c>
      <c r="J45" s="241"/>
      <c r="K45" s="241">
        <v>0</v>
      </c>
      <c r="L45" s="241">
        <v>0</v>
      </c>
      <c r="M45" s="241">
        <v>0</v>
      </c>
      <c r="N45" s="241">
        <v>0</v>
      </c>
      <c r="O45" s="241">
        <v>0</v>
      </c>
      <c r="P45" s="241">
        <v>0</v>
      </c>
      <c r="Q45" s="241">
        <v>0</v>
      </c>
    </row>
    <row r="46" spans="1:17" s="36" customFormat="1" ht="15" customHeight="1" outlineLevel="1">
      <c r="A46" s="60"/>
      <c r="B46" s="70" t="s">
        <v>495</v>
      </c>
      <c r="C46" s="13" t="s">
        <v>240</v>
      </c>
      <c r="D46" s="241"/>
      <c r="E46" s="241">
        <v>12</v>
      </c>
      <c r="F46" s="241"/>
      <c r="G46" s="241">
        <v>0</v>
      </c>
      <c r="H46" s="241"/>
      <c r="I46" s="241">
        <v>0</v>
      </c>
      <c r="J46" s="241"/>
      <c r="K46" s="241">
        <v>0</v>
      </c>
      <c r="L46" s="241">
        <v>0</v>
      </c>
      <c r="M46" s="241">
        <v>0</v>
      </c>
      <c r="N46" s="241">
        <v>0</v>
      </c>
      <c r="O46" s="241">
        <v>0</v>
      </c>
      <c r="P46" s="241">
        <v>0</v>
      </c>
      <c r="Q46" s="241">
        <v>0</v>
      </c>
    </row>
    <row r="47" spans="1:17" s="36" customFormat="1" ht="15" customHeight="1" outlineLevel="1">
      <c r="A47" s="60"/>
      <c r="B47" s="70" t="s">
        <v>496</v>
      </c>
      <c r="C47" s="13" t="s">
        <v>240</v>
      </c>
      <c r="D47" s="241"/>
      <c r="E47" s="241"/>
      <c r="F47" s="241"/>
      <c r="G47" s="241">
        <v>0</v>
      </c>
      <c r="H47" s="241"/>
      <c r="I47" s="241">
        <v>611</v>
      </c>
      <c r="J47" s="241"/>
      <c r="K47" s="241">
        <v>0</v>
      </c>
      <c r="L47" s="241">
        <v>0</v>
      </c>
      <c r="M47" s="241">
        <v>0</v>
      </c>
      <c r="N47" s="241">
        <v>0</v>
      </c>
      <c r="O47" s="241">
        <v>0</v>
      </c>
      <c r="P47" s="241">
        <v>0</v>
      </c>
      <c r="Q47" s="241">
        <v>0</v>
      </c>
    </row>
    <row r="48" spans="1:17" s="36" customFormat="1" ht="15" customHeight="1" outlineLevel="1">
      <c r="A48" s="60"/>
      <c r="B48" s="70" t="s">
        <v>497</v>
      </c>
      <c r="C48" s="13" t="s">
        <v>240</v>
      </c>
      <c r="D48" s="241"/>
      <c r="E48" s="241"/>
      <c r="F48" s="241"/>
      <c r="G48" s="241">
        <v>71</v>
      </c>
      <c r="H48" s="241"/>
      <c r="I48" s="241">
        <v>0</v>
      </c>
      <c r="J48" s="241"/>
      <c r="K48" s="241">
        <v>0</v>
      </c>
      <c r="L48" s="241">
        <v>0</v>
      </c>
      <c r="M48" s="241">
        <v>0</v>
      </c>
      <c r="N48" s="241">
        <v>0</v>
      </c>
      <c r="O48" s="241">
        <v>0</v>
      </c>
      <c r="P48" s="241">
        <v>0</v>
      </c>
      <c r="Q48" s="241">
        <v>0</v>
      </c>
    </row>
    <row r="49" spans="1:17" s="36" customFormat="1" ht="15" customHeight="1" outlineLevel="1">
      <c r="A49" s="60"/>
      <c r="B49" s="68" t="s">
        <v>498</v>
      </c>
      <c r="C49" s="13" t="s">
        <v>240</v>
      </c>
      <c r="D49" s="241"/>
      <c r="E49" s="241"/>
      <c r="F49" s="241"/>
      <c r="G49" s="241">
        <v>38</v>
      </c>
      <c r="H49" s="241"/>
      <c r="I49" s="241">
        <v>0</v>
      </c>
      <c r="J49" s="241"/>
      <c r="K49" s="241">
        <v>0</v>
      </c>
      <c r="L49" s="241">
        <v>0</v>
      </c>
      <c r="M49" s="241">
        <v>0</v>
      </c>
      <c r="N49" s="241">
        <v>0</v>
      </c>
      <c r="O49" s="241">
        <v>0</v>
      </c>
      <c r="P49" s="241">
        <v>0</v>
      </c>
      <c r="Q49" s="241">
        <v>0</v>
      </c>
    </row>
    <row r="50" spans="1:17" s="36" customFormat="1" ht="15" customHeight="1" outlineLevel="1">
      <c r="A50" s="60"/>
      <c r="B50" s="68" t="s">
        <v>499</v>
      </c>
      <c r="C50" s="13" t="s">
        <v>240</v>
      </c>
      <c r="D50" s="241"/>
      <c r="E50" s="241">
        <v>339</v>
      </c>
      <c r="F50" s="241"/>
      <c r="G50" s="241">
        <v>29</v>
      </c>
      <c r="H50" s="241"/>
      <c r="I50" s="241">
        <v>0</v>
      </c>
      <c r="J50" s="241"/>
      <c r="K50" s="241">
        <v>0</v>
      </c>
      <c r="L50" s="241">
        <v>0</v>
      </c>
      <c r="M50" s="241">
        <v>0</v>
      </c>
      <c r="N50" s="241">
        <v>0</v>
      </c>
      <c r="O50" s="241">
        <v>0</v>
      </c>
      <c r="P50" s="241">
        <v>0</v>
      </c>
      <c r="Q50" s="241">
        <v>0</v>
      </c>
    </row>
    <row r="51" spans="1:17" s="36" customFormat="1">
      <c r="A51" s="60"/>
      <c r="B51" s="68"/>
      <c r="C51" s="13"/>
      <c r="D51" s="241"/>
      <c r="E51" s="241"/>
      <c r="F51" s="241"/>
      <c r="G51" s="241"/>
      <c r="H51" s="241"/>
      <c r="I51" s="241"/>
      <c r="J51" s="241"/>
      <c r="K51" s="241"/>
      <c r="L51" s="241"/>
      <c r="M51" s="241"/>
      <c r="N51" s="241"/>
      <c r="O51" s="241"/>
      <c r="P51" s="241"/>
      <c r="Q51" s="241"/>
    </row>
    <row r="52" spans="1:17" s="1001" customFormat="1" ht="28.5">
      <c r="A52" s="82" t="s">
        <v>30</v>
      </c>
      <c r="B52" s="80" t="s">
        <v>502</v>
      </c>
      <c r="C52" s="1002" t="s">
        <v>240</v>
      </c>
      <c r="D52" s="1000">
        <f t="shared" ref="D52:F52" si="5">D53+D54+D55+D56+D62+D63+D64+D65</f>
        <v>0</v>
      </c>
      <c r="E52" s="1000">
        <f t="shared" si="5"/>
        <v>0</v>
      </c>
      <c r="F52" s="1000">
        <f t="shared" si="5"/>
        <v>0</v>
      </c>
      <c r="G52" s="1000">
        <v>1516</v>
      </c>
      <c r="H52" s="1000">
        <v>0</v>
      </c>
      <c r="I52" s="1000">
        <v>0</v>
      </c>
      <c r="J52" s="1000">
        <v>0</v>
      </c>
      <c r="K52" s="1000">
        <v>0</v>
      </c>
      <c r="L52" s="1000">
        <v>0</v>
      </c>
      <c r="M52" s="1000">
        <v>0</v>
      </c>
      <c r="N52" s="1000">
        <v>0</v>
      </c>
      <c r="O52" s="1000">
        <v>0</v>
      </c>
      <c r="P52" s="1000">
        <v>0</v>
      </c>
      <c r="Q52" s="1000">
        <v>0</v>
      </c>
    </row>
    <row r="53" spans="1:17" s="36" customFormat="1" ht="15" customHeight="1">
      <c r="A53" s="60"/>
      <c r="B53" s="68" t="s">
        <v>487</v>
      </c>
      <c r="C53" s="13" t="s">
        <v>240</v>
      </c>
      <c r="D53" s="241"/>
      <c r="E53" s="241"/>
      <c r="F53" s="241"/>
      <c r="G53" s="241"/>
      <c r="H53" s="241"/>
      <c r="I53" s="241"/>
      <c r="J53" s="241"/>
      <c r="K53" s="241"/>
      <c r="L53" s="241"/>
      <c r="M53" s="241"/>
      <c r="N53" s="241"/>
      <c r="O53" s="241"/>
      <c r="P53" s="241"/>
      <c r="Q53" s="241"/>
    </row>
    <row r="54" spans="1:17" s="36" customFormat="1" ht="15" customHeight="1" outlineLevel="1">
      <c r="A54" s="60"/>
      <c r="B54" s="68" t="s">
        <v>488</v>
      </c>
      <c r="C54" s="13" t="s">
        <v>240</v>
      </c>
      <c r="D54" s="241"/>
      <c r="E54" s="241"/>
      <c r="F54" s="241"/>
      <c r="G54" s="241"/>
      <c r="H54" s="241"/>
      <c r="I54" s="241"/>
      <c r="J54" s="241"/>
      <c r="K54" s="241"/>
      <c r="L54" s="241"/>
      <c r="M54" s="241"/>
      <c r="N54" s="241"/>
      <c r="O54" s="241"/>
      <c r="P54" s="241"/>
      <c r="Q54" s="241"/>
    </row>
    <row r="55" spans="1:17" s="36" customFormat="1" ht="15" customHeight="1" outlineLevel="1">
      <c r="A55" s="60"/>
      <c r="B55" s="68" t="s">
        <v>489</v>
      </c>
      <c r="C55" s="13" t="s">
        <v>240</v>
      </c>
      <c r="D55" s="241"/>
      <c r="E55" s="241"/>
      <c r="F55" s="241"/>
      <c r="G55" s="241"/>
      <c r="H55" s="241"/>
      <c r="I55" s="241"/>
      <c r="J55" s="241"/>
      <c r="K55" s="241"/>
      <c r="L55" s="241"/>
      <c r="M55" s="241"/>
      <c r="N55" s="241"/>
      <c r="O55" s="241"/>
      <c r="P55" s="241"/>
      <c r="Q55" s="241"/>
    </row>
    <row r="56" spans="1:17" s="36" customFormat="1" ht="15" customHeight="1" outlineLevel="1">
      <c r="A56" s="60"/>
      <c r="B56" s="68" t="s">
        <v>490</v>
      </c>
      <c r="C56" s="13" t="s">
        <v>240</v>
      </c>
      <c r="D56" s="241"/>
      <c r="E56" s="241"/>
      <c r="F56" s="241"/>
      <c r="G56" s="241">
        <v>559</v>
      </c>
      <c r="H56" s="241">
        <v>0</v>
      </c>
      <c r="I56" s="241">
        <v>0</v>
      </c>
      <c r="J56" s="241">
        <v>0</v>
      </c>
      <c r="K56" s="241">
        <v>0</v>
      </c>
      <c r="L56" s="241">
        <v>0</v>
      </c>
      <c r="M56" s="241">
        <v>0</v>
      </c>
      <c r="N56" s="241">
        <v>0</v>
      </c>
      <c r="O56" s="241">
        <v>0</v>
      </c>
      <c r="P56" s="241">
        <v>0</v>
      </c>
      <c r="Q56" s="241">
        <v>0</v>
      </c>
    </row>
    <row r="57" spans="1:17" s="36" customFormat="1" ht="15" customHeight="1" outlineLevel="1">
      <c r="A57" s="60"/>
      <c r="B57" s="68" t="s">
        <v>491</v>
      </c>
      <c r="C57" s="13" t="s">
        <v>240</v>
      </c>
      <c r="D57" s="241"/>
      <c r="E57" s="241"/>
      <c r="F57" s="241"/>
      <c r="G57" s="241">
        <v>0</v>
      </c>
      <c r="H57" s="241"/>
      <c r="I57" s="241"/>
      <c r="J57" s="241"/>
      <c r="K57" s="241"/>
      <c r="L57" s="241"/>
      <c r="M57" s="241"/>
      <c r="N57" s="241"/>
      <c r="O57" s="241"/>
      <c r="P57" s="241"/>
      <c r="Q57" s="241"/>
    </row>
    <row r="58" spans="1:17" s="36" customFormat="1" ht="15" customHeight="1" outlineLevel="1">
      <c r="A58" s="60"/>
      <c r="B58" s="70" t="s">
        <v>492</v>
      </c>
      <c r="C58" s="13" t="s">
        <v>240</v>
      </c>
      <c r="D58" s="241"/>
      <c r="E58" s="241"/>
      <c r="F58" s="241"/>
      <c r="G58" s="241">
        <v>526</v>
      </c>
      <c r="H58" s="241"/>
      <c r="I58" s="241"/>
      <c r="J58" s="241"/>
      <c r="K58" s="241"/>
      <c r="L58" s="241"/>
      <c r="M58" s="241"/>
      <c r="N58" s="241"/>
      <c r="O58" s="241"/>
      <c r="P58" s="241"/>
      <c r="Q58" s="241"/>
    </row>
    <row r="59" spans="1:17" s="36" customFormat="1" ht="15" customHeight="1" outlineLevel="1">
      <c r="A59" s="60"/>
      <c r="B59" s="70" t="s">
        <v>493</v>
      </c>
      <c r="C59" s="13" t="s">
        <v>240</v>
      </c>
      <c r="D59" s="241"/>
      <c r="E59" s="241"/>
      <c r="F59" s="241"/>
      <c r="G59" s="241">
        <v>33</v>
      </c>
      <c r="H59" s="241"/>
      <c r="I59" s="241"/>
      <c r="J59" s="241"/>
      <c r="K59" s="241"/>
      <c r="L59" s="241"/>
      <c r="M59" s="241"/>
      <c r="N59" s="241"/>
      <c r="O59" s="241"/>
      <c r="P59" s="241"/>
      <c r="Q59" s="241"/>
    </row>
    <row r="60" spans="1:17" s="36" customFormat="1" ht="15" customHeight="1" outlineLevel="1">
      <c r="A60" s="60"/>
      <c r="B60" s="70" t="s">
        <v>494</v>
      </c>
      <c r="C60" s="13" t="s">
        <v>240</v>
      </c>
      <c r="D60" s="241"/>
      <c r="E60" s="241"/>
      <c r="F60" s="241"/>
      <c r="G60" s="241">
        <v>0</v>
      </c>
      <c r="H60" s="241"/>
      <c r="I60" s="241"/>
      <c r="J60" s="241"/>
      <c r="K60" s="241"/>
      <c r="L60" s="241"/>
      <c r="M60" s="241"/>
      <c r="N60" s="241"/>
      <c r="O60" s="241"/>
      <c r="P60" s="241"/>
      <c r="Q60" s="241"/>
    </row>
    <row r="61" spans="1:17" s="36" customFormat="1" ht="15" customHeight="1" outlineLevel="1">
      <c r="A61" s="60"/>
      <c r="B61" s="70" t="s">
        <v>495</v>
      </c>
      <c r="C61" s="13" t="s">
        <v>240</v>
      </c>
      <c r="D61" s="241"/>
      <c r="E61" s="241"/>
      <c r="F61" s="241"/>
      <c r="G61" s="241">
        <v>0</v>
      </c>
      <c r="H61" s="241"/>
      <c r="I61" s="241"/>
      <c r="J61" s="241"/>
      <c r="K61" s="241"/>
      <c r="L61" s="241"/>
      <c r="M61" s="241"/>
      <c r="N61" s="241"/>
      <c r="O61" s="241"/>
      <c r="P61" s="241"/>
      <c r="Q61" s="241"/>
    </row>
    <row r="62" spans="1:17" s="36" customFormat="1" ht="15" customHeight="1" outlineLevel="1">
      <c r="A62" s="60"/>
      <c r="B62" s="70" t="s">
        <v>496</v>
      </c>
      <c r="C62" s="13" t="s">
        <v>240</v>
      </c>
      <c r="D62" s="241"/>
      <c r="E62" s="241"/>
      <c r="F62" s="241"/>
      <c r="G62" s="241">
        <v>957</v>
      </c>
      <c r="H62" s="241"/>
      <c r="I62" s="241"/>
      <c r="J62" s="241"/>
      <c r="K62" s="241"/>
      <c r="L62" s="241"/>
      <c r="M62" s="241"/>
      <c r="N62" s="241"/>
      <c r="O62" s="241"/>
      <c r="P62" s="241"/>
      <c r="Q62" s="241"/>
    </row>
    <row r="63" spans="1:17" s="36" customFormat="1" ht="15" customHeight="1" outlineLevel="1">
      <c r="A63" s="60"/>
      <c r="B63" s="70" t="s">
        <v>497</v>
      </c>
      <c r="C63" s="13" t="s">
        <v>240</v>
      </c>
      <c r="D63" s="241"/>
      <c r="E63" s="241"/>
      <c r="F63" s="241"/>
      <c r="G63" s="241">
        <v>0</v>
      </c>
      <c r="H63" s="241"/>
      <c r="I63" s="241"/>
      <c r="J63" s="241"/>
      <c r="K63" s="241"/>
      <c r="L63" s="241"/>
      <c r="M63" s="241"/>
      <c r="N63" s="241"/>
      <c r="O63" s="241"/>
      <c r="P63" s="241"/>
      <c r="Q63" s="241"/>
    </row>
    <row r="64" spans="1:17" s="36" customFormat="1" ht="15" customHeight="1" outlineLevel="1">
      <c r="A64" s="60"/>
      <c r="B64" s="68" t="s">
        <v>498</v>
      </c>
      <c r="C64" s="13" t="s">
        <v>240</v>
      </c>
      <c r="D64" s="241"/>
      <c r="E64" s="241"/>
      <c r="F64" s="241"/>
      <c r="G64" s="241">
        <v>0</v>
      </c>
      <c r="H64" s="241"/>
      <c r="I64" s="241"/>
      <c r="J64" s="241"/>
      <c r="K64" s="241"/>
      <c r="L64" s="241"/>
      <c r="M64" s="241"/>
      <c r="N64" s="241"/>
      <c r="O64" s="241"/>
      <c r="P64" s="241"/>
      <c r="Q64" s="241"/>
    </row>
    <row r="65" spans="1:17" s="36" customFormat="1" ht="15" customHeight="1" outlineLevel="1">
      <c r="A65" s="60"/>
      <c r="B65" s="68" t="s">
        <v>499</v>
      </c>
      <c r="C65" s="13" t="s">
        <v>240</v>
      </c>
      <c r="D65" s="241"/>
      <c r="E65" s="241"/>
      <c r="F65" s="241"/>
      <c r="G65" s="241">
        <v>0</v>
      </c>
      <c r="H65" s="241"/>
      <c r="I65" s="241"/>
      <c r="J65" s="241"/>
      <c r="K65" s="241"/>
      <c r="L65" s="241"/>
      <c r="M65" s="241"/>
      <c r="N65" s="241"/>
      <c r="O65" s="241"/>
      <c r="P65" s="241"/>
      <c r="Q65" s="241"/>
    </row>
    <row r="66" spans="1:17" s="36" customFormat="1">
      <c r="A66" s="60"/>
      <c r="B66" s="68"/>
      <c r="C66" s="13"/>
      <c r="D66" s="241"/>
      <c r="E66" s="241"/>
      <c r="F66" s="241"/>
      <c r="G66" s="241"/>
      <c r="H66" s="241"/>
      <c r="I66" s="241"/>
      <c r="J66" s="241"/>
      <c r="K66" s="241"/>
      <c r="L66" s="241"/>
      <c r="M66" s="241"/>
      <c r="N66" s="241"/>
      <c r="O66" s="241"/>
      <c r="P66" s="241"/>
      <c r="Q66" s="241"/>
    </row>
    <row r="67" spans="1:17" s="1001" customFormat="1" ht="30" customHeight="1">
      <c r="A67" s="82" t="s">
        <v>78</v>
      </c>
      <c r="B67" s="80" t="s">
        <v>503</v>
      </c>
      <c r="C67" s="1002" t="s">
        <v>240</v>
      </c>
      <c r="D67" s="1000">
        <v>273607</v>
      </c>
      <c r="E67" s="1000">
        <f t="shared" ref="E67:N67" si="6">E68+E69+E70+E71+E77+E78+E79+E80</f>
        <v>275975</v>
      </c>
      <c r="F67" s="1000">
        <f t="shared" si="6"/>
        <v>0</v>
      </c>
      <c r="G67" s="1000">
        <v>510652</v>
      </c>
      <c r="H67" s="1000">
        <v>0</v>
      </c>
      <c r="I67" s="1000">
        <v>515960</v>
      </c>
      <c r="J67" s="1000">
        <v>0</v>
      </c>
      <c r="K67" s="1000">
        <v>626552.83333333337</v>
      </c>
      <c r="L67" s="1000">
        <v>756003.16666666674</v>
      </c>
      <c r="M67" s="1000">
        <v>751734</v>
      </c>
      <c r="N67" s="1000">
        <v>760272.33333333326</v>
      </c>
      <c r="O67" s="1000">
        <v>779884.33333333326</v>
      </c>
      <c r="P67" s="1000">
        <v>772226</v>
      </c>
      <c r="Q67" s="1000">
        <v>787542.66666666674</v>
      </c>
    </row>
    <row r="68" spans="1:17" s="36" customFormat="1" ht="15" customHeight="1" outlineLevel="1">
      <c r="A68" s="60"/>
      <c r="B68" s="68" t="s">
        <v>487</v>
      </c>
      <c r="C68" s="13" t="s">
        <v>240</v>
      </c>
      <c r="D68" s="241"/>
      <c r="E68" s="241">
        <v>120517</v>
      </c>
      <c r="F68" s="241"/>
      <c r="G68" s="241">
        <v>354600</v>
      </c>
      <c r="H68" s="241"/>
      <c r="I68" s="241">
        <v>348026</v>
      </c>
      <c r="J68" s="241"/>
      <c r="K68" s="241">
        <v>354600</v>
      </c>
      <c r="L68" s="241">
        <v>354600</v>
      </c>
      <c r="M68" s="241">
        <v>354600</v>
      </c>
      <c r="N68" s="241">
        <v>354600</v>
      </c>
      <c r="O68" s="241">
        <v>354600</v>
      </c>
      <c r="P68" s="241">
        <v>354600</v>
      </c>
      <c r="Q68" s="241">
        <v>354600</v>
      </c>
    </row>
    <row r="69" spans="1:17" s="36" customFormat="1" ht="15" customHeight="1" outlineLevel="1">
      <c r="A69" s="60"/>
      <c r="B69" s="68" t="s">
        <v>488</v>
      </c>
      <c r="C69" s="13" t="s">
        <v>240</v>
      </c>
      <c r="D69" s="241"/>
      <c r="E69" s="241">
        <v>124187</v>
      </c>
      <c r="F69" s="241"/>
      <c r="G69" s="241">
        <v>124287</v>
      </c>
      <c r="H69" s="241"/>
      <c r="I69" s="241">
        <v>130115</v>
      </c>
      <c r="J69" s="241"/>
      <c r="K69" s="241">
        <v>233702.83333333334</v>
      </c>
      <c r="L69" s="241">
        <v>363153.16666666669</v>
      </c>
      <c r="M69" s="241">
        <v>358884</v>
      </c>
      <c r="N69" s="241">
        <v>367422.33333333331</v>
      </c>
      <c r="O69" s="241">
        <v>387034.33333333331</v>
      </c>
      <c r="P69" s="241">
        <v>379376</v>
      </c>
      <c r="Q69" s="241">
        <v>394692.66666666669</v>
      </c>
    </row>
    <row r="70" spans="1:17" s="36" customFormat="1" ht="15" customHeight="1" outlineLevel="1">
      <c r="A70" s="60"/>
      <c r="B70" s="68" t="s">
        <v>489</v>
      </c>
      <c r="C70" s="13" t="s">
        <v>240</v>
      </c>
      <c r="D70" s="241"/>
      <c r="E70" s="241">
        <v>0</v>
      </c>
      <c r="F70" s="241"/>
      <c r="G70" s="241">
        <v>0</v>
      </c>
      <c r="H70" s="241"/>
      <c r="I70" s="241">
        <v>0</v>
      </c>
      <c r="J70" s="241"/>
      <c r="K70" s="241">
        <v>0</v>
      </c>
      <c r="L70" s="241">
        <v>0</v>
      </c>
      <c r="M70" s="241">
        <v>0</v>
      </c>
      <c r="N70" s="241">
        <v>0</v>
      </c>
      <c r="O70" s="241">
        <v>0</v>
      </c>
      <c r="P70" s="241">
        <v>0</v>
      </c>
      <c r="Q70" s="241">
        <v>0</v>
      </c>
    </row>
    <row r="71" spans="1:17" s="36" customFormat="1" ht="15" customHeight="1" outlineLevel="1">
      <c r="A71" s="60"/>
      <c r="B71" s="68" t="s">
        <v>490</v>
      </c>
      <c r="C71" s="13" t="s">
        <v>240</v>
      </c>
      <c r="D71" s="241"/>
      <c r="E71" s="241">
        <f t="shared" ref="E71" si="7">E72+E73+E74+E75+E76</f>
        <v>24082</v>
      </c>
      <c r="F71" s="241"/>
      <c r="G71" s="241">
        <v>25986</v>
      </c>
      <c r="H71" s="241">
        <v>0</v>
      </c>
      <c r="I71" s="241">
        <v>31066</v>
      </c>
      <c r="J71" s="241"/>
      <c r="K71" s="241">
        <v>31814</v>
      </c>
      <c r="L71" s="241">
        <v>31814</v>
      </c>
      <c r="M71" s="241">
        <v>31814</v>
      </c>
      <c r="N71" s="241">
        <v>31814</v>
      </c>
      <c r="O71" s="241">
        <v>31814</v>
      </c>
      <c r="P71" s="241">
        <v>31814</v>
      </c>
      <c r="Q71" s="241">
        <v>31814</v>
      </c>
    </row>
    <row r="72" spans="1:17" s="36" customFormat="1" ht="15" customHeight="1" outlineLevel="1">
      <c r="A72" s="60"/>
      <c r="B72" s="68" t="s">
        <v>491</v>
      </c>
      <c r="C72" s="13" t="s">
        <v>240</v>
      </c>
      <c r="D72" s="241"/>
      <c r="E72" s="241">
        <v>128</v>
      </c>
      <c r="F72" s="241"/>
      <c r="G72" s="241">
        <v>154</v>
      </c>
      <c r="H72" s="241"/>
      <c r="I72" s="241">
        <v>149</v>
      </c>
      <c r="J72" s="241"/>
      <c r="K72" s="241">
        <v>154</v>
      </c>
      <c r="L72" s="241">
        <v>154</v>
      </c>
      <c r="M72" s="241">
        <v>154</v>
      </c>
      <c r="N72" s="241">
        <v>154</v>
      </c>
      <c r="O72" s="241">
        <v>154</v>
      </c>
      <c r="P72" s="241">
        <v>154</v>
      </c>
      <c r="Q72" s="241">
        <v>154</v>
      </c>
    </row>
    <row r="73" spans="1:17" s="36" customFormat="1" ht="15" customHeight="1" outlineLevel="1">
      <c r="A73" s="60"/>
      <c r="B73" s="70" t="s">
        <v>492</v>
      </c>
      <c r="C73" s="13" t="s">
        <v>240</v>
      </c>
      <c r="D73" s="241"/>
      <c r="E73" s="241">
        <v>16590</v>
      </c>
      <c r="F73" s="241"/>
      <c r="G73" s="241">
        <v>18594</v>
      </c>
      <c r="H73" s="241"/>
      <c r="I73" s="241">
        <v>23011</v>
      </c>
      <c r="J73" s="241"/>
      <c r="K73" s="241">
        <v>23566</v>
      </c>
      <c r="L73" s="241">
        <v>23566</v>
      </c>
      <c r="M73" s="241">
        <v>23566</v>
      </c>
      <c r="N73" s="241">
        <v>23566</v>
      </c>
      <c r="O73" s="241">
        <v>23566</v>
      </c>
      <c r="P73" s="241">
        <v>23566</v>
      </c>
      <c r="Q73" s="241">
        <v>23566</v>
      </c>
    </row>
    <row r="74" spans="1:17" s="36" customFormat="1" ht="15" customHeight="1" outlineLevel="1">
      <c r="A74" s="60"/>
      <c r="B74" s="70" t="s">
        <v>493</v>
      </c>
      <c r="C74" s="13" t="s">
        <v>240</v>
      </c>
      <c r="D74" s="241"/>
      <c r="E74" s="241">
        <v>502</v>
      </c>
      <c r="F74" s="241"/>
      <c r="G74" s="241">
        <v>832</v>
      </c>
      <c r="H74" s="241"/>
      <c r="I74" s="241">
        <v>1115</v>
      </c>
      <c r="J74" s="241"/>
      <c r="K74" s="241">
        <v>1141</v>
      </c>
      <c r="L74" s="241">
        <v>1141</v>
      </c>
      <c r="M74" s="241">
        <v>1141</v>
      </c>
      <c r="N74" s="241">
        <v>1141</v>
      </c>
      <c r="O74" s="241">
        <v>1141</v>
      </c>
      <c r="P74" s="241">
        <v>1141</v>
      </c>
      <c r="Q74" s="241">
        <v>1141</v>
      </c>
    </row>
    <row r="75" spans="1:17" s="36" customFormat="1" ht="15" customHeight="1" outlineLevel="1">
      <c r="A75" s="60"/>
      <c r="B75" s="70" t="s">
        <v>494</v>
      </c>
      <c r="C75" s="13" t="s">
        <v>240</v>
      </c>
      <c r="D75" s="241"/>
      <c r="E75" s="241">
        <v>98</v>
      </c>
      <c r="F75" s="241"/>
      <c r="G75" s="241">
        <v>110</v>
      </c>
      <c r="H75" s="241"/>
      <c r="I75" s="241">
        <v>174</v>
      </c>
      <c r="J75" s="241"/>
      <c r="K75" s="241">
        <v>177</v>
      </c>
      <c r="L75" s="241">
        <v>177</v>
      </c>
      <c r="M75" s="241">
        <v>177</v>
      </c>
      <c r="N75" s="241">
        <v>177</v>
      </c>
      <c r="O75" s="241">
        <v>177</v>
      </c>
      <c r="P75" s="241">
        <v>177</v>
      </c>
      <c r="Q75" s="241">
        <v>177</v>
      </c>
    </row>
    <row r="76" spans="1:17" s="36" customFormat="1" ht="15" customHeight="1" outlineLevel="1">
      <c r="A76" s="60"/>
      <c r="B76" s="70" t="s">
        <v>495</v>
      </c>
      <c r="C76" s="13" t="s">
        <v>240</v>
      </c>
      <c r="D76" s="241"/>
      <c r="E76" s="241">
        <v>6764</v>
      </c>
      <c r="F76" s="241"/>
      <c r="G76" s="241">
        <v>6296</v>
      </c>
      <c r="H76" s="241"/>
      <c r="I76" s="241">
        <v>6617</v>
      </c>
      <c r="J76" s="241"/>
      <c r="K76" s="241">
        <v>6776</v>
      </c>
      <c r="L76" s="241">
        <v>6776</v>
      </c>
      <c r="M76" s="241">
        <v>6776</v>
      </c>
      <c r="N76" s="241">
        <v>6776</v>
      </c>
      <c r="O76" s="241">
        <v>6776</v>
      </c>
      <c r="P76" s="241">
        <v>6776</v>
      </c>
      <c r="Q76" s="241">
        <v>6776</v>
      </c>
    </row>
    <row r="77" spans="1:17" s="36" customFormat="1" ht="15" customHeight="1" outlineLevel="1">
      <c r="A77" s="60"/>
      <c r="B77" s="70" t="s">
        <v>496</v>
      </c>
      <c r="C77" s="13" t="s">
        <v>240</v>
      </c>
      <c r="D77" s="241"/>
      <c r="E77" s="241">
        <v>5268</v>
      </c>
      <c r="F77" s="241"/>
      <c r="G77" s="241">
        <v>4351</v>
      </c>
      <c r="H77" s="241"/>
      <c r="I77" s="241">
        <v>4952</v>
      </c>
      <c r="J77" s="241"/>
      <c r="K77" s="241">
        <v>4922</v>
      </c>
      <c r="L77" s="241">
        <v>4922</v>
      </c>
      <c r="M77" s="241">
        <v>4922</v>
      </c>
      <c r="N77" s="241">
        <v>4922</v>
      </c>
      <c r="O77" s="241">
        <v>4922</v>
      </c>
      <c r="P77" s="241">
        <v>4922</v>
      </c>
      <c r="Q77" s="241">
        <v>4922</v>
      </c>
    </row>
    <row r="78" spans="1:17" s="36" customFormat="1" ht="15" customHeight="1" outlineLevel="1">
      <c r="A78" s="60"/>
      <c r="B78" s="70" t="s">
        <v>497</v>
      </c>
      <c r="C78" s="13" t="s">
        <v>240</v>
      </c>
      <c r="D78" s="241"/>
      <c r="E78" s="241">
        <v>17</v>
      </c>
      <c r="F78" s="241"/>
      <c r="G78" s="241">
        <v>49</v>
      </c>
      <c r="H78" s="241"/>
      <c r="I78" s="241">
        <v>88</v>
      </c>
      <c r="J78" s="241"/>
      <c r="K78" s="241">
        <v>88</v>
      </c>
      <c r="L78" s="241">
        <v>88</v>
      </c>
      <c r="M78" s="241">
        <v>88</v>
      </c>
      <c r="N78" s="241">
        <v>88</v>
      </c>
      <c r="O78" s="241">
        <v>88</v>
      </c>
      <c r="P78" s="241">
        <v>88</v>
      </c>
      <c r="Q78" s="241">
        <v>88</v>
      </c>
    </row>
    <row r="79" spans="1:17" s="36" customFormat="1" ht="15" customHeight="1" outlineLevel="1">
      <c r="A79" s="60"/>
      <c r="B79" s="68" t="s">
        <v>498</v>
      </c>
      <c r="C79" s="13" t="s">
        <v>240</v>
      </c>
      <c r="D79" s="241"/>
      <c r="E79" s="241">
        <v>802</v>
      </c>
      <c r="F79" s="241"/>
      <c r="G79" s="241">
        <v>40</v>
      </c>
      <c r="H79" s="241"/>
      <c r="I79" s="241">
        <v>55</v>
      </c>
      <c r="J79" s="241"/>
      <c r="K79" s="241">
        <v>56</v>
      </c>
      <c r="L79" s="241">
        <v>56</v>
      </c>
      <c r="M79" s="241">
        <v>56</v>
      </c>
      <c r="N79" s="241">
        <v>56</v>
      </c>
      <c r="O79" s="241">
        <v>56</v>
      </c>
      <c r="P79" s="241">
        <v>56</v>
      </c>
      <c r="Q79" s="241">
        <v>56</v>
      </c>
    </row>
    <row r="80" spans="1:17" s="36" customFormat="1" ht="15" customHeight="1" outlineLevel="1">
      <c r="A80" s="60"/>
      <c r="B80" s="68" t="s">
        <v>499</v>
      </c>
      <c r="C80" s="13" t="s">
        <v>240</v>
      </c>
      <c r="D80" s="241"/>
      <c r="E80" s="241">
        <v>1102</v>
      </c>
      <c r="F80" s="241"/>
      <c r="G80" s="241">
        <v>1339</v>
      </c>
      <c r="H80" s="241"/>
      <c r="I80" s="241">
        <v>1658</v>
      </c>
      <c r="J80" s="241"/>
      <c r="K80" s="241">
        <v>1370</v>
      </c>
      <c r="L80" s="241">
        <v>1370</v>
      </c>
      <c r="M80" s="241">
        <v>1370</v>
      </c>
      <c r="N80" s="241">
        <v>1370</v>
      </c>
      <c r="O80" s="241">
        <v>1370</v>
      </c>
      <c r="P80" s="241">
        <v>1370</v>
      </c>
      <c r="Q80" s="241">
        <v>1370</v>
      </c>
    </row>
    <row r="81" spans="1:17" s="36" customFormat="1">
      <c r="A81" s="60"/>
      <c r="B81" s="68"/>
      <c r="C81" s="13"/>
      <c r="D81" s="66"/>
      <c r="E81" s="66"/>
      <c r="F81" s="66"/>
      <c r="G81" s="66"/>
      <c r="H81" s="66"/>
      <c r="I81" s="66"/>
      <c r="J81" s="66"/>
      <c r="K81" s="66"/>
      <c r="L81" s="66"/>
      <c r="M81" s="66"/>
      <c r="N81" s="66"/>
      <c r="O81" s="66"/>
      <c r="P81" s="66"/>
      <c r="Q81" s="66"/>
    </row>
    <row r="82" spans="1:17" s="1001" customFormat="1" ht="15" customHeight="1">
      <c r="A82" s="82" t="s">
        <v>86</v>
      </c>
      <c r="B82" s="80" t="s">
        <v>504</v>
      </c>
      <c r="C82" s="999"/>
      <c r="D82" s="432">
        <f>D97/D67*100</f>
        <v>7.8704126721904046</v>
      </c>
      <c r="E82" s="432">
        <f>E97/E67*100</f>
        <v>6.8419240873267508</v>
      </c>
      <c r="F82" s="432"/>
      <c r="G82" s="432">
        <v>5.3876220988070154</v>
      </c>
      <c r="H82" s="1007" t="e">
        <v>#DIV/0!</v>
      </c>
      <c r="I82" s="432">
        <v>5.9489107682766109</v>
      </c>
      <c r="J82" s="432" t="e">
        <v>#DIV/0!</v>
      </c>
      <c r="K82" s="432">
        <v>6.3633899455672394</v>
      </c>
      <c r="L82" s="432">
        <v>7.0991766127963745</v>
      </c>
      <c r="M82" s="432">
        <v>3.5469993375316271</v>
      </c>
      <c r="N82" s="432">
        <v>3.5521481995267488</v>
      </c>
      <c r="O82" s="432">
        <v>7.1238769167906533</v>
      </c>
      <c r="P82" s="432">
        <v>3.5857378539443117</v>
      </c>
      <c r="Q82" s="432">
        <v>3.5386019297155533</v>
      </c>
    </row>
    <row r="83" spans="1:17" s="36" customFormat="1" ht="15" customHeight="1" outlineLevel="1">
      <c r="A83" s="60"/>
      <c r="B83" s="68" t="s">
        <v>487</v>
      </c>
      <c r="C83" s="13" t="s">
        <v>138</v>
      </c>
      <c r="D83" s="66"/>
      <c r="E83" s="251">
        <f t="shared" ref="E83:E95" si="8">E98/E68*100</f>
        <v>3.4194346025871867</v>
      </c>
      <c r="F83" s="66"/>
      <c r="G83" s="251">
        <v>3.5132543711223914</v>
      </c>
      <c r="H83" s="1359" t="e">
        <v>#DIV/0!</v>
      </c>
      <c r="I83" s="251">
        <v>3.9166613988610042</v>
      </c>
      <c r="J83" s="251" t="e">
        <v>#DIV/0!</v>
      </c>
      <c r="K83" s="251">
        <v>3.8443316412859558</v>
      </c>
      <c r="L83" s="251">
        <v>3.8443316412859558</v>
      </c>
      <c r="M83" s="251">
        <v>1.9221658206429779</v>
      </c>
      <c r="N83" s="251">
        <v>1.9221658206429779</v>
      </c>
      <c r="O83" s="251">
        <v>3.8443316412859558</v>
      </c>
      <c r="P83" s="251">
        <v>1.9221658206429779</v>
      </c>
      <c r="Q83" s="251">
        <v>1.9221658206429779</v>
      </c>
    </row>
    <row r="84" spans="1:17" s="36" customFormat="1" ht="15" customHeight="1" outlineLevel="1">
      <c r="A84" s="60"/>
      <c r="B84" s="68" t="s">
        <v>488</v>
      </c>
      <c r="C84" s="13" t="s">
        <v>138</v>
      </c>
      <c r="D84" s="66"/>
      <c r="E84" s="251">
        <f t="shared" si="8"/>
        <v>10.673419923180365</v>
      </c>
      <c r="F84" s="66"/>
      <c r="G84" s="251">
        <v>10.521615293634893</v>
      </c>
      <c r="H84" s="1359" t="e">
        <v>#DIV/0!</v>
      </c>
      <c r="I84" s="251">
        <v>10.997194789224917</v>
      </c>
      <c r="J84" s="251" t="e">
        <v>#DIV/0!</v>
      </c>
      <c r="K84" s="251">
        <v>10.040956570915913</v>
      </c>
      <c r="L84" s="251">
        <v>10.261785775423499</v>
      </c>
      <c r="M84" s="251">
        <v>5.1442806032032635</v>
      </c>
      <c r="N84" s="251">
        <v>5.1178162822619209</v>
      </c>
      <c r="O84" s="251">
        <v>10.116415167302126</v>
      </c>
      <c r="P84" s="251">
        <v>5.1368563114166417</v>
      </c>
      <c r="Q84" s="251">
        <v>4.982610942860183</v>
      </c>
    </row>
    <row r="85" spans="1:17" s="36" customFormat="1" ht="15" customHeight="1" outlineLevel="1">
      <c r="A85" s="60"/>
      <c r="B85" s="68" t="s">
        <v>489</v>
      </c>
      <c r="C85" s="13" t="s">
        <v>138</v>
      </c>
      <c r="D85" s="66"/>
      <c r="E85" s="251"/>
      <c r="F85" s="66"/>
      <c r="G85" s="251"/>
      <c r="H85" s="1359"/>
      <c r="I85" s="251"/>
      <c r="J85" s="251"/>
      <c r="K85" s="251"/>
      <c r="L85" s="251"/>
      <c r="M85" s="251"/>
      <c r="N85" s="251"/>
      <c r="O85" s="251"/>
      <c r="P85" s="251"/>
      <c r="Q85" s="251"/>
    </row>
    <row r="86" spans="1:17" s="36" customFormat="1" ht="15" customHeight="1" outlineLevel="1">
      <c r="A86" s="60"/>
      <c r="B86" s="68" t="s">
        <v>490</v>
      </c>
      <c r="C86" s="13" t="s">
        <v>138</v>
      </c>
      <c r="D86" s="66"/>
      <c r="E86" s="251">
        <f t="shared" si="8"/>
        <v>5.709658666223735</v>
      </c>
      <c r="F86" s="66"/>
      <c r="G86" s="251">
        <v>6.8421457707996609</v>
      </c>
      <c r="H86" s="1359" t="e">
        <v>#DIV/0!</v>
      </c>
      <c r="I86" s="251">
        <v>8.1214189145689826</v>
      </c>
      <c r="J86" s="251" t="e">
        <v>#DIV/0!</v>
      </c>
      <c r="K86" s="251">
        <v>7.9587602942100961</v>
      </c>
      <c r="L86" s="251">
        <v>7.9587602942100961</v>
      </c>
      <c r="M86" s="251">
        <v>3.9793801471050481</v>
      </c>
      <c r="N86" s="251">
        <v>3.9793801471050481</v>
      </c>
      <c r="O86" s="251">
        <v>7.9587602942100961</v>
      </c>
      <c r="P86" s="251">
        <v>3.9793801471050481</v>
      </c>
      <c r="Q86" s="251">
        <v>3.9793801471050481</v>
      </c>
    </row>
    <row r="87" spans="1:17" s="36" customFormat="1" ht="15" customHeight="1" outlineLevel="1">
      <c r="A87" s="60"/>
      <c r="B87" s="68" t="s">
        <v>491</v>
      </c>
      <c r="C87" s="13" t="s">
        <v>138</v>
      </c>
      <c r="D87" s="66"/>
      <c r="E87" s="251">
        <f t="shared" si="8"/>
        <v>16.40625</v>
      </c>
      <c r="F87" s="66"/>
      <c r="G87" s="251">
        <v>16.233766233766232</v>
      </c>
      <c r="H87" s="1359" t="e">
        <v>#DIV/0!</v>
      </c>
      <c r="I87" s="251">
        <v>18.120805369127517</v>
      </c>
      <c r="J87" s="251" t="e">
        <v>#DIV/0!</v>
      </c>
      <c r="K87" s="251">
        <v>15.584415584415584</v>
      </c>
      <c r="L87" s="251">
        <v>15.584415584415584</v>
      </c>
      <c r="M87" s="251">
        <v>7.7922077922077921</v>
      </c>
      <c r="N87" s="251">
        <v>7.7922077922077921</v>
      </c>
      <c r="O87" s="251">
        <v>15.584415584415584</v>
      </c>
      <c r="P87" s="251">
        <v>7.7922077922077921</v>
      </c>
      <c r="Q87" s="251">
        <v>7.7922077922077921</v>
      </c>
    </row>
    <row r="88" spans="1:17" s="36" customFormat="1" ht="15" customHeight="1" outlineLevel="1">
      <c r="A88" s="60"/>
      <c r="B88" s="70" t="s">
        <v>492</v>
      </c>
      <c r="C88" s="13" t="s">
        <v>138</v>
      </c>
      <c r="D88" s="66"/>
      <c r="E88" s="251">
        <f t="shared" si="8"/>
        <v>6.6787221217600958</v>
      </c>
      <c r="F88" s="66"/>
      <c r="G88" s="251">
        <v>7.3518339249220173</v>
      </c>
      <c r="H88" s="1359" t="e">
        <v>#DIV/0!</v>
      </c>
      <c r="I88" s="251">
        <v>8.2786493416192251</v>
      </c>
      <c r="J88" s="251" t="e">
        <v>#DIV/0!</v>
      </c>
      <c r="K88" s="251">
        <v>8.0964100823219898</v>
      </c>
      <c r="L88" s="251">
        <v>8.0964100823219898</v>
      </c>
      <c r="M88" s="251">
        <v>4.0482050411609949</v>
      </c>
      <c r="N88" s="251">
        <v>4.0482050411609949</v>
      </c>
      <c r="O88" s="251">
        <v>8.0964100823219898</v>
      </c>
      <c r="P88" s="251">
        <v>4.0482050411609949</v>
      </c>
      <c r="Q88" s="251">
        <v>4.0482050411609949</v>
      </c>
    </row>
    <row r="89" spans="1:17" s="36" customFormat="1" ht="15" customHeight="1" outlineLevel="1">
      <c r="A89" s="60"/>
      <c r="B89" s="70" t="s">
        <v>493</v>
      </c>
      <c r="C89" s="13" t="s">
        <v>138</v>
      </c>
      <c r="D89" s="66"/>
      <c r="E89" s="251">
        <f t="shared" si="8"/>
        <v>13.346613545816732</v>
      </c>
      <c r="F89" s="66"/>
      <c r="G89" s="251">
        <v>24.39903846153846</v>
      </c>
      <c r="H89" s="1359" t="e">
        <v>#DIV/0!</v>
      </c>
      <c r="I89" s="251">
        <v>34.17040358744395</v>
      </c>
      <c r="J89" s="251" t="e">
        <v>#DIV/0!</v>
      </c>
      <c r="K89" s="251">
        <v>33.654688869412794</v>
      </c>
      <c r="L89" s="251">
        <v>33.654688869412794</v>
      </c>
      <c r="M89" s="251">
        <v>16.827344434706397</v>
      </c>
      <c r="N89" s="251">
        <v>16.827344434706397</v>
      </c>
      <c r="O89" s="251">
        <v>33.654688869412794</v>
      </c>
      <c r="P89" s="251">
        <v>16.827344434706397</v>
      </c>
      <c r="Q89" s="251">
        <v>16.827344434706397</v>
      </c>
    </row>
    <row r="90" spans="1:17" s="36" customFormat="1" ht="15" customHeight="1" outlineLevel="1">
      <c r="A90" s="60"/>
      <c r="B90" s="70" t="s">
        <v>494</v>
      </c>
      <c r="C90" s="13" t="s">
        <v>138</v>
      </c>
      <c r="D90" s="66"/>
      <c r="E90" s="251">
        <f t="shared" si="8"/>
        <v>15.306122448979592</v>
      </c>
      <c r="F90" s="66"/>
      <c r="G90" s="251">
        <v>16.363636363636363</v>
      </c>
      <c r="H90" s="1359" t="e">
        <v>#DIV/0!</v>
      </c>
      <c r="I90" s="251">
        <v>17.816091954022991</v>
      </c>
      <c r="J90" s="251" t="e">
        <v>#DIV/0!</v>
      </c>
      <c r="K90" s="251">
        <v>20.33898305084746</v>
      </c>
      <c r="L90" s="251">
        <v>20.33898305084746</v>
      </c>
      <c r="M90" s="251">
        <v>10.16949152542373</v>
      </c>
      <c r="N90" s="251">
        <v>10.16949152542373</v>
      </c>
      <c r="O90" s="251">
        <v>20.33898305084746</v>
      </c>
      <c r="P90" s="251">
        <v>10.16949152542373</v>
      </c>
      <c r="Q90" s="251">
        <v>10.16949152542373</v>
      </c>
    </row>
    <row r="91" spans="1:17" s="36" customFormat="1" ht="15" customHeight="1" outlineLevel="1">
      <c r="A91" s="60"/>
      <c r="B91" s="70" t="s">
        <v>495</v>
      </c>
      <c r="C91" s="13" t="s">
        <v>138</v>
      </c>
      <c r="D91" s="66"/>
      <c r="E91" s="251">
        <f t="shared" si="8"/>
        <v>2.424600827912478</v>
      </c>
      <c r="F91" s="66"/>
      <c r="G91" s="251">
        <v>2.6207115628970774</v>
      </c>
      <c r="H91" s="1359" t="e">
        <v>#DIV/0!</v>
      </c>
      <c r="I91" s="251">
        <v>2.7051533927761824</v>
      </c>
      <c r="J91" s="251" t="e">
        <v>#DIV/0!</v>
      </c>
      <c r="K91" s="251">
        <v>2.6564344746162929</v>
      </c>
      <c r="L91" s="251">
        <v>2.6564344746162929</v>
      </c>
      <c r="M91" s="251">
        <v>1.3282172373081464</v>
      </c>
      <c r="N91" s="251">
        <v>1.3282172373081464</v>
      </c>
      <c r="O91" s="251">
        <v>2.6564344746162929</v>
      </c>
      <c r="P91" s="251">
        <v>1.3282172373081464</v>
      </c>
      <c r="Q91" s="251">
        <v>1.3282172373081464</v>
      </c>
    </row>
    <row r="92" spans="1:17" s="36" customFormat="1" ht="15" customHeight="1" outlineLevel="1">
      <c r="A92" s="60"/>
      <c r="B92" s="70" t="s">
        <v>496</v>
      </c>
      <c r="C92" s="13" t="s">
        <v>138</v>
      </c>
      <c r="D92" s="66"/>
      <c r="E92" s="251">
        <f t="shared" si="8"/>
        <v>0.11389521640091116</v>
      </c>
      <c r="F92" s="66"/>
      <c r="G92" s="251">
        <v>0.11491611123879567</v>
      </c>
      <c r="H92" s="1359" t="e">
        <v>#DIV/0!</v>
      </c>
      <c r="I92" s="251">
        <v>0.14135702746365103</v>
      </c>
      <c r="J92" s="251" t="e">
        <v>#DIV/0!</v>
      </c>
      <c r="K92" s="251">
        <v>0.24380333197887039</v>
      </c>
      <c r="L92" s="251">
        <v>0.24380333197887039</v>
      </c>
      <c r="M92" s="251">
        <v>0.12190166598943519</v>
      </c>
      <c r="N92" s="251">
        <v>0.12190166598943519</v>
      </c>
      <c r="O92" s="251">
        <v>0.24380333197887039</v>
      </c>
      <c r="P92" s="251">
        <v>0.12190166598943519</v>
      </c>
      <c r="Q92" s="251">
        <v>0.12190166598943519</v>
      </c>
    </row>
    <row r="93" spans="1:17" s="36" customFormat="1" ht="15" customHeight="1" outlineLevel="1">
      <c r="A93" s="60"/>
      <c r="B93" s="70" t="s">
        <v>497</v>
      </c>
      <c r="C93" s="13" t="s">
        <v>138</v>
      </c>
      <c r="D93" s="66"/>
      <c r="E93" s="251">
        <f t="shared" si="8"/>
        <v>35.294117647058826</v>
      </c>
      <c r="F93" s="66"/>
      <c r="G93" s="251">
        <v>20.408163265306122</v>
      </c>
      <c r="H93" s="1359" t="e">
        <v>#DIV/0!</v>
      </c>
      <c r="I93" s="251">
        <v>17.045454545454543</v>
      </c>
      <c r="J93" s="251" t="e">
        <v>#DIV/0!</v>
      </c>
      <c r="K93" s="251">
        <v>13.636363636363635</v>
      </c>
      <c r="L93" s="251">
        <v>13.636363636363635</v>
      </c>
      <c r="M93" s="251">
        <v>6.8181818181818175</v>
      </c>
      <c r="N93" s="251">
        <v>6.8181818181818175</v>
      </c>
      <c r="O93" s="251">
        <v>13.636363636363635</v>
      </c>
      <c r="P93" s="251">
        <v>6.8181818181818175</v>
      </c>
      <c r="Q93" s="251">
        <v>6.8181818181818175</v>
      </c>
    </row>
    <row r="94" spans="1:17" s="36" customFormat="1" ht="15" customHeight="1" outlineLevel="1">
      <c r="A94" s="60"/>
      <c r="B94" s="68" t="s">
        <v>498</v>
      </c>
      <c r="C94" s="13" t="s">
        <v>138</v>
      </c>
      <c r="D94" s="66"/>
      <c r="E94" s="251">
        <f t="shared" si="8"/>
        <v>0.74812967581047385</v>
      </c>
      <c r="F94" s="66"/>
      <c r="G94" s="251">
        <v>30</v>
      </c>
      <c r="H94" s="1359" t="e">
        <v>#DIV/0!</v>
      </c>
      <c r="I94" s="251">
        <v>18.181818181818183</v>
      </c>
      <c r="J94" s="251" t="e">
        <v>#DIV/0!</v>
      </c>
      <c r="K94" s="251">
        <v>21.428571428571427</v>
      </c>
      <c r="L94" s="251">
        <v>21.428571428571427</v>
      </c>
      <c r="M94" s="251">
        <v>10.714285714285714</v>
      </c>
      <c r="N94" s="251">
        <v>10.714285714285714</v>
      </c>
      <c r="O94" s="251">
        <v>21.428571428571427</v>
      </c>
      <c r="P94" s="251">
        <v>10.714285714285714</v>
      </c>
      <c r="Q94" s="251">
        <v>10.714285714285714</v>
      </c>
    </row>
    <row r="95" spans="1:17" s="36" customFormat="1" ht="15" customHeight="1" outlineLevel="1">
      <c r="A95" s="60"/>
      <c r="B95" s="68" t="s">
        <v>499</v>
      </c>
      <c r="C95" s="13" t="s">
        <v>138</v>
      </c>
      <c r="D95" s="66"/>
      <c r="E95" s="251">
        <f t="shared" si="8"/>
        <v>10.254083484573503</v>
      </c>
      <c r="F95" s="66"/>
      <c r="G95" s="251">
        <v>12.845407020164302</v>
      </c>
      <c r="H95" s="1359" t="e">
        <v>#DIV/0!</v>
      </c>
      <c r="I95" s="251">
        <v>12.002412545235224</v>
      </c>
      <c r="J95" s="251" t="e">
        <v>#DIV/0!</v>
      </c>
      <c r="K95" s="251">
        <v>14.890510948905108</v>
      </c>
      <c r="L95" s="251">
        <v>14.890510948905108</v>
      </c>
      <c r="M95" s="251">
        <v>7.4452554744525541</v>
      </c>
      <c r="N95" s="251">
        <v>7.4452554744525541</v>
      </c>
      <c r="O95" s="251">
        <v>14.890510948905108</v>
      </c>
      <c r="P95" s="251">
        <v>7.4452554744525541</v>
      </c>
      <c r="Q95" s="251">
        <v>7.4452554744525541</v>
      </c>
    </row>
    <row r="96" spans="1:17" s="36" customFormat="1">
      <c r="A96" s="60"/>
      <c r="B96" s="68"/>
      <c r="C96" s="13"/>
      <c r="D96" s="66"/>
      <c r="E96" s="66"/>
      <c r="F96" s="66"/>
      <c r="G96" s="66"/>
      <c r="H96" s="66"/>
      <c r="I96" s="66"/>
      <c r="J96" s="66"/>
      <c r="K96" s="66"/>
      <c r="L96" s="66"/>
      <c r="M96" s="66"/>
      <c r="N96" s="66"/>
      <c r="O96" s="66"/>
      <c r="P96" s="66"/>
      <c r="Q96" s="66"/>
    </row>
    <row r="97" spans="1:17" s="1001" customFormat="1" ht="15" customHeight="1">
      <c r="A97" s="82" t="s">
        <v>109</v>
      </c>
      <c r="B97" s="80" t="s">
        <v>505</v>
      </c>
      <c r="C97" s="999" t="s">
        <v>240</v>
      </c>
      <c r="D97" s="1000">
        <v>21534</v>
      </c>
      <c r="E97" s="1000">
        <f t="shared" ref="E97" si="9">E98+E99+E100+E101+E107+E108+E109+E110</f>
        <v>18882</v>
      </c>
      <c r="F97" s="1000"/>
      <c r="G97" s="1000">
        <v>27512</v>
      </c>
      <c r="H97" s="1000">
        <v>0</v>
      </c>
      <c r="I97" s="1000">
        <v>30694</v>
      </c>
      <c r="J97" s="1000">
        <v>0</v>
      </c>
      <c r="K97" s="1000">
        <v>39870</v>
      </c>
      <c r="L97" s="1000">
        <v>53670</v>
      </c>
      <c r="M97" s="1000">
        <v>26664</v>
      </c>
      <c r="N97" s="1000">
        <v>27006</v>
      </c>
      <c r="O97" s="1000">
        <v>55558</v>
      </c>
      <c r="P97" s="1000">
        <v>27690</v>
      </c>
      <c r="Q97" s="1000">
        <v>27868</v>
      </c>
    </row>
    <row r="98" spans="1:17" s="36" customFormat="1" ht="15" customHeight="1" outlineLevel="1">
      <c r="A98" s="60"/>
      <c r="B98" s="68" t="s">
        <v>487</v>
      </c>
      <c r="C98" s="13" t="s">
        <v>240</v>
      </c>
      <c r="D98" s="241"/>
      <c r="E98" s="241">
        <v>4121</v>
      </c>
      <c r="F98" s="241"/>
      <c r="G98" s="241">
        <v>12458</v>
      </c>
      <c r="H98" s="241"/>
      <c r="I98" s="241">
        <v>13631</v>
      </c>
      <c r="J98" s="241"/>
      <c r="K98" s="241">
        <v>13632</v>
      </c>
      <c r="L98" s="241">
        <v>13632</v>
      </c>
      <c r="M98" s="241">
        <v>6816</v>
      </c>
      <c r="N98" s="241">
        <v>6816</v>
      </c>
      <c r="O98" s="241">
        <v>13632</v>
      </c>
      <c r="P98" s="241">
        <v>6816</v>
      </c>
      <c r="Q98" s="241">
        <v>6816</v>
      </c>
    </row>
    <row r="99" spans="1:17" s="36" customFormat="1" ht="15" customHeight="1" outlineLevel="1">
      <c r="A99" s="60"/>
      <c r="B99" s="68" t="s">
        <v>488</v>
      </c>
      <c r="C99" s="13" t="s">
        <v>240</v>
      </c>
      <c r="D99" s="241"/>
      <c r="E99" s="241">
        <f>13447-192</f>
        <v>13255</v>
      </c>
      <c r="F99" s="241"/>
      <c r="G99" s="241">
        <v>13077</v>
      </c>
      <c r="H99" s="241"/>
      <c r="I99" s="241">
        <v>14309</v>
      </c>
      <c r="J99" s="241"/>
      <c r="K99" s="241">
        <v>23466</v>
      </c>
      <c r="L99" s="241">
        <v>37266</v>
      </c>
      <c r="M99" s="241">
        <v>18462</v>
      </c>
      <c r="N99" s="241">
        <v>18804</v>
      </c>
      <c r="O99" s="241">
        <v>39154</v>
      </c>
      <c r="P99" s="241">
        <v>19488</v>
      </c>
      <c r="Q99" s="241">
        <v>19666</v>
      </c>
    </row>
    <row r="100" spans="1:17" s="36" customFormat="1" ht="15" customHeight="1" outlineLevel="1">
      <c r="A100" s="60"/>
      <c r="B100" s="68" t="s">
        <v>489</v>
      </c>
      <c r="C100" s="13" t="s">
        <v>240</v>
      </c>
      <c r="D100" s="241"/>
      <c r="E100" s="241"/>
      <c r="F100" s="241"/>
      <c r="G100" s="241">
        <v>0</v>
      </c>
      <c r="H100" s="241"/>
      <c r="I100" s="241">
        <v>0</v>
      </c>
      <c r="J100" s="241"/>
      <c r="K100" s="241">
        <v>0</v>
      </c>
      <c r="L100" s="241">
        <v>0</v>
      </c>
      <c r="M100" s="241">
        <v>0</v>
      </c>
      <c r="N100" s="241">
        <v>0</v>
      </c>
      <c r="O100" s="241">
        <v>0</v>
      </c>
      <c r="P100" s="241">
        <v>0</v>
      </c>
      <c r="Q100" s="241">
        <v>0</v>
      </c>
    </row>
    <row r="101" spans="1:17" s="36" customFormat="1" ht="15" customHeight="1" outlineLevel="1">
      <c r="A101" s="60"/>
      <c r="B101" s="68" t="s">
        <v>490</v>
      </c>
      <c r="C101" s="13" t="s">
        <v>240</v>
      </c>
      <c r="D101" s="241"/>
      <c r="E101" s="241">
        <f t="shared" ref="E101" si="10">E102+E103+E104+E105+E106</f>
        <v>1375</v>
      </c>
      <c r="F101" s="241"/>
      <c r="G101" s="241">
        <v>1778</v>
      </c>
      <c r="H101" s="241">
        <v>0</v>
      </c>
      <c r="I101" s="241">
        <v>2523</v>
      </c>
      <c r="J101" s="241"/>
      <c r="K101" s="241">
        <v>2532</v>
      </c>
      <c r="L101" s="241">
        <v>2532</v>
      </c>
      <c r="M101" s="241">
        <v>1266</v>
      </c>
      <c r="N101" s="241">
        <v>1266</v>
      </c>
      <c r="O101" s="241">
        <v>2532</v>
      </c>
      <c r="P101" s="241">
        <v>1266</v>
      </c>
      <c r="Q101" s="241">
        <v>1266</v>
      </c>
    </row>
    <row r="102" spans="1:17" s="36" customFormat="1" ht="15" customHeight="1" outlineLevel="1">
      <c r="A102" s="60"/>
      <c r="B102" s="68" t="s">
        <v>491</v>
      </c>
      <c r="C102" s="13" t="s">
        <v>240</v>
      </c>
      <c r="D102" s="241"/>
      <c r="E102" s="241">
        <v>21</v>
      </c>
      <c r="F102" s="241"/>
      <c r="G102" s="241">
        <v>25</v>
      </c>
      <c r="H102" s="241"/>
      <c r="I102" s="241">
        <v>27</v>
      </c>
      <c r="J102" s="241"/>
      <c r="K102" s="241">
        <v>24</v>
      </c>
      <c r="L102" s="241">
        <v>24</v>
      </c>
      <c r="M102" s="241">
        <v>12</v>
      </c>
      <c r="N102" s="241">
        <v>12</v>
      </c>
      <c r="O102" s="241">
        <v>24</v>
      </c>
      <c r="P102" s="241">
        <v>12</v>
      </c>
      <c r="Q102" s="241">
        <v>12</v>
      </c>
    </row>
    <row r="103" spans="1:17" s="36" customFormat="1" ht="15" customHeight="1" outlineLevel="1">
      <c r="A103" s="60"/>
      <c r="B103" s="70" t="s">
        <v>492</v>
      </c>
      <c r="C103" s="13" t="s">
        <v>240</v>
      </c>
      <c r="D103" s="241"/>
      <c r="E103" s="241">
        <v>1108</v>
      </c>
      <c r="F103" s="241"/>
      <c r="G103" s="241">
        <v>1367</v>
      </c>
      <c r="H103" s="241"/>
      <c r="I103" s="241">
        <v>1905</v>
      </c>
      <c r="J103" s="241"/>
      <c r="K103" s="241">
        <v>1908</v>
      </c>
      <c r="L103" s="241">
        <v>1908</v>
      </c>
      <c r="M103" s="241">
        <v>954</v>
      </c>
      <c r="N103" s="241">
        <v>954</v>
      </c>
      <c r="O103" s="241">
        <v>1908</v>
      </c>
      <c r="P103" s="241">
        <v>954</v>
      </c>
      <c r="Q103" s="241">
        <v>954</v>
      </c>
    </row>
    <row r="104" spans="1:17" s="36" customFormat="1" ht="15" customHeight="1" outlineLevel="1">
      <c r="A104" s="60"/>
      <c r="B104" s="70" t="s">
        <v>493</v>
      </c>
      <c r="C104" s="13" t="s">
        <v>240</v>
      </c>
      <c r="D104" s="241"/>
      <c r="E104" s="241">
        <v>67</v>
      </c>
      <c r="F104" s="241"/>
      <c r="G104" s="241">
        <v>203</v>
      </c>
      <c r="H104" s="241"/>
      <c r="I104" s="241">
        <v>381</v>
      </c>
      <c r="J104" s="241"/>
      <c r="K104" s="241">
        <v>384</v>
      </c>
      <c r="L104" s="241">
        <v>384</v>
      </c>
      <c r="M104" s="241">
        <v>192</v>
      </c>
      <c r="N104" s="241">
        <v>192</v>
      </c>
      <c r="O104" s="241">
        <v>384</v>
      </c>
      <c r="P104" s="241">
        <v>192</v>
      </c>
      <c r="Q104" s="241">
        <v>192</v>
      </c>
    </row>
    <row r="105" spans="1:17" s="36" customFormat="1" ht="15" customHeight="1" outlineLevel="1">
      <c r="A105" s="60"/>
      <c r="B105" s="70" t="s">
        <v>494</v>
      </c>
      <c r="C105" s="13" t="s">
        <v>240</v>
      </c>
      <c r="D105" s="241"/>
      <c r="E105" s="241">
        <v>15</v>
      </c>
      <c r="F105" s="241"/>
      <c r="G105" s="241">
        <v>18</v>
      </c>
      <c r="H105" s="241"/>
      <c r="I105" s="241">
        <v>31</v>
      </c>
      <c r="J105" s="241"/>
      <c r="K105" s="241">
        <v>36</v>
      </c>
      <c r="L105" s="241">
        <v>36</v>
      </c>
      <c r="M105" s="241">
        <v>18</v>
      </c>
      <c r="N105" s="241">
        <v>18</v>
      </c>
      <c r="O105" s="241">
        <v>36</v>
      </c>
      <c r="P105" s="241">
        <v>18</v>
      </c>
      <c r="Q105" s="241">
        <v>18</v>
      </c>
    </row>
    <row r="106" spans="1:17" s="36" customFormat="1" ht="15" customHeight="1" outlineLevel="1">
      <c r="A106" s="60"/>
      <c r="B106" s="70" t="s">
        <v>495</v>
      </c>
      <c r="C106" s="13" t="s">
        <v>240</v>
      </c>
      <c r="D106" s="241"/>
      <c r="E106" s="241">
        <v>164</v>
      </c>
      <c r="F106" s="241"/>
      <c r="G106" s="241">
        <v>165</v>
      </c>
      <c r="H106" s="241"/>
      <c r="I106" s="241">
        <v>179</v>
      </c>
      <c r="J106" s="241"/>
      <c r="K106" s="241">
        <v>180</v>
      </c>
      <c r="L106" s="241">
        <v>180</v>
      </c>
      <c r="M106" s="241">
        <v>90</v>
      </c>
      <c r="N106" s="241">
        <v>90</v>
      </c>
      <c r="O106" s="241">
        <v>180</v>
      </c>
      <c r="P106" s="241">
        <v>90</v>
      </c>
      <c r="Q106" s="241">
        <v>90</v>
      </c>
    </row>
    <row r="107" spans="1:17" s="36" customFormat="1" ht="15" customHeight="1" outlineLevel="1">
      <c r="A107" s="60"/>
      <c r="B107" s="70" t="s">
        <v>496</v>
      </c>
      <c r="C107" s="13" t="s">
        <v>240</v>
      </c>
      <c r="D107" s="241"/>
      <c r="E107" s="241">
        <v>6</v>
      </c>
      <c r="F107" s="241"/>
      <c r="G107" s="241">
        <v>5</v>
      </c>
      <c r="H107" s="241"/>
      <c r="I107" s="241">
        <v>7</v>
      </c>
      <c r="J107" s="241"/>
      <c r="K107" s="241">
        <v>12</v>
      </c>
      <c r="L107" s="241">
        <v>12</v>
      </c>
      <c r="M107" s="241">
        <v>6</v>
      </c>
      <c r="N107" s="241">
        <v>6</v>
      </c>
      <c r="O107" s="241">
        <v>12</v>
      </c>
      <c r="P107" s="241">
        <v>6</v>
      </c>
      <c r="Q107" s="241">
        <v>6</v>
      </c>
    </row>
    <row r="108" spans="1:17" s="36" customFormat="1" ht="15" customHeight="1" outlineLevel="1">
      <c r="A108" s="60"/>
      <c r="B108" s="70" t="s">
        <v>497</v>
      </c>
      <c r="C108" s="13" t="s">
        <v>240</v>
      </c>
      <c r="D108" s="241"/>
      <c r="E108" s="241">
        <v>6</v>
      </c>
      <c r="F108" s="241"/>
      <c r="G108" s="241">
        <v>10</v>
      </c>
      <c r="H108" s="241"/>
      <c r="I108" s="241">
        <v>15</v>
      </c>
      <c r="J108" s="241"/>
      <c r="K108" s="241">
        <v>12</v>
      </c>
      <c r="L108" s="241">
        <v>12</v>
      </c>
      <c r="M108" s="241">
        <v>6</v>
      </c>
      <c r="N108" s="241">
        <v>6</v>
      </c>
      <c r="O108" s="241">
        <v>12</v>
      </c>
      <c r="P108" s="241">
        <v>6</v>
      </c>
      <c r="Q108" s="241">
        <v>6</v>
      </c>
    </row>
    <row r="109" spans="1:17" s="36" customFormat="1" ht="15" customHeight="1" outlineLevel="1">
      <c r="A109" s="60"/>
      <c r="B109" s="68" t="s">
        <v>498</v>
      </c>
      <c r="C109" s="13" t="s">
        <v>240</v>
      </c>
      <c r="D109" s="241"/>
      <c r="E109" s="241">
        <v>6</v>
      </c>
      <c r="F109" s="241"/>
      <c r="G109" s="241">
        <v>12</v>
      </c>
      <c r="H109" s="241"/>
      <c r="I109" s="241">
        <v>10</v>
      </c>
      <c r="J109" s="241"/>
      <c r="K109" s="241">
        <v>12</v>
      </c>
      <c r="L109" s="241">
        <v>12</v>
      </c>
      <c r="M109" s="241">
        <v>6</v>
      </c>
      <c r="N109" s="241">
        <v>6</v>
      </c>
      <c r="O109" s="241">
        <v>12</v>
      </c>
      <c r="P109" s="241">
        <v>6</v>
      </c>
      <c r="Q109" s="241">
        <v>6</v>
      </c>
    </row>
    <row r="110" spans="1:17" s="36" customFormat="1" ht="15" customHeight="1" outlineLevel="1">
      <c r="A110" s="60"/>
      <c r="B110" s="68" t="s">
        <v>499</v>
      </c>
      <c r="C110" s="13" t="s">
        <v>240</v>
      </c>
      <c r="D110" s="241"/>
      <c r="E110" s="241">
        <v>113</v>
      </c>
      <c r="F110" s="241"/>
      <c r="G110" s="241">
        <v>172</v>
      </c>
      <c r="H110" s="241"/>
      <c r="I110" s="241">
        <v>199</v>
      </c>
      <c r="J110" s="241"/>
      <c r="K110" s="241">
        <v>204</v>
      </c>
      <c r="L110" s="241">
        <v>204</v>
      </c>
      <c r="M110" s="241">
        <v>102</v>
      </c>
      <c r="N110" s="241">
        <v>102</v>
      </c>
      <c r="O110" s="241">
        <v>204</v>
      </c>
      <c r="P110" s="241">
        <v>102</v>
      </c>
      <c r="Q110" s="241">
        <v>102</v>
      </c>
    </row>
    <row r="111" spans="1:17" s="1001" customFormat="1" ht="28.5">
      <c r="A111" s="82" t="s">
        <v>151</v>
      </c>
      <c r="B111" s="80" t="s">
        <v>1524</v>
      </c>
      <c r="C111" s="1002" t="s">
        <v>240</v>
      </c>
      <c r="D111" s="1000">
        <v>22901</v>
      </c>
      <c r="E111" s="1000">
        <v>20844</v>
      </c>
      <c r="F111" s="1000"/>
      <c r="G111" s="1013">
        <v>29935</v>
      </c>
      <c r="H111" s="1013">
        <v>0</v>
      </c>
      <c r="I111" s="1013">
        <v>33524</v>
      </c>
      <c r="J111" s="1013">
        <v>0</v>
      </c>
      <c r="K111" s="1013">
        <v>42457</v>
      </c>
      <c r="L111" s="1013">
        <v>56960</v>
      </c>
      <c r="M111" s="1013">
        <v>28287</v>
      </c>
      <c r="N111" s="1013">
        <v>28673</v>
      </c>
      <c r="O111" s="1013">
        <v>59922</v>
      </c>
      <c r="P111" s="1013">
        <v>29796</v>
      </c>
      <c r="Q111" s="1013">
        <v>30126</v>
      </c>
    </row>
    <row r="112" spans="1:17" s="36" customFormat="1" ht="15" customHeight="1">
      <c r="A112" s="60" t="s">
        <v>153</v>
      </c>
      <c r="B112" s="70" t="s">
        <v>402</v>
      </c>
      <c r="C112" s="13" t="s">
        <v>240</v>
      </c>
      <c r="D112" s="241"/>
      <c r="E112" s="241"/>
      <c r="F112" s="241"/>
      <c r="G112" s="241"/>
      <c r="H112" s="241"/>
      <c r="I112" s="241"/>
      <c r="J112" s="241"/>
      <c r="K112" s="241"/>
      <c r="L112" s="241"/>
      <c r="M112" s="241"/>
      <c r="N112" s="241"/>
      <c r="O112" s="241"/>
      <c r="P112" s="241"/>
      <c r="Q112" s="241"/>
    </row>
    <row r="113" spans="1:17" s="36" customFormat="1" ht="15" customHeight="1">
      <c r="A113" s="60" t="s">
        <v>1528</v>
      </c>
      <c r="B113" s="70" t="s">
        <v>404</v>
      </c>
      <c r="C113" s="13" t="s">
        <v>240</v>
      </c>
      <c r="D113" s="241">
        <v>22901</v>
      </c>
      <c r="E113" s="241">
        <v>20844</v>
      </c>
      <c r="F113" s="241"/>
      <c r="G113" s="241">
        <v>29935</v>
      </c>
      <c r="H113" s="241">
        <v>0</v>
      </c>
      <c r="I113" s="241">
        <v>33524</v>
      </c>
      <c r="J113" s="241">
        <v>0</v>
      </c>
      <c r="K113" s="241">
        <v>42457</v>
      </c>
      <c r="L113" s="241">
        <v>56960</v>
      </c>
      <c r="M113" s="241">
        <v>28287</v>
      </c>
      <c r="N113" s="241">
        <v>28673</v>
      </c>
      <c r="O113" s="241">
        <v>59922</v>
      </c>
      <c r="P113" s="241">
        <v>29796</v>
      </c>
      <c r="Q113" s="241">
        <v>30126</v>
      </c>
    </row>
    <row r="114" spans="1:17" s="36" customFormat="1" ht="15" customHeight="1">
      <c r="A114" s="60" t="s">
        <v>1529</v>
      </c>
      <c r="B114" s="70" t="s">
        <v>406</v>
      </c>
      <c r="C114" s="13" t="s">
        <v>240</v>
      </c>
      <c r="D114" s="241"/>
      <c r="E114" s="241"/>
      <c r="F114" s="241"/>
      <c r="G114" s="241"/>
      <c r="H114" s="241"/>
      <c r="I114" s="241"/>
      <c r="J114" s="241"/>
      <c r="K114" s="241"/>
      <c r="L114" s="241"/>
      <c r="M114" s="241"/>
      <c r="N114" s="241"/>
      <c r="O114" s="241"/>
      <c r="P114" s="241"/>
      <c r="Q114" s="241"/>
    </row>
    <row r="115" spans="1:17" s="36" customFormat="1" ht="15" customHeight="1">
      <c r="A115" s="60" t="s">
        <v>1530</v>
      </c>
      <c r="B115" s="70" t="s">
        <v>408</v>
      </c>
      <c r="C115" s="13" t="s">
        <v>240</v>
      </c>
      <c r="D115" s="241"/>
      <c r="E115" s="241"/>
      <c r="F115" s="241"/>
      <c r="G115" s="241"/>
      <c r="H115" s="241"/>
      <c r="I115" s="241"/>
      <c r="J115" s="241"/>
      <c r="K115" s="241"/>
      <c r="L115" s="241"/>
      <c r="M115" s="241"/>
      <c r="N115" s="241"/>
      <c r="O115" s="241"/>
      <c r="P115" s="241"/>
      <c r="Q115" s="241"/>
    </row>
    <row r="116" spans="1:17" customFormat="1" ht="12.75"/>
    <row r="117" spans="1:17" s="26" customFormat="1">
      <c r="A117" s="26" t="s">
        <v>88</v>
      </c>
      <c r="C117" s="48"/>
    </row>
    <row r="118" spans="1:17" s="334" customFormat="1" ht="51.75" customHeight="1">
      <c r="A118" s="334" t="s">
        <v>89</v>
      </c>
      <c r="B118" s="1842" t="s">
        <v>506</v>
      </c>
      <c r="C118" s="1842"/>
      <c r="D118" s="1842"/>
      <c r="E118" s="1842"/>
      <c r="F118" s="1842"/>
      <c r="G118" s="1842"/>
      <c r="H118" s="1842"/>
      <c r="I118" s="1842"/>
      <c r="J118" s="1842"/>
      <c r="K118" s="1842"/>
      <c r="L118" s="1842"/>
      <c r="M118" s="1842"/>
      <c r="N118" s="1842"/>
    </row>
    <row r="119" spans="1:17" s="334" customFormat="1" ht="58.5" customHeight="1">
      <c r="A119" s="334" t="s">
        <v>91</v>
      </c>
      <c r="B119" s="1842" t="s">
        <v>507</v>
      </c>
      <c r="C119" s="1842"/>
      <c r="D119" s="1842"/>
      <c r="E119" s="1842"/>
      <c r="F119" s="1842"/>
      <c r="G119" s="1842"/>
      <c r="H119" s="1842"/>
      <c r="I119" s="1842"/>
      <c r="J119" s="1842"/>
      <c r="K119" s="1842"/>
      <c r="L119" s="1842"/>
      <c r="M119" s="1842"/>
      <c r="N119" s="1842"/>
    </row>
    <row r="120" spans="1:17" ht="21" customHeight="1"/>
  </sheetData>
  <mergeCells count="3">
    <mergeCell ref="A3:N3"/>
    <mergeCell ref="B118:N118"/>
    <mergeCell ref="B119:N119"/>
  </mergeCells>
  <pageMargins left="0.78740157480314965" right="0.51181102362204722" top="0.33" bottom="0.39370078740157483" header="0.19685039370078741" footer="0.19685039370078741"/>
  <pageSetup paperSize="9" scale="43" orientation="portrait" r:id="rId1"/>
  <headerFooter alignWithMargins="0"/>
  <rowBreaks count="1" manualBreakCount="1">
    <brk id="116" max="6" man="1"/>
  </rowBreaks>
  <legacy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 tint="0.39997558519241921"/>
  </sheetPr>
  <dimension ref="A1:R120"/>
  <sheetViews>
    <sheetView view="pageBreakPreview" zoomScaleNormal="100" workbookViewId="0">
      <pane xSplit="2" ySplit="5" topLeftCell="C6" activePane="bottomRight" state="frozen"/>
      <selection activeCell="F4" sqref="F4"/>
      <selection pane="topRight" activeCell="F4" sqref="F4"/>
      <selection pane="bottomLeft" activeCell="F4" sqref="F4"/>
      <selection pane="bottomRight" activeCell="F4" sqref="F4"/>
    </sheetView>
  </sheetViews>
  <sheetFormatPr defaultColWidth="4.28515625" defaultRowHeight="15" outlineLevelRow="1"/>
  <cols>
    <col min="1" max="1" width="5.42578125" style="1" customWidth="1"/>
    <col min="2" max="2" width="40.140625" style="1" customWidth="1"/>
    <col min="3" max="3" width="12" style="21" customWidth="1"/>
    <col min="4" max="4" width="12.5703125" style="1" hidden="1" customWidth="1"/>
    <col min="5" max="5" width="11.5703125" style="1" hidden="1" customWidth="1"/>
    <col min="6" max="10" width="12.5703125" style="1" customWidth="1"/>
    <col min="11" max="11" width="15.7109375" style="1" customWidth="1"/>
    <col min="12" max="12" width="12.5703125" style="1" customWidth="1"/>
    <col min="13" max="13" width="11.42578125" style="1" customWidth="1"/>
    <col min="14" max="14" width="11" style="1" customWidth="1"/>
    <col min="15" max="15" width="12.7109375" style="1" customWidth="1"/>
    <col min="16" max="16" width="10.85546875" style="1" customWidth="1"/>
    <col min="17" max="17" width="10.5703125" style="1" customWidth="1"/>
    <col min="18" max="16384" width="4.28515625" style="1"/>
  </cols>
  <sheetData>
    <row r="1" spans="1:18" s="5" customFormat="1" ht="15.75" customHeight="1">
      <c r="A1" s="74" t="s">
        <v>1860</v>
      </c>
      <c r="C1" s="20"/>
      <c r="N1" s="6" t="s">
        <v>943</v>
      </c>
      <c r="Q1" s="6" t="s">
        <v>943</v>
      </c>
    </row>
    <row r="2" spans="1:18" s="5" customFormat="1" ht="15.75" customHeight="1">
      <c r="A2" s="105" t="str">
        <f>'3.1'!$A$2</f>
        <v>ПКГО - Комбинированная выработка КТЭЦ</v>
      </c>
      <c r="C2" s="20"/>
      <c r="R2" s="5" t="s">
        <v>1243</v>
      </c>
    </row>
    <row r="3" spans="1:18" ht="37.5" customHeight="1">
      <c r="A3" s="1915" t="s">
        <v>1181</v>
      </c>
      <c r="B3" s="1915"/>
      <c r="C3" s="1915"/>
      <c r="D3" s="1915"/>
      <c r="E3" s="1915"/>
      <c r="F3" s="1915"/>
      <c r="G3" s="1915"/>
      <c r="H3" s="1915"/>
      <c r="I3" s="1915"/>
      <c r="J3" s="1915"/>
      <c r="K3" s="1915"/>
      <c r="L3" s="1915"/>
      <c r="M3" s="1915"/>
      <c r="N3" s="1915"/>
    </row>
    <row r="4" spans="1:18" customFormat="1" ht="12.75" customHeight="1"/>
    <row r="5" spans="1:18" s="3" customFormat="1" ht="63" customHeight="1">
      <c r="A5" s="913" t="s">
        <v>1527</v>
      </c>
      <c r="B5" s="913" t="s">
        <v>1</v>
      </c>
      <c r="C5" s="913" t="s">
        <v>2</v>
      </c>
      <c r="D5" s="913" t="s">
        <v>1129</v>
      </c>
      <c r="E5" s="913" t="s">
        <v>1130</v>
      </c>
      <c r="F5" s="975" t="s">
        <v>1553</v>
      </c>
      <c r="G5" s="913" t="s">
        <v>1695</v>
      </c>
      <c r="H5" s="1310" t="s">
        <v>1702</v>
      </c>
      <c r="I5" s="1576" t="s">
        <v>1828</v>
      </c>
      <c r="J5" s="1613" t="s">
        <v>1842</v>
      </c>
      <c r="K5" s="1631" t="s">
        <v>1861</v>
      </c>
      <c r="L5" s="1631" t="s">
        <v>1862</v>
      </c>
      <c r="M5" s="1631" t="s">
        <v>763</v>
      </c>
      <c r="N5" s="1631" t="s">
        <v>764</v>
      </c>
      <c r="O5" s="1631" t="s">
        <v>1863</v>
      </c>
      <c r="P5" s="1631" t="s">
        <v>763</v>
      </c>
      <c r="Q5" s="1631" t="s">
        <v>764</v>
      </c>
    </row>
    <row r="6" spans="1:18" s="2" customFormat="1">
      <c r="A6" s="13">
        <v>1</v>
      </c>
      <c r="B6" s="13">
        <v>2</v>
      </c>
      <c r="C6" s="13">
        <v>3</v>
      </c>
      <c r="D6" s="13">
        <v>4</v>
      </c>
      <c r="E6" s="13">
        <v>5</v>
      </c>
      <c r="F6" s="13">
        <v>4</v>
      </c>
      <c r="G6" s="13">
        <v>5</v>
      </c>
      <c r="H6" s="13">
        <v>6</v>
      </c>
      <c r="I6" s="13">
        <v>7</v>
      </c>
      <c r="J6" s="13">
        <v>8</v>
      </c>
      <c r="K6" s="13">
        <v>9</v>
      </c>
      <c r="L6" s="13">
        <v>10</v>
      </c>
      <c r="M6" s="13">
        <v>11</v>
      </c>
      <c r="N6" s="13">
        <v>12</v>
      </c>
      <c r="O6" s="13">
        <v>13</v>
      </c>
      <c r="P6" s="13">
        <v>14</v>
      </c>
      <c r="Q6" s="13">
        <v>15</v>
      </c>
    </row>
    <row r="7" spans="1:18" s="1001" customFormat="1" ht="30" customHeight="1">
      <c r="A7" s="82" t="s">
        <v>4</v>
      </c>
      <c r="B7" s="80" t="s">
        <v>486</v>
      </c>
      <c r="C7" s="1002" t="s">
        <v>240</v>
      </c>
      <c r="D7" s="1000">
        <v>8036.363636363636</v>
      </c>
      <c r="E7" s="1000"/>
      <c r="F7" s="1000"/>
      <c r="G7" s="1000"/>
      <c r="H7" s="1000"/>
      <c r="I7" s="1000"/>
      <c r="J7" s="1000"/>
      <c r="K7" s="1000"/>
      <c r="L7" s="1000"/>
      <c r="M7" s="1000"/>
      <c r="N7" s="1000"/>
      <c r="O7" s="1000"/>
      <c r="P7" s="1000"/>
      <c r="Q7" s="1000"/>
    </row>
    <row r="8" spans="1:18" s="36" customFormat="1" ht="15" hidden="1" customHeight="1" outlineLevel="1">
      <c r="A8" s="60"/>
      <c r="B8" s="68" t="s">
        <v>487</v>
      </c>
      <c r="C8" s="13" t="s">
        <v>240</v>
      </c>
      <c r="D8" s="241"/>
      <c r="E8" s="241"/>
      <c r="F8" s="241"/>
      <c r="G8" s="241"/>
      <c r="H8" s="241"/>
      <c r="I8" s="241"/>
      <c r="J8" s="241"/>
      <c r="K8" s="241"/>
      <c r="L8" s="241"/>
      <c r="M8" s="241"/>
      <c r="N8" s="241"/>
      <c r="O8" s="241"/>
      <c r="P8" s="241"/>
      <c r="Q8" s="241"/>
    </row>
    <row r="9" spans="1:18" s="36" customFormat="1" ht="15" hidden="1" customHeight="1" outlineLevel="1">
      <c r="A9" s="60"/>
      <c r="B9" s="68" t="s">
        <v>488</v>
      </c>
      <c r="C9" s="13" t="s">
        <v>240</v>
      </c>
      <c r="D9" s="241"/>
      <c r="E9" s="241"/>
      <c r="F9" s="241"/>
      <c r="G9" s="241"/>
      <c r="H9" s="241"/>
      <c r="I9" s="241"/>
      <c r="J9" s="241"/>
      <c r="K9" s="241"/>
      <c r="L9" s="241"/>
      <c r="M9" s="241"/>
      <c r="N9" s="241"/>
      <c r="O9" s="241"/>
      <c r="P9" s="241"/>
      <c r="Q9" s="241"/>
    </row>
    <row r="10" spans="1:18" s="36" customFormat="1" ht="15" hidden="1" customHeight="1" outlineLevel="1">
      <c r="A10" s="60"/>
      <c r="B10" s="68" t="s">
        <v>489</v>
      </c>
      <c r="C10" s="13" t="s">
        <v>240</v>
      </c>
      <c r="D10" s="241"/>
      <c r="E10" s="241"/>
      <c r="F10" s="241"/>
      <c r="G10" s="241"/>
      <c r="H10" s="241"/>
      <c r="I10" s="241"/>
      <c r="J10" s="241"/>
      <c r="K10" s="241"/>
      <c r="L10" s="241"/>
      <c r="M10" s="241"/>
      <c r="N10" s="241"/>
      <c r="O10" s="241"/>
      <c r="P10" s="241"/>
      <c r="Q10" s="241"/>
    </row>
    <row r="11" spans="1:18" s="36" customFormat="1" ht="15" hidden="1" customHeight="1" outlineLevel="1">
      <c r="A11" s="60"/>
      <c r="B11" s="68" t="s">
        <v>490</v>
      </c>
      <c r="C11" s="13" t="s">
        <v>240</v>
      </c>
      <c r="D11" s="241"/>
      <c r="E11" s="241"/>
      <c r="F11" s="241"/>
      <c r="G11" s="241"/>
      <c r="H11" s="241"/>
      <c r="I11" s="241"/>
      <c r="J11" s="241"/>
      <c r="K11" s="241"/>
      <c r="L11" s="241"/>
      <c r="M11" s="241"/>
      <c r="N11" s="241"/>
      <c r="O11" s="241"/>
      <c r="P11" s="241"/>
      <c r="Q11" s="241"/>
    </row>
    <row r="12" spans="1:18" s="36" customFormat="1" ht="15" hidden="1" customHeight="1" outlineLevel="1">
      <c r="A12" s="60"/>
      <c r="B12" s="68" t="s">
        <v>491</v>
      </c>
      <c r="C12" s="13" t="s">
        <v>240</v>
      </c>
      <c r="D12" s="241"/>
      <c r="E12" s="241"/>
      <c r="F12" s="241"/>
      <c r="G12" s="241"/>
      <c r="H12" s="241"/>
      <c r="I12" s="241"/>
      <c r="J12" s="241"/>
      <c r="K12" s="241"/>
      <c r="L12" s="241"/>
      <c r="M12" s="241"/>
      <c r="N12" s="241"/>
      <c r="O12" s="241"/>
      <c r="P12" s="241"/>
      <c r="Q12" s="241"/>
    </row>
    <row r="13" spans="1:18" s="36" customFormat="1" ht="15" hidden="1" customHeight="1" outlineLevel="1">
      <c r="A13" s="60"/>
      <c r="B13" s="70" t="s">
        <v>492</v>
      </c>
      <c r="C13" s="13" t="s">
        <v>240</v>
      </c>
      <c r="D13" s="241"/>
      <c r="E13" s="241"/>
      <c r="F13" s="241"/>
      <c r="G13" s="241"/>
      <c r="H13" s="241"/>
      <c r="I13" s="241"/>
      <c r="J13" s="241"/>
      <c r="K13" s="241"/>
      <c r="L13" s="241"/>
      <c r="M13" s="241"/>
      <c r="N13" s="241"/>
      <c r="O13" s="241"/>
      <c r="P13" s="241"/>
      <c r="Q13" s="241"/>
    </row>
    <row r="14" spans="1:18" s="36" customFormat="1" ht="15" hidden="1" customHeight="1" outlineLevel="1">
      <c r="A14" s="60"/>
      <c r="B14" s="70" t="s">
        <v>493</v>
      </c>
      <c r="C14" s="13" t="s">
        <v>240</v>
      </c>
      <c r="D14" s="241"/>
      <c r="E14" s="241"/>
      <c r="F14" s="241"/>
      <c r="G14" s="241"/>
      <c r="H14" s="241"/>
      <c r="I14" s="241"/>
      <c r="J14" s="241"/>
      <c r="K14" s="241"/>
      <c r="L14" s="241"/>
      <c r="M14" s="241"/>
      <c r="N14" s="241"/>
      <c r="O14" s="241"/>
      <c r="P14" s="241"/>
      <c r="Q14" s="241"/>
    </row>
    <row r="15" spans="1:18" s="36" customFormat="1" ht="15" hidden="1" customHeight="1" outlineLevel="1">
      <c r="A15" s="60"/>
      <c r="B15" s="70" t="s">
        <v>494</v>
      </c>
      <c r="C15" s="13" t="s">
        <v>240</v>
      </c>
      <c r="D15" s="241"/>
      <c r="E15" s="241"/>
      <c r="F15" s="241"/>
      <c r="G15" s="241"/>
      <c r="H15" s="241"/>
      <c r="I15" s="241"/>
      <c r="J15" s="241"/>
      <c r="K15" s="241"/>
      <c r="L15" s="241"/>
      <c r="M15" s="241"/>
      <c r="N15" s="241"/>
      <c r="O15" s="241"/>
      <c r="P15" s="241"/>
      <c r="Q15" s="241"/>
    </row>
    <row r="16" spans="1:18" s="36" customFormat="1" ht="15" hidden="1" customHeight="1" outlineLevel="1">
      <c r="A16" s="60"/>
      <c r="B16" s="70" t="s">
        <v>495</v>
      </c>
      <c r="C16" s="13" t="s">
        <v>240</v>
      </c>
      <c r="D16" s="241"/>
      <c r="E16" s="241"/>
      <c r="F16" s="241"/>
      <c r="G16" s="241"/>
      <c r="H16" s="241"/>
      <c r="I16" s="241"/>
      <c r="J16" s="241"/>
      <c r="K16" s="241"/>
      <c r="L16" s="241"/>
      <c r="M16" s="241"/>
      <c r="N16" s="241"/>
      <c r="O16" s="241"/>
      <c r="P16" s="241"/>
      <c r="Q16" s="241"/>
    </row>
    <row r="17" spans="1:17" s="36" customFormat="1" ht="15" hidden="1" customHeight="1" outlineLevel="1">
      <c r="A17" s="60"/>
      <c r="B17" s="70" t="s">
        <v>496</v>
      </c>
      <c r="C17" s="13" t="s">
        <v>240</v>
      </c>
      <c r="D17" s="241"/>
      <c r="E17" s="241"/>
      <c r="F17" s="241"/>
      <c r="G17" s="241"/>
      <c r="H17" s="241"/>
      <c r="I17" s="241"/>
      <c r="J17" s="241"/>
      <c r="K17" s="241"/>
      <c r="L17" s="241"/>
      <c r="M17" s="241"/>
      <c r="N17" s="241"/>
      <c r="O17" s="241"/>
      <c r="P17" s="241"/>
      <c r="Q17" s="241"/>
    </row>
    <row r="18" spans="1:17" s="36" customFormat="1" ht="15" hidden="1" customHeight="1" outlineLevel="1">
      <c r="A18" s="60"/>
      <c r="B18" s="70" t="s">
        <v>497</v>
      </c>
      <c r="C18" s="13" t="s">
        <v>240</v>
      </c>
      <c r="D18" s="241"/>
      <c r="E18" s="241"/>
      <c r="F18" s="241"/>
      <c r="G18" s="241"/>
      <c r="H18" s="241"/>
      <c r="I18" s="241"/>
      <c r="J18" s="241"/>
      <c r="K18" s="241"/>
      <c r="L18" s="241"/>
      <c r="M18" s="241"/>
      <c r="N18" s="241"/>
      <c r="O18" s="241"/>
      <c r="P18" s="241"/>
      <c r="Q18" s="241"/>
    </row>
    <row r="19" spans="1:17" s="36" customFormat="1" ht="15" hidden="1" customHeight="1" outlineLevel="1">
      <c r="A19" s="60"/>
      <c r="B19" s="68" t="s">
        <v>498</v>
      </c>
      <c r="C19" s="13" t="s">
        <v>240</v>
      </c>
      <c r="D19" s="241"/>
      <c r="E19" s="241"/>
      <c r="F19" s="241"/>
      <c r="G19" s="241"/>
      <c r="H19" s="241"/>
      <c r="I19" s="241"/>
      <c r="J19" s="241"/>
      <c r="K19" s="241"/>
      <c r="L19" s="241"/>
      <c r="M19" s="241"/>
      <c r="N19" s="241"/>
      <c r="O19" s="241"/>
      <c r="P19" s="241"/>
      <c r="Q19" s="241"/>
    </row>
    <row r="20" spans="1:17" s="36" customFormat="1" ht="15" hidden="1" customHeight="1" outlineLevel="1">
      <c r="A20" s="60"/>
      <c r="B20" s="68" t="s">
        <v>499</v>
      </c>
      <c r="C20" s="13" t="s">
        <v>240</v>
      </c>
      <c r="D20" s="241"/>
      <c r="E20" s="241"/>
      <c r="F20" s="241"/>
      <c r="G20" s="241"/>
      <c r="H20" s="241"/>
      <c r="I20" s="241"/>
      <c r="J20" s="241"/>
      <c r="K20" s="241"/>
      <c r="L20" s="241"/>
      <c r="M20" s="241"/>
      <c r="N20" s="241"/>
      <c r="O20" s="241"/>
      <c r="P20" s="241"/>
      <c r="Q20" s="241"/>
    </row>
    <row r="21" spans="1:17" s="36" customFormat="1" collapsed="1">
      <c r="A21" s="60"/>
      <c r="B21" s="68"/>
      <c r="C21" s="13"/>
      <c r="D21" s="241"/>
      <c r="E21" s="241"/>
      <c r="F21" s="241"/>
      <c r="G21" s="241"/>
      <c r="H21" s="241"/>
      <c r="I21" s="241"/>
      <c r="J21" s="241"/>
      <c r="K21" s="241"/>
      <c r="L21" s="241"/>
      <c r="M21" s="241"/>
      <c r="N21" s="241"/>
      <c r="O21" s="241"/>
      <c r="P21" s="241"/>
      <c r="Q21" s="241"/>
    </row>
    <row r="22" spans="1:17" s="1001" customFormat="1" ht="60" customHeight="1">
      <c r="A22" s="82" t="s">
        <v>23</v>
      </c>
      <c r="B22" s="80" t="s">
        <v>500</v>
      </c>
      <c r="C22" s="1002" t="s">
        <v>240</v>
      </c>
      <c r="D22" s="1000"/>
      <c r="E22" s="1000"/>
      <c r="F22" s="1000"/>
      <c r="G22" s="1000"/>
      <c r="H22" s="1000"/>
      <c r="I22" s="1000"/>
      <c r="J22" s="1000"/>
      <c r="K22" s="1000"/>
      <c r="L22" s="1000"/>
      <c r="M22" s="1000"/>
      <c r="N22" s="1000"/>
      <c r="O22" s="1000"/>
      <c r="P22" s="1000"/>
      <c r="Q22" s="1000"/>
    </row>
    <row r="23" spans="1:17" s="36" customFormat="1" ht="15" hidden="1" customHeight="1" outlineLevel="1">
      <c r="A23" s="60"/>
      <c r="B23" s="68" t="s">
        <v>487</v>
      </c>
      <c r="C23" s="13" t="s">
        <v>240</v>
      </c>
      <c r="D23" s="241"/>
      <c r="E23" s="241"/>
      <c r="F23" s="241"/>
      <c r="G23" s="241"/>
      <c r="H23" s="241"/>
      <c r="I23" s="241"/>
      <c r="J23" s="241"/>
      <c r="K23" s="241"/>
      <c r="L23" s="241"/>
      <c r="M23" s="241"/>
      <c r="N23" s="241"/>
      <c r="O23" s="241"/>
      <c r="P23" s="241"/>
      <c r="Q23" s="241"/>
    </row>
    <row r="24" spans="1:17" s="36" customFormat="1" ht="15" hidden="1" customHeight="1" outlineLevel="1">
      <c r="A24" s="60"/>
      <c r="B24" s="68" t="s">
        <v>488</v>
      </c>
      <c r="C24" s="13" t="s">
        <v>240</v>
      </c>
      <c r="D24" s="241"/>
      <c r="E24" s="241"/>
      <c r="F24" s="241"/>
      <c r="G24" s="241"/>
      <c r="H24" s="241"/>
      <c r="I24" s="241"/>
      <c r="J24" s="241"/>
      <c r="K24" s="241"/>
      <c r="L24" s="241"/>
      <c r="M24" s="241"/>
      <c r="N24" s="241"/>
      <c r="O24" s="241"/>
      <c r="P24" s="241"/>
      <c r="Q24" s="241"/>
    </row>
    <row r="25" spans="1:17" s="36" customFormat="1" ht="15" hidden="1" customHeight="1" outlineLevel="1">
      <c r="A25" s="60"/>
      <c r="B25" s="68" t="s">
        <v>489</v>
      </c>
      <c r="C25" s="13" t="s">
        <v>240</v>
      </c>
      <c r="D25" s="241"/>
      <c r="E25" s="241"/>
      <c r="F25" s="241"/>
      <c r="G25" s="241"/>
      <c r="H25" s="241"/>
      <c r="I25" s="241"/>
      <c r="J25" s="241"/>
      <c r="K25" s="241"/>
      <c r="L25" s="241"/>
      <c r="M25" s="241"/>
      <c r="N25" s="241"/>
      <c r="O25" s="241"/>
      <c r="P25" s="241"/>
      <c r="Q25" s="241"/>
    </row>
    <row r="26" spans="1:17" s="36" customFormat="1" ht="15" hidden="1" customHeight="1" outlineLevel="1">
      <c r="A26" s="60"/>
      <c r="B26" s="68" t="s">
        <v>490</v>
      </c>
      <c r="C26" s="13" t="s">
        <v>240</v>
      </c>
      <c r="D26" s="241"/>
      <c r="E26" s="241"/>
      <c r="F26" s="241"/>
      <c r="G26" s="241"/>
      <c r="H26" s="241"/>
      <c r="I26" s="241"/>
      <c r="J26" s="241"/>
      <c r="K26" s="241"/>
      <c r="L26" s="241"/>
      <c r="M26" s="241"/>
      <c r="N26" s="241"/>
      <c r="O26" s="241"/>
      <c r="P26" s="241"/>
      <c r="Q26" s="241"/>
    </row>
    <row r="27" spans="1:17" s="36" customFormat="1" ht="15" hidden="1" customHeight="1" outlineLevel="1">
      <c r="A27" s="60"/>
      <c r="B27" s="68" t="s">
        <v>491</v>
      </c>
      <c r="C27" s="13" t="s">
        <v>240</v>
      </c>
      <c r="D27" s="241"/>
      <c r="E27" s="241"/>
      <c r="F27" s="241"/>
      <c r="G27" s="241"/>
      <c r="H27" s="241"/>
      <c r="I27" s="241"/>
      <c r="J27" s="241"/>
      <c r="K27" s="241"/>
      <c r="L27" s="241"/>
      <c r="M27" s="241"/>
      <c r="N27" s="241"/>
      <c r="O27" s="241"/>
      <c r="P27" s="241"/>
      <c r="Q27" s="241"/>
    </row>
    <row r="28" spans="1:17" s="36" customFormat="1" ht="15" hidden="1" customHeight="1" outlineLevel="1">
      <c r="A28" s="60"/>
      <c r="B28" s="70" t="s">
        <v>492</v>
      </c>
      <c r="C28" s="13" t="s">
        <v>240</v>
      </c>
      <c r="D28" s="241"/>
      <c r="E28" s="241"/>
      <c r="F28" s="241"/>
      <c r="G28" s="241"/>
      <c r="H28" s="241"/>
      <c r="I28" s="241"/>
      <c r="J28" s="241"/>
      <c r="K28" s="241"/>
      <c r="L28" s="241"/>
      <c r="M28" s="241"/>
      <c r="N28" s="241"/>
      <c r="O28" s="241"/>
      <c r="P28" s="241"/>
      <c r="Q28" s="241"/>
    </row>
    <row r="29" spans="1:17" s="36" customFormat="1" ht="15" hidden="1" customHeight="1" outlineLevel="1">
      <c r="A29" s="60"/>
      <c r="B29" s="70" t="s">
        <v>493</v>
      </c>
      <c r="C29" s="13" t="s">
        <v>240</v>
      </c>
      <c r="D29" s="241"/>
      <c r="E29" s="241"/>
      <c r="F29" s="241"/>
      <c r="G29" s="241"/>
      <c r="H29" s="241"/>
      <c r="I29" s="241"/>
      <c r="J29" s="241"/>
      <c r="K29" s="241"/>
      <c r="L29" s="241"/>
      <c r="M29" s="241"/>
      <c r="N29" s="241"/>
      <c r="O29" s="241"/>
      <c r="P29" s="241"/>
      <c r="Q29" s="241"/>
    </row>
    <row r="30" spans="1:17" s="36" customFormat="1" ht="15" hidden="1" customHeight="1" outlineLevel="1">
      <c r="A30" s="60"/>
      <c r="B30" s="70" t="s">
        <v>494</v>
      </c>
      <c r="C30" s="13" t="s">
        <v>240</v>
      </c>
      <c r="D30" s="241"/>
      <c r="E30" s="241"/>
      <c r="F30" s="241"/>
      <c r="G30" s="241"/>
      <c r="H30" s="241"/>
      <c r="I30" s="241"/>
      <c r="J30" s="241"/>
      <c r="K30" s="241"/>
      <c r="L30" s="241"/>
      <c r="M30" s="241"/>
      <c r="N30" s="241"/>
      <c r="O30" s="241"/>
      <c r="P30" s="241"/>
      <c r="Q30" s="241"/>
    </row>
    <row r="31" spans="1:17" s="36" customFormat="1" ht="15" hidden="1" customHeight="1" outlineLevel="1">
      <c r="A31" s="60"/>
      <c r="B31" s="70" t="s">
        <v>495</v>
      </c>
      <c r="C31" s="13" t="s">
        <v>240</v>
      </c>
      <c r="D31" s="241"/>
      <c r="E31" s="241"/>
      <c r="F31" s="241"/>
      <c r="G31" s="241"/>
      <c r="H31" s="241"/>
      <c r="I31" s="241"/>
      <c r="J31" s="241"/>
      <c r="K31" s="241"/>
      <c r="L31" s="241"/>
      <c r="M31" s="241"/>
      <c r="N31" s="241"/>
      <c r="O31" s="241"/>
      <c r="P31" s="241"/>
      <c r="Q31" s="241"/>
    </row>
    <row r="32" spans="1:17" s="36" customFormat="1" ht="15" hidden="1" customHeight="1" outlineLevel="1">
      <c r="A32" s="60"/>
      <c r="B32" s="70" t="s">
        <v>496</v>
      </c>
      <c r="C32" s="13" t="s">
        <v>240</v>
      </c>
      <c r="D32" s="241"/>
      <c r="E32" s="241"/>
      <c r="F32" s="241"/>
      <c r="G32" s="241"/>
      <c r="H32" s="241"/>
      <c r="I32" s="241"/>
      <c r="J32" s="241"/>
      <c r="K32" s="241"/>
      <c r="L32" s="241"/>
      <c r="M32" s="241"/>
      <c r="N32" s="241"/>
      <c r="O32" s="241"/>
      <c r="P32" s="241"/>
      <c r="Q32" s="241"/>
    </row>
    <row r="33" spans="1:17" s="36" customFormat="1" ht="15" hidden="1" customHeight="1" outlineLevel="1">
      <c r="A33" s="60"/>
      <c r="B33" s="70" t="s">
        <v>497</v>
      </c>
      <c r="C33" s="13" t="s">
        <v>240</v>
      </c>
      <c r="D33" s="241"/>
      <c r="E33" s="241"/>
      <c r="F33" s="241"/>
      <c r="G33" s="241"/>
      <c r="H33" s="241"/>
      <c r="I33" s="241"/>
      <c r="J33" s="241"/>
      <c r="K33" s="241"/>
      <c r="L33" s="241"/>
      <c r="M33" s="241"/>
      <c r="N33" s="241"/>
      <c r="O33" s="241"/>
      <c r="P33" s="241"/>
      <c r="Q33" s="241"/>
    </row>
    <row r="34" spans="1:17" s="36" customFormat="1" ht="15" hidden="1" customHeight="1" outlineLevel="1">
      <c r="A34" s="60"/>
      <c r="B34" s="68" t="s">
        <v>498</v>
      </c>
      <c r="C34" s="13" t="s">
        <v>240</v>
      </c>
      <c r="D34" s="241"/>
      <c r="E34" s="241"/>
      <c r="F34" s="241"/>
      <c r="G34" s="241"/>
      <c r="H34" s="241"/>
      <c r="I34" s="241"/>
      <c r="J34" s="241"/>
      <c r="K34" s="241"/>
      <c r="L34" s="241"/>
      <c r="M34" s="241"/>
      <c r="N34" s="241"/>
      <c r="O34" s="241"/>
      <c r="P34" s="241"/>
      <c r="Q34" s="241"/>
    </row>
    <row r="35" spans="1:17" s="36" customFormat="1" ht="15" hidden="1" customHeight="1" outlineLevel="1">
      <c r="A35" s="60"/>
      <c r="B35" s="68" t="s">
        <v>499</v>
      </c>
      <c r="C35" s="13" t="s">
        <v>240</v>
      </c>
      <c r="D35" s="241"/>
      <c r="E35" s="241"/>
      <c r="F35" s="241"/>
      <c r="G35" s="241"/>
      <c r="H35" s="241"/>
      <c r="I35" s="241"/>
      <c r="J35" s="241"/>
      <c r="K35" s="241"/>
      <c r="L35" s="241"/>
      <c r="M35" s="241"/>
      <c r="N35" s="241"/>
      <c r="O35" s="241"/>
      <c r="P35" s="241"/>
      <c r="Q35" s="241"/>
    </row>
    <row r="36" spans="1:17" s="36" customFormat="1" collapsed="1">
      <c r="A36" s="60"/>
      <c r="B36" s="68"/>
      <c r="C36" s="13"/>
      <c r="D36" s="241"/>
      <c r="E36" s="241"/>
      <c r="F36" s="241"/>
      <c r="G36" s="241"/>
      <c r="H36" s="241"/>
      <c r="I36" s="241"/>
      <c r="J36" s="241"/>
      <c r="K36" s="241"/>
      <c r="L36" s="241"/>
      <c r="M36" s="241"/>
      <c r="N36" s="241"/>
      <c r="O36" s="241"/>
      <c r="P36" s="241"/>
      <c r="Q36" s="241"/>
    </row>
    <row r="37" spans="1:17" s="1001" customFormat="1" ht="15" customHeight="1">
      <c r="A37" s="82" t="s">
        <v>27</v>
      </c>
      <c r="B37" s="80" t="s">
        <v>501</v>
      </c>
      <c r="C37" s="999" t="s">
        <v>240</v>
      </c>
      <c r="D37" s="1000">
        <v>0</v>
      </c>
      <c r="E37" s="1000"/>
      <c r="F37" s="1000"/>
      <c r="G37" s="1000"/>
      <c r="H37" s="1000"/>
      <c r="I37" s="1000"/>
      <c r="J37" s="1000"/>
      <c r="K37" s="1000"/>
      <c r="L37" s="1000"/>
      <c r="M37" s="1000"/>
      <c r="N37" s="1000"/>
      <c r="O37" s="1000"/>
      <c r="P37" s="1000"/>
      <c r="Q37" s="1000"/>
    </row>
    <row r="38" spans="1:17" s="36" customFormat="1" ht="15" hidden="1" customHeight="1" outlineLevel="1">
      <c r="A38" s="60"/>
      <c r="B38" s="68" t="s">
        <v>487</v>
      </c>
      <c r="C38" s="13" t="s">
        <v>240</v>
      </c>
      <c r="D38" s="241"/>
      <c r="E38" s="241"/>
      <c r="F38" s="241"/>
      <c r="G38" s="241"/>
      <c r="H38" s="241"/>
      <c r="I38" s="241"/>
      <c r="J38" s="241"/>
      <c r="K38" s="241"/>
      <c r="L38" s="241"/>
      <c r="M38" s="241"/>
      <c r="N38" s="241"/>
      <c r="O38" s="241"/>
      <c r="P38" s="241"/>
      <c r="Q38" s="241"/>
    </row>
    <row r="39" spans="1:17" s="36" customFormat="1" ht="15" hidden="1" customHeight="1" outlineLevel="1">
      <c r="A39" s="60"/>
      <c r="B39" s="68" t="s">
        <v>488</v>
      </c>
      <c r="C39" s="13" t="s">
        <v>240</v>
      </c>
      <c r="D39" s="241"/>
      <c r="E39" s="241"/>
      <c r="F39" s="241"/>
      <c r="G39" s="241"/>
      <c r="H39" s="241"/>
      <c r="I39" s="241"/>
      <c r="J39" s="241"/>
      <c r="K39" s="241"/>
      <c r="L39" s="241"/>
      <c r="M39" s="241"/>
      <c r="N39" s="241"/>
      <c r="O39" s="241"/>
      <c r="P39" s="241"/>
      <c r="Q39" s="241"/>
    </row>
    <row r="40" spans="1:17" s="36" customFormat="1" ht="15" hidden="1" customHeight="1" outlineLevel="1">
      <c r="A40" s="60"/>
      <c r="B40" s="68" t="s">
        <v>489</v>
      </c>
      <c r="C40" s="13" t="s">
        <v>240</v>
      </c>
      <c r="D40" s="241"/>
      <c r="E40" s="241"/>
      <c r="F40" s="241"/>
      <c r="G40" s="241"/>
      <c r="H40" s="241"/>
      <c r="I40" s="241"/>
      <c r="J40" s="241"/>
      <c r="K40" s="241"/>
      <c r="L40" s="241"/>
      <c r="M40" s="241"/>
      <c r="N40" s="241"/>
      <c r="O40" s="241"/>
      <c r="P40" s="241"/>
      <c r="Q40" s="241"/>
    </row>
    <row r="41" spans="1:17" s="36" customFormat="1" ht="15" hidden="1" customHeight="1" outlineLevel="1">
      <c r="A41" s="60"/>
      <c r="B41" s="68" t="s">
        <v>490</v>
      </c>
      <c r="C41" s="13" t="s">
        <v>240</v>
      </c>
      <c r="D41" s="241"/>
      <c r="E41" s="241"/>
      <c r="F41" s="241"/>
      <c r="G41" s="241"/>
      <c r="H41" s="241"/>
      <c r="I41" s="241"/>
      <c r="J41" s="241"/>
      <c r="K41" s="241"/>
      <c r="L41" s="241"/>
      <c r="M41" s="241"/>
      <c r="N41" s="241"/>
      <c r="O41" s="241"/>
      <c r="P41" s="241"/>
      <c r="Q41" s="241"/>
    </row>
    <row r="42" spans="1:17" s="36" customFormat="1" ht="15" hidden="1" customHeight="1" outlineLevel="1">
      <c r="A42" s="60"/>
      <c r="B42" s="68" t="s">
        <v>491</v>
      </c>
      <c r="C42" s="13" t="s">
        <v>240</v>
      </c>
      <c r="D42" s="241"/>
      <c r="E42" s="241"/>
      <c r="F42" s="241"/>
      <c r="G42" s="241"/>
      <c r="H42" s="241"/>
      <c r="I42" s="241"/>
      <c r="J42" s="241"/>
      <c r="K42" s="241"/>
      <c r="L42" s="241"/>
      <c r="M42" s="241"/>
      <c r="N42" s="241"/>
      <c r="O42" s="241"/>
      <c r="P42" s="241"/>
      <c r="Q42" s="241"/>
    </row>
    <row r="43" spans="1:17" s="36" customFormat="1" ht="15" hidden="1" customHeight="1" outlineLevel="1">
      <c r="A43" s="60"/>
      <c r="B43" s="70" t="s">
        <v>492</v>
      </c>
      <c r="C43" s="13" t="s">
        <v>240</v>
      </c>
      <c r="D43" s="241"/>
      <c r="E43" s="241"/>
      <c r="F43" s="241"/>
      <c r="G43" s="241"/>
      <c r="H43" s="241"/>
      <c r="I43" s="241"/>
      <c r="J43" s="241"/>
      <c r="K43" s="241"/>
      <c r="L43" s="241"/>
      <c r="M43" s="241"/>
      <c r="N43" s="241"/>
      <c r="O43" s="241"/>
      <c r="P43" s="241"/>
      <c r="Q43" s="241"/>
    </row>
    <row r="44" spans="1:17" s="36" customFormat="1" ht="15" hidden="1" customHeight="1" outlineLevel="1">
      <c r="A44" s="60"/>
      <c r="B44" s="70" t="s">
        <v>493</v>
      </c>
      <c r="C44" s="13" t="s">
        <v>240</v>
      </c>
      <c r="D44" s="241"/>
      <c r="E44" s="241"/>
      <c r="F44" s="241"/>
      <c r="G44" s="241"/>
      <c r="H44" s="241"/>
      <c r="I44" s="241"/>
      <c r="J44" s="241"/>
      <c r="K44" s="241"/>
      <c r="L44" s="241"/>
      <c r="M44" s="241"/>
      <c r="N44" s="241"/>
      <c r="O44" s="241"/>
      <c r="P44" s="241"/>
      <c r="Q44" s="241"/>
    </row>
    <row r="45" spans="1:17" s="36" customFormat="1" ht="15" hidden="1" customHeight="1" outlineLevel="1">
      <c r="A45" s="60"/>
      <c r="B45" s="70" t="s">
        <v>494</v>
      </c>
      <c r="C45" s="13" t="s">
        <v>240</v>
      </c>
      <c r="D45" s="241"/>
      <c r="E45" s="241"/>
      <c r="F45" s="241"/>
      <c r="G45" s="241"/>
      <c r="H45" s="241"/>
      <c r="I45" s="241"/>
      <c r="J45" s="241"/>
      <c r="K45" s="241"/>
      <c r="L45" s="241"/>
      <c r="M45" s="241"/>
      <c r="N45" s="241"/>
      <c r="O45" s="241"/>
      <c r="P45" s="241"/>
      <c r="Q45" s="241"/>
    </row>
    <row r="46" spans="1:17" s="36" customFormat="1" ht="15" hidden="1" customHeight="1" outlineLevel="1">
      <c r="A46" s="60"/>
      <c r="B46" s="70" t="s">
        <v>495</v>
      </c>
      <c r="C46" s="13" t="s">
        <v>240</v>
      </c>
      <c r="D46" s="241"/>
      <c r="E46" s="241"/>
      <c r="F46" s="241"/>
      <c r="G46" s="241"/>
      <c r="H46" s="241"/>
      <c r="I46" s="241"/>
      <c r="J46" s="241"/>
      <c r="K46" s="241"/>
      <c r="L46" s="241"/>
      <c r="M46" s="241"/>
      <c r="N46" s="241"/>
      <c r="O46" s="241"/>
      <c r="P46" s="241"/>
      <c r="Q46" s="241"/>
    </row>
    <row r="47" spans="1:17" s="36" customFormat="1" ht="15" hidden="1" customHeight="1" outlineLevel="1">
      <c r="A47" s="60"/>
      <c r="B47" s="70" t="s">
        <v>496</v>
      </c>
      <c r="C47" s="13" t="s">
        <v>240</v>
      </c>
      <c r="D47" s="241"/>
      <c r="E47" s="241"/>
      <c r="F47" s="241"/>
      <c r="G47" s="241"/>
      <c r="H47" s="241"/>
      <c r="I47" s="241"/>
      <c r="J47" s="241"/>
      <c r="K47" s="241"/>
      <c r="L47" s="241"/>
      <c r="M47" s="241"/>
      <c r="N47" s="241"/>
      <c r="O47" s="241"/>
      <c r="P47" s="241"/>
      <c r="Q47" s="241"/>
    </row>
    <row r="48" spans="1:17" s="36" customFormat="1" ht="15" hidden="1" customHeight="1" outlineLevel="1">
      <c r="A48" s="60"/>
      <c r="B48" s="70" t="s">
        <v>497</v>
      </c>
      <c r="C48" s="13" t="s">
        <v>240</v>
      </c>
      <c r="D48" s="241"/>
      <c r="E48" s="241"/>
      <c r="F48" s="241"/>
      <c r="G48" s="241"/>
      <c r="H48" s="241"/>
      <c r="I48" s="241"/>
      <c r="J48" s="241"/>
      <c r="K48" s="241"/>
      <c r="L48" s="241"/>
      <c r="M48" s="241"/>
      <c r="N48" s="241"/>
      <c r="O48" s="241"/>
      <c r="P48" s="241"/>
      <c r="Q48" s="241"/>
    </row>
    <row r="49" spans="1:17" s="36" customFormat="1" ht="15" hidden="1" customHeight="1" outlineLevel="1">
      <c r="A49" s="60"/>
      <c r="B49" s="68" t="s">
        <v>498</v>
      </c>
      <c r="C49" s="13" t="s">
        <v>240</v>
      </c>
      <c r="D49" s="241"/>
      <c r="E49" s="241"/>
      <c r="F49" s="241"/>
      <c r="G49" s="241"/>
      <c r="H49" s="241"/>
      <c r="I49" s="241"/>
      <c r="J49" s="241"/>
      <c r="K49" s="241"/>
      <c r="L49" s="241"/>
      <c r="M49" s="241"/>
      <c r="N49" s="241"/>
      <c r="O49" s="241"/>
      <c r="P49" s="241"/>
      <c r="Q49" s="241"/>
    </row>
    <row r="50" spans="1:17" s="36" customFormat="1" ht="15" hidden="1" customHeight="1" outlineLevel="1">
      <c r="A50" s="60"/>
      <c r="B50" s="68" t="s">
        <v>499</v>
      </c>
      <c r="C50" s="13" t="s">
        <v>240</v>
      </c>
      <c r="D50" s="241"/>
      <c r="E50" s="241"/>
      <c r="F50" s="241"/>
      <c r="G50" s="241"/>
      <c r="H50" s="241"/>
      <c r="I50" s="241"/>
      <c r="J50" s="241"/>
      <c r="K50" s="241"/>
      <c r="L50" s="241"/>
      <c r="M50" s="241"/>
      <c r="N50" s="241"/>
      <c r="O50" s="241"/>
      <c r="P50" s="241"/>
      <c r="Q50" s="241"/>
    </row>
    <row r="51" spans="1:17" s="36" customFormat="1" collapsed="1">
      <c r="A51" s="60"/>
      <c r="B51" s="68"/>
      <c r="C51" s="13"/>
      <c r="D51" s="241"/>
      <c r="E51" s="241"/>
      <c r="F51" s="241"/>
      <c r="G51" s="241"/>
      <c r="H51" s="241"/>
      <c r="I51" s="241"/>
      <c r="J51" s="241"/>
      <c r="K51" s="241"/>
      <c r="L51" s="241"/>
      <c r="M51" s="241"/>
      <c r="N51" s="241"/>
      <c r="O51" s="241"/>
      <c r="P51" s="241"/>
      <c r="Q51" s="241"/>
    </row>
    <row r="52" spans="1:17" s="1001" customFormat="1" ht="34.5" customHeight="1">
      <c r="A52" s="82" t="s">
        <v>30</v>
      </c>
      <c r="B52" s="80" t="s">
        <v>502</v>
      </c>
      <c r="C52" s="1002" t="s">
        <v>240</v>
      </c>
      <c r="D52" s="1000">
        <v>0</v>
      </c>
      <c r="E52" s="1000"/>
      <c r="F52" s="1000"/>
      <c r="G52" s="1000"/>
      <c r="H52" s="1000"/>
      <c r="I52" s="1000"/>
      <c r="J52" s="1000"/>
      <c r="K52" s="1000"/>
      <c r="L52" s="1000"/>
      <c r="M52" s="1000"/>
      <c r="N52" s="1000"/>
      <c r="O52" s="1000"/>
      <c r="P52" s="1000"/>
      <c r="Q52" s="1000"/>
    </row>
    <row r="53" spans="1:17" s="36" customFormat="1" ht="15" hidden="1" customHeight="1" outlineLevel="1">
      <c r="A53" s="60"/>
      <c r="B53" s="68" t="s">
        <v>487</v>
      </c>
      <c r="C53" s="13" t="s">
        <v>240</v>
      </c>
      <c r="D53" s="241"/>
      <c r="E53" s="241"/>
      <c r="F53" s="241"/>
      <c r="G53" s="241"/>
      <c r="H53" s="241"/>
      <c r="I53" s="241"/>
      <c r="J53" s="241"/>
      <c r="K53" s="241"/>
      <c r="L53" s="241"/>
      <c r="M53" s="241"/>
      <c r="N53" s="241"/>
      <c r="O53" s="241"/>
      <c r="P53" s="241"/>
      <c r="Q53" s="241"/>
    </row>
    <row r="54" spans="1:17" s="36" customFormat="1" ht="15" hidden="1" customHeight="1" outlineLevel="1">
      <c r="A54" s="60"/>
      <c r="B54" s="68" t="s">
        <v>488</v>
      </c>
      <c r="C54" s="13" t="s">
        <v>240</v>
      </c>
      <c r="D54" s="241"/>
      <c r="E54" s="241"/>
      <c r="F54" s="241"/>
      <c r="G54" s="241"/>
      <c r="H54" s="241"/>
      <c r="I54" s="241"/>
      <c r="J54" s="241"/>
      <c r="K54" s="241"/>
      <c r="L54" s="241"/>
      <c r="M54" s="241"/>
      <c r="N54" s="241"/>
      <c r="O54" s="241"/>
      <c r="P54" s="241"/>
      <c r="Q54" s="241"/>
    </row>
    <row r="55" spans="1:17" s="36" customFormat="1" ht="15" hidden="1" customHeight="1" outlineLevel="1">
      <c r="A55" s="60"/>
      <c r="B55" s="68" t="s">
        <v>489</v>
      </c>
      <c r="C55" s="13" t="s">
        <v>240</v>
      </c>
      <c r="D55" s="241"/>
      <c r="E55" s="241"/>
      <c r="F55" s="241"/>
      <c r="G55" s="241"/>
      <c r="H55" s="241"/>
      <c r="I55" s="241"/>
      <c r="J55" s="241"/>
      <c r="K55" s="241"/>
      <c r="L55" s="241"/>
      <c r="M55" s="241"/>
      <c r="N55" s="241"/>
      <c r="O55" s="241"/>
      <c r="P55" s="241"/>
      <c r="Q55" s="241"/>
    </row>
    <row r="56" spans="1:17" s="36" customFormat="1" ht="15" hidden="1" customHeight="1" outlineLevel="1">
      <c r="A56" s="60"/>
      <c r="B56" s="68" t="s">
        <v>490</v>
      </c>
      <c r="C56" s="13" t="s">
        <v>240</v>
      </c>
      <c r="D56" s="241"/>
      <c r="E56" s="241"/>
      <c r="F56" s="241"/>
      <c r="G56" s="241"/>
      <c r="H56" s="241"/>
      <c r="I56" s="241"/>
      <c r="J56" s="241"/>
      <c r="K56" s="241"/>
      <c r="L56" s="241"/>
      <c r="M56" s="241"/>
      <c r="N56" s="241"/>
      <c r="O56" s="241"/>
      <c r="P56" s="241"/>
      <c r="Q56" s="241"/>
    </row>
    <row r="57" spans="1:17" s="36" customFormat="1" ht="15" hidden="1" customHeight="1" outlineLevel="1">
      <c r="A57" s="60"/>
      <c r="B57" s="68" t="s">
        <v>491</v>
      </c>
      <c r="C57" s="13" t="s">
        <v>240</v>
      </c>
      <c r="D57" s="241"/>
      <c r="E57" s="241"/>
      <c r="F57" s="241"/>
      <c r="G57" s="241"/>
      <c r="H57" s="241"/>
      <c r="I57" s="241"/>
      <c r="J57" s="241"/>
      <c r="K57" s="241"/>
      <c r="L57" s="241"/>
      <c r="M57" s="241"/>
      <c r="N57" s="241"/>
      <c r="O57" s="241"/>
      <c r="P57" s="241"/>
      <c r="Q57" s="241"/>
    </row>
    <row r="58" spans="1:17" s="36" customFormat="1" ht="15" hidden="1" customHeight="1" outlineLevel="1">
      <c r="A58" s="60"/>
      <c r="B58" s="70" t="s">
        <v>492</v>
      </c>
      <c r="C58" s="13" t="s">
        <v>240</v>
      </c>
      <c r="D58" s="241"/>
      <c r="E58" s="241"/>
      <c r="F58" s="241"/>
      <c r="G58" s="241"/>
      <c r="H58" s="241"/>
      <c r="I58" s="241"/>
      <c r="J58" s="241"/>
      <c r="K58" s="241"/>
      <c r="L58" s="241"/>
      <c r="M58" s="241"/>
      <c r="N58" s="241"/>
      <c r="O58" s="241"/>
      <c r="P58" s="241"/>
      <c r="Q58" s="241"/>
    </row>
    <row r="59" spans="1:17" s="36" customFormat="1" ht="15" hidden="1" customHeight="1" outlineLevel="1">
      <c r="A59" s="60"/>
      <c r="B59" s="70" t="s">
        <v>493</v>
      </c>
      <c r="C59" s="13" t="s">
        <v>240</v>
      </c>
      <c r="D59" s="241"/>
      <c r="E59" s="241"/>
      <c r="F59" s="241"/>
      <c r="G59" s="241"/>
      <c r="H59" s="241"/>
      <c r="I59" s="241"/>
      <c r="J59" s="241"/>
      <c r="K59" s="241"/>
      <c r="L59" s="241"/>
      <c r="M59" s="241"/>
      <c r="N59" s="241"/>
      <c r="O59" s="241"/>
      <c r="P59" s="241"/>
      <c r="Q59" s="241"/>
    </row>
    <row r="60" spans="1:17" s="36" customFormat="1" ht="15" hidden="1" customHeight="1" outlineLevel="1">
      <c r="A60" s="60"/>
      <c r="B60" s="70" t="s">
        <v>494</v>
      </c>
      <c r="C60" s="13" t="s">
        <v>240</v>
      </c>
      <c r="D60" s="241"/>
      <c r="E60" s="241"/>
      <c r="F60" s="241"/>
      <c r="G60" s="241"/>
      <c r="H60" s="241"/>
      <c r="I60" s="241"/>
      <c r="J60" s="241"/>
      <c r="K60" s="241"/>
      <c r="L60" s="241"/>
      <c r="M60" s="241"/>
      <c r="N60" s="241"/>
      <c r="O60" s="241"/>
      <c r="P60" s="241"/>
      <c r="Q60" s="241"/>
    </row>
    <row r="61" spans="1:17" s="36" customFormat="1" ht="15" hidden="1" customHeight="1" outlineLevel="1">
      <c r="A61" s="60"/>
      <c r="B61" s="70" t="s">
        <v>495</v>
      </c>
      <c r="C61" s="13" t="s">
        <v>240</v>
      </c>
      <c r="D61" s="241"/>
      <c r="E61" s="241"/>
      <c r="F61" s="241"/>
      <c r="G61" s="241"/>
      <c r="H61" s="241"/>
      <c r="I61" s="241"/>
      <c r="J61" s="241"/>
      <c r="K61" s="241"/>
      <c r="L61" s="241"/>
      <c r="M61" s="241"/>
      <c r="N61" s="241"/>
      <c r="O61" s="241"/>
      <c r="P61" s="241"/>
      <c r="Q61" s="241"/>
    </row>
    <row r="62" spans="1:17" s="36" customFormat="1" ht="15" hidden="1" customHeight="1" outlineLevel="1">
      <c r="A62" s="60"/>
      <c r="B62" s="70" t="s">
        <v>496</v>
      </c>
      <c r="C62" s="13" t="s">
        <v>240</v>
      </c>
      <c r="D62" s="241"/>
      <c r="E62" s="241"/>
      <c r="F62" s="241"/>
      <c r="G62" s="241"/>
      <c r="H62" s="241"/>
      <c r="I62" s="241"/>
      <c r="J62" s="241"/>
      <c r="K62" s="241"/>
      <c r="L62" s="241"/>
      <c r="M62" s="241"/>
      <c r="N62" s="241"/>
      <c r="O62" s="241"/>
      <c r="P62" s="241"/>
      <c r="Q62" s="241"/>
    </row>
    <row r="63" spans="1:17" s="36" customFormat="1" ht="15" hidden="1" customHeight="1" outlineLevel="1">
      <c r="A63" s="60"/>
      <c r="B63" s="70" t="s">
        <v>497</v>
      </c>
      <c r="C63" s="13" t="s">
        <v>240</v>
      </c>
      <c r="D63" s="241"/>
      <c r="E63" s="241"/>
      <c r="F63" s="241"/>
      <c r="G63" s="241"/>
      <c r="H63" s="241"/>
      <c r="I63" s="241"/>
      <c r="J63" s="241"/>
      <c r="K63" s="241"/>
      <c r="L63" s="241"/>
      <c r="M63" s="241"/>
      <c r="N63" s="241"/>
      <c r="O63" s="241"/>
      <c r="P63" s="241"/>
      <c r="Q63" s="241"/>
    </row>
    <row r="64" spans="1:17" s="36" customFormat="1" ht="15" hidden="1" customHeight="1" outlineLevel="1">
      <c r="A64" s="60"/>
      <c r="B64" s="68" t="s">
        <v>498</v>
      </c>
      <c r="C64" s="13" t="s">
        <v>240</v>
      </c>
      <c r="D64" s="241"/>
      <c r="E64" s="241"/>
      <c r="F64" s="241"/>
      <c r="G64" s="241"/>
      <c r="H64" s="241"/>
      <c r="I64" s="241"/>
      <c r="J64" s="241"/>
      <c r="K64" s="241"/>
      <c r="L64" s="241"/>
      <c r="M64" s="241"/>
      <c r="N64" s="241"/>
      <c r="O64" s="241"/>
      <c r="P64" s="241"/>
      <c r="Q64" s="241"/>
    </row>
    <row r="65" spans="1:17" s="36" customFormat="1" ht="15" hidden="1" customHeight="1" outlineLevel="1">
      <c r="A65" s="60"/>
      <c r="B65" s="68" t="s">
        <v>499</v>
      </c>
      <c r="C65" s="13" t="s">
        <v>240</v>
      </c>
      <c r="D65" s="241"/>
      <c r="E65" s="241"/>
      <c r="F65" s="241"/>
      <c r="G65" s="241"/>
      <c r="H65" s="241"/>
      <c r="I65" s="241"/>
      <c r="J65" s="241"/>
      <c r="K65" s="241"/>
      <c r="L65" s="241"/>
      <c r="M65" s="241"/>
      <c r="N65" s="241"/>
      <c r="O65" s="241"/>
      <c r="P65" s="241"/>
      <c r="Q65" s="241"/>
    </row>
    <row r="66" spans="1:17" s="36" customFormat="1" collapsed="1">
      <c r="A66" s="60"/>
      <c r="B66" s="68"/>
      <c r="C66" s="13"/>
      <c r="D66" s="241"/>
      <c r="E66" s="241"/>
      <c r="F66" s="241"/>
      <c r="G66" s="241"/>
      <c r="H66" s="241"/>
      <c r="I66" s="241"/>
      <c r="J66" s="241"/>
      <c r="K66" s="241"/>
      <c r="L66" s="241"/>
      <c r="M66" s="241"/>
      <c r="N66" s="241"/>
      <c r="O66" s="241"/>
      <c r="P66" s="241"/>
      <c r="Q66" s="241"/>
    </row>
    <row r="67" spans="1:17" s="1001" customFormat="1" ht="30" customHeight="1">
      <c r="A67" s="82" t="s">
        <v>78</v>
      </c>
      <c r="B67" s="80" t="s">
        <v>503</v>
      </c>
      <c r="C67" s="1002" t="s">
        <v>240</v>
      </c>
      <c r="D67" s="1000">
        <v>8036.363636363636</v>
      </c>
      <c r="E67" s="1000"/>
      <c r="F67" s="1000"/>
      <c r="G67" s="1000"/>
      <c r="H67" s="1000"/>
      <c r="I67" s="1000"/>
      <c r="J67" s="1000"/>
      <c r="K67" s="1000"/>
      <c r="L67" s="1000"/>
      <c r="M67" s="1000"/>
      <c r="N67" s="1000"/>
      <c r="O67" s="1000"/>
      <c r="P67" s="1000"/>
      <c r="Q67" s="1000"/>
    </row>
    <row r="68" spans="1:17" s="36" customFormat="1" ht="15" customHeight="1" outlineLevel="1">
      <c r="A68" s="60"/>
      <c r="B68" s="68" t="s">
        <v>487</v>
      </c>
      <c r="C68" s="13" t="s">
        <v>240</v>
      </c>
      <c r="D68" s="241"/>
      <c r="E68" s="241"/>
      <c r="F68" s="241"/>
      <c r="G68" s="241"/>
      <c r="H68" s="241"/>
      <c r="I68" s="241"/>
      <c r="J68" s="241"/>
      <c r="K68" s="241"/>
      <c r="L68" s="241"/>
      <c r="M68" s="241"/>
      <c r="N68" s="241"/>
      <c r="O68" s="241"/>
      <c r="P68" s="241"/>
      <c r="Q68" s="241"/>
    </row>
    <row r="69" spans="1:17" s="36" customFormat="1" ht="15" customHeight="1" outlineLevel="1">
      <c r="A69" s="60"/>
      <c r="B69" s="68" t="s">
        <v>488</v>
      </c>
      <c r="C69" s="13" t="s">
        <v>240</v>
      </c>
      <c r="D69" s="241"/>
      <c r="E69" s="241"/>
      <c r="F69" s="241"/>
      <c r="G69" s="241"/>
      <c r="H69" s="241"/>
      <c r="I69" s="241"/>
      <c r="J69" s="241"/>
      <c r="K69" s="241"/>
      <c r="L69" s="241"/>
      <c r="M69" s="241"/>
      <c r="N69" s="241"/>
      <c r="O69" s="241"/>
      <c r="P69" s="241"/>
      <c r="Q69" s="241"/>
    </row>
    <row r="70" spans="1:17" s="36" customFormat="1" ht="15" customHeight="1" outlineLevel="1">
      <c r="A70" s="60"/>
      <c r="B70" s="68" t="s">
        <v>489</v>
      </c>
      <c r="C70" s="13" t="s">
        <v>240</v>
      </c>
      <c r="D70" s="241"/>
      <c r="E70" s="241"/>
      <c r="F70" s="241"/>
      <c r="G70" s="241"/>
      <c r="H70" s="241"/>
      <c r="I70" s="241"/>
      <c r="J70" s="241"/>
      <c r="K70" s="241"/>
      <c r="L70" s="241"/>
      <c r="M70" s="241"/>
      <c r="N70" s="241"/>
      <c r="O70" s="241"/>
      <c r="P70" s="241"/>
      <c r="Q70" s="241"/>
    </row>
    <row r="71" spans="1:17" s="36" customFormat="1" ht="15" customHeight="1" outlineLevel="1">
      <c r="A71" s="60"/>
      <c r="B71" s="68" t="s">
        <v>490</v>
      </c>
      <c r="C71" s="13" t="s">
        <v>240</v>
      </c>
      <c r="D71" s="241"/>
      <c r="E71" s="241"/>
      <c r="F71" s="241"/>
      <c r="G71" s="241"/>
      <c r="H71" s="241"/>
      <c r="I71" s="241"/>
      <c r="J71" s="241"/>
      <c r="K71" s="241"/>
      <c r="L71" s="241"/>
      <c r="M71" s="241"/>
      <c r="N71" s="241"/>
      <c r="O71" s="241"/>
      <c r="P71" s="241"/>
      <c r="Q71" s="241"/>
    </row>
    <row r="72" spans="1:17" s="36" customFormat="1" ht="15" customHeight="1" outlineLevel="1">
      <c r="A72" s="60"/>
      <c r="B72" s="68" t="s">
        <v>491</v>
      </c>
      <c r="C72" s="13" t="s">
        <v>240</v>
      </c>
      <c r="D72" s="241"/>
      <c r="E72" s="241"/>
      <c r="F72" s="241"/>
      <c r="G72" s="241"/>
      <c r="H72" s="241"/>
      <c r="I72" s="241"/>
      <c r="J72" s="241"/>
      <c r="K72" s="241"/>
      <c r="L72" s="241"/>
      <c r="M72" s="241"/>
      <c r="N72" s="241"/>
      <c r="O72" s="241"/>
      <c r="P72" s="241"/>
      <c r="Q72" s="241"/>
    </row>
    <row r="73" spans="1:17" s="36" customFormat="1" ht="15" customHeight="1" outlineLevel="1">
      <c r="A73" s="60"/>
      <c r="B73" s="70" t="s">
        <v>492</v>
      </c>
      <c r="C73" s="13" t="s">
        <v>240</v>
      </c>
      <c r="D73" s="241"/>
      <c r="E73" s="241"/>
      <c r="F73" s="241"/>
      <c r="G73" s="241"/>
      <c r="H73" s="241"/>
      <c r="I73" s="241"/>
      <c r="J73" s="241"/>
      <c r="K73" s="241"/>
      <c r="L73" s="241"/>
      <c r="M73" s="241"/>
      <c r="N73" s="241"/>
      <c r="O73" s="241"/>
      <c r="P73" s="241"/>
      <c r="Q73" s="241"/>
    </row>
    <row r="74" spans="1:17" s="36" customFormat="1" ht="15" customHeight="1" outlineLevel="1">
      <c r="A74" s="60"/>
      <c r="B74" s="70" t="s">
        <v>493</v>
      </c>
      <c r="C74" s="13" t="s">
        <v>240</v>
      </c>
      <c r="D74" s="241"/>
      <c r="E74" s="241"/>
      <c r="F74" s="241"/>
      <c r="G74" s="241"/>
      <c r="H74" s="241"/>
      <c r="I74" s="241"/>
      <c r="J74" s="241"/>
      <c r="K74" s="241"/>
      <c r="L74" s="241"/>
      <c r="M74" s="241"/>
      <c r="N74" s="241"/>
      <c r="O74" s="241"/>
      <c r="P74" s="241"/>
      <c r="Q74" s="241"/>
    </row>
    <row r="75" spans="1:17" s="36" customFormat="1" ht="15" customHeight="1" outlineLevel="1">
      <c r="A75" s="60"/>
      <c r="B75" s="70" t="s">
        <v>494</v>
      </c>
      <c r="C75" s="13" t="s">
        <v>240</v>
      </c>
      <c r="D75" s="241"/>
      <c r="E75" s="241"/>
      <c r="F75" s="241"/>
      <c r="G75" s="241"/>
      <c r="H75" s="241"/>
      <c r="I75" s="241"/>
      <c r="J75" s="241"/>
      <c r="K75" s="241"/>
      <c r="L75" s="241"/>
      <c r="M75" s="241"/>
      <c r="N75" s="241"/>
      <c r="O75" s="241"/>
      <c r="P75" s="241"/>
      <c r="Q75" s="241"/>
    </row>
    <row r="76" spans="1:17" s="36" customFormat="1" ht="15" customHeight="1" outlineLevel="1">
      <c r="A76" s="60"/>
      <c r="B76" s="70" t="s">
        <v>495</v>
      </c>
      <c r="C76" s="13" t="s">
        <v>240</v>
      </c>
      <c r="D76" s="241"/>
      <c r="E76" s="241"/>
      <c r="F76" s="241"/>
      <c r="G76" s="241"/>
      <c r="H76" s="241"/>
      <c r="I76" s="241"/>
      <c r="J76" s="241"/>
      <c r="K76" s="241"/>
      <c r="L76" s="241"/>
      <c r="M76" s="241"/>
      <c r="N76" s="241"/>
      <c r="O76" s="241"/>
      <c r="P76" s="241"/>
      <c r="Q76" s="241"/>
    </row>
    <row r="77" spans="1:17" s="36" customFormat="1" ht="15" customHeight="1" outlineLevel="1">
      <c r="A77" s="60"/>
      <c r="B77" s="70" t="s">
        <v>496</v>
      </c>
      <c r="C77" s="13" t="s">
        <v>240</v>
      </c>
      <c r="D77" s="241"/>
      <c r="E77" s="241"/>
      <c r="F77" s="241"/>
      <c r="G77" s="241"/>
      <c r="H77" s="241"/>
      <c r="I77" s="241"/>
      <c r="J77" s="241"/>
      <c r="K77" s="241"/>
      <c r="L77" s="241"/>
      <c r="M77" s="241"/>
      <c r="N77" s="241"/>
      <c r="O77" s="241"/>
      <c r="P77" s="241"/>
      <c r="Q77" s="241"/>
    </row>
    <row r="78" spans="1:17" s="36" customFormat="1" ht="15" customHeight="1" outlineLevel="1">
      <c r="A78" s="60"/>
      <c r="B78" s="70" t="s">
        <v>497</v>
      </c>
      <c r="C78" s="13" t="s">
        <v>240</v>
      </c>
      <c r="D78" s="241"/>
      <c r="E78" s="241"/>
      <c r="F78" s="241"/>
      <c r="G78" s="241"/>
      <c r="H78" s="241"/>
      <c r="I78" s="241"/>
      <c r="J78" s="241"/>
      <c r="K78" s="241"/>
      <c r="L78" s="241"/>
      <c r="M78" s="241"/>
      <c r="N78" s="241"/>
      <c r="O78" s="241"/>
      <c r="P78" s="241"/>
      <c r="Q78" s="241"/>
    </row>
    <row r="79" spans="1:17" s="36" customFormat="1" ht="15" customHeight="1" outlineLevel="1">
      <c r="A79" s="60"/>
      <c r="B79" s="68" t="s">
        <v>498</v>
      </c>
      <c r="C79" s="13" t="s">
        <v>240</v>
      </c>
      <c r="D79" s="241"/>
      <c r="E79" s="241"/>
      <c r="F79" s="241"/>
      <c r="G79" s="241"/>
      <c r="H79" s="241"/>
      <c r="I79" s="241"/>
      <c r="J79" s="241"/>
      <c r="K79" s="241"/>
      <c r="L79" s="241"/>
      <c r="M79" s="241"/>
      <c r="N79" s="241"/>
      <c r="O79" s="241"/>
      <c r="P79" s="241"/>
      <c r="Q79" s="241"/>
    </row>
    <row r="80" spans="1:17" s="36" customFormat="1" ht="15" customHeight="1" outlineLevel="1">
      <c r="A80" s="60"/>
      <c r="B80" s="68" t="s">
        <v>499</v>
      </c>
      <c r="C80" s="13" t="s">
        <v>240</v>
      </c>
      <c r="D80" s="241"/>
      <c r="E80" s="241"/>
      <c r="F80" s="241"/>
      <c r="G80" s="241"/>
      <c r="H80" s="241"/>
      <c r="I80" s="241"/>
      <c r="J80" s="241"/>
      <c r="K80" s="241"/>
      <c r="L80" s="241"/>
      <c r="M80" s="241"/>
      <c r="N80" s="241"/>
      <c r="O80" s="241"/>
      <c r="P80" s="241"/>
      <c r="Q80" s="241"/>
    </row>
    <row r="81" spans="1:17" s="36" customFormat="1">
      <c r="A81" s="60"/>
      <c r="B81" s="68"/>
      <c r="C81" s="13"/>
      <c r="D81" s="66"/>
      <c r="E81" s="66"/>
      <c r="F81" s="66"/>
      <c r="G81" s="66"/>
      <c r="H81" s="66"/>
      <c r="I81" s="66"/>
      <c r="J81" s="66"/>
      <c r="K81" s="66"/>
      <c r="L81" s="66"/>
      <c r="M81" s="66"/>
      <c r="N81" s="66"/>
      <c r="O81" s="66"/>
      <c r="P81" s="66"/>
      <c r="Q81" s="66"/>
    </row>
    <row r="82" spans="1:17" s="1001" customFormat="1" ht="15" customHeight="1">
      <c r="A82" s="82" t="s">
        <v>86</v>
      </c>
      <c r="B82" s="80" t="s">
        <v>504</v>
      </c>
      <c r="C82" s="999"/>
      <c r="D82" s="432">
        <f>D97/D67*100</f>
        <v>5.5</v>
      </c>
      <c r="E82" s="432" t="e">
        <f>E97/E67*100</f>
        <v>#DIV/0!</v>
      </c>
      <c r="F82" s="1007" t="e">
        <f t="shared" ref="F82:M82" si="0">F97/F67*100</f>
        <v>#DIV/0!</v>
      </c>
      <c r="G82" s="432" t="e">
        <f t="shared" si="0"/>
        <v>#DIV/0!</v>
      </c>
      <c r="H82" s="1007" t="e">
        <f t="shared" si="0"/>
        <v>#DIV/0!</v>
      </c>
      <c r="I82" s="432" t="e">
        <f t="shared" si="0"/>
        <v>#DIV/0!</v>
      </c>
      <c r="J82" s="432" t="e">
        <f t="shared" si="0"/>
        <v>#DIV/0!</v>
      </c>
      <c r="K82" s="432" t="e">
        <f t="shared" si="0"/>
        <v>#DIV/0!</v>
      </c>
      <c r="L82" s="432" t="e">
        <f t="shared" si="0"/>
        <v>#DIV/0!</v>
      </c>
      <c r="M82" s="432" t="e">
        <f t="shared" si="0"/>
        <v>#DIV/0!</v>
      </c>
      <c r="N82" s="432" t="e">
        <f t="shared" ref="N82:P82" si="1">N97/N67*100</f>
        <v>#DIV/0!</v>
      </c>
      <c r="O82" s="432" t="e">
        <f t="shared" si="1"/>
        <v>#DIV/0!</v>
      </c>
      <c r="P82" s="432" t="e">
        <f t="shared" si="1"/>
        <v>#DIV/0!</v>
      </c>
      <c r="Q82" s="432" t="e">
        <f t="shared" ref="Q82" si="2">Q97/Q67*100</f>
        <v>#DIV/0!</v>
      </c>
    </row>
    <row r="83" spans="1:17" s="36" customFormat="1" ht="15" customHeight="1" outlineLevel="1">
      <c r="A83" s="60"/>
      <c r="B83" s="68" t="s">
        <v>487</v>
      </c>
      <c r="C83" s="13" t="s">
        <v>138</v>
      </c>
      <c r="D83" s="66"/>
      <c r="E83" s="66"/>
      <c r="F83" s="66"/>
      <c r="G83" s="66"/>
      <c r="H83" s="66"/>
      <c r="I83" s="66"/>
      <c r="J83" s="66"/>
      <c r="K83" s="66"/>
      <c r="L83" s="66"/>
      <c r="M83" s="66"/>
      <c r="N83" s="66"/>
      <c r="O83" s="66"/>
      <c r="P83" s="66"/>
      <c r="Q83" s="66"/>
    </row>
    <row r="84" spans="1:17" s="36" customFormat="1" ht="15" customHeight="1" outlineLevel="1">
      <c r="A84" s="60"/>
      <c r="B84" s="68" t="s">
        <v>488</v>
      </c>
      <c r="C84" s="13" t="s">
        <v>138</v>
      </c>
      <c r="D84" s="66"/>
      <c r="E84" s="66"/>
      <c r="F84" s="66"/>
      <c r="G84" s="66"/>
      <c r="H84" s="66"/>
      <c r="I84" s="66"/>
      <c r="J84" s="66"/>
      <c r="K84" s="66"/>
      <c r="L84" s="66"/>
      <c r="M84" s="66"/>
      <c r="N84" s="66"/>
      <c r="O84" s="66"/>
      <c r="P84" s="66"/>
      <c r="Q84" s="66"/>
    </row>
    <row r="85" spans="1:17" s="36" customFormat="1" ht="15" customHeight="1" outlineLevel="1">
      <c r="A85" s="60"/>
      <c r="B85" s="68" t="s">
        <v>489</v>
      </c>
      <c r="C85" s="13" t="s">
        <v>138</v>
      </c>
      <c r="D85" s="66"/>
      <c r="E85" s="66"/>
      <c r="F85" s="66"/>
      <c r="G85" s="66"/>
      <c r="H85" s="66"/>
      <c r="I85" s="66"/>
      <c r="J85" s="66"/>
      <c r="K85" s="66"/>
      <c r="L85" s="66"/>
      <c r="M85" s="66"/>
      <c r="N85" s="66"/>
      <c r="O85" s="66"/>
      <c r="P85" s="66"/>
      <c r="Q85" s="66"/>
    </row>
    <row r="86" spans="1:17" s="36" customFormat="1" ht="15" customHeight="1" outlineLevel="1">
      <c r="A86" s="60"/>
      <c r="B86" s="68" t="s">
        <v>490</v>
      </c>
      <c r="C86" s="13" t="s">
        <v>138</v>
      </c>
      <c r="D86" s="66"/>
      <c r="E86" s="66"/>
      <c r="F86" s="66"/>
      <c r="G86" s="66"/>
      <c r="H86" s="66"/>
      <c r="I86" s="66"/>
      <c r="J86" s="66"/>
      <c r="K86" s="66"/>
      <c r="L86" s="66"/>
      <c r="M86" s="66"/>
      <c r="N86" s="66"/>
      <c r="O86" s="66"/>
      <c r="P86" s="66"/>
      <c r="Q86" s="66"/>
    </row>
    <row r="87" spans="1:17" s="36" customFormat="1" ht="15" customHeight="1" outlineLevel="1">
      <c r="A87" s="60"/>
      <c r="B87" s="68" t="s">
        <v>491</v>
      </c>
      <c r="C87" s="13" t="s">
        <v>138</v>
      </c>
      <c r="D87" s="66"/>
      <c r="E87" s="66"/>
      <c r="F87" s="66"/>
      <c r="G87" s="66"/>
      <c r="H87" s="66"/>
      <c r="I87" s="66"/>
      <c r="J87" s="66"/>
      <c r="K87" s="66"/>
      <c r="L87" s="66"/>
      <c r="M87" s="66"/>
      <c r="N87" s="66"/>
      <c r="O87" s="66"/>
      <c r="P87" s="66"/>
      <c r="Q87" s="66"/>
    </row>
    <row r="88" spans="1:17" s="36" customFormat="1" ht="15" customHeight="1" outlineLevel="1">
      <c r="A88" s="60"/>
      <c r="B88" s="70" t="s">
        <v>492</v>
      </c>
      <c r="C88" s="13" t="s">
        <v>138</v>
      </c>
      <c r="D88" s="66"/>
      <c r="E88" s="66"/>
      <c r="F88" s="66"/>
      <c r="G88" s="66"/>
      <c r="H88" s="66"/>
      <c r="I88" s="66"/>
      <c r="J88" s="66"/>
      <c r="K88" s="66"/>
      <c r="L88" s="66"/>
      <c r="M88" s="66"/>
      <c r="N88" s="66"/>
      <c r="O88" s="66"/>
      <c r="P88" s="66"/>
      <c r="Q88" s="66"/>
    </row>
    <row r="89" spans="1:17" s="36" customFormat="1" ht="15" customHeight="1" outlineLevel="1">
      <c r="A89" s="60"/>
      <c r="B89" s="70" t="s">
        <v>493</v>
      </c>
      <c r="C89" s="13" t="s">
        <v>138</v>
      </c>
      <c r="D89" s="66"/>
      <c r="E89" s="66"/>
      <c r="F89" s="66"/>
      <c r="G89" s="66"/>
      <c r="H89" s="66"/>
      <c r="I89" s="66"/>
      <c r="J89" s="66"/>
      <c r="K89" s="66"/>
      <c r="L89" s="66"/>
      <c r="M89" s="66"/>
      <c r="N89" s="66"/>
      <c r="O89" s="66"/>
      <c r="P89" s="66"/>
      <c r="Q89" s="66"/>
    </row>
    <row r="90" spans="1:17" s="36" customFormat="1" ht="15" customHeight="1" outlineLevel="1">
      <c r="A90" s="60"/>
      <c r="B90" s="70" t="s">
        <v>494</v>
      </c>
      <c r="C90" s="13" t="s">
        <v>138</v>
      </c>
      <c r="D90" s="66"/>
      <c r="E90" s="66"/>
      <c r="F90" s="66"/>
      <c r="G90" s="66"/>
      <c r="H90" s="66"/>
      <c r="I90" s="66"/>
      <c r="J90" s="66"/>
      <c r="K90" s="66"/>
      <c r="L90" s="66"/>
      <c r="M90" s="66"/>
      <c r="N90" s="66"/>
      <c r="O90" s="66"/>
      <c r="P90" s="66"/>
      <c r="Q90" s="66"/>
    </row>
    <row r="91" spans="1:17" s="36" customFormat="1" ht="15" customHeight="1" outlineLevel="1">
      <c r="A91" s="60"/>
      <c r="B91" s="70" t="s">
        <v>495</v>
      </c>
      <c r="C91" s="13" t="s">
        <v>138</v>
      </c>
      <c r="D91" s="66"/>
      <c r="E91" s="66"/>
      <c r="F91" s="66"/>
      <c r="G91" s="66"/>
      <c r="H91" s="66"/>
      <c r="I91" s="66"/>
      <c r="J91" s="66"/>
      <c r="K91" s="66"/>
      <c r="L91" s="66"/>
      <c r="M91" s="66"/>
      <c r="N91" s="66"/>
      <c r="O91" s="66"/>
      <c r="P91" s="66"/>
      <c r="Q91" s="66"/>
    </row>
    <row r="92" spans="1:17" s="36" customFormat="1" ht="15" customHeight="1" outlineLevel="1">
      <c r="A92" s="60"/>
      <c r="B92" s="70" t="s">
        <v>496</v>
      </c>
      <c r="C92" s="13" t="s">
        <v>138</v>
      </c>
      <c r="D92" s="66"/>
      <c r="E92" s="66"/>
      <c r="F92" s="66"/>
      <c r="G92" s="66"/>
      <c r="H92" s="66"/>
      <c r="I92" s="66"/>
      <c r="J92" s="66"/>
      <c r="K92" s="66"/>
      <c r="L92" s="66"/>
      <c r="M92" s="66"/>
      <c r="N92" s="66"/>
      <c r="O92" s="66"/>
      <c r="P92" s="66"/>
      <c r="Q92" s="66"/>
    </row>
    <row r="93" spans="1:17" s="36" customFormat="1" ht="15" customHeight="1" outlineLevel="1">
      <c r="A93" s="60"/>
      <c r="B93" s="70" t="s">
        <v>497</v>
      </c>
      <c r="C93" s="13" t="s">
        <v>138</v>
      </c>
      <c r="D93" s="66"/>
      <c r="E93" s="66"/>
      <c r="F93" s="66"/>
      <c r="G93" s="66"/>
      <c r="H93" s="66"/>
      <c r="I93" s="66"/>
      <c r="J93" s="66"/>
      <c r="K93" s="66"/>
      <c r="L93" s="66"/>
      <c r="M93" s="66"/>
      <c r="N93" s="66"/>
      <c r="O93" s="66"/>
      <c r="P93" s="66"/>
      <c r="Q93" s="66"/>
    </row>
    <row r="94" spans="1:17" s="36" customFormat="1" ht="15" customHeight="1" outlineLevel="1">
      <c r="A94" s="60"/>
      <c r="B94" s="68" t="s">
        <v>498</v>
      </c>
      <c r="C94" s="13" t="s">
        <v>138</v>
      </c>
      <c r="D94" s="66"/>
      <c r="E94" s="66"/>
      <c r="F94" s="66"/>
      <c r="G94" s="66"/>
      <c r="H94" s="66"/>
      <c r="I94" s="66"/>
      <c r="J94" s="66"/>
      <c r="K94" s="66"/>
      <c r="L94" s="66"/>
      <c r="M94" s="66"/>
      <c r="N94" s="66"/>
      <c r="O94" s="66"/>
      <c r="P94" s="66"/>
      <c r="Q94" s="66"/>
    </row>
    <row r="95" spans="1:17" s="36" customFormat="1" ht="15" customHeight="1" outlineLevel="1">
      <c r="A95" s="60"/>
      <c r="B95" s="68" t="s">
        <v>499</v>
      </c>
      <c r="C95" s="13" t="s">
        <v>138</v>
      </c>
      <c r="D95" s="66"/>
      <c r="E95" s="66"/>
      <c r="F95" s="66"/>
      <c r="G95" s="66"/>
      <c r="H95" s="66"/>
      <c r="I95" s="66"/>
      <c r="J95" s="66"/>
      <c r="K95" s="66"/>
      <c r="L95" s="66"/>
      <c r="M95" s="66"/>
      <c r="N95" s="66"/>
      <c r="O95" s="66"/>
      <c r="P95" s="66"/>
      <c r="Q95" s="66"/>
    </row>
    <row r="96" spans="1:17" s="36" customFormat="1">
      <c r="A96" s="60"/>
      <c r="B96" s="68"/>
      <c r="C96" s="13"/>
      <c r="D96" s="66"/>
      <c r="E96" s="66"/>
      <c r="F96" s="66"/>
      <c r="G96" s="66"/>
      <c r="H96" s="66"/>
      <c r="I96" s="66"/>
      <c r="J96" s="66"/>
      <c r="K96" s="66"/>
      <c r="L96" s="66"/>
      <c r="M96" s="66"/>
      <c r="N96" s="66"/>
      <c r="O96" s="66"/>
      <c r="P96" s="66"/>
      <c r="Q96" s="66"/>
    </row>
    <row r="97" spans="1:17" s="1001" customFormat="1" ht="15" customHeight="1">
      <c r="A97" s="82" t="s">
        <v>109</v>
      </c>
      <c r="B97" s="80" t="s">
        <v>505</v>
      </c>
      <c r="C97" s="999" t="s">
        <v>240</v>
      </c>
      <c r="D97" s="1000">
        <v>442</v>
      </c>
      <c r="E97" s="1000">
        <f t="shared" ref="E97" si="3">E98+E99+E100+E101+E107+E108+E109+E110</f>
        <v>558</v>
      </c>
      <c r="F97" s="1000"/>
      <c r="G97" s="1000">
        <v>679</v>
      </c>
      <c r="H97" s="1000">
        <v>0</v>
      </c>
      <c r="I97" s="1000">
        <v>535</v>
      </c>
      <c r="J97" s="1000">
        <v>0</v>
      </c>
      <c r="K97" s="1000">
        <v>896</v>
      </c>
      <c r="L97" s="1000">
        <v>1053</v>
      </c>
      <c r="M97" s="1000">
        <v>532</v>
      </c>
      <c r="N97" s="1000">
        <v>521</v>
      </c>
      <c r="O97" s="1000">
        <v>1166</v>
      </c>
      <c r="P97" s="1000">
        <v>584</v>
      </c>
      <c r="Q97" s="1000">
        <v>582</v>
      </c>
    </row>
    <row r="98" spans="1:17" s="36" customFormat="1" ht="15" customHeight="1" outlineLevel="1">
      <c r="A98" s="60"/>
      <c r="B98" s="68" t="s">
        <v>487</v>
      </c>
      <c r="C98" s="13" t="s">
        <v>240</v>
      </c>
      <c r="D98" s="241"/>
      <c r="E98" s="241">
        <v>12</v>
      </c>
      <c r="F98" s="241"/>
      <c r="G98" s="241">
        <v>49</v>
      </c>
      <c r="H98" s="241"/>
      <c r="I98" s="241">
        <v>38</v>
      </c>
      <c r="J98" s="241"/>
      <c r="K98" s="241">
        <v>38</v>
      </c>
      <c r="L98" s="241">
        <v>38</v>
      </c>
      <c r="M98" s="241">
        <v>15</v>
      </c>
      <c r="N98" s="241">
        <v>23</v>
      </c>
      <c r="O98" s="241">
        <v>38</v>
      </c>
      <c r="P98" s="241">
        <v>20</v>
      </c>
      <c r="Q98" s="241">
        <v>18</v>
      </c>
    </row>
    <row r="99" spans="1:17" s="36" customFormat="1" ht="15" customHeight="1" outlineLevel="1">
      <c r="A99" s="60"/>
      <c r="B99" s="68" t="s">
        <v>488</v>
      </c>
      <c r="C99" s="13" t="s">
        <v>240</v>
      </c>
      <c r="D99" s="241"/>
      <c r="E99" s="241"/>
      <c r="F99" s="241"/>
      <c r="G99" s="241"/>
      <c r="H99" s="241"/>
      <c r="I99" s="241">
        <v>0</v>
      </c>
      <c r="J99" s="241"/>
      <c r="K99" s="241">
        <v>0</v>
      </c>
      <c r="L99" s="241">
        <v>100</v>
      </c>
      <c r="M99" s="241">
        <v>50</v>
      </c>
      <c r="N99" s="241">
        <v>50</v>
      </c>
      <c r="O99" s="241">
        <v>154</v>
      </c>
      <c r="P99" s="241">
        <v>75</v>
      </c>
      <c r="Q99" s="241">
        <v>79</v>
      </c>
    </row>
    <row r="100" spans="1:17" s="36" customFormat="1" ht="15" customHeight="1" outlineLevel="1">
      <c r="A100" s="60"/>
      <c r="B100" s="68" t="s">
        <v>489</v>
      </c>
      <c r="C100" s="13" t="s">
        <v>240</v>
      </c>
      <c r="D100" s="241"/>
      <c r="E100" s="241"/>
      <c r="F100" s="241"/>
      <c r="G100" s="241"/>
      <c r="H100" s="241"/>
      <c r="I100" s="241">
        <v>0</v>
      </c>
      <c r="J100" s="241"/>
      <c r="K100" s="241">
        <v>0</v>
      </c>
      <c r="L100" s="241">
        <v>0</v>
      </c>
      <c r="M100" s="241"/>
      <c r="N100" s="241"/>
      <c r="O100" s="241">
        <v>0</v>
      </c>
      <c r="P100" s="241"/>
      <c r="Q100" s="241"/>
    </row>
    <row r="101" spans="1:17" s="36" customFormat="1" ht="15" customHeight="1" outlineLevel="1">
      <c r="A101" s="60"/>
      <c r="B101" s="68" t="s">
        <v>490</v>
      </c>
      <c r="C101" s="13" t="s">
        <v>240</v>
      </c>
      <c r="D101" s="241"/>
      <c r="E101" s="241">
        <f t="shared" ref="E101" si="4">E102+E103+E104+E105+E106</f>
        <v>514</v>
      </c>
      <c r="F101" s="241"/>
      <c r="G101" s="241">
        <v>577</v>
      </c>
      <c r="H101" s="241">
        <v>0</v>
      </c>
      <c r="I101" s="241">
        <v>451</v>
      </c>
      <c r="J101" s="241"/>
      <c r="K101" s="241">
        <v>806</v>
      </c>
      <c r="L101" s="241">
        <v>863</v>
      </c>
      <c r="M101" s="241">
        <v>441</v>
      </c>
      <c r="N101" s="241">
        <v>422</v>
      </c>
      <c r="O101" s="241">
        <v>923</v>
      </c>
      <c r="P101" s="241">
        <v>464</v>
      </c>
      <c r="Q101" s="241">
        <v>459</v>
      </c>
    </row>
    <row r="102" spans="1:17" s="36" customFormat="1" ht="15" customHeight="1" outlineLevel="1">
      <c r="A102" s="60"/>
      <c r="B102" s="68" t="s">
        <v>491</v>
      </c>
      <c r="C102" s="13" t="s">
        <v>240</v>
      </c>
      <c r="D102" s="241"/>
      <c r="E102" s="241"/>
      <c r="F102" s="241"/>
      <c r="G102" s="241"/>
      <c r="H102" s="241"/>
      <c r="I102" s="241">
        <v>0</v>
      </c>
      <c r="J102" s="241"/>
      <c r="K102" s="241">
        <v>0</v>
      </c>
      <c r="L102" s="241">
        <v>0</v>
      </c>
      <c r="M102" s="241"/>
      <c r="N102" s="241"/>
      <c r="O102" s="241">
        <v>0</v>
      </c>
      <c r="P102" s="241"/>
      <c r="Q102" s="241"/>
    </row>
    <row r="103" spans="1:17" s="36" customFormat="1" ht="15" customHeight="1" outlineLevel="1">
      <c r="A103" s="60"/>
      <c r="B103" s="70" t="s">
        <v>492</v>
      </c>
      <c r="C103" s="13" t="s">
        <v>240</v>
      </c>
      <c r="D103" s="241"/>
      <c r="E103" s="241"/>
      <c r="F103" s="241"/>
      <c r="G103" s="241"/>
      <c r="H103" s="241"/>
      <c r="I103" s="241">
        <v>0</v>
      </c>
      <c r="J103" s="241"/>
      <c r="K103" s="241">
        <v>0</v>
      </c>
      <c r="L103" s="241">
        <v>0</v>
      </c>
      <c r="M103" s="241"/>
      <c r="N103" s="241"/>
      <c r="O103" s="241">
        <v>0</v>
      </c>
      <c r="P103" s="241"/>
      <c r="Q103" s="241"/>
    </row>
    <row r="104" spans="1:17" s="36" customFormat="1" ht="15" customHeight="1" outlineLevel="1">
      <c r="A104" s="60"/>
      <c r="B104" s="70" t="s">
        <v>493</v>
      </c>
      <c r="C104" s="13" t="s">
        <v>240</v>
      </c>
      <c r="D104" s="241"/>
      <c r="E104" s="241">
        <v>357</v>
      </c>
      <c r="F104" s="241"/>
      <c r="G104" s="241">
        <v>375</v>
      </c>
      <c r="H104" s="241"/>
      <c r="I104" s="241">
        <v>334</v>
      </c>
      <c r="J104" s="241"/>
      <c r="K104" s="241">
        <v>634</v>
      </c>
      <c r="L104" s="241">
        <v>684</v>
      </c>
      <c r="M104" s="241">
        <v>331</v>
      </c>
      <c r="N104" s="241">
        <v>353</v>
      </c>
      <c r="O104" s="241">
        <v>744</v>
      </c>
      <c r="P104" s="241">
        <v>354</v>
      </c>
      <c r="Q104" s="241">
        <v>390</v>
      </c>
    </row>
    <row r="105" spans="1:17" s="36" customFormat="1" ht="15" customHeight="1" outlineLevel="1">
      <c r="A105" s="60"/>
      <c r="B105" s="70" t="s">
        <v>494</v>
      </c>
      <c r="C105" s="13" t="s">
        <v>240</v>
      </c>
      <c r="D105" s="241"/>
      <c r="E105" s="241">
        <v>136</v>
      </c>
      <c r="F105" s="241"/>
      <c r="G105" s="241">
        <v>159</v>
      </c>
      <c r="H105" s="241"/>
      <c r="I105" s="241">
        <v>83</v>
      </c>
      <c r="J105" s="241"/>
      <c r="K105" s="241">
        <v>138</v>
      </c>
      <c r="L105" s="241">
        <v>145</v>
      </c>
      <c r="M105" s="241">
        <v>93</v>
      </c>
      <c r="N105" s="241">
        <v>52</v>
      </c>
      <c r="O105" s="241">
        <v>145</v>
      </c>
      <c r="P105" s="241">
        <v>93</v>
      </c>
      <c r="Q105" s="241">
        <v>52</v>
      </c>
    </row>
    <row r="106" spans="1:17" s="36" customFormat="1" ht="15" customHeight="1" outlineLevel="1">
      <c r="A106" s="60"/>
      <c r="B106" s="70" t="s">
        <v>495</v>
      </c>
      <c r="C106" s="13" t="s">
        <v>240</v>
      </c>
      <c r="D106" s="241"/>
      <c r="E106" s="241">
        <v>21</v>
      </c>
      <c r="F106" s="241"/>
      <c r="G106" s="241">
        <v>43</v>
      </c>
      <c r="H106" s="241"/>
      <c r="I106" s="241">
        <v>34</v>
      </c>
      <c r="J106" s="241"/>
      <c r="K106" s="241">
        <v>34</v>
      </c>
      <c r="L106" s="241">
        <v>34</v>
      </c>
      <c r="M106" s="241">
        <v>17</v>
      </c>
      <c r="N106" s="241">
        <v>17</v>
      </c>
      <c r="O106" s="241">
        <v>34</v>
      </c>
      <c r="P106" s="241">
        <v>17</v>
      </c>
      <c r="Q106" s="241">
        <v>17</v>
      </c>
    </row>
    <row r="107" spans="1:17" s="36" customFormat="1" ht="15" customHeight="1" outlineLevel="1">
      <c r="A107" s="60"/>
      <c r="B107" s="70" t="s">
        <v>496</v>
      </c>
      <c r="C107" s="13" t="s">
        <v>240</v>
      </c>
      <c r="D107" s="241"/>
      <c r="E107" s="241"/>
      <c r="F107" s="241"/>
      <c r="G107" s="241"/>
      <c r="H107" s="241"/>
      <c r="I107" s="241">
        <v>0</v>
      </c>
      <c r="J107" s="241"/>
      <c r="K107" s="241">
        <v>0</v>
      </c>
      <c r="L107" s="241">
        <v>0</v>
      </c>
      <c r="M107" s="241"/>
      <c r="N107" s="241"/>
      <c r="O107" s="241">
        <v>0</v>
      </c>
      <c r="P107" s="241"/>
      <c r="Q107" s="241"/>
    </row>
    <row r="108" spans="1:17" s="36" customFormat="1" ht="15" customHeight="1" outlineLevel="1">
      <c r="A108" s="60"/>
      <c r="B108" s="70" t="s">
        <v>497</v>
      </c>
      <c r="C108" s="13" t="s">
        <v>240</v>
      </c>
      <c r="D108" s="241"/>
      <c r="E108" s="241">
        <v>1</v>
      </c>
      <c r="F108" s="241"/>
      <c r="G108" s="241">
        <v>1</v>
      </c>
      <c r="H108" s="241"/>
      <c r="I108" s="241">
        <v>1</v>
      </c>
      <c r="J108" s="241"/>
      <c r="K108" s="241">
        <v>1</v>
      </c>
      <c r="L108" s="241">
        <v>1</v>
      </c>
      <c r="M108" s="241">
        <v>1</v>
      </c>
      <c r="N108" s="241"/>
      <c r="O108" s="241"/>
      <c r="P108" s="241"/>
      <c r="Q108" s="241"/>
    </row>
    <row r="109" spans="1:17" s="36" customFormat="1" ht="15" customHeight="1" outlineLevel="1">
      <c r="A109" s="60"/>
      <c r="B109" s="68" t="s">
        <v>498</v>
      </c>
      <c r="C109" s="13" t="s">
        <v>240</v>
      </c>
      <c r="D109" s="241"/>
      <c r="E109" s="241">
        <v>31</v>
      </c>
      <c r="F109" s="241"/>
      <c r="G109" s="241">
        <v>47</v>
      </c>
      <c r="H109" s="241"/>
      <c r="I109" s="241">
        <v>40</v>
      </c>
      <c r="J109" s="241"/>
      <c r="K109" s="241">
        <v>40</v>
      </c>
      <c r="L109" s="241">
        <v>40</v>
      </c>
      <c r="M109" s="241">
        <v>20</v>
      </c>
      <c r="N109" s="241">
        <v>20</v>
      </c>
      <c r="O109" s="241">
        <v>40</v>
      </c>
      <c r="P109" s="241">
        <v>20</v>
      </c>
      <c r="Q109" s="241">
        <v>20</v>
      </c>
    </row>
    <row r="110" spans="1:17" s="36" customFormat="1" ht="15" customHeight="1" outlineLevel="1">
      <c r="A110" s="60"/>
      <c r="B110" s="68" t="s">
        <v>499</v>
      </c>
      <c r="C110" s="13" t="s">
        <v>240</v>
      </c>
      <c r="D110" s="241"/>
      <c r="E110" s="1005"/>
      <c r="F110" s="241"/>
      <c r="G110" s="241">
        <v>5</v>
      </c>
      <c r="H110" s="241"/>
      <c r="I110" s="241">
        <v>5</v>
      </c>
      <c r="J110" s="241"/>
      <c r="K110" s="241">
        <v>11</v>
      </c>
      <c r="L110" s="241">
        <v>11</v>
      </c>
      <c r="M110" s="241">
        <v>5</v>
      </c>
      <c r="N110" s="241">
        <v>6</v>
      </c>
      <c r="O110" s="241">
        <v>11</v>
      </c>
      <c r="P110" s="241">
        <v>5</v>
      </c>
      <c r="Q110" s="241">
        <v>6</v>
      </c>
    </row>
    <row r="111" spans="1:17" s="1001" customFormat="1" ht="28.5">
      <c r="A111" s="82" t="s">
        <v>151</v>
      </c>
      <c r="B111" s="80" t="s">
        <v>1524</v>
      </c>
      <c r="C111" s="999" t="s">
        <v>240</v>
      </c>
      <c r="D111" s="1000">
        <v>658</v>
      </c>
      <c r="E111" s="1000">
        <v>959</v>
      </c>
      <c r="F111" s="1000"/>
      <c r="G111" s="1013">
        <v>1229</v>
      </c>
      <c r="H111" s="1013"/>
      <c r="I111" s="1013">
        <v>1135</v>
      </c>
      <c r="J111" s="1013">
        <v>0</v>
      </c>
      <c r="K111" s="1013">
        <v>1556</v>
      </c>
      <c r="L111" s="1013">
        <v>1894</v>
      </c>
      <c r="M111" s="1013">
        <v>947</v>
      </c>
      <c r="N111" s="1013">
        <v>947</v>
      </c>
      <c r="O111" s="1013">
        <v>2282</v>
      </c>
      <c r="P111" s="1013">
        <v>1123</v>
      </c>
      <c r="Q111" s="1013">
        <v>1159</v>
      </c>
    </row>
    <row r="112" spans="1:17" s="36" customFormat="1" ht="15" customHeight="1">
      <c r="A112" s="60" t="s">
        <v>153</v>
      </c>
      <c r="B112" s="70" t="s">
        <v>402</v>
      </c>
      <c r="C112" s="13" t="s">
        <v>240</v>
      </c>
      <c r="D112" s="241"/>
      <c r="E112" s="241"/>
      <c r="F112" s="241"/>
      <c r="G112" s="241"/>
      <c r="H112" s="241"/>
      <c r="I112" s="241"/>
      <c r="J112" s="241"/>
      <c r="K112" s="241"/>
      <c r="L112" s="241"/>
      <c r="M112" s="241"/>
      <c r="N112" s="241"/>
      <c r="O112" s="241"/>
      <c r="P112" s="241"/>
      <c r="Q112" s="241"/>
    </row>
    <row r="113" spans="1:17" s="36" customFormat="1" ht="15" customHeight="1">
      <c r="A113" s="60" t="s">
        <v>1528</v>
      </c>
      <c r="B113" s="70" t="s">
        <v>404</v>
      </c>
      <c r="C113" s="13" t="s">
        <v>240</v>
      </c>
      <c r="D113" s="241">
        <v>658</v>
      </c>
      <c r="E113" s="241">
        <v>959</v>
      </c>
      <c r="F113" s="241"/>
      <c r="G113" s="241">
        <v>1229</v>
      </c>
      <c r="H113" s="241"/>
      <c r="I113" s="241">
        <v>1135</v>
      </c>
      <c r="J113" s="241">
        <v>0</v>
      </c>
      <c r="K113" s="241">
        <v>1556</v>
      </c>
      <c r="L113" s="241">
        <v>1894</v>
      </c>
      <c r="M113" s="241">
        <v>947</v>
      </c>
      <c r="N113" s="241">
        <v>947</v>
      </c>
      <c r="O113" s="241">
        <v>2282</v>
      </c>
      <c r="P113" s="241">
        <v>1123</v>
      </c>
      <c r="Q113" s="241">
        <v>1159</v>
      </c>
    </row>
    <row r="114" spans="1:17" s="36" customFormat="1" ht="15" customHeight="1">
      <c r="A114" s="60" t="s">
        <v>1529</v>
      </c>
      <c r="B114" s="70" t="s">
        <v>406</v>
      </c>
      <c r="C114" s="13" t="s">
        <v>240</v>
      </c>
      <c r="D114" s="241"/>
      <c r="E114" s="241"/>
      <c r="F114" s="241"/>
      <c r="G114" s="241"/>
      <c r="H114" s="241"/>
      <c r="I114" s="241"/>
      <c r="J114" s="241"/>
      <c r="K114" s="241"/>
      <c r="L114" s="241"/>
      <c r="M114" s="241"/>
      <c r="N114" s="241"/>
      <c r="O114" s="241"/>
      <c r="P114" s="241"/>
      <c r="Q114" s="241"/>
    </row>
    <row r="115" spans="1:17" s="36" customFormat="1" ht="15" customHeight="1">
      <c r="A115" s="60" t="s">
        <v>1530</v>
      </c>
      <c r="B115" s="70" t="s">
        <v>408</v>
      </c>
      <c r="C115" s="13" t="s">
        <v>240</v>
      </c>
      <c r="D115" s="241"/>
      <c r="E115" s="241"/>
      <c r="F115" s="241"/>
      <c r="G115" s="241"/>
      <c r="H115" s="241"/>
      <c r="I115" s="241"/>
      <c r="J115" s="241"/>
      <c r="K115" s="241"/>
      <c r="L115" s="241"/>
      <c r="M115" s="241"/>
      <c r="N115" s="241"/>
      <c r="O115" s="241"/>
      <c r="P115" s="241"/>
      <c r="Q115" s="241"/>
    </row>
    <row r="116" spans="1:17" customFormat="1" ht="12.75"/>
    <row r="117" spans="1:17" s="26" customFormat="1">
      <c r="A117" s="26" t="s">
        <v>88</v>
      </c>
      <c r="C117" s="48"/>
    </row>
    <row r="118" spans="1:17" s="334" customFormat="1" ht="51.75" customHeight="1">
      <c r="A118" s="334" t="s">
        <v>89</v>
      </c>
      <c r="B118" s="1842" t="s">
        <v>506</v>
      </c>
      <c r="C118" s="1842"/>
      <c r="D118" s="1842"/>
      <c r="E118" s="1842"/>
      <c r="F118" s="1842"/>
      <c r="G118" s="1842"/>
      <c r="H118" s="1842"/>
      <c r="I118" s="1842"/>
      <c r="J118" s="1842"/>
      <c r="K118" s="1842"/>
      <c r="L118" s="1842"/>
      <c r="M118" s="1842"/>
      <c r="N118" s="1842"/>
    </row>
    <row r="119" spans="1:17" s="334" customFormat="1" ht="58.5" customHeight="1">
      <c r="A119" s="334" t="s">
        <v>91</v>
      </c>
      <c r="B119" s="1842" t="s">
        <v>507</v>
      </c>
      <c r="C119" s="1842"/>
      <c r="D119" s="1842"/>
      <c r="E119" s="1842"/>
      <c r="F119" s="1842"/>
      <c r="G119" s="1842"/>
      <c r="H119" s="1842"/>
      <c r="I119" s="1842"/>
      <c r="J119" s="1842"/>
      <c r="K119" s="1842"/>
      <c r="L119" s="1842"/>
      <c r="M119" s="1842"/>
      <c r="N119" s="1842"/>
    </row>
    <row r="120" spans="1:17" ht="21" customHeight="1"/>
  </sheetData>
  <mergeCells count="3">
    <mergeCell ref="A3:N3"/>
    <mergeCell ref="B118:N118"/>
    <mergeCell ref="B119:N119"/>
  </mergeCells>
  <pageMargins left="0.78740157480314965" right="0.51181102362204722" top="0.59055118110236227" bottom="0.39370078740157483" header="0.19685039370078741" footer="0.19685039370078741"/>
  <pageSetup paperSize="9" scale="43" orientation="portrait" r:id="rId1"/>
  <headerFooter alignWithMargins="0"/>
  <rowBreaks count="1" manualBreakCount="1">
    <brk id="116" max="6" man="1"/>
  </rowBreaks>
  <legacy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Q120"/>
  <sheetViews>
    <sheetView view="pageBreakPreview" zoomScaleNormal="100" workbookViewId="0">
      <pane xSplit="2" ySplit="5" topLeftCell="C31" activePane="bottomRight" state="frozen"/>
      <selection activeCell="Q7" sqref="Q7"/>
      <selection pane="topRight" activeCell="Q7" sqref="Q7"/>
      <selection pane="bottomLeft" activeCell="Q7" sqref="Q7"/>
      <selection pane="bottomRight" activeCell="R2" sqref="R2"/>
    </sheetView>
  </sheetViews>
  <sheetFormatPr defaultColWidth="4.28515625" defaultRowHeight="15" outlineLevelRow="1"/>
  <cols>
    <col min="1" max="1" width="5.42578125" style="1" customWidth="1"/>
    <col min="2" max="2" width="42.28515625" style="1" customWidth="1"/>
    <col min="3" max="3" width="12" style="21" customWidth="1"/>
    <col min="4" max="4" width="12.5703125" style="1" hidden="1" customWidth="1"/>
    <col min="5" max="5" width="11.5703125" style="1" hidden="1" customWidth="1"/>
    <col min="6" max="10" width="12.5703125" style="1" customWidth="1"/>
    <col min="11" max="11" width="15.7109375" style="1" customWidth="1"/>
    <col min="12" max="12" width="12.5703125" style="1" customWidth="1"/>
    <col min="13" max="13" width="11.42578125" style="1" customWidth="1"/>
    <col min="14" max="14" width="11" style="1" customWidth="1"/>
    <col min="15" max="15" width="12.7109375" style="1" customWidth="1"/>
    <col min="16" max="16" width="10.85546875" style="1" customWidth="1"/>
    <col min="17" max="17" width="10.5703125" style="1" customWidth="1"/>
    <col min="18" max="16384" width="4.28515625" style="1"/>
  </cols>
  <sheetData>
    <row r="1" spans="1:17" s="5" customFormat="1" ht="15.75" customHeight="1">
      <c r="A1" s="74" t="s">
        <v>1860</v>
      </c>
      <c r="C1" s="20"/>
      <c r="N1" s="6" t="s">
        <v>943</v>
      </c>
      <c r="Q1" s="6" t="s">
        <v>943</v>
      </c>
    </row>
    <row r="2" spans="1:17" s="5" customFormat="1" ht="12.75" customHeight="1">
      <c r="A2" s="105" t="str">
        <f>'4.1_котельные'!A2</f>
        <v>ПКГО - выработка котельными</v>
      </c>
      <c r="C2" s="20"/>
    </row>
    <row r="3" spans="1:17" ht="37.5" customHeight="1">
      <c r="A3" s="1915" t="s">
        <v>1182</v>
      </c>
      <c r="B3" s="1915"/>
      <c r="C3" s="1915"/>
      <c r="D3" s="1915"/>
      <c r="E3" s="1915"/>
      <c r="F3" s="1915"/>
      <c r="G3" s="1915"/>
      <c r="H3" s="1915"/>
      <c r="I3" s="1915"/>
      <c r="J3" s="1915"/>
      <c r="K3" s="1915"/>
      <c r="L3" s="1915"/>
      <c r="M3" s="1915"/>
      <c r="N3" s="1915"/>
    </row>
    <row r="4" spans="1:17" customFormat="1" ht="12.75" customHeight="1"/>
    <row r="5" spans="1:17" s="3" customFormat="1" ht="63" customHeight="1">
      <c r="A5" s="913" t="s">
        <v>1527</v>
      </c>
      <c r="B5" s="913" t="s">
        <v>1</v>
      </c>
      <c r="C5" s="913" t="s">
        <v>2</v>
      </c>
      <c r="D5" s="913" t="s">
        <v>1129</v>
      </c>
      <c r="E5" s="913" t="s">
        <v>1130</v>
      </c>
      <c r="F5" s="975" t="s">
        <v>1553</v>
      </c>
      <c r="G5" s="913" t="s">
        <v>1695</v>
      </c>
      <c r="H5" s="1310" t="s">
        <v>1702</v>
      </c>
      <c r="I5" s="1576" t="s">
        <v>1828</v>
      </c>
      <c r="J5" s="1613" t="s">
        <v>1842</v>
      </c>
      <c r="K5" s="1631" t="s">
        <v>1861</v>
      </c>
      <c r="L5" s="1631" t="s">
        <v>1862</v>
      </c>
      <c r="M5" s="1631" t="s">
        <v>763</v>
      </c>
      <c r="N5" s="1631" t="s">
        <v>764</v>
      </c>
      <c r="O5" s="1631" t="s">
        <v>1863</v>
      </c>
      <c r="P5" s="1631" t="s">
        <v>763</v>
      </c>
      <c r="Q5" s="1631" t="s">
        <v>764</v>
      </c>
    </row>
    <row r="6" spans="1:17" s="2" customFormat="1">
      <c r="A6" s="13">
        <v>1</v>
      </c>
      <c r="B6" s="13">
        <v>2</v>
      </c>
      <c r="C6" s="13">
        <v>3</v>
      </c>
      <c r="D6" s="13">
        <v>4</v>
      </c>
      <c r="E6" s="13">
        <v>5</v>
      </c>
      <c r="F6" s="13">
        <v>4</v>
      </c>
      <c r="G6" s="13">
        <v>5</v>
      </c>
      <c r="H6" s="13">
        <v>6</v>
      </c>
      <c r="I6" s="13">
        <v>7</v>
      </c>
      <c r="J6" s="13">
        <v>8</v>
      </c>
      <c r="K6" s="13">
        <v>9</v>
      </c>
      <c r="L6" s="13">
        <v>10</v>
      </c>
      <c r="M6" s="13">
        <v>11</v>
      </c>
      <c r="N6" s="13">
        <v>12</v>
      </c>
      <c r="O6" s="13">
        <v>13</v>
      </c>
      <c r="P6" s="13">
        <v>14</v>
      </c>
      <c r="Q6" s="13">
        <v>15</v>
      </c>
    </row>
    <row r="7" spans="1:17" s="1001" customFormat="1" ht="30" customHeight="1">
      <c r="A7" s="82" t="s">
        <v>4</v>
      </c>
      <c r="B7" s="80" t="s">
        <v>486</v>
      </c>
      <c r="C7" s="1002" t="s">
        <v>240</v>
      </c>
      <c r="D7" s="1000">
        <f>'4.10_пр-во_котельн.'!D7+'4.10_транзит_котельн.'!D7+'4.10_сбыт_котельн.'!D7</f>
        <v>14348</v>
      </c>
      <c r="E7" s="1000">
        <f>'4.10_пр-во_котельн.'!E7+'4.10_транзит_котельн.'!E7+'4.10_сбыт_котельн.'!E7</f>
        <v>29054</v>
      </c>
      <c r="F7" s="1006">
        <f>'4.10_пр-во_котельн.'!F7+'4.10_транзит_котельн.'!F7+'4.10_сбыт_котельн.'!F7</f>
        <v>29012</v>
      </c>
      <c r="G7" s="1000">
        <v>103534.71706605623</v>
      </c>
      <c r="H7" s="1006">
        <v>27631.261599999998</v>
      </c>
      <c r="I7" s="1000">
        <v>35266</v>
      </c>
      <c r="J7" s="1000">
        <v>0</v>
      </c>
      <c r="K7" s="1000">
        <v>109570</v>
      </c>
      <c r="L7" s="1000">
        <v>113565</v>
      </c>
      <c r="M7" s="1000">
        <v>113565</v>
      </c>
      <c r="N7" s="1000">
        <v>113565</v>
      </c>
      <c r="O7" s="1000">
        <v>117236</v>
      </c>
      <c r="P7" s="1000">
        <v>117236</v>
      </c>
      <c r="Q7" s="1000">
        <v>117236</v>
      </c>
    </row>
    <row r="8" spans="1:17" s="36" customFormat="1" ht="15" customHeight="1" outlineLevel="1">
      <c r="A8" s="60"/>
      <c r="B8" s="68" t="s">
        <v>487</v>
      </c>
      <c r="C8" s="13" t="s">
        <v>240</v>
      </c>
      <c r="D8" s="241"/>
      <c r="E8" s="241">
        <f>'4.10_пр-во_котельн.'!E8+'4.10_транзит_котельн.'!E8+'4.10_сбыт_котельн.'!E8</f>
        <v>12422</v>
      </c>
      <c r="F8" s="983"/>
      <c r="G8" s="241">
        <v>85458</v>
      </c>
      <c r="H8" s="983">
        <v>0</v>
      </c>
      <c r="I8" s="241">
        <v>16067</v>
      </c>
      <c r="J8" s="241">
        <v>0</v>
      </c>
      <c r="K8" s="241">
        <v>9572</v>
      </c>
      <c r="L8" s="241">
        <v>9572</v>
      </c>
      <c r="M8" s="241">
        <v>9572</v>
      </c>
      <c r="N8" s="241">
        <v>9572</v>
      </c>
      <c r="O8" s="241">
        <v>9572</v>
      </c>
      <c r="P8" s="241">
        <v>9572</v>
      </c>
      <c r="Q8" s="241">
        <v>9572</v>
      </c>
    </row>
    <row r="9" spans="1:17" s="36" customFormat="1" ht="15" customHeight="1" outlineLevel="1">
      <c r="A9" s="60"/>
      <c r="B9" s="68" t="s">
        <v>488</v>
      </c>
      <c r="C9" s="13" t="s">
        <v>240</v>
      </c>
      <c r="D9" s="241"/>
      <c r="E9" s="241">
        <f>'4.10_пр-во_котельн.'!E9+'4.10_транзит_котельн.'!E9+'4.10_сбыт_котельн.'!E9</f>
        <v>388</v>
      </c>
      <c r="F9" s="983"/>
      <c r="G9" s="241">
        <v>227.06257908106593</v>
      </c>
      <c r="H9" s="983">
        <v>0</v>
      </c>
      <c r="I9" s="241">
        <v>194</v>
      </c>
      <c r="J9" s="241">
        <v>0</v>
      </c>
      <c r="K9" s="241">
        <v>716</v>
      </c>
      <c r="L9" s="241">
        <v>716</v>
      </c>
      <c r="M9" s="241">
        <v>716</v>
      </c>
      <c r="N9" s="241">
        <v>716</v>
      </c>
      <c r="O9" s="241">
        <v>716</v>
      </c>
      <c r="P9" s="241">
        <v>716</v>
      </c>
      <c r="Q9" s="241">
        <v>716</v>
      </c>
    </row>
    <row r="10" spans="1:17" s="36" customFormat="1" ht="15" customHeight="1" outlineLevel="1">
      <c r="A10" s="60"/>
      <c r="B10" s="68" t="s">
        <v>489</v>
      </c>
      <c r="C10" s="13" t="s">
        <v>240</v>
      </c>
      <c r="D10" s="241"/>
      <c r="E10" s="241">
        <f>'4.10_пр-во_котельн.'!E10+'4.10_транзит_котельн.'!E10+'4.10_сбыт_котельн.'!E10</f>
        <v>0</v>
      </c>
      <c r="F10" s="983"/>
      <c r="G10" s="241">
        <v>0</v>
      </c>
      <c r="H10" s="983">
        <v>0</v>
      </c>
      <c r="I10" s="241">
        <v>0</v>
      </c>
      <c r="J10" s="241">
        <v>0</v>
      </c>
      <c r="K10" s="241">
        <v>8719</v>
      </c>
      <c r="L10" s="241">
        <v>31968</v>
      </c>
      <c r="M10" s="241">
        <v>31968</v>
      </c>
      <c r="N10" s="241">
        <v>31968</v>
      </c>
      <c r="O10" s="241">
        <v>32971</v>
      </c>
      <c r="P10" s="241">
        <v>32971</v>
      </c>
      <c r="Q10" s="241">
        <v>32971</v>
      </c>
    </row>
    <row r="11" spans="1:17" s="36" customFormat="1" ht="15" customHeight="1" outlineLevel="1">
      <c r="A11" s="60"/>
      <c r="B11" s="68" t="s">
        <v>490</v>
      </c>
      <c r="C11" s="13" t="s">
        <v>240</v>
      </c>
      <c r="D11" s="241"/>
      <c r="E11" s="241">
        <f>'4.10_пр-во_котельн.'!E11+'4.10_транзит_котельн.'!E11+'4.10_сбыт_котельн.'!E11</f>
        <v>9386</v>
      </c>
      <c r="F11" s="983"/>
      <c r="G11" s="241">
        <v>12130.641756734567</v>
      </c>
      <c r="H11" s="983">
        <v>0</v>
      </c>
      <c r="I11" s="241">
        <v>13357</v>
      </c>
      <c r="J11" s="241">
        <v>0</v>
      </c>
      <c r="K11" s="241">
        <v>61209</v>
      </c>
      <c r="L11" s="241">
        <v>64019</v>
      </c>
      <c r="M11" s="241">
        <v>64019</v>
      </c>
      <c r="N11" s="241">
        <v>64019</v>
      </c>
      <c r="O11" s="241">
        <v>65143</v>
      </c>
      <c r="P11" s="241">
        <v>65143</v>
      </c>
      <c r="Q11" s="241">
        <v>65143</v>
      </c>
    </row>
    <row r="12" spans="1:17" s="36" customFormat="1" ht="15" customHeight="1" outlineLevel="1">
      <c r="A12" s="60"/>
      <c r="B12" s="68" t="s">
        <v>491</v>
      </c>
      <c r="C12" s="13" t="s">
        <v>240</v>
      </c>
      <c r="D12" s="241"/>
      <c r="E12" s="241">
        <f>'4.10_пр-во_котельн.'!E12+'4.10_транзит_котельн.'!E12+'4.10_сбыт_котельн.'!E12</f>
        <v>0</v>
      </c>
      <c r="F12" s="983"/>
      <c r="G12" s="241">
        <v>0</v>
      </c>
      <c r="H12" s="983">
        <v>0</v>
      </c>
      <c r="I12" s="241">
        <v>0</v>
      </c>
      <c r="J12" s="241">
        <v>0</v>
      </c>
      <c r="K12" s="241">
        <v>0</v>
      </c>
      <c r="L12" s="241">
        <v>0</v>
      </c>
      <c r="M12" s="241">
        <v>0</v>
      </c>
      <c r="N12" s="241">
        <v>0</v>
      </c>
      <c r="O12" s="241">
        <v>0</v>
      </c>
      <c r="P12" s="241">
        <v>0</v>
      </c>
      <c r="Q12" s="241">
        <v>0</v>
      </c>
    </row>
    <row r="13" spans="1:17" s="36" customFormat="1" ht="15" customHeight="1" outlineLevel="1">
      <c r="A13" s="60"/>
      <c r="B13" s="70" t="s">
        <v>492</v>
      </c>
      <c r="C13" s="13" t="s">
        <v>240</v>
      </c>
      <c r="D13" s="241"/>
      <c r="E13" s="241">
        <f>'4.10_пр-во_котельн.'!E13+'4.10_транзит_котельн.'!E13+'4.10_сбыт_котельн.'!E13</f>
        <v>0</v>
      </c>
      <c r="F13" s="983"/>
      <c r="G13" s="241">
        <v>0</v>
      </c>
      <c r="H13" s="983">
        <v>0</v>
      </c>
      <c r="I13" s="241">
        <v>0</v>
      </c>
      <c r="J13" s="241">
        <v>0</v>
      </c>
      <c r="K13" s="241">
        <v>0</v>
      </c>
      <c r="L13" s="241">
        <v>0</v>
      </c>
      <c r="M13" s="241">
        <v>0</v>
      </c>
      <c r="N13" s="241">
        <v>0</v>
      </c>
      <c r="O13" s="241">
        <v>0</v>
      </c>
      <c r="P13" s="241">
        <v>0</v>
      </c>
      <c r="Q13" s="241">
        <v>0</v>
      </c>
    </row>
    <row r="14" spans="1:17" s="36" customFormat="1" ht="15" customHeight="1" outlineLevel="1">
      <c r="A14" s="60"/>
      <c r="B14" s="70" t="s">
        <v>493</v>
      </c>
      <c r="C14" s="13" t="s">
        <v>240</v>
      </c>
      <c r="D14" s="241"/>
      <c r="E14" s="241">
        <f>'4.10_пр-во_котельн.'!E14+'4.10_транзит_котельн.'!E14+'4.10_сбыт_котельн.'!E14</f>
        <v>0</v>
      </c>
      <c r="F14" s="983"/>
      <c r="G14" s="241">
        <v>41.927878067862423</v>
      </c>
      <c r="H14" s="983">
        <v>0</v>
      </c>
      <c r="I14" s="241">
        <v>148</v>
      </c>
      <c r="J14" s="241">
        <v>0</v>
      </c>
      <c r="K14" s="241">
        <v>304</v>
      </c>
      <c r="L14" s="241">
        <v>304</v>
      </c>
      <c r="M14" s="241">
        <v>304</v>
      </c>
      <c r="N14" s="241">
        <v>304</v>
      </c>
      <c r="O14" s="241">
        <v>304</v>
      </c>
      <c r="P14" s="241">
        <v>304</v>
      </c>
      <c r="Q14" s="241">
        <v>304</v>
      </c>
    </row>
    <row r="15" spans="1:17" s="36" customFormat="1" ht="15" customHeight="1" outlineLevel="1">
      <c r="A15" s="60"/>
      <c r="B15" s="70" t="s">
        <v>494</v>
      </c>
      <c r="C15" s="13" t="s">
        <v>240</v>
      </c>
      <c r="D15" s="241"/>
      <c r="E15" s="241">
        <f>'4.10_пр-во_котельн.'!E15+'4.10_транзит_котельн.'!E15+'4.10_сбыт_котельн.'!E15</f>
        <v>6945</v>
      </c>
      <c r="F15" s="983"/>
      <c r="G15" s="241">
        <v>7750.7138786667056</v>
      </c>
      <c r="H15" s="983">
        <v>0</v>
      </c>
      <c r="I15" s="241">
        <v>7734</v>
      </c>
      <c r="J15" s="241">
        <v>0</v>
      </c>
      <c r="K15" s="241">
        <v>8007</v>
      </c>
      <c r="L15" s="241">
        <v>8007</v>
      </c>
      <c r="M15" s="241">
        <v>8007</v>
      </c>
      <c r="N15" s="241">
        <v>8007</v>
      </c>
      <c r="O15" s="241">
        <v>8007</v>
      </c>
      <c r="P15" s="241">
        <v>8007</v>
      </c>
      <c r="Q15" s="241">
        <v>8007</v>
      </c>
    </row>
    <row r="16" spans="1:17" s="36" customFormat="1" ht="15" customHeight="1" outlineLevel="1">
      <c r="A16" s="60"/>
      <c r="B16" s="70" t="s">
        <v>495</v>
      </c>
      <c r="C16" s="13" t="s">
        <v>240</v>
      </c>
      <c r="D16" s="241"/>
      <c r="E16" s="241">
        <f>'4.10_пр-во_котельн.'!E16+'4.10_транзит_котельн.'!E16+'4.10_сбыт_котельн.'!E16</f>
        <v>2441</v>
      </c>
      <c r="F16" s="983"/>
      <c r="G16" s="241">
        <v>4338</v>
      </c>
      <c r="H16" s="983">
        <v>0</v>
      </c>
      <c r="I16" s="241">
        <v>5475</v>
      </c>
      <c r="J16" s="241">
        <v>0</v>
      </c>
      <c r="K16" s="241">
        <v>52898</v>
      </c>
      <c r="L16" s="241">
        <v>55708</v>
      </c>
      <c r="M16" s="241">
        <v>55708</v>
      </c>
      <c r="N16" s="241">
        <v>55708</v>
      </c>
      <c r="O16" s="241">
        <v>56832</v>
      </c>
      <c r="P16" s="241">
        <v>56832</v>
      </c>
      <c r="Q16" s="241">
        <v>56832</v>
      </c>
    </row>
    <row r="17" spans="1:17" s="36" customFormat="1" ht="15" customHeight="1" outlineLevel="1">
      <c r="A17" s="60"/>
      <c r="B17" s="70" t="s">
        <v>496</v>
      </c>
      <c r="C17" s="13" t="s">
        <v>240</v>
      </c>
      <c r="D17" s="241"/>
      <c r="E17" s="241">
        <f>'4.10_пр-во_котельн.'!E17+'4.10_транзит_котельн.'!E17+'4.10_сбыт_котельн.'!E17</f>
        <v>180</v>
      </c>
      <c r="F17" s="983"/>
      <c r="G17" s="241">
        <v>247.26633054195281</v>
      </c>
      <c r="H17" s="983">
        <v>0</v>
      </c>
      <c r="I17" s="241">
        <v>247</v>
      </c>
      <c r="J17" s="241">
        <v>0</v>
      </c>
      <c r="K17" s="241">
        <v>1907</v>
      </c>
      <c r="L17" s="241">
        <v>1907</v>
      </c>
      <c r="M17" s="241">
        <v>1907</v>
      </c>
      <c r="N17" s="241">
        <v>1907</v>
      </c>
      <c r="O17" s="241">
        <v>3451</v>
      </c>
      <c r="P17" s="241">
        <v>3451</v>
      </c>
      <c r="Q17" s="241">
        <v>3451</v>
      </c>
    </row>
    <row r="18" spans="1:17" s="36" customFormat="1" ht="15" customHeight="1" outlineLevel="1">
      <c r="A18" s="60"/>
      <c r="B18" s="70" t="s">
        <v>497</v>
      </c>
      <c r="C18" s="13" t="s">
        <v>240</v>
      </c>
      <c r="D18" s="241"/>
      <c r="E18" s="241">
        <f>'4.10_пр-во_котельн.'!E18+'4.10_транзит_котельн.'!E18+'4.10_сбыт_котельн.'!E18</f>
        <v>0</v>
      </c>
      <c r="F18" s="983"/>
      <c r="G18" s="241">
        <v>0</v>
      </c>
      <c r="H18" s="983">
        <v>0</v>
      </c>
      <c r="I18" s="241">
        <v>0</v>
      </c>
      <c r="J18" s="241">
        <v>0</v>
      </c>
      <c r="K18" s="241">
        <v>0</v>
      </c>
      <c r="L18" s="241">
        <v>0</v>
      </c>
      <c r="M18" s="241">
        <v>0</v>
      </c>
      <c r="N18" s="241">
        <v>0</v>
      </c>
      <c r="O18" s="241">
        <v>0</v>
      </c>
      <c r="P18" s="241">
        <v>0</v>
      </c>
      <c r="Q18" s="241">
        <v>0</v>
      </c>
    </row>
    <row r="19" spans="1:17" s="36" customFormat="1" ht="15" customHeight="1" outlineLevel="1">
      <c r="A19" s="60"/>
      <c r="B19" s="68" t="s">
        <v>498</v>
      </c>
      <c r="C19" s="13" t="s">
        <v>240</v>
      </c>
      <c r="D19" s="241"/>
      <c r="E19" s="241">
        <f>'4.10_пр-во_котельн.'!E19+'4.10_транзит_котельн.'!E19+'4.10_сбыт_котельн.'!E19</f>
        <v>6334</v>
      </c>
      <c r="F19" s="983"/>
      <c r="G19" s="241">
        <v>5309.5960128654633</v>
      </c>
      <c r="H19" s="983">
        <v>0</v>
      </c>
      <c r="I19" s="241">
        <v>5057</v>
      </c>
      <c r="J19" s="241">
        <v>0</v>
      </c>
      <c r="K19" s="241">
        <v>5039</v>
      </c>
      <c r="L19" s="241">
        <v>5039</v>
      </c>
      <c r="M19" s="241">
        <v>5039</v>
      </c>
      <c r="N19" s="241">
        <v>5039</v>
      </c>
      <c r="O19" s="241">
        <v>5039</v>
      </c>
      <c r="P19" s="241">
        <v>5039</v>
      </c>
      <c r="Q19" s="241">
        <v>5039</v>
      </c>
    </row>
    <row r="20" spans="1:17" s="36" customFormat="1" ht="15" customHeight="1" outlineLevel="1">
      <c r="A20" s="60"/>
      <c r="B20" s="68" t="s">
        <v>499</v>
      </c>
      <c r="C20" s="13" t="s">
        <v>240</v>
      </c>
      <c r="D20" s="241"/>
      <c r="E20" s="241">
        <f>'4.10_пр-во_котельн.'!E20+'4.10_транзит_котельн.'!E20+'4.10_сбыт_котельн.'!E20</f>
        <v>344</v>
      </c>
      <c r="F20" s="983"/>
      <c r="G20" s="241">
        <v>162.15038683318363</v>
      </c>
      <c r="H20" s="983">
        <v>0</v>
      </c>
      <c r="I20" s="241">
        <v>344</v>
      </c>
      <c r="J20" s="241">
        <v>0</v>
      </c>
      <c r="K20" s="241">
        <v>22408</v>
      </c>
      <c r="L20" s="241">
        <v>344</v>
      </c>
      <c r="M20" s="241">
        <v>344</v>
      </c>
      <c r="N20" s="241">
        <v>344</v>
      </c>
      <c r="O20" s="241">
        <v>344</v>
      </c>
      <c r="P20" s="241">
        <v>344</v>
      </c>
      <c r="Q20" s="241">
        <v>344</v>
      </c>
    </row>
    <row r="21" spans="1:17" s="36" customFormat="1">
      <c r="A21" s="60"/>
      <c r="B21" s="68"/>
      <c r="C21" s="13"/>
      <c r="D21" s="241"/>
      <c r="E21" s="241"/>
      <c r="F21" s="983"/>
      <c r="G21" s="241"/>
      <c r="H21" s="983"/>
      <c r="I21" s="241"/>
      <c r="J21" s="241"/>
      <c r="K21" s="241"/>
      <c r="L21" s="241"/>
      <c r="M21" s="241"/>
      <c r="N21" s="241"/>
      <c r="O21" s="241"/>
      <c r="P21" s="241"/>
      <c r="Q21" s="241"/>
    </row>
    <row r="22" spans="1:17" s="1001" customFormat="1" ht="60" customHeight="1">
      <c r="A22" s="82" t="s">
        <v>23</v>
      </c>
      <c r="B22" s="80" t="s">
        <v>500</v>
      </c>
      <c r="C22" s="1002" t="s">
        <v>240</v>
      </c>
      <c r="D22" s="1000">
        <f>'4.10_пр-во_котельн.'!D22+'4.10_транзит_котельн.'!D22+'4.10_сбыт_котельн.'!D22</f>
        <v>0</v>
      </c>
      <c r="E22" s="1000">
        <f>'4.10_пр-во_котельн.'!E22+'4.10_транзит_котельн.'!E22+'4.10_сбыт_котельн.'!E22</f>
        <v>73036</v>
      </c>
      <c r="F22" s="1006">
        <f>'4.10_пр-во_котельн.'!F22+'4.10_транзит_котельн.'!F22+'4.10_сбыт_котельн.'!F22</f>
        <v>0</v>
      </c>
      <c r="G22" s="1000">
        <v>0</v>
      </c>
      <c r="H22" s="1006">
        <v>0</v>
      </c>
      <c r="I22" s="1000">
        <v>0</v>
      </c>
      <c r="J22" s="1000">
        <v>0</v>
      </c>
      <c r="K22" s="1000">
        <v>0</v>
      </c>
      <c r="L22" s="1000">
        <v>0</v>
      </c>
      <c r="M22" s="1000">
        <v>0</v>
      </c>
      <c r="N22" s="1000">
        <v>0</v>
      </c>
      <c r="O22" s="1000">
        <v>0</v>
      </c>
      <c r="P22" s="1000">
        <v>0</v>
      </c>
      <c r="Q22" s="1000">
        <v>0</v>
      </c>
    </row>
    <row r="23" spans="1:17" s="36" customFormat="1" ht="15" customHeight="1" outlineLevel="1">
      <c r="A23" s="60"/>
      <c r="B23" s="68" t="s">
        <v>487</v>
      </c>
      <c r="C23" s="13" t="s">
        <v>240</v>
      </c>
      <c r="D23" s="241"/>
      <c r="E23" s="241">
        <f>'4.10_пр-во_котельн.'!E23+'4.10_транзит_котельн.'!E23+'4.10_сбыт_котельн.'!E23</f>
        <v>73036</v>
      </c>
      <c r="F23" s="983"/>
      <c r="G23" s="241">
        <v>0</v>
      </c>
      <c r="H23" s="983">
        <v>0</v>
      </c>
      <c r="I23" s="241">
        <v>0</v>
      </c>
      <c r="J23" s="241">
        <v>0</v>
      </c>
      <c r="K23" s="241">
        <v>0</v>
      </c>
      <c r="L23" s="241">
        <v>0</v>
      </c>
      <c r="M23" s="241">
        <v>0</v>
      </c>
      <c r="N23" s="241">
        <v>0</v>
      </c>
      <c r="O23" s="241">
        <v>0</v>
      </c>
      <c r="P23" s="241">
        <v>0</v>
      </c>
      <c r="Q23" s="241">
        <v>0</v>
      </c>
    </row>
    <row r="24" spans="1:17" s="36" customFormat="1" ht="15" customHeight="1" outlineLevel="1">
      <c r="A24" s="60"/>
      <c r="B24" s="68" t="s">
        <v>488</v>
      </c>
      <c r="C24" s="13" t="s">
        <v>240</v>
      </c>
      <c r="D24" s="241"/>
      <c r="E24" s="241">
        <f>'4.10_пр-во_котельн.'!E24+'4.10_транзит_котельн.'!E24+'4.10_сбыт_котельн.'!E24</f>
        <v>0</v>
      </c>
      <c r="F24" s="983"/>
      <c r="G24" s="241">
        <v>0</v>
      </c>
      <c r="H24" s="983">
        <v>0</v>
      </c>
      <c r="I24" s="241">
        <v>0</v>
      </c>
      <c r="J24" s="241">
        <v>0</v>
      </c>
      <c r="K24" s="241">
        <v>0</v>
      </c>
      <c r="L24" s="241">
        <v>0</v>
      </c>
      <c r="M24" s="241">
        <v>0</v>
      </c>
      <c r="N24" s="241">
        <v>0</v>
      </c>
      <c r="O24" s="241">
        <v>0</v>
      </c>
      <c r="P24" s="241">
        <v>0</v>
      </c>
      <c r="Q24" s="241">
        <v>0</v>
      </c>
    </row>
    <row r="25" spans="1:17" s="36" customFormat="1" ht="15" customHeight="1" outlineLevel="1">
      <c r="A25" s="60"/>
      <c r="B25" s="68" t="s">
        <v>489</v>
      </c>
      <c r="C25" s="13" t="s">
        <v>240</v>
      </c>
      <c r="D25" s="241"/>
      <c r="E25" s="241">
        <f>'4.10_пр-во_котельн.'!E25+'4.10_транзит_котельн.'!E25+'4.10_сбыт_котельн.'!E25</f>
        <v>0</v>
      </c>
      <c r="F25" s="983"/>
      <c r="G25" s="241">
        <v>0</v>
      </c>
      <c r="H25" s="983">
        <v>0</v>
      </c>
      <c r="I25" s="241">
        <v>0</v>
      </c>
      <c r="J25" s="241">
        <v>0</v>
      </c>
      <c r="K25" s="241">
        <v>0</v>
      </c>
      <c r="L25" s="241">
        <v>0</v>
      </c>
      <c r="M25" s="241">
        <v>0</v>
      </c>
      <c r="N25" s="241">
        <v>0</v>
      </c>
      <c r="O25" s="241">
        <v>0</v>
      </c>
      <c r="P25" s="241">
        <v>0</v>
      </c>
      <c r="Q25" s="241">
        <v>0</v>
      </c>
    </row>
    <row r="26" spans="1:17" s="36" customFormat="1" ht="15" customHeight="1" outlineLevel="1">
      <c r="A26" s="60"/>
      <c r="B26" s="68" t="s">
        <v>490</v>
      </c>
      <c r="C26" s="13" t="s">
        <v>240</v>
      </c>
      <c r="D26" s="241"/>
      <c r="E26" s="241">
        <f>'4.10_пр-во_котельн.'!E26+'4.10_транзит_котельн.'!E26+'4.10_сбыт_котельн.'!E26</f>
        <v>0</v>
      </c>
      <c r="F26" s="983"/>
      <c r="G26" s="241">
        <v>0</v>
      </c>
      <c r="H26" s="983">
        <v>0</v>
      </c>
      <c r="I26" s="241">
        <v>0</v>
      </c>
      <c r="J26" s="241">
        <v>0</v>
      </c>
      <c r="K26" s="241">
        <v>0</v>
      </c>
      <c r="L26" s="241">
        <v>0</v>
      </c>
      <c r="M26" s="241">
        <v>0</v>
      </c>
      <c r="N26" s="241">
        <v>0</v>
      </c>
      <c r="O26" s="241">
        <v>0</v>
      </c>
      <c r="P26" s="241">
        <v>0</v>
      </c>
      <c r="Q26" s="241">
        <v>0</v>
      </c>
    </row>
    <row r="27" spans="1:17" s="36" customFormat="1" ht="15" customHeight="1" outlineLevel="1">
      <c r="A27" s="60"/>
      <c r="B27" s="68" t="s">
        <v>491</v>
      </c>
      <c r="C27" s="13" t="s">
        <v>240</v>
      </c>
      <c r="D27" s="241"/>
      <c r="E27" s="241">
        <f>'4.10_пр-во_котельн.'!E27+'4.10_транзит_котельн.'!E27+'4.10_сбыт_котельн.'!E27</f>
        <v>0</v>
      </c>
      <c r="F27" s="983"/>
      <c r="G27" s="241">
        <v>0</v>
      </c>
      <c r="H27" s="983">
        <v>0</v>
      </c>
      <c r="I27" s="241">
        <v>0</v>
      </c>
      <c r="J27" s="241">
        <v>0</v>
      </c>
      <c r="K27" s="241">
        <v>0</v>
      </c>
      <c r="L27" s="241">
        <v>0</v>
      </c>
      <c r="M27" s="241">
        <v>0</v>
      </c>
      <c r="N27" s="241">
        <v>0</v>
      </c>
      <c r="O27" s="241">
        <v>0</v>
      </c>
      <c r="P27" s="241">
        <v>0</v>
      </c>
      <c r="Q27" s="241">
        <v>0</v>
      </c>
    </row>
    <row r="28" spans="1:17" s="36" customFormat="1" ht="15" customHeight="1" outlineLevel="1">
      <c r="A28" s="60"/>
      <c r="B28" s="70" t="s">
        <v>492</v>
      </c>
      <c r="C28" s="13" t="s">
        <v>240</v>
      </c>
      <c r="D28" s="241"/>
      <c r="E28" s="241">
        <f>'4.10_пр-во_котельн.'!E28+'4.10_транзит_котельн.'!E28+'4.10_сбыт_котельн.'!E28</f>
        <v>0</v>
      </c>
      <c r="F28" s="983"/>
      <c r="G28" s="241">
        <v>0</v>
      </c>
      <c r="H28" s="983">
        <v>0</v>
      </c>
      <c r="I28" s="241">
        <v>0</v>
      </c>
      <c r="J28" s="241">
        <v>0</v>
      </c>
      <c r="K28" s="241">
        <v>0</v>
      </c>
      <c r="L28" s="241">
        <v>0</v>
      </c>
      <c r="M28" s="241">
        <v>0</v>
      </c>
      <c r="N28" s="241">
        <v>0</v>
      </c>
      <c r="O28" s="241">
        <v>0</v>
      </c>
      <c r="P28" s="241">
        <v>0</v>
      </c>
      <c r="Q28" s="241">
        <v>0</v>
      </c>
    </row>
    <row r="29" spans="1:17" s="36" customFormat="1" ht="15" customHeight="1" outlineLevel="1">
      <c r="A29" s="60"/>
      <c r="B29" s="70" t="s">
        <v>493</v>
      </c>
      <c r="C29" s="13" t="s">
        <v>240</v>
      </c>
      <c r="D29" s="241"/>
      <c r="E29" s="241">
        <f>'4.10_пр-во_котельн.'!E29+'4.10_транзит_котельн.'!E29+'4.10_сбыт_котельн.'!E29</f>
        <v>0</v>
      </c>
      <c r="F29" s="983"/>
      <c r="G29" s="241">
        <v>0</v>
      </c>
      <c r="H29" s="983">
        <v>0</v>
      </c>
      <c r="I29" s="241">
        <v>0</v>
      </c>
      <c r="J29" s="241">
        <v>0</v>
      </c>
      <c r="K29" s="241">
        <v>0</v>
      </c>
      <c r="L29" s="241">
        <v>0</v>
      </c>
      <c r="M29" s="241">
        <v>0</v>
      </c>
      <c r="N29" s="241">
        <v>0</v>
      </c>
      <c r="O29" s="241">
        <v>0</v>
      </c>
      <c r="P29" s="241">
        <v>0</v>
      </c>
      <c r="Q29" s="241">
        <v>0</v>
      </c>
    </row>
    <row r="30" spans="1:17" s="36" customFormat="1" ht="15" customHeight="1" outlineLevel="1">
      <c r="A30" s="60"/>
      <c r="B30" s="70" t="s">
        <v>494</v>
      </c>
      <c r="C30" s="13" t="s">
        <v>240</v>
      </c>
      <c r="D30" s="241"/>
      <c r="E30" s="241">
        <f>'4.10_пр-во_котельн.'!E30+'4.10_транзит_котельн.'!E30+'4.10_сбыт_котельн.'!E30</f>
        <v>0</v>
      </c>
      <c r="F30" s="983"/>
      <c r="G30" s="241">
        <v>0</v>
      </c>
      <c r="H30" s="983">
        <v>0</v>
      </c>
      <c r="I30" s="241">
        <v>0</v>
      </c>
      <c r="J30" s="241">
        <v>0</v>
      </c>
      <c r="K30" s="241">
        <v>0</v>
      </c>
      <c r="L30" s="241">
        <v>0</v>
      </c>
      <c r="M30" s="241">
        <v>0</v>
      </c>
      <c r="N30" s="241">
        <v>0</v>
      </c>
      <c r="O30" s="241">
        <v>0</v>
      </c>
      <c r="P30" s="241">
        <v>0</v>
      </c>
      <c r="Q30" s="241">
        <v>0</v>
      </c>
    </row>
    <row r="31" spans="1:17" s="36" customFormat="1" ht="15" customHeight="1" outlineLevel="1">
      <c r="A31" s="60"/>
      <c r="B31" s="70" t="s">
        <v>495</v>
      </c>
      <c r="C31" s="13" t="s">
        <v>240</v>
      </c>
      <c r="D31" s="241"/>
      <c r="E31" s="241">
        <f>'4.10_пр-во_котельн.'!E31+'4.10_транзит_котельн.'!E31+'4.10_сбыт_котельн.'!E31</f>
        <v>0</v>
      </c>
      <c r="F31" s="983"/>
      <c r="G31" s="241">
        <v>0</v>
      </c>
      <c r="H31" s="983">
        <v>0</v>
      </c>
      <c r="I31" s="241">
        <v>0</v>
      </c>
      <c r="J31" s="241">
        <v>0</v>
      </c>
      <c r="K31" s="241">
        <v>0</v>
      </c>
      <c r="L31" s="241">
        <v>0</v>
      </c>
      <c r="M31" s="241">
        <v>0</v>
      </c>
      <c r="N31" s="241">
        <v>0</v>
      </c>
      <c r="O31" s="241">
        <v>0</v>
      </c>
      <c r="P31" s="241">
        <v>0</v>
      </c>
      <c r="Q31" s="241">
        <v>0</v>
      </c>
    </row>
    <row r="32" spans="1:17" s="36" customFormat="1" ht="15" customHeight="1" outlineLevel="1">
      <c r="A32" s="60"/>
      <c r="B32" s="70" t="s">
        <v>496</v>
      </c>
      <c r="C32" s="13" t="s">
        <v>240</v>
      </c>
      <c r="D32" s="241"/>
      <c r="E32" s="241">
        <f>'4.10_пр-во_котельн.'!E32+'4.10_транзит_котельн.'!E32+'4.10_сбыт_котельн.'!E32</f>
        <v>0</v>
      </c>
      <c r="F32" s="983"/>
      <c r="G32" s="241">
        <v>0</v>
      </c>
      <c r="H32" s="983">
        <v>0</v>
      </c>
      <c r="I32" s="241">
        <v>0</v>
      </c>
      <c r="J32" s="241">
        <v>0</v>
      </c>
      <c r="K32" s="241">
        <v>0</v>
      </c>
      <c r="L32" s="241">
        <v>0</v>
      </c>
      <c r="M32" s="241">
        <v>0</v>
      </c>
      <c r="N32" s="241">
        <v>0</v>
      </c>
      <c r="O32" s="241">
        <v>0</v>
      </c>
      <c r="P32" s="241">
        <v>0</v>
      </c>
      <c r="Q32" s="241">
        <v>0</v>
      </c>
    </row>
    <row r="33" spans="1:17" s="36" customFormat="1" ht="15" customHeight="1" outlineLevel="1">
      <c r="A33" s="60"/>
      <c r="B33" s="70" t="s">
        <v>497</v>
      </c>
      <c r="C33" s="13" t="s">
        <v>240</v>
      </c>
      <c r="D33" s="241"/>
      <c r="E33" s="241">
        <f>'4.10_пр-во_котельн.'!E33+'4.10_транзит_котельн.'!E33+'4.10_сбыт_котельн.'!E33</f>
        <v>0</v>
      </c>
      <c r="F33" s="983"/>
      <c r="G33" s="241">
        <v>0</v>
      </c>
      <c r="H33" s="983">
        <v>0</v>
      </c>
      <c r="I33" s="241">
        <v>0</v>
      </c>
      <c r="J33" s="241">
        <v>0</v>
      </c>
      <c r="K33" s="241">
        <v>0</v>
      </c>
      <c r="L33" s="241">
        <v>0</v>
      </c>
      <c r="M33" s="241">
        <v>0</v>
      </c>
      <c r="N33" s="241">
        <v>0</v>
      </c>
      <c r="O33" s="241">
        <v>0</v>
      </c>
      <c r="P33" s="241">
        <v>0</v>
      </c>
      <c r="Q33" s="241">
        <v>0</v>
      </c>
    </row>
    <row r="34" spans="1:17" s="36" customFormat="1" ht="15" customHeight="1" outlineLevel="1">
      <c r="A34" s="60"/>
      <c r="B34" s="68" t="s">
        <v>498</v>
      </c>
      <c r="C34" s="13" t="s">
        <v>240</v>
      </c>
      <c r="D34" s="241"/>
      <c r="E34" s="241">
        <f>'4.10_пр-во_котельн.'!E34+'4.10_транзит_котельн.'!E34+'4.10_сбыт_котельн.'!E34</f>
        <v>0</v>
      </c>
      <c r="F34" s="983"/>
      <c r="G34" s="241">
        <v>0</v>
      </c>
      <c r="H34" s="983">
        <v>0</v>
      </c>
      <c r="I34" s="241">
        <v>0</v>
      </c>
      <c r="J34" s="241">
        <v>0</v>
      </c>
      <c r="K34" s="241">
        <v>0</v>
      </c>
      <c r="L34" s="241">
        <v>0</v>
      </c>
      <c r="M34" s="241">
        <v>0</v>
      </c>
      <c r="N34" s="241">
        <v>0</v>
      </c>
      <c r="O34" s="241">
        <v>0</v>
      </c>
      <c r="P34" s="241">
        <v>0</v>
      </c>
      <c r="Q34" s="241">
        <v>0</v>
      </c>
    </row>
    <row r="35" spans="1:17" s="36" customFormat="1" ht="15" customHeight="1" outlineLevel="1">
      <c r="A35" s="60"/>
      <c r="B35" s="68" t="s">
        <v>499</v>
      </c>
      <c r="C35" s="13" t="s">
        <v>240</v>
      </c>
      <c r="D35" s="241"/>
      <c r="E35" s="241">
        <f>'4.10_пр-во_котельн.'!E35+'4.10_транзит_котельн.'!E35+'4.10_сбыт_котельн.'!E35</f>
        <v>0</v>
      </c>
      <c r="F35" s="983"/>
      <c r="G35" s="241">
        <v>0</v>
      </c>
      <c r="H35" s="983">
        <v>0</v>
      </c>
      <c r="I35" s="241">
        <v>0</v>
      </c>
      <c r="J35" s="241">
        <v>0</v>
      </c>
      <c r="K35" s="241">
        <v>0</v>
      </c>
      <c r="L35" s="241">
        <v>0</v>
      </c>
      <c r="M35" s="241">
        <v>0</v>
      </c>
      <c r="N35" s="241">
        <v>0</v>
      </c>
      <c r="O35" s="241">
        <v>0</v>
      </c>
      <c r="P35" s="241">
        <v>0</v>
      </c>
      <c r="Q35" s="241">
        <v>0</v>
      </c>
    </row>
    <row r="36" spans="1:17" s="36" customFormat="1">
      <c r="A36" s="60"/>
      <c r="B36" s="68"/>
      <c r="C36" s="13"/>
      <c r="D36" s="241"/>
      <c r="E36" s="241"/>
      <c r="F36" s="983"/>
      <c r="G36" s="241"/>
      <c r="H36" s="983"/>
      <c r="I36" s="241"/>
      <c r="J36" s="241"/>
      <c r="K36" s="241"/>
      <c r="L36" s="241"/>
      <c r="M36" s="241"/>
      <c r="N36" s="241"/>
      <c r="O36" s="241"/>
      <c r="P36" s="241"/>
      <c r="Q36" s="241"/>
    </row>
    <row r="37" spans="1:17" s="1001" customFormat="1" ht="28.5">
      <c r="A37" s="82" t="s">
        <v>27</v>
      </c>
      <c r="B37" s="80" t="s">
        <v>501</v>
      </c>
      <c r="C37" s="1002" t="s">
        <v>240</v>
      </c>
      <c r="D37" s="1000">
        <f>'4.10_пр-во_котельн.'!D37+'4.10_транзит_котельн.'!D37+'4.10_сбыт_котельн.'!D37</f>
        <v>0</v>
      </c>
      <c r="E37" s="1000">
        <f>'4.10_пр-во_котельн.'!E37+'4.10_транзит_котельн.'!E37+'4.10_сбыт_котельн.'!E37</f>
        <v>5580.4400000000005</v>
      </c>
      <c r="F37" s="1006">
        <f>'4.10_пр-во_котельн.'!F37+'4.10_транзит_котельн.'!F37+'4.10_сбыт_котельн.'!F37</f>
        <v>0</v>
      </c>
      <c r="G37" s="1000">
        <v>2881</v>
      </c>
      <c r="H37" s="1006">
        <v>0</v>
      </c>
      <c r="I37" s="1000">
        <v>95828</v>
      </c>
      <c r="J37" s="1000">
        <v>0</v>
      </c>
      <c r="K37" s="1000">
        <v>26059</v>
      </c>
      <c r="L37" s="1000">
        <v>3671</v>
      </c>
      <c r="M37" s="1000">
        <v>0</v>
      </c>
      <c r="N37" s="1000">
        <v>3671</v>
      </c>
      <c r="O37" s="1000">
        <v>3652</v>
      </c>
      <c r="P37" s="1000">
        <v>0</v>
      </c>
      <c r="Q37" s="1000">
        <v>3652</v>
      </c>
    </row>
    <row r="38" spans="1:17" s="36" customFormat="1" ht="15" customHeight="1" outlineLevel="1">
      <c r="A38" s="60"/>
      <c r="B38" s="68" t="s">
        <v>487</v>
      </c>
      <c r="C38" s="13" t="s">
        <v>240</v>
      </c>
      <c r="D38" s="241"/>
      <c r="E38" s="241">
        <f>'4.10_пр-во_котельн.'!E38+'4.10_транзит_котельн.'!E38+'4.10_сбыт_котельн.'!E38</f>
        <v>0</v>
      </c>
      <c r="F38" s="983"/>
      <c r="G38" s="241">
        <v>0</v>
      </c>
      <c r="H38" s="983">
        <v>0</v>
      </c>
      <c r="I38" s="241">
        <v>7420</v>
      </c>
      <c r="J38" s="241">
        <v>0</v>
      </c>
      <c r="K38" s="241">
        <v>0</v>
      </c>
      <c r="L38" s="241">
        <v>0</v>
      </c>
      <c r="M38" s="241">
        <v>0</v>
      </c>
      <c r="N38" s="241">
        <v>0</v>
      </c>
      <c r="O38" s="241">
        <v>0</v>
      </c>
      <c r="P38" s="241">
        <v>0</v>
      </c>
      <c r="Q38" s="241">
        <v>0</v>
      </c>
    </row>
    <row r="39" spans="1:17" s="36" customFormat="1" ht="15" customHeight="1" outlineLevel="1">
      <c r="A39" s="60"/>
      <c r="B39" s="68" t="s">
        <v>488</v>
      </c>
      <c r="C39" s="13" t="s">
        <v>240</v>
      </c>
      <c r="D39" s="241"/>
      <c r="E39" s="241">
        <f>'4.10_пр-во_котельн.'!E39+'4.10_транзит_котельн.'!E39+'4.10_сбыт_котельн.'!E39</f>
        <v>0</v>
      </c>
      <c r="F39" s="983"/>
      <c r="G39" s="241">
        <v>0</v>
      </c>
      <c r="H39" s="983">
        <v>0</v>
      </c>
      <c r="I39" s="241">
        <v>522</v>
      </c>
      <c r="J39" s="241">
        <v>0</v>
      </c>
      <c r="K39" s="241">
        <v>0</v>
      </c>
      <c r="L39" s="241">
        <v>0</v>
      </c>
      <c r="M39" s="241">
        <v>0</v>
      </c>
      <c r="N39" s="241">
        <v>0</v>
      </c>
      <c r="O39" s="241">
        <v>0</v>
      </c>
      <c r="P39" s="241">
        <v>0</v>
      </c>
      <c r="Q39" s="241">
        <v>0</v>
      </c>
    </row>
    <row r="40" spans="1:17" s="36" customFormat="1" ht="15" customHeight="1" outlineLevel="1">
      <c r="A40" s="60"/>
      <c r="B40" s="68" t="s">
        <v>489</v>
      </c>
      <c r="C40" s="13" t="s">
        <v>240</v>
      </c>
      <c r="D40" s="241"/>
      <c r="E40" s="241">
        <f>'4.10_пр-во_котельн.'!E40+'4.10_транзит_котельн.'!E40+'4.10_сбыт_котельн.'!E40</f>
        <v>0</v>
      </c>
      <c r="F40" s="983"/>
      <c r="G40" s="241">
        <v>0</v>
      </c>
      <c r="H40" s="983">
        <v>0</v>
      </c>
      <c r="I40" s="241">
        <v>8719</v>
      </c>
      <c r="J40" s="241">
        <v>0</v>
      </c>
      <c r="K40" s="241">
        <v>23249</v>
      </c>
      <c r="L40" s="241">
        <v>1003</v>
      </c>
      <c r="M40" s="241">
        <v>0</v>
      </c>
      <c r="N40" s="241">
        <v>1003</v>
      </c>
      <c r="O40" s="241">
        <v>1017</v>
      </c>
      <c r="P40" s="241">
        <v>0</v>
      </c>
      <c r="Q40" s="241">
        <v>1017</v>
      </c>
    </row>
    <row r="41" spans="1:17" s="36" customFormat="1" ht="15" customHeight="1" outlineLevel="1">
      <c r="A41" s="60"/>
      <c r="B41" s="68" t="s">
        <v>490</v>
      </c>
      <c r="C41" s="13" t="s">
        <v>240</v>
      </c>
      <c r="D41" s="241"/>
      <c r="E41" s="241">
        <f>'4.10_пр-во_котельн.'!E41+'4.10_транзит_котельн.'!E41+'4.10_сбыт_котельн.'!E41</f>
        <v>3524</v>
      </c>
      <c r="F41" s="983"/>
      <c r="G41" s="241">
        <v>2393</v>
      </c>
      <c r="H41" s="983">
        <v>0</v>
      </c>
      <c r="I41" s="241">
        <v>47991</v>
      </c>
      <c r="J41" s="241">
        <v>0</v>
      </c>
      <c r="K41" s="241">
        <v>2810</v>
      </c>
      <c r="L41" s="241">
        <v>1124</v>
      </c>
      <c r="M41" s="241">
        <v>0</v>
      </c>
      <c r="N41" s="241">
        <v>1124</v>
      </c>
      <c r="O41" s="241">
        <v>2635</v>
      </c>
      <c r="P41" s="241">
        <v>0</v>
      </c>
      <c r="Q41" s="241">
        <v>2635</v>
      </c>
    </row>
    <row r="42" spans="1:17" s="36" customFormat="1" ht="15" customHeight="1" outlineLevel="1">
      <c r="A42" s="60"/>
      <c r="B42" s="68" t="s">
        <v>491</v>
      </c>
      <c r="C42" s="13" t="s">
        <v>240</v>
      </c>
      <c r="D42" s="241"/>
      <c r="E42" s="241">
        <f>'4.10_пр-во_котельн.'!E42+'4.10_транзит_котельн.'!E42+'4.10_сбыт_котельн.'!E42</f>
        <v>0</v>
      </c>
      <c r="F42" s="983"/>
      <c r="G42" s="241">
        <v>0</v>
      </c>
      <c r="H42" s="983">
        <v>0</v>
      </c>
      <c r="I42" s="241">
        <v>0</v>
      </c>
      <c r="J42" s="241">
        <v>0</v>
      </c>
      <c r="K42" s="241">
        <v>0</v>
      </c>
      <c r="L42" s="241">
        <v>0</v>
      </c>
      <c r="M42" s="241">
        <v>0</v>
      </c>
      <c r="N42" s="241">
        <v>0</v>
      </c>
      <c r="O42" s="241">
        <v>0</v>
      </c>
      <c r="P42" s="241">
        <v>0</v>
      </c>
      <c r="Q42" s="241">
        <v>0</v>
      </c>
    </row>
    <row r="43" spans="1:17" s="36" customFormat="1" ht="15" customHeight="1" outlineLevel="1">
      <c r="A43" s="60"/>
      <c r="B43" s="70" t="s">
        <v>492</v>
      </c>
      <c r="C43" s="13" t="s">
        <v>240</v>
      </c>
      <c r="D43" s="241"/>
      <c r="E43" s="241">
        <f>'4.10_пр-во_котельн.'!E43+'4.10_транзит_котельн.'!E43+'4.10_сбыт_котельн.'!E43</f>
        <v>0</v>
      </c>
      <c r="F43" s="983"/>
      <c r="G43" s="241">
        <v>0</v>
      </c>
      <c r="H43" s="983">
        <v>0</v>
      </c>
      <c r="I43" s="241">
        <v>0</v>
      </c>
      <c r="J43" s="241">
        <v>0</v>
      </c>
      <c r="K43" s="241">
        <v>0</v>
      </c>
      <c r="L43" s="241">
        <v>0</v>
      </c>
      <c r="M43" s="241">
        <v>0</v>
      </c>
      <c r="N43" s="241">
        <v>0</v>
      </c>
      <c r="O43" s="241">
        <v>0</v>
      </c>
      <c r="P43" s="241">
        <v>0</v>
      </c>
      <c r="Q43" s="241">
        <v>0</v>
      </c>
    </row>
    <row r="44" spans="1:17" s="36" customFormat="1" ht="15" customHeight="1" outlineLevel="1">
      <c r="A44" s="60"/>
      <c r="B44" s="70" t="s">
        <v>493</v>
      </c>
      <c r="C44" s="13" t="s">
        <v>240</v>
      </c>
      <c r="D44" s="241"/>
      <c r="E44" s="241">
        <f>'4.10_пр-во_котельн.'!E44+'4.10_транзит_котельн.'!E44+'4.10_сбыт_котельн.'!E44</f>
        <v>42</v>
      </c>
      <c r="F44" s="983"/>
      <c r="G44" s="241">
        <v>106</v>
      </c>
      <c r="H44" s="983">
        <v>0</v>
      </c>
      <c r="I44" s="241">
        <v>156</v>
      </c>
      <c r="J44" s="241">
        <v>0</v>
      </c>
      <c r="K44" s="241">
        <v>0</v>
      </c>
      <c r="L44" s="241">
        <v>0</v>
      </c>
      <c r="M44" s="241">
        <v>0</v>
      </c>
      <c r="N44" s="241">
        <v>0</v>
      </c>
      <c r="O44" s="241">
        <v>0</v>
      </c>
      <c r="P44" s="241">
        <v>0</v>
      </c>
      <c r="Q44" s="241">
        <v>0</v>
      </c>
    </row>
    <row r="45" spans="1:17" s="36" customFormat="1" ht="15" customHeight="1" outlineLevel="1">
      <c r="A45" s="60"/>
      <c r="B45" s="70" t="s">
        <v>494</v>
      </c>
      <c r="C45" s="13" t="s">
        <v>240</v>
      </c>
      <c r="D45" s="241"/>
      <c r="E45" s="241">
        <f>'4.10_пр-во_котельн.'!E45+'4.10_транзит_котельн.'!E45+'4.10_сбыт_котельн.'!E45</f>
        <v>1517</v>
      </c>
      <c r="F45" s="983"/>
      <c r="G45" s="241">
        <v>320</v>
      </c>
      <c r="H45" s="983">
        <v>0</v>
      </c>
      <c r="I45" s="241">
        <v>369</v>
      </c>
      <c r="J45" s="241">
        <v>0</v>
      </c>
      <c r="K45" s="241">
        <v>0</v>
      </c>
      <c r="L45" s="241">
        <v>0</v>
      </c>
      <c r="M45" s="241">
        <v>0</v>
      </c>
      <c r="N45" s="241">
        <v>0</v>
      </c>
      <c r="O45" s="241">
        <v>0</v>
      </c>
      <c r="P45" s="241">
        <v>0</v>
      </c>
      <c r="Q45" s="241">
        <v>0</v>
      </c>
    </row>
    <row r="46" spans="1:17" s="36" customFormat="1" ht="15" customHeight="1" outlineLevel="1">
      <c r="A46" s="60"/>
      <c r="B46" s="70" t="s">
        <v>495</v>
      </c>
      <c r="C46" s="13" t="s">
        <v>240</v>
      </c>
      <c r="D46" s="241"/>
      <c r="E46" s="241">
        <f>'4.10_пр-во_котельн.'!E46+'4.10_транзит_котельн.'!E46+'4.10_сбыт_котельн.'!E46</f>
        <v>1965</v>
      </c>
      <c r="F46" s="983"/>
      <c r="G46" s="241">
        <v>1967</v>
      </c>
      <c r="H46" s="983">
        <v>0</v>
      </c>
      <c r="I46" s="241">
        <v>47466</v>
      </c>
      <c r="J46" s="241">
        <v>0</v>
      </c>
      <c r="K46" s="241">
        <v>2810</v>
      </c>
      <c r="L46" s="241">
        <v>1124</v>
      </c>
      <c r="M46" s="241">
        <v>0</v>
      </c>
      <c r="N46" s="241">
        <v>1124</v>
      </c>
      <c r="O46" s="241">
        <v>2635</v>
      </c>
      <c r="P46" s="241">
        <v>0</v>
      </c>
      <c r="Q46" s="241">
        <v>2635</v>
      </c>
    </row>
    <row r="47" spans="1:17" s="36" customFormat="1" ht="15" customHeight="1" outlineLevel="1">
      <c r="A47" s="60"/>
      <c r="B47" s="70" t="s">
        <v>496</v>
      </c>
      <c r="C47" s="13" t="s">
        <v>240</v>
      </c>
      <c r="D47" s="241"/>
      <c r="E47" s="241">
        <f>'4.10_пр-во_котельн.'!E47+'4.10_транзит_котельн.'!E47+'4.10_сбыт_котельн.'!E47</f>
        <v>100</v>
      </c>
      <c r="F47" s="983"/>
      <c r="G47" s="241">
        <v>0</v>
      </c>
      <c r="H47" s="983">
        <v>0</v>
      </c>
      <c r="I47" s="241">
        <v>1660</v>
      </c>
      <c r="J47" s="241">
        <v>0</v>
      </c>
      <c r="K47" s="241">
        <v>0</v>
      </c>
      <c r="L47" s="241">
        <v>1544</v>
      </c>
      <c r="M47" s="241">
        <v>0</v>
      </c>
      <c r="N47" s="241">
        <v>1544</v>
      </c>
      <c r="O47" s="241">
        <v>0</v>
      </c>
      <c r="P47" s="241">
        <v>0</v>
      </c>
      <c r="Q47" s="241">
        <v>0</v>
      </c>
    </row>
    <row r="48" spans="1:17" s="36" customFormat="1" ht="15" customHeight="1" outlineLevel="1">
      <c r="A48" s="60"/>
      <c r="B48" s="70" t="s">
        <v>497</v>
      </c>
      <c r="C48" s="13" t="s">
        <v>240</v>
      </c>
      <c r="D48" s="241"/>
      <c r="E48" s="241">
        <f>'4.10_пр-во_котельн.'!E48+'4.10_транзит_котельн.'!E48+'4.10_сбыт_котельн.'!E48</f>
        <v>0</v>
      </c>
      <c r="F48" s="983"/>
      <c r="G48" s="241">
        <v>0</v>
      </c>
      <c r="H48" s="983">
        <v>0</v>
      </c>
      <c r="I48" s="241">
        <v>0</v>
      </c>
      <c r="J48" s="241">
        <v>0</v>
      </c>
      <c r="K48" s="241">
        <v>0</v>
      </c>
      <c r="L48" s="241">
        <v>0</v>
      </c>
      <c r="M48" s="241">
        <v>0</v>
      </c>
      <c r="N48" s="241">
        <v>0</v>
      </c>
      <c r="O48" s="241">
        <v>0</v>
      </c>
      <c r="P48" s="241">
        <v>0</v>
      </c>
      <c r="Q48" s="241">
        <v>0</v>
      </c>
    </row>
    <row r="49" spans="1:17" s="36" customFormat="1" ht="15" customHeight="1" outlineLevel="1">
      <c r="A49" s="60"/>
      <c r="B49" s="68" t="s">
        <v>498</v>
      </c>
      <c r="C49" s="13" t="s">
        <v>240</v>
      </c>
      <c r="D49" s="241"/>
      <c r="E49" s="241">
        <f>'4.10_пр-во_котельн.'!E49+'4.10_транзит_котельн.'!E49+'4.10_сбыт_котельн.'!E49</f>
        <v>1956.44</v>
      </c>
      <c r="F49" s="983"/>
      <c r="G49" s="241">
        <v>144</v>
      </c>
      <c r="H49" s="983">
        <v>0</v>
      </c>
      <c r="I49" s="241">
        <v>0</v>
      </c>
      <c r="J49" s="241">
        <v>0</v>
      </c>
      <c r="K49" s="241">
        <v>0</v>
      </c>
      <c r="L49" s="241">
        <v>0</v>
      </c>
      <c r="M49" s="241">
        <v>0</v>
      </c>
      <c r="N49" s="241">
        <v>0</v>
      </c>
      <c r="O49" s="241">
        <v>0</v>
      </c>
      <c r="P49" s="241">
        <v>0</v>
      </c>
      <c r="Q49" s="241">
        <v>0</v>
      </c>
    </row>
    <row r="50" spans="1:17" s="36" customFormat="1" ht="15" customHeight="1" outlineLevel="1">
      <c r="A50" s="60"/>
      <c r="B50" s="68" t="s">
        <v>499</v>
      </c>
      <c r="C50" s="13" t="s">
        <v>240</v>
      </c>
      <c r="D50" s="241"/>
      <c r="E50" s="241">
        <f>'4.10_пр-во_котельн.'!E50+'4.10_транзит_котельн.'!E50+'4.10_сбыт_котельн.'!E50</f>
        <v>0</v>
      </c>
      <c r="F50" s="983"/>
      <c r="G50" s="241">
        <v>344</v>
      </c>
      <c r="H50" s="983">
        <v>0</v>
      </c>
      <c r="I50" s="241">
        <v>29516</v>
      </c>
      <c r="J50" s="241">
        <v>0</v>
      </c>
      <c r="K50" s="241">
        <v>0</v>
      </c>
      <c r="L50" s="241">
        <v>0</v>
      </c>
      <c r="M50" s="241">
        <v>0</v>
      </c>
      <c r="N50" s="241">
        <v>0</v>
      </c>
      <c r="O50" s="241">
        <v>0</v>
      </c>
      <c r="P50" s="241">
        <v>0</v>
      </c>
      <c r="Q50" s="241">
        <v>0</v>
      </c>
    </row>
    <row r="51" spans="1:17" s="36" customFormat="1">
      <c r="A51" s="60"/>
      <c r="B51" s="68"/>
      <c r="C51" s="13"/>
      <c r="D51" s="241"/>
      <c r="E51" s="241"/>
      <c r="F51" s="983"/>
      <c r="G51" s="241"/>
      <c r="H51" s="983"/>
      <c r="I51" s="241"/>
      <c r="J51" s="241"/>
      <c r="K51" s="241"/>
      <c r="L51" s="241"/>
      <c r="M51" s="241"/>
      <c r="N51" s="241"/>
      <c r="O51" s="241"/>
      <c r="P51" s="241"/>
      <c r="Q51" s="241"/>
    </row>
    <row r="52" spans="1:17" s="1001" customFormat="1" ht="15" customHeight="1">
      <c r="A52" s="82" t="s">
        <v>30</v>
      </c>
      <c r="B52" s="80" t="s">
        <v>502</v>
      </c>
      <c r="C52" s="999" t="s">
        <v>240</v>
      </c>
      <c r="D52" s="1000">
        <f>'4.10_пр-во_котельн.'!D52+'4.10_транзит_котельн.'!D52+'4.10_сбыт_котельн.'!D52</f>
        <v>0</v>
      </c>
      <c r="E52" s="1000">
        <f>'4.10_пр-во_котельн.'!E52+'4.10_транзит_котельн.'!E52+'4.10_сбыт_котельн.'!E52</f>
        <v>3801.5</v>
      </c>
      <c r="F52" s="1006">
        <f>'4.10_пр-во_котельн.'!F52+'4.10_транзит_котельн.'!F52+'4.10_сбыт_котельн.'!F52</f>
        <v>0</v>
      </c>
      <c r="G52" s="1000">
        <v>71207.230850093169</v>
      </c>
      <c r="H52" s="1006">
        <v>0</v>
      </c>
      <c r="I52" s="1000">
        <v>21524</v>
      </c>
      <c r="J52" s="1000">
        <v>0</v>
      </c>
      <c r="K52" s="1000">
        <v>22064</v>
      </c>
      <c r="L52" s="1000">
        <v>0</v>
      </c>
      <c r="M52" s="1000">
        <v>0</v>
      </c>
      <c r="N52" s="1000">
        <v>0</v>
      </c>
      <c r="O52" s="1000">
        <v>0</v>
      </c>
      <c r="P52" s="1000">
        <v>0</v>
      </c>
      <c r="Q52" s="1000">
        <v>0</v>
      </c>
    </row>
    <row r="53" spans="1:17" s="36" customFormat="1" ht="15" customHeight="1" outlineLevel="1">
      <c r="A53" s="60"/>
      <c r="B53" s="68" t="s">
        <v>487</v>
      </c>
      <c r="C53" s="13" t="s">
        <v>240</v>
      </c>
      <c r="D53" s="241"/>
      <c r="E53" s="241">
        <f>'4.10_пр-во_котельн.'!E53+'4.10_транзит_котельн.'!E53+'4.10_сбыт_котельн.'!E53</f>
        <v>0</v>
      </c>
      <c r="F53" s="983"/>
      <c r="G53" s="241">
        <v>69392</v>
      </c>
      <c r="H53" s="983">
        <v>0</v>
      </c>
      <c r="I53" s="241">
        <v>13915</v>
      </c>
      <c r="J53" s="241">
        <v>0</v>
      </c>
      <c r="K53" s="241">
        <v>0</v>
      </c>
      <c r="L53" s="241">
        <v>0</v>
      </c>
      <c r="M53" s="241">
        <v>0</v>
      </c>
      <c r="N53" s="241">
        <v>0</v>
      </c>
      <c r="O53" s="241">
        <v>0</v>
      </c>
      <c r="P53" s="241">
        <v>0</v>
      </c>
      <c r="Q53" s="241">
        <v>0</v>
      </c>
    </row>
    <row r="54" spans="1:17" s="36" customFormat="1" ht="15" customHeight="1" outlineLevel="1">
      <c r="A54" s="60"/>
      <c r="B54" s="68" t="s">
        <v>488</v>
      </c>
      <c r="C54" s="13" t="s">
        <v>240</v>
      </c>
      <c r="D54" s="241"/>
      <c r="E54" s="241">
        <f>'4.10_пр-во_котельн.'!E54+'4.10_транзит_котельн.'!E54+'4.10_сбыт_котельн.'!E54</f>
        <v>162</v>
      </c>
      <c r="F54" s="983"/>
      <c r="G54" s="241">
        <v>113.40059838045643</v>
      </c>
      <c r="H54" s="983">
        <v>0</v>
      </c>
      <c r="I54" s="241">
        <v>0</v>
      </c>
      <c r="J54" s="241">
        <v>0</v>
      </c>
      <c r="K54" s="241">
        <v>0</v>
      </c>
      <c r="L54" s="241">
        <v>0</v>
      </c>
      <c r="M54" s="241">
        <v>0</v>
      </c>
      <c r="N54" s="241">
        <v>0</v>
      </c>
      <c r="O54" s="241">
        <v>0</v>
      </c>
      <c r="P54" s="241">
        <v>0</v>
      </c>
      <c r="Q54" s="241">
        <v>0</v>
      </c>
    </row>
    <row r="55" spans="1:17" s="36" customFormat="1" ht="15" customHeight="1" outlineLevel="1">
      <c r="A55" s="60"/>
      <c r="B55" s="68" t="s">
        <v>489</v>
      </c>
      <c r="C55" s="13" t="s">
        <v>240</v>
      </c>
      <c r="D55" s="241"/>
      <c r="E55" s="241">
        <f>'4.10_пр-во_котельн.'!E55+'4.10_транзит_котельн.'!E55+'4.10_сбыт_котельн.'!E55</f>
        <v>0</v>
      </c>
      <c r="F55" s="983"/>
      <c r="G55" s="241">
        <v>0</v>
      </c>
      <c r="H55" s="983">
        <v>0</v>
      </c>
      <c r="I55" s="241">
        <v>0</v>
      </c>
      <c r="J55" s="241">
        <v>0</v>
      </c>
      <c r="K55" s="241">
        <v>0</v>
      </c>
      <c r="L55" s="241">
        <v>0</v>
      </c>
      <c r="M55" s="241">
        <v>0</v>
      </c>
      <c r="N55" s="241">
        <v>0</v>
      </c>
      <c r="O55" s="241">
        <v>0</v>
      </c>
      <c r="P55" s="241">
        <v>0</v>
      </c>
      <c r="Q55" s="241">
        <v>0</v>
      </c>
    </row>
    <row r="56" spans="1:17" s="36" customFormat="1" ht="15" customHeight="1" outlineLevel="1">
      <c r="A56" s="60"/>
      <c r="B56" s="68" t="s">
        <v>490</v>
      </c>
      <c r="C56" s="13" t="s">
        <v>240</v>
      </c>
      <c r="D56" s="241"/>
      <c r="E56" s="241">
        <f>'4.10_пр-во_котельн.'!E56+'4.10_транзит_котельн.'!E56+'4.10_сбыт_котельн.'!E56</f>
        <v>784</v>
      </c>
      <c r="F56" s="983"/>
      <c r="G56" s="241">
        <v>1526.298351565991</v>
      </c>
      <c r="H56" s="983">
        <v>0</v>
      </c>
      <c r="I56" s="241">
        <v>139</v>
      </c>
      <c r="J56" s="241">
        <v>0</v>
      </c>
      <c r="K56" s="241">
        <v>0</v>
      </c>
      <c r="L56" s="241">
        <v>0</v>
      </c>
      <c r="M56" s="241">
        <v>0</v>
      </c>
      <c r="N56" s="241">
        <v>0</v>
      </c>
      <c r="O56" s="241">
        <v>0</v>
      </c>
      <c r="P56" s="241">
        <v>0</v>
      </c>
      <c r="Q56" s="241">
        <v>0</v>
      </c>
    </row>
    <row r="57" spans="1:17" s="36" customFormat="1" ht="15" customHeight="1" outlineLevel="1">
      <c r="A57" s="60"/>
      <c r="B57" s="68" t="s">
        <v>491</v>
      </c>
      <c r="C57" s="13" t="s">
        <v>240</v>
      </c>
      <c r="D57" s="241"/>
      <c r="E57" s="241">
        <f>'4.10_пр-во_котельн.'!E57+'4.10_транзит_котельн.'!E57+'4.10_сбыт_котельн.'!E57</f>
        <v>0</v>
      </c>
      <c r="F57" s="983"/>
      <c r="G57" s="241">
        <v>0</v>
      </c>
      <c r="H57" s="983">
        <v>0</v>
      </c>
      <c r="I57" s="241">
        <v>0</v>
      </c>
      <c r="J57" s="241">
        <v>0</v>
      </c>
      <c r="K57" s="241">
        <v>0</v>
      </c>
      <c r="L57" s="241">
        <v>0</v>
      </c>
      <c r="M57" s="241">
        <v>0</v>
      </c>
      <c r="N57" s="241">
        <v>0</v>
      </c>
      <c r="O57" s="241">
        <v>0</v>
      </c>
      <c r="P57" s="241">
        <v>0</v>
      </c>
      <c r="Q57" s="241">
        <v>0</v>
      </c>
    </row>
    <row r="58" spans="1:17" s="36" customFormat="1" ht="15" customHeight="1" outlineLevel="1">
      <c r="A58" s="60"/>
      <c r="B58" s="70" t="s">
        <v>492</v>
      </c>
      <c r="C58" s="13" t="s">
        <v>240</v>
      </c>
      <c r="D58" s="241"/>
      <c r="E58" s="241">
        <f>'4.10_пр-во_котельн.'!E58+'4.10_транзит_котельн.'!E58+'4.10_сбыт_котельн.'!E58</f>
        <v>0</v>
      </c>
      <c r="F58" s="983"/>
      <c r="G58" s="241">
        <v>0</v>
      </c>
      <c r="H58" s="983">
        <v>0</v>
      </c>
      <c r="I58" s="241">
        <v>0</v>
      </c>
      <c r="J58" s="241">
        <v>0</v>
      </c>
      <c r="K58" s="241">
        <v>0</v>
      </c>
      <c r="L58" s="241">
        <v>0</v>
      </c>
      <c r="M58" s="241">
        <v>0</v>
      </c>
      <c r="N58" s="241">
        <v>0</v>
      </c>
      <c r="O58" s="241">
        <v>0</v>
      </c>
      <c r="P58" s="241">
        <v>0</v>
      </c>
      <c r="Q58" s="241">
        <v>0</v>
      </c>
    </row>
    <row r="59" spans="1:17" s="36" customFormat="1" ht="15" customHeight="1" outlineLevel="1">
      <c r="A59" s="60"/>
      <c r="B59" s="70" t="s">
        <v>493</v>
      </c>
      <c r="C59" s="13" t="s">
        <v>240</v>
      </c>
      <c r="D59" s="241"/>
      <c r="E59" s="241">
        <f>'4.10_пр-во_котельн.'!E59+'4.10_транзит_котельн.'!E59+'4.10_сбыт_котельн.'!E59</f>
        <v>0</v>
      </c>
      <c r="F59" s="983"/>
      <c r="G59" s="241">
        <v>0</v>
      </c>
      <c r="H59" s="983">
        <v>0</v>
      </c>
      <c r="I59" s="241">
        <v>0</v>
      </c>
      <c r="J59" s="241">
        <v>0</v>
      </c>
      <c r="K59" s="241">
        <v>0</v>
      </c>
      <c r="L59" s="241">
        <v>0</v>
      </c>
      <c r="M59" s="241">
        <v>0</v>
      </c>
      <c r="N59" s="241">
        <v>0</v>
      </c>
      <c r="O59" s="241">
        <v>0</v>
      </c>
      <c r="P59" s="241">
        <v>0</v>
      </c>
      <c r="Q59" s="241">
        <v>0</v>
      </c>
    </row>
    <row r="60" spans="1:17" s="36" customFormat="1" ht="15" customHeight="1" outlineLevel="1">
      <c r="A60" s="60"/>
      <c r="B60" s="70" t="s">
        <v>494</v>
      </c>
      <c r="C60" s="13" t="s">
        <v>240</v>
      </c>
      <c r="D60" s="241"/>
      <c r="E60" s="241">
        <f>'4.10_пр-во_котельн.'!E60+'4.10_транзит_котельн.'!E60+'4.10_сбыт_котельн.'!E60</f>
        <v>715</v>
      </c>
      <c r="F60" s="983"/>
      <c r="G60" s="241">
        <v>336.68143056826386</v>
      </c>
      <c r="H60" s="983">
        <v>0</v>
      </c>
      <c r="I60" s="241">
        <v>96</v>
      </c>
      <c r="J60" s="241">
        <v>0</v>
      </c>
      <c r="K60" s="241">
        <v>0</v>
      </c>
      <c r="L60" s="241">
        <v>0</v>
      </c>
      <c r="M60" s="241">
        <v>0</v>
      </c>
      <c r="N60" s="241">
        <v>0</v>
      </c>
      <c r="O60" s="241">
        <v>0</v>
      </c>
      <c r="P60" s="241">
        <v>0</v>
      </c>
      <c r="Q60" s="241">
        <v>0</v>
      </c>
    </row>
    <row r="61" spans="1:17" s="36" customFormat="1" ht="15" customHeight="1" outlineLevel="1">
      <c r="A61" s="60"/>
      <c r="B61" s="70" t="s">
        <v>495</v>
      </c>
      <c r="C61" s="13" t="s">
        <v>240</v>
      </c>
      <c r="D61" s="241"/>
      <c r="E61" s="241">
        <f>'4.10_пр-во_котельн.'!E61+'4.10_транзит_котельн.'!E61+'4.10_сбыт_котельн.'!E61</f>
        <v>69</v>
      </c>
      <c r="F61" s="983"/>
      <c r="G61" s="241">
        <v>1189.616920997727</v>
      </c>
      <c r="H61" s="983">
        <v>0</v>
      </c>
      <c r="I61" s="241">
        <v>43</v>
      </c>
      <c r="J61" s="241">
        <v>0</v>
      </c>
      <c r="K61" s="241">
        <v>0</v>
      </c>
      <c r="L61" s="241">
        <v>0</v>
      </c>
      <c r="M61" s="241">
        <v>0</v>
      </c>
      <c r="N61" s="241">
        <v>0</v>
      </c>
      <c r="O61" s="241">
        <v>0</v>
      </c>
      <c r="P61" s="241">
        <v>0</v>
      </c>
      <c r="Q61" s="241">
        <v>0</v>
      </c>
    </row>
    <row r="62" spans="1:17" s="36" customFormat="1" ht="15" customHeight="1" outlineLevel="1">
      <c r="A62" s="60"/>
      <c r="B62" s="70" t="s">
        <v>496</v>
      </c>
      <c r="C62" s="13" t="s">
        <v>240</v>
      </c>
      <c r="D62" s="241"/>
      <c r="E62" s="241">
        <f>'4.10_пр-во_котельн.'!E62+'4.10_транзит_котельн.'!E62+'4.10_сбыт_котельн.'!E62</f>
        <v>32</v>
      </c>
      <c r="F62" s="983"/>
      <c r="G62" s="241">
        <v>0</v>
      </c>
      <c r="H62" s="983">
        <v>0</v>
      </c>
      <c r="I62" s="241">
        <v>0</v>
      </c>
      <c r="J62" s="241">
        <v>0</v>
      </c>
      <c r="K62" s="241">
        <v>0</v>
      </c>
      <c r="L62" s="241">
        <v>0</v>
      </c>
      <c r="M62" s="241">
        <v>0</v>
      </c>
      <c r="N62" s="241">
        <v>0</v>
      </c>
      <c r="O62" s="241">
        <v>0</v>
      </c>
      <c r="P62" s="241">
        <v>0</v>
      </c>
      <c r="Q62" s="241">
        <v>0</v>
      </c>
    </row>
    <row r="63" spans="1:17" s="36" customFormat="1" ht="15" customHeight="1" outlineLevel="1">
      <c r="A63" s="60"/>
      <c r="B63" s="70" t="s">
        <v>497</v>
      </c>
      <c r="C63" s="13" t="s">
        <v>240</v>
      </c>
      <c r="D63" s="241"/>
      <c r="E63" s="241">
        <f>'4.10_пр-во_котельн.'!E63+'4.10_транзит_котельн.'!E63+'4.10_сбыт_котельн.'!E63</f>
        <v>0</v>
      </c>
      <c r="F63" s="983"/>
      <c r="G63" s="241">
        <v>0</v>
      </c>
      <c r="H63" s="983">
        <v>0</v>
      </c>
      <c r="I63" s="241">
        <v>0</v>
      </c>
      <c r="J63" s="241">
        <v>0</v>
      </c>
      <c r="K63" s="241">
        <v>0</v>
      </c>
      <c r="L63" s="241">
        <v>0</v>
      </c>
      <c r="M63" s="241">
        <v>0</v>
      </c>
      <c r="N63" s="241">
        <v>0</v>
      </c>
      <c r="O63" s="241">
        <v>0</v>
      </c>
      <c r="P63" s="241">
        <v>0</v>
      </c>
      <c r="Q63" s="241">
        <v>0</v>
      </c>
    </row>
    <row r="64" spans="1:17" s="36" customFormat="1" ht="15" customHeight="1" outlineLevel="1">
      <c r="A64" s="60"/>
      <c r="B64" s="68" t="s">
        <v>498</v>
      </c>
      <c r="C64" s="13" t="s">
        <v>240</v>
      </c>
      <c r="D64" s="241"/>
      <c r="E64" s="241">
        <f>'4.10_пр-во_котельн.'!E64+'4.10_транзит_котельн.'!E64+'4.10_сбыт_котельн.'!E64</f>
        <v>2823.5</v>
      </c>
      <c r="F64" s="983"/>
      <c r="G64" s="241">
        <v>94.457134935954912</v>
      </c>
      <c r="H64" s="983">
        <v>0</v>
      </c>
      <c r="I64" s="241">
        <v>18</v>
      </c>
      <c r="J64" s="241">
        <v>0</v>
      </c>
      <c r="K64" s="241">
        <v>0</v>
      </c>
      <c r="L64" s="241">
        <v>0</v>
      </c>
      <c r="M64" s="241">
        <v>0</v>
      </c>
      <c r="N64" s="241">
        <v>0</v>
      </c>
      <c r="O64" s="241">
        <v>0</v>
      </c>
      <c r="P64" s="241">
        <v>0</v>
      </c>
      <c r="Q64" s="241">
        <v>0</v>
      </c>
    </row>
    <row r="65" spans="1:17" s="36" customFormat="1" ht="15" customHeight="1" outlineLevel="1">
      <c r="A65" s="60"/>
      <c r="B65" s="68" t="s">
        <v>499</v>
      </c>
      <c r="C65" s="13" t="s">
        <v>240</v>
      </c>
      <c r="D65" s="241"/>
      <c r="E65" s="241">
        <f>'4.10_пр-во_котельн.'!E65+'4.10_транзит_котельн.'!E65+'4.10_сбыт_котельн.'!E65</f>
        <v>0</v>
      </c>
      <c r="F65" s="983"/>
      <c r="G65" s="241"/>
      <c r="H65" s="983"/>
      <c r="I65" s="241"/>
      <c r="J65" s="241"/>
      <c r="K65" s="241"/>
      <c r="L65" s="241"/>
      <c r="M65" s="241"/>
      <c r="N65" s="241"/>
      <c r="O65" s="241"/>
      <c r="P65" s="241"/>
      <c r="Q65" s="241"/>
    </row>
    <row r="66" spans="1:17" s="36" customFormat="1">
      <c r="A66" s="60"/>
      <c r="B66" s="68"/>
      <c r="C66" s="13"/>
      <c r="D66" s="241"/>
      <c r="E66" s="241"/>
      <c r="F66" s="983"/>
      <c r="G66" s="241"/>
      <c r="H66" s="983"/>
      <c r="I66" s="241"/>
      <c r="J66" s="241"/>
      <c r="K66" s="241"/>
      <c r="L66" s="241"/>
      <c r="M66" s="241"/>
      <c r="N66" s="241"/>
      <c r="O66" s="241"/>
      <c r="P66" s="241"/>
      <c r="Q66" s="241"/>
    </row>
    <row r="67" spans="1:17" s="1001" customFormat="1" ht="30" customHeight="1">
      <c r="A67" s="82" t="s">
        <v>78</v>
      </c>
      <c r="B67" s="80" t="s">
        <v>503</v>
      </c>
      <c r="C67" s="1002" t="s">
        <v>240</v>
      </c>
      <c r="D67" s="1000">
        <f>'4.10_пр-во_котельн.'!D67+'4.10_транзит_котельн.'!D67+'4.10_сбыт_котельн.'!D67</f>
        <v>14348</v>
      </c>
      <c r="E67" s="1000">
        <f>'4.10_пр-во_котельн.'!E67+'4.10_транзит_котельн.'!E67+'4.10_сбыт_котельн.'!E67</f>
        <v>33083</v>
      </c>
      <c r="F67" s="1006">
        <f>'4.10_пр-во_котельн.'!F67+'4.10_транзит_котельн.'!F67+'4.10_сбыт_котельн.'!F67</f>
        <v>29012</v>
      </c>
      <c r="G67" s="1000">
        <v>42451.473998879592</v>
      </c>
      <c r="H67" s="1006">
        <v>27630.821599999999</v>
      </c>
      <c r="I67" s="1000">
        <v>41973</v>
      </c>
      <c r="J67" s="1000">
        <v>0</v>
      </c>
      <c r="K67" s="1000">
        <v>120163</v>
      </c>
      <c r="L67" s="1000">
        <v>114738</v>
      </c>
      <c r="M67" s="1000">
        <v>113565</v>
      </c>
      <c r="N67" s="1000">
        <v>115913</v>
      </c>
      <c r="O67" s="1000">
        <v>118021</v>
      </c>
      <c r="P67" s="1000">
        <v>117235</v>
      </c>
      <c r="Q67" s="1000">
        <v>118807</v>
      </c>
    </row>
    <row r="68" spans="1:17" s="36" customFormat="1" ht="15" customHeight="1" outlineLevel="1">
      <c r="A68" s="60"/>
      <c r="B68" s="68" t="s">
        <v>487</v>
      </c>
      <c r="C68" s="13" t="s">
        <v>240</v>
      </c>
      <c r="D68" s="241"/>
      <c r="E68" s="241">
        <f>'4.10_пр-во_котельн.'!E68+'4.10_транзит_котельн.'!E68+'4.10_сбыт_котельн.'!E68</f>
        <v>12621</v>
      </c>
      <c r="F68" s="983"/>
      <c r="G68" s="241">
        <v>24643.761353758186</v>
      </c>
      <c r="H68" s="983">
        <v>0</v>
      </c>
      <c r="I68" s="241">
        <v>9999</v>
      </c>
      <c r="J68" s="241">
        <v>0</v>
      </c>
      <c r="K68" s="241">
        <v>9573</v>
      </c>
      <c r="L68" s="241">
        <v>9573</v>
      </c>
      <c r="M68" s="241">
        <v>9573</v>
      </c>
      <c r="N68" s="241">
        <v>9573</v>
      </c>
      <c r="O68" s="241">
        <v>9573</v>
      </c>
      <c r="P68" s="241">
        <v>9573</v>
      </c>
      <c r="Q68" s="241">
        <v>9573</v>
      </c>
    </row>
    <row r="69" spans="1:17" s="36" customFormat="1" ht="15" customHeight="1" outlineLevel="1">
      <c r="A69" s="60"/>
      <c r="B69" s="68" t="s">
        <v>488</v>
      </c>
      <c r="C69" s="13" t="s">
        <v>240</v>
      </c>
      <c r="D69" s="241"/>
      <c r="E69" s="241">
        <f>'4.10_пр-во_котельн.'!E69+'4.10_транзит_котельн.'!E69+'4.10_сбыт_котельн.'!E69</f>
        <v>1105</v>
      </c>
      <c r="F69" s="983"/>
      <c r="G69" s="241">
        <v>118.29702320010819</v>
      </c>
      <c r="H69" s="983">
        <v>0</v>
      </c>
      <c r="I69" s="241">
        <v>216</v>
      </c>
      <c r="J69" s="241">
        <v>0</v>
      </c>
      <c r="K69" s="241">
        <v>716</v>
      </c>
      <c r="L69" s="241">
        <v>717</v>
      </c>
      <c r="M69" s="241">
        <v>717</v>
      </c>
      <c r="N69" s="241">
        <v>717</v>
      </c>
      <c r="O69" s="241">
        <v>716</v>
      </c>
      <c r="P69" s="241">
        <v>716</v>
      </c>
      <c r="Q69" s="241">
        <v>716</v>
      </c>
    </row>
    <row r="70" spans="1:17" s="36" customFormat="1" ht="15" customHeight="1" outlineLevel="1">
      <c r="A70" s="60"/>
      <c r="B70" s="68" t="s">
        <v>489</v>
      </c>
      <c r="C70" s="13" t="s">
        <v>240</v>
      </c>
      <c r="D70" s="241"/>
      <c r="E70" s="241">
        <f>'4.10_пр-во_котельн.'!E70+'4.10_транзит_котельн.'!E70+'4.10_сбыт_котельн.'!E70</f>
        <v>0</v>
      </c>
      <c r="F70" s="983"/>
      <c r="G70" s="241">
        <v>0</v>
      </c>
      <c r="H70" s="983">
        <v>0</v>
      </c>
      <c r="I70" s="241">
        <v>363</v>
      </c>
      <c r="J70" s="241">
        <v>0</v>
      </c>
      <c r="K70" s="241">
        <v>18354</v>
      </c>
      <c r="L70" s="241">
        <v>32177</v>
      </c>
      <c r="M70" s="241">
        <v>31968</v>
      </c>
      <c r="N70" s="241">
        <v>32386</v>
      </c>
      <c r="O70" s="241">
        <v>33183</v>
      </c>
      <c r="P70" s="241">
        <v>32971</v>
      </c>
      <c r="Q70" s="241">
        <v>33395</v>
      </c>
    </row>
    <row r="71" spans="1:17" s="36" customFormat="1" ht="15" customHeight="1" outlineLevel="1">
      <c r="A71" s="60"/>
      <c r="B71" s="68" t="s">
        <v>490</v>
      </c>
      <c r="C71" s="13" t="s">
        <v>240</v>
      </c>
      <c r="D71" s="241"/>
      <c r="E71" s="241">
        <f>'4.10_пр-во_котельн.'!E71+'4.10_транзит_котельн.'!E71+'4.10_сбыт_котельн.'!E71</f>
        <v>13636</v>
      </c>
      <c r="F71" s="983"/>
      <c r="G71" s="241">
        <v>11973.688633685553</v>
      </c>
      <c r="H71" s="983">
        <v>0</v>
      </c>
      <c r="I71" s="241">
        <v>15969</v>
      </c>
      <c r="J71" s="241">
        <v>0</v>
      </c>
      <c r="K71" s="241">
        <v>63084</v>
      </c>
      <c r="L71" s="241">
        <v>64402</v>
      </c>
      <c r="M71" s="241">
        <v>64017</v>
      </c>
      <c r="N71" s="241">
        <v>64789</v>
      </c>
      <c r="O71" s="241">
        <v>65715</v>
      </c>
      <c r="P71" s="241">
        <v>65141</v>
      </c>
      <c r="Q71" s="241">
        <v>66289</v>
      </c>
    </row>
    <row r="72" spans="1:17" s="36" customFormat="1" ht="15" customHeight="1" outlineLevel="1">
      <c r="A72" s="60"/>
      <c r="B72" s="68" t="s">
        <v>491</v>
      </c>
      <c r="C72" s="13" t="s">
        <v>240</v>
      </c>
      <c r="D72" s="241"/>
      <c r="E72" s="241">
        <f>'4.10_пр-во_котельн.'!E72+'4.10_транзит_котельн.'!E72+'4.10_сбыт_котельн.'!E72</f>
        <v>0</v>
      </c>
      <c r="F72" s="983"/>
      <c r="G72" s="241">
        <v>0</v>
      </c>
      <c r="H72" s="983">
        <v>0</v>
      </c>
      <c r="I72" s="241">
        <v>0</v>
      </c>
      <c r="J72" s="241">
        <v>0</v>
      </c>
      <c r="K72" s="241">
        <v>0</v>
      </c>
      <c r="L72" s="241">
        <v>0</v>
      </c>
      <c r="M72" s="241">
        <v>0</v>
      </c>
      <c r="N72" s="241">
        <v>0</v>
      </c>
      <c r="O72" s="241">
        <v>0</v>
      </c>
      <c r="P72" s="241">
        <v>0</v>
      </c>
      <c r="Q72" s="241">
        <v>0</v>
      </c>
    </row>
    <row r="73" spans="1:17" s="36" customFormat="1" ht="15" customHeight="1" outlineLevel="1">
      <c r="A73" s="60"/>
      <c r="B73" s="70" t="s">
        <v>492</v>
      </c>
      <c r="C73" s="13" t="s">
        <v>240</v>
      </c>
      <c r="D73" s="241"/>
      <c r="E73" s="241">
        <f>'4.10_пр-во_котельн.'!E73+'4.10_транзит_котельн.'!E73+'4.10_сбыт_котельн.'!E73</f>
        <v>0</v>
      </c>
      <c r="F73" s="983"/>
      <c r="G73" s="241">
        <v>0</v>
      </c>
      <c r="H73" s="983">
        <v>0</v>
      </c>
      <c r="I73" s="241">
        <v>0</v>
      </c>
      <c r="J73" s="241">
        <v>0</v>
      </c>
      <c r="K73" s="241">
        <v>0</v>
      </c>
      <c r="L73" s="241">
        <v>0</v>
      </c>
      <c r="M73" s="241">
        <v>0</v>
      </c>
      <c r="N73" s="241">
        <v>0</v>
      </c>
      <c r="O73" s="241">
        <v>0</v>
      </c>
      <c r="P73" s="241">
        <v>0</v>
      </c>
      <c r="Q73" s="241">
        <v>0</v>
      </c>
    </row>
    <row r="74" spans="1:17" s="36" customFormat="1" ht="15" customHeight="1" outlineLevel="1">
      <c r="A74" s="60"/>
      <c r="B74" s="70" t="s">
        <v>493</v>
      </c>
      <c r="C74" s="13" t="s">
        <v>240</v>
      </c>
      <c r="D74" s="241"/>
      <c r="E74" s="241">
        <f>'4.10_пр-во_котельн.'!E74+'4.10_транзит_котельн.'!E74+'4.10_сбыт_котельн.'!E74</f>
        <v>19</v>
      </c>
      <c r="F74" s="983"/>
      <c r="G74" s="241">
        <v>137.35332354588832</v>
      </c>
      <c r="H74" s="983">
        <v>0</v>
      </c>
      <c r="I74" s="241">
        <v>167</v>
      </c>
      <c r="J74" s="241">
        <v>0</v>
      </c>
      <c r="K74" s="241">
        <v>302</v>
      </c>
      <c r="L74" s="241">
        <v>302</v>
      </c>
      <c r="M74" s="241">
        <v>302</v>
      </c>
      <c r="N74" s="241">
        <v>302</v>
      </c>
      <c r="O74" s="241">
        <v>302</v>
      </c>
      <c r="P74" s="241">
        <v>302</v>
      </c>
      <c r="Q74" s="241">
        <v>302</v>
      </c>
    </row>
    <row r="75" spans="1:17" s="36" customFormat="1" ht="15" customHeight="1" outlineLevel="1">
      <c r="A75" s="60"/>
      <c r="B75" s="70" t="s">
        <v>494</v>
      </c>
      <c r="C75" s="13" t="s">
        <v>240</v>
      </c>
      <c r="D75" s="241"/>
      <c r="E75" s="241">
        <f>'4.10_пр-во_котельн.'!E75+'4.10_транзит_котельн.'!E75+'4.10_сбыт_котельн.'!E75</f>
        <v>7253</v>
      </c>
      <c r="F75" s="983"/>
      <c r="G75" s="241">
        <v>7717.0773562308032</v>
      </c>
      <c r="H75" s="983">
        <v>0</v>
      </c>
      <c r="I75" s="241">
        <v>7991</v>
      </c>
      <c r="J75" s="241">
        <v>0</v>
      </c>
      <c r="K75" s="241">
        <v>8007</v>
      </c>
      <c r="L75" s="241">
        <v>8007</v>
      </c>
      <c r="M75" s="241">
        <v>8007</v>
      </c>
      <c r="N75" s="241">
        <v>8007</v>
      </c>
      <c r="O75" s="241">
        <v>8007</v>
      </c>
      <c r="P75" s="241">
        <v>8007</v>
      </c>
      <c r="Q75" s="241">
        <v>8007</v>
      </c>
    </row>
    <row r="76" spans="1:17" s="36" customFormat="1" ht="15" customHeight="1" outlineLevel="1">
      <c r="A76" s="60"/>
      <c r="B76" s="70" t="s">
        <v>495</v>
      </c>
      <c r="C76" s="13" t="s">
        <v>240</v>
      </c>
      <c r="D76" s="241"/>
      <c r="E76" s="241">
        <f>'4.10_пр-во_котельн.'!E76+'4.10_транзит_котельн.'!E76+'4.10_сбыт_котельн.'!E76</f>
        <v>6364</v>
      </c>
      <c r="F76" s="983"/>
      <c r="G76" s="241">
        <v>4119.2579539088611</v>
      </c>
      <c r="H76" s="983">
        <v>0</v>
      </c>
      <c r="I76" s="241">
        <v>7811</v>
      </c>
      <c r="J76" s="241">
        <v>0</v>
      </c>
      <c r="K76" s="241">
        <v>54775</v>
      </c>
      <c r="L76" s="241">
        <v>56093</v>
      </c>
      <c r="M76" s="241">
        <v>55708</v>
      </c>
      <c r="N76" s="241">
        <v>56480</v>
      </c>
      <c r="O76" s="241">
        <v>57406</v>
      </c>
      <c r="P76" s="241">
        <v>56832</v>
      </c>
      <c r="Q76" s="241">
        <v>57980</v>
      </c>
    </row>
    <row r="77" spans="1:17" s="36" customFormat="1" ht="15" customHeight="1" outlineLevel="1">
      <c r="A77" s="60"/>
      <c r="B77" s="70" t="s">
        <v>496</v>
      </c>
      <c r="C77" s="13" t="s">
        <v>240</v>
      </c>
      <c r="D77" s="241"/>
      <c r="E77" s="241">
        <f>'4.10_пр-во_котельн.'!E77+'4.10_транзит_котельн.'!E77+'4.10_сбыт_котельн.'!E77</f>
        <v>234</v>
      </c>
      <c r="F77" s="983"/>
      <c r="G77" s="241">
        <v>246.73190449514169</v>
      </c>
      <c r="H77" s="983">
        <v>0</v>
      </c>
      <c r="I77" s="241">
        <v>441</v>
      </c>
      <c r="J77" s="241">
        <v>0</v>
      </c>
      <c r="K77" s="241">
        <v>1908</v>
      </c>
      <c r="L77" s="241">
        <v>2486</v>
      </c>
      <c r="M77" s="241">
        <v>1907</v>
      </c>
      <c r="N77" s="241">
        <v>3065</v>
      </c>
      <c r="O77" s="241">
        <v>3451</v>
      </c>
      <c r="P77" s="241">
        <v>3451</v>
      </c>
      <c r="Q77" s="241">
        <v>3451</v>
      </c>
    </row>
    <row r="78" spans="1:17" s="36" customFormat="1" ht="15" customHeight="1" outlineLevel="1">
      <c r="A78" s="60"/>
      <c r="B78" s="70" t="s">
        <v>497</v>
      </c>
      <c r="C78" s="13" t="s">
        <v>240</v>
      </c>
      <c r="D78" s="241"/>
      <c r="E78" s="241">
        <f>'4.10_пр-во_котельн.'!E78+'4.10_транзит_котельн.'!E78+'4.10_сбыт_котельн.'!E78</f>
        <v>0</v>
      </c>
      <c r="F78" s="983"/>
      <c r="G78" s="241">
        <v>0</v>
      </c>
      <c r="H78" s="983">
        <v>0</v>
      </c>
      <c r="I78" s="241">
        <v>0</v>
      </c>
      <c r="J78" s="241">
        <v>0</v>
      </c>
      <c r="K78" s="241">
        <v>0</v>
      </c>
      <c r="L78" s="241">
        <v>0</v>
      </c>
      <c r="M78" s="241">
        <v>0</v>
      </c>
      <c r="N78" s="241">
        <v>0</v>
      </c>
      <c r="O78" s="241">
        <v>0</v>
      </c>
      <c r="P78" s="241">
        <v>0</v>
      </c>
      <c r="Q78" s="241">
        <v>0</v>
      </c>
    </row>
    <row r="79" spans="1:17" s="36" customFormat="1" ht="15" customHeight="1" outlineLevel="1">
      <c r="A79" s="60"/>
      <c r="B79" s="68" t="s">
        <v>498</v>
      </c>
      <c r="C79" s="13" t="s">
        <v>240</v>
      </c>
      <c r="D79" s="241"/>
      <c r="E79" s="241">
        <f>'4.10_пр-во_котельн.'!E79+'4.10_транзит_котельн.'!E79+'4.10_сбыт_котельн.'!E79</f>
        <v>5143</v>
      </c>
      <c r="F79" s="983"/>
      <c r="G79" s="241">
        <v>5312.5854598489386</v>
      </c>
      <c r="H79" s="983">
        <v>0</v>
      </c>
      <c r="I79" s="241">
        <v>5052</v>
      </c>
      <c r="J79" s="241">
        <v>0</v>
      </c>
      <c r="K79" s="241">
        <v>5039</v>
      </c>
      <c r="L79" s="241">
        <v>5039</v>
      </c>
      <c r="M79" s="241">
        <v>5039</v>
      </c>
      <c r="N79" s="241">
        <v>5039</v>
      </c>
      <c r="O79" s="241">
        <v>5039</v>
      </c>
      <c r="P79" s="241">
        <v>5039</v>
      </c>
      <c r="Q79" s="241">
        <v>5039</v>
      </c>
    </row>
    <row r="80" spans="1:17" s="36" customFormat="1" ht="15" customHeight="1" outlineLevel="1">
      <c r="A80" s="60"/>
      <c r="B80" s="68" t="s">
        <v>499</v>
      </c>
      <c r="C80" s="13" t="s">
        <v>240</v>
      </c>
      <c r="D80" s="241"/>
      <c r="E80" s="241">
        <f>'4.10_пр-во_котельн.'!E80+'4.10_транзит_котельн.'!E80+'4.10_сбыт_котельн.'!E80</f>
        <v>344</v>
      </c>
      <c r="F80" s="983"/>
      <c r="G80" s="241">
        <v>156.40962389166845</v>
      </c>
      <c r="H80" s="983">
        <v>0</v>
      </c>
      <c r="I80" s="241">
        <v>9933</v>
      </c>
      <c r="J80" s="241">
        <v>0</v>
      </c>
      <c r="K80" s="241">
        <v>21489</v>
      </c>
      <c r="L80" s="241">
        <v>344</v>
      </c>
      <c r="M80" s="241">
        <v>344</v>
      </c>
      <c r="N80" s="241">
        <v>344</v>
      </c>
      <c r="O80" s="241">
        <v>344</v>
      </c>
      <c r="P80" s="241">
        <v>344</v>
      </c>
      <c r="Q80" s="241">
        <v>344</v>
      </c>
    </row>
    <row r="81" spans="1:17" s="36" customFormat="1">
      <c r="A81" s="60"/>
      <c r="B81" s="68"/>
      <c r="C81" s="13"/>
      <c r="D81" s="66"/>
      <c r="E81" s="66"/>
      <c r="F81" s="990"/>
      <c r="G81" s="66"/>
      <c r="H81" s="990"/>
      <c r="I81" s="66"/>
      <c r="J81" s="66"/>
      <c r="K81" s="66"/>
      <c r="L81" s="66"/>
      <c r="M81" s="66"/>
      <c r="N81" s="66"/>
      <c r="O81" s="66"/>
      <c r="P81" s="66"/>
      <c r="Q81" s="66"/>
    </row>
    <row r="82" spans="1:17" s="1001" customFormat="1" ht="15" customHeight="1">
      <c r="A82" s="82" t="s">
        <v>86</v>
      </c>
      <c r="B82" s="80" t="s">
        <v>504</v>
      </c>
      <c r="C82" s="999"/>
      <c r="D82" s="432">
        <f>D97/D67*100</f>
        <v>8.7189852244215214</v>
      </c>
      <c r="E82" s="432">
        <f>E97/E67*100</f>
        <v>16.467883807393523</v>
      </c>
      <c r="F82" s="1007">
        <f t="shared" ref="F82:M82" si="0">F97/F67*100</f>
        <v>12.360402592030884</v>
      </c>
      <c r="G82" s="432">
        <v>12.847988068989109</v>
      </c>
      <c r="H82" s="1007">
        <v>7.8578915655551844</v>
      </c>
      <c r="I82" s="432">
        <v>27.043575631953875</v>
      </c>
      <c r="J82" s="432" t="e">
        <v>#DIV/0!</v>
      </c>
      <c r="K82" s="432">
        <v>30.16485939931593</v>
      </c>
      <c r="L82" s="432">
        <v>13.484634558733809</v>
      </c>
      <c r="M82" s="432">
        <v>6.8982521023202565</v>
      </c>
      <c r="N82" s="432">
        <v>6.5894248272411211</v>
      </c>
      <c r="O82" s="432">
        <v>11.838571101753077</v>
      </c>
      <c r="P82" s="432">
        <v>5.958118309378599</v>
      </c>
      <c r="Q82" s="432">
        <v>5.8809666097115496</v>
      </c>
    </row>
    <row r="83" spans="1:17" s="36" customFormat="1" ht="15" customHeight="1" outlineLevel="1">
      <c r="A83" s="60"/>
      <c r="B83" s="68" t="s">
        <v>487</v>
      </c>
      <c r="C83" s="13" t="s">
        <v>138</v>
      </c>
      <c r="D83" s="66"/>
      <c r="E83" s="251">
        <f t="shared" ref="E83:E95" si="1">E98/E68*100</f>
        <v>31.574360193328577</v>
      </c>
      <c r="F83" s="990"/>
      <c r="G83" s="251">
        <v>2.8499212273624583</v>
      </c>
      <c r="H83" s="1359" t="e">
        <v>#DIV/0!</v>
      </c>
      <c r="I83" s="251">
        <v>3.8003800380038006</v>
      </c>
      <c r="J83" s="251" t="e">
        <v>#DIV/0!</v>
      </c>
      <c r="K83" s="251">
        <v>4.4186775305546853</v>
      </c>
      <c r="L83" s="251">
        <v>4.4186775305546853</v>
      </c>
      <c r="M83" s="251">
        <v>2.2041157421915805</v>
      </c>
      <c r="N83" s="251">
        <v>2.2145617883631048</v>
      </c>
      <c r="O83" s="251">
        <v>4.4186775305546853</v>
      </c>
      <c r="P83" s="251">
        <v>2.2041157421915805</v>
      </c>
      <c r="Q83" s="251">
        <v>2.2145617883631048</v>
      </c>
    </row>
    <row r="84" spans="1:17" s="36" customFormat="1" ht="15" customHeight="1" outlineLevel="1">
      <c r="A84" s="60"/>
      <c r="B84" s="68" t="s">
        <v>488</v>
      </c>
      <c r="C84" s="13" t="s">
        <v>138</v>
      </c>
      <c r="D84" s="66"/>
      <c r="E84" s="251">
        <f t="shared" si="1"/>
        <v>5.8886877828054294</v>
      </c>
      <c r="F84" s="990"/>
      <c r="G84" s="251">
        <v>17.35961764122823</v>
      </c>
      <c r="H84" s="1359" t="e">
        <v>#DIV/0!</v>
      </c>
      <c r="I84" s="251">
        <v>11.574074074074074</v>
      </c>
      <c r="J84" s="251" t="e">
        <v>#DIV/0!</v>
      </c>
      <c r="K84" s="251">
        <v>12.290502793296088</v>
      </c>
      <c r="L84" s="251">
        <v>20.502092050209207</v>
      </c>
      <c r="M84" s="251">
        <v>10.0418410041841</v>
      </c>
      <c r="N84" s="251">
        <v>10.460251046025103</v>
      </c>
      <c r="O84" s="251">
        <v>27.653631284916202</v>
      </c>
      <c r="P84" s="251">
        <v>13.687150837988826</v>
      </c>
      <c r="Q84" s="251">
        <v>13.966480446927374</v>
      </c>
    </row>
    <row r="85" spans="1:17" s="36" customFormat="1" ht="15" customHeight="1" outlineLevel="1">
      <c r="A85" s="60"/>
      <c r="B85" s="68" t="s">
        <v>489</v>
      </c>
      <c r="C85" s="13" t="s">
        <v>138</v>
      </c>
      <c r="D85" s="66"/>
      <c r="E85" s="251"/>
      <c r="F85" s="990"/>
      <c r="G85" s="251"/>
      <c r="H85" s="1359"/>
      <c r="I85" s="251"/>
      <c r="J85" s="251"/>
      <c r="K85" s="251"/>
      <c r="L85" s="251"/>
      <c r="M85" s="251"/>
      <c r="N85" s="251"/>
      <c r="O85" s="251"/>
      <c r="P85" s="251"/>
      <c r="Q85" s="251"/>
    </row>
    <row r="86" spans="1:17" s="36" customFormat="1" ht="15" customHeight="1" outlineLevel="1">
      <c r="A86" s="60"/>
      <c r="B86" s="68" t="s">
        <v>490</v>
      </c>
      <c r="C86" s="13" t="s">
        <v>138</v>
      </c>
      <c r="D86" s="66"/>
      <c r="E86" s="251">
        <f t="shared" si="1"/>
        <v>3.9454385450278675</v>
      </c>
      <c r="F86" s="990"/>
      <c r="G86" s="251">
        <v>30.601758837585074</v>
      </c>
      <c r="H86" s="1359" t="e">
        <v>#DIV/0!</v>
      </c>
      <c r="I86" s="251">
        <v>15.561400212912519</v>
      </c>
      <c r="J86" s="251" t="e">
        <v>#DIV/0!</v>
      </c>
      <c r="K86" s="251">
        <v>18.025172785492359</v>
      </c>
      <c r="L86" s="251">
        <v>17.797583925965032</v>
      </c>
      <c r="M86" s="251">
        <v>9.1163284752487623</v>
      </c>
      <c r="N86" s="251">
        <v>8.6835728287209246</v>
      </c>
      <c r="O86" s="251">
        <v>15.363311268355778</v>
      </c>
      <c r="P86" s="251">
        <v>7.7570193887106429</v>
      </c>
      <c r="Q86" s="251">
        <v>7.6075970372158279</v>
      </c>
    </row>
    <row r="87" spans="1:17" s="36" customFormat="1" ht="15" customHeight="1" outlineLevel="1">
      <c r="A87" s="60"/>
      <c r="B87" s="68" t="s">
        <v>491</v>
      </c>
      <c r="C87" s="13" t="s">
        <v>138</v>
      </c>
      <c r="D87" s="66"/>
      <c r="E87" s="251"/>
      <c r="F87" s="990"/>
      <c r="G87" s="251"/>
      <c r="H87" s="1359"/>
      <c r="I87" s="251"/>
      <c r="J87" s="251"/>
      <c r="K87" s="251"/>
      <c r="L87" s="251"/>
      <c r="M87" s="251"/>
      <c r="N87" s="251"/>
      <c r="O87" s="251"/>
      <c r="P87" s="251"/>
      <c r="Q87" s="251"/>
    </row>
    <row r="88" spans="1:17" s="36" customFormat="1" ht="15" customHeight="1" outlineLevel="1">
      <c r="A88" s="60"/>
      <c r="B88" s="70" t="s">
        <v>492</v>
      </c>
      <c r="C88" s="13" t="s">
        <v>138</v>
      </c>
      <c r="D88" s="66"/>
      <c r="E88" s="251"/>
      <c r="F88" s="990"/>
      <c r="G88" s="251"/>
      <c r="H88" s="1359"/>
      <c r="I88" s="251"/>
      <c r="J88" s="251"/>
      <c r="K88" s="251"/>
      <c r="L88" s="251"/>
      <c r="M88" s="251"/>
      <c r="N88" s="251"/>
      <c r="O88" s="251"/>
      <c r="P88" s="251"/>
      <c r="Q88" s="251"/>
    </row>
    <row r="89" spans="1:17" s="36" customFormat="1" ht="15" customHeight="1" outlineLevel="1">
      <c r="A89" s="60"/>
      <c r="B89" s="70" t="s">
        <v>493</v>
      </c>
      <c r="C89" s="13" t="s">
        <v>138</v>
      </c>
      <c r="D89" s="66"/>
      <c r="E89" s="251">
        <f t="shared" si="1"/>
        <v>10.526315789473683</v>
      </c>
      <c r="F89" s="990"/>
      <c r="G89" s="251">
        <v>156.96177252110454</v>
      </c>
      <c r="H89" s="1359" t="e">
        <v>#DIV/0!</v>
      </c>
      <c r="I89" s="251">
        <v>147.90419161676647</v>
      </c>
      <c r="J89" s="251" t="e">
        <v>#DIV/0!</v>
      </c>
      <c r="K89" s="251">
        <v>116.55629139072848</v>
      </c>
      <c r="L89" s="251">
        <v>114.90066225165563</v>
      </c>
      <c r="M89" s="251">
        <v>56.29139072847682</v>
      </c>
      <c r="N89" s="251">
        <v>58.609271523178805</v>
      </c>
      <c r="O89" s="251">
        <v>99.668874172185426</v>
      </c>
      <c r="P89" s="251">
        <v>49.006622516556291</v>
      </c>
      <c r="Q89" s="251">
        <v>50.662251655629142</v>
      </c>
    </row>
    <row r="90" spans="1:17" s="36" customFormat="1" ht="15" customHeight="1" outlineLevel="1">
      <c r="A90" s="60"/>
      <c r="B90" s="70" t="s">
        <v>494</v>
      </c>
      <c r="C90" s="13" t="s">
        <v>138</v>
      </c>
      <c r="D90" s="66"/>
      <c r="E90" s="251">
        <f t="shared" si="1"/>
        <v>4.9910381910933408</v>
      </c>
      <c r="F90" s="990"/>
      <c r="G90" s="251">
        <v>33.864706659380531</v>
      </c>
      <c r="H90" s="1359" t="e">
        <v>#DIV/0!</v>
      </c>
      <c r="I90" s="251">
        <v>13.965711425353522</v>
      </c>
      <c r="J90" s="251" t="e">
        <v>#DIV/0!</v>
      </c>
      <c r="K90" s="251">
        <v>2.6851504933183463</v>
      </c>
      <c r="L90" s="251">
        <v>2.7850630698139129</v>
      </c>
      <c r="M90" s="251">
        <v>1.3737979268140377</v>
      </c>
      <c r="N90" s="251">
        <v>1.411265142999875</v>
      </c>
      <c r="O90" s="251">
        <v>1.3113525665043086</v>
      </c>
      <c r="P90" s="251">
        <v>0.63694267515923575</v>
      </c>
      <c r="Q90" s="251">
        <v>0.67440989134507301</v>
      </c>
    </row>
    <row r="91" spans="1:17" s="36" customFormat="1" ht="15" customHeight="1" outlineLevel="1">
      <c r="A91" s="60"/>
      <c r="B91" s="70" t="s">
        <v>495</v>
      </c>
      <c r="C91" s="13" t="s">
        <v>138</v>
      </c>
      <c r="D91" s="66"/>
      <c r="E91" s="251">
        <f t="shared" si="1"/>
        <v>2.7341294783155248</v>
      </c>
      <c r="F91" s="990"/>
      <c r="G91" s="251">
        <v>20.251256618510176</v>
      </c>
      <c r="H91" s="1359" t="e">
        <v>#DIV/0!</v>
      </c>
      <c r="I91" s="251">
        <v>14.364357956727691</v>
      </c>
      <c r="J91" s="251" t="e">
        <v>#DIV/0!</v>
      </c>
      <c r="K91" s="251">
        <v>19.724326791419443</v>
      </c>
      <c r="L91" s="251">
        <v>19.41775266075981</v>
      </c>
      <c r="M91" s="251">
        <v>9.9734329001220647</v>
      </c>
      <c r="N91" s="251">
        <v>9.4475920679886674</v>
      </c>
      <c r="O91" s="251">
        <v>16.879768665296311</v>
      </c>
      <c r="P91" s="251">
        <v>8.5409628378378368</v>
      </c>
      <c r="Q91" s="251">
        <v>8.3408071748878925</v>
      </c>
    </row>
    <row r="92" spans="1:17" s="36" customFormat="1" ht="15" customHeight="1" outlineLevel="1">
      <c r="A92" s="60"/>
      <c r="B92" s="70" t="s">
        <v>496</v>
      </c>
      <c r="C92" s="13" t="s">
        <v>138</v>
      </c>
      <c r="D92" s="66"/>
      <c r="E92" s="251">
        <f t="shared" si="1"/>
        <v>4.700854700854701</v>
      </c>
      <c r="F92" s="990"/>
      <c r="G92" s="251">
        <v>25.374802198194953</v>
      </c>
      <c r="H92" s="1359" t="e">
        <v>#DIV/0!</v>
      </c>
      <c r="I92" s="251">
        <v>13.378684807256235</v>
      </c>
      <c r="J92" s="251" t="e">
        <v>#DIV/0!</v>
      </c>
      <c r="K92" s="251">
        <v>28.354297693920334</v>
      </c>
      <c r="L92" s="251">
        <v>25.905068382944492</v>
      </c>
      <c r="M92" s="251">
        <v>16.832721552176196</v>
      </c>
      <c r="N92" s="251">
        <v>10.538336052202284</v>
      </c>
      <c r="O92" s="251">
        <v>24.340770791075052</v>
      </c>
      <c r="P92" s="251">
        <v>12.170385395537526</v>
      </c>
      <c r="Q92" s="251">
        <v>12.170385395537526</v>
      </c>
    </row>
    <row r="93" spans="1:17" s="36" customFormat="1" ht="15" customHeight="1" outlineLevel="1">
      <c r="A93" s="60"/>
      <c r="B93" s="70" t="s">
        <v>497</v>
      </c>
      <c r="C93" s="13" t="s">
        <v>138</v>
      </c>
      <c r="D93" s="66"/>
      <c r="E93" s="251"/>
      <c r="F93" s="990"/>
      <c r="G93" s="251"/>
      <c r="H93" s="1359"/>
      <c r="I93" s="251"/>
      <c r="J93" s="251"/>
      <c r="K93" s="251"/>
      <c r="L93" s="251"/>
      <c r="M93" s="251"/>
      <c r="N93" s="251"/>
      <c r="O93" s="251"/>
      <c r="P93" s="251"/>
      <c r="Q93" s="251"/>
    </row>
    <row r="94" spans="1:17" s="36" customFormat="1" ht="15" customHeight="1" outlineLevel="1">
      <c r="A94" s="60"/>
      <c r="B94" s="68" t="s">
        <v>498</v>
      </c>
      <c r="C94" s="13" t="s">
        <v>138</v>
      </c>
      <c r="D94" s="66"/>
      <c r="E94" s="251">
        <f t="shared" si="1"/>
        <v>16.507874781256078</v>
      </c>
      <c r="F94" s="990"/>
      <c r="G94" s="251">
        <v>18.772594941960442</v>
      </c>
      <c r="H94" s="1359" t="e">
        <v>#DIV/0!</v>
      </c>
      <c r="I94" s="251">
        <v>18.74505146476643</v>
      </c>
      <c r="J94" s="251" t="e">
        <v>#DIV/0!</v>
      </c>
      <c r="K94" s="251">
        <v>18.634649732089699</v>
      </c>
      <c r="L94" s="251">
        <v>10.557650327445922</v>
      </c>
      <c r="M94" s="251">
        <v>5.2391347489581266</v>
      </c>
      <c r="N94" s="251">
        <v>5.3185155784877951</v>
      </c>
      <c r="O94" s="251">
        <v>1.3296288946219488</v>
      </c>
      <c r="P94" s="251">
        <v>0.63504663623734869</v>
      </c>
      <c r="Q94" s="251">
        <v>0.69458225838460008</v>
      </c>
    </row>
    <row r="95" spans="1:17" s="36" customFormat="1" ht="15" customHeight="1" outlineLevel="1">
      <c r="A95" s="60"/>
      <c r="B95" s="68" t="s">
        <v>499</v>
      </c>
      <c r="C95" s="13" t="s">
        <v>138</v>
      </c>
      <c r="D95" s="66"/>
      <c r="E95" s="251">
        <f t="shared" si="1"/>
        <v>0</v>
      </c>
      <c r="F95" s="990"/>
      <c r="G95" s="251">
        <v>4.6157107628305649</v>
      </c>
      <c r="H95" s="1359" t="e">
        <v>#DIV/0!</v>
      </c>
      <c r="I95" s="251">
        <v>75.052854122621554</v>
      </c>
      <c r="J95" s="251" t="e">
        <v>#DIV/0!</v>
      </c>
      <c r="K95" s="251">
        <v>102.75024431104285</v>
      </c>
      <c r="L95" s="251">
        <v>4.6511627906976747</v>
      </c>
      <c r="M95" s="251">
        <v>1.4534883720930232</v>
      </c>
      <c r="N95" s="251">
        <v>3.1976744186046515</v>
      </c>
      <c r="O95" s="251">
        <v>4.6511627906976747</v>
      </c>
      <c r="P95" s="251">
        <v>1.4534883720930232</v>
      </c>
      <c r="Q95" s="251">
        <v>3.1976744186046515</v>
      </c>
    </row>
    <row r="96" spans="1:17" s="36" customFormat="1">
      <c r="A96" s="60"/>
      <c r="B96" s="68"/>
      <c r="C96" s="13"/>
      <c r="D96" s="66"/>
      <c r="E96" s="66"/>
      <c r="F96" s="990"/>
      <c r="G96" s="66"/>
      <c r="H96" s="990"/>
      <c r="I96" s="66"/>
      <c r="J96" s="66"/>
      <c r="K96" s="66"/>
      <c r="L96" s="66"/>
      <c r="M96" s="66"/>
      <c r="N96" s="66"/>
      <c r="O96" s="66"/>
      <c r="P96" s="66"/>
      <c r="Q96" s="66"/>
    </row>
    <row r="97" spans="1:17" s="1001" customFormat="1" ht="15" customHeight="1">
      <c r="A97" s="82" t="s">
        <v>109</v>
      </c>
      <c r="B97" s="80" t="s">
        <v>505</v>
      </c>
      <c r="C97" s="999" t="s">
        <v>240</v>
      </c>
      <c r="D97" s="1000">
        <f>'4.10_пр-во_котельн.'!D97+'4.10_транзит_котельн.'!D97+'4.10_сбыт_котельн.'!D97</f>
        <v>1251</v>
      </c>
      <c r="E97" s="1000">
        <f>'4.10_пр-во_котельн.'!E97+'4.10_транзит_котельн.'!E97+'4.10_сбыт_котельн.'!E97</f>
        <v>5448.07</v>
      </c>
      <c r="F97" s="1006">
        <f>'4.10_пр-во_котельн.'!F97+'4.10_транзит_котельн.'!F97+'4.10_сбыт_котельн.'!F97</f>
        <v>3586</v>
      </c>
      <c r="G97" s="1000">
        <v>5454.1603144860628</v>
      </c>
      <c r="H97" s="1006">
        <v>2171.2000000000003</v>
      </c>
      <c r="I97" s="1000">
        <v>11351</v>
      </c>
      <c r="J97" s="1000">
        <v>0</v>
      </c>
      <c r="K97" s="1000">
        <v>36247</v>
      </c>
      <c r="L97" s="1000">
        <v>15472</v>
      </c>
      <c r="M97" s="1000">
        <v>7834</v>
      </c>
      <c r="N97" s="1000">
        <v>7638</v>
      </c>
      <c r="O97" s="1000">
        <v>13972</v>
      </c>
      <c r="P97" s="1000">
        <v>6985</v>
      </c>
      <c r="Q97" s="1000">
        <v>6987</v>
      </c>
    </row>
    <row r="98" spans="1:17" s="36" customFormat="1" ht="15" customHeight="1" outlineLevel="1">
      <c r="A98" s="60"/>
      <c r="B98" s="68" t="s">
        <v>487</v>
      </c>
      <c r="C98" s="13" t="s">
        <v>240</v>
      </c>
      <c r="D98" s="241"/>
      <c r="E98" s="241">
        <f>'4.10_пр-во_котельн.'!E98+'4.10_транзит_котельн.'!E98+'4.10_сбыт_котельн.'!E98</f>
        <v>3985</v>
      </c>
      <c r="F98" s="983"/>
      <c r="G98" s="241">
        <v>702.32778604130044</v>
      </c>
      <c r="H98" s="983">
        <v>0</v>
      </c>
      <c r="I98" s="241">
        <v>380</v>
      </c>
      <c r="J98" s="241">
        <v>0</v>
      </c>
      <c r="K98" s="241">
        <v>423</v>
      </c>
      <c r="L98" s="241">
        <v>423</v>
      </c>
      <c r="M98" s="241">
        <v>211</v>
      </c>
      <c r="N98" s="241">
        <v>212</v>
      </c>
      <c r="O98" s="241">
        <v>423</v>
      </c>
      <c r="P98" s="241">
        <v>211</v>
      </c>
      <c r="Q98" s="241">
        <v>212</v>
      </c>
    </row>
    <row r="99" spans="1:17" s="36" customFormat="1" ht="15" customHeight="1" outlineLevel="1">
      <c r="A99" s="60"/>
      <c r="B99" s="68" t="s">
        <v>488</v>
      </c>
      <c r="C99" s="13" t="s">
        <v>240</v>
      </c>
      <c r="D99" s="241"/>
      <c r="E99" s="241">
        <f>'4.10_пр-во_котельн.'!E99+'4.10_транзит_котельн.'!E99+'4.10_сбыт_котельн.'!E99</f>
        <v>65.069999999999993</v>
      </c>
      <c r="F99" s="983"/>
      <c r="G99" s="241">
        <v>20.535910908493829</v>
      </c>
      <c r="H99" s="983">
        <v>0</v>
      </c>
      <c r="I99" s="241">
        <v>25</v>
      </c>
      <c r="J99" s="241">
        <v>0</v>
      </c>
      <c r="K99" s="241">
        <v>88</v>
      </c>
      <c r="L99" s="241">
        <v>147</v>
      </c>
      <c r="M99" s="241">
        <v>72</v>
      </c>
      <c r="N99" s="241">
        <v>75</v>
      </c>
      <c r="O99" s="241">
        <v>198</v>
      </c>
      <c r="P99" s="241">
        <v>98</v>
      </c>
      <c r="Q99" s="241">
        <v>100</v>
      </c>
    </row>
    <row r="100" spans="1:17" s="36" customFormat="1" ht="15" customHeight="1" outlineLevel="1">
      <c r="A100" s="60"/>
      <c r="B100" s="68" t="s">
        <v>489</v>
      </c>
      <c r="C100" s="13" t="s">
        <v>240</v>
      </c>
      <c r="D100" s="241"/>
      <c r="E100" s="241">
        <f>'4.10_пр-во_котельн.'!E100+'4.10_транзит_котельн.'!E100+'4.10_сбыт_котельн.'!E100</f>
        <v>0</v>
      </c>
      <c r="F100" s="983"/>
      <c r="G100" s="241">
        <v>0</v>
      </c>
      <c r="H100" s="983">
        <v>0</v>
      </c>
      <c r="I100" s="241">
        <v>0</v>
      </c>
      <c r="J100" s="241">
        <v>0</v>
      </c>
      <c r="K100" s="241">
        <v>805</v>
      </c>
      <c r="L100" s="241">
        <v>2248</v>
      </c>
      <c r="M100" s="241">
        <v>1125</v>
      </c>
      <c r="N100" s="241">
        <v>1123</v>
      </c>
      <c r="O100" s="241">
        <v>2332</v>
      </c>
      <c r="P100" s="241">
        <v>1166</v>
      </c>
      <c r="Q100" s="241">
        <v>1166</v>
      </c>
    </row>
    <row r="101" spans="1:17" s="36" customFormat="1" ht="15" customHeight="1" outlineLevel="1">
      <c r="A101" s="60"/>
      <c r="B101" s="68" t="s">
        <v>490</v>
      </c>
      <c r="C101" s="13" t="s">
        <v>240</v>
      </c>
      <c r="D101" s="241"/>
      <c r="E101" s="241">
        <f>'4.10_пр-во_котельн.'!E101+'4.10_транзит_котельн.'!E101+'4.10_сбыт_котельн.'!E101</f>
        <v>538</v>
      </c>
      <c r="F101" s="983"/>
      <c r="G101" s="241">
        <v>3664.1593196437884</v>
      </c>
      <c r="H101" s="983">
        <v>0</v>
      </c>
      <c r="I101" s="241">
        <v>2485</v>
      </c>
      <c r="J101" s="241">
        <v>0</v>
      </c>
      <c r="K101" s="241">
        <v>11371</v>
      </c>
      <c r="L101" s="241">
        <v>11462</v>
      </c>
      <c r="M101" s="241">
        <v>5836</v>
      </c>
      <c r="N101" s="241">
        <v>5626</v>
      </c>
      <c r="O101" s="241">
        <v>10096</v>
      </c>
      <c r="P101" s="241">
        <v>5053</v>
      </c>
      <c r="Q101" s="241">
        <v>5043</v>
      </c>
    </row>
    <row r="102" spans="1:17" s="36" customFormat="1" ht="15" customHeight="1" outlineLevel="1">
      <c r="A102" s="60"/>
      <c r="B102" s="68" t="s">
        <v>491</v>
      </c>
      <c r="C102" s="13" t="s">
        <v>240</v>
      </c>
      <c r="D102" s="241"/>
      <c r="E102" s="241">
        <f>'4.10_пр-во_котельн.'!E102+'4.10_транзит_котельн.'!E102+'4.10_сбыт_котельн.'!E102</f>
        <v>0</v>
      </c>
      <c r="F102" s="983"/>
      <c r="G102" s="241">
        <v>0</v>
      </c>
      <c r="H102" s="983">
        <v>0</v>
      </c>
      <c r="I102" s="241">
        <v>0</v>
      </c>
      <c r="J102" s="241">
        <v>0</v>
      </c>
      <c r="K102" s="241">
        <v>0</v>
      </c>
      <c r="L102" s="241">
        <v>0</v>
      </c>
      <c r="M102" s="241">
        <v>0</v>
      </c>
      <c r="N102" s="241">
        <v>0</v>
      </c>
      <c r="O102" s="241">
        <v>0</v>
      </c>
      <c r="P102" s="241">
        <v>0</v>
      </c>
      <c r="Q102" s="241">
        <v>0</v>
      </c>
    </row>
    <row r="103" spans="1:17" s="36" customFormat="1" ht="15" customHeight="1" outlineLevel="1">
      <c r="A103" s="60"/>
      <c r="B103" s="70" t="s">
        <v>492</v>
      </c>
      <c r="C103" s="13" t="s">
        <v>240</v>
      </c>
      <c r="D103" s="241"/>
      <c r="E103" s="241">
        <f>'4.10_пр-во_котельн.'!E103+'4.10_транзит_котельн.'!E103+'4.10_сбыт_котельн.'!E103</f>
        <v>0</v>
      </c>
      <c r="F103" s="983"/>
      <c r="G103" s="241">
        <v>0</v>
      </c>
      <c r="H103" s="983">
        <v>0</v>
      </c>
      <c r="I103" s="241">
        <v>0</v>
      </c>
      <c r="J103" s="241">
        <v>0</v>
      </c>
      <c r="K103" s="241">
        <v>0</v>
      </c>
      <c r="L103" s="241">
        <v>0</v>
      </c>
      <c r="M103" s="241">
        <v>0</v>
      </c>
      <c r="N103" s="241">
        <v>0</v>
      </c>
      <c r="O103" s="241">
        <v>0</v>
      </c>
      <c r="P103" s="241">
        <v>0</v>
      </c>
      <c r="Q103" s="241">
        <v>0</v>
      </c>
    </row>
    <row r="104" spans="1:17" s="36" customFormat="1" ht="15" customHeight="1" outlineLevel="1">
      <c r="A104" s="60"/>
      <c r="B104" s="70" t="s">
        <v>493</v>
      </c>
      <c r="C104" s="13" t="s">
        <v>240</v>
      </c>
      <c r="D104" s="241"/>
      <c r="E104" s="241">
        <f>'4.10_пр-во_котельн.'!E104+'4.10_транзит_котельн.'!E104+'4.10_сбыт_котельн.'!E104</f>
        <v>2</v>
      </c>
      <c r="F104" s="983"/>
      <c r="G104" s="241">
        <v>215.59221125427396</v>
      </c>
      <c r="H104" s="983">
        <v>0</v>
      </c>
      <c r="I104" s="241">
        <v>247</v>
      </c>
      <c r="J104" s="241">
        <v>0</v>
      </c>
      <c r="K104" s="241">
        <v>352</v>
      </c>
      <c r="L104" s="241">
        <v>347</v>
      </c>
      <c r="M104" s="241">
        <v>170</v>
      </c>
      <c r="N104" s="241">
        <v>177</v>
      </c>
      <c r="O104" s="241">
        <v>301</v>
      </c>
      <c r="P104" s="241">
        <v>148</v>
      </c>
      <c r="Q104" s="241">
        <v>153</v>
      </c>
    </row>
    <row r="105" spans="1:17" s="36" customFormat="1" ht="15" customHeight="1" outlineLevel="1">
      <c r="A105" s="60"/>
      <c r="B105" s="70" t="s">
        <v>494</v>
      </c>
      <c r="C105" s="13" t="s">
        <v>240</v>
      </c>
      <c r="D105" s="241"/>
      <c r="E105" s="241">
        <f>'4.10_пр-во_котельн.'!E105+'4.10_транзит_котельн.'!E105+'4.10_сбыт_котельн.'!E105</f>
        <v>362</v>
      </c>
      <c r="F105" s="983"/>
      <c r="G105" s="241">
        <v>2613.3656093650397</v>
      </c>
      <c r="H105" s="983">
        <v>0</v>
      </c>
      <c r="I105" s="241">
        <v>1116</v>
      </c>
      <c r="J105" s="241">
        <v>0</v>
      </c>
      <c r="K105" s="241">
        <v>215</v>
      </c>
      <c r="L105" s="241">
        <v>223</v>
      </c>
      <c r="M105" s="241">
        <v>110</v>
      </c>
      <c r="N105" s="241">
        <v>113</v>
      </c>
      <c r="O105" s="241">
        <v>105</v>
      </c>
      <c r="P105" s="241">
        <v>51</v>
      </c>
      <c r="Q105" s="241">
        <v>54</v>
      </c>
    </row>
    <row r="106" spans="1:17" s="36" customFormat="1" ht="15" customHeight="1" outlineLevel="1">
      <c r="A106" s="60"/>
      <c r="B106" s="70" t="s">
        <v>495</v>
      </c>
      <c r="C106" s="13" t="s">
        <v>240</v>
      </c>
      <c r="D106" s="241"/>
      <c r="E106" s="241">
        <f>'4.10_пр-во_котельн.'!E106+'4.10_транзит_котельн.'!E106+'4.10_сбыт_котельн.'!E106</f>
        <v>174</v>
      </c>
      <c r="F106" s="983"/>
      <c r="G106" s="241">
        <v>834.20149902447508</v>
      </c>
      <c r="H106" s="983">
        <v>0</v>
      </c>
      <c r="I106" s="241">
        <v>1122</v>
      </c>
      <c r="J106" s="241">
        <v>0</v>
      </c>
      <c r="K106" s="241">
        <v>10804</v>
      </c>
      <c r="L106" s="241">
        <v>10892</v>
      </c>
      <c r="M106" s="241">
        <v>5556</v>
      </c>
      <c r="N106" s="241">
        <v>5336</v>
      </c>
      <c r="O106" s="241">
        <v>9690</v>
      </c>
      <c r="P106" s="241">
        <v>4854</v>
      </c>
      <c r="Q106" s="241">
        <v>4836</v>
      </c>
    </row>
    <row r="107" spans="1:17" s="36" customFormat="1" ht="15" customHeight="1" outlineLevel="1">
      <c r="A107" s="60"/>
      <c r="B107" s="70" t="s">
        <v>496</v>
      </c>
      <c r="C107" s="13" t="s">
        <v>240</v>
      </c>
      <c r="D107" s="241"/>
      <c r="E107" s="241">
        <f>'4.10_пр-во_котельн.'!E107+'4.10_транзит_котельн.'!E107+'4.10_сбыт_котельн.'!E107</f>
        <v>11</v>
      </c>
      <c r="F107" s="983"/>
      <c r="G107" s="241">
        <v>62.607732725481483</v>
      </c>
      <c r="H107" s="983">
        <v>0</v>
      </c>
      <c r="I107" s="241">
        <v>59</v>
      </c>
      <c r="J107" s="241">
        <v>0</v>
      </c>
      <c r="K107" s="241">
        <v>541</v>
      </c>
      <c r="L107" s="241">
        <v>644</v>
      </c>
      <c r="M107" s="241">
        <v>321</v>
      </c>
      <c r="N107" s="241">
        <v>323</v>
      </c>
      <c r="O107" s="241">
        <v>840</v>
      </c>
      <c r="P107" s="241">
        <v>420</v>
      </c>
      <c r="Q107" s="241">
        <v>420</v>
      </c>
    </row>
    <row r="108" spans="1:17" s="36" customFormat="1" ht="15" customHeight="1" outlineLevel="1">
      <c r="A108" s="60"/>
      <c r="B108" s="70" t="s">
        <v>497</v>
      </c>
      <c r="C108" s="13" t="s">
        <v>240</v>
      </c>
      <c r="D108" s="241"/>
      <c r="E108" s="241">
        <f>'4.10_пр-во_котельн.'!E108+'4.10_транзит_котельн.'!E108+'4.10_сбыт_котельн.'!E108</f>
        <v>0</v>
      </c>
      <c r="F108" s="983"/>
      <c r="G108" s="241">
        <v>0</v>
      </c>
      <c r="H108" s="983">
        <v>0</v>
      </c>
      <c r="I108" s="241">
        <v>0</v>
      </c>
      <c r="J108" s="241">
        <v>0</v>
      </c>
      <c r="K108" s="241">
        <v>0</v>
      </c>
      <c r="L108" s="241">
        <v>0</v>
      </c>
      <c r="M108" s="241">
        <v>0</v>
      </c>
      <c r="N108" s="241">
        <v>0</v>
      </c>
      <c r="O108" s="241">
        <v>0</v>
      </c>
      <c r="P108" s="241">
        <v>0</v>
      </c>
      <c r="Q108" s="241">
        <v>0</v>
      </c>
    </row>
    <row r="109" spans="1:17" s="36" customFormat="1" ht="15" customHeight="1" outlineLevel="1">
      <c r="A109" s="60"/>
      <c r="B109" s="68" t="s">
        <v>498</v>
      </c>
      <c r="C109" s="13" t="s">
        <v>240</v>
      </c>
      <c r="D109" s="241"/>
      <c r="E109" s="241">
        <f>'4.10_пр-во_котельн.'!E109+'4.10_транзит_котельн.'!E109+'4.10_сбыт_котельн.'!E109</f>
        <v>849</v>
      </c>
      <c r="F109" s="983"/>
      <c r="G109" s="241">
        <v>997.31014932292771</v>
      </c>
      <c r="H109" s="983">
        <v>0</v>
      </c>
      <c r="I109" s="241">
        <v>947</v>
      </c>
      <c r="J109" s="241">
        <v>0</v>
      </c>
      <c r="K109" s="241">
        <v>939</v>
      </c>
      <c r="L109" s="241">
        <v>532</v>
      </c>
      <c r="M109" s="241">
        <v>264</v>
      </c>
      <c r="N109" s="241">
        <v>268</v>
      </c>
      <c r="O109" s="241">
        <v>67</v>
      </c>
      <c r="P109" s="241">
        <v>32</v>
      </c>
      <c r="Q109" s="241">
        <v>35</v>
      </c>
    </row>
    <row r="110" spans="1:17" s="36" customFormat="1" ht="15" customHeight="1" outlineLevel="1">
      <c r="A110" s="60"/>
      <c r="B110" s="68" t="s">
        <v>499</v>
      </c>
      <c r="C110" s="13" t="s">
        <v>240</v>
      </c>
      <c r="D110" s="241"/>
      <c r="E110" s="241">
        <f>'4.10_пр-во_котельн.'!E110+'4.10_транзит_котельн.'!E110+'4.10_сбыт_котельн.'!E110</f>
        <v>0</v>
      </c>
      <c r="F110" s="983"/>
      <c r="G110" s="241">
        <v>7.2194158440705465</v>
      </c>
      <c r="H110" s="983">
        <v>0</v>
      </c>
      <c r="I110" s="241">
        <v>7455</v>
      </c>
      <c r="J110" s="241">
        <v>0</v>
      </c>
      <c r="K110" s="241">
        <v>22080</v>
      </c>
      <c r="L110" s="241">
        <v>16</v>
      </c>
      <c r="M110" s="241">
        <v>5</v>
      </c>
      <c r="N110" s="241">
        <v>11</v>
      </c>
      <c r="O110" s="241">
        <v>16</v>
      </c>
      <c r="P110" s="241">
        <v>5</v>
      </c>
      <c r="Q110" s="241">
        <v>11</v>
      </c>
    </row>
    <row r="111" spans="1:17" s="1001" customFormat="1" ht="28.5">
      <c r="A111" s="82" t="s">
        <v>151</v>
      </c>
      <c r="B111" s="80" t="s">
        <v>1524</v>
      </c>
      <c r="C111" s="1002" t="s">
        <v>240</v>
      </c>
      <c r="D111" s="1000">
        <f>'4.10_пр-во_котельн.'!D111+'4.10_транзит_котельн.'!D111+'4.10_сбыт_котельн.'!D111</f>
        <v>1251</v>
      </c>
      <c r="E111" s="1000">
        <f>'4.10_пр-во_котельн.'!E111+'4.10_транзит_котельн.'!E111+'4.10_сбыт_котельн.'!E111</f>
        <v>5448.07</v>
      </c>
      <c r="F111" s="1006">
        <f>'4.10_пр-во_котельн.'!F111+'4.10_транзит_котельн.'!F111+'4.10_сбыт_котельн.'!F111</f>
        <v>3586</v>
      </c>
      <c r="G111" s="1000">
        <v>5454.1603144860628</v>
      </c>
      <c r="H111" s="1006">
        <v>2171.2000000000003</v>
      </c>
      <c r="I111" s="1000">
        <v>11351</v>
      </c>
      <c r="J111" s="1000">
        <v>0</v>
      </c>
      <c r="K111" s="1000">
        <v>36247</v>
      </c>
      <c r="L111" s="1000">
        <v>15472</v>
      </c>
      <c r="M111" s="1000">
        <v>7834</v>
      </c>
      <c r="N111" s="1000">
        <v>7638</v>
      </c>
      <c r="O111" s="1000">
        <v>13972</v>
      </c>
      <c r="P111" s="1000">
        <v>6985</v>
      </c>
      <c r="Q111" s="1000">
        <v>6987</v>
      </c>
    </row>
    <row r="112" spans="1:17" s="36" customFormat="1" ht="15" customHeight="1">
      <c r="A112" s="60" t="s">
        <v>153</v>
      </c>
      <c r="B112" s="70" t="s">
        <v>402</v>
      </c>
      <c r="C112" s="13" t="s">
        <v>240</v>
      </c>
      <c r="D112" s="241"/>
      <c r="E112" s="241"/>
      <c r="F112" s="983"/>
      <c r="G112" s="241"/>
      <c r="H112" s="983"/>
      <c r="I112" s="241"/>
      <c r="J112" s="241"/>
      <c r="K112" s="241"/>
      <c r="L112" s="241"/>
      <c r="M112" s="241"/>
      <c r="N112" s="241"/>
      <c r="O112" s="241"/>
      <c r="P112" s="241"/>
      <c r="Q112" s="241"/>
    </row>
    <row r="113" spans="1:17" s="36" customFormat="1" ht="15" customHeight="1">
      <c r="A113" s="60" t="s">
        <v>1528</v>
      </c>
      <c r="B113" s="70" t="s">
        <v>404</v>
      </c>
      <c r="C113" s="13" t="s">
        <v>240</v>
      </c>
      <c r="D113" s="241">
        <v>1251</v>
      </c>
      <c r="E113" s="241">
        <f>E111</f>
        <v>5448.07</v>
      </c>
      <c r="F113" s="983">
        <f t="shared" ref="F113:N113" si="2">F111</f>
        <v>3586</v>
      </c>
      <c r="G113" s="241">
        <v>5454.1603144860628</v>
      </c>
      <c r="H113" s="983">
        <v>2171.2000000000003</v>
      </c>
      <c r="I113" s="241">
        <v>11351</v>
      </c>
      <c r="J113" s="241">
        <v>0</v>
      </c>
      <c r="K113" s="241">
        <v>36247</v>
      </c>
      <c r="L113" s="241">
        <v>15472</v>
      </c>
      <c r="M113" s="241">
        <v>7834</v>
      </c>
      <c r="N113" s="241">
        <v>7638</v>
      </c>
      <c r="O113" s="241">
        <v>13972</v>
      </c>
      <c r="P113" s="241">
        <v>6985</v>
      </c>
      <c r="Q113" s="241">
        <v>6987</v>
      </c>
    </row>
    <row r="114" spans="1:17" s="36" customFormat="1" ht="15" customHeight="1">
      <c r="A114" s="60" t="s">
        <v>1529</v>
      </c>
      <c r="B114" s="70" t="s">
        <v>406</v>
      </c>
      <c r="C114" s="13" t="s">
        <v>240</v>
      </c>
      <c r="D114" s="241"/>
      <c r="E114" s="241"/>
      <c r="F114" s="983"/>
      <c r="G114" s="241"/>
      <c r="H114" s="983"/>
      <c r="I114" s="241"/>
      <c r="J114" s="241"/>
      <c r="K114" s="241"/>
      <c r="L114" s="241"/>
      <c r="M114" s="241"/>
      <c r="N114" s="241"/>
      <c r="O114" s="241"/>
      <c r="P114" s="241"/>
      <c r="Q114" s="241"/>
    </row>
    <row r="115" spans="1:17" s="36" customFormat="1" ht="15" customHeight="1">
      <c r="A115" s="60" t="s">
        <v>1530</v>
      </c>
      <c r="B115" s="70" t="s">
        <v>408</v>
      </c>
      <c r="C115" s="13" t="s">
        <v>240</v>
      </c>
      <c r="D115" s="241"/>
      <c r="E115" s="241"/>
      <c r="F115" s="241"/>
      <c r="G115" s="241"/>
      <c r="H115" s="983"/>
      <c r="I115" s="241"/>
      <c r="J115" s="241"/>
      <c r="K115" s="241"/>
      <c r="L115" s="241"/>
      <c r="M115" s="241"/>
      <c r="N115" s="241"/>
      <c r="O115" s="241"/>
      <c r="P115" s="241"/>
      <c r="Q115" s="241"/>
    </row>
    <row r="116" spans="1:17" customFormat="1" ht="12.75"/>
    <row r="117" spans="1:17" s="26" customFormat="1">
      <c r="A117" s="26" t="s">
        <v>88</v>
      </c>
      <c r="C117" s="48"/>
    </row>
    <row r="118" spans="1:17" s="541" customFormat="1" ht="51.75" customHeight="1">
      <c r="A118" s="541" t="s">
        <v>89</v>
      </c>
      <c r="B118" s="1842" t="s">
        <v>506</v>
      </c>
      <c r="C118" s="1842"/>
      <c r="D118" s="1842"/>
      <c r="E118" s="1842"/>
      <c r="F118" s="1842"/>
      <c r="G118" s="1842"/>
      <c r="H118" s="1842"/>
      <c r="I118" s="1842"/>
      <c r="J118" s="1842"/>
      <c r="K118" s="1842"/>
      <c r="L118" s="1842"/>
      <c r="M118" s="1842"/>
      <c r="N118" s="1842"/>
    </row>
    <row r="119" spans="1:17" s="541" customFormat="1" ht="58.5" customHeight="1">
      <c r="A119" s="541" t="s">
        <v>91</v>
      </c>
      <c r="B119" s="1842" t="s">
        <v>507</v>
      </c>
      <c r="C119" s="1842"/>
      <c r="D119" s="1842"/>
      <c r="E119" s="1842"/>
      <c r="F119" s="1842"/>
      <c r="G119" s="1842"/>
      <c r="H119" s="1842"/>
      <c r="I119" s="1842"/>
      <c r="J119" s="1842"/>
      <c r="K119" s="1842"/>
      <c r="L119" s="1842"/>
      <c r="M119" s="1842"/>
      <c r="N119" s="1842"/>
    </row>
    <row r="120" spans="1:17" ht="21" customHeight="1"/>
  </sheetData>
  <mergeCells count="3">
    <mergeCell ref="A3:N3"/>
    <mergeCell ref="B118:N118"/>
    <mergeCell ref="B119:N119"/>
  </mergeCells>
  <pageMargins left="0.78740157480314965" right="0.51181102362204722" top="0.3" bottom="0.39370078740157483" header="0.19685039370078741" footer="0.19685039370078741"/>
  <pageSetup paperSize="9" scale="43" orientation="portrait" r:id="rId1"/>
  <headerFooter alignWithMargins="0"/>
  <rowBreaks count="1" manualBreakCount="1">
    <brk id="116" max="6" man="1"/>
  </row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Q120"/>
  <sheetViews>
    <sheetView view="pageBreakPreview" zoomScaleNormal="100" workbookViewId="0">
      <pane xSplit="2" ySplit="5" topLeftCell="C66" activePane="bottomRight" state="frozen"/>
      <selection activeCell="Q7" sqref="Q7"/>
      <selection pane="topRight" activeCell="Q7" sqref="Q7"/>
      <selection pane="bottomLeft" activeCell="Q7" sqref="Q7"/>
      <selection pane="bottomRight" activeCell="R2" sqref="R2"/>
    </sheetView>
  </sheetViews>
  <sheetFormatPr defaultColWidth="4.28515625" defaultRowHeight="15" outlineLevelRow="1"/>
  <cols>
    <col min="1" max="1" width="5.42578125" style="1" customWidth="1"/>
    <col min="2" max="2" width="42.28515625" style="1" customWidth="1"/>
    <col min="3" max="3" width="12" style="21" customWidth="1"/>
    <col min="4" max="4" width="12.5703125" style="1" hidden="1" customWidth="1"/>
    <col min="5" max="5" width="11.5703125" style="1" hidden="1" customWidth="1"/>
    <col min="6" max="10" width="12.5703125" style="1" customWidth="1"/>
    <col min="11" max="11" width="15.7109375" style="1" customWidth="1"/>
    <col min="12" max="12" width="12.5703125" style="1" customWidth="1"/>
    <col min="13" max="13" width="11.42578125" style="1" customWidth="1"/>
    <col min="14" max="14" width="11" style="1" customWidth="1"/>
    <col min="15" max="15" width="12.7109375" style="1" customWidth="1"/>
    <col min="16" max="16" width="10.85546875" style="1" customWidth="1"/>
    <col min="17" max="17" width="10.5703125" style="1" customWidth="1"/>
    <col min="18" max="16384" width="4.28515625" style="1"/>
  </cols>
  <sheetData>
    <row r="1" spans="1:17" s="5" customFormat="1" ht="15.75" customHeight="1">
      <c r="A1" s="74" t="s">
        <v>1860</v>
      </c>
      <c r="C1" s="20"/>
      <c r="N1" s="6" t="s">
        <v>943</v>
      </c>
      <c r="Q1" s="6" t="s">
        <v>943</v>
      </c>
    </row>
    <row r="2" spans="1:17" s="5" customFormat="1" ht="12.75" customHeight="1">
      <c r="A2" s="105" t="str">
        <f>'4.10_свод_котельн.'!A2</f>
        <v>ПКГО - выработка котельными</v>
      </c>
      <c r="C2" s="20"/>
    </row>
    <row r="3" spans="1:17" ht="37.5" customHeight="1">
      <c r="A3" s="1915" t="s">
        <v>1183</v>
      </c>
      <c r="B3" s="1915"/>
      <c r="C3" s="1915"/>
      <c r="D3" s="1915"/>
      <c r="E3" s="1915"/>
      <c r="F3" s="1915"/>
      <c r="G3" s="1915"/>
      <c r="H3" s="1915"/>
      <c r="I3" s="1915"/>
      <c r="J3" s="1915"/>
      <c r="K3" s="1915"/>
      <c r="L3" s="1915"/>
      <c r="M3" s="1915"/>
      <c r="N3" s="1915"/>
    </row>
    <row r="4" spans="1:17" customFormat="1" ht="12.75" customHeight="1"/>
    <row r="5" spans="1:17" s="3" customFormat="1" ht="63" customHeight="1">
      <c r="A5" s="913" t="s">
        <v>1527</v>
      </c>
      <c r="B5" s="913" t="s">
        <v>1</v>
      </c>
      <c r="C5" s="913" t="s">
        <v>2</v>
      </c>
      <c r="D5" s="913" t="s">
        <v>1129</v>
      </c>
      <c r="E5" s="913" t="s">
        <v>1130</v>
      </c>
      <c r="F5" s="913" t="s">
        <v>1131</v>
      </c>
      <c r="G5" s="913" t="s">
        <v>1695</v>
      </c>
      <c r="H5" s="1284" t="s">
        <v>1696</v>
      </c>
      <c r="I5" s="1576" t="s">
        <v>1828</v>
      </c>
      <c r="J5" s="1613" t="s">
        <v>1842</v>
      </c>
      <c r="K5" s="1631" t="s">
        <v>1861</v>
      </c>
      <c r="L5" s="1631" t="s">
        <v>1862</v>
      </c>
      <c r="M5" s="1631" t="s">
        <v>763</v>
      </c>
      <c r="N5" s="1631" t="s">
        <v>764</v>
      </c>
      <c r="O5" s="1631" t="s">
        <v>1863</v>
      </c>
      <c r="P5" s="1631" t="s">
        <v>763</v>
      </c>
      <c r="Q5" s="1631" t="s">
        <v>764</v>
      </c>
    </row>
    <row r="6" spans="1:17" s="2" customFormat="1">
      <c r="A6" s="13">
        <v>1</v>
      </c>
      <c r="B6" s="13">
        <v>2</v>
      </c>
      <c r="C6" s="13">
        <v>3</v>
      </c>
      <c r="D6" s="13">
        <v>4</v>
      </c>
      <c r="E6" s="13">
        <v>5</v>
      </c>
      <c r="F6" s="13">
        <v>4</v>
      </c>
      <c r="G6" s="13">
        <v>5</v>
      </c>
      <c r="H6" s="13">
        <v>6</v>
      </c>
      <c r="I6" s="13">
        <v>7</v>
      </c>
      <c r="J6" s="13">
        <v>8</v>
      </c>
      <c r="K6" s="13">
        <v>9</v>
      </c>
      <c r="L6" s="13">
        <v>10</v>
      </c>
      <c r="M6" s="13">
        <v>11</v>
      </c>
      <c r="N6" s="13">
        <v>12</v>
      </c>
      <c r="O6" s="13">
        <v>13</v>
      </c>
      <c r="P6" s="13">
        <v>14</v>
      </c>
      <c r="Q6" s="13">
        <v>15</v>
      </c>
    </row>
    <row r="7" spans="1:17" s="1001" customFormat="1" ht="30" customHeight="1">
      <c r="A7" s="82" t="s">
        <v>4</v>
      </c>
      <c r="B7" s="80" t="s">
        <v>486</v>
      </c>
      <c r="C7" s="1002" t="s">
        <v>240</v>
      </c>
      <c r="D7" s="1000">
        <v>11826</v>
      </c>
      <c r="E7" s="1000">
        <f t="shared" ref="E7" si="0">E8+E9+E10+E11+E17+E18+E19+E20</f>
        <v>23257</v>
      </c>
      <c r="F7" s="1000">
        <v>29012</v>
      </c>
      <c r="G7" s="1000">
        <v>76595</v>
      </c>
      <c r="H7" s="1000">
        <v>27631.261599999998</v>
      </c>
      <c r="I7" s="1000">
        <v>13187</v>
      </c>
      <c r="J7" s="1000">
        <v>0</v>
      </c>
      <c r="K7" s="1000">
        <v>32720</v>
      </c>
      <c r="L7" s="1000">
        <v>42463</v>
      </c>
      <c r="M7" s="1000">
        <v>42463</v>
      </c>
      <c r="N7" s="1000">
        <v>42463</v>
      </c>
      <c r="O7" s="1000">
        <v>43835</v>
      </c>
      <c r="P7" s="1000">
        <v>43835</v>
      </c>
      <c r="Q7" s="1000">
        <v>43835</v>
      </c>
    </row>
    <row r="8" spans="1:17" s="36" customFormat="1" ht="15" customHeight="1" outlineLevel="1">
      <c r="A8" s="60"/>
      <c r="B8" s="68" t="s">
        <v>487</v>
      </c>
      <c r="C8" s="13" t="s">
        <v>240</v>
      </c>
      <c r="D8" s="241"/>
      <c r="E8" s="241">
        <v>9938</v>
      </c>
      <c r="F8" s="241"/>
      <c r="G8" s="241">
        <v>63222</v>
      </c>
      <c r="H8" s="241"/>
      <c r="I8" s="241">
        <v>6007</v>
      </c>
      <c r="J8" s="241"/>
      <c r="K8" s="241">
        <v>3578</v>
      </c>
      <c r="L8" s="241">
        <v>3578</v>
      </c>
      <c r="M8" s="241">
        <v>3578</v>
      </c>
      <c r="N8" s="241">
        <v>3578</v>
      </c>
      <c r="O8" s="241">
        <v>3578</v>
      </c>
      <c r="P8" s="241">
        <v>3578</v>
      </c>
      <c r="Q8" s="241">
        <v>3578</v>
      </c>
    </row>
    <row r="9" spans="1:17" s="36" customFormat="1" ht="15" customHeight="1" outlineLevel="1">
      <c r="A9" s="60"/>
      <c r="B9" s="68" t="s">
        <v>488</v>
      </c>
      <c r="C9" s="13" t="s">
        <v>240</v>
      </c>
      <c r="D9" s="241"/>
      <c r="E9" s="241">
        <v>310</v>
      </c>
      <c r="F9" s="241"/>
      <c r="G9" s="241">
        <v>168</v>
      </c>
      <c r="H9" s="241"/>
      <c r="I9" s="241">
        <v>73</v>
      </c>
      <c r="J9" s="241"/>
      <c r="K9" s="241">
        <v>268</v>
      </c>
      <c r="L9" s="241">
        <v>268</v>
      </c>
      <c r="M9" s="241">
        <v>268</v>
      </c>
      <c r="N9" s="241">
        <v>268</v>
      </c>
      <c r="O9" s="241">
        <v>268</v>
      </c>
      <c r="P9" s="241">
        <v>268</v>
      </c>
      <c r="Q9" s="241">
        <v>268</v>
      </c>
    </row>
    <row r="10" spans="1:17" s="36" customFormat="1" ht="15" customHeight="1" outlineLevel="1">
      <c r="A10" s="60"/>
      <c r="B10" s="68" t="s">
        <v>489</v>
      </c>
      <c r="C10" s="13" t="s">
        <v>240</v>
      </c>
      <c r="D10" s="241"/>
      <c r="E10" s="241"/>
      <c r="F10" s="241"/>
      <c r="G10" s="241">
        <v>0</v>
      </c>
      <c r="H10" s="241"/>
      <c r="I10" s="241"/>
      <c r="J10" s="241"/>
      <c r="K10" s="241">
        <v>3260</v>
      </c>
      <c r="L10" s="241">
        <v>11953</v>
      </c>
      <c r="M10" s="241">
        <v>11953</v>
      </c>
      <c r="N10" s="241">
        <v>11953</v>
      </c>
      <c r="O10" s="241">
        <v>12328</v>
      </c>
      <c r="P10" s="241">
        <v>12328</v>
      </c>
      <c r="Q10" s="241">
        <v>12328</v>
      </c>
    </row>
    <row r="11" spans="1:17" s="36" customFormat="1" ht="15" customHeight="1" outlineLevel="1">
      <c r="A11" s="60"/>
      <c r="B11" s="68" t="s">
        <v>490</v>
      </c>
      <c r="C11" s="13" t="s">
        <v>240</v>
      </c>
      <c r="D11" s="241"/>
      <c r="E11" s="241">
        <f>SUM(E12:E16)</f>
        <v>7489</v>
      </c>
      <c r="F11" s="241"/>
      <c r="G11" s="241">
        <v>8974</v>
      </c>
      <c r="H11" s="241">
        <v>0</v>
      </c>
      <c r="I11" s="241">
        <v>4995</v>
      </c>
      <c r="J11" s="241"/>
      <c r="K11" s="241">
        <v>22888</v>
      </c>
      <c r="L11" s="241">
        <v>23938</v>
      </c>
      <c r="M11" s="241">
        <v>23938</v>
      </c>
      <c r="N11" s="241">
        <v>23938</v>
      </c>
      <c r="O11" s="241">
        <v>24358</v>
      </c>
      <c r="P11" s="241">
        <v>24358</v>
      </c>
      <c r="Q11" s="241">
        <v>24358</v>
      </c>
    </row>
    <row r="12" spans="1:17" s="36" customFormat="1" ht="15" customHeight="1" outlineLevel="1">
      <c r="A12" s="60"/>
      <c r="B12" s="68" t="s">
        <v>491</v>
      </c>
      <c r="C12" s="13" t="s">
        <v>240</v>
      </c>
      <c r="D12" s="241"/>
      <c r="E12" s="241"/>
      <c r="F12" s="241"/>
      <c r="G12" s="241">
        <v>0</v>
      </c>
      <c r="H12" s="241"/>
      <c r="I12" s="241"/>
      <c r="J12" s="241"/>
      <c r="K12" s="241">
        <v>0</v>
      </c>
      <c r="L12" s="241">
        <v>0</v>
      </c>
      <c r="M12" s="241">
        <v>0</v>
      </c>
      <c r="N12" s="241">
        <v>0</v>
      </c>
      <c r="O12" s="241">
        <v>0</v>
      </c>
      <c r="P12" s="241">
        <v>0</v>
      </c>
      <c r="Q12" s="241">
        <v>0</v>
      </c>
    </row>
    <row r="13" spans="1:17" s="36" customFormat="1" ht="15" customHeight="1" outlineLevel="1">
      <c r="A13" s="60"/>
      <c r="B13" s="70" t="s">
        <v>492</v>
      </c>
      <c r="C13" s="13" t="s">
        <v>240</v>
      </c>
      <c r="D13" s="241"/>
      <c r="E13" s="241"/>
      <c r="F13" s="241"/>
      <c r="G13" s="241">
        <v>0</v>
      </c>
      <c r="H13" s="241"/>
      <c r="I13" s="241"/>
      <c r="J13" s="241"/>
      <c r="K13" s="241">
        <v>0</v>
      </c>
      <c r="L13" s="241">
        <v>0</v>
      </c>
      <c r="M13" s="241">
        <v>0</v>
      </c>
      <c r="N13" s="241">
        <v>0</v>
      </c>
      <c r="O13" s="241">
        <v>0</v>
      </c>
      <c r="P13" s="241">
        <v>0</v>
      </c>
      <c r="Q13" s="241">
        <v>0</v>
      </c>
    </row>
    <row r="14" spans="1:17" s="36" customFormat="1" ht="15" customHeight="1" outlineLevel="1">
      <c r="A14" s="60"/>
      <c r="B14" s="70" t="s">
        <v>493</v>
      </c>
      <c r="C14" s="13" t="s">
        <v>240</v>
      </c>
      <c r="D14" s="241"/>
      <c r="E14" s="241"/>
      <c r="F14" s="241"/>
      <c r="G14" s="241">
        <v>31</v>
      </c>
      <c r="H14" s="241"/>
      <c r="I14" s="241">
        <v>55</v>
      </c>
      <c r="J14" s="241"/>
      <c r="K14" s="241">
        <v>114</v>
      </c>
      <c r="L14" s="241">
        <v>114</v>
      </c>
      <c r="M14" s="241">
        <v>114</v>
      </c>
      <c r="N14" s="241">
        <v>114</v>
      </c>
      <c r="O14" s="241">
        <v>114</v>
      </c>
      <c r="P14" s="241">
        <v>114</v>
      </c>
      <c r="Q14" s="241">
        <v>114</v>
      </c>
    </row>
    <row r="15" spans="1:17" s="36" customFormat="1" ht="15" customHeight="1" outlineLevel="1">
      <c r="A15" s="60"/>
      <c r="B15" s="70" t="s">
        <v>494</v>
      </c>
      <c r="C15" s="13" t="s">
        <v>240</v>
      </c>
      <c r="D15" s="241"/>
      <c r="E15" s="241">
        <f>5577-38</f>
        <v>5539</v>
      </c>
      <c r="F15" s="241"/>
      <c r="G15" s="241">
        <v>5734</v>
      </c>
      <c r="H15" s="241"/>
      <c r="I15" s="241">
        <v>2892</v>
      </c>
      <c r="J15" s="241"/>
      <c r="K15" s="241">
        <v>2994</v>
      </c>
      <c r="L15" s="241">
        <v>2994</v>
      </c>
      <c r="M15" s="241">
        <v>2994</v>
      </c>
      <c r="N15" s="241">
        <v>2994</v>
      </c>
      <c r="O15" s="241">
        <v>2994</v>
      </c>
      <c r="P15" s="241">
        <v>2994</v>
      </c>
      <c r="Q15" s="241">
        <v>2994</v>
      </c>
    </row>
    <row r="16" spans="1:17" s="36" customFormat="1" ht="15" customHeight="1" outlineLevel="1">
      <c r="A16" s="60"/>
      <c r="B16" s="70" t="s">
        <v>495</v>
      </c>
      <c r="C16" s="13" t="s">
        <v>240</v>
      </c>
      <c r="D16" s="241"/>
      <c r="E16" s="241">
        <f>1948+2</f>
        <v>1950</v>
      </c>
      <c r="F16" s="241"/>
      <c r="G16" s="241">
        <v>3209</v>
      </c>
      <c r="H16" s="241"/>
      <c r="I16" s="241">
        <v>2048</v>
      </c>
      <c r="J16" s="241"/>
      <c r="K16" s="241">
        <v>19780</v>
      </c>
      <c r="L16" s="241">
        <v>20830</v>
      </c>
      <c r="M16" s="241">
        <v>20830</v>
      </c>
      <c r="N16" s="241">
        <v>20830</v>
      </c>
      <c r="O16" s="241">
        <v>21250</v>
      </c>
      <c r="P16" s="241">
        <v>21250</v>
      </c>
      <c r="Q16" s="241">
        <v>21250</v>
      </c>
    </row>
    <row r="17" spans="1:17" s="36" customFormat="1" ht="15" customHeight="1" outlineLevel="1">
      <c r="A17" s="60"/>
      <c r="B17" s="70" t="s">
        <v>496</v>
      </c>
      <c r="C17" s="13" t="s">
        <v>240</v>
      </c>
      <c r="D17" s="241"/>
      <c r="E17" s="241">
        <v>144</v>
      </c>
      <c r="F17" s="241"/>
      <c r="G17" s="241">
        <v>183</v>
      </c>
      <c r="H17" s="241"/>
      <c r="I17" s="241">
        <v>92</v>
      </c>
      <c r="J17" s="241"/>
      <c r="K17" s="241">
        <v>713</v>
      </c>
      <c r="L17" s="241">
        <v>713</v>
      </c>
      <c r="M17" s="241">
        <v>713</v>
      </c>
      <c r="N17" s="241">
        <v>713</v>
      </c>
      <c r="O17" s="241">
        <v>1290</v>
      </c>
      <c r="P17" s="241">
        <v>1290</v>
      </c>
      <c r="Q17" s="241">
        <v>1290</v>
      </c>
    </row>
    <row r="18" spans="1:17" s="36" customFormat="1" ht="15" customHeight="1" outlineLevel="1">
      <c r="A18" s="60"/>
      <c r="B18" s="70" t="s">
        <v>497</v>
      </c>
      <c r="C18" s="13" t="s">
        <v>240</v>
      </c>
      <c r="D18" s="241"/>
      <c r="E18" s="241"/>
      <c r="F18" s="241"/>
      <c r="G18" s="241">
        <v>0</v>
      </c>
      <c r="H18" s="241"/>
      <c r="I18" s="241"/>
      <c r="J18" s="241"/>
      <c r="K18" s="241">
        <v>0</v>
      </c>
      <c r="L18" s="241">
        <v>0</v>
      </c>
      <c r="M18" s="241">
        <v>0</v>
      </c>
      <c r="N18" s="241">
        <v>0</v>
      </c>
      <c r="O18" s="241">
        <v>0</v>
      </c>
      <c r="P18" s="241">
        <v>0</v>
      </c>
      <c r="Q18" s="241">
        <v>0</v>
      </c>
    </row>
    <row r="19" spans="1:17" s="36" customFormat="1" ht="15" customHeight="1" outlineLevel="1">
      <c r="A19" s="60"/>
      <c r="B19" s="68" t="s">
        <v>498</v>
      </c>
      <c r="C19" s="13" t="s">
        <v>240</v>
      </c>
      <c r="D19" s="241"/>
      <c r="E19" s="241">
        <f>5163-138+4+1+1+1</f>
        <v>5032</v>
      </c>
      <c r="F19" s="241"/>
      <c r="G19" s="241">
        <v>3928</v>
      </c>
      <c r="H19" s="241"/>
      <c r="I19" s="241">
        <v>1891</v>
      </c>
      <c r="J19" s="241"/>
      <c r="K19" s="241">
        <v>1884</v>
      </c>
      <c r="L19" s="241">
        <v>1884</v>
      </c>
      <c r="M19" s="241">
        <v>1884</v>
      </c>
      <c r="N19" s="241">
        <v>1884</v>
      </c>
      <c r="O19" s="241">
        <v>1884</v>
      </c>
      <c r="P19" s="241">
        <v>1884</v>
      </c>
      <c r="Q19" s="241">
        <v>1884</v>
      </c>
    </row>
    <row r="20" spans="1:17" s="36" customFormat="1" ht="15" customHeight="1" outlineLevel="1">
      <c r="A20" s="60"/>
      <c r="B20" s="68" t="s">
        <v>499</v>
      </c>
      <c r="C20" s="13" t="s">
        <v>240</v>
      </c>
      <c r="D20" s="241"/>
      <c r="E20" s="241">
        <v>344</v>
      </c>
      <c r="F20" s="241"/>
      <c r="G20" s="241">
        <v>120</v>
      </c>
      <c r="H20" s="241"/>
      <c r="I20" s="241">
        <v>129</v>
      </c>
      <c r="J20" s="241"/>
      <c r="K20" s="241">
        <v>129</v>
      </c>
      <c r="L20" s="241">
        <v>129</v>
      </c>
      <c r="M20" s="241">
        <v>129</v>
      </c>
      <c r="N20" s="241">
        <v>129</v>
      </c>
      <c r="O20" s="241">
        <v>129</v>
      </c>
      <c r="P20" s="241">
        <v>129</v>
      </c>
      <c r="Q20" s="241">
        <v>129</v>
      </c>
    </row>
    <row r="21" spans="1:17" s="36" customFormat="1">
      <c r="A21" s="60"/>
      <c r="B21" s="68"/>
      <c r="C21" s="13"/>
      <c r="D21" s="241"/>
      <c r="E21" s="241"/>
      <c r="F21" s="241"/>
      <c r="G21" s="241"/>
      <c r="H21" s="241"/>
      <c r="I21" s="241"/>
      <c r="J21" s="241"/>
      <c r="K21" s="241"/>
      <c r="L21" s="241"/>
      <c r="M21" s="241"/>
      <c r="N21" s="241"/>
      <c r="O21" s="241"/>
      <c r="P21" s="241"/>
      <c r="Q21" s="241"/>
    </row>
    <row r="22" spans="1:17" s="1001" customFormat="1" ht="60" customHeight="1">
      <c r="A22" s="82" t="s">
        <v>23</v>
      </c>
      <c r="B22" s="80" t="s">
        <v>500</v>
      </c>
      <c r="C22" s="1002" t="s">
        <v>240</v>
      </c>
      <c r="D22" s="1000">
        <f t="shared" ref="D22:N22" si="1">D23+D24+D25+D26+D32+D33+D34+D35</f>
        <v>0</v>
      </c>
      <c r="E22" s="1000">
        <f t="shared" si="1"/>
        <v>58429</v>
      </c>
      <c r="F22" s="1000">
        <f t="shared" si="1"/>
        <v>0</v>
      </c>
      <c r="G22" s="1000">
        <v>0</v>
      </c>
      <c r="H22" s="1000">
        <v>0</v>
      </c>
      <c r="I22" s="1000">
        <v>0</v>
      </c>
      <c r="J22" s="1000">
        <v>0</v>
      </c>
      <c r="K22" s="1000">
        <v>0</v>
      </c>
      <c r="L22" s="1000">
        <v>0</v>
      </c>
      <c r="M22" s="1000">
        <v>0</v>
      </c>
      <c r="N22" s="1000">
        <v>0</v>
      </c>
      <c r="O22" s="1000">
        <v>0</v>
      </c>
      <c r="P22" s="1000">
        <v>0</v>
      </c>
      <c r="Q22" s="1000">
        <v>0</v>
      </c>
    </row>
    <row r="23" spans="1:17" s="36" customFormat="1" ht="15" customHeight="1" outlineLevel="1">
      <c r="A23" s="60"/>
      <c r="B23" s="68" t="s">
        <v>487</v>
      </c>
      <c r="C23" s="13" t="s">
        <v>240</v>
      </c>
      <c r="D23" s="241"/>
      <c r="E23" s="241">
        <v>58429</v>
      </c>
      <c r="F23" s="241"/>
      <c r="G23" s="241"/>
      <c r="H23" s="241"/>
      <c r="I23" s="241"/>
      <c r="J23" s="241"/>
      <c r="K23" s="241"/>
      <c r="L23" s="241"/>
      <c r="M23" s="241"/>
      <c r="N23" s="241"/>
      <c r="O23" s="241"/>
      <c r="P23" s="241"/>
      <c r="Q23" s="241"/>
    </row>
    <row r="24" spans="1:17" s="36" customFormat="1" ht="15" customHeight="1" outlineLevel="1">
      <c r="A24" s="60"/>
      <c r="B24" s="68" t="s">
        <v>488</v>
      </c>
      <c r="C24" s="13" t="s">
        <v>240</v>
      </c>
      <c r="D24" s="241"/>
      <c r="E24" s="241"/>
      <c r="F24" s="241"/>
      <c r="G24" s="241"/>
      <c r="H24" s="241"/>
      <c r="I24" s="241"/>
      <c r="J24" s="241"/>
      <c r="K24" s="241"/>
      <c r="L24" s="241"/>
      <c r="M24" s="241"/>
      <c r="N24" s="241"/>
      <c r="O24" s="241"/>
      <c r="P24" s="241"/>
      <c r="Q24" s="241"/>
    </row>
    <row r="25" spans="1:17" s="36" customFormat="1" ht="15" customHeight="1" outlineLevel="1">
      <c r="A25" s="60"/>
      <c r="B25" s="68" t="s">
        <v>489</v>
      </c>
      <c r="C25" s="13" t="s">
        <v>240</v>
      </c>
      <c r="D25" s="241"/>
      <c r="E25" s="241"/>
      <c r="F25" s="241"/>
      <c r="G25" s="241"/>
      <c r="H25" s="241"/>
      <c r="I25" s="241"/>
      <c r="J25" s="241"/>
      <c r="K25" s="241"/>
      <c r="L25" s="241"/>
      <c r="M25" s="241"/>
      <c r="N25" s="241"/>
      <c r="O25" s="241"/>
      <c r="P25" s="241"/>
      <c r="Q25" s="241"/>
    </row>
    <row r="26" spans="1:17" s="36" customFormat="1" ht="15" customHeight="1" outlineLevel="1">
      <c r="A26" s="60"/>
      <c r="B26" s="68" t="s">
        <v>490</v>
      </c>
      <c r="C26" s="13" t="s">
        <v>240</v>
      </c>
      <c r="D26" s="241"/>
      <c r="E26" s="241"/>
      <c r="F26" s="241"/>
      <c r="G26" s="241"/>
      <c r="H26" s="241"/>
      <c r="I26" s="241"/>
      <c r="J26" s="241"/>
      <c r="K26" s="241"/>
      <c r="L26" s="241"/>
      <c r="M26" s="241"/>
      <c r="N26" s="241"/>
      <c r="O26" s="241"/>
      <c r="P26" s="241"/>
      <c r="Q26" s="241"/>
    </row>
    <row r="27" spans="1:17" s="36" customFormat="1" ht="15" customHeight="1" outlineLevel="1">
      <c r="A27" s="60"/>
      <c r="B27" s="68" t="s">
        <v>491</v>
      </c>
      <c r="C27" s="13" t="s">
        <v>240</v>
      </c>
      <c r="D27" s="241"/>
      <c r="E27" s="241"/>
      <c r="F27" s="241"/>
      <c r="G27" s="241"/>
      <c r="H27" s="241"/>
      <c r="I27" s="241"/>
      <c r="J27" s="241"/>
      <c r="K27" s="241"/>
      <c r="L27" s="241"/>
      <c r="M27" s="241"/>
      <c r="N27" s="241"/>
      <c r="O27" s="241"/>
      <c r="P27" s="241"/>
      <c r="Q27" s="241"/>
    </row>
    <row r="28" spans="1:17" s="36" customFormat="1" ht="15" customHeight="1" outlineLevel="1">
      <c r="A28" s="60"/>
      <c r="B28" s="70" t="s">
        <v>492</v>
      </c>
      <c r="C28" s="13" t="s">
        <v>240</v>
      </c>
      <c r="D28" s="241"/>
      <c r="E28" s="241"/>
      <c r="F28" s="241"/>
      <c r="G28" s="241"/>
      <c r="H28" s="241"/>
      <c r="I28" s="241"/>
      <c r="J28" s="241"/>
      <c r="K28" s="241"/>
      <c r="L28" s="241"/>
      <c r="M28" s="241"/>
      <c r="N28" s="241"/>
      <c r="O28" s="241"/>
      <c r="P28" s="241"/>
      <c r="Q28" s="241"/>
    </row>
    <row r="29" spans="1:17" s="36" customFormat="1" ht="15" customHeight="1" outlineLevel="1">
      <c r="A29" s="60"/>
      <c r="B29" s="70" t="s">
        <v>493</v>
      </c>
      <c r="C29" s="13" t="s">
        <v>240</v>
      </c>
      <c r="D29" s="241"/>
      <c r="E29" s="241"/>
      <c r="F29" s="241"/>
      <c r="G29" s="241"/>
      <c r="H29" s="241"/>
      <c r="I29" s="241"/>
      <c r="J29" s="241"/>
      <c r="K29" s="241"/>
      <c r="L29" s="241"/>
      <c r="M29" s="241"/>
      <c r="N29" s="241"/>
      <c r="O29" s="241"/>
      <c r="P29" s="241"/>
      <c r="Q29" s="241"/>
    </row>
    <row r="30" spans="1:17" s="36" customFormat="1" ht="15" customHeight="1" outlineLevel="1">
      <c r="A30" s="60"/>
      <c r="B30" s="70" t="s">
        <v>494</v>
      </c>
      <c r="C30" s="13" t="s">
        <v>240</v>
      </c>
      <c r="D30" s="241"/>
      <c r="E30" s="241"/>
      <c r="F30" s="241"/>
      <c r="G30" s="241"/>
      <c r="H30" s="241"/>
      <c r="I30" s="241"/>
      <c r="J30" s="241"/>
      <c r="K30" s="241"/>
      <c r="L30" s="241"/>
      <c r="M30" s="241"/>
      <c r="N30" s="241"/>
      <c r="O30" s="241"/>
      <c r="P30" s="241"/>
      <c r="Q30" s="241"/>
    </row>
    <row r="31" spans="1:17" s="36" customFormat="1" ht="15" customHeight="1" outlineLevel="1">
      <c r="A31" s="60"/>
      <c r="B31" s="70" t="s">
        <v>495</v>
      </c>
      <c r="C31" s="13" t="s">
        <v>240</v>
      </c>
      <c r="D31" s="241"/>
      <c r="E31" s="241"/>
      <c r="F31" s="241"/>
      <c r="G31" s="241"/>
      <c r="H31" s="241"/>
      <c r="I31" s="241"/>
      <c r="J31" s="241"/>
      <c r="K31" s="241"/>
      <c r="L31" s="241"/>
      <c r="M31" s="241"/>
      <c r="N31" s="241"/>
      <c r="O31" s="241"/>
      <c r="P31" s="241"/>
      <c r="Q31" s="241"/>
    </row>
    <row r="32" spans="1:17" s="36" customFormat="1" ht="15" customHeight="1" outlineLevel="1">
      <c r="A32" s="60"/>
      <c r="B32" s="70" t="s">
        <v>496</v>
      </c>
      <c r="C32" s="13" t="s">
        <v>240</v>
      </c>
      <c r="D32" s="241"/>
      <c r="E32" s="241"/>
      <c r="F32" s="241"/>
      <c r="G32" s="241"/>
      <c r="H32" s="241"/>
      <c r="I32" s="241"/>
      <c r="J32" s="241"/>
      <c r="K32" s="241"/>
      <c r="L32" s="241"/>
      <c r="M32" s="241"/>
      <c r="N32" s="241"/>
      <c r="O32" s="241"/>
      <c r="P32" s="241"/>
      <c r="Q32" s="241"/>
    </row>
    <row r="33" spans="1:17" s="36" customFormat="1" ht="15" customHeight="1" outlineLevel="1">
      <c r="A33" s="60"/>
      <c r="B33" s="70" t="s">
        <v>497</v>
      </c>
      <c r="C33" s="13" t="s">
        <v>240</v>
      </c>
      <c r="D33" s="241"/>
      <c r="E33" s="241"/>
      <c r="F33" s="241"/>
      <c r="G33" s="241"/>
      <c r="H33" s="241"/>
      <c r="I33" s="241"/>
      <c r="J33" s="241"/>
      <c r="K33" s="241"/>
      <c r="L33" s="241"/>
      <c r="M33" s="241"/>
      <c r="N33" s="241"/>
      <c r="O33" s="241"/>
      <c r="P33" s="241"/>
      <c r="Q33" s="241"/>
    </row>
    <row r="34" spans="1:17" s="36" customFormat="1" ht="15" customHeight="1" outlineLevel="1">
      <c r="A34" s="60"/>
      <c r="B34" s="68" t="s">
        <v>498</v>
      </c>
      <c r="C34" s="13" t="s">
        <v>240</v>
      </c>
      <c r="D34" s="241"/>
      <c r="E34" s="241"/>
      <c r="F34" s="241"/>
      <c r="G34" s="241"/>
      <c r="H34" s="241"/>
      <c r="I34" s="241"/>
      <c r="J34" s="241"/>
      <c r="K34" s="241"/>
      <c r="L34" s="241"/>
      <c r="M34" s="241"/>
      <c r="N34" s="241"/>
      <c r="O34" s="241"/>
      <c r="P34" s="241"/>
      <c r="Q34" s="241"/>
    </row>
    <row r="35" spans="1:17" s="36" customFormat="1" ht="15" customHeight="1" outlineLevel="1">
      <c r="A35" s="60"/>
      <c r="B35" s="68" t="s">
        <v>499</v>
      </c>
      <c r="C35" s="13" t="s">
        <v>240</v>
      </c>
      <c r="D35" s="241"/>
      <c r="E35" s="241"/>
      <c r="F35" s="241"/>
      <c r="G35" s="241"/>
      <c r="H35" s="241"/>
      <c r="I35" s="241"/>
      <c r="J35" s="241"/>
      <c r="K35" s="241"/>
      <c r="L35" s="241"/>
      <c r="M35" s="241"/>
      <c r="N35" s="241"/>
      <c r="O35" s="241"/>
      <c r="P35" s="241"/>
      <c r="Q35" s="241"/>
    </row>
    <row r="36" spans="1:17" s="36" customFormat="1">
      <c r="A36" s="60"/>
      <c r="B36" s="68"/>
      <c r="C36" s="13"/>
      <c r="D36" s="241"/>
      <c r="E36" s="241"/>
      <c r="F36" s="241"/>
      <c r="G36" s="241"/>
      <c r="H36" s="241"/>
      <c r="I36" s="241"/>
      <c r="J36" s="241"/>
      <c r="K36" s="241"/>
      <c r="L36" s="241"/>
      <c r="M36" s="241"/>
      <c r="N36" s="241"/>
      <c r="O36" s="241"/>
      <c r="P36" s="241"/>
      <c r="Q36" s="241"/>
    </row>
    <row r="37" spans="1:17" s="1001" customFormat="1" ht="28.5">
      <c r="A37" s="82" t="s">
        <v>27</v>
      </c>
      <c r="B37" s="80" t="s">
        <v>501</v>
      </c>
      <c r="C37" s="1002" t="s">
        <v>240</v>
      </c>
      <c r="D37" s="1000">
        <v>0</v>
      </c>
      <c r="E37" s="1000">
        <f t="shared" ref="E37:N37" si="2">E38+E39+E40+E41+E47+E48+E49+E50</f>
        <v>4719.4400000000005</v>
      </c>
      <c r="F37" s="1000">
        <f t="shared" si="2"/>
        <v>0</v>
      </c>
      <c r="G37" s="1000">
        <v>2131</v>
      </c>
      <c r="H37" s="1000">
        <v>0</v>
      </c>
      <c r="I37" s="1000">
        <v>26731</v>
      </c>
      <c r="J37" s="1000">
        <v>0</v>
      </c>
      <c r="K37" s="1000">
        <v>9743</v>
      </c>
      <c r="L37" s="1000">
        <v>1372</v>
      </c>
      <c r="M37" s="1000">
        <v>0</v>
      </c>
      <c r="N37" s="1000">
        <v>1372</v>
      </c>
      <c r="O37" s="1000">
        <v>1365</v>
      </c>
      <c r="P37" s="1000">
        <v>0</v>
      </c>
      <c r="Q37" s="1000">
        <v>1365</v>
      </c>
    </row>
    <row r="38" spans="1:17" s="36" customFormat="1" ht="15" customHeight="1">
      <c r="A38" s="60"/>
      <c r="B38" s="68" t="s">
        <v>487</v>
      </c>
      <c r="C38" s="13" t="s">
        <v>240</v>
      </c>
      <c r="D38" s="241"/>
      <c r="E38" s="241"/>
      <c r="F38" s="241"/>
      <c r="G38" s="241">
        <v>0</v>
      </c>
      <c r="H38" s="241"/>
      <c r="I38" s="241">
        <v>2774</v>
      </c>
      <c r="J38" s="241"/>
      <c r="K38" s="241"/>
      <c r="L38" s="241"/>
      <c r="M38" s="241"/>
      <c r="N38" s="241"/>
      <c r="O38" s="241"/>
      <c r="P38" s="241"/>
      <c r="Q38" s="241"/>
    </row>
    <row r="39" spans="1:17" s="36" customFormat="1" ht="15" customHeight="1" outlineLevel="1">
      <c r="A39" s="60"/>
      <c r="B39" s="68" t="s">
        <v>488</v>
      </c>
      <c r="C39" s="13" t="s">
        <v>240</v>
      </c>
      <c r="D39" s="241"/>
      <c r="E39" s="241"/>
      <c r="F39" s="241"/>
      <c r="G39" s="241">
        <v>0</v>
      </c>
      <c r="H39" s="241"/>
      <c r="I39" s="241">
        <v>195</v>
      </c>
      <c r="J39" s="241"/>
      <c r="K39" s="241"/>
      <c r="L39" s="241"/>
      <c r="M39" s="241"/>
      <c r="N39" s="241"/>
      <c r="O39" s="241"/>
      <c r="P39" s="241"/>
      <c r="Q39" s="241"/>
    </row>
    <row r="40" spans="1:17" s="36" customFormat="1" ht="15" customHeight="1" outlineLevel="1">
      <c r="A40" s="60"/>
      <c r="B40" s="68" t="s">
        <v>489</v>
      </c>
      <c r="C40" s="13" t="s">
        <v>240</v>
      </c>
      <c r="D40" s="241"/>
      <c r="E40" s="241"/>
      <c r="F40" s="241"/>
      <c r="G40" s="241">
        <v>0</v>
      </c>
      <c r="H40" s="241"/>
      <c r="I40" s="241">
        <v>3260</v>
      </c>
      <c r="J40" s="241"/>
      <c r="K40" s="241">
        <v>8693</v>
      </c>
      <c r="L40" s="241">
        <v>375</v>
      </c>
      <c r="M40" s="241"/>
      <c r="N40" s="241">
        <v>375</v>
      </c>
      <c r="O40" s="241">
        <v>380</v>
      </c>
      <c r="P40" s="241"/>
      <c r="Q40" s="241">
        <v>380</v>
      </c>
    </row>
    <row r="41" spans="1:17" s="36" customFormat="1" ht="15" customHeight="1" outlineLevel="1">
      <c r="A41" s="60"/>
      <c r="B41" s="68" t="s">
        <v>490</v>
      </c>
      <c r="C41" s="13" t="s">
        <v>240</v>
      </c>
      <c r="D41" s="241">
        <f t="shared" ref="D41:F41" si="3">D42+D43+D44+D45+D46</f>
        <v>0</v>
      </c>
      <c r="E41" s="241">
        <f t="shared" si="3"/>
        <v>2816</v>
      </c>
      <c r="F41" s="241">
        <f t="shared" si="3"/>
        <v>0</v>
      </c>
      <c r="G41" s="241">
        <v>1770</v>
      </c>
      <c r="H41" s="241">
        <v>0</v>
      </c>
      <c r="I41" s="241">
        <v>17945</v>
      </c>
      <c r="J41" s="241"/>
      <c r="K41" s="241">
        <v>1050</v>
      </c>
      <c r="L41" s="241">
        <v>420</v>
      </c>
      <c r="M41" s="241"/>
      <c r="N41" s="241">
        <v>420</v>
      </c>
      <c r="O41" s="241">
        <v>985</v>
      </c>
      <c r="P41" s="241"/>
      <c r="Q41" s="241">
        <v>985</v>
      </c>
    </row>
    <row r="42" spans="1:17" s="36" customFormat="1" ht="15" customHeight="1" outlineLevel="1">
      <c r="A42" s="60"/>
      <c r="B42" s="68" t="s">
        <v>491</v>
      </c>
      <c r="C42" s="13" t="s">
        <v>240</v>
      </c>
      <c r="D42" s="241"/>
      <c r="E42" s="241"/>
      <c r="F42" s="241"/>
      <c r="G42" s="241">
        <v>0</v>
      </c>
      <c r="H42" s="241"/>
      <c r="I42" s="241"/>
      <c r="J42" s="241"/>
      <c r="K42" s="241"/>
      <c r="L42" s="241"/>
      <c r="M42" s="241"/>
      <c r="N42" s="241"/>
      <c r="O42" s="241"/>
      <c r="P42" s="241"/>
      <c r="Q42" s="241"/>
    </row>
    <row r="43" spans="1:17" s="36" customFormat="1" ht="15" customHeight="1" outlineLevel="1">
      <c r="A43" s="60"/>
      <c r="B43" s="70" t="s">
        <v>492</v>
      </c>
      <c r="C43" s="13" t="s">
        <v>240</v>
      </c>
      <c r="D43" s="241"/>
      <c r="E43" s="241"/>
      <c r="F43" s="241"/>
      <c r="G43" s="241">
        <v>0</v>
      </c>
      <c r="H43" s="241"/>
      <c r="I43" s="241"/>
      <c r="J43" s="241"/>
      <c r="K43" s="241"/>
      <c r="L43" s="241"/>
      <c r="M43" s="241"/>
      <c r="N43" s="241"/>
      <c r="O43" s="241"/>
      <c r="P43" s="241"/>
      <c r="Q43" s="241"/>
    </row>
    <row r="44" spans="1:17" s="36" customFormat="1" ht="15" customHeight="1" outlineLevel="1">
      <c r="A44" s="60"/>
      <c r="B44" s="70" t="s">
        <v>493</v>
      </c>
      <c r="C44" s="13" t="s">
        <v>240</v>
      </c>
      <c r="D44" s="241"/>
      <c r="E44" s="241">
        <v>33</v>
      </c>
      <c r="F44" s="241"/>
      <c r="G44" s="241">
        <v>78</v>
      </c>
      <c r="H44" s="241"/>
      <c r="I44" s="241">
        <v>59</v>
      </c>
      <c r="J44" s="241"/>
      <c r="K44" s="241"/>
      <c r="L44" s="241"/>
      <c r="M44" s="241"/>
      <c r="N44" s="241"/>
      <c r="O44" s="241"/>
      <c r="P44" s="241"/>
      <c r="Q44" s="241"/>
    </row>
    <row r="45" spans="1:17" s="36" customFormat="1" ht="15" customHeight="1" outlineLevel="1">
      <c r="A45" s="60"/>
      <c r="B45" s="70" t="s">
        <v>494</v>
      </c>
      <c r="C45" s="13" t="s">
        <v>240</v>
      </c>
      <c r="D45" s="241"/>
      <c r="E45" s="241">
        <v>1212</v>
      </c>
      <c r="F45" s="241"/>
      <c r="G45" s="241">
        <v>237</v>
      </c>
      <c r="H45" s="241"/>
      <c r="I45" s="241">
        <v>138</v>
      </c>
      <c r="J45" s="241"/>
      <c r="K45" s="241"/>
      <c r="L45" s="241"/>
      <c r="M45" s="241"/>
      <c r="N45" s="241"/>
      <c r="O45" s="241"/>
      <c r="P45" s="241"/>
      <c r="Q45" s="241"/>
    </row>
    <row r="46" spans="1:17" s="36" customFormat="1" ht="15" customHeight="1" outlineLevel="1">
      <c r="A46" s="60"/>
      <c r="B46" s="70" t="s">
        <v>495</v>
      </c>
      <c r="C46" s="13" t="s">
        <v>240</v>
      </c>
      <c r="D46" s="241"/>
      <c r="E46" s="241">
        <f>1564+7</f>
        <v>1571</v>
      </c>
      <c r="F46" s="241"/>
      <c r="G46" s="241">
        <v>1455</v>
      </c>
      <c r="H46" s="241"/>
      <c r="I46" s="241">
        <v>17748</v>
      </c>
      <c r="J46" s="241"/>
      <c r="K46" s="241">
        <v>1050</v>
      </c>
      <c r="L46" s="241">
        <v>420</v>
      </c>
      <c r="M46" s="241"/>
      <c r="N46" s="241">
        <v>420</v>
      </c>
      <c r="O46" s="241">
        <v>985</v>
      </c>
      <c r="P46" s="241"/>
      <c r="Q46" s="241">
        <v>985</v>
      </c>
    </row>
    <row r="47" spans="1:17" s="36" customFormat="1" ht="15" customHeight="1" outlineLevel="1">
      <c r="A47" s="60"/>
      <c r="B47" s="70" t="s">
        <v>496</v>
      </c>
      <c r="C47" s="13" t="s">
        <v>240</v>
      </c>
      <c r="D47" s="241"/>
      <c r="E47" s="241">
        <v>80</v>
      </c>
      <c r="F47" s="241"/>
      <c r="G47" s="241">
        <v>0</v>
      </c>
      <c r="H47" s="241"/>
      <c r="I47" s="241">
        <v>621</v>
      </c>
      <c r="J47" s="241"/>
      <c r="K47" s="241"/>
      <c r="L47" s="241">
        <v>577</v>
      </c>
      <c r="M47" s="241"/>
      <c r="N47" s="241">
        <v>577</v>
      </c>
      <c r="O47" s="241"/>
      <c r="P47" s="241"/>
      <c r="Q47" s="241"/>
    </row>
    <row r="48" spans="1:17" s="36" customFormat="1" ht="15" customHeight="1" outlineLevel="1">
      <c r="A48" s="60"/>
      <c r="B48" s="70" t="s">
        <v>497</v>
      </c>
      <c r="C48" s="13" t="s">
        <v>240</v>
      </c>
      <c r="D48" s="241"/>
      <c r="E48" s="241"/>
      <c r="F48" s="241"/>
      <c r="G48" s="241">
        <v>0</v>
      </c>
      <c r="H48" s="241"/>
      <c r="I48" s="241"/>
      <c r="J48" s="241"/>
      <c r="K48" s="241"/>
      <c r="L48" s="241"/>
      <c r="M48" s="241"/>
      <c r="N48" s="241"/>
      <c r="O48" s="241"/>
      <c r="P48" s="241"/>
      <c r="Q48" s="241"/>
    </row>
    <row r="49" spans="1:17" s="36" customFormat="1" ht="15" customHeight="1" outlineLevel="1">
      <c r="A49" s="60"/>
      <c r="B49" s="68" t="s">
        <v>498</v>
      </c>
      <c r="C49" s="13" t="s">
        <v>240</v>
      </c>
      <c r="D49" s="241"/>
      <c r="E49" s="241">
        <f>526+393+904.44</f>
        <v>1823.44</v>
      </c>
      <c r="F49" s="241"/>
      <c r="G49" s="241">
        <v>107</v>
      </c>
      <c r="H49" s="241"/>
      <c r="I49" s="241"/>
      <c r="J49" s="241"/>
      <c r="K49" s="241"/>
      <c r="L49" s="241"/>
      <c r="M49" s="241"/>
      <c r="N49" s="241"/>
      <c r="O49" s="241"/>
      <c r="P49" s="241"/>
      <c r="Q49" s="241"/>
    </row>
    <row r="50" spans="1:17" s="36" customFormat="1" ht="15" customHeight="1" outlineLevel="1">
      <c r="A50" s="60"/>
      <c r="B50" s="68" t="s">
        <v>499</v>
      </c>
      <c r="C50" s="13" t="s">
        <v>240</v>
      </c>
      <c r="D50" s="241"/>
      <c r="E50" s="1008"/>
      <c r="F50" s="241"/>
      <c r="G50" s="241">
        <v>254</v>
      </c>
      <c r="H50" s="241"/>
      <c r="I50" s="241">
        <v>1936</v>
      </c>
      <c r="J50" s="241"/>
      <c r="K50" s="241"/>
      <c r="L50" s="241"/>
      <c r="M50" s="241"/>
      <c r="N50" s="241"/>
      <c r="O50" s="241"/>
      <c r="P50" s="241"/>
      <c r="Q50" s="241"/>
    </row>
    <row r="51" spans="1:17" s="36" customFormat="1">
      <c r="A51" s="60"/>
      <c r="B51" s="68"/>
      <c r="C51" s="13"/>
      <c r="D51" s="241"/>
      <c r="E51" s="241"/>
      <c r="F51" s="241"/>
      <c r="G51" s="241"/>
      <c r="H51" s="241"/>
      <c r="I51" s="241"/>
      <c r="J51" s="241"/>
      <c r="K51" s="241"/>
      <c r="L51" s="241"/>
      <c r="M51" s="241"/>
      <c r="N51" s="241"/>
      <c r="O51" s="241"/>
      <c r="P51" s="241"/>
      <c r="Q51" s="241"/>
    </row>
    <row r="52" spans="1:17" s="1001" customFormat="1" ht="15" customHeight="1">
      <c r="A52" s="82" t="s">
        <v>30</v>
      </c>
      <c r="B52" s="80" t="s">
        <v>502</v>
      </c>
      <c r="C52" s="999" t="s">
        <v>240</v>
      </c>
      <c r="D52" s="1000">
        <v>0</v>
      </c>
      <c r="E52" s="1000">
        <f t="shared" ref="E52" si="4">E53+E54+E55+E56+E62+E63+E64+E65</f>
        <v>3273.5</v>
      </c>
      <c r="F52" s="1000"/>
      <c r="G52" s="1000">
        <v>52679</v>
      </c>
      <c r="H52" s="1000">
        <v>0</v>
      </c>
      <c r="I52" s="1000">
        <v>7198</v>
      </c>
      <c r="J52" s="1000">
        <v>0</v>
      </c>
      <c r="K52" s="1000">
        <v>0</v>
      </c>
      <c r="L52" s="1000">
        <v>0</v>
      </c>
      <c r="M52" s="1000">
        <v>0</v>
      </c>
      <c r="N52" s="1000">
        <v>0</v>
      </c>
      <c r="O52" s="1000">
        <v>0</v>
      </c>
      <c r="P52" s="1000">
        <v>0</v>
      </c>
      <c r="Q52" s="1000">
        <v>0</v>
      </c>
    </row>
    <row r="53" spans="1:17" s="36" customFormat="1" ht="15" customHeight="1" outlineLevel="1">
      <c r="A53" s="60"/>
      <c r="B53" s="68" t="s">
        <v>487</v>
      </c>
      <c r="C53" s="13" t="s">
        <v>240</v>
      </c>
      <c r="D53" s="241"/>
      <c r="E53" s="241"/>
      <c r="F53" s="241"/>
      <c r="G53" s="241">
        <v>51336</v>
      </c>
      <c r="H53" s="241"/>
      <c r="I53" s="241">
        <v>5203</v>
      </c>
      <c r="J53" s="241"/>
      <c r="K53" s="241"/>
      <c r="L53" s="241"/>
      <c r="M53" s="241"/>
      <c r="N53" s="241"/>
      <c r="O53" s="241"/>
      <c r="P53" s="241"/>
      <c r="Q53" s="241"/>
    </row>
    <row r="54" spans="1:17" s="36" customFormat="1" ht="15" customHeight="1" outlineLevel="1">
      <c r="A54" s="60"/>
      <c r="B54" s="68" t="s">
        <v>488</v>
      </c>
      <c r="C54" s="13" t="s">
        <v>240</v>
      </c>
      <c r="D54" s="241"/>
      <c r="E54" s="241">
        <v>129</v>
      </c>
      <c r="F54" s="241"/>
      <c r="G54" s="241">
        <v>84</v>
      </c>
      <c r="H54" s="241"/>
      <c r="I54" s="241"/>
      <c r="J54" s="241"/>
      <c r="K54" s="241"/>
      <c r="L54" s="241"/>
      <c r="M54" s="241"/>
      <c r="N54" s="241"/>
      <c r="O54" s="241"/>
      <c r="P54" s="241"/>
      <c r="Q54" s="241"/>
    </row>
    <row r="55" spans="1:17" s="36" customFormat="1" ht="15" customHeight="1" outlineLevel="1">
      <c r="A55" s="60"/>
      <c r="B55" s="68" t="s">
        <v>489</v>
      </c>
      <c r="C55" s="13" t="s">
        <v>240</v>
      </c>
      <c r="D55" s="241"/>
      <c r="E55" s="241"/>
      <c r="F55" s="241"/>
      <c r="G55" s="241">
        <v>0</v>
      </c>
      <c r="H55" s="241"/>
      <c r="I55" s="241"/>
      <c r="J55" s="241"/>
      <c r="K55" s="241"/>
      <c r="L55" s="241"/>
      <c r="M55" s="241"/>
      <c r="N55" s="241"/>
      <c r="O55" s="241"/>
      <c r="P55" s="241"/>
      <c r="Q55" s="241"/>
    </row>
    <row r="56" spans="1:17" s="36" customFormat="1" ht="15" customHeight="1" outlineLevel="1">
      <c r="A56" s="60"/>
      <c r="B56" s="68" t="s">
        <v>490</v>
      </c>
      <c r="C56" s="13" t="s">
        <v>240</v>
      </c>
      <c r="D56" s="241"/>
      <c r="E56" s="241">
        <f t="shared" ref="E56" si="5">SUM(E57:E61)</f>
        <v>629</v>
      </c>
      <c r="F56" s="241"/>
      <c r="G56" s="241">
        <v>1129</v>
      </c>
      <c r="H56" s="241">
        <v>0</v>
      </c>
      <c r="I56" s="241">
        <v>52</v>
      </c>
      <c r="J56" s="241">
        <v>0</v>
      </c>
      <c r="K56" s="241">
        <v>0</v>
      </c>
      <c r="L56" s="241">
        <v>0</v>
      </c>
      <c r="M56" s="241">
        <v>0</v>
      </c>
      <c r="N56" s="241">
        <v>0</v>
      </c>
      <c r="O56" s="241">
        <v>0</v>
      </c>
      <c r="P56" s="241">
        <v>0</v>
      </c>
      <c r="Q56" s="241">
        <v>0</v>
      </c>
    </row>
    <row r="57" spans="1:17" s="36" customFormat="1" ht="15" customHeight="1" outlineLevel="1">
      <c r="A57" s="60"/>
      <c r="B57" s="68" t="s">
        <v>491</v>
      </c>
      <c r="C57" s="13" t="s">
        <v>240</v>
      </c>
      <c r="D57" s="241"/>
      <c r="E57" s="241"/>
      <c r="F57" s="241"/>
      <c r="G57" s="241">
        <v>0</v>
      </c>
      <c r="H57" s="241"/>
      <c r="I57" s="241"/>
      <c r="J57" s="241"/>
      <c r="K57" s="241"/>
      <c r="L57" s="241"/>
      <c r="M57" s="241"/>
      <c r="N57" s="241"/>
      <c r="O57" s="241"/>
      <c r="P57" s="241"/>
      <c r="Q57" s="241"/>
    </row>
    <row r="58" spans="1:17" s="36" customFormat="1" ht="15" customHeight="1" outlineLevel="1">
      <c r="A58" s="60"/>
      <c r="B58" s="70" t="s">
        <v>492</v>
      </c>
      <c r="C58" s="13" t="s">
        <v>240</v>
      </c>
      <c r="D58" s="241"/>
      <c r="E58" s="241"/>
      <c r="F58" s="241"/>
      <c r="G58" s="241">
        <v>0</v>
      </c>
      <c r="H58" s="241"/>
      <c r="I58" s="241"/>
      <c r="J58" s="241"/>
      <c r="K58" s="241"/>
      <c r="L58" s="241"/>
      <c r="M58" s="241"/>
      <c r="N58" s="241"/>
      <c r="O58" s="241"/>
      <c r="P58" s="241"/>
      <c r="Q58" s="241"/>
    </row>
    <row r="59" spans="1:17" s="36" customFormat="1" ht="15" customHeight="1" outlineLevel="1">
      <c r="A59" s="60"/>
      <c r="B59" s="70" t="s">
        <v>493</v>
      </c>
      <c r="C59" s="13" t="s">
        <v>240</v>
      </c>
      <c r="D59" s="241"/>
      <c r="E59" s="241"/>
      <c r="F59" s="241"/>
      <c r="G59" s="241">
        <v>0</v>
      </c>
      <c r="H59" s="241"/>
      <c r="I59" s="241"/>
      <c r="J59" s="241"/>
      <c r="K59" s="241"/>
      <c r="L59" s="241"/>
      <c r="M59" s="241"/>
      <c r="N59" s="241"/>
      <c r="O59" s="241"/>
      <c r="P59" s="241"/>
      <c r="Q59" s="241"/>
    </row>
    <row r="60" spans="1:17" s="36" customFormat="1" ht="15" customHeight="1" outlineLevel="1">
      <c r="A60" s="60"/>
      <c r="B60" s="70" t="s">
        <v>494</v>
      </c>
      <c r="C60" s="13" t="s">
        <v>240</v>
      </c>
      <c r="D60" s="241"/>
      <c r="E60" s="241">
        <f>567+5</f>
        <v>572</v>
      </c>
      <c r="F60" s="241"/>
      <c r="G60" s="241">
        <v>249</v>
      </c>
      <c r="H60" s="241"/>
      <c r="I60" s="241">
        <v>36</v>
      </c>
      <c r="J60" s="241"/>
      <c r="K60" s="241"/>
      <c r="L60" s="241"/>
      <c r="M60" s="241"/>
      <c r="N60" s="241"/>
      <c r="O60" s="241"/>
      <c r="P60" s="241"/>
      <c r="Q60" s="241"/>
    </row>
    <row r="61" spans="1:17" s="36" customFormat="1" ht="15" customHeight="1" outlineLevel="1">
      <c r="A61" s="60"/>
      <c r="B61" s="70" t="s">
        <v>495</v>
      </c>
      <c r="C61" s="13" t="s">
        <v>240</v>
      </c>
      <c r="D61" s="241"/>
      <c r="E61" s="241">
        <f>50+7</f>
        <v>57</v>
      </c>
      <c r="F61" s="241"/>
      <c r="G61" s="241">
        <v>880</v>
      </c>
      <c r="H61" s="241"/>
      <c r="I61" s="241">
        <v>16</v>
      </c>
      <c r="J61" s="241"/>
      <c r="K61" s="241"/>
      <c r="L61" s="241"/>
      <c r="M61" s="241"/>
      <c r="N61" s="241"/>
      <c r="O61" s="241"/>
      <c r="P61" s="241"/>
      <c r="Q61" s="241"/>
    </row>
    <row r="62" spans="1:17" s="36" customFormat="1" ht="15" customHeight="1" outlineLevel="1">
      <c r="A62" s="60"/>
      <c r="B62" s="70" t="s">
        <v>496</v>
      </c>
      <c r="C62" s="13" t="s">
        <v>240</v>
      </c>
      <c r="D62" s="241"/>
      <c r="E62" s="241">
        <v>26</v>
      </c>
      <c r="F62" s="241"/>
      <c r="G62" s="241">
        <v>0</v>
      </c>
      <c r="H62" s="241"/>
      <c r="I62" s="241"/>
      <c r="J62" s="241"/>
      <c r="K62" s="241"/>
      <c r="L62" s="241"/>
      <c r="M62" s="241"/>
      <c r="N62" s="241"/>
      <c r="O62" s="241"/>
      <c r="P62" s="241"/>
      <c r="Q62" s="241"/>
    </row>
    <row r="63" spans="1:17" s="36" customFormat="1" ht="15" customHeight="1" outlineLevel="1">
      <c r="A63" s="60"/>
      <c r="B63" s="70" t="s">
        <v>497</v>
      </c>
      <c r="C63" s="13" t="s">
        <v>240</v>
      </c>
      <c r="D63" s="241"/>
      <c r="E63" s="241"/>
      <c r="F63" s="241"/>
      <c r="G63" s="241">
        <v>0</v>
      </c>
      <c r="H63" s="241"/>
      <c r="I63" s="241"/>
      <c r="J63" s="241"/>
      <c r="K63" s="241"/>
      <c r="L63" s="241"/>
      <c r="M63" s="241"/>
      <c r="N63" s="241"/>
      <c r="O63" s="241"/>
      <c r="P63" s="241"/>
      <c r="Q63" s="241"/>
    </row>
    <row r="64" spans="1:17" s="36" customFormat="1" ht="15" customHeight="1" outlineLevel="1">
      <c r="A64" s="60"/>
      <c r="B64" s="68" t="s">
        <v>498</v>
      </c>
      <c r="C64" s="13" t="s">
        <v>240</v>
      </c>
      <c r="D64" s="241"/>
      <c r="E64" s="241">
        <f>1347+1142.5</f>
        <v>2489.5</v>
      </c>
      <c r="F64" s="241"/>
      <c r="G64" s="241">
        <v>70</v>
      </c>
      <c r="H64" s="241"/>
      <c r="I64" s="241">
        <v>7</v>
      </c>
      <c r="J64" s="241"/>
      <c r="K64" s="241"/>
      <c r="L64" s="241"/>
      <c r="M64" s="241"/>
      <c r="N64" s="241"/>
      <c r="O64" s="241"/>
      <c r="P64" s="241"/>
      <c r="Q64" s="241"/>
    </row>
    <row r="65" spans="1:17" s="36" customFormat="1" ht="15" customHeight="1" outlineLevel="1">
      <c r="A65" s="60"/>
      <c r="B65" s="68" t="s">
        <v>499</v>
      </c>
      <c r="C65" s="13" t="s">
        <v>240</v>
      </c>
      <c r="D65" s="241"/>
      <c r="E65" s="1008"/>
      <c r="F65" s="241"/>
      <c r="G65" s="1009">
        <v>60</v>
      </c>
      <c r="H65" s="1008"/>
      <c r="I65" s="1008">
        <v>1936</v>
      </c>
      <c r="J65" s="1008"/>
      <c r="K65" s="1008"/>
      <c r="L65" s="1008"/>
      <c r="M65" s="1008"/>
      <c r="N65" s="1008"/>
      <c r="O65" s="1008"/>
      <c r="P65" s="1008"/>
      <c r="Q65" s="1008"/>
    </row>
    <row r="66" spans="1:17" s="36" customFormat="1">
      <c r="A66" s="60"/>
      <c r="B66" s="68"/>
      <c r="C66" s="13"/>
      <c r="D66" s="241"/>
      <c r="E66" s="241"/>
      <c r="F66" s="241"/>
      <c r="G66" s="241"/>
      <c r="H66" s="241"/>
      <c r="I66" s="241"/>
      <c r="J66" s="241"/>
      <c r="K66" s="241"/>
      <c r="L66" s="241"/>
      <c r="M66" s="241"/>
      <c r="N66" s="241"/>
      <c r="O66" s="241"/>
      <c r="P66" s="241"/>
      <c r="Q66" s="241"/>
    </row>
    <row r="67" spans="1:17" s="1001" customFormat="1" ht="30" customHeight="1">
      <c r="A67" s="82" t="s">
        <v>78</v>
      </c>
      <c r="B67" s="80" t="s">
        <v>503</v>
      </c>
      <c r="C67" s="1002" t="s">
        <v>240</v>
      </c>
      <c r="D67" s="1000">
        <v>11826</v>
      </c>
      <c r="E67" s="1000">
        <f t="shared" ref="E67" si="6">E68+E69+E70+E71+E77+E78+E79+E80</f>
        <v>27224</v>
      </c>
      <c r="F67" s="1000">
        <v>29012</v>
      </c>
      <c r="G67" s="1000">
        <v>31405.473998879595</v>
      </c>
      <c r="H67" s="1000">
        <v>27630.821599999999</v>
      </c>
      <c r="I67" s="1000">
        <v>13886</v>
      </c>
      <c r="J67" s="1000">
        <v>0</v>
      </c>
      <c r="K67" s="1000">
        <v>37025</v>
      </c>
      <c r="L67" s="1000">
        <v>42901</v>
      </c>
      <c r="M67" s="1000">
        <v>42463</v>
      </c>
      <c r="N67" s="1000">
        <v>43341</v>
      </c>
      <c r="O67" s="1000">
        <v>44128</v>
      </c>
      <c r="P67" s="1000">
        <v>43834</v>
      </c>
      <c r="Q67" s="1000">
        <v>44422</v>
      </c>
    </row>
    <row r="68" spans="1:17" s="36" customFormat="1" ht="15" customHeight="1" outlineLevel="1">
      <c r="A68" s="60"/>
      <c r="B68" s="68" t="s">
        <v>487</v>
      </c>
      <c r="C68" s="13" t="s">
        <v>240</v>
      </c>
      <c r="D68" s="241"/>
      <c r="E68" s="241">
        <v>10079</v>
      </c>
      <c r="F68" s="241"/>
      <c r="G68" s="241">
        <v>18231.761353758186</v>
      </c>
      <c r="H68" s="241"/>
      <c r="I68" s="241">
        <v>3739</v>
      </c>
      <c r="J68" s="241"/>
      <c r="K68" s="241">
        <v>3579</v>
      </c>
      <c r="L68" s="241">
        <v>3579</v>
      </c>
      <c r="M68" s="241">
        <v>3579</v>
      </c>
      <c r="N68" s="241">
        <v>3579</v>
      </c>
      <c r="O68" s="241">
        <v>3579</v>
      </c>
      <c r="P68" s="241">
        <v>3579</v>
      </c>
      <c r="Q68" s="241">
        <v>3579</v>
      </c>
    </row>
    <row r="69" spans="1:17" s="36" customFormat="1" ht="15" customHeight="1" outlineLevel="1">
      <c r="A69" s="60"/>
      <c r="B69" s="68" t="s">
        <v>488</v>
      </c>
      <c r="C69" s="13" t="s">
        <v>240</v>
      </c>
      <c r="D69" s="241"/>
      <c r="E69" s="241">
        <f>170+935</f>
        <v>1105</v>
      </c>
      <c r="F69" s="241"/>
      <c r="G69" s="241">
        <v>87.297023200108185</v>
      </c>
      <c r="H69" s="241"/>
      <c r="I69" s="241">
        <v>81</v>
      </c>
      <c r="J69" s="241"/>
      <c r="K69" s="241">
        <v>267</v>
      </c>
      <c r="L69" s="241">
        <v>268</v>
      </c>
      <c r="M69" s="241">
        <v>268</v>
      </c>
      <c r="N69" s="241">
        <v>268</v>
      </c>
      <c r="O69" s="241">
        <v>267</v>
      </c>
      <c r="P69" s="241">
        <v>267</v>
      </c>
      <c r="Q69" s="241">
        <v>267</v>
      </c>
    </row>
    <row r="70" spans="1:17" s="36" customFormat="1" ht="15" customHeight="1" outlineLevel="1">
      <c r="A70" s="60"/>
      <c r="B70" s="68" t="s">
        <v>489</v>
      </c>
      <c r="C70" s="13" t="s">
        <v>240</v>
      </c>
      <c r="D70" s="241"/>
      <c r="E70" s="241"/>
      <c r="F70" s="241"/>
      <c r="G70" s="241">
        <v>0</v>
      </c>
      <c r="H70" s="241"/>
      <c r="I70" s="241">
        <v>136</v>
      </c>
      <c r="J70" s="241"/>
      <c r="K70" s="241">
        <v>6863</v>
      </c>
      <c r="L70" s="241">
        <v>12031</v>
      </c>
      <c r="M70" s="241">
        <v>11953</v>
      </c>
      <c r="N70" s="241">
        <v>12109</v>
      </c>
      <c r="O70" s="241">
        <v>12407</v>
      </c>
      <c r="P70" s="241">
        <v>12328</v>
      </c>
      <c r="Q70" s="241">
        <v>12487</v>
      </c>
    </row>
    <row r="71" spans="1:17" s="36" customFormat="1" ht="15" customHeight="1" outlineLevel="1">
      <c r="A71" s="60"/>
      <c r="B71" s="68" t="s">
        <v>490</v>
      </c>
      <c r="C71" s="13" t="s">
        <v>240</v>
      </c>
      <c r="D71" s="241"/>
      <c r="E71" s="241">
        <f t="shared" ref="E71" si="7">SUM(E72:E76)</f>
        <v>11402</v>
      </c>
      <c r="F71" s="241"/>
      <c r="G71" s="241">
        <v>8857.6886336855532</v>
      </c>
      <c r="H71" s="241">
        <v>0</v>
      </c>
      <c r="I71" s="241">
        <v>5971</v>
      </c>
      <c r="J71" s="241"/>
      <c r="K71" s="241">
        <v>23589</v>
      </c>
      <c r="L71" s="241">
        <v>24081</v>
      </c>
      <c r="M71" s="241">
        <v>23937</v>
      </c>
      <c r="N71" s="241">
        <v>24226</v>
      </c>
      <c r="O71" s="241">
        <v>24572</v>
      </c>
      <c r="P71" s="241">
        <v>24357</v>
      </c>
      <c r="Q71" s="241">
        <v>24786</v>
      </c>
    </row>
    <row r="72" spans="1:17" s="36" customFormat="1" ht="15" customHeight="1" outlineLevel="1">
      <c r="A72" s="60"/>
      <c r="B72" s="68" t="s">
        <v>491</v>
      </c>
      <c r="C72" s="13" t="s">
        <v>240</v>
      </c>
      <c r="D72" s="241"/>
      <c r="E72" s="241"/>
      <c r="F72" s="241"/>
      <c r="G72" s="241">
        <v>0</v>
      </c>
      <c r="H72" s="241"/>
      <c r="I72" s="241"/>
      <c r="J72" s="241"/>
      <c r="K72" s="241"/>
      <c r="L72" s="241"/>
      <c r="M72" s="241"/>
      <c r="N72" s="241"/>
      <c r="O72" s="241"/>
      <c r="P72" s="241"/>
      <c r="Q72" s="241"/>
    </row>
    <row r="73" spans="1:17" s="36" customFormat="1" ht="15" customHeight="1" outlineLevel="1">
      <c r="A73" s="60"/>
      <c r="B73" s="70" t="s">
        <v>492</v>
      </c>
      <c r="C73" s="13" t="s">
        <v>240</v>
      </c>
      <c r="D73" s="241"/>
      <c r="E73" s="241"/>
      <c r="F73" s="241"/>
      <c r="G73" s="241">
        <v>0</v>
      </c>
      <c r="H73" s="241"/>
      <c r="I73" s="241"/>
      <c r="J73" s="241"/>
      <c r="K73" s="241"/>
      <c r="L73" s="241"/>
      <c r="M73" s="241"/>
      <c r="N73" s="241"/>
      <c r="O73" s="241"/>
      <c r="P73" s="241"/>
      <c r="Q73" s="241"/>
    </row>
    <row r="74" spans="1:17" s="36" customFormat="1" ht="15" customHeight="1" outlineLevel="1">
      <c r="A74" s="60"/>
      <c r="B74" s="70" t="s">
        <v>493</v>
      </c>
      <c r="C74" s="13" t="s">
        <v>240</v>
      </c>
      <c r="D74" s="241"/>
      <c r="E74" s="241">
        <v>15</v>
      </c>
      <c r="F74" s="241"/>
      <c r="G74" s="241">
        <v>101.35332354588832</v>
      </c>
      <c r="H74" s="241"/>
      <c r="I74" s="241">
        <v>62</v>
      </c>
      <c r="J74" s="241"/>
      <c r="K74" s="241">
        <v>113</v>
      </c>
      <c r="L74" s="241">
        <v>113</v>
      </c>
      <c r="M74" s="241">
        <v>113</v>
      </c>
      <c r="N74" s="241">
        <v>113</v>
      </c>
      <c r="O74" s="241">
        <v>113</v>
      </c>
      <c r="P74" s="241">
        <v>113</v>
      </c>
      <c r="Q74" s="241">
        <v>113</v>
      </c>
    </row>
    <row r="75" spans="1:17" s="36" customFormat="1" ht="15" customHeight="1" outlineLevel="1">
      <c r="A75" s="60"/>
      <c r="B75" s="70" t="s">
        <v>494</v>
      </c>
      <c r="C75" s="13" t="s">
        <v>240</v>
      </c>
      <c r="D75" s="241"/>
      <c r="E75" s="241">
        <f>6067-344</f>
        <v>5723</v>
      </c>
      <c r="F75" s="241"/>
      <c r="G75" s="241">
        <v>5709.0773562308032</v>
      </c>
      <c r="H75" s="241"/>
      <c r="I75" s="241">
        <v>2988</v>
      </c>
      <c r="J75" s="241"/>
      <c r="K75" s="241">
        <v>2994</v>
      </c>
      <c r="L75" s="241">
        <v>2994</v>
      </c>
      <c r="M75" s="241">
        <v>2994</v>
      </c>
      <c r="N75" s="241">
        <v>2994</v>
      </c>
      <c r="O75" s="241">
        <v>2994</v>
      </c>
      <c r="P75" s="241">
        <v>2994</v>
      </c>
      <c r="Q75" s="241">
        <v>2994</v>
      </c>
    </row>
    <row r="76" spans="1:17" s="36" customFormat="1" ht="15" customHeight="1" outlineLevel="1">
      <c r="A76" s="60"/>
      <c r="B76" s="70" t="s">
        <v>495</v>
      </c>
      <c r="C76" s="13" t="s">
        <v>240</v>
      </c>
      <c r="D76" s="241"/>
      <c r="E76" s="241">
        <f>5082+582</f>
        <v>5664</v>
      </c>
      <c r="F76" s="241"/>
      <c r="G76" s="241">
        <v>3047.2579539088611</v>
      </c>
      <c r="H76" s="241"/>
      <c r="I76" s="241">
        <v>2921</v>
      </c>
      <c r="J76" s="241"/>
      <c r="K76" s="241">
        <v>20482</v>
      </c>
      <c r="L76" s="241">
        <v>20974</v>
      </c>
      <c r="M76" s="241">
        <v>20830</v>
      </c>
      <c r="N76" s="241">
        <v>21119</v>
      </c>
      <c r="O76" s="241">
        <v>21465</v>
      </c>
      <c r="P76" s="241">
        <v>21250</v>
      </c>
      <c r="Q76" s="241">
        <v>21679</v>
      </c>
    </row>
    <row r="77" spans="1:17" s="36" customFormat="1" ht="15" customHeight="1" outlineLevel="1">
      <c r="A77" s="60"/>
      <c r="B77" s="70" t="s">
        <v>496</v>
      </c>
      <c r="C77" s="13" t="s">
        <v>240</v>
      </c>
      <c r="D77" s="241"/>
      <c r="E77" s="241">
        <v>187</v>
      </c>
      <c r="F77" s="241"/>
      <c r="G77" s="241">
        <v>182.73190449514169</v>
      </c>
      <c r="H77" s="241"/>
      <c r="I77" s="241">
        <v>166</v>
      </c>
      <c r="J77" s="241"/>
      <c r="K77" s="241">
        <v>714</v>
      </c>
      <c r="L77" s="241">
        <v>929</v>
      </c>
      <c r="M77" s="241">
        <v>713</v>
      </c>
      <c r="N77" s="241">
        <v>1146</v>
      </c>
      <c r="O77" s="241">
        <v>1290</v>
      </c>
      <c r="P77" s="241">
        <v>1290</v>
      </c>
      <c r="Q77" s="241">
        <v>1290</v>
      </c>
    </row>
    <row r="78" spans="1:17" s="36" customFormat="1" ht="15" customHeight="1" outlineLevel="1">
      <c r="A78" s="60"/>
      <c r="B78" s="70" t="s">
        <v>497</v>
      </c>
      <c r="C78" s="13" t="s">
        <v>240</v>
      </c>
      <c r="D78" s="241"/>
      <c r="E78" s="241"/>
      <c r="F78" s="241"/>
      <c r="G78" s="241">
        <v>0</v>
      </c>
      <c r="H78" s="241"/>
      <c r="I78" s="241"/>
      <c r="J78" s="241"/>
      <c r="K78" s="241"/>
      <c r="L78" s="241"/>
      <c r="M78" s="241"/>
      <c r="N78" s="241"/>
      <c r="O78" s="241"/>
      <c r="P78" s="241"/>
      <c r="Q78" s="241"/>
    </row>
    <row r="79" spans="1:17" s="36" customFormat="1" ht="15" customHeight="1" outlineLevel="1">
      <c r="A79" s="60"/>
      <c r="B79" s="68" t="s">
        <v>498</v>
      </c>
      <c r="C79" s="13" t="s">
        <v>240</v>
      </c>
      <c r="D79" s="241"/>
      <c r="E79" s="241">
        <v>4107</v>
      </c>
      <c r="F79" s="241"/>
      <c r="G79" s="241">
        <v>3930.5854598489386</v>
      </c>
      <c r="H79" s="241"/>
      <c r="I79" s="241">
        <v>1889</v>
      </c>
      <c r="J79" s="241"/>
      <c r="K79" s="241">
        <v>1884</v>
      </c>
      <c r="L79" s="241">
        <v>1884</v>
      </c>
      <c r="M79" s="241">
        <v>1884</v>
      </c>
      <c r="N79" s="241">
        <v>1884</v>
      </c>
      <c r="O79" s="241">
        <v>1884</v>
      </c>
      <c r="P79" s="241">
        <v>1884</v>
      </c>
      <c r="Q79" s="241">
        <v>1884</v>
      </c>
    </row>
    <row r="80" spans="1:17" s="36" customFormat="1" ht="15" customHeight="1" outlineLevel="1">
      <c r="A80" s="60"/>
      <c r="B80" s="68" t="s">
        <v>499</v>
      </c>
      <c r="C80" s="13" t="s">
        <v>240</v>
      </c>
      <c r="D80" s="241"/>
      <c r="E80" s="241">
        <v>344</v>
      </c>
      <c r="F80" s="241"/>
      <c r="G80" s="241">
        <v>115.40962389166845</v>
      </c>
      <c r="H80" s="241"/>
      <c r="I80" s="241">
        <v>1904</v>
      </c>
      <c r="J80" s="241"/>
      <c r="K80" s="241">
        <v>129</v>
      </c>
      <c r="L80" s="241">
        <v>129</v>
      </c>
      <c r="M80" s="241">
        <v>129</v>
      </c>
      <c r="N80" s="241">
        <v>129</v>
      </c>
      <c r="O80" s="241">
        <v>129</v>
      </c>
      <c r="P80" s="241">
        <v>129</v>
      </c>
      <c r="Q80" s="241">
        <v>129</v>
      </c>
    </row>
    <row r="81" spans="1:17" s="36" customFormat="1">
      <c r="A81" s="60"/>
      <c r="B81" s="68"/>
      <c r="C81" s="13"/>
      <c r="D81" s="66"/>
      <c r="E81" s="66"/>
      <c r="F81" s="66"/>
      <c r="G81" s="66"/>
      <c r="H81" s="66"/>
      <c r="I81" s="66"/>
      <c r="J81" s="66"/>
      <c r="K81" s="66"/>
      <c r="L81" s="66"/>
      <c r="M81" s="66"/>
      <c r="N81" s="66"/>
      <c r="O81" s="66"/>
      <c r="P81" s="66"/>
      <c r="Q81" s="66"/>
    </row>
    <row r="82" spans="1:17" s="1001" customFormat="1" ht="15" customHeight="1">
      <c r="A82" s="82" t="s">
        <v>86</v>
      </c>
      <c r="B82" s="80" t="s">
        <v>504</v>
      </c>
      <c r="C82" s="999"/>
      <c r="D82" s="432">
        <f>D97/D67*100</f>
        <v>7.2890241840013523</v>
      </c>
      <c r="E82" s="432">
        <f>E97/E67*100</f>
        <v>14.234021451660301</v>
      </c>
      <c r="F82" s="432">
        <f t="shared" ref="F82:M82" si="8">F97/F67*100</f>
        <v>12.360402592030884</v>
      </c>
      <c r="G82" s="432">
        <v>12.097127763846519</v>
      </c>
      <c r="H82" s="432">
        <v>7.8578915655551844</v>
      </c>
      <c r="I82" s="432">
        <v>23.592107158288925</v>
      </c>
      <c r="J82" s="432" t="e">
        <v>#DIV/0!</v>
      </c>
      <c r="K82" s="432">
        <v>13.920324105334233</v>
      </c>
      <c r="L82" s="432">
        <v>13.025337404722501</v>
      </c>
      <c r="M82" s="432">
        <v>6.8388950380331117</v>
      </c>
      <c r="N82" s="432">
        <v>6.1927505133707115</v>
      </c>
      <c r="O82" s="432">
        <v>11.342005076142133</v>
      </c>
      <c r="P82" s="432">
        <v>5.7329926541041205</v>
      </c>
      <c r="Q82" s="432">
        <v>5.6098329656476524</v>
      </c>
    </row>
    <row r="83" spans="1:17" s="36" customFormat="1" ht="15" customHeight="1" outlineLevel="1">
      <c r="A83" s="60"/>
      <c r="B83" s="68" t="s">
        <v>487</v>
      </c>
      <c r="C83" s="13" t="s">
        <v>138</v>
      </c>
      <c r="D83" s="66"/>
      <c r="E83" s="251">
        <f t="shared" ref="E83:E95" si="9">E98/E68*100</f>
        <v>31.570592320666734</v>
      </c>
      <c r="F83" s="66"/>
      <c r="G83" s="251">
        <v>2.7552345398474274</v>
      </c>
      <c r="H83" s="251"/>
      <c r="I83" s="251">
        <v>3.50361059106713</v>
      </c>
      <c r="J83" s="251" t="e">
        <v>#DIV/0!</v>
      </c>
      <c r="K83" s="251">
        <v>4.1911148365465216</v>
      </c>
      <c r="L83" s="251">
        <v>4.1911148365465216</v>
      </c>
      <c r="M83" s="251">
        <v>2.0955574182732608</v>
      </c>
      <c r="N83" s="251">
        <v>2.0955574182732608</v>
      </c>
      <c r="O83" s="251">
        <v>4.1911148365465216</v>
      </c>
      <c r="P83" s="251">
        <v>2.0955574182732608</v>
      </c>
      <c r="Q83" s="251">
        <v>2.0955574182732608</v>
      </c>
    </row>
    <row r="84" spans="1:17" s="36" customFormat="1" ht="15" customHeight="1" outlineLevel="1">
      <c r="A84" s="60"/>
      <c r="B84" s="68" t="s">
        <v>488</v>
      </c>
      <c r="C84" s="13" t="s">
        <v>138</v>
      </c>
      <c r="D84" s="66"/>
      <c r="E84" s="251">
        <f t="shared" si="9"/>
        <v>5.7076923076923078</v>
      </c>
      <c r="F84" s="66"/>
      <c r="G84" s="251">
        <v>17.796610169491526</v>
      </c>
      <c r="H84" s="251"/>
      <c r="I84" s="251">
        <v>12.345679012345679</v>
      </c>
      <c r="J84" s="251" t="e">
        <v>#DIV/0!</v>
      </c>
      <c r="K84" s="251">
        <v>12.359550561797752</v>
      </c>
      <c r="L84" s="251">
        <v>10.820895522388058</v>
      </c>
      <c r="M84" s="251">
        <v>5.5970149253731343</v>
      </c>
      <c r="N84" s="251">
        <v>5.2238805970149249</v>
      </c>
      <c r="O84" s="251">
        <v>10.861423220973784</v>
      </c>
      <c r="P84" s="251">
        <v>5.6179775280898872</v>
      </c>
      <c r="Q84" s="251">
        <v>5.2434456928838955</v>
      </c>
    </row>
    <row r="85" spans="1:17" s="36" customFormat="1" ht="15" customHeight="1" outlineLevel="1">
      <c r="A85" s="60"/>
      <c r="B85" s="68" t="s">
        <v>489</v>
      </c>
      <c r="C85" s="13" t="s">
        <v>138</v>
      </c>
      <c r="D85" s="66"/>
      <c r="E85" s="251"/>
      <c r="F85" s="66"/>
      <c r="G85" s="251"/>
      <c r="H85" s="251"/>
      <c r="I85" s="251"/>
      <c r="J85" s="251"/>
      <c r="K85" s="251"/>
      <c r="L85" s="251"/>
      <c r="M85" s="251"/>
      <c r="N85" s="251"/>
      <c r="O85" s="251"/>
      <c r="P85" s="251"/>
      <c r="Q85" s="251"/>
    </row>
    <row r="86" spans="1:17" s="36" customFormat="1" ht="15" customHeight="1" outlineLevel="1">
      <c r="A86" s="60"/>
      <c r="B86" s="68" t="s">
        <v>490</v>
      </c>
      <c r="C86" s="13" t="s">
        <v>138</v>
      </c>
      <c r="D86" s="66"/>
      <c r="E86" s="251">
        <f t="shared" si="9"/>
        <v>3.7186458516049812</v>
      </c>
      <c r="F86" s="66"/>
      <c r="G86" s="251">
        <v>28.35005184189831</v>
      </c>
      <c r="H86" s="251"/>
      <c r="I86" s="251">
        <v>13.917266789482499</v>
      </c>
      <c r="J86" s="251" t="e">
        <v>#DIV/0!</v>
      </c>
      <c r="K86" s="251">
        <v>17.486964263003944</v>
      </c>
      <c r="L86" s="251">
        <v>17.179519122960009</v>
      </c>
      <c r="M86" s="251">
        <v>9.1030622049546732</v>
      </c>
      <c r="N86" s="251">
        <v>8.0822257079171145</v>
      </c>
      <c r="O86" s="251">
        <v>14.748494221064625</v>
      </c>
      <c r="P86" s="251">
        <v>7.4803957794473863</v>
      </c>
      <c r="Q86" s="251">
        <v>7.270233196159122</v>
      </c>
    </row>
    <row r="87" spans="1:17" s="36" customFormat="1" ht="15" customHeight="1" outlineLevel="1">
      <c r="A87" s="60"/>
      <c r="B87" s="68" t="s">
        <v>491</v>
      </c>
      <c r="C87" s="13" t="s">
        <v>138</v>
      </c>
      <c r="D87" s="66"/>
      <c r="E87" s="251"/>
      <c r="F87" s="66"/>
      <c r="G87" s="251"/>
      <c r="H87" s="251"/>
      <c r="I87" s="251"/>
      <c r="J87" s="251"/>
      <c r="K87" s="251"/>
      <c r="L87" s="251"/>
      <c r="M87" s="251"/>
      <c r="N87" s="251"/>
      <c r="O87" s="251"/>
      <c r="P87" s="251"/>
      <c r="Q87" s="251"/>
    </row>
    <row r="88" spans="1:17" s="36" customFormat="1" ht="15" customHeight="1" outlineLevel="1">
      <c r="A88" s="60"/>
      <c r="B88" s="70" t="s">
        <v>492</v>
      </c>
      <c r="C88" s="13" t="s">
        <v>138</v>
      </c>
      <c r="D88" s="66"/>
      <c r="E88" s="251"/>
      <c r="F88" s="66"/>
      <c r="G88" s="251"/>
      <c r="H88" s="251"/>
      <c r="I88" s="251"/>
      <c r="J88" s="251"/>
      <c r="K88" s="251"/>
      <c r="L88" s="251"/>
      <c r="M88" s="251"/>
      <c r="N88" s="251"/>
      <c r="O88" s="251"/>
      <c r="P88" s="251"/>
      <c r="Q88" s="251"/>
    </row>
    <row r="89" spans="1:17" s="36" customFormat="1" ht="15" customHeight="1" outlineLevel="1">
      <c r="A89" s="60"/>
      <c r="B89" s="70" t="s">
        <v>493</v>
      </c>
      <c r="C89" s="13" t="s">
        <v>138</v>
      </c>
      <c r="D89" s="66"/>
      <c r="E89" s="251">
        <f t="shared" si="9"/>
        <v>13.333333333333334</v>
      </c>
      <c r="F89" s="66"/>
      <c r="G89" s="251">
        <v>29.197080291970799</v>
      </c>
      <c r="H89" s="251"/>
      <c r="I89" s="251">
        <v>29.032258064516132</v>
      </c>
      <c r="J89" s="251" t="e">
        <v>#DIV/0!</v>
      </c>
      <c r="K89" s="251">
        <v>33.628318584070797</v>
      </c>
      <c r="L89" s="251">
        <v>23.008849557522122</v>
      </c>
      <c r="M89" s="251">
        <v>11.504424778761061</v>
      </c>
      <c r="N89" s="251">
        <v>11.504424778761061</v>
      </c>
      <c r="O89" s="251">
        <v>7.9646017699115044</v>
      </c>
      <c r="P89" s="251">
        <v>4.4247787610619467</v>
      </c>
      <c r="Q89" s="251">
        <v>3.5398230088495577</v>
      </c>
    </row>
    <row r="90" spans="1:17" s="36" customFormat="1" ht="15" customHeight="1" outlineLevel="1">
      <c r="A90" s="60"/>
      <c r="B90" s="70" t="s">
        <v>494</v>
      </c>
      <c r="C90" s="13" t="s">
        <v>138</v>
      </c>
      <c r="D90" s="66"/>
      <c r="E90" s="251">
        <f t="shared" si="9"/>
        <v>5.0497990564389301</v>
      </c>
      <c r="F90" s="66"/>
      <c r="G90" s="251">
        <v>32.90138654917714</v>
      </c>
      <c r="H90" s="251"/>
      <c r="I90" s="251">
        <v>13.420348058902276</v>
      </c>
      <c r="J90" s="251" t="e">
        <v>#DIV/0!</v>
      </c>
      <c r="K90" s="251">
        <v>1.7368069472277889</v>
      </c>
      <c r="L90" s="251">
        <v>1.503006012024048</v>
      </c>
      <c r="M90" s="251">
        <v>0.76820307281229117</v>
      </c>
      <c r="N90" s="251">
        <v>0.73480293921175688</v>
      </c>
      <c r="O90" s="251">
        <v>0</v>
      </c>
      <c r="P90" s="251">
        <v>0</v>
      </c>
      <c r="Q90" s="251">
        <v>0</v>
      </c>
    </row>
    <row r="91" spans="1:17" s="36" customFormat="1" ht="15" customHeight="1" outlineLevel="1">
      <c r="A91" s="60"/>
      <c r="B91" s="70" t="s">
        <v>495</v>
      </c>
      <c r="C91" s="13" t="s">
        <v>138</v>
      </c>
      <c r="D91" s="66"/>
      <c r="E91" s="251">
        <f t="shared" si="9"/>
        <v>2.3481638418079096</v>
      </c>
      <c r="F91" s="66"/>
      <c r="G91" s="251">
        <v>19.762078174314155</v>
      </c>
      <c r="H91" s="251"/>
      <c r="I91" s="251">
        <v>14.104758644299897</v>
      </c>
      <c r="J91" s="251" t="e">
        <v>#DIV/0!</v>
      </c>
      <c r="K91" s="251">
        <v>19.700224587442634</v>
      </c>
      <c r="L91" s="251">
        <v>19.385906360255554</v>
      </c>
      <c r="M91" s="251">
        <v>10.28804608737398</v>
      </c>
      <c r="N91" s="251">
        <v>9.1055447701122212</v>
      </c>
      <c r="O91" s="251">
        <v>16.841369671558351</v>
      </c>
      <c r="P91" s="251">
        <v>8.5505882352941178</v>
      </c>
      <c r="Q91" s="251">
        <v>8.2937404861847881</v>
      </c>
    </row>
    <row r="92" spans="1:17" s="36" customFormat="1" ht="15" customHeight="1" outlineLevel="1">
      <c r="A92" s="60"/>
      <c r="B92" s="70" t="s">
        <v>496</v>
      </c>
      <c r="C92" s="13" t="s">
        <v>138</v>
      </c>
      <c r="D92" s="66"/>
      <c r="E92" s="251">
        <f t="shared" si="9"/>
        <v>4.8128342245989302</v>
      </c>
      <c r="F92" s="66"/>
      <c r="G92" s="251">
        <v>25.506072874493928</v>
      </c>
      <c r="H92" s="251"/>
      <c r="I92" s="251">
        <v>13.253012048192772</v>
      </c>
      <c r="J92" s="251" t="e">
        <v>#DIV/0!</v>
      </c>
      <c r="K92" s="251">
        <v>28.431372549019606</v>
      </c>
      <c r="L92" s="251">
        <v>25.941872981700755</v>
      </c>
      <c r="M92" s="251">
        <v>16.690042075736326</v>
      </c>
      <c r="N92" s="251">
        <v>10.645724258289704</v>
      </c>
      <c r="O92" s="251">
        <v>24.34108527131783</v>
      </c>
      <c r="P92" s="251">
        <v>12.170542635658915</v>
      </c>
      <c r="Q92" s="251">
        <v>12.170542635658915</v>
      </c>
    </row>
    <row r="93" spans="1:17" s="36" customFormat="1" ht="15" customHeight="1" outlineLevel="1">
      <c r="A93" s="60"/>
      <c r="B93" s="70" t="s">
        <v>497</v>
      </c>
      <c r="C93" s="13" t="s">
        <v>138</v>
      </c>
      <c r="D93" s="66"/>
      <c r="E93" s="251"/>
      <c r="F93" s="66"/>
      <c r="G93" s="251"/>
      <c r="H93" s="251"/>
      <c r="I93" s="251"/>
      <c r="J93" s="251"/>
      <c r="K93" s="251"/>
      <c r="L93" s="251"/>
      <c r="M93" s="251"/>
      <c r="N93" s="251"/>
      <c r="O93" s="251"/>
      <c r="P93" s="251"/>
      <c r="Q93" s="251"/>
    </row>
    <row r="94" spans="1:17" s="36" customFormat="1" ht="15" customHeight="1" outlineLevel="1">
      <c r="A94" s="60"/>
      <c r="B94" s="68" t="s">
        <v>498</v>
      </c>
      <c r="C94" s="13" t="s">
        <v>138</v>
      </c>
      <c r="D94" s="66"/>
      <c r="E94" s="251">
        <f t="shared" si="9"/>
        <v>4.796688580472364</v>
      </c>
      <c r="F94" s="66"/>
      <c r="G94" s="251">
        <v>18.351214003387916</v>
      </c>
      <c r="H94" s="251"/>
      <c r="I94" s="251">
        <v>18.316569613552144</v>
      </c>
      <c r="J94" s="251" t="e">
        <v>#DIV/0!</v>
      </c>
      <c r="K94" s="251">
        <v>18.152866242038215</v>
      </c>
      <c r="L94" s="251">
        <v>10.084925690021231</v>
      </c>
      <c r="M94" s="251">
        <v>5.0424628450106157</v>
      </c>
      <c r="N94" s="251">
        <v>5.0424628450106157</v>
      </c>
      <c r="O94" s="251">
        <v>0.84925690021231426</v>
      </c>
      <c r="P94" s="251">
        <v>0.42462845010615713</v>
      </c>
      <c r="Q94" s="251">
        <v>0.42462845010615713</v>
      </c>
    </row>
    <row r="95" spans="1:17" s="36" customFormat="1" ht="15" customHeight="1" outlineLevel="1">
      <c r="A95" s="60"/>
      <c r="B95" s="68" t="s">
        <v>499</v>
      </c>
      <c r="C95" s="13" t="s">
        <v>138</v>
      </c>
      <c r="D95" s="66"/>
      <c r="E95" s="251">
        <f t="shared" si="9"/>
        <v>0</v>
      </c>
      <c r="F95" s="66"/>
      <c r="G95" s="251">
        <v>1.9230769230769229</v>
      </c>
      <c r="H95" s="251"/>
      <c r="I95" s="251">
        <v>101.68067226890756</v>
      </c>
      <c r="J95" s="251" t="e">
        <v>#DIV/0!</v>
      </c>
      <c r="K95" s="251">
        <v>0</v>
      </c>
      <c r="L95" s="251">
        <v>0</v>
      </c>
      <c r="M95" s="251">
        <v>0</v>
      </c>
      <c r="N95" s="251">
        <v>0</v>
      </c>
      <c r="O95" s="251">
        <v>0</v>
      </c>
      <c r="P95" s="251">
        <v>0</v>
      </c>
      <c r="Q95" s="251">
        <v>0</v>
      </c>
    </row>
    <row r="96" spans="1:17" s="36" customFormat="1">
      <c r="A96" s="60"/>
      <c r="B96" s="68"/>
      <c r="C96" s="13"/>
      <c r="D96" s="66"/>
      <c r="E96" s="66"/>
      <c r="F96" s="66"/>
      <c r="G96" s="66"/>
      <c r="H96" s="66"/>
      <c r="I96" s="66"/>
      <c r="J96" s="66"/>
      <c r="K96" s="66"/>
      <c r="L96" s="66"/>
      <c r="M96" s="66"/>
      <c r="N96" s="66"/>
      <c r="O96" s="66"/>
      <c r="P96" s="66"/>
      <c r="Q96" s="66"/>
    </row>
    <row r="97" spans="1:17" s="1001" customFormat="1" ht="15" customHeight="1">
      <c r="A97" s="82" t="s">
        <v>109</v>
      </c>
      <c r="B97" s="80" t="s">
        <v>505</v>
      </c>
      <c r="C97" s="999" t="s">
        <v>240</v>
      </c>
      <c r="D97" s="1000">
        <v>862</v>
      </c>
      <c r="E97" s="1000">
        <f>E98+E99+E100+E101+E107+E108+E109+E110</f>
        <v>3875.07</v>
      </c>
      <c r="F97" s="1000">
        <v>3586</v>
      </c>
      <c r="G97" s="1000">
        <v>3799.1603144860628</v>
      </c>
      <c r="H97" s="1000">
        <v>2171.2000000000003</v>
      </c>
      <c r="I97" s="1000">
        <v>3276</v>
      </c>
      <c r="J97" s="1000">
        <v>0</v>
      </c>
      <c r="K97" s="1000">
        <v>5154</v>
      </c>
      <c r="L97" s="1000">
        <v>5588</v>
      </c>
      <c r="M97" s="1000">
        <v>2904</v>
      </c>
      <c r="N97" s="1000">
        <v>2684</v>
      </c>
      <c r="O97" s="1000">
        <v>5005</v>
      </c>
      <c r="P97" s="1000">
        <v>2513</v>
      </c>
      <c r="Q97" s="1000">
        <v>2492</v>
      </c>
    </row>
    <row r="98" spans="1:17" s="36" customFormat="1" ht="15" customHeight="1" outlineLevel="1">
      <c r="A98" s="60"/>
      <c r="B98" s="68" t="s">
        <v>487</v>
      </c>
      <c r="C98" s="13" t="s">
        <v>240</v>
      </c>
      <c r="D98" s="241"/>
      <c r="E98" s="241">
        <v>3182</v>
      </c>
      <c r="F98" s="241"/>
      <c r="G98" s="241">
        <v>502.32778604130044</v>
      </c>
      <c r="H98" s="241"/>
      <c r="I98" s="241">
        <v>131</v>
      </c>
      <c r="J98" s="241"/>
      <c r="K98" s="241">
        <v>150</v>
      </c>
      <c r="L98" s="241">
        <v>150</v>
      </c>
      <c r="M98" s="241">
        <v>75</v>
      </c>
      <c r="N98" s="241">
        <v>75</v>
      </c>
      <c r="O98" s="241">
        <v>150</v>
      </c>
      <c r="P98" s="241">
        <v>75</v>
      </c>
      <c r="Q98" s="241">
        <v>75</v>
      </c>
    </row>
    <row r="99" spans="1:17" s="36" customFormat="1" ht="15" customHeight="1" outlineLevel="1">
      <c r="A99" s="60"/>
      <c r="B99" s="68" t="s">
        <v>488</v>
      </c>
      <c r="C99" s="13" t="s">
        <v>240</v>
      </c>
      <c r="D99" s="241"/>
      <c r="E99" s="241">
        <f>8+55.07</f>
        <v>63.07</v>
      </c>
      <c r="F99" s="241"/>
      <c r="G99" s="241">
        <v>15.535910908493829</v>
      </c>
      <c r="H99" s="241"/>
      <c r="I99" s="241">
        <v>10</v>
      </c>
      <c r="J99" s="241"/>
      <c r="K99" s="241">
        <v>33</v>
      </c>
      <c r="L99" s="241">
        <v>29</v>
      </c>
      <c r="M99" s="241">
        <v>15</v>
      </c>
      <c r="N99" s="241">
        <v>14</v>
      </c>
      <c r="O99" s="241">
        <v>29</v>
      </c>
      <c r="P99" s="241">
        <v>15</v>
      </c>
      <c r="Q99" s="241">
        <v>14</v>
      </c>
    </row>
    <row r="100" spans="1:17" s="36" customFormat="1" ht="15" customHeight="1" outlineLevel="1">
      <c r="A100" s="60"/>
      <c r="B100" s="68" t="s">
        <v>489</v>
      </c>
      <c r="C100" s="13" t="s">
        <v>240</v>
      </c>
      <c r="D100" s="241"/>
      <c r="E100" s="241">
        <v>0</v>
      </c>
      <c r="F100" s="241"/>
      <c r="G100" s="241">
        <v>0</v>
      </c>
      <c r="H100" s="241"/>
      <c r="I100" s="241"/>
      <c r="J100" s="241"/>
      <c r="K100" s="241">
        <v>301</v>
      </c>
      <c r="L100" s="241">
        <v>841</v>
      </c>
      <c r="M100" s="241">
        <v>421</v>
      </c>
      <c r="N100" s="241">
        <v>420</v>
      </c>
      <c r="O100" s="241">
        <v>872</v>
      </c>
      <c r="P100" s="241">
        <v>436</v>
      </c>
      <c r="Q100" s="241">
        <v>436</v>
      </c>
    </row>
    <row r="101" spans="1:17" s="36" customFormat="1" ht="15" customHeight="1" outlineLevel="1">
      <c r="A101" s="60"/>
      <c r="B101" s="68" t="s">
        <v>490</v>
      </c>
      <c r="C101" s="13" t="s">
        <v>240</v>
      </c>
      <c r="D101" s="241"/>
      <c r="E101" s="241">
        <f t="shared" ref="E101" si="10">SUM(E102:E106)</f>
        <v>424</v>
      </c>
      <c r="F101" s="241"/>
      <c r="G101" s="241">
        <v>2511.1593196437884</v>
      </c>
      <c r="H101" s="241">
        <v>0</v>
      </c>
      <c r="I101" s="241">
        <v>831</v>
      </c>
      <c r="J101" s="241"/>
      <c r="K101" s="241">
        <v>4125</v>
      </c>
      <c r="L101" s="241">
        <v>4137</v>
      </c>
      <c r="M101" s="241">
        <v>2179</v>
      </c>
      <c r="N101" s="241">
        <v>1958</v>
      </c>
      <c r="O101" s="241">
        <v>3624</v>
      </c>
      <c r="P101" s="241">
        <v>1822</v>
      </c>
      <c r="Q101" s="241">
        <v>1802</v>
      </c>
    </row>
    <row r="102" spans="1:17" s="36" customFormat="1" ht="15" customHeight="1" outlineLevel="1">
      <c r="A102" s="60"/>
      <c r="B102" s="68" t="s">
        <v>491</v>
      </c>
      <c r="C102" s="13" t="s">
        <v>240</v>
      </c>
      <c r="D102" s="241"/>
      <c r="E102" s="241">
        <v>0</v>
      </c>
      <c r="F102" s="241"/>
      <c r="G102" s="241">
        <v>0</v>
      </c>
      <c r="H102" s="241"/>
      <c r="I102" s="241"/>
      <c r="J102" s="241"/>
      <c r="K102" s="241"/>
      <c r="L102" s="241">
        <v>0</v>
      </c>
      <c r="M102" s="241"/>
      <c r="N102" s="241"/>
      <c r="O102" s="241"/>
      <c r="P102" s="241"/>
      <c r="Q102" s="241"/>
    </row>
    <row r="103" spans="1:17" s="36" customFormat="1" ht="15" customHeight="1" outlineLevel="1">
      <c r="A103" s="60"/>
      <c r="B103" s="70" t="s">
        <v>492</v>
      </c>
      <c r="C103" s="13" t="s">
        <v>240</v>
      </c>
      <c r="D103" s="241"/>
      <c r="E103" s="241">
        <v>0</v>
      </c>
      <c r="F103" s="241"/>
      <c r="G103" s="241">
        <v>0</v>
      </c>
      <c r="H103" s="241"/>
      <c r="I103" s="241"/>
      <c r="J103" s="241"/>
      <c r="K103" s="241"/>
      <c r="L103" s="241">
        <v>0</v>
      </c>
      <c r="M103" s="241"/>
      <c r="N103" s="241"/>
      <c r="O103" s="241"/>
      <c r="P103" s="241"/>
      <c r="Q103" s="241"/>
    </row>
    <row r="104" spans="1:17" s="36" customFormat="1" ht="15" customHeight="1" outlineLevel="1">
      <c r="A104" s="60"/>
      <c r="B104" s="70" t="s">
        <v>493</v>
      </c>
      <c r="C104" s="13" t="s">
        <v>240</v>
      </c>
      <c r="D104" s="241"/>
      <c r="E104" s="241">
        <v>2</v>
      </c>
      <c r="F104" s="241"/>
      <c r="G104" s="241">
        <v>29.592211254273959</v>
      </c>
      <c r="H104" s="241"/>
      <c r="I104" s="241">
        <v>18</v>
      </c>
      <c r="J104" s="241"/>
      <c r="K104" s="241">
        <v>38</v>
      </c>
      <c r="L104" s="241">
        <v>26</v>
      </c>
      <c r="M104" s="241">
        <v>13</v>
      </c>
      <c r="N104" s="241">
        <v>13</v>
      </c>
      <c r="O104" s="241">
        <v>9</v>
      </c>
      <c r="P104" s="241">
        <v>5</v>
      </c>
      <c r="Q104" s="241">
        <v>4</v>
      </c>
    </row>
    <row r="105" spans="1:17" s="36" customFormat="1" ht="15" customHeight="1" outlineLevel="1">
      <c r="A105" s="60"/>
      <c r="B105" s="70" t="s">
        <v>494</v>
      </c>
      <c r="C105" s="13" t="s">
        <v>240</v>
      </c>
      <c r="D105" s="241"/>
      <c r="E105" s="241">
        <f>287+2</f>
        <v>289</v>
      </c>
      <c r="F105" s="241"/>
      <c r="G105" s="241">
        <v>1878.3656093650395</v>
      </c>
      <c r="H105" s="241"/>
      <c r="I105" s="241">
        <v>401</v>
      </c>
      <c r="J105" s="241"/>
      <c r="K105" s="241">
        <v>52</v>
      </c>
      <c r="L105" s="241">
        <v>45</v>
      </c>
      <c r="M105" s="241">
        <v>23</v>
      </c>
      <c r="N105" s="241">
        <v>22</v>
      </c>
      <c r="O105" s="241"/>
      <c r="P105" s="241"/>
      <c r="Q105" s="241"/>
    </row>
    <row r="106" spans="1:17" s="36" customFormat="1" ht="15" customHeight="1" outlineLevel="1">
      <c r="A106" s="60"/>
      <c r="B106" s="70" t="s">
        <v>495</v>
      </c>
      <c r="C106" s="13" t="s">
        <v>240</v>
      </c>
      <c r="D106" s="241"/>
      <c r="E106" s="241">
        <f>158-25</f>
        <v>133</v>
      </c>
      <c r="F106" s="241"/>
      <c r="G106" s="241">
        <v>602.20149902447508</v>
      </c>
      <c r="H106" s="241"/>
      <c r="I106" s="241">
        <v>412</v>
      </c>
      <c r="J106" s="241"/>
      <c r="K106" s="241">
        <v>4035</v>
      </c>
      <c r="L106" s="241">
        <v>4066</v>
      </c>
      <c r="M106" s="241">
        <v>2143</v>
      </c>
      <c r="N106" s="241">
        <v>1923</v>
      </c>
      <c r="O106" s="241">
        <v>3615</v>
      </c>
      <c r="P106" s="241">
        <v>1817</v>
      </c>
      <c r="Q106" s="241">
        <v>1798</v>
      </c>
    </row>
    <row r="107" spans="1:17" s="36" customFormat="1" ht="15" customHeight="1" outlineLevel="1">
      <c r="A107" s="60"/>
      <c r="B107" s="70" t="s">
        <v>496</v>
      </c>
      <c r="C107" s="13" t="s">
        <v>240</v>
      </c>
      <c r="D107" s="241"/>
      <c r="E107" s="241">
        <v>9</v>
      </c>
      <c r="F107" s="241"/>
      <c r="G107" s="241">
        <v>46.607732725481483</v>
      </c>
      <c r="H107" s="241"/>
      <c r="I107" s="241">
        <v>22</v>
      </c>
      <c r="J107" s="241"/>
      <c r="K107" s="241">
        <v>203</v>
      </c>
      <c r="L107" s="241">
        <v>241</v>
      </c>
      <c r="M107" s="241">
        <v>119</v>
      </c>
      <c r="N107" s="241">
        <v>122</v>
      </c>
      <c r="O107" s="241">
        <v>314</v>
      </c>
      <c r="P107" s="241">
        <v>157</v>
      </c>
      <c r="Q107" s="241">
        <v>157</v>
      </c>
    </row>
    <row r="108" spans="1:17" s="36" customFormat="1" ht="15" customHeight="1" outlineLevel="1">
      <c r="A108" s="60"/>
      <c r="B108" s="70" t="s">
        <v>497</v>
      </c>
      <c r="C108" s="13" t="s">
        <v>240</v>
      </c>
      <c r="D108" s="241"/>
      <c r="E108" s="241">
        <v>0</v>
      </c>
      <c r="F108" s="241"/>
      <c r="G108" s="241">
        <v>0</v>
      </c>
      <c r="H108" s="241"/>
      <c r="I108" s="241"/>
      <c r="J108" s="241"/>
      <c r="K108" s="241"/>
      <c r="L108" s="241">
        <v>0</v>
      </c>
      <c r="M108" s="241"/>
      <c r="N108" s="241"/>
      <c r="O108" s="241"/>
      <c r="P108" s="241"/>
      <c r="Q108" s="241"/>
    </row>
    <row r="109" spans="1:17" s="36" customFormat="1" ht="15" customHeight="1" outlineLevel="1">
      <c r="A109" s="60"/>
      <c r="B109" s="68" t="s">
        <v>498</v>
      </c>
      <c r="C109" s="13" t="s">
        <v>240</v>
      </c>
      <c r="D109" s="241"/>
      <c r="E109" s="241">
        <f>197</f>
        <v>197</v>
      </c>
      <c r="F109" s="241"/>
      <c r="G109" s="241">
        <v>721.31014932292771</v>
      </c>
      <c r="H109" s="241"/>
      <c r="I109" s="241">
        <v>346</v>
      </c>
      <c r="J109" s="241"/>
      <c r="K109" s="241">
        <v>342</v>
      </c>
      <c r="L109" s="241">
        <v>190</v>
      </c>
      <c r="M109" s="241">
        <v>95</v>
      </c>
      <c r="N109" s="241">
        <v>95</v>
      </c>
      <c r="O109" s="241">
        <v>16</v>
      </c>
      <c r="P109" s="241">
        <v>8</v>
      </c>
      <c r="Q109" s="241">
        <v>8</v>
      </c>
    </row>
    <row r="110" spans="1:17" s="36" customFormat="1" ht="15" customHeight="1" outlineLevel="1">
      <c r="A110" s="60"/>
      <c r="B110" s="68" t="s">
        <v>499</v>
      </c>
      <c r="C110" s="13" t="s">
        <v>240</v>
      </c>
      <c r="D110" s="241"/>
      <c r="E110" s="1008"/>
      <c r="F110" s="241"/>
      <c r="G110" s="241">
        <v>2.2194158440705469</v>
      </c>
      <c r="H110" s="241"/>
      <c r="I110" s="241">
        <v>1936</v>
      </c>
      <c r="J110" s="241"/>
      <c r="K110" s="241"/>
      <c r="L110" s="241">
        <v>0</v>
      </c>
      <c r="M110" s="241"/>
      <c r="N110" s="241"/>
      <c r="O110" s="241"/>
      <c r="P110" s="241"/>
      <c r="Q110" s="241"/>
    </row>
    <row r="111" spans="1:17" s="1001" customFormat="1" ht="28.5">
      <c r="A111" s="82" t="s">
        <v>151</v>
      </c>
      <c r="B111" s="80" t="s">
        <v>1524</v>
      </c>
      <c r="C111" s="1002" t="s">
        <v>240</v>
      </c>
      <c r="D111" s="1000">
        <f>D97</f>
        <v>862</v>
      </c>
      <c r="E111" s="1000">
        <f t="shared" ref="E111:N111" si="11">E97</f>
        <v>3875.07</v>
      </c>
      <c r="F111" s="1000">
        <f t="shared" si="11"/>
        <v>3586</v>
      </c>
      <c r="G111" s="1000">
        <v>3799.1603144860628</v>
      </c>
      <c r="H111" s="1000">
        <v>2171.2000000000003</v>
      </c>
      <c r="I111" s="1000">
        <v>3276</v>
      </c>
      <c r="J111" s="1000">
        <v>0</v>
      </c>
      <c r="K111" s="1000">
        <v>5154</v>
      </c>
      <c r="L111" s="1000">
        <v>5588</v>
      </c>
      <c r="M111" s="1000">
        <v>2904</v>
      </c>
      <c r="N111" s="1000">
        <v>2684</v>
      </c>
      <c r="O111" s="1000">
        <v>5005</v>
      </c>
      <c r="P111" s="1000">
        <v>2513</v>
      </c>
      <c r="Q111" s="1000">
        <v>2492</v>
      </c>
    </row>
    <row r="112" spans="1:17" s="36" customFormat="1" ht="15" customHeight="1">
      <c r="A112" s="60" t="s">
        <v>153</v>
      </c>
      <c r="B112" s="70" t="s">
        <v>402</v>
      </c>
      <c r="C112" s="13" t="s">
        <v>240</v>
      </c>
      <c r="D112" s="241"/>
      <c r="E112" s="241"/>
      <c r="F112" s="241"/>
      <c r="G112" s="241"/>
      <c r="H112" s="241"/>
      <c r="I112" s="241"/>
      <c r="J112" s="241"/>
      <c r="K112" s="241"/>
      <c r="L112" s="241"/>
      <c r="M112" s="241"/>
      <c r="N112" s="241"/>
      <c r="O112" s="241"/>
      <c r="P112" s="241"/>
      <c r="Q112" s="241"/>
    </row>
    <row r="113" spans="1:17" s="36" customFormat="1" ht="15" customHeight="1">
      <c r="A113" s="60" t="s">
        <v>1528</v>
      </c>
      <c r="B113" s="70" t="s">
        <v>404</v>
      </c>
      <c r="C113" s="13" t="s">
        <v>240</v>
      </c>
      <c r="D113" s="241">
        <v>862</v>
      </c>
      <c r="E113" s="241">
        <v>3874</v>
      </c>
      <c r="F113" s="241">
        <v>3586</v>
      </c>
      <c r="G113" s="241">
        <v>3799.1603144860628</v>
      </c>
      <c r="H113" s="241">
        <v>2171.2000000000003</v>
      </c>
      <c r="I113" s="241">
        <v>3276</v>
      </c>
      <c r="J113" s="241">
        <v>0</v>
      </c>
      <c r="K113" s="241">
        <v>5154</v>
      </c>
      <c r="L113" s="241">
        <v>5588</v>
      </c>
      <c r="M113" s="241">
        <v>2904</v>
      </c>
      <c r="N113" s="241">
        <v>2684</v>
      </c>
      <c r="O113" s="241">
        <v>5005</v>
      </c>
      <c r="P113" s="241">
        <v>2513</v>
      </c>
      <c r="Q113" s="241">
        <v>2492</v>
      </c>
    </row>
    <row r="114" spans="1:17" s="36" customFormat="1" ht="15" customHeight="1">
      <c r="A114" s="60" t="s">
        <v>1529</v>
      </c>
      <c r="B114" s="70" t="s">
        <v>406</v>
      </c>
      <c r="C114" s="13" t="s">
        <v>240</v>
      </c>
      <c r="D114" s="241"/>
      <c r="E114" s="241"/>
      <c r="F114" s="241"/>
      <c r="G114" s="241"/>
      <c r="H114" s="241"/>
      <c r="I114" s="241"/>
      <c r="J114" s="241"/>
      <c r="K114" s="241"/>
      <c r="L114" s="241"/>
      <c r="M114" s="241"/>
      <c r="N114" s="241"/>
      <c r="O114" s="241"/>
      <c r="P114" s="241"/>
      <c r="Q114" s="241"/>
    </row>
    <row r="115" spans="1:17" s="36" customFormat="1" ht="15" customHeight="1">
      <c r="A115" s="60" t="s">
        <v>1530</v>
      </c>
      <c r="B115" s="70" t="s">
        <v>408</v>
      </c>
      <c r="C115" s="13" t="s">
        <v>240</v>
      </c>
      <c r="D115" s="241"/>
      <c r="E115" s="241"/>
      <c r="F115" s="241"/>
      <c r="G115" s="241"/>
      <c r="H115" s="241"/>
      <c r="I115" s="241"/>
      <c r="J115" s="241"/>
      <c r="K115" s="241"/>
      <c r="L115" s="241"/>
      <c r="M115" s="241"/>
      <c r="N115" s="241"/>
      <c r="O115" s="241"/>
      <c r="P115" s="241"/>
      <c r="Q115" s="241"/>
    </row>
    <row r="116" spans="1:17" customFormat="1" ht="12.75"/>
    <row r="117" spans="1:17" s="26" customFormat="1">
      <c r="A117" s="26" t="s">
        <v>88</v>
      </c>
      <c r="C117" s="48"/>
    </row>
    <row r="118" spans="1:17" s="541" customFormat="1" ht="51.75" customHeight="1">
      <c r="A118" s="541" t="s">
        <v>89</v>
      </c>
      <c r="B118" s="1842" t="s">
        <v>506</v>
      </c>
      <c r="C118" s="1842"/>
      <c r="D118" s="1842"/>
      <c r="E118" s="1842"/>
      <c r="F118" s="1842"/>
      <c r="G118" s="1842"/>
      <c r="H118" s="1842"/>
      <c r="I118" s="1842"/>
      <c r="J118" s="1842"/>
      <c r="K118" s="1842"/>
      <c r="L118" s="1842"/>
      <c r="M118" s="1842"/>
      <c r="N118" s="1842"/>
    </row>
    <row r="119" spans="1:17" s="541" customFormat="1" ht="58.5" customHeight="1">
      <c r="A119" s="541" t="s">
        <v>91</v>
      </c>
      <c r="B119" s="1842" t="s">
        <v>507</v>
      </c>
      <c r="C119" s="1842"/>
      <c r="D119" s="1842"/>
      <c r="E119" s="1842"/>
      <c r="F119" s="1842"/>
      <c r="G119" s="1842"/>
      <c r="H119" s="1842"/>
      <c r="I119" s="1842"/>
      <c r="J119" s="1842"/>
      <c r="K119" s="1842"/>
      <c r="L119" s="1842"/>
      <c r="M119" s="1842"/>
      <c r="N119" s="1842"/>
    </row>
    <row r="120" spans="1:17" ht="21" customHeight="1"/>
  </sheetData>
  <mergeCells count="3">
    <mergeCell ref="A3:N3"/>
    <mergeCell ref="B118:N118"/>
    <mergeCell ref="B119:N119"/>
  </mergeCells>
  <pageMargins left="0.78740157480314965" right="0.51181102362204722" top="0.33" bottom="0.39370078740157483" header="0.19685039370078741" footer="0.19685039370078741"/>
  <pageSetup paperSize="9" scale="43" orientation="portrait" r:id="rId1"/>
  <headerFooter alignWithMargins="0"/>
  <rowBreaks count="1" manualBreakCount="1">
    <brk id="116" max="6" man="1"/>
  </row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Q120"/>
  <sheetViews>
    <sheetView view="pageBreakPreview" zoomScaleNormal="100" workbookViewId="0">
      <pane xSplit="2" ySplit="5" topLeftCell="C6" activePane="bottomRight" state="frozen"/>
      <selection activeCell="Q7" sqref="Q7"/>
      <selection pane="topRight" activeCell="Q7" sqref="Q7"/>
      <selection pane="bottomLeft" activeCell="Q7" sqref="Q7"/>
      <selection pane="bottomRight" activeCell="R2" sqref="R2"/>
    </sheetView>
  </sheetViews>
  <sheetFormatPr defaultColWidth="4.28515625" defaultRowHeight="15" outlineLevelRow="2"/>
  <cols>
    <col min="1" max="1" width="5.42578125" style="1" customWidth="1"/>
    <col min="2" max="2" width="42.28515625" style="1" customWidth="1"/>
    <col min="3" max="3" width="12" style="21" customWidth="1"/>
    <col min="4" max="4" width="12.5703125" style="1" hidden="1" customWidth="1"/>
    <col min="5" max="5" width="11.5703125" style="1" hidden="1" customWidth="1"/>
    <col min="6" max="10" width="12.5703125" style="1" customWidth="1"/>
    <col min="11" max="11" width="15.7109375" style="1" customWidth="1"/>
    <col min="12" max="12" width="12.5703125" style="1" customWidth="1"/>
    <col min="13" max="13" width="11.42578125" style="1" customWidth="1"/>
    <col min="14" max="14" width="11" style="1" customWidth="1"/>
    <col min="15" max="15" width="12.7109375" style="1" customWidth="1"/>
    <col min="16" max="16" width="10.85546875" style="1" customWidth="1"/>
    <col min="17" max="17" width="10.5703125" style="1" customWidth="1"/>
    <col min="18" max="16384" width="4.28515625" style="1"/>
  </cols>
  <sheetData>
    <row r="1" spans="1:17" s="5" customFormat="1" ht="15.75" customHeight="1">
      <c r="A1" s="74" t="s">
        <v>1860</v>
      </c>
      <c r="C1" s="20"/>
      <c r="N1" s="6" t="s">
        <v>943</v>
      </c>
      <c r="Q1" s="6" t="s">
        <v>943</v>
      </c>
    </row>
    <row r="2" spans="1:17" s="5" customFormat="1" ht="12.75" customHeight="1">
      <c r="A2" s="759" t="str">
        <f>'4.10_свод_котельн.'!A2</f>
        <v>ПКГО - выработка котельными</v>
      </c>
      <c r="C2" s="20"/>
    </row>
    <row r="3" spans="1:17" ht="37.5" customHeight="1">
      <c r="A3" s="1915" t="s">
        <v>1551</v>
      </c>
      <c r="B3" s="1915"/>
      <c r="C3" s="1915"/>
      <c r="D3" s="1915"/>
      <c r="E3" s="1915"/>
      <c r="F3" s="1915"/>
      <c r="G3" s="1915"/>
      <c r="H3" s="1915"/>
      <c r="I3" s="1915"/>
      <c r="J3" s="1915"/>
      <c r="K3" s="1915"/>
      <c r="L3" s="1915"/>
      <c r="M3" s="1915"/>
      <c r="N3" s="1915"/>
    </row>
    <row r="4" spans="1:17" customFormat="1" ht="12.75" customHeight="1"/>
    <row r="5" spans="1:17" s="3" customFormat="1" ht="63" customHeight="1">
      <c r="A5" s="975" t="s">
        <v>1527</v>
      </c>
      <c r="B5" s="975" t="s">
        <v>1</v>
      </c>
      <c r="C5" s="975" t="s">
        <v>2</v>
      </c>
      <c r="D5" s="975" t="s">
        <v>1129</v>
      </c>
      <c r="E5" s="975" t="s">
        <v>1130</v>
      </c>
      <c r="F5" s="975" t="s">
        <v>1553</v>
      </c>
      <c r="G5" s="975" t="s">
        <v>1695</v>
      </c>
      <c r="H5" s="1310" t="s">
        <v>1702</v>
      </c>
      <c r="I5" s="1576" t="s">
        <v>1828</v>
      </c>
      <c r="J5" s="1613" t="s">
        <v>1842</v>
      </c>
      <c r="K5" s="1631" t="s">
        <v>1861</v>
      </c>
      <c r="L5" s="1631" t="s">
        <v>1862</v>
      </c>
      <c r="M5" s="1631" t="s">
        <v>763</v>
      </c>
      <c r="N5" s="1631" t="s">
        <v>764</v>
      </c>
      <c r="O5" s="1631" t="s">
        <v>1863</v>
      </c>
      <c r="P5" s="1631" t="s">
        <v>763</v>
      </c>
      <c r="Q5" s="1631" t="s">
        <v>764</v>
      </c>
    </row>
    <row r="6" spans="1:17" s="2" customFormat="1">
      <c r="A6" s="13">
        <v>1</v>
      </c>
      <c r="B6" s="13">
        <v>2</v>
      </c>
      <c r="C6" s="13">
        <v>3</v>
      </c>
      <c r="D6" s="13">
        <v>4</v>
      </c>
      <c r="E6" s="13">
        <v>5</v>
      </c>
      <c r="F6" s="13">
        <v>4</v>
      </c>
      <c r="G6" s="13">
        <v>5</v>
      </c>
      <c r="H6" s="13">
        <v>6</v>
      </c>
      <c r="I6" s="13">
        <v>7</v>
      </c>
      <c r="J6" s="13">
        <v>8</v>
      </c>
      <c r="K6" s="13">
        <v>9</v>
      </c>
      <c r="L6" s="13">
        <v>10</v>
      </c>
      <c r="M6" s="13">
        <v>11</v>
      </c>
      <c r="N6" s="13">
        <v>12</v>
      </c>
      <c r="O6" s="13">
        <v>13</v>
      </c>
      <c r="P6" s="13">
        <v>14</v>
      </c>
      <c r="Q6" s="13">
        <v>15</v>
      </c>
    </row>
    <row r="7" spans="1:17" s="1001" customFormat="1" ht="30" customHeight="1">
      <c r="A7" s="82" t="s">
        <v>4</v>
      </c>
      <c r="B7" s="80" t="s">
        <v>486</v>
      </c>
      <c r="C7" s="1002" t="s">
        <v>240</v>
      </c>
      <c r="D7" s="1000">
        <f>'4.10_транзит_котельн.'!D7+'4.10_сбыт_котельн.'!D7</f>
        <v>2522</v>
      </c>
      <c r="E7" s="1000">
        <f>'4.10_транзит_котельн.'!E7+'4.10_сбыт_котельн.'!E7</f>
        <v>5797</v>
      </c>
      <c r="F7" s="1000">
        <f>'4.10_транзит_котельн.'!F7+'4.10_сбыт_котельн.'!F7</f>
        <v>0</v>
      </c>
      <c r="G7" s="1000">
        <v>26939.71706605623</v>
      </c>
      <c r="H7" s="1006">
        <v>0</v>
      </c>
      <c r="I7" s="1000">
        <v>22079</v>
      </c>
      <c r="J7" s="1000">
        <v>0</v>
      </c>
      <c r="K7" s="1000">
        <v>76850</v>
      </c>
      <c r="L7" s="1000">
        <v>71102</v>
      </c>
      <c r="M7" s="1000">
        <v>71102</v>
      </c>
      <c r="N7" s="1000">
        <v>71102</v>
      </c>
      <c r="O7" s="1000">
        <v>73401</v>
      </c>
      <c r="P7" s="1000">
        <v>73401</v>
      </c>
      <c r="Q7" s="1000">
        <v>73401</v>
      </c>
    </row>
    <row r="8" spans="1:17" s="36" customFormat="1" ht="15" customHeight="1" outlineLevel="1">
      <c r="A8" s="60"/>
      <c r="B8" s="68" t="s">
        <v>487</v>
      </c>
      <c r="C8" s="13" t="s">
        <v>240</v>
      </c>
      <c r="D8" s="241"/>
      <c r="E8" s="241">
        <f>'4.10_транзит_котельн.'!E8+'4.10_сбыт_котельн.'!E8</f>
        <v>2484</v>
      </c>
      <c r="F8" s="241"/>
      <c r="G8" s="241">
        <v>22236</v>
      </c>
      <c r="H8" s="983">
        <v>0</v>
      </c>
      <c r="I8" s="241">
        <v>10060</v>
      </c>
      <c r="J8" s="241">
        <v>0</v>
      </c>
      <c r="K8" s="241">
        <v>5994</v>
      </c>
      <c r="L8" s="241">
        <v>5994</v>
      </c>
      <c r="M8" s="241">
        <v>5994</v>
      </c>
      <c r="N8" s="241">
        <v>5994</v>
      </c>
      <c r="O8" s="241">
        <v>5994</v>
      </c>
      <c r="P8" s="241">
        <v>5994</v>
      </c>
      <c r="Q8" s="241">
        <v>5994</v>
      </c>
    </row>
    <row r="9" spans="1:17" s="36" customFormat="1" ht="15" customHeight="1" outlineLevel="1">
      <c r="A9" s="60"/>
      <c r="B9" s="68" t="s">
        <v>488</v>
      </c>
      <c r="C9" s="13" t="s">
        <v>240</v>
      </c>
      <c r="D9" s="241"/>
      <c r="E9" s="241">
        <f>'4.10_транзит_котельн.'!E9+'4.10_сбыт_котельн.'!E9</f>
        <v>78</v>
      </c>
      <c r="F9" s="241"/>
      <c r="G9" s="241">
        <v>59.062579081065941</v>
      </c>
      <c r="H9" s="983">
        <v>0</v>
      </c>
      <c r="I9" s="241">
        <v>121</v>
      </c>
      <c r="J9" s="241">
        <v>0</v>
      </c>
      <c r="K9" s="241">
        <v>448</v>
      </c>
      <c r="L9" s="241">
        <v>448</v>
      </c>
      <c r="M9" s="241">
        <v>448</v>
      </c>
      <c r="N9" s="241">
        <v>448</v>
      </c>
      <c r="O9" s="241">
        <v>448</v>
      </c>
      <c r="P9" s="241">
        <v>448</v>
      </c>
      <c r="Q9" s="241">
        <v>448</v>
      </c>
    </row>
    <row r="10" spans="1:17" s="36" customFormat="1" ht="15" customHeight="1" outlineLevel="1">
      <c r="A10" s="60"/>
      <c r="B10" s="68" t="s">
        <v>489</v>
      </c>
      <c r="C10" s="13" t="s">
        <v>240</v>
      </c>
      <c r="D10" s="241"/>
      <c r="E10" s="241">
        <f>'4.10_транзит_котельн.'!E10+'4.10_сбыт_котельн.'!E10</f>
        <v>0</v>
      </c>
      <c r="F10" s="241"/>
      <c r="G10" s="241">
        <v>0</v>
      </c>
      <c r="H10" s="983">
        <v>0</v>
      </c>
      <c r="I10" s="241">
        <v>0</v>
      </c>
      <c r="J10" s="241">
        <v>0</v>
      </c>
      <c r="K10" s="241">
        <v>5459</v>
      </c>
      <c r="L10" s="241">
        <v>20015</v>
      </c>
      <c r="M10" s="241">
        <v>20015</v>
      </c>
      <c r="N10" s="241">
        <v>20015</v>
      </c>
      <c r="O10" s="241">
        <v>20643</v>
      </c>
      <c r="P10" s="241">
        <v>20643</v>
      </c>
      <c r="Q10" s="241">
        <v>20643</v>
      </c>
    </row>
    <row r="11" spans="1:17" s="36" customFormat="1" ht="15" customHeight="1" outlineLevel="1">
      <c r="A11" s="60"/>
      <c r="B11" s="68" t="s">
        <v>490</v>
      </c>
      <c r="C11" s="13" t="s">
        <v>240</v>
      </c>
      <c r="D11" s="241"/>
      <c r="E11" s="241">
        <f>'4.10_транзит_котельн.'!E11+'4.10_сбыт_котельн.'!E11</f>
        <v>1897</v>
      </c>
      <c r="F11" s="241"/>
      <c r="G11" s="241">
        <v>3156.6417567345679</v>
      </c>
      <c r="H11" s="983">
        <v>0</v>
      </c>
      <c r="I11" s="241">
        <v>8362</v>
      </c>
      <c r="J11" s="241">
        <v>0</v>
      </c>
      <c r="K11" s="241">
        <v>38321</v>
      </c>
      <c r="L11" s="241">
        <v>40081</v>
      </c>
      <c r="M11" s="241">
        <v>40081</v>
      </c>
      <c r="N11" s="241">
        <v>40081</v>
      </c>
      <c r="O11" s="241">
        <v>40785</v>
      </c>
      <c r="P11" s="241">
        <v>40785</v>
      </c>
      <c r="Q11" s="241">
        <v>40785</v>
      </c>
    </row>
    <row r="12" spans="1:17" s="36" customFormat="1" ht="15" customHeight="1" outlineLevel="1">
      <c r="A12" s="60"/>
      <c r="B12" s="68" t="s">
        <v>491</v>
      </c>
      <c r="C12" s="13" t="s">
        <v>240</v>
      </c>
      <c r="D12" s="241"/>
      <c r="E12" s="241">
        <f>'4.10_транзит_котельн.'!E12+'4.10_сбыт_котельн.'!E12</f>
        <v>0</v>
      </c>
      <c r="F12" s="241"/>
      <c r="G12" s="241">
        <v>0</v>
      </c>
      <c r="H12" s="983">
        <v>0</v>
      </c>
      <c r="I12" s="241">
        <v>0</v>
      </c>
      <c r="J12" s="241">
        <v>0</v>
      </c>
      <c r="K12" s="241">
        <v>0</v>
      </c>
      <c r="L12" s="241">
        <v>0</v>
      </c>
      <c r="M12" s="241">
        <v>0</v>
      </c>
      <c r="N12" s="241">
        <v>0</v>
      </c>
      <c r="O12" s="241">
        <v>0</v>
      </c>
      <c r="P12" s="241">
        <v>0</v>
      </c>
      <c r="Q12" s="241">
        <v>0</v>
      </c>
    </row>
    <row r="13" spans="1:17" s="36" customFormat="1" ht="15" customHeight="1" outlineLevel="1">
      <c r="A13" s="60"/>
      <c r="B13" s="70" t="s">
        <v>492</v>
      </c>
      <c r="C13" s="13" t="s">
        <v>240</v>
      </c>
      <c r="D13" s="241"/>
      <c r="E13" s="241">
        <f>'4.10_транзит_котельн.'!E13+'4.10_сбыт_котельн.'!E13</f>
        <v>0</v>
      </c>
      <c r="F13" s="241"/>
      <c r="G13" s="241">
        <v>0</v>
      </c>
      <c r="H13" s="983">
        <v>0</v>
      </c>
      <c r="I13" s="241">
        <v>0</v>
      </c>
      <c r="J13" s="241">
        <v>0</v>
      </c>
      <c r="K13" s="241">
        <v>0</v>
      </c>
      <c r="L13" s="241">
        <v>0</v>
      </c>
      <c r="M13" s="241">
        <v>0</v>
      </c>
      <c r="N13" s="241">
        <v>0</v>
      </c>
      <c r="O13" s="241">
        <v>0</v>
      </c>
      <c r="P13" s="241">
        <v>0</v>
      </c>
      <c r="Q13" s="241">
        <v>0</v>
      </c>
    </row>
    <row r="14" spans="1:17" s="36" customFormat="1" ht="15" customHeight="1" outlineLevel="1">
      <c r="A14" s="60"/>
      <c r="B14" s="70" t="s">
        <v>493</v>
      </c>
      <c r="C14" s="13" t="s">
        <v>240</v>
      </c>
      <c r="D14" s="241"/>
      <c r="E14" s="241">
        <f>'4.10_транзит_котельн.'!E14+'4.10_сбыт_котельн.'!E14</f>
        <v>0</v>
      </c>
      <c r="F14" s="241"/>
      <c r="G14" s="241">
        <v>10.927878067862421</v>
      </c>
      <c r="H14" s="983">
        <v>0</v>
      </c>
      <c r="I14" s="241">
        <v>93</v>
      </c>
      <c r="J14" s="241">
        <v>0</v>
      </c>
      <c r="K14" s="241">
        <v>190</v>
      </c>
      <c r="L14" s="241">
        <v>190</v>
      </c>
      <c r="M14" s="241">
        <v>190</v>
      </c>
      <c r="N14" s="241">
        <v>190</v>
      </c>
      <c r="O14" s="241">
        <v>190</v>
      </c>
      <c r="P14" s="241">
        <v>190</v>
      </c>
      <c r="Q14" s="241">
        <v>190</v>
      </c>
    </row>
    <row r="15" spans="1:17" s="36" customFormat="1" ht="15" customHeight="1" outlineLevel="1">
      <c r="A15" s="60"/>
      <c r="B15" s="70" t="s">
        <v>494</v>
      </c>
      <c r="C15" s="13" t="s">
        <v>240</v>
      </c>
      <c r="D15" s="241"/>
      <c r="E15" s="241">
        <f>'4.10_транзит_котельн.'!E15+'4.10_сбыт_котельн.'!E15</f>
        <v>1406</v>
      </c>
      <c r="F15" s="241"/>
      <c r="G15" s="241">
        <v>2016.7138786667053</v>
      </c>
      <c r="H15" s="983">
        <v>0</v>
      </c>
      <c r="I15" s="241">
        <v>4842</v>
      </c>
      <c r="J15" s="241">
        <v>0</v>
      </c>
      <c r="K15" s="241">
        <v>5013</v>
      </c>
      <c r="L15" s="241">
        <v>5013</v>
      </c>
      <c r="M15" s="241">
        <v>5013</v>
      </c>
      <c r="N15" s="241">
        <v>5013</v>
      </c>
      <c r="O15" s="241">
        <v>5013</v>
      </c>
      <c r="P15" s="241">
        <v>5013</v>
      </c>
      <c r="Q15" s="241">
        <v>5013</v>
      </c>
    </row>
    <row r="16" spans="1:17" s="36" customFormat="1" ht="15" customHeight="1" outlineLevel="1">
      <c r="A16" s="60"/>
      <c r="B16" s="70" t="s">
        <v>495</v>
      </c>
      <c r="C16" s="13" t="s">
        <v>240</v>
      </c>
      <c r="D16" s="241"/>
      <c r="E16" s="241">
        <f>'4.10_транзит_котельн.'!E16+'4.10_сбыт_котельн.'!E16</f>
        <v>491</v>
      </c>
      <c r="F16" s="241"/>
      <c r="G16" s="241">
        <v>1129</v>
      </c>
      <c r="H16" s="983">
        <v>0</v>
      </c>
      <c r="I16" s="241">
        <v>3427</v>
      </c>
      <c r="J16" s="241">
        <v>0</v>
      </c>
      <c r="K16" s="241">
        <v>33118</v>
      </c>
      <c r="L16" s="241">
        <v>34878</v>
      </c>
      <c r="M16" s="241">
        <v>34878</v>
      </c>
      <c r="N16" s="241">
        <v>34878</v>
      </c>
      <c r="O16" s="241">
        <v>35582</v>
      </c>
      <c r="P16" s="241">
        <v>35582</v>
      </c>
      <c r="Q16" s="241">
        <v>35582</v>
      </c>
    </row>
    <row r="17" spans="1:17" s="36" customFormat="1" ht="15" customHeight="1" outlineLevel="1">
      <c r="A17" s="60"/>
      <c r="B17" s="70" t="s">
        <v>496</v>
      </c>
      <c r="C17" s="13" t="s">
        <v>240</v>
      </c>
      <c r="D17" s="241"/>
      <c r="E17" s="241">
        <f>'4.10_транзит_котельн.'!E17+'4.10_сбыт_котельн.'!E17</f>
        <v>36</v>
      </c>
      <c r="F17" s="241"/>
      <c r="G17" s="241">
        <v>64.266330541952811</v>
      </c>
      <c r="H17" s="983">
        <v>0</v>
      </c>
      <c r="I17" s="241">
        <v>155</v>
      </c>
      <c r="J17" s="241">
        <v>0</v>
      </c>
      <c r="K17" s="241">
        <v>1194</v>
      </c>
      <c r="L17" s="241">
        <v>1194</v>
      </c>
      <c r="M17" s="241">
        <v>1194</v>
      </c>
      <c r="N17" s="241">
        <v>1194</v>
      </c>
      <c r="O17" s="241">
        <v>2161</v>
      </c>
      <c r="P17" s="241">
        <v>2161</v>
      </c>
      <c r="Q17" s="241">
        <v>2161</v>
      </c>
    </row>
    <row r="18" spans="1:17" s="36" customFormat="1" ht="15" customHeight="1" outlineLevel="1">
      <c r="A18" s="60"/>
      <c r="B18" s="70" t="s">
        <v>497</v>
      </c>
      <c r="C18" s="13" t="s">
        <v>240</v>
      </c>
      <c r="D18" s="241"/>
      <c r="E18" s="241">
        <f>'4.10_транзит_котельн.'!E18+'4.10_сбыт_котельн.'!E18</f>
        <v>0</v>
      </c>
      <c r="F18" s="241"/>
      <c r="G18" s="241">
        <v>0</v>
      </c>
      <c r="H18" s="983">
        <v>0</v>
      </c>
      <c r="I18" s="241">
        <v>0</v>
      </c>
      <c r="J18" s="241">
        <v>0</v>
      </c>
      <c r="K18" s="241">
        <v>0</v>
      </c>
      <c r="L18" s="241">
        <v>0</v>
      </c>
      <c r="M18" s="241">
        <v>0</v>
      </c>
      <c r="N18" s="241">
        <v>0</v>
      </c>
      <c r="O18" s="241">
        <v>0</v>
      </c>
      <c r="P18" s="241">
        <v>0</v>
      </c>
      <c r="Q18" s="241">
        <v>0</v>
      </c>
    </row>
    <row r="19" spans="1:17" s="36" customFormat="1" ht="15" customHeight="1" outlineLevel="1">
      <c r="A19" s="60"/>
      <c r="B19" s="68" t="s">
        <v>498</v>
      </c>
      <c r="C19" s="13" t="s">
        <v>240</v>
      </c>
      <c r="D19" s="241"/>
      <c r="E19" s="241">
        <f>'4.10_транзит_котельн.'!E19+'4.10_сбыт_котельн.'!E19</f>
        <v>1302</v>
      </c>
      <c r="F19" s="241"/>
      <c r="G19" s="241">
        <v>1381.5960128654633</v>
      </c>
      <c r="H19" s="983">
        <v>0</v>
      </c>
      <c r="I19" s="241">
        <v>3166</v>
      </c>
      <c r="J19" s="241">
        <v>0</v>
      </c>
      <c r="K19" s="241">
        <v>3155</v>
      </c>
      <c r="L19" s="241">
        <v>3155</v>
      </c>
      <c r="M19" s="241">
        <v>3155</v>
      </c>
      <c r="N19" s="241">
        <v>3155</v>
      </c>
      <c r="O19" s="241">
        <v>3155</v>
      </c>
      <c r="P19" s="241">
        <v>3155</v>
      </c>
      <c r="Q19" s="241">
        <v>3155</v>
      </c>
    </row>
    <row r="20" spans="1:17" s="36" customFormat="1" ht="15" customHeight="1" outlineLevel="1">
      <c r="A20" s="60"/>
      <c r="B20" s="68" t="s">
        <v>499</v>
      </c>
      <c r="C20" s="13" t="s">
        <v>240</v>
      </c>
      <c r="D20" s="241"/>
      <c r="E20" s="241">
        <f>'4.10_транзит_котельн.'!E20+'4.10_сбыт_котельн.'!E20</f>
        <v>0</v>
      </c>
      <c r="F20" s="241"/>
      <c r="G20" s="241">
        <v>42.150386833183624</v>
      </c>
      <c r="H20" s="983">
        <v>0</v>
      </c>
      <c r="I20" s="241">
        <v>215</v>
      </c>
      <c r="J20" s="241">
        <v>0</v>
      </c>
      <c r="K20" s="241">
        <v>22279</v>
      </c>
      <c r="L20" s="241">
        <v>215</v>
      </c>
      <c r="M20" s="241">
        <v>215</v>
      </c>
      <c r="N20" s="241">
        <v>215</v>
      </c>
      <c r="O20" s="241">
        <v>215</v>
      </c>
      <c r="P20" s="241">
        <v>215</v>
      </c>
      <c r="Q20" s="241">
        <v>215</v>
      </c>
    </row>
    <row r="21" spans="1:17" s="36" customFormat="1">
      <c r="A21" s="60"/>
      <c r="B21" s="68"/>
      <c r="C21" s="13"/>
      <c r="D21" s="241"/>
      <c r="E21" s="241"/>
      <c r="F21" s="241"/>
      <c r="G21" s="241"/>
      <c r="H21" s="983"/>
      <c r="I21" s="241"/>
      <c r="J21" s="241"/>
      <c r="K21" s="241"/>
      <c r="L21" s="241"/>
      <c r="M21" s="241"/>
      <c r="N21" s="241"/>
      <c r="O21" s="241"/>
      <c r="P21" s="241"/>
      <c r="Q21" s="241"/>
    </row>
    <row r="22" spans="1:17" s="1001" customFormat="1" ht="60" customHeight="1">
      <c r="A22" s="82" t="s">
        <v>23</v>
      </c>
      <c r="B22" s="80" t="s">
        <v>500</v>
      </c>
      <c r="C22" s="1002" t="s">
        <v>240</v>
      </c>
      <c r="D22" s="1000"/>
      <c r="E22" s="1000">
        <f>'4.10_транзит_котельн.'!E22+'4.10_сбыт_котельн.'!E22</f>
        <v>14607</v>
      </c>
      <c r="F22" s="1000"/>
      <c r="G22" s="1000">
        <v>0</v>
      </c>
      <c r="H22" s="1006">
        <v>0</v>
      </c>
      <c r="I22" s="1000">
        <v>0</v>
      </c>
      <c r="J22" s="1000">
        <v>0</v>
      </c>
      <c r="K22" s="1000">
        <v>0</v>
      </c>
      <c r="L22" s="1000">
        <v>0</v>
      </c>
      <c r="M22" s="1000">
        <v>0</v>
      </c>
      <c r="N22" s="1000">
        <v>0</v>
      </c>
      <c r="O22" s="1000">
        <v>0</v>
      </c>
      <c r="P22" s="1000">
        <v>0</v>
      </c>
      <c r="Q22" s="1000">
        <v>0</v>
      </c>
    </row>
    <row r="23" spans="1:17" s="36" customFormat="1" ht="15" customHeight="1" outlineLevel="1">
      <c r="A23" s="60"/>
      <c r="B23" s="68" t="s">
        <v>487</v>
      </c>
      <c r="C23" s="13" t="s">
        <v>240</v>
      </c>
      <c r="D23" s="241"/>
      <c r="E23" s="241">
        <f>'4.10_транзит_котельн.'!E23+'4.10_сбыт_котельн.'!E23</f>
        <v>14607</v>
      </c>
      <c r="F23" s="241"/>
      <c r="G23" s="241">
        <v>0</v>
      </c>
      <c r="H23" s="983">
        <v>0</v>
      </c>
      <c r="I23" s="241">
        <v>0</v>
      </c>
      <c r="J23" s="241">
        <v>0</v>
      </c>
      <c r="K23" s="241">
        <v>0</v>
      </c>
      <c r="L23" s="241">
        <v>0</v>
      </c>
      <c r="M23" s="241">
        <v>0</v>
      </c>
      <c r="N23" s="241">
        <v>0</v>
      </c>
      <c r="O23" s="241">
        <v>0</v>
      </c>
      <c r="P23" s="241">
        <v>0</v>
      </c>
      <c r="Q23" s="241">
        <v>0</v>
      </c>
    </row>
    <row r="24" spans="1:17" s="36" customFormat="1" ht="15" customHeight="1" outlineLevel="1">
      <c r="A24" s="60"/>
      <c r="B24" s="68" t="s">
        <v>488</v>
      </c>
      <c r="C24" s="13" t="s">
        <v>240</v>
      </c>
      <c r="D24" s="241"/>
      <c r="E24" s="241">
        <f>'4.10_транзит_котельн.'!E24+'4.10_сбыт_котельн.'!E24</f>
        <v>0</v>
      </c>
      <c r="F24" s="241"/>
      <c r="G24" s="241">
        <v>0</v>
      </c>
      <c r="H24" s="983">
        <v>0</v>
      </c>
      <c r="I24" s="241">
        <v>0</v>
      </c>
      <c r="J24" s="241">
        <v>0</v>
      </c>
      <c r="K24" s="241">
        <v>0</v>
      </c>
      <c r="L24" s="241">
        <v>0</v>
      </c>
      <c r="M24" s="241">
        <v>0</v>
      </c>
      <c r="N24" s="241">
        <v>0</v>
      </c>
      <c r="O24" s="241">
        <v>0</v>
      </c>
      <c r="P24" s="241">
        <v>0</v>
      </c>
      <c r="Q24" s="241">
        <v>0</v>
      </c>
    </row>
    <row r="25" spans="1:17" s="36" customFormat="1" ht="15" customHeight="1" outlineLevel="1">
      <c r="A25" s="60"/>
      <c r="B25" s="68" t="s">
        <v>489</v>
      </c>
      <c r="C25" s="13" t="s">
        <v>240</v>
      </c>
      <c r="D25" s="241"/>
      <c r="E25" s="241">
        <f>'4.10_транзит_котельн.'!E25+'4.10_сбыт_котельн.'!E25</f>
        <v>0</v>
      </c>
      <c r="F25" s="241"/>
      <c r="G25" s="241">
        <v>0</v>
      </c>
      <c r="H25" s="983">
        <v>0</v>
      </c>
      <c r="I25" s="241">
        <v>0</v>
      </c>
      <c r="J25" s="241">
        <v>0</v>
      </c>
      <c r="K25" s="241">
        <v>0</v>
      </c>
      <c r="L25" s="241">
        <v>0</v>
      </c>
      <c r="M25" s="241">
        <v>0</v>
      </c>
      <c r="N25" s="241">
        <v>0</v>
      </c>
      <c r="O25" s="241">
        <v>0</v>
      </c>
      <c r="P25" s="241">
        <v>0</v>
      </c>
      <c r="Q25" s="241">
        <v>0</v>
      </c>
    </row>
    <row r="26" spans="1:17" s="36" customFormat="1" ht="15" customHeight="1" outlineLevel="1">
      <c r="A26" s="60"/>
      <c r="B26" s="68" t="s">
        <v>490</v>
      </c>
      <c r="C26" s="13" t="s">
        <v>240</v>
      </c>
      <c r="D26" s="241"/>
      <c r="E26" s="241">
        <f>'4.10_транзит_котельн.'!E26+'4.10_сбыт_котельн.'!E26</f>
        <v>0</v>
      </c>
      <c r="F26" s="241"/>
      <c r="G26" s="241">
        <v>0</v>
      </c>
      <c r="H26" s="983">
        <v>0</v>
      </c>
      <c r="I26" s="241">
        <v>0</v>
      </c>
      <c r="J26" s="241">
        <v>0</v>
      </c>
      <c r="K26" s="241">
        <v>0</v>
      </c>
      <c r="L26" s="241">
        <v>0</v>
      </c>
      <c r="M26" s="241">
        <v>0</v>
      </c>
      <c r="N26" s="241">
        <v>0</v>
      </c>
      <c r="O26" s="241">
        <v>0</v>
      </c>
      <c r="P26" s="241">
        <v>0</v>
      </c>
      <c r="Q26" s="241">
        <v>0</v>
      </c>
    </row>
    <row r="27" spans="1:17" s="36" customFormat="1" ht="15" customHeight="1" outlineLevel="1">
      <c r="A27" s="60"/>
      <c r="B27" s="68" t="s">
        <v>491</v>
      </c>
      <c r="C27" s="13" t="s">
        <v>240</v>
      </c>
      <c r="D27" s="241"/>
      <c r="E27" s="241">
        <f>'4.10_транзит_котельн.'!E27+'4.10_сбыт_котельн.'!E27</f>
        <v>0</v>
      </c>
      <c r="F27" s="241"/>
      <c r="G27" s="241">
        <v>0</v>
      </c>
      <c r="H27" s="983">
        <v>0</v>
      </c>
      <c r="I27" s="241">
        <v>0</v>
      </c>
      <c r="J27" s="241">
        <v>0</v>
      </c>
      <c r="K27" s="241">
        <v>0</v>
      </c>
      <c r="L27" s="241">
        <v>0</v>
      </c>
      <c r="M27" s="241">
        <v>0</v>
      </c>
      <c r="N27" s="241">
        <v>0</v>
      </c>
      <c r="O27" s="241">
        <v>0</v>
      </c>
      <c r="P27" s="241">
        <v>0</v>
      </c>
      <c r="Q27" s="241">
        <v>0</v>
      </c>
    </row>
    <row r="28" spans="1:17" s="36" customFormat="1" ht="15" customHeight="1" outlineLevel="1">
      <c r="A28" s="60"/>
      <c r="B28" s="70" t="s">
        <v>492</v>
      </c>
      <c r="C28" s="13" t="s">
        <v>240</v>
      </c>
      <c r="D28" s="241"/>
      <c r="E28" s="241">
        <f>'4.10_транзит_котельн.'!E28+'4.10_сбыт_котельн.'!E28</f>
        <v>0</v>
      </c>
      <c r="F28" s="241"/>
      <c r="G28" s="241">
        <v>0</v>
      </c>
      <c r="H28" s="983">
        <v>0</v>
      </c>
      <c r="I28" s="241">
        <v>0</v>
      </c>
      <c r="J28" s="241">
        <v>0</v>
      </c>
      <c r="K28" s="241">
        <v>0</v>
      </c>
      <c r="L28" s="241">
        <v>0</v>
      </c>
      <c r="M28" s="241">
        <v>0</v>
      </c>
      <c r="N28" s="241">
        <v>0</v>
      </c>
      <c r="O28" s="241">
        <v>0</v>
      </c>
      <c r="P28" s="241">
        <v>0</v>
      </c>
      <c r="Q28" s="241">
        <v>0</v>
      </c>
    </row>
    <row r="29" spans="1:17" s="36" customFormat="1" ht="15" customHeight="1" outlineLevel="1">
      <c r="A29" s="60"/>
      <c r="B29" s="70" t="s">
        <v>493</v>
      </c>
      <c r="C29" s="13" t="s">
        <v>240</v>
      </c>
      <c r="D29" s="241"/>
      <c r="E29" s="241">
        <f>'4.10_транзит_котельн.'!E29+'4.10_сбыт_котельн.'!E29</f>
        <v>0</v>
      </c>
      <c r="F29" s="241"/>
      <c r="G29" s="241">
        <v>0</v>
      </c>
      <c r="H29" s="983">
        <v>0</v>
      </c>
      <c r="I29" s="241">
        <v>0</v>
      </c>
      <c r="J29" s="241">
        <v>0</v>
      </c>
      <c r="K29" s="241">
        <v>0</v>
      </c>
      <c r="L29" s="241">
        <v>0</v>
      </c>
      <c r="M29" s="241">
        <v>0</v>
      </c>
      <c r="N29" s="241">
        <v>0</v>
      </c>
      <c r="O29" s="241">
        <v>0</v>
      </c>
      <c r="P29" s="241">
        <v>0</v>
      </c>
      <c r="Q29" s="241">
        <v>0</v>
      </c>
    </row>
    <row r="30" spans="1:17" s="36" customFormat="1" ht="15" customHeight="1" outlineLevel="1">
      <c r="A30" s="60"/>
      <c r="B30" s="70" t="s">
        <v>494</v>
      </c>
      <c r="C30" s="13" t="s">
        <v>240</v>
      </c>
      <c r="D30" s="241"/>
      <c r="E30" s="241">
        <f>'4.10_транзит_котельн.'!E30+'4.10_сбыт_котельн.'!E30</f>
        <v>0</v>
      </c>
      <c r="F30" s="241"/>
      <c r="G30" s="241">
        <v>0</v>
      </c>
      <c r="H30" s="983">
        <v>0</v>
      </c>
      <c r="I30" s="241">
        <v>0</v>
      </c>
      <c r="J30" s="241">
        <v>0</v>
      </c>
      <c r="K30" s="241">
        <v>0</v>
      </c>
      <c r="L30" s="241">
        <v>0</v>
      </c>
      <c r="M30" s="241">
        <v>0</v>
      </c>
      <c r="N30" s="241">
        <v>0</v>
      </c>
      <c r="O30" s="241">
        <v>0</v>
      </c>
      <c r="P30" s="241">
        <v>0</v>
      </c>
      <c r="Q30" s="241">
        <v>0</v>
      </c>
    </row>
    <row r="31" spans="1:17" s="36" customFormat="1" ht="15" customHeight="1" outlineLevel="1">
      <c r="A31" s="60"/>
      <c r="B31" s="70" t="s">
        <v>495</v>
      </c>
      <c r="C31" s="13" t="s">
        <v>240</v>
      </c>
      <c r="D31" s="241"/>
      <c r="E31" s="241">
        <f>'4.10_транзит_котельн.'!E31+'4.10_сбыт_котельн.'!E31</f>
        <v>0</v>
      </c>
      <c r="F31" s="241"/>
      <c r="G31" s="241">
        <v>0</v>
      </c>
      <c r="H31" s="983">
        <v>0</v>
      </c>
      <c r="I31" s="241">
        <v>0</v>
      </c>
      <c r="J31" s="241">
        <v>0</v>
      </c>
      <c r="K31" s="241">
        <v>0</v>
      </c>
      <c r="L31" s="241">
        <v>0</v>
      </c>
      <c r="M31" s="241">
        <v>0</v>
      </c>
      <c r="N31" s="241">
        <v>0</v>
      </c>
      <c r="O31" s="241">
        <v>0</v>
      </c>
      <c r="P31" s="241">
        <v>0</v>
      </c>
      <c r="Q31" s="241">
        <v>0</v>
      </c>
    </row>
    <row r="32" spans="1:17" s="36" customFormat="1" ht="15" customHeight="1" outlineLevel="1">
      <c r="A32" s="60"/>
      <c r="B32" s="70" t="s">
        <v>496</v>
      </c>
      <c r="C32" s="13" t="s">
        <v>240</v>
      </c>
      <c r="D32" s="241"/>
      <c r="E32" s="241">
        <f>'4.10_транзит_котельн.'!E32+'4.10_сбыт_котельн.'!E32</f>
        <v>0</v>
      </c>
      <c r="F32" s="241"/>
      <c r="G32" s="241">
        <v>0</v>
      </c>
      <c r="H32" s="983">
        <v>0</v>
      </c>
      <c r="I32" s="241">
        <v>0</v>
      </c>
      <c r="J32" s="241">
        <v>0</v>
      </c>
      <c r="K32" s="241">
        <v>0</v>
      </c>
      <c r="L32" s="241">
        <v>0</v>
      </c>
      <c r="M32" s="241">
        <v>0</v>
      </c>
      <c r="N32" s="241">
        <v>0</v>
      </c>
      <c r="O32" s="241">
        <v>0</v>
      </c>
      <c r="P32" s="241">
        <v>0</v>
      </c>
      <c r="Q32" s="241">
        <v>0</v>
      </c>
    </row>
    <row r="33" spans="1:17" s="36" customFormat="1" ht="15" customHeight="1" outlineLevel="1">
      <c r="A33" s="60"/>
      <c r="B33" s="70" t="s">
        <v>497</v>
      </c>
      <c r="C33" s="13" t="s">
        <v>240</v>
      </c>
      <c r="D33" s="241"/>
      <c r="E33" s="241">
        <f>'4.10_транзит_котельн.'!E33+'4.10_сбыт_котельн.'!E33</f>
        <v>0</v>
      </c>
      <c r="F33" s="241"/>
      <c r="G33" s="241">
        <v>0</v>
      </c>
      <c r="H33" s="983">
        <v>0</v>
      </c>
      <c r="I33" s="241">
        <v>0</v>
      </c>
      <c r="J33" s="241">
        <v>0</v>
      </c>
      <c r="K33" s="241">
        <v>0</v>
      </c>
      <c r="L33" s="241">
        <v>0</v>
      </c>
      <c r="M33" s="241">
        <v>0</v>
      </c>
      <c r="N33" s="241">
        <v>0</v>
      </c>
      <c r="O33" s="241">
        <v>0</v>
      </c>
      <c r="P33" s="241">
        <v>0</v>
      </c>
      <c r="Q33" s="241">
        <v>0</v>
      </c>
    </row>
    <row r="34" spans="1:17" s="36" customFormat="1" ht="15" customHeight="1" outlineLevel="1">
      <c r="A34" s="60"/>
      <c r="B34" s="68" t="s">
        <v>498</v>
      </c>
      <c r="C34" s="13" t="s">
        <v>240</v>
      </c>
      <c r="D34" s="241"/>
      <c r="E34" s="241">
        <f>'4.10_транзит_котельн.'!E34+'4.10_сбыт_котельн.'!E34</f>
        <v>0</v>
      </c>
      <c r="F34" s="241"/>
      <c r="G34" s="241">
        <v>0</v>
      </c>
      <c r="H34" s="983">
        <v>0</v>
      </c>
      <c r="I34" s="241">
        <v>0</v>
      </c>
      <c r="J34" s="241">
        <v>0</v>
      </c>
      <c r="K34" s="241">
        <v>0</v>
      </c>
      <c r="L34" s="241">
        <v>0</v>
      </c>
      <c r="M34" s="241">
        <v>0</v>
      </c>
      <c r="N34" s="241">
        <v>0</v>
      </c>
      <c r="O34" s="241">
        <v>0</v>
      </c>
      <c r="P34" s="241">
        <v>0</v>
      </c>
      <c r="Q34" s="241">
        <v>0</v>
      </c>
    </row>
    <row r="35" spans="1:17" s="36" customFormat="1" ht="15" customHeight="1" outlineLevel="1">
      <c r="A35" s="60"/>
      <c r="B35" s="68" t="s">
        <v>499</v>
      </c>
      <c r="C35" s="13" t="s">
        <v>240</v>
      </c>
      <c r="D35" s="241"/>
      <c r="E35" s="241">
        <f>'4.10_транзит_котельн.'!E35+'4.10_сбыт_котельн.'!E35</f>
        <v>0</v>
      </c>
      <c r="F35" s="241"/>
      <c r="G35" s="241">
        <v>0</v>
      </c>
      <c r="H35" s="983">
        <v>0</v>
      </c>
      <c r="I35" s="241">
        <v>0</v>
      </c>
      <c r="J35" s="241">
        <v>0</v>
      </c>
      <c r="K35" s="241">
        <v>0</v>
      </c>
      <c r="L35" s="241">
        <v>0</v>
      </c>
      <c r="M35" s="241">
        <v>0</v>
      </c>
      <c r="N35" s="241">
        <v>0</v>
      </c>
      <c r="O35" s="241">
        <v>0</v>
      </c>
      <c r="P35" s="241">
        <v>0</v>
      </c>
      <c r="Q35" s="241">
        <v>0</v>
      </c>
    </row>
    <row r="36" spans="1:17" s="36" customFormat="1">
      <c r="A36" s="60"/>
      <c r="B36" s="68"/>
      <c r="C36" s="13"/>
      <c r="D36" s="241"/>
      <c r="E36" s="241"/>
      <c r="F36" s="241"/>
      <c r="G36" s="241"/>
      <c r="H36" s="983"/>
      <c r="I36" s="241"/>
      <c r="J36" s="241"/>
      <c r="K36" s="241"/>
      <c r="L36" s="241"/>
      <c r="M36" s="241"/>
      <c r="N36" s="241"/>
      <c r="O36" s="241"/>
      <c r="P36" s="241"/>
      <c r="Q36" s="241"/>
    </row>
    <row r="37" spans="1:17" s="1001" customFormat="1" ht="28.5">
      <c r="A37" s="82" t="s">
        <v>27</v>
      </c>
      <c r="B37" s="80" t="s">
        <v>501</v>
      </c>
      <c r="C37" s="1002" t="s">
        <v>240</v>
      </c>
      <c r="D37" s="1000">
        <f>'4.10_транзит_котельн.'!D37+'4.10_сбыт_котельн.'!D37</f>
        <v>0</v>
      </c>
      <c r="E37" s="1000">
        <f>'4.10_транзит_котельн.'!E37+'4.10_сбыт_котельн.'!E37</f>
        <v>861</v>
      </c>
      <c r="F37" s="1000">
        <f>'4.10_транзит_котельн.'!F37+'4.10_сбыт_котельн.'!F37</f>
        <v>0</v>
      </c>
      <c r="G37" s="1000">
        <v>750</v>
      </c>
      <c r="H37" s="1006">
        <v>0</v>
      </c>
      <c r="I37" s="1000">
        <v>69097</v>
      </c>
      <c r="J37" s="1000">
        <v>0</v>
      </c>
      <c r="K37" s="1000">
        <v>16316</v>
      </c>
      <c r="L37" s="1000">
        <v>2299</v>
      </c>
      <c r="M37" s="1000">
        <v>0</v>
      </c>
      <c r="N37" s="1000">
        <v>2299</v>
      </c>
      <c r="O37" s="1000">
        <v>2287</v>
      </c>
      <c r="P37" s="1000">
        <v>0</v>
      </c>
      <c r="Q37" s="1000">
        <v>2287</v>
      </c>
    </row>
    <row r="38" spans="1:17" s="36" customFormat="1" ht="15" customHeight="1" outlineLevel="2">
      <c r="A38" s="60"/>
      <c r="B38" s="68" t="s">
        <v>487</v>
      </c>
      <c r="C38" s="13" t="s">
        <v>240</v>
      </c>
      <c r="D38" s="241"/>
      <c r="E38" s="241">
        <f>'4.10_транзит_котельн.'!E38+'4.10_сбыт_котельн.'!E38</f>
        <v>0</v>
      </c>
      <c r="F38" s="241"/>
      <c r="G38" s="241">
        <v>0</v>
      </c>
      <c r="H38" s="983">
        <v>0</v>
      </c>
      <c r="I38" s="241">
        <v>4646</v>
      </c>
      <c r="J38" s="241">
        <v>0</v>
      </c>
      <c r="K38" s="241">
        <v>0</v>
      </c>
      <c r="L38" s="241">
        <v>0</v>
      </c>
      <c r="M38" s="241">
        <v>0</v>
      </c>
      <c r="N38" s="241">
        <v>0</v>
      </c>
      <c r="O38" s="241">
        <v>0</v>
      </c>
      <c r="P38" s="241">
        <v>0</v>
      </c>
      <c r="Q38" s="241">
        <v>0</v>
      </c>
    </row>
    <row r="39" spans="1:17" s="36" customFormat="1" ht="15" customHeight="1" outlineLevel="2">
      <c r="A39" s="60"/>
      <c r="B39" s="68" t="s">
        <v>488</v>
      </c>
      <c r="C39" s="13" t="s">
        <v>240</v>
      </c>
      <c r="D39" s="241"/>
      <c r="E39" s="241">
        <f>'4.10_транзит_котельн.'!E39+'4.10_сбыт_котельн.'!E39</f>
        <v>0</v>
      </c>
      <c r="F39" s="241"/>
      <c r="G39" s="241">
        <v>0</v>
      </c>
      <c r="H39" s="983">
        <v>0</v>
      </c>
      <c r="I39" s="241">
        <v>327</v>
      </c>
      <c r="J39" s="241">
        <v>0</v>
      </c>
      <c r="K39" s="241">
        <v>0</v>
      </c>
      <c r="L39" s="241">
        <v>0</v>
      </c>
      <c r="M39" s="241">
        <v>0</v>
      </c>
      <c r="N39" s="241">
        <v>0</v>
      </c>
      <c r="O39" s="241">
        <v>0</v>
      </c>
      <c r="P39" s="241">
        <v>0</v>
      </c>
      <c r="Q39" s="241">
        <v>0</v>
      </c>
    </row>
    <row r="40" spans="1:17" s="36" customFormat="1" ht="15" customHeight="1" outlineLevel="2">
      <c r="A40" s="60"/>
      <c r="B40" s="68" t="s">
        <v>489</v>
      </c>
      <c r="C40" s="13" t="s">
        <v>240</v>
      </c>
      <c r="D40" s="241"/>
      <c r="E40" s="241">
        <f>'4.10_транзит_котельн.'!E40+'4.10_сбыт_котельн.'!E40</f>
        <v>0</v>
      </c>
      <c r="F40" s="241"/>
      <c r="G40" s="241">
        <v>0</v>
      </c>
      <c r="H40" s="983">
        <v>0</v>
      </c>
      <c r="I40" s="241">
        <v>5459</v>
      </c>
      <c r="J40" s="241">
        <v>0</v>
      </c>
      <c r="K40" s="241">
        <v>14556</v>
      </c>
      <c r="L40" s="241">
        <v>628</v>
      </c>
      <c r="M40" s="241">
        <v>0</v>
      </c>
      <c r="N40" s="241">
        <v>628</v>
      </c>
      <c r="O40" s="241">
        <v>637</v>
      </c>
      <c r="P40" s="241">
        <v>0</v>
      </c>
      <c r="Q40" s="241">
        <v>637</v>
      </c>
    </row>
    <row r="41" spans="1:17" s="36" customFormat="1" ht="15" customHeight="1" outlineLevel="2">
      <c r="A41" s="60"/>
      <c r="B41" s="68" t="s">
        <v>490</v>
      </c>
      <c r="C41" s="13" t="s">
        <v>240</v>
      </c>
      <c r="D41" s="241"/>
      <c r="E41" s="241">
        <f>'4.10_транзит_котельн.'!E41+'4.10_сбыт_котельн.'!E41</f>
        <v>708</v>
      </c>
      <c r="F41" s="241"/>
      <c r="G41" s="241">
        <v>623</v>
      </c>
      <c r="H41" s="983">
        <v>0</v>
      </c>
      <c r="I41" s="241">
        <v>30046</v>
      </c>
      <c r="J41" s="241">
        <v>0</v>
      </c>
      <c r="K41" s="241">
        <v>1760</v>
      </c>
      <c r="L41" s="241">
        <v>704</v>
      </c>
      <c r="M41" s="241">
        <v>0</v>
      </c>
      <c r="N41" s="241">
        <v>704</v>
      </c>
      <c r="O41" s="241">
        <v>1650</v>
      </c>
      <c r="P41" s="241">
        <v>0</v>
      </c>
      <c r="Q41" s="241">
        <v>1650</v>
      </c>
    </row>
    <row r="42" spans="1:17" s="36" customFormat="1" ht="15" customHeight="1" outlineLevel="2">
      <c r="A42" s="60"/>
      <c r="B42" s="68" t="s">
        <v>491</v>
      </c>
      <c r="C42" s="13" t="s">
        <v>240</v>
      </c>
      <c r="D42" s="241"/>
      <c r="E42" s="241">
        <f>'4.10_транзит_котельн.'!E42+'4.10_сбыт_котельн.'!E42</f>
        <v>0</v>
      </c>
      <c r="F42" s="241"/>
      <c r="G42" s="241">
        <v>0</v>
      </c>
      <c r="H42" s="983">
        <v>0</v>
      </c>
      <c r="I42" s="241">
        <v>0</v>
      </c>
      <c r="J42" s="241">
        <v>0</v>
      </c>
      <c r="K42" s="241">
        <v>0</v>
      </c>
      <c r="L42" s="241">
        <v>0</v>
      </c>
      <c r="M42" s="241">
        <v>0</v>
      </c>
      <c r="N42" s="241">
        <v>0</v>
      </c>
      <c r="O42" s="241">
        <v>0</v>
      </c>
      <c r="P42" s="241">
        <v>0</v>
      </c>
      <c r="Q42" s="241">
        <v>0</v>
      </c>
    </row>
    <row r="43" spans="1:17" s="36" customFormat="1" ht="15" customHeight="1" outlineLevel="2">
      <c r="A43" s="60"/>
      <c r="B43" s="70" t="s">
        <v>492</v>
      </c>
      <c r="C43" s="13" t="s">
        <v>240</v>
      </c>
      <c r="D43" s="241"/>
      <c r="E43" s="241">
        <f>'4.10_транзит_котельн.'!E43+'4.10_сбыт_котельн.'!E43</f>
        <v>0</v>
      </c>
      <c r="F43" s="241"/>
      <c r="G43" s="241">
        <v>0</v>
      </c>
      <c r="H43" s="983">
        <v>0</v>
      </c>
      <c r="I43" s="241">
        <v>0</v>
      </c>
      <c r="J43" s="241">
        <v>0</v>
      </c>
      <c r="K43" s="241">
        <v>0</v>
      </c>
      <c r="L43" s="241">
        <v>0</v>
      </c>
      <c r="M43" s="241">
        <v>0</v>
      </c>
      <c r="N43" s="241">
        <v>0</v>
      </c>
      <c r="O43" s="241">
        <v>0</v>
      </c>
      <c r="P43" s="241">
        <v>0</v>
      </c>
      <c r="Q43" s="241">
        <v>0</v>
      </c>
    </row>
    <row r="44" spans="1:17" s="36" customFormat="1" ht="15" customHeight="1" outlineLevel="2">
      <c r="A44" s="60"/>
      <c r="B44" s="70" t="s">
        <v>493</v>
      </c>
      <c r="C44" s="13" t="s">
        <v>240</v>
      </c>
      <c r="D44" s="241"/>
      <c r="E44" s="241">
        <f>'4.10_транзит_котельн.'!E44+'4.10_сбыт_котельн.'!E44</f>
        <v>9</v>
      </c>
      <c r="F44" s="241"/>
      <c r="G44" s="241">
        <v>28</v>
      </c>
      <c r="H44" s="983">
        <v>0</v>
      </c>
      <c r="I44" s="241">
        <v>97</v>
      </c>
      <c r="J44" s="241">
        <v>0</v>
      </c>
      <c r="K44" s="241">
        <v>0</v>
      </c>
      <c r="L44" s="241">
        <v>0</v>
      </c>
      <c r="M44" s="241">
        <v>0</v>
      </c>
      <c r="N44" s="241">
        <v>0</v>
      </c>
      <c r="O44" s="241">
        <v>0</v>
      </c>
      <c r="P44" s="241">
        <v>0</v>
      </c>
      <c r="Q44" s="241">
        <v>0</v>
      </c>
    </row>
    <row r="45" spans="1:17" s="36" customFormat="1" ht="15" customHeight="1" outlineLevel="2">
      <c r="A45" s="60"/>
      <c r="B45" s="70" t="s">
        <v>494</v>
      </c>
      <c r="C45" s="13" t="s">
        <v>240</v>
      </c>
      <c r="D45" s="241"/>
      <c r="E45" s="241">
        <f>'4.10_транзит_котельн.'!E45+'4.10_сбыт_котельн.'!E45</f>
        <v>305</v>
      </c>
      <c r="F45" s="241"/>
      <c r="G45" s="241">
        <v>83</v>
      </c>
      <c r="H45" s="983">
        <v>0</v>
      </c>
      <c r="I45" s="241">
        <v>231</v>
      </c>
      <c r="J45" s="241">
        <v>0</v>
      </c>
      <c r="K45" s="241">
        <v>0</v>
      </c>
      <c r="L45" s="241">
        <v>0</v>
      </c>
      <c r="M45" s="241">
        <v>0</v>
      </c>
      <c r="N45" s="241">
        <v>0</v>
      </c>
      <c r="O45" s="241">
        <v>0</v>
      </c>
      <c r="P45" s="241">
        <v>0</v>
      </c>
      <c r="Q45" s="241">
        <v>0</v>
      </c>
    </row>
    <row r="46" spans="1:17" s="36" customFormat="1" ht="15" customHeight="1" outlineLevel="2">
      <c r="A46" s="60"/>
      <c r="B46" s="70" t="s">
        <v>495</v>
      </c>
      <c r="C46" s="13" t="s">
        <v>240</v>
      </c>
      <c r="D46" s="241"/>
      <c r="E46" s="241">
        <f>'4.10_транзит_котельн.'!E46+'4.10_сбыт_котельн.'!E46</f>
        <v>394</v>
      </c>
      <c r="F46" s="241"/>
      <c r="G46" s="241">
        <v>512</v>
      </c>
      <c r="H46" s="983">
        <v>0</v>
      </c>
      <c r="I46" s="241">
        <v>29718</v>
      </c>
      <c r="J46" s="241">
        <v>0</v>
      </c>
      <c r="K46" s="241">
        <v>1760</v>
      </c>
      <c r="L46" s="241">
        <v>704</v>
      </c>
      <c r="M46" s="241">
        <v>0</v>
      </c>
      <c r="N46" s="241">
        <v>704</v>
      </c>
      <c r="O46" s="241">
        <v>1650</v>
      </c>
      <c r="P46" s="241">
        <v>0</v>
      </c>
      <c r="Q46" s="241">
        <v>1650</v>
      </c>
    </row>
    <row r="47" spans="1:17" s="36" customFormat="1" ht="15" customHeight="1" outlineLevel="2">
      <c r="A47" s="60"/>
      <c r="B47" s="70" t="s">
        <v>496</v>
      </c>
      <c r="C47" s="13" t="s">
        <v>240</v>
      </c>
      <c r="D47" s="241"/>
      <c r="E47" s="241">
        <f>'4.10_транзит_котельн.'!E47+'4.10_сбыт_котельн.'!E47</f>
        <v>20</v>
      </c>
      <c r="F47" s="241"/>
      <c r="G47" s="241">
        <v>0</v>
      </c>
      <c r="H47" s="983">
        <v>0</v>
      </c>
      <c r="I47" s="241">
        <v>1039</v>
      </c>
      <c r="J47" s="241">
        <v>0</v>
      </c>
      <c r="K47" s="241">
        <v>0</v>
      </c>
      <c r="L47" s="241">
        <v>967</v>
      </c>
      <c r="M47" s="241">
        <v>0</v>
      </c>
      <c r="N47" s="241">
        <v>967</v>
      </c>
      <c r="O47" s="241">
        <v>0</v>
      </c>
      <c r="P47" s="241">
        <v>0</v>
      </c>
      <c r="Q47" s="241">
        <v>0</v>
      </c>
    </row>
    <row r="48" spans="1:17" s="36" customFormat="1" ht="15" customHeight="1" outlineLevel="2">
      <c r="A48" s="60"/>
      <c r="B48" s="70" t="s">
        <v>497</v>
      </c>
      <c r="C48" s="13" t="s">
        <v>240</v>
      </c>
      <c r="D48" s="241"/>
      <c r="E48" s="241">
        <f>'4.10_транзит_котельн.'!E48+'4.10_сбыт_котельн.'!E48</f>
        <v>0</v>
      </c>
      <c r="F48" s="241"/>
      <c r="G48" s="241">
        <v>0</v>
      </c>
      <c r="H48" s="983">
        <v>0</v>
      </c>
      <c r="I48" s="241">
        <v>0</v>
      </c>
      <c r="J48" s="241">
        <v>0</v>
      </c>
      <c r="K48" s="241">
        <v>0</v>
      </c>
      <c r="L48" s="241">
        <v>0</v>
      </c>
      <c r="M48" s="241">
        <v>0</v>
      </c>
      <c r="N48" s="241">
        <v>0</v>
      </c>
      <c r="O48" s="241">
        <v>0</v>
      </c>
      <c r="P48" s="241">
        <v>0</v>
      </c>
      <c r="Q48" s="241">
        <v>0</v>
      </c>
    </row>
    <row r="49" spans="1:17" s="36" customFormat="1" ht="15" customHeight="1" outlineLevel="2">
      <c r="A49" s="60"/>
      <c r="B49" s="68" t="s">
        <v>498</v>
      </c>
      <c r="C49" s="13" t="s">
        <v>240</v>
      </c>
      <c r="D49" s="241"/>
      <c r="E49" s="241">
        <f>'4.10_транзит_котельн.'!E49+'4.10_сбыт_котельн.'!E49</f>
        <v>133</v>
      </c>
      <c r="F49" s="241"/>
      <c r="G49" s="241">
        <v>37</v>
      </c>
      <c r="H49" s="983">
        <v>0</v>
      </c>
      <c r="I49" s="241">
        <v>0</v>
      </c>
      <c r="J49" s="241">
        <v>0</v>
      </c>
      <c r="K49" s="241">
        <v>0</v>
      </c>
      <c r="L49" s="241">
        <v>0</v>
      </c>
      <c r="M49" s="241">
        <v>0</v>
      </c>
      <c r="N49" s="241">
        <v>0</v>
      </c>
      <c r="O49" s="241">
        <v>0</v>
      </c>
      <c r="P49" s="241">
        <v>0</v>
      </c>
      <c r="Q49" s="241">
        <v>0</v>
      </c>
    </row>
    <row r="50" spans="1:17" s="36" customFormat="1" ht="15" customHeight="1" outlineLevel="2">
      <c r="A50" s="60"/>
      <c r="B50" s="68" t="s">
        <v>499</v>
      </c>
      <c r="C50" s="13" t="s">
        <v>240</v>
      </c>
      <c r="D50" s="241"/>
      <c r="E50" s="241">
        <f>'4.10_транзит_котельн.'!E50+'4.10_сбыт_котельн.'!E50</f>
        <v>0</v>
      </c>
      <c r="F50" s="241"/>
      <c r="G50" s="241">
        <v>90</v>
      </c>
      <c r="H50" s="983">
        <v>0</v>
      </c>
      <c r="I50" s="241">
        <v>27580</v>
      </c>
      <c r="J50" s="241">
        <v>0</v>
      </c>
      <c r="K50" s="241">
        <v>0</v>
      </c>
      <c r="L50" s="241">
        <v>0</v>
      </c>
      <c r="M50" s="241">
        <v>0</v>
      </c>
      <c r="N50" s="241">
        <v>0</v>
      </c>
      <c r="O50" s="241">
        <v>0</v>
      </c>
      <c r="P50" s="241">
        <v>0</v>
      </c>
      <c r="Q50" s="241">
        <v>0</v>
      </c>
    </row>
    <row r="51" spans="1:17" s="36" customFormat="1">
      <c r="A51" s="60"/>
      <c r="B51" s="68"/>
      <c r="C51" s="13"/>
      <c r="D51" s="241"/>
      <c r="E51" s="241"/>
      <c r="F51" s="241"/>
      <c r="G51" s="241"/>
      <c r="H51" s="983"/>
      <c r="I51" s="241"/>
      <c r="J51" s="241"/>
      <c r="K51" s="241"/>
      <c r="L51" s="241"/>
      <c r="M51" s="241"/>
      <c r="N51" s="241"/>
      <c r="O51" s="241"/>
      <c r="P51" s="241"/>
      <c r="Q51" s="241"/>
    </row>
    <row r="52" spans="1:17" s="1001" customFormat="1" ht="15" customHeight="1">
      <c r="A52" s="82" t="s">
        <v>30</v>
      </c>
      <c r="B52" s="80" t="s">
        <v>502</v>
      </c>
      <c r="C52" s="999" t="s">
        <v>240</v>
      </c>
      <c r="D52" s="1000">
        <f>'4.10_транзит_котельн.'!D52+'4.10_сбыт_котельн.'!D52</f>
        <v>0</v>
      </c>
      <c r="E52" s="1000">
        <f>'4.10_транзит_котельн.'!E52+'4.10_сбыт_котельн.'!E52</f>
        <v>528</v>
      </c>
      <c r="F52" s="1000">
        <f>'4.10_транзит_котельн.'!F52+'4.10_сбыт_котельн.'!F52</f>
        <v>0</v>
      </c>
      <c r="G52" s="1000">
        <v>18528.230850093172</v>
      </c>
      <c r="H52" s="1006">
        <v>0</v>
      </c>
      <c r="I52" s="1000">
        <v>14326</v>
      </c>
      <c r="J52" s="1000">
        <v>0</v>
      </c>
      <c r="K52" s="1000">
        <v>22064</v>
      </c>
      <c r="L52" s="1000">
        <v>0</v>
      </c>
      <c r="M52" s="1000">
        <v>0</v>
      </c>
      <c r="N52" s="1000">
        <v>0</v>
      </c>
      <c r="O52" s="1000">
        <v>0</v>
      </c>
      <c r="P52" s="1000">
        <v>0</v>
      </c>
      <c r="Q52" s="1000">
        <v>0</v>
      </c>
    </row>
    <row r="53" spans="1:17" s="36" customFormat="1" ht="15" customHeight="1" outlineLevel="1">
      <c r="A53" s="60"/>
      <c r="B53" s="68" t="s">
        <v>487</v>
      </c>
      <c r="C53" s="13" t="s">
        <v>240</v>
      </c>
      <c r="D53" s="241"/>
      <c r="E53" s="241">
        <f>'4.10_транзит_котельн.'!E53+'4.10_сбыт_котельн.'!E53</f>
        <v>0</v>
      </c>
      <c r="F53" s="241"/>
      <c r="G53" s="241">
        <v>18056</v>
      </c>
      <c r="H53" s="983">
        <v>0</v>
      </c>
      <c r="I53" s="241">
        <v>8712</v>
      </c>
      <c r="J53" s="241">
        <v>0</v>
      </c>
      <c r="K53" s="241">
        <v>0</v>
      </c>
      <c r="L53" s="241">
        <v>0</v>
      </c>
      <c r="M53" s="241">
        <v>0</v>
      </c>
      <c r="N53" s="241">
        <v>0</v>
      </c>
      <c r="O53" s="241">
        <v>0</v>
      </c>
      <c r="P53" s="241">
        <v>0</v>
      </c>
      <c r="Q53" s="241">
        <v>0</v>
      </c>
    </row>
    <row r="54" spans="1:17" s="36" customFormat="1" ht="15" customHeight="1" outlineLevel="1">
      <c r="A54" s="60"/>
      <c r="B54" s="68" t="s">
        <v>488</v>
      </c>
      <c r="C54" s="13" t="s">
        <v>240</v>
      </c>
      <c r="D54" s="241"/>
      <c r="E54" s="241">
        <f>'4.10_транзит_котельн.'!E54+'4.10_сбыт_котельн.'!E54</f>
        <v>33</v>
      </c>
      <c r="F54" s="241"/>
      <c r="G54" s="241">
        <v>29.400598380456433</v>
      </c>
      <c r="H54" s="983">
        <v>0</v>
      </c>
      <c r="I54" s="241">
        <v>0</v>
      </c>
      <c r="J54" s="241">
        <v>0</v>
      </c>
      <c r="K54" s="241">
        <v>0</v>
      </c>
      <c r="L54" s="241">
        <v>0</v>
      </c>
      <c r="M54" s="241">
        <v>0</v>
      </c>
      <c r="N54" s="241">
        <v>0</v>
      </c>
      <c r="O54" s="241">
        <v>0</v>
      </c>
      <c r="P54" s="241">
        <v>0</v>
      </c>
      <c r="Q54" s="241">
        <v>0</v>
      </c>
    </row>
    <row r="55" spans="1:17" s="36" customFormat="1" ht="15" customHeight="1" outlineLevel="1">
      <c r="A55" s="60"/>
      <c r="B55" s="68" t="s">
        <v>489</v>
      </c>
      <c r="C55" s="13" t="s">
        <v>240</v>
      </c>
      <c r="D55" s="241"/>
      <c r="E55" s="241">
        <f>'4.10_транзит_котельн.'!E55+'4.10_сбыт_котельн.'!E55</f>
        <v>0</v>
      </c>
      <c r="F55" s="241"/>
      <c r="G55" s="241">
        <v>0</v>
      </c>
      <c r="H55" s="983">
        <v>0</v>
      </c>
      <c r="I55" s="241">
        <v>0</v>
      </c>
      <c r="J55" s="241">
        <v>0</v>
      </c>
      <c r="K55" s="241">
        <v>0</v>
      </c>
      <c r="L55" s="241">
        <v>0</v>
      </c>
      <c r="M55" s="241">
        <v>0</v>
      </c>
      <c r="N55" s="241">
        <v>0</v>
      </c>
      <c r="O55" s="241">
        <v>0</v>
      </c>
      <c r="P55" s="241">
        <v>0</v>
      </c>
      <c r="Q55" s="241">
        <v>0</v>
      </c>
    </row>
    <row r="56" spans="1:17" s="36" customFormat="1" ht="15" customHeight="1" outlineLevel="1">
      <c r="A56" s="60"/>
      <c r="B56" s="68" t="s">
        <v>490</v>
      </c>
      <c r="C56" s="13" t="s">
        <v>240</v>
      </c>
      <c r="D56" s="241"/>
      <c r="E56" s="241">
        <f>'4.10_транзит_котельн.'!E56+'4.10_сбыт_котельн.'!E56</f>
        <v>155</v>
      </c>
      <c r="F56" s="241"/>
      <c r="G56" s="241">
        <v>397.29835156599091</v>
      </c>
      <c r="H56" s="983">
        <v>0</v>
      </c>
      <c r="I56" s="241">
        <v>87</v>
      </c>
      <c r="J56" s="241">
        <v>0</v>
      </c>
      <c r="K56" s="241">
        <v>0</v>
      </c>
      <c r="L56" s="241">
        <v>0</v>
      </c>
      <c r="M56" s="241">
        <v>0</v>
      </c>
      <c r="N56" s="241">
        <v>0</v>
      </c>
      <c r="O56" s="241">
        <v>0</v>
      </c>
      <c r="P56" s="241">
        <v>0</v>
      </c>
      <c r="Q56" s="241">
        <v>0</v>
      </c>
    </row>
    <row r="57" spans="1:17" s="36" customFormat="1" ht="15" customHeight="1" outlineLevel="1">
      <c r="A57" s="60"/>
      <c r="B57" s="68" t="s">
        <v>491</v>
      </c>
      <c r="C57" s="13" t="s">
        <v>240</v>
      </c>
      <c r="D57" s="241"/>
      <c r="E57" s="241">
        <f>'4.10_транзит_котельн.'!E57+'4.10_сбыт_котельн.'!E57</f>
        <v>0</v>
      </c>
      <c r="F57" s="241"/>
      <c r="G57" s="241">
        <v>0</v>
      </c>
      <c r="H57" s="983">
        <v>0</v>
      </c>
      <c r="I57" s="241">
        <v>0</v>
      </c>
      <c r="J57" s="241">
        <v>0</v>
      </c>
      <c r="K57" s="241">
        <v>0</v>
      </c>
      <c r="L57" s="241">
        <v>0</v>
      </c>
      <c r="M57" s="241">
        <v>0</v>
      </c>
      <c r="N57" s="241">
        <v>0</v>
      </c>
      <c r="O57" s="241">
        <v>0</v>
      </c>
      <c r="P57" s="241">
        <v>0</v>
      </c>
      <c r="Q57" s="241">
        <v>0</v>
      </c>
    </row>
    <row r="58" spans="1:17" s="36" customFormat="1" ht="15" customHeight="1" outlineLevel="1">
      <c r="A58" s="60"/>
      <c r="B58" s="70" t="s">
        <v>492</v>
      </c>
      <c r="C58" s="13" t="s">
        <v>240</v>
      </c>
      <c r="D58" s="241"/>
      <c r="E58" s="241">
        <f>'4.10_транзит_котельн.'!E58+'4.10_сбыт_котельн.'!E58</f>
        <v>0</v>
      </c>
      <c r="F58" s="241"/>
      <c r="G58" s="241">
        <v>0</v>
      </c>
      <c r="H58" s="983">
        <v>0</v>
      </c>
      <c r="I58" s="241">
        <v>0</v>
      </c>
      <c r="J58" s="241">
        <v>0</v>
      </c>
      <c r="K58" s="241">
        <v>0</v>
      </c>
      <c r="L58" s="241">
        <v>0</v>
      </c>
      <c r="M58" s="241">
        <v>0</v>
      </c>
      <c r="N58" s="241">
        <v>0</v>
      </c>
      <c r="O58" s="241">
        <v>0</v>
      </c>
      <c r="P58" s="241">
        <v>0</v>
      </c>
      <c r="Q58" s="241">
        <v>0</v>
      </c>
    </row>
    <row r="59" spans="1:17" s="36" customFormat="1" ht="15" customHeight="1" outlineLevel="1">
      <c r="A59" s="60"/>
      <c r="B59" s="70" t="s">
        <v>493</v>
      </c>
      <c r="C59" s="13" t="s">
        <v>240</v>
      </c>
      <c r="D59" s="241"/>
      <c r="E59" s="241">
        <f>'4.10_транзит_котельн.'!E59+'4.10_сбыт_котельн.'!E59</f>
        <v>0</v>
      </c>
      <c r="F59" s="241"/>
      <c r="G59" s="241">
        <v>0</v>
      </c>
      <c r="H59" s="983">
        <v>0</v>
      </c>
      <c r="I59" s="241">
        <v>0</v>
      </c>
      <c r="J59" s="241">
        <v>0</v>
      </c>
      <c r="K59" s="241">
        <v>0</v>
      </c>
      <c r="L59" s="241">
        <v>0</v>
      </c>
      <c r="M59" s="241">
        <v>0</v>
      </c>
      <c r="N59" s="241">
        <v>0</v>
      </c>
      <c r="O59" s="241">
        <v>0</v>
      </c>
      <c r="P59" s="241">
        <v>0</v>
      </c>
      <c r="Q59" s="241">
        <v>0</v>
      </c>
    </row>
    <row r="60" spans="1:17" s="36" customFormat="1" ht="15" customHeight="1" outlineLevel="1">
      <c r="A60" s="60"/>
      <c r="B60" s="70" t="s">
        <v>494</v>
      </c>
      <c r="C60" s="13" t="s">
        <v>240</v>
      </c>
      <c r="D60" s="241"/>
      <c r="E60" s="241">
        <f>'4.10_транзит_котельн.'!E60+'4.10_сбыт_котельн.'!E60</f>
        <v>143</v>
      </c>
      <c r="F60" s="241"/>
      <c r="G60" s="241">
        <v>87.681430568263877</v>
      </c>
      <c r="H60" s="983">
        <v>0</v>
      </c>
      <c r="I60" s="241">
        <v>60</v>
      </c>
      <c r="J60" s="241">
        <v>0</v>
      </c>
      <c r="K60" s="241">
        <v>0</v>
      </c>
      <c r="L60" s="241">
        <v>0</v>
      </c>
      <c r="M60" s="241">
        <v>0</v>
      </c>
      <c r="N60" s="241">
        <v>0</v>
      </c>
      <c r="O60" s="241">
        <v>0</v>
      </c>
      <c r="P60" s="241">
        <v>0</v>
      </c>
      <c r="Q60" s="241">
        <v>0</v>
      </c>
    </row>
    <row r="61" spans="1:17" s="36" customFormat="1" ht="15" customHeight="1" outlineLevel="1">
      <c r="A61" s="60"/>
      <c r="B61" s="70" t="s">
        <v>495</v>
      </c>
      <c r="C61" s="13" t="s">
        <v>240</v>
      </c>
      <c r="D61" s="241"/>
      <c r="E61" s="241">
        <f>'4.10_транзит_котельн.'!E61+'4.10_сбыт_котельн.'!E61</f>
        <v>12</v>
      </c>
      <c r="F61" s="241"/>
      <c r="G61" s="241">
        <v>309.61692099772705</v>
      </c>
      <c r="H61" s="983">
        <v>0</v>
      </c>
      <c r="I61" s="241">
        <v>27</v>
      </c>
      <c r="J61" s="241">
        <v>0</v>
      </c>
      <c r="K61" s="241">
        <v>0</v>
      </c>
      <c r="L61" s="241">
        <v>0</v>
      </c>
      <c r="M61" s="241">
        <v>0</v>
      </c>
      <c r="N61" s="241">
        <v>0</v>
      </c>
      <c r="O61" s="241">
        <v>0</v>
      </c>
      <c r="P61" s="241">
        <v>0</v>
      </c>
      <c r="Q61" s="241">
        <v>0</v>
      </c>
    </row>
    <row r="62" spans="1:17" s="36" customFormat="1" ht="15" customHeight="1" outlineLevel="1">
      <c r="A62" s="60"/>
      <c r="B62" s="70" t="s">
        <v>496</v>
      </c>
      <c r="C62" s="13" t="s">
        <v>240</v>
      </c>
      <c r="D62" s="241"/>
      <c r="E62" s="241">
        <f>'4.10_транзит_котельн.'!E62+'4.10_сбыт_котельн.'!E62</f>
        <v>6</v>
      </c>
      <c r="F62" s="241"/>
      <c r="G62" s="241">
        <v>0</v>
      </c>
      <c r="H62" s="983">
        <v>0</v>
      </c>
      <c r="I62" s="241">
        <v>0</v>
      </c>
      <c r="J62" s="241">
        <v>0</v>
      </c>
      <c r="K62" s="241">
        <v>0</v>
      </c>
      <c r="L62" s="241">
        <v>0</v>
      </c>
      <c r="M62" s="241">
        <v>0</v>
      </c>
      <c r="N62" s="241">
        <v>0</v>
      </c>
      <c r="O62" s="241">
        <v>0</v>
      </c>
      <c r="P62" s="241">
        <v>0</v>
      </c>
      <c r="Q62" s="241">
        <v>0</v>
      </c>
    </row>
    <row r="63" spans="1:17" s="36" customFormat="1" ht="15" customHeight="1" outlineLevel="1">
      <c r="A63" s="60"/>
      <c r="B63" s="70" t="s">
        <v>497</v>
      </c>
      <c r="C63" s="13" t="s">
        <v>240</v>
      </c>
      <c r="D63" s="241"/>
      <c r="E63" s="241">
        <f>'4.10_транзит_котельн.'!E63+'4.10_сбыт_котельн.'!E63</f>
        <v>0</v>
      </c>
      <c r="F63" s="241"/>
      <c r="G63" s="241">
        <v>0</v>
      </c>
      <c r="H63" s="983">
        <v>0</v>
      </c>
      <c r="I63" s="241">
        <v>0</v>
      </c>
      <c r="J63" s="241">
        <v>0</v>
      </c>
      <c r="K63" s="241">
        <v>0</v>
      </c>
      <c r="L63" s="241">
        <v>0</v>
      </c>
      <c r="M63" s="241">
        <v>0</v>
      </c>
      <c r="N63" s="241">
        <v>0</v>
      </c>
      <c r="O63" s="241">
        <v>0</v>
      </c>
      <c r="P63" s="241">
        <v>0</v>
      </c>
      <c r="Q63" s="241">
        <v>0</v>
      </c>
    </row>
    <row r="64" spans="1:17" s="36" customFormat="1" ht="15" customHeight="1" outlineLevel="1">
      <c r="A64" s="60"/>
      <c r="B64" s="68" t="s">
        <v>498</v>
      </c>
      <c r="C64" s="13" t="s">
        <v>240</v>
      </c>
      <c r="D64" s="241"/>
      <c r="E64" s="241">
        <f>'4.10_транзит_котельн.'!E64+'4.10_сбыт_котельн.'!E64</f>
        <v>334</v>
      </c>
      <c r="F64" s="241"/>
      <c r="G64" s="241">
        <v>24.457134935954908</v>
      </c>
      <c r="H64" s="983">
        <v>0</v>
      </c>
      <c r="I64" s="241">
        <v>11</v>
      </c>
      <c r="J64" s="241">
        <v>0</v>
      </c>
      <c r="K64" s="241">
        <v>0</v>
      </c>
      <c r="L64" s="241">
        <v>0</v>
      </c>
      <c r="M64" s="241">
        <v>0</v>
      </c>
      <c r="N64" s="241">
        <v>0</v>
      </c>
      <c r="O64" s="241">
        <v>0</v>
      </c>
      <c r="P64" s="241">
        <v>0</v>
      </c>
      <c r="Q64" s="241">
        <v>0</v>
      </c>
    </row>
    <row r="65" spans="1:17" s="36" customFormat="1" ht="15" customHeight="1" outlineLevel="1">
      <c r="A65" s="60"/>
      <c r="B65" s="68" t="s">
        <v>499</v>
      </c>
      <c r="C65" s="13" t="s">
        <v>240</v>
      </c>
      <c r="D65" s="241"/>
      <c r="E65" s="241">
        <f>'4.10_транзит_котельн.'!E65+'4.10_сбыт_котельн.'!E65</f>
        <v>0</v>
      </c>
      <c r="F65" s="241"/>
      <c r="G65" s="241">
        <v>21.074765210769655</v>
      </c>
      <c r="H65" s="983">
        <v>0</v>
      </c>
      <c r="I65" s="241">
        <v>5516</v>
      </c>
      <c r="J65" s="241">
        <v>0</v>
      </c>
      <c r="K65" s="241">
        <v>22064</v>
      </c>
      <c r="L65" s="241">
        <v>0</v>
      </c>
      <c r="M65" s="241">
        <v>0</v>
      </c>
      <c r="N65" s="241">
        <v>0</v>
      </c>
      <c r="O65" s="241">
        <v>0</v>
      </c>
      <c r="P65" s="241">
        <v>0</v>
      </c>
      <c r="Q65" s="241">
        <v>0</v>
      </c>
    </row>
    <row r="66" spans="1:17" s="36" customFormat="1">
      <c r="A66" s="60"/>
      <c r="B66" s="68"/>
      <c r="C66" s="13"/>
      <c r="D66" s="241"/>
      <c r="E66" s="241"/>
      <c r="F66" s="241"/>
      <c r="G66" s="241"/>
      <c r="H66" s="983"/>
      <c r="I66" s="241"/>
      <c r="J66" s="241"/>
      <c r="K66" s="241"/>
      <c r="L66" s="241"/>
      <c r="M66" s="241"/>
      <c r="N66" s="241"/>
      <c r="O66" s="241"/>
      <c r="P66" s="241"/>
      <c r="Q66" s="241"/>
    </row>
    <row r="67" spans="1:17" s="1001" customFormat="1" ht="30" customHeight="1">
      <c r="A67" s="82" t="s">
        <v>78</v>
      </c>
      <c r="B67" s="80" t="s">
        <v>503</v>
      </c>
      <c r="C67" s="1002" t="s">
        <v>240</v>
      </c>
      <c r="D67" s="1000">
        <f>'4.10_транзит_котельн.'!D67+'4.10_сбыт_котельн.'!D67</f>
        <v>2522</v>
      </c>
      <c r="E67" s="1000">
        <f>'4.10_транзит_котельн.'!E67+'4.10_сбыт_котельн.'!E67</f>
        <v>5859</v>
      </c>
      <c r="F67" s="1000">
        <f>'4.10_транзит_котельн.'!F67+'4.10_сбыт_котельн.'!F67</f>
        <v>0</v>
      </c>
      <c r="G67" s="1000">
        <v>11046</v>
      </c>
      <c r="H67" s="1006">
        <v>0</v>
      </c>
      <c r="I67" s="1000">
        <v>28087</v>
      </c>
      <c r="J67" s="1000">
        <v>0</v>
      </c>
      <c r="K67" s="1000">
        <v>83138</v>
      </c>
      <c r="L67" s="1000">
        <v>71837</v>
      </c>
      <c r="M67" s="1000">
        <v>71102</v>
      </c>
      <c r="N67" s="1000">
        <v>72572</v>
      </c>
      <c r="O67" s="1000">
        <v>73893</v>
      </c>
      <c r="P67" s="1000">
        <v>73401</v>
      </c>
      <c r="Q67" s="1000">
        <v>74385</v>
      </c>
    </row>
    <row r="68" spans="1:17" s="36" customFormat="1" ht="15" customHeight="1" outlineLevel="1">
      <c r="A68" s="60"/>
      <c r="B68" s="68" t="s">
        <v>487</v>
      </c>
      <c r="C68" s="13" t="s">
        <v>240</v>
      </c>
      <c r="D68" s="241"/>
      <c r="E68" s="241">
        <f>'4.10_транзит_котельн.'!E68+'4.10_сбыт_котельн.'!E68</f>
        <v>2542</v>
      </c>
      <c r="F68" s="241"/>
      <c r="G68" s="241">
        <v>6412</v>
      </c>
      <c r="H68" s="983">
        <v>0</v>
      </c>
      <c r="I68" s="241">
        <v>6260</v>
      </c>
      <c r="J68" s="241">
        <v>0</v>
      </c>
      <c r="K68" s="241">
        <v>5994</v>
      </c>
      <c r="L68" s="241">
        <v>5994</v>
      </c>
      <c r="M68" s="241">
        <v>5994</v>
      </c>
      <c r="N68" s="241">
        <v>5994</v>
      </c>
      <c r="O68" s="241">
        <v>5994</v>
      </c>
      <c r="P68" s="241">
        <v>5994</v>
      </c>
      <c r="Q68" s="241">
        <v>5994</v>
      </c>
    </row>
    <row r="69" spans="1:17" s="36" customFormat="1" ht="15" customHeight="1" outlineLevel="1">
      <c r="A69" s="60"/>
      <c r="B69" s="68" t="s">
        <v>488</v>
      </c>
      <c r="C69" s="13" t="s">
        <v>240</v>
      </c>
      <c r="D69" s="241"/>
      <c r="E69" s="241">
        <f>'4.10_транзит_котельн.'!E69+'4.10_сбыт_котельн.'!E69</f>
        <v>0</v>
      </c>
      <c r="F69" s="241"/>
      <c r="G69" s="241">
        <v>31</v>
      </c>
      <c r="H69" s="983">
        <v>0</v>
      </c>
      <c r="I69" s="241">
        <v>135</v>
      </c>
      <c r="J69" s="241">
        <v>0</v>
      </c>
      <c r="K69" s="241">
        <v>449</v>
      </c>
      <c r="L69" s="241">
        <v>449</v>
      </c>
      <c r="M69" s="241">
        <v>449</v>
      </c>
      <c r="N69" s="241">
        <v>449</v>
      </c>
      <c r="O69" s="241">
        <v>449</v>
      </c>
      <c r="P69" s="241">
        <v>449</v>
      </c>
      <c r="Q69" s="241">
        <v>449</v>
      </c>
    </row>
    <row r="70" spans="1:17" s="36" customFormat="1" ht="15" customHeight="1" outlineLevel="1">
      <c r="A70" s="60"/>
      <c r="B70" s="68" t="s">
        <v>489</v>
      </c>
      <c r="C70" s="13" t="s">
        <v>240</v>
      </c>
      <c r="D70" s="241"/>
      <c r="E70" s="241">
        <f>'4.10_транзит_котельн.'!E70+'4.10_сбыт_котельн.'!E70</f>
        <v>0</v>
      </c>
      <c r="F70" s="241"/>
      <c r="G70" s="241">
        <v>0</v>
      </c>
      <c r="H70" s="983">
        <v>0</v>
      </c>
      <c r="I70" s="241">
        <v>227</v>
      </c>
      <c r="J70" s="241">
        <v>0</v>
      </c>
      <c r="K70" s="241">
        <v>11491</v>
      </c>
      <c r="L70" s="241">
        <v>20146</v>
      </c>
      <c r="M70" s="241">
        <v>20015</v>
      </c>
      <c r="N70" s="241">
        <v>20277</v>
      </c>
      <c r="O70" s="241">
        <v>20776</v>
      </c>
      <c r="P70" s="241">
        <v>20643</v>
      </c>
      <c r="Q70" s="241">
        <v>20908</v>
      </c>
    </row>
    <row r="71" spans="1:17" s="36" customFormat="1" ht="15" customHeight="1" outlineLevel="1">
      <c r="A71" s="60"/>
      <c r="B71" s="68" t="s">
        <v>490</v>
      </c>
      <c r="C71" s="13" t="s">
        <v>240</v>
      </c>
      <c r="D71" s="241"/>
      <c r="E71" s="241">
        <f>'4.10_транзит_котельн.'!E71+'4.10_сбыт_котельн.'!E71</f>
        <v>2234</v>
      </c>
      <c r="F71" s="241"/>
      <c r="G71" s="241">
        <v>3116</v>
      </c>
      <c r="H71" s="983">
        <v>0</v>
      </c>
      <c r="I71" s="241">
        <v>9998</v>
      </c>
      <c r="J71" s="241">
        <v>0</v>
      </c>
      <c r="K71" s="241">
        <v>39495</v>
      </c>
      <c r="L71" s="241">
        <v>40321</v>
      </c>
      <c r="M71" s="241">
        <v>40080</v>
      </c>
      <c r="N71" s="241">
        <v>40563</v>
      </c>
      <c r="O71" s="241">
        <v>41143</v>
      </c>
      <c r="P71" s="241">
        <v>40784</v>
      </c>
      <c r="Q71" s="241">
        <v>41503</v>
      </c>
    </row>
    <row r="72" spans="1:17" s="36" customFormat="1" ht="15" customHeight="1" outlineLevel="1">
      <c r="A72" s="60"/>
      <c r="B72" s="68" t="s">
        <v>491</v>
      </c>
      <c r="C72" s="13" t="s">
        <v>240</v>
      </c>
      <c r="D72" s="241"/>
      <c r="E72" s="241">
        <f>'4.10_транзит_котельн.'!E72+'4.10_сбыт_котельн.'!E72</f>
        <v>0</v>
      </c>
      <c r="F72" s="241"/>
      <c r="G72" s="241">
        <v>0</v>
      </c>
      <c r="H72" s="983">
        <v>0</v>
      </c>
      <c r="I72" s="241">
        <v>0</v>
      </c>
      <c r="J72" s="241">
        <v>0</v>
      </c>
      <c r="K72" s="241">
        <v>0</v>
      </c>
      <c r="L72" s="241">
        <v>0</v>
      </c>
      <c r="M72" s="241">
        <v>0</v>
      </c>
      <c r="N72" s="241">
        <v>0</v>
      </c>
      <c r="O72" s="241">
        <v>0</v>
      </c>
      <c r="P72" s="241">
        <v>0</v>
      </c>
      <c r="Q72" s="241">
        <v>0</v>
      </c>
    </row>
    <row r="73" spans="1:17" s="36" customFormat="1" ht="15" customHeight="1" outlineLevel="1">
      <c r="A73" s="60"/>
      <c r="B73" s="70" t="s">
        <v>492</v>
      </c>
      <c r="C73" s="13" t="s">
        <v>240</v>
      </c>
      <c r="D73" s="241"/>
      <c r="E73" s="241">
        <f>'4.10_транзит_котельн.'!E73+'4.10_сбыт_котельн.'!E73</f>
        <v>0</v>
      </c>
      <c r="F73" s="241"/>
      <c r="G73" s="241">
        <v>0</v>
      </c>
      <c r="H73" s="983">
        <v>0</v>
      </c>
      <c r="I73" s="241">
        <v>0</v>
      </c>
      <c r="J73" s="241">
        <v>0</v>
      </c>
      <c r="K73" s="241">
        <v>0</v>
      </c>
      <c r="L73" s="241">
        <v>0</v>
      </c>
      <c r="M73" s="241">
        <v>0</v>
      </c>
      <c r="N73" s="241">
        <v>0</v>
      </c>
      <c r="O73" s="241">
        <v>0</v>
      </c>
      <c r="P73" s="241">
        <v>0</v>
      </c>
      <c r="Q73" s="241">
        <v>0</v>
      </c>
    </row>
    <row r="74" spans="1:17" s="36" customFormat="1" ht="15" customHeight="1" outlineLevel="1">
      <c r="A74" s="60"/>
      <c r="B74" s="70" t="s">
        <v>493</v>
      </c>
      <c r="C74" s="13" t="s">
        <v>240</v>
      </c>
      <c r="D74" s="241"/>
      <c r="E74" s="241">
        <f>'4.10_транзит_котельн.'!E74+'4.10_сбыт_котельн.'!E74</f>
        <v>4</v>
      </c>
      <c r="F74" s="241"/>
      <c r="G74" s="241">
        <v>36</v>
      </c>
      <c r="H74" s="983">
        <v>0</v>
      </c>
      <c r="I74" s="241">
        <v>105</v>
      </c>
      <c r="J74" s="241">
        <v>0</v>
      </c>
      <c r="K74" s="241">
        <v>189</v>
      </c>
      <c r="L74" s="241">
        <v>189</v>
      </c>
      <c r="M74" s="241">
        <v>189</v>
      </c>
      <c r="N74" s="241">
        <v>189</v>
      </c>
      <c r="O74" s="241">
        <v>189</v>
      </c>
      <c r="P74" s="241">
        <v>189</v>
      </c>
      <c r="Q74" s="241">
        <v>189</v>
      </c>
    </row>
    <row r="75" spans="1:17" s="36" customFormat="1" ht="15" customHeight="1" outlineLevel="1">
      <c r="A75" s="60"/>
      <c r="B75" s="70" t="s">
        <v>494</v>
      </c>
      <c r="C75" s="13" t="s">
        <v>240</v>
      </c>
      <c r="D75" s="241"/>
      <c r="E75" s="241">
        <f>'4.10_транзит_котельн.'!E75+'4.10_сбыт_котельн.'!E75</f>
        <v>1530</v>
      </c>
      <c r="F75" s="241"/>
      <c r="G75" s="241">
        <v>2008</v>
      </c>
      <c r="H75" s="983">
        <v>0</v>
      </c>
      <c r="I75" s="241">
        <v>5003</v>
      </c>
      <c r="J75" s="241">
        <v>0</v>
      </c>
      <c r="K75" s="241">
        <v>5013</v>
      </c>
      <c r="L75" s="241">
        <v>5013</v>
      </c>
      <c r="M75" s="241">
        <v>5013</v>
      </c>
      <c r="N75" s="241">
        <v>5013</v>
      </c>
      <c r="O75" s="241">
        <v>5013</v>
      </c>
      <c r="P75" s="241">
        <v>5013</v>
      </c>
      <c r="Q75" s="241">
        <v>5013</v>
      </c>
    </row>
    <row r="76" spans="1:17" s="36" customFormat="1" ht="15" customHeight="1" outlineLevel="1">
      <c r="A76" s="60"/>
      <c r="B76" s="70" t="s">
        <v>495</v>
      </c>
      <c r="C76" s="13" t="s">
        <v>240</v>
      </c>
      <c r="D76" s="241"/>
      <c r="E76" s="241">
        <f>'4.10_транзит_котельн.'!E76+'4.10_сбыт_котельн.'!E76</f>
        <v>700</v>
      </c>
      <c r="F76" s="241"/>
      <c r="G76" s="241">
        <v>1072</v>
      </c>
      <c r="H76" s="983">
        <v>0</v>
      </c>
      <c r="I76" s="241">
        <v>4890</v>
      </c>
      <c r="J76" s="241">
        <v>0</v>
      </c>
      <c r="K76" s="241">
        <v>34293</v>
      </c>
      <c r="L76" s="241">
        <v>35119</v>
      </c>
      <c r="M76" s="241">
        <v>34878</v>
      </c>
      <c r="N76" s="241">
        <v>35361</v>
      </c>
      <c r="O76" s="241">
        <v>35941</v>
      </c>
      <c r="P76" s="241">
        <v>35582</v>
      </c>
      <c r="Q76" s="241">
        <v>36301</v>
      </c>
    </row>
    <row r="77" spans="1:17" s="36" customFormat="1" ht="15" customHeight="1" outlineLevel="1">
      <c r="A77" s="60"/>
      <c r="B77" s="70" t="s">
        <v>496</v>
      </c>
      <c r="C77" s="13" t="s">
        <v>240</v>
      </c>
      <c r="D77" s="241"/>
      <c r="E77" s="241">
        <f>'4.10_транзит_котельн.'!E77+'4.10_сбыт_котельн.'!E77</f>
        <v>47</v>
      </c>
      <c r="F77" s="241"/>
      <c r="G77" s="241">
        <v>64</v>
      </c>
      <c r="H77" s="983">
        <v>0</v>
      </c>
      <c r="I77" s="241">
        <v>275</v>
      </c>
      <c r="J77" s="241">
        <v>0</v>
      </c>
      <c r="K77" s="241">
        <v>1194</v>
      </c>
      <c r="L77" s="241">
        <v>1557</v>
      </c>
      <c r="M77" s="241">
        <v>1194</v>
      </c>
      <c r="N77" s="241">
        <v>1919</v>
      </c>
      <c r="O77" s="241">
        <v>2161</v>
      </c>
      <c r="P77" s="241">
        <v>2161</v>
      </c>
      <c r="Q77" s="241">
        <v>2161</v>
      </c>
    </row>
    <row r="78" spans="1:17" s="36" customFormat="1" ht="15" customHeight="1" outlineLevel="1">
      <c r="A78" s="60"/>
      <c r="B78" s="70" t="s">
        <v>497</v>
      </c>
      <c r="C78" s="13" t="s">
        <v>240</v>
      </c>
      <c r="D78" s="241"/>
      <c r="E78" s="241">
        <f>'4.10_транзит_котельн.'!E78+'4.10_сбыт_котельн.'!E78</f>
        <v>0</v>
      </c>
      <c r="F78" s="241"/>
      <c r="G78" s="241">
        <v>0</v>
      </c>
      <c r="H78" s="983">
        <v>0</v>
      </c>
      <c r="I78" s="241">
        <v>0</v>
      </c>
      <c r="J78" s="241">
        <v>0</v>
      </c>
      <c r="K78" s="241">
        <v>0</v>
      </c>
      <c r="L78" s="241">
        <v>0</v>
      </c>
      <c r="M78" s="241">
        <v>0</v>
      </c>
      <c r="N78" s="241">
        <v>0</v>
      </c>
      <c r="O78" s="241">
        <v>0</v>
      </c>
      <c r="P78" s="241">
        <v>0</v>
      </c>
      <c r="Q78" s="241">
        <v>0</v>
      </c>
    </row>
    <row r="79" spans="1:17" s="36" customFormat="1" ht="15" customHeight="1" outlineLevel="1">
      <c r="A79" s="60"/>
      <c r="B79" s="68" t="s">
        <v>498</v>
      </c>
      <c r="C79" s="13" t="s">
        <v>240</v>
      </c>
      <c r="D79" s="241"/>
      <c r="E79" s="241">
        <f>'4.10_транзит_котельн.'!E79+'4.10_сбыт_котельн.'!E79</f>
        <v>1036</v>
      </c>
      <c r="F79" s="241"/>
      <c r="G79" s="241">
        <v>1382</v>
      </c>
      <c r="H79" s="983">
        <v>0</v>
      </c>
      <c r="I79" s="241">
        <v>3163</v>
      </c>
      <c r="J79" s="241">
        <v>0</v>
      </c>
      <c r="K79" s="241">
        <v>3155</v>
      </c>
      <c r="L79" s="241">
        <v>3155</v>
      </c>
      <c r="M79" s="241">
        <v>3155</v>
      </c>
      <c r="N79" s="241">
        <v>3155</v>
      </c>
      <c r="O79" s="241">
        <v>3155</v>
      </c>
      <c r="P79" s="241">
        <v>3155</v>
      </c>
      <c r="Q79" s="241">
        <v>3155</v>
      </c>
    </row>
    <row r="80" spans="1:17" s="36" customFormat="1" ht="15" customHeight="1" outlineLevel="1">
      <c r="A80" s="60"/>
      <c r="B80" s="68" t="s">
        <v>499</v>
      </c>
      <c r="C80" s="13" t="s">
        <v>240</v>
      </c>
      <c r="D80" s="241"/>
      <c r="E80" s="241">
        <f>'4.10_транзит_котельн.'!E80+'4.10_сбыт_котельн.'!E80</f>
        <v>0</v>
      </c>
      <c r="F80" s="241"/>
      <c r="G80" s="241">
        <v>41</v>
      </c>
      <c r="H80" s="983">
        <v>0</v>
      </c>
      <c r="I80" s="241">
        <v>8029</v>
      </c>
      <c r="J80" s="241">
        <v>0</v>
      </c>
      <c r="K80" s="241">
        <v>21360</v>
      </c>
      <c r="L80" s="241">
        <v>215</v>
      </c>
      <c r="M80" s="241">
        <v>215</v>
      </c>
      <c r="N80" s="241">
        <v>215</v>
      </c>
      <c r="O80" s="241">
        <v>215</v>
      </c>
      <c r="P80" s="241">
        <v>215</v>
      </c>
      <c r="Q80" s="241">
        <v>215</v>
      </c>
    </row>
    <row r="81" spans="1:17" s="36" customFormat="1">
      <c r="A81" s="60"/>
      <c r="B81" s="68"/>
      <c r="C81" s="13"/>
      <c r="D81" s="66"/>
      <c r="E81" s="66"/>
      <c r="F81" s="66"/>
      <c r="G81" s="66"/>
      <c r="H81" s="990"/>
      <c r="I81" s="66"/>
      <c r="J81" s="66"/>
      <c r="K81" s="66"/>
      <c r="L81" s="66"/>
      <c r="M81" s="66"/>
      <c r="N81" s="66"/>
      <c r="O81" s="66"/>
      <c r="P81" s="66"/>
      <c r="Q81" s="66"/>
    </row>
    <row r="82" spans="1:17" s="1001" customFormat="1" ht="15" customHeight="1">
      <c r="A82" s="82" t="s">
        <v>86</v>
      </c>
      <c r="B82" s="80" t="s">
        <v>504</v>
      </c>
      <c r="C82" s="999"/>
      <c r="D82" s="432">
        <f>D97/D67*100</f>
        <v>15.424266455194291</v>
      </c>
      <c r="E82" s="432">
        <f t="shared" ref="E82:N82" si="0">E97/E67*100</f>
        <v>26.847584912101041</v>
      </c>
      <c r="F82" s="432"/>
      <c r="G82" s="432">
        <v>14.982799203331524</v>
      </c>
      <c r="H82" s="1007" t="e">
        <v>#DIV/0!</v>
      </c>
      <c r="I82" s="432">
        <v>28.749955495424928</v>
      </c>
      <c r="J82" s="432" t="e">
        <v>#DIV/0!</v>
      </c>
      <c r="K82" s="432">
        <v>37.399263874521878</v>
      </c>
      <c r="L82" s="432">
        <v>13.758926458510237</v>
      </c>
      <c r="M82" s="432">
        <v>6.9337008804253042</v>
      </c>
      <c r="N82" s="432">
        <v>6.8263242021716364</v>
      </c>
      <c r="O82" s="432">
        <v>12.135114286874265</v>
      </c>
      <c r="P82" s="432">
        <v>6.0925600468658461</v>
      </c>
      <c r="Q82" s="432">
        <v>6.0428849902534107</v>
      </c>
    </row>
    <row r="83" spans="1:17" s="36" customFormat="1" ht="15" customHeight="1" outlineLevel="1">
      <c r="A83" s="60"/>
      <c r="B83" s="68" t="s">
        <v>487</v>
      </c>
      <c r="C83" s="13" t="s">
        <v>138</v>
      </c>
      <c r="D83" s="66"/>
      <c r="E83" s="251">
        <f t="shared" ref="E83" si="1">E98/E68*100</f>
        <v>31.589299763965386</v>
      </c>
      <c r="F83" s="66"/>
      <c r="G83" s="251">
        <v>3.1191515907673115</v>
      </c>
      <c r="H83" s="1359" t="e">
        <v>#DIV/0!</v>
      </c>
      <c r="I83" s="251">
        <v>3.9776357827476039</v>
      </c>
      <c r="J83" s="251" t="e">
        <v>#DIV/0!</v>
      </c>
      <c r="K83" s="251">
        <v>4.5545545545545547</v>
      </c>
      <c r="L83" s="251">
        <v>4.5545545545545547</v>
      </c>
      <c r="M83" s="251">
        <v>2.2689356022689355</v>
      </c>
      <c r="N83" s="251">
        <v>2.2856189522856187</v>
      </c>
      <c r="O83" s="251">
        <v>4.5545545545545547</v>
      </c>
      <c r="P83" s="251">
        <v>2.2689356022689355</v>
      </c>
      <c r="Q83" s="251">
        <v>2.2856189522856187</v>
      </c>
    </row>
    <row r="84" spans="1:17" s="36" customFormat="1" ht="15" customHeight="1" outlineLevel="1">
      <c r="A84" s="60"/>
      <c r="B84" s="68" t="s">
        <v>488</v>
      </c>
      <c r="C84" s="13" t="s">
        <v>138</v>
      </c>
      <c r="D84" s="66"/>
      <c r="E84" s="251"/>
      <c r="F84" s="66"/>
      <c r="G84" s="251">
        <v>16.129032258064516</v>
      </c>
      <c r="H84" s="1359" t="e">
        <v>#DIV/0!</v>
      </c>
      <c r="I84" s="251">
        <v>11.111111111111111</v>
      </c>
      <c r="J84" s="251" t="e">
        <v>#DIV/0!</v>
      </c>
      <c r="K84" s="251">
        <v>12.24944320712695</v>
      </c>
      <c r="L84" s="251">
        <v>26.280623608017816</v>
      </c>
      <c r="M84" s="251">
        <v>12.694877505567929</v>
      </c>
      <c r="N84" s="251">
        <v>13.585746102449889</v>
      </c>
      <c r="O84" s="251">
        <v>37.639198218262806</v>
      </c>
      <c r="P84" s="251">
        <v>18.485523385300667</v>
      </c>
      <c r="Q84" s="251">
        <v>19.153674832962139</v>
      </c>
    </row>
    <row r="85" spans="1:17" s="36" customFormat="1" ht="15" customHeight="1" outlineLevel="1">
      <c r="A85" s="60"/>
      <c r="B85" s="68" t="s">
        <v>489</v>
      </c>
      <c r="C85" s="13" t="s">
        <v>138</v>
      </c>
      <c r="D85" s="66"/>
      <c r="E85" s="251"/>
      <c r="F85" s="66"/>
      <c r="G85" s="251"/>
      <c r="H85" s="1359"/>
      <c r="I85" s="251"/>
      <c r="J85" s="251"/>
      <c r="K85" s="251"/>
      <c r="L85" s="251"/>
      <c r="M85" s="251"/>
      <c r="N85" s="251"/>
      <c r="O85" s="251"/>
      <c r="P85" s="251"/>
      <c r="Q85" s="251"/>
    </row>
    <row r="86" spans="1:17" s="36" customFormat="1" ht="15" customHeight="1" outlineLevel="1">
      <c r="A86" s="60"/>
      <c r="B86" s="68" t="s">
        <v>490</v>
      </c>
      <c r="C86" s="13" t="s">
        <v>138</v>
      </c>
      <c r="D86" s="66"/>
      <c r="E86" s="251">
        <f t="shared" ref="E86" si="2">E101/E71*100</f>
        <v>5.1029543419874663</v>
      </c>
      <c r="F86" s="66"/>
      <c r="G86" s="251">
        <v>37.002567394094996</v>
      </c>
      <c r="H86" s="1359" t="e">
        <v>#DIV/0!</v>
      </c>
      <c r="I86" s="251">
        <v>16.543308661732347</v>
      </c>
      <c r="J86" s="251" t="e">
        <v>#DIV/0!</v>
      </c>
      <c r="K86" s="251">
        <v>18.34662615520952</v>
      </c>
      <c r="L86" s="251">
        <v>18.166712135115695</v>
      </c>
      <c r="M86" s="251">
        <v>9.1242514970059876</v>
      </c>
      <c r="N86" s="251">
        <v>9.0427236644232423</v>
      </c>
      <c r="O86" s="251">
        <v>15.730500935760638</v>
      </c>
      <c r="P86" s="251">
        <v>7.9222244017261678</v>
      </c>
      <c r="Q86" s="251">
        <v>7.8090740428402761</v>
      </c>
    </row>
    <row r="87" spans="1:17" s="36" customFormat="1" ht="15" customHeight="1" outlineLevel="1">
      <c r="A87" s="60"/>
      <c r="B87" s="68" t="s">
        <v>491</v>
      </c>
      <c r="C87" s="13" t="s">
        <v>138</v>
      </c>
      <c r="D87" s="66"/>
      <c r="E87" s="251"/>
      <c r="F87" s="66"/>
      <c r="G87" s="251"/>
      <c r="H87" s="1359"/>
      <c r="I87" s="251"/>
      <c r="J87" s="251"/>
      <c r="K87" s="251"/>
      <c r="L87" s="251"/>
      <c r="M87" s="251"/>
      <c r="N87" s="251"/>
      <c r="O87" s="251"/>
      <c r="P87" s="251"/>
      <c r="Q87" s="251"/>
    </row>
    <row r="88" spans="1:17" s="36" customFormat="1" ht="15" customHeight="1" outlineLevel="1">
      <c r="A88" s="60"/>
      <c r="B88" s="70" t="s">
        <v>492</v>
      </c>
      <c r="C88" s="13" t="s">
        <v>138</v>
      </c>
      <c r="D88" s="66"/>
      <c r="E88" s="251"/>
      <c r="F88" s="66"/>
      <c r="G88" s="251"/>
      <c r="H88" s="1359"/>
      <c r="I88" s="251"/>
      <c r="J88" s="251"/>
      <c r="K88" s="251"/>
      <c r="L88" s="251"/>
      <c r="M88" s="251"/>
      <c r="N88" s="251"/>
      <c r="O88" s="251"/>
      <c r="P88" s="251"/>
      <c r="Q88" s="251"/>
    </row>
    <row r="89" spans="1:17" s="36" customFormat="1" ht="15" customHeight="1" outlineLevel="1">
      <c r="A89" s="60"/>
      <c r="B89" s="70" t="s">
        <v>493</v>
      </c>
      <c r="C89" s="13" t="s">
        <v>138</v>
      </c>
      <c r="D89" s="66"/>
      <c r="E89" s="251">
        <f t="shared" ref="E89" si="3">E104/E74*100</f>
        <v>0</v>
      </c>
      <c r="F89" s="66"/>
      <c r="G89" s="251">
        <v>516.66666666666674</v>
      </c>
      <c r="H89" s="1359" t="e">
        <v>#DIV/0!</v>
      </c>
      <c r="I89" s="251">
        <v>218.09523809523807</v>
      </c>
      <c r="J89" s="251" t="e">
        <v>#DIV/0!</v>
      </c>
      <c r="K89" s="251">
        <v>166.13756613756613</v>
      </c>
      <c r="L89" s="251">
        <v>169.84126984126985</v>
      </c>
      <c r="M89" s="251">
        <v>83.068783068783063</v>
      </c>
      <c r="N89" s="251">
        <v>86.772486772486772</v>
      </c>
      <c r="O89" s="251">
        <v>154.49735449735448</v>
      </c>
      <c r="P89" s="251">
        <v>75.661375661375658</v>
      </c>
      <c r="Q89" s="251">
        <v>78.835978835978835</v>
      </c>
    </row>
    <row r="90" spans="1:17" s="36" customFormat="1" ht="15" customHeight="1" outlineLevel="1">
      <c r="A90" s="60"/>
      <c r="B90" s="70" t="s">
        <v>494</v>
      </c>
      <c r="C90" s="13" t="s">
        <v>138</v>
      </c>
      <c r="D90" s="66"/>
      <c r="E90" s="251">
        <f t="shared" ref="E90" si="4">E105/E75*100</f>
        <v>4.7712418300653594</v>
      </c>
      <c r="F90" s="66"/>
      <c r="G90" s="251">
        <v>36.603585657370516</v>
      </c>
      <c r="H90" s="1359" t="e">
        <v>#DIV/0!</v>
      </c>
      <c r="I90" s="251">
        <v>14.291425144913052</v>
      </c>
      <c r="J90" s="251" t="e">
        <v>#DIV/0!</v>
      </c>
      <c r="K90" s="251">
        <v>3.2515459804508278</v>
      </c>
      <c r="L90" s="251">
        <v>3.5507680031917017</v>
      </c>
      <c r="M90" s="251">
        <v>1.7354877318970678</v>
      </c>
      <c r="N90" s="251">
        <v>1.8152802712946341</v>
      </c>
      <c r="O90" s="251">
        <v>2.0945541591861163</v>
      </c>
      <c r="P90" s="251">
        <v>1.0173548773189707</v>
      </c>
      <c r="Q90" s="251">
        <v>1.0771992818671454</v>
      </c>
    </row>
    <row r="91" spans="1:17" s="36" customFormat="1" ht="15" customHeight="1" outlineLevel="1">
      <c r="A91" s="60"/>
      <c r="B91" s="70" t="s">
        <v>495</v>
      </c>
      <c r="C91" s="13" t="s">
        <v>138</v>
      </c>
      <c r="D91" s="66"/>
      <c r="E91" s="251">
        <f t="shared" ref="E91" si="5">E106/E76*100</f>
        <v>5.8571428571428577</v>
      </c>
      <c r="F91" s="66"/>
      <c r="G91" s="251">
        <v>21.641791044776117</v>
      </c>
      <c r="H91" s="1359" t="e">
        <v>#DIV/0!</v>
      </c>
      <c r="I91" s="251">
        <v>14.519427402862986</v>
      </c>
      <c r="J91" s="251" t="e">
        <v>#DIV/0!</v>
      </c>
      <c r="K91" s="251">
        <v>19.738722188201674</v>
      </c>
      <c r="L91" s="251">
        <v>19.436772117657107</v>
      </c>
      <c r="M91" s="251">
        <v>9.7855381615918358</v>
      </c>
      <c r="N91" s="251">
        <v>9.6518763609626426</v>
      </c>
      <c r="O91" s="251">
        <v>16.902701649926268</v>
      </c>
      <c r="P91" s="251">
        <v>8.5352144342645158</v>
      </c>
      <c r="Q91" s="251">
        <v>8.3689154568744666</v>
      </c>
    </row>
    <row r="92" spans="1:17" s="36" customFormat="1" ht="15" customHeight="1" outlineLevel="1">
      <c r="A92" s="60"/>
      <c r="B92" s="70" t="s">
        <v>496</v>
      </c>
      <c r="C92" s="13" t="s">
        <v>138</v>
      </c>
      <c r="D92" s="66"/>
      <c r="E92" s="251">
        <f t="shared" ref="E92" si="6">E107/E77*100</f>
        <v>4.2553191489361701</v>
      </c>
      <c r="F92" s="66"/>
      <c r="G92" s="251">
        <v>25</v>
      </c>
      <c r="H92" s="1359" t="e">
        <v>#DIV/0!</v>
      </c>
      <c r="I92" s="251">
        <v>13.454545454545455</v>
      </c>
      <c r="J92" s="251" t="e">
        <v>#DIV/0!</v>
      </c>
      <c r="K92" s="251">
        <v>28.308207705192629</v>
      </c>
      <c r="L92" s="251">
        <v>25.883108542068079</v>
      </c>
      <c r="M92" s="251">
        <v>16.917922948073702</v>
      </c>
      <c r="N92" s="251">
        <v>10.474205315268369</v>
      </c>
      <c r="O92" s="251">
        <v>24.340583063396576</v>
      </c>
      <c r="P92" s="251">
        <v>12.170291531698288</v>
      </c>
      <c r="Q92" s="251">
        <v>12.170291531698288</v>
      </c>
    </row>
    <row r="93" spans="1:17" s="36" customFormat="1" ht="15" customHeight="1" outlineLevel="1">
      <c r="A93" s="60"/>
      <c r="B93" s="70" t="s">
        <v>497</v>
      </c>
      <c r="C93" s="13" t="s">
        <v>138</v>
      </c>
      <c r="D93" s="66"/>
      <c r="E93" s="251"/>
      <c r="F93" s="66"/>
      <c r="G93" s="251"/>
      <c r="H93" s="1359"/>
      <c r="I93" s="251"/>
      <c r="J93" s="251"/>
      <c r="K93" s="251"/>
      <c r="L93" s="251"/>
      <c r="M93" s="251"/>
      <c r="N93" s="251"/>
      <c r="O93" s="251"/>
      <c r="P93" s="251"/>
      <c r="Q93" s="251"/>
    </row>
    <row r="94" spans="1:17" s="36" customFormat="1" ht="15" customHeight="1" outlineLevel="1">
      <c r="A94" s="60"/>
      <c r="B94" s="68" t="s">
        <v>498</v>
      </c>
      <c r="C94" s="13" t="s">
        <v>138</v>
      </c>
      <c r="D94" s="66"/>
      <c r="E94" s="251">
        <f t="shared" ref="E94" si="7">E109/E79*100</f>
        <v>62.93436293436293</v>
      </c>
      <c r="F94" s="66"/>
      <c r="G94" s="251">
        <v>19.971056439942114</v>
      </c>
      <c r="H94" s="1359" t="e">
        <v>#DIV/0!</v>
      </c>
      <c r="I94" s="251">
        <v>19.000948466645589</v>
      </c>
      <c r="J94" s="251" t="e">
        <v>#DIV/0!</v>
      </c>
      <c r="K94" s="251">
        <v>18.922345483359745</v>
      </c>
      <c r="L94" s="251">
        <v>10.839936608557844</v>
      </c>
      <c r="M94" s="251">
        <v>5.3565768621236129</v>
      </c>
      <c r="N94" s="251">
        <v>5.483359746434231</v>
      </c>
      <c r="O94" s="251">
        <v>1.6164817749603804</v>
      </c>
      <c r="P94" s="251">
        <v>0.76069730586370843</v>
      </c>
      <c r="Q94" s="251">
        <v>0.85578446909667194</v>
      </c>
    </row>
    <row r="95" spans="1:17" s="36" customFormat="1" ht="15" customHeight="1" outlineLevel="1">
      <c r="A95" s="60"/>
      <c r="B95" s="68" t="s">
        <v>499</v>
      </c>
      <c r="C95" s="13" t="s">
        <v>138</v>
      </c>
      <c r="D95" s="66"/>
      <c r="E95" s="251"/>
      <c r="F95" s="66"/>
      <c r="G95" s="251"/>
      <c r="H95" s="1359"/>
      <c r="I95" s="251"/>
      <c r="J95" s="251"/>
      <c r="K95" s="251"/>
      <c r="L95" s="251"/>
      <c r="M95" s="251"/>
      <c r="N95" s="251"/>
      <c r="O95" s="251"/>
      <c r="P95" s="251"/>
      <c r="Q95" s="251"/>
    </row>
    <row r="96" spans="1:17" s="36" customFormat="1">
      <c r="A96" s="60"/>
      <c r="B96" s="68"/>
      <c r="C96" s="13"/>
      <c r="D96" s="66"/>
      <c r="E96" s="66"/>
      <c r="F96" s="66"/>
      <c r="G96" s="66"/>
      <c r="H96" s="990"/>
      <c r="I96" s="66"/>
      <c r="J96" s="66"/>
      <c r="K96" s="66"/>
      <c r="L96" s="66"/>
      <c r="M96" s="66"/>
      <c r="N96" s="66"/>
      <c r="O96" s="66"/>
      <c r="P96" s="66"/>
      <c r="Q96" s="66"/>
    </row>
    <row r="97" spans="1:17" s="1001" customFormat="1" ht="15" customHeight="1">
      <c r="A97" s="82" t="s">
        <v>109</v>
      </c>
      <c r="B97" s="80" t="s">
        <v>505</v>
      </c>
      <c r="C97" s="999" t="s">
        <v>240</v>
      </c>
      <c r="D97" s="1000">
        <f>'4.10_транзит_котельн.'!D97+'4.10_сбыт_котельн.'!D97</f>
        <v>389</v>
      </c>
      <c r="E97" s="1000">
        <f>'4.10_транзит_котельн.'!E97+'4.10_сбыт_котельн.'!E97</f>
        <v>1573</v>
      </c>
      <c r="F97" s="1000">
        <f>'4.10_транзит_котельн.'!F97+'4.10_сбыт_котельн.'!F97</f>
        <v>0</v>
      </c>
      <c r="G97" s="1000">
        <v>1655</v>
      </c>
      <c r="H97" s="1006">
        <v>0</v>
      </c>
      <c r="I97" s="1000">
        <v>8075</v>
      </c>
      <c r="J97" s="1000">
        <v>0</v>
      </c>
      <c r="K97" s="1000">
        <v>31093</v>
      </c>
      <c r="L97" s="1000">
        <v>9884</v>
      </c>
      <c r="M97" s="1000">
        <v>4930</v>
      </c>
      <c r="N97" s="1000">
        <v>4954</v>
      </c>
      <c r="O97" s="1000">
        <v>8967</v>
      </c>
      <c r="P97" s="1000">
        <v>4472</v>
      </c>
      <c r="Q97" s="1000">
        <v>4495</v>
      </c>
    </row>
    <row r="98" spans="1:17" s="36" customFormat="1" ht="15" customHeight="1" outlineLevel="1">
      <c r="A98" s="60"/>
      <c r="B98" s="68" t="s">
        <v>487</v>
      </c>
      <c r="C98" s="13" t="s">
        <v>240</v>
      </c>
      <c r="D98" s="241"/>
      <c r="E98" s="241">
        <f>'4.10_транзит_котельн.'!E98+'4.10_сбыт_котельн.'!E98</f>
        <v>803</v>
      </c>
      <c r="F98" s="241"/>
      <c r="G98" s="241">
        <v>200</v>
      </c>
      <c r="H98" s="983">
        <v>0</v>
      </c>
      <c r="I98" s="241">
        <v>249</v>
      </c>
      <c r="J98" s="241">
        <v>0</v>
      </c>
      <c r="K98" s="241">
        <v>273</v>
      </c>
      <c r="L98" s="241">
        <v>273</v>
      </c>
      <c r="M98" s="241">
        <v>136</v>
      </c>
      <c r="N98" s="241">
        <v>137</v>
      </c>
      <c r="O98" s="241">
        <v>273</v>
      </c>
      <c r="P98" s="241">
        <v>136</v>
      </c>
      <c r="Q98" s="241">
        <v>137</v>
      </c>
    </row>
    <row r="99" spans="1:17" s="36" customFormat="1" ht="15" customHeight="1" outlineLevel="1">
      <c r="A99" s="60"/>
      <c r="B99" s="68" t="s">
        <v>488</v>
      </c>
      <c r="C99" s="13" t="s">
        <v>240</v>
      </c>
      <c r="D99" s="241"/>
      <c r="E99" s="241">
        <f>'4.10_транзит_котельн.'!E99+'4.10_сбыт_котельн.'!E99</f>
        <v>2</v>
      </c>
      <c r="F99" s="241"/>
      <c r="G99" s="241">
        <v>5</v>
      </c>
      <c r="H99" s="983">
        <v>0</v>
      </c>
      <c r="I99" s="241">
        <v>15</v>
      </c>
      <c r="J99" s="241">
        <v>0</v>
      </c>
      <c r="K99" s="241">
        <v>55</v>
      </c>
      <c r="L99" s="241">
        <v>118</v>
      </c>
      <c r="M99" s="241">
        <v>57</v>
      </c>
      <c r="N99" s="241">
        <v>61</v>
      </c>
      <c r="O99" s="241">
        <v>169</v>
      </c>
      <c r="P99" s="241">
        <v>83</v>
      </c>
      <c r="Q99" s="241">
        <v>86</v>
      </c>
    </row>
    <row r="100" spans="1:17" s="36" customFormat="1" ht="15" customHeight="1" outlineLevel="1">
      <c r="A100" s="60"/>
      <c r="B100" s="68" t="s">
        <v>489</v>
      </c>
      <c r="C100" s="13" t="s">
        <v>240</v>
      </c>
      <c r="D100" s="241"/>
      <c r="E100" s="241">
        <f>'4.10_транзит_котельн.'!E100+'4.10_сбыт_котельн.'!E100</f>
        <v>0</v>
      </c>
      <c r="F100" s="241"/>
      <c r="G100" s="241">
        <v>0</v>
      </c>
      <c r="H100" s="983">
        <v>0</v>
      </c>
      <c r="I100" s="241">
        <v>0</v>
      </c>
      <c r="J100" s="241">
        <v>0</v>
      </c>
      <c r="K100" s="241">
        <v>504</v>
      </c>
      <c r="L100" s="241">
        <v>1407</v>
      </c>
      <c r="M100" s="241">
        <v>704</v>
      </c>
      <c r="N100" s="241">
        <v>703</v>
      </c>
      <c r="O100" s="241">
        <v>1460</v>
      </c>
      <c r="P100" s="241">
        <v>730</v>
      </c>
      <c r="Q100" s="241">
        <v>730</v>
      </c>
    </row>
    <row r="101" spans="1:17" s="36" customFormat="1" ht="15" customHeight="1" outlineLevel="1">
      <c r="A101" s="60"/>
      <c r="B101" s="68" t="s">
        <v>490</v>
      </c>
      <c r="C101" s="13" t="s">
        <v>240</v>
      </c>
      <c r="D101" s="241"/>
      <c r="E101" s="241">
        <f>'4.10_транзит_котельн.'!E101+'4.10_сбыт_котельн.'!E101</f>
        <v>114</v>
      </c>
      <c r="F101" s="241"/>
      <c r="G101" s="241">
        <v>1153</v>
      </c>
      <c r="H101" s="983">
        <v>0</v>
      </c>
      <c r="I101" s="241">
        <v>1654</v>
      </c>
      <c r="J101" s="241">
        <v>0</v>
      </c>
      <c r="K101" s="241">
        <v>7246</v>
      </c>
      <c r="L101" s="241">
        <v>7325</v>
      </c>
      <c r="M101" s="241">
        <v>3657</v>
      </c>
      <c r="N101" s="241">
        <v>3668</v>
      </c>
      <c r="O101" s="241">
        <v>6472</v>
      </c>
      <c r="P101" s="241">
        <v>3231</v>
      </c>
      <c r="Q101" s="241">
        <v>3241</v>
      </c>
    </row>
    <row r="102" spans="1:17" s="36" customFormat="1" ht="15" customHeight="1" outlineLevel="1">
      <c r="A102" s="60"/>
      <c r="B102" s="68" t="s">
        <v>491</v>
      </c>
      <c r="C102" s="13" t="s">
        <v>240</v>
      </c>
      <c r="D102" s="241"/>
      <c r="E102" s="241">
        <f>'4.10_транзит_котельн.'!E102+'4.10_сбыт_котельн.'!E102</f>
        <v>0</v>
      </c>
      <c r="F102" s="241"/>
      <c r="G102" s="241">
        <v>0</v>
      </c>
      <c r="H102" s="983">
        <v>0</v>
      </c>
      <c r="I102" s="241">
        <v>0</v>
      </c>
      <c r="J102" s="241">
        <v>0</v>
      </c>
      <c r="K102" s="241">
        <v>0</v>
      </c>
      <c r="L102" s="241">
        <v>0</v>
      </c>
      <c r="M102" s="241">
        <v>0</v>
      </c>
      <c r="N102" s="241">
        <v>0</v>
      </c>
      <c r="O102" s="241">
        <v>0</v>
      </c>
      <c r="P102" s="241">
        <v>0</v>
      </c>
      <c r="Q102" s="241">
        <v>0</v>
      </c>
    </row>
    <row r="103" spans="1:17" s="36" customFormat="1" ht="15" customHeight="1" outlineLevel="1">
      <c r="A103" s="60"/>
      <c r="B103" s="70" t="s">
        <v>492</v>
      </c>
      <c r="C103" s="13" t="s">
        <v>240</v>
      </c>
      <c r="D103" s="241"/>
      <c r="E103" s="241">
        <f>'4.10_транзит_котельн.'!E103+'4.10_сбыт_котельн.'!E103</f>
        <v>0</v>
      </c>
      <c r="F103" s="241"/>
      <c r="G103" s="241">
        <v>0</v>
      </c>
      <c r="H103" s="983">
        <v>0</v>
      </c>
      <c r="I103" s="241">
        <v>0</v>
      </c>
      <c r="J103" s="241">
        <v>0</v>
      </c>
      <c r="K103" s="241">
        <v>0</v>
      </c>
      <c r="L103" s="241">
        <v>0</v>
      </c>
      <c r="M103" s="241">
        <v>0</v>
      </c>
      <c r="N103" s="241">
        <v>0</v>
      </c>
      <c r="O103" s="241">
        <v>0</v>
      </c>
      <c r="P103" s="241">
        <v>0</v>
      </c>
      <c r="Q103" s="241">
        <v>0</v>
      </c>
    </row>
    <row r="104" spans="1:17" s="36" customFormat="1" ht="15" customHeight="1" outlineLevel="1">
      <c r="A104" s="60"/>
      <c r="B104" s="70" t="s">
        <v>493</v>
      </c>
      <c r="C104" s="13" t="s">
        <v>240</v>
      </c>
      <c r="D104" s="241"/>
      <c r="E104" s="241">
        <f>'4.10_транзит_котельн.'!E104+'4.10_сбыт_котельн.'!E104</f>
        <v>0</v>
      </c>
      <c r="F104" s="241"/>
      <c r="G104" s="241">
        <v>186</v>
      </c>
      <c r="H104" s="983">
        <v>0</v>
      </c>
      <c r="I104" s="241">
        <v>229</v>
      </c>
      <c r="J104" s="241">
        <v>0</v>
      </c>
      <c r="K104" s="241">
        <v>314</v>
      </c>
      <c r="L104" s="241">
        <v>321</v>
      </c>
      <c r="M104" s="241">
        <v>157</v>
      </c>
      <c r="N104" s="241">
        <v>164</v>
      </c>
      <c r="O104" s="241">
        <v>292</v>
      </c>
      <c r="P104" s="241">
        <v>143</v>
      </c>
      <c r="Q104" s="241">
        <v>149</v>
      </c>
    </row>
    <row r="105" spans="1:17" s="36" customFormat="1" ht="15" customHeight="1" outlineLevel="1">
      <c r="A105" s="60"/>
      <c r="B105" s="70" t="s">
        <v>494</v>
      </c>
      <c r="C105" s="13" t="s">
        <v>240</v>
      </c>
      <c r="D105" s="241"/>
      <c r="E105" s="241">
        <f>'4.10_транзит_котельн.'!E105+'4.10_сбыт_котельн.'!E105</f>
        <v>73</v>
      </c>
      <c r="F105" s="241"/>
      <c r="G105" s="241">
        <v>735</v>
      </c>
      <c r="H105" s="983">
        <v>0</v>
      </c>
      <c r="I105" s="241">
        <v>715</v>
      </c>
      <c r="J105" s="241">
        <v>0</v>
      </c>
      <c r="K105" s="241">
        <v>163</v>
      </c>
      <c r="L105" s="241">
        <v>178</v>
      </c>
      <c r="M105" s="241">
        <v>87</v>
      </c>
      <c r="N105" s="241">
        <v>91</v>
      </c>
      <c r="O105" s="241">
        <v>105</v>
      </c>
      <c r="P105" s="241">
        <v>51</v>
      </c>
      <c r="Q105" s="241">
        <v>54</v>
      </c>
    </row>
    <row r="106" spans="1:17" s="36" customFormat="1" ht="15" customHeight="1" outlineLevel="1">
      <c r="A106" s="60"/>
      <c r="B106" s="70" t="s">
        <v>495</v>
      </c>
      <c r="C106" s="13" t="s">
        <v>240</v>
      </c>
      <c r="D106" s="241"/>
      <c r="E106" s="241">
        <f>'4.10_транзит_котельн.'!E106+'4.10_сбыт_котельн.'!E106</f>
        <v>41</v>
      </c>
      <c r="F106" s="241"/>
      <c r="G106" s="241">
        <v>232</v>
      </c>
      <c r="H106" s="983">
        <v>0</v>
      </c>
      <c r="I106" s="241">
        <v>710</v>
      </c>
      <c r="J106" s="241">
        <v>0</v>
      </c>
      <c r="K106" s="241">
        <v>6769</v>
      </c>
      <c r="L106" s="241">
        <v>6826</v>
      </c>
      <c r="M106" s="241">
        <v>3413</v>
      </c>
      <c r="N106" s="241">
        <v>3413</v>
      </c>
      <c r="O106" s="241">
        <v>6075</v>
      </c>
      <c r="P106" s="241">
        <v>3037</v>
      </c>
      <c r="Q106" s="241">
        <v>3038</v>
      </c>
    </row>
    <row r="107" spans="1:17" s="36" customFormat="1" ht="15" customHeight="1" outlineLevel="1">
      <c r="A107" s="60"/>
      <c r="B107" s="70" t="s">
        <v>496</v>
      </c>
      <c r="C107" s="13" t="s">
        <v>240</v>
      </c>
      <c r="D107" s="241"/>
      <c r="E107" s="241">
        <f>'4.10_транзит_котельн.'!E107+'4.10_сбыт_котельн.'!E107</f>
        <v>2</v>
      </c>
      <c r="F107" s="241"/>
      <c r="G107" s="241">
        <v>16</v>
      </c>
      <c r="H107" s="983">
        <v>0</v>
      </c>
      <c r="I107" s="241">
        <v>37</v>
      </c>
      <c r="J107" s="241">
        <v>0</v>
      </c>
      <c r="K107" s="241">
        <v>338</v>
      </c>
      <c r="L107" s="241">
        <v>403</v>
      </c>
      <c r="M107" s="241">
        <v>202</v>
      </c>
      <c r="N107" s="241">
        <v>201</v>
      </c>
      <c r="O107" s="241">
        <v>526</v>
      </c>
      <c r="P107" s="241">
        <v>263</v>
      </c>
      <c r="Q107" s="241">
        <v>263</v>
      </c>
    </row>
    <row r="108" spans="1:17" s="36" customFormat="1" ht="15" customHeight="1" outlineLevel="1">
      <c r="A108" s="60"/>
      <c r="B108" s="70" t="s">
        <v>497</v>
      </c>
      <c r="C108" s="13" t="s">
        <v>240</v>
      </c>
      <c r="D108" s="241"/>
      <c r="E108" s="241">
        <f>'4.10_транзит_котельн.'!E108+'4.10_сбыт_котельн.'!E108</f>
        <v>0</v>
      </c>
      <c r="F108" s="241"/>
      <c r="G108" s="241">
        <v>0</v>
      </c>
      <c r="H108" s="983">
        <v>0</v>
      </c>
      <c r="I108" s="241">
        <v>0</v>
      </c>
      <c r="J108" s="241">
        <v>0</v>
      </c>
      <c r="K108" s="241">
        <v>0</v>
      </c>
      <c r="L108" s="241">
        <v>0</v>
      </c>
      <c r="M108" s="241">
        <v>0</v>
      </c>
      <c r="N108" s="241">
        <v>0</v>
      </c>
      <c r="O108" s="241">
        <v>0</v>
      </c>
      <c r="P108" s="241">
        <v>0</v>
      </c>
      <c r="Q108" s="241">
        <v>0</v>
      </c>
    </row>
    <row r="109" spans="1:17" s="36" customFormat="1" ht="15" customHeight="1" outlineLevel="1">
      <c r="A109" s="60"/>
      <c r="B109" s="68" t="s">
        <v>498</v>
      </c>
      <c r="C109" s="13" t="s">
        <v>240</v>
      </c>
      <c r="D109" s="241"/>
      <c r="E109" s="241">
        <f>'4.10_транзит_котельн.'!E109+'4.10_сбыт_котельн.'!E109</f>
        <v>652</v>
      </c>
      <c r="F109" s="241"/>
      <c r="G109" s="241">
        <v>276</v>
      </c>
      <c r="H109" s="983">
        <v>0</v>
      </c>
      <c r="I109" s="241">
        <v>601</v>
      </c>
      <c r="J109" s="241">
        <v>0</v>
      </c>
      <c r="K109" s="241">
        <v>597</v>
      </c>
      <c r="L109" s="241">
        <v>342</v>
      </c>
      <c r="M109" s="241">
        <v>169</v>
      </c>
      <c r="N109" s="241">
        <v>173</v>
      </c>
      <c r="O109" s="241">
        <v>51</v>
      </c>
      <c r="P109" s="241">
        <v>24</v>
      </c>
      <c r="Q109" s="241">
        <v>27</v>
      </c>
    </row>
    <row r="110" spans="1:17" s="36" customFormat="1" ht="15" customHeight="1" outlineLevel="1">
      <c r="A110" s="60"/>
      <c r="B110" s="68" t="s">
        <v>499</v>
      </c>
      <c r="C110" s="13" t="s">
        <v>240</v>
      </c>
      <c r="D110" s="241"/>
      <c r="E110" s="241">
        <f>'4.10_транзит_котельн.'!E110+'4.10_сбыт_котельн.'!E110</f>
        <v>0</v>
      </c>
      <c r="F110" s="241"/>
      <c r="G110" s="241">
        <v>5</v>
      </c>
      <c r="H110" s="983">
        <v>0</v>
      </c>
      <c r="I110" s="241">
        <v>5519</v>
      </c>
      <c r="J110" s="241">
        <v>0</v>
      </c>
      <c r="K110" s="241">
        <v>22080</v>
      </c>
      <c r="L110" s="241">
        <v>16</v>
      </c>
      <c r="M110" s="241">
        <v>5</v>
      </c>
      <c r="N110" s="241">
        <v>11</v>
      </c>
      <c r="O110" s="241">
        <v>16</v>
      </c>
      <c r="P110" s="241">
        <v>5</v>
      </c>
      <c r="Q110" s="241">
        <v>11</v>
      </c>
    </row>
    <row r="111" spans="1:17" s="1001" customFormat="1" ht="28.5">
      <c r="A111" s="82" t="s">
        <v>151</v>
      </c>
      <c r="B111" s="80" t="s">
        <v>1524</v>
      </c>
      <c r="C111" s="1002" t="s">
        <v>240</v>
      </c>
      <c r="D111" s="1000">
        <f>D97</f>
        <v>389</v>
      </c>
      <c r="E111" s="1000">
        <f t="shared" ref="E111:N111" si="8">E97</f>
        <v>1573</v>
      </c>
      <c r="F111" s="1000">
        <f t="shared" si="8"/>
        <v>0</v>
      </c>
      <c r="G111" s="1000">
        <v>1655</v>
      </c>
      <c r="H111" s="1006">
        <v>0</v>
      </c>
      <c r="I111" s="1000">
        <v>8075</v>
      </c>
      <c r="J111" s="1000">
        <v>0</v>
      </c>
      <c r="K111" s="1000">
        <v>31093</v>
      </c>
      <c r="L111" s="1000">
        <v>9884</v>
      </c>
      <c r="M111" s="1000">
        <v>4930</v>
      </c>
      <c r="N111" s="1000">
        <v>4954</v>
      </c>
      <c r="O111" s="1000">
        <v>8967</v>
      </c>
      <c r="P111" s="1000">
        <v>4472</v>
      </c>
      <c r="Q111" s="1000">
        <v>4495</v>
      </c>
    </row>
    <row r="112" spans="1:17" s="36" customFormat="1" ht="15" customHeight="1">
      <c r="A112" s="60" t="s">
        <v>153</v>
      </c>
      <c r="B112" s="70" t="s">
        <v>402</v>
      </c>
      <c r="C112" s="13" t="s">
        <v>240</v>
      </c>
      <c r="D112" s="241"/>
      <c r="E112" s="241"/>
      <c r="F112" s="241"/>
      <c r="G112" s="241"/>
      <c r="H112" s="983"/>
      <c r="I112" s="241"/>
      <c r="J112" s="241"/>
      <c r="K112" s="241"/>
      <c r="L112" s="241"/>
      <c r="M112" s="241"/>
      <c r="N112" s="241"/>
      <c r="O112" s="241"/>
      <c r="P112" s="241"/>
      <c r="Q112" s="241"/>
    </row>
    <row r="113" spans="1:17" s="36" customFormat="1" ht="15" customHeight="1">
      <c r="A113" s="60" t="s">
        <v>1528</v>
      </c>
      <c r="B113" s="70" t="s">
        <v>404</v>
      </c>
      <c r="C113" s="13" t="s">
        <v>240</v>
      </c>
      <c r="D113" s="241">
        <v>389</v>
      </c>
      <c r="E113" s="241">
        <f t="shared" ref="E113:F113" si="9">E111</f>
        <v>1573</v>
      </c>
      <c r="F113" s="241">
        <f t="shared" si="9"/>
        <v>0</v>
      </c>
      <c r="G113" s="241">
        <v>1655</v>
      </c>
      <c r="H113" s="983">
        <v>0</v>
      </c>
      <c r="I113" s="241">
        <v>8075</v>
      </c>
      <c r="J113" s="241">
        <v>0</v>
      </c>
      <c r="K113" s="241">
        <v>31093</v>
      </c>
      <c r="L113" s="241">
        <v>9884</v>
      </c>
      <c r="M113" s="241">
        <v>4930</v>
      </c>
      <c r="N113" s="241">
        <v>4954</v>
      </c>
      <c r="O113" s="241">
        <v>8967</v>
      </c>
      <c r="P113" s="241">
        <v>4472</v>
      </c>
      <c r="Q113" s="241">
        <v>4495</v>
      </c>
    </row>
    <row r="114" spans="1:17" s="36" customFormat="1" ht="15" customHeight="1">
      <c r="A114" s="60" t="s">
        <v>1529</v>
      </c>
      <c r="B114" s="70" t="s">
        <v>406</v>
      </c>
      <c r="C114" s="13" t="s">
        <v>240</v>
      </c>
      <c r="D114" s="241"/>
      <c r="E114" s="241"/>
      <c r="F114" s="241"/>
      <c r="G114" s="241"/>
      <c r="H114" s="983"/>
      <c r="I114" s="241"/>
      <c r="J114" s="241"/>
      <c r="K114" s="241"/>
      <c r="L114" s="241"/>
      <c r="M114" s="241"/>
      <c r="N114" s="241"/>
      <c r="O114" s="241"/>
      <c r="P114" s="241"/>
      <c r="Q114" s="241"/>
    </row>
    <row r="115" spans="1:17" s="36" customFormat="1" ht="15" customHeight="1">
      <c r="A115" s="60" t="s">
        <v>1530</v>
      </c>
      <c r="B115" s="70" t="s">
        <v>408</v>
      </c>
      <c r="C115" s="13" t="s">
        <v>240</v>
      </c>
      <c r="D115" s="241"/>
      <c r="E115" s="241"/>
      <c r="F115" s="241"/>
      <c r="G115" s="241"/>
      <c r="H115" s="983"/>
      <c r="I115" s="241"/>
      <c r="J115" s="241"/>
      <c r="K115" s="241"/>
      <c r="L115" s="241"/>
      <c r="M115" s="241"/>
      <c r="N115" s="241"/>
      <c r="O115" s="241"/>
      <c r="P115" s="241"/>
      <c r="Q115" s="241"/>
    </row>
    <row r="116" spans="1:17" customFormat="1" ht="12.75"/>
    <row r="117" spans="1:17" s="26" customFormat="1">
      <c r="A117" s="26" t="s">
        <v>88</v>
      </c>
      <c r="C117" s="48"/>
    </row>
    <row r="118" spans="1:17" s="976" customFormat="1" ht="51.75" customHeight="1">
      <c r="A118" s="976" t="s">
        <v>89</v>
      </c>
      <c r="B118" s="1842" t="s">
        <v>506</v>
      </c>
      <c r="C118" s="1842"/>
      <c r="D118" s="1842"/>
      <c r="E118" s="1842"/>
      <c r="F118" s="1842"/>
      <c r="G118" s="1842"/>
      <c r="H118" s="1842"/>
      <c r="I118" s="1842"/>
      <c r="J118" s="1842"/>
      <c r="K118" s="1842"/>
      <c r="L118" s="1842"/>
      <c r="M118" s="1842"/>
      <c r="N118" s="1842"/>
    </row>
    <row r="119" spans="1:17" s="976" customFormat="1" ht="58.5" customHeight="1">
      <c r="A119" s="976" t="s">
        <v>91</v>
      </c>
      <c r="B119" s="1842" t="s">
        <v>507</v>
      </c>
      <c r="C119" s="1842"/>
      <c r="D119" s="1842"/>
      <c r="E119" s="1842"/>
      <c r="F119" s="1842"/>
      <c r="G119" s="1842"/>
      <c r="H119" s="1842"/>
      <c r="I119" s="1842"/>
      <c r="J119" s="1842"/>
      <c r="K119" s="1842"/>
      <c r="L119" s="1842"/>
      <c r="M119" s="1842"/>
      <c r="N119" s="1842"/>
    </row>
    <row r="120" spans="1:17" ht="21" customHeight="1"/>
  </sheetData>
  <mergeCells count="3">
    <mergeCell ref="A3:N3"/>
    <mergeCell ref="B118:N118"/>
    <mergeCell ref="B119:N119"/>
  </mergeCells>
  <pageMargins left="0.78740157480314965" right="0.51181102362204722" top="0.37" bottom="0.21" header="0.19685039370078741" footer="0.19685039370078741"/>
  <pageSetup paperSize="9" scale="43" orientation="portrait" r:id="rId1"/>
  <headerFooter alignWithMargins="0"/>
  <rowBreaks count="1" manualBreakCount="1">
    <brk id="116" max="6" man="1"/>
  </row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R120"/>
  <sheetViews>
    <sheetView view="pageBreakPreview" zoomScaleNormal="100" workbookViewId="0">
      <pane xSplit="2" ySplit="5" topLeftCell="C6" activePane="bottomRight" state="frozen"/>
      <selection activeCell="F4" sqref="F4"/>
      <selection pane="topRight" activeCell="F4" sqref="F4"/>
      <selection pane="bottomLeft" activeCell="F4" sqref="F4"/>
      <selection pane="bottomRight" activeCell="F4" sqref="F4"/>
    </sheetView>
  </sheetViews>
  <sheetFormatPr defaultColWidth="4.28515625" defaultRowHeight="15" outlineLevelRow="2"/>
  <cols>
    <col min="1" max="1" width="5.42578125" style="1" customWidth="1"/>
    <col min="2" max="2" width="42.28515625" style="1" customWidth="1"/>
    <col min="3" max="3" width="12" style="21" customWidth="1"/>
    <col min="4" max="4" width="12.5703125" style="1" hidden="1" customWidth="1"/>
    <col min="5" max="5" width="11.5703125" style="1" hidden="1" customWidth="1"/>
    <col min="6" max="6" width="13.5703125" style="1" customWidth="1"/>
    <col min="7" max="10" width="12.5703125" style="1" customWidth="1"/>
    <col min="11" max="11" width="15.7109375" style="1" customWidth="1"/>
    <col min="12" max="12" width="12.5703125" style="1" customWidth="1"/>
    <col min="13" max="13" width="11.42578125" style="1" customWidth="1"/>
    <col min="14" max="14" width="11" style="1" customWidth="1"/>
    <col min="15" max="15" width="12.7109375" style="1" customWidth="1"/>
    <col min="16" max="16" width="10.85546875" style="1" customWidth="1"/>
    <col min="17" max="17" width="10.5703125" style="1" customWidth="1"/>
    <col min="18" max="16384" width="4.28515625" style="1"/>
  </cols>
  <sheetData>
    <row r="1" spans="1:18" s="5" customFormat="1" ht="15.75" customHeight="1">
      <c r="A1" s="74" t="s">
        <v>1860</v>
      </c>
      <c r="C1" s="20"/>
      <c r="N1" s="6" t="s">
        <v>943</v>
      </c>
      <c r="Q1" s="6" t="s">
        <v>943</v>
      </c>
    </row>
    <row r="2" spans="1:18" s="5" customFormat="1" ht="12.75" customHeight="1">
      <c r="A2" s="105" t="str">
        <f>'4.10_свод_котельн.'!A2</f>
        <v>ПКГО - выработка котельными</v>
      </c>
      <c r="C2" s="20"/>
      <c r="R2" s="5" t="s">
        <v>1243</v>
      </c>
    </row>
    <row r="3" spans="1:18" ht="37.5" customHeight="1">
      <c r="A3" s="1915" t="s">
        <v>1184</v>
      </c>
      <c r="B3" s="1915"/>
      <c r="C3" s="1915"/>
      <c r="D3" s="1915"/>
      <c r="E3" s="1915"/>
      <c r="F3" s="1915"/>
      <c r="G3" s="1915"/>
      <c r="H3" s="1915"/>
      <c r="I3" s="1915"/>
      <c r="J3" s="1915"/>
      <c r="K3" s="1915"/>
      <c r="L3" s="1915"/>
      <c r="M3" s="1915"/>
      <c r="N3" s="1915"/>
    </row>
    <row r="4" spans="1:18" customFormat="1" ht="12.75" customHeight="1"/>
    <row r="5" spans="1:18" s="3" customFormat="1" ht="69.75" customHeight="1">
      <c r="A5" s="913" t="s">
        <v>1527</v>
      </c>
      <c r="B5" s="913" t="s">
        <v>1</v>
      </c>
      <c r="C5" s="913" t="s">
        <v>2</v>
      </c>
      <c r="D5" s="913" t="s">
        <v>1129</v>
      </c>
      <c r="E5" s="913" t="s">
        <v>1130</v>
      </c>
      <c r="F5" s="975" t="s">
        <v>1553</v>
      </c>
      <c r="G5" s="913" t="s">
        <v>1695</v>
      </c>
      <c r="H5" s="1310" t="s">
        <v>1702</v>
      </c>
      <c r="I5" s="1576" t="s">
        <v>1828</v>
      </c>
      <c r="J5" s="1613" t="s">
        <v>1842</v>
      </c>
      <c r="K5" s="1631" t="s">
        <v>1861</v>
      </c>
      <c r="L5" s="1631" t="s">
        <v>1862</v>
      </c>
      <c r="M5" s="1631" t="s">
        <v>763</v>
      </c>
      <c r="N5" s="1631" t="s">
        <v>764</v>
      </c>
      <c r="O5" s="1631" t="s">
        <v>1863</v>
      </c>
      <c r="P5" s="1631" t="s">
        <v>763</v>
      </c>
      <c r="Q5" s="1631" t="s">
        <v>764</v>
      </c>
    </row>
    <row r="6" spans="1:18" s="2" customFormat="1">
      <c r="A6" s="13">
        <v>1</v>
      </c>
      <c r="B6" s="13">
        <v>2</v>
      </c>
      <c r="C6" s="13">
        <v>3</v>
      </c>
      <c r="D6" s="13">
        <v>4</v>
      </c>
      <c r="E6" s="13">
        <v>5</v>
      </c>
      <c r="F6" s="13">
        <v>4</v>
      </c>
      <c r="G6" s="13">
        <v>5</v>
      </c>
      <c r="H6" s="13">
        <v>6</v>
      </c>
      <c r="I6" s="13">
        <v>7</v>
      </c>
      <c r="J6" s="13">
        <v>8</v>
      </c>
      <c r="K6" s="13">
        <v>9</v>
      </c>
      <c r="L6" s="13">
        <v>10</v>
      </c>
      <c r="M6" s="13">
        <v>11</v>
      </c>
      <c r="N6" s="13">
        <v>12</v>
      </c>
      <c r="O6" s="13">
        <v>13</v>
      </c>
      <c r="P6" s="13">
        <v>14</v>
      </c>
      <c r="Q6" s="13">
        <v>15</v>
      </c>
    </row>
    <row r="7" spans="1:18" s="1001" customFormat="1" ht="30" customHeight="1">
      <c r="A7" s="82" t="s">
        <v>4</v>
      </c>
      <c r="B7" s="80" t="s">
        <v>486</v>
      </c>
      <c r="C7" s="1002" t="s">
        <v>240</v>
      </c>
      <c r="D7" s="1000">
        <v>2253</v>
      </c>
      <c r="E7" s="1000">
        <f t="shared" ref="E7" si="0">E8+E9+E10+E11+E17+E18+E19+E20</f>
        <v>5797</v>
      </c>
      <c r="F7" s="1000"/>
      <c r="G7" s="1000">
        <v>26939.71706605623</v>
      </c>
      <c r="H7" s="1000">
        <v>0</v>
      </c>
      <c r="I7" s="1000">
        <v>22079</v>
      </c>
      <c r="J7" s="1000">
        <v>0</v>
      </c>
      <c r="K7" s="1000">
        <v>76850</v>
      </c>
      <c r="L7" s="1000">
        <v>71102</v>
      </c>
      <c r="M7" s="1000">
        <v>71102</v>
      </c>
      <c r="N7" s="1000">
        <v>71102</v>
      </c>
      <c r="O7" s="1000">
        <v>73401</v>
      </c>
      <c r="P7" s="1000">
        <v>73401</v>
      </c>
      <c r="Q7" s="1000">
        <v>73401</v>
      </c>
    </row>
    <row r="8" spans="1:18" s="36" customFormat="1" ht="15" customHeight="1" outlineLevel="1">
      <c r="A8" s="60"/>
      <c r="B8" s="68" t="s">
        <v>487</v>
      </c>
      <c r="C8" s="13" t="s">
        <v>240</v>
      </c>
      <c r="D8" s="241"/>
      <c r="E8" s="241">
        <v>2484</v>
      </c>
      <c r="F8" s="241"/>
      <c r="G8" s="241">
        <v>22236</v>
      </c>
      <c r="H8" s="241"/>
      <c r="I8" s="241">
        <v>10060</v>
      </c>
      <c r="J8" s="241"/>
      <c r="K8" s="241">
        <v>5994</v>
      </c>
      <c r="L8" s="241">
        <v>5994</v>
      </c>
      <c r="M8" s="241">
        <v>5994</v>
      </c>
      <c r="N8" s="241">
        <v>5994</v>
      </c>
      <c r="O8" s="241">
        <v>5994</v>
      </c>
      <c r="P8" s="241">
        <v>5994</v>
      </c>
      <c r="Q8" s="241">
        <v>5994</v>
      </c>
    </row>
    <row r="9" spans="1:18" s="36" customFormat="1" ht="15" customHeight="1" outlineLevel="1">
      <c r="A9" s="60"/>
      <c r="B9" s="68" t="s">
        <v>488</v>
      </c>
      <c r="C9" s="13" t="s">
        <v>240</v>
      </c>
      <c r="D9" s="241"/>
      <c r="E9" s="241">
        <v>78</v>
      </c>
      <c r="F9" s="241"/>
      <c r="G9" s="241">
        <v>59.062579081065941</v>
      </c>
      <c r="H9" s="241"/>
      <c r="I9" s="241">
        <v>121</v>
      </c>
      <c r="J9" s="241"/>
      <c r="K9" s="241">
        <v>448</v>
      </c>
      <c r="L9" s="241">
        <v>448</v>
      </c>
      <c r="M9" s="241">
        <v>448</v>
      </c>
      <c r="N9" s="241">
        <v>448</v>
      </c>
      <c r="O9" s="241">
        <v>448</v>
      </c>
      <c r="P9" s="241">
        <v>448</v>
      </c>
      <c r="Q9" s="241">
        <v>448</v>
      </c>
    </row>
    <row r="10" spans="1:18" s="36" customFormat="1" ht="15" customHeight="1" outlineLevel="1">
      <c r="A10" s="60"/>
      <c r="B10" s="68" t="s">
        <v>489</v>
      </c>
      <c r="C10" s="13" t="s">
        <v>240</v>
      </c>
      <c r="D10" s="241"/>
      <c r="E10" s="241"/>
      <c r="F10" s="241"/>
      <c r="G10" s="241">
        <v>0</v>
      </c>
      <c r="H10" s="241"/>
      <c r="I10" s="241"/>
      <c r="J10" s="241"/>
      <c r="K10" s="241">
        <v>5459</v>
      </c>
      <c r="L10" s="241">
        <v>20015</v>
      </c>
      <c r="M10" s="241">
        <v>20015</v>
      </c>
      <c r="N10" s="241">
        <v>20015</v>
      </c>
      <c r="O10" s="241">
        <v>20643</v>
      </c>
      <c r="P10" s="241">
        <v>20643</v>
      </c>
      <c r="Q10" s="241">
        <v>20643</v>
      </c>
    </row>
    <row r="11" spans="1:18" s="36" customFormat="1" ht="15" customHeight="1" outlineLevel="1">
      <c r="A11" s="60"/>
      <c r="B11" s="68" t="s">
        <v>490</v>
      </c>
      <c r="C11" s="13" t="s">
        <v>240</v>
      </c>
      <c r="D11" s="241"/>
      <c r="E11" s="241">
        <f t="shared" ref="E11" si="1">E12+E13+E14+E15+E16</f>
        <v>1897</v>
      </c>
      <c r="F11" s="241"/>
      <c r="G11" s="241">
        <v>3156.6417567345679</v>
      </c>
      <c r="H11" s="241">
        <v>0</v>
      </c>
      <c r="I11" s="241">
        <v>8362</v>
      </c>
      <c r="J11" s="241"/>
      <c r="K11" s="241">
        <v>38321</v>
      </c>
      <c r="L11" s="241">
        <v>40081</v>
      </c>
      <c r="M11" s="241">
        <v>40081</v>
      </c>
      <c r="N11" s="241">
        <v>40081</v>
      </c>
      <c r="O11" s="241">
        <v>40785</v>
      </c>
      <c r="P11" s="241">
        <v>40785</v>
      </c>
      <c r="Q11" s="241">
        <v>40785</v>
      </c>
    </row>
    <row r="12" spans="1:18" s="36" customFormat="1" ht="15" customHeight="1" outlineLevel="1">
      <c r="A12" s="60"/>
      <c r="B12" s="68" t="s">
        <v>491</v>
      </c>
      <c r="C12" s="13" t="s">
        <v>240</v>
      </c>
      <c r="D12" s="241"/>
      <c r="E12" s="241"/>
      <c r="F12" s="241"/>
      <c r="G12" s="241">
        <v>0</v>
      </c>
      <c r="H12" s="241"/>
      <c r="I12" s="241"/>
      <c r="J12" s="241"/>
      <c r="K12" s="241">
        <v>0</v>
      </c>
      <c r="L12" s="241">
        <v>0</v>
      </c>
      <c r="M12" s="241">
        <v>0</v>
      </c>
      <c r="N12" s="241">
        <v>0</v>
      </c>
      <c r="O12" s="241">
        <v>0</v>
      </c>
      <c r="P12" s="241">
        <v>0</v>
      </c>
      <c r="Q12" s="241">
        <v>0</v>
      </c>
    </row>
    <row r="13" spans="1:18" s="36" customFormat="1" ht="15" customHeight="1" outlineLevel="1">
      <c r="A13" s="60"/>
      <c r="B13" s="70" t="s">
        <v>492</v>
      </c>
      <c r="C13" s="13" t="s">
        <v>240</v>
      </c>
      <c r="D13" s="241"/>
      <c r="E13" s="241"/>
      <c r="F13" s="241"/>
      <c r="G13" s="241">
        <v>0</v>
      </c>
      <c r="H13" s="241"/>
      <c r="I13" s="241"/>
      <c r="J13" s="241"/>
      <c r="K13" s="241">
        <v>0</v>
      </c>
      <c r="L13" s="241">
        <v>0</v>
      </c>
      <c r="M13" s="241">
        <v>0</v>
      </c>
      <c r="N13" s="241">
        <v>0</v>
      </c>
      <c r="O13" s="241">
        <v>0</v>
      </c>
      <c r="P13" s="241">
        <v>0</v>
      </c>
      <c r="Q13" s="241">
        <v>0</v>
      </c>
    </row>
    <row r="14" spans="1:18" s="36" customFormat="1" ht="15" customHeight="1" outlineLevel="1">
      <c r="A14" s="60"/>
      <c r="B14" s="70" t="s">
        <v>493</v>
      </c>
      <c r="C14" s="13" t="s">
        <v>240</v>
      </c>
      <c r="D14" s="241"/>
      <c r="E14" s="241"/>
      <c r="F14" s="241"/>
      <c r="G14" s="241">
        <v>10.927878067862421</v>
      </c>
      <c r="H14" s="241"/>
      <c r="I14" s="241">
        <v>93</v>
      </c>
      <c r="J14" s="241"/>
      <c r="K14" s="241">
        <v>190</v>
      </c>
      <c r="L14" s="241">
        <v>190</v>
      </c>
      <c r="M14" s="241">
        <v>190</v>
      </c>
      <c r="N14" s="241">
        <v>190</v>
      </c>
      <c r="O14" s="241">
        <v>190</v>
      </c>
      <c r="P14" s="241">
        <v>190</v>
      </c>
      <c r="Q14" s="241">
        <v>190</v>
      </c>
    </row>
    <row r="15" spans="1:18" s="36" customFormat="1" ht="15" customHeight="1" outlineLevel="1">
      <c r="A15" s="60"/>
      <c r="B15" s="70" t="s">
        <v>494</v>
      </c>
      <c r="C15" s="13" t="s">
        <v>240</v>
      </c>
      <c r="D15" s="241"/>
      <c r="E15" s="241">
        <v>1406</v>
      </c>
      <c r="F15" s="241"/>
      <c r="G15" s="241">
        <v>2016.7138786667053</v>
      </c>
      <c r="H15" s="241"/>
      <c r="I15" s="241">
        <v>4842</v>
      </c>
      <c r="J15" s="241"/>
      <c r="K15" s="241">
        <v>5013</v>
      </c>
      <c r="L15" s="241">
        <v>5013</v>
      </c>
      <c r="M15" s="241">
        <v>5013</v>
      </c>
      <c r="N15" s="241">
        <v>5013</v>
      </c>
      <c r="O15" s="241">
        <v>5013</v>
      </c>
      <c r="P15" s="241">
        <v>5013</v>
      </c>
      <c r="Q15" s="241">
        <v>5013</v>
      </c>
    </row>
    <row r="16" spans="1:18" s="36" customFormat="1" ht="15" customHeight="1" outlineLevel="1">
      <c r="A16" s="60"/>
      <c r="B16" s="70" t="s">
        <v>495</v>
      </c>
      <c r="C16" s="13" t="s">
        <v>240</v>
      </c>
      <c r="D16" s="241"/>
      <c r="E16" s="241">
        <v>491</v>
      </c>
      <c r="F16" s="241"/>
      <c r="G16" s="241">
        <v>1129</v>
      </c>
      <c r="H16" s="241"/>
      <c r="I16" s="241">
        <v>3427</v>
      </c>
      <c r="J16" s="241"/>
      <c r="K16" s="241">
        <v>33118</v>
      </c>
      <c r="L16" s="241">
        <v>34878</v>
      </c>
      <c r="M16" s="241">
        <v>34878</v>
      </c>
      <c r="N16" s="241">
        <v>34878</v>
      </c>
      <c r="O16" s="241">
        <v>35582</v>
      </c>
      <c r="P16" s="241">
        <v>35582</v>
      </c>
      <c r="Q16" s="241">
        <v>35582</v>
      </c>
    </row>
    <row r="17" spans="1:17" s="36" customFormat="1" ht="15" customHeight="1" outlineLevel="1">
      <c r="A17" s="60"/>
      <c r="B17" s="70" t="s">
        <v>496</v>
      </c>
      <c r="C17" s="13" t="s">
        <v>240</v>
      </c>
      <c r="D17" s="241"/>
      <c r="E17" s="241">
        <v>36</v>
      </c>
      <c r="F17" s="241"/>
      <c r="G17" s="241">
        <v>64.266330541952811</v>
      </c>
      <c r="H17" s="241"/>
      <c r="I17" s="241">
        <v>155</v>
      </c>
      <c r="J17" s="241"/>
      <c r="K17" s="241">
        <v>1194</v>
      </c>
      <c r="L17" s="241">
        <v>1194</v>
      </c>
      <c r="M17" s="241">
        <v>1194</v>
      </c>
      <c r="N17" s="241">
        <v>1194</v>
      </c>
      <c r="O17" s="241">
        <v>2161</v>
      </c>
      <c r="P17" s="241">
        <v>2161</v>
      </c>
      <c r="Q17" s="241">
        <v>2161</v>
      </c>
    </row>
    <row r="18" spans="1:17" s="36" customFormat="1" ht="15" customHeight="1" outlineLevel="1">
      <c r="A18" s="60"/>
      <c r="B18" s="70" t="s">
        <v>497</v>
      </c>
      <c r="C18" s="13" t="s">
        <v>240</v>
      </c>
      <c r="D18" s="241"/>
      <c r="E18" s="241"/>
      <c r="F18" s="241"/>
      <c r="G18" s="241">
        <v>0</v>
      </c>
      <c r="H18" s="241"/>
      <c r="I18" s="241"/>
      <c r="J18" s="241"/>
      <c r="K18" s="241">
        <v>0</v>
      </c>
      <c r="L18" s="241">
        <v>0</v>
      </c>
      <c r="M18" s="241">
        <v>0</v>
      </c>
      <c r="N18" s="241">
        <v>0</v>
      </c>
      <c r="O18" s="241">
        <v>0</v>
      </c>
      <c r="P18" s="241">
        <v>0</v>
      </c>
      <c r="Q18" s="241">
        <v>0</v>
      </c>
    </row>
    <row r="19" spans="1:17" s="36" customFormat="1" ht="15" customHeight="1" outlineLevel="1">
      <c r="A19" s="60"/>
      <c r="B19" s="68" t="s">
        <v>498</v>
      </c>
      <c r="C19" s="13" t="s">
        <v>240</v>
      </c>
      <c r="D19" s="241"/>
      <c r="E19" s="241">
        <v>1302</v>
      </c>
      <c r="F19" s="241"/>
      <c r="G19" s="241">
        <v>1381.5960128654633</v>
      </c>
      <c r="H19" s="241"/>
      <c r="I19" s="241">
        <v>3166</v>
      </c>
      <c r="J19" s="241"/>
      <c r="K19" s="241">
        <v>3155</v>
      </c>
      <c r="L19" s="241">
        <v>3155</v>
      </c>
      <c r="M19" s="241">
        <v>3155</v>
      </c>
      <c r="N19" s="241">
        <v>3155</v>
      </c>
      <c r="O19" s="241">
        <v>3155</v>
      </c>
      <c r="P19" s="241">
        <v>3155</v>
      </c>
      <c r="Q19" s="241">
        <v>3155</v>
      </c>
    </row>
    <row r="20" spans="1:17" s="36" customFormat="1" ht="15" customHeight="1" outlineLevel="1">
      <c r="A20" s="60"/>
      <c r="B20" s="68" t="s">
        <v>499</v>
      </c>
      <c r="C20" s="13" t="s">
        <v>240</v>
      </c>
      <c r="D20" s="241"/>
      <c r="E20" s="241"/>
      <c r="F20" s="241"/>
      <c r="G20" s="241">
        <v>42.150386833183624</v>
      </c>
      <c r="H20" s="241"/>
      <c r="I20" s="241">
        <v>215</v>
      </c>
      <c r="J20" s="241"/>
      <c r="K20" s="241">
        <v>22279</v>
      </c>
      <c r="L20" s="241">
        <v>215</v>
      </c>
      <c r="M20" s="241">
        <v>215</v>
      </c>
      <c r="N20" s="241">
        <v>215</v>
      </c>
      <c r="O20" s="241">
        <v>215</v>
      </c>
      <c r="P20" s="241">
        <v>215</v>
      </c>
      <c r="Q20" s="241">
        <v>215</v>
      </c>
    </row>
    <row r="21" spans="1:17" s="36" customFormat="1">
      <c r="A21" s="60"/>
      <c r="B21" s="68"/>
      <c r="C21" s="13"/>
      <c r="D21" s="241"/>
      <c r="E21" s="241"/>
      <c r="F21" s="241"/>
      <c r="G21" s="241"/>
      <c r="H21" s="241"/>
      <c r="I21" s="241"/>
      <c r="J21" s="241"/>
      <c r="K21" s="241"/>
      <c r="L21" s="241"/>
      <c r="M21" s="241"/>
      <c r="N21" s="241"/>
      <c r="O21" s="241"/>
      <c r="P21" s="241"/>
      <c r="Q21" s="241"/>
    </row>
    <row r="22" spans="1:17" s="1001" customFormat="1" ht="60" customHeight="1">
      <c r="A22" s="82" t="s">
        <v>23</v>
      </c>
      <c r="B22" s="80" t="s">
        <v>500</v>
      </c>
      <c r="C22" s="1002" t="s">
        <v>240</v>
      </c>
      <c r="D22" s="1000"/>
      <c r="E22" s="1000">
        <f t="shared" ref="E22" si="2">E23+E24+E25+E26+E32+E33+E34+E35</f>
        <v>14607</v>
      </c>
      <c r="F22" s="1000"/>
      <c r="G22" s="1000"/>
      <c r="H22" s="1000"/>
      <c r="I22" s="1000"/>
      <c r="J22" s="1000"/>
      <c r="K22" s="1000"/>
      <c r="L22" s="1000"/>
      <c r="M22" s="1000"/>
      <c r="N22" s="1000"/>
      <c r="O22" s="1000"/>
      <c r="P22" s="1000"/>
      <c r="Q22" s="1000"/>
    </row>
    <row r="23" spans="1:17" s="36" customFormat="1" ht="15" customHeight="1" outlineLevel="1">
      <c r="A23" s="60"/>
      <c r="B23" s="68" t="s">
        <v>487</v>
      </c>
      <c r="C23" s="13" t="s">
        <v>240</v>
      </c>
      <c r="D23" s="241"/>
      <c r="E23" s="1003">
        <v>14607</v>
      </c>
      <c r="F23" s="241"/>
      <c r="G23" s="241"/>
      <c r="H23" s="241"/>
      <c r="I23" s="241"/>
      <c r="J23" s="241"/>
      <c r="K23" s="241"/>
      <c r="L23" s="241"/>
      <c r="M23" s="241"/>
      <c r="N23" s="241"/>
      <c r="O23" s="241"/>
      <c r="P23" s="241"/>
      <c r="Q23" s="241"/>
    </row>
    <row r="24" spans="1:17" s="36" customFormat="1" ht="15" customHeight="1" outlineLevel="1">
      <c r="A24" s="60"/>
      <c r="B24" s="68" t="s">
        <v>488</v>
      </c>
      <c r="C24" s="13" t="s">
        <v>240</v>
      </c>
      <c r="D24" s="241"/>
      <c r="E24" s="241"/>
      <c r="F24" s="241"/>
      <c r="G24" s="241"/>
      <c r="H24" s="241"/>
      <c r="I24" s="241"/>
      <c r="J24" s="241"/>
      <c r="K24" s="241"/>
      <c r="L24" s="241"/>
      <c r="M24" s="241"/>
      <c r="N24" s="241"/>
      <c r="O24" s="241"/>
      <c r="P24" s="241"/>
      <c r="Q24" s="241"/>
    </row>
    <row r="25" spans="1:17" s="36" customFormat="1" ht="15" customHeight="1" outlineLevel="1">
      <c r="A25" s="60"/>
      <c r="B25" s="68" t="s">
        <v>489</v>
      </c>
      <c r="C25" s="13" t="s">
        <v>240</v>
      </c>
      <c r="D25" s="241"/>
      <c r="E25" s="241"/>
      <c r="F25" s="241"/>
      <c r="G25" s="241"/>
      <c r="H25" s="241"/>
      <c r="I25" s="241"/>
      <c r="J25" s="241"/>
      <c r="K25" s="241"/>
      <c r="L25" s="241"/>
      <c r="M25" s="241"/>
      <c r="N25" s="241"/>
      <c r="O25" s="241"/>
      <c r="P25" s="241"/>
      <c r="Q25" s="241"/>
    </row>
    <row r="26" spans="1:17" s="36" customFormat="1" ht="15" customHeight="1" outlineLevel="1">
      <c r="A26" s="60"/>
      <c r="B26" s="68" t="s">
        <v>490</v>
      </c>
      <c r="C26" s="13" t="s">
        <v>240</v>
      </c>
      <c r="D26" s="241"/>
      <c r="E26" s="241"/>
      <c r="F26" s="241"/>
      <c r="G26" s="241"/>
      <c r="H26" s="241"/>
      <c r="I26" s="241"/>
      <c r="J26" s="241"/>
      <c r="K26" s="241"/>
      <c r="L26" s="241"/>
      <c r="M26" s="241"/>
      <c r="N26" s="241"/>
      <c r="O26" s="241"/>
      <c r="P26" s="241"/>
      <c r="Q26" s="241"/>
    </row>
    <row r="27" spans="1:17" s="36" customFormat="1" ht="15" customHeight="1" outlineLevel="1">
      <c r="A27" s="60"/>
      <c r="B27" s="68" t="s">
        <v>491</v>
      </c>
      <c r="C27" s="13" t="s">
        <v>240</v>
      </c>
      <c r="D27" s="241"/>
      <c r="E27" s="241"/>
      <c r="F27" s="241"/>
      <c r="G27" s="241"/>
      <c r="H27" s="241"/>
      <c r="I27" s="241"/>
      <c r="J27" s="241"/>
      <c r="K27" s="241"/>
      <c r="L27" s="241"/>
      <c r="M27" s="241"/>
      <c r="N27" s="241"/>
      <c r="O27" s="241"/>
      <c r="P27" s="241"/>
      <c r="Q27" s="241"/>
    </row>
    <row r="28" spans="1:17" s="36" customFormat="1" ht="15" customHeight="1" outlineLevel="1">
      <c r="A28" s="60"/>
      <c r="B28" s="70" t="s">
        <v>492</v>
      </c>
      <c r="C28" s="13" t="s">
        <v>240</v>
      </c>
      <c r="D28" s="241"/>
      <c r="E28" s="241"/>
      <c r="F28" s="241"/>
      <c r="G28" s="241"/>
      <c r="H28" s="241"/>
      <c r="I28" s="241"/>
      <c r="J28" s="241"/>
      <c r="K28" s="241"/>
      <c r="L28" s="241"/>
      <c r="M28" s="241"/>
      <c r="N28" s="241"/>
      <c r="O28" s="241"/>
      <c r="P28" s="241"/>
      <c r="Q28" s="241"/>
    </row>
    <row r="29" spans="1:17" s="36" customFormat="1" ht="15" customHeight="1" outlineLevel="1">
      <c r="A29" s="60"/>
      <c r="B29" s="70" t="s">
        <v>493</v>
      </c>
      <c r="C29" s="13" t="s">
        <v>240</v>
      </c>
      <c r="D29" s="241"/>
      <c r="E29" s="241"/>
      <c r="F29" s="241"/>
      <c r="G29" s="241"/>
      <c r="H29" s="241"/>
      <c r="I29" s="241"/>
      <c r="J29" s="241"/>
      <c r="K29" s="241"/>
      <c r="L29" s="241"/>
      <c r="M29" s="241"/>
      <c r="N29" s="241"/>
      <c r="O29" s="241"/>
      <c r="P29" s="241"/>
      <c r="Q29" s="241"/>
    </row>
    <row r="30" spans="1:17" s="36" customFormat="1" ht="15" customHeight="1" outlineLevel="1">
      <c r="A30" s="60"/>
      <c r="B30" s="70" t="s">
        <v>494</v>
      </c>
      <c r="C30" s="13" t="s">
        <v>240</v>
      </c>
      <c r="D30" s="241"/>
      <c r="E30" s="241"/>
      <c r="F30" s="241"/>
      <c r="G30" s="241"/>
      <c r="H30" s="241"/>
      <c r="I30" s="241"/>
      <c r="J30" s="241"/>
      <c r="K30" s="241"/>
      <c r="L30" s="241"/>
      <c r="M30" s="241"/>
      <c r="N30" s="241"/>
      <c r="O30" s="241"/>
      <c r="P30" s="241"/>
      <c r="Q30" s="241"/>
    </row>
    <row r="31" spans="1:17" s="36" customFormat="1" ht="15" customHeight="1" outlineLevel="1">
      <c r="A31" s="60"/>
      <c r="B31" s="70" t="s">
        <v>495</v>
      </c>
      <c r="C31" s="13" t="s">
        <v>240</v>
      </c>
      <c r="D31" s="241"/>
      <c r="E31" s="241"/>
      <c r="F31" s="241"/>
      <c r="G31" s="241"/>
      <c r="H31" s="241"/>
      <c r="I31" s="241"/>
      <c r="J31" s="241"/>
      <c r="K31" s="241"/>
      <c r="L31" s="241"/>
      <c r="M31" s="241"/>
      <c r="N31" s="241"/>
      <c r="O31" s="241"/>
      <c r="P31" s="241"/>
      <c r="Q31" s="241"/>
    </row>
    <row r="32" spans="1:17" s="36" customFormat="1" ht="15" customHeight="1" outlineLevel="1">
      <c r="A32" s="60"/>
      <c r="B32" s="70" t="s">
        <v>496</v>
      </c>
      <c r="C32" s="13" t="s">
        <v>240</v>
      </c>
      <c r="D32" s="241"/>
      <c r="E32" s="241"/>
      <c r="F32" s="241"/>
      <c r="G32" s="241"/>
      <c r="H32" s="241"/>
      <c r="I32" s="241"/>
      <c r="J32" s="241"/>
      <c r="K32" s="241"/>
      <c r="L32" s="241"/>
      <c r="M32" s="241"/>
      <c r="N32" s="241"/>
      <c r="O32" s="241"/>
      <c r="P32" s="241"/>
      <c r="Q32" s="241"/>
    </row>
    <row r="33" spans="1:17" s="36" customFormat="1" ht="15" customHeight="1" outlineLevel="1">
      <c r="A33" s="60"/>
      <c r="B33" s="70" t="s">
        <v>497</v>
      </c>
      <c r="C33" s="13" t="s">
        <v>240</v>
      </c>
      <c r="D33" s="241"/>
      <c r="E33" s="241"/>
      <c r="F33" s="241"/>
      <c r="G33" s="241"/>
      <c r="H33" s="241"/>
      <c r="I33" s="241"/>
      <c r="J33" s="241"/>
      <c r="K33" s="241"/>
      <c r="L33" s="241"/>
      <c r="M33" s="241"/>
      <c r="N33" s="241"/>
      <c r="O33" s="241"/>
      <c r="P33" s="241"/>
      <c r="Q33" s="241"/>
    </row>
    <row r="34" spans="1:17" s="36" customFormat="1" ht="15" customHeight="1" outlineLevel="1">
      <c r="A34" s="60"/>
      <c r="B34" s="68" t="s">
        <v>498</v>
      </c>
      <c r="C34" s="13" t="s">
        <v>240</v>
      </c>
      <c r="D34" s="241"/>
      <c r="E34" s="241"/>
      <c r="F34" s="241"/>
      <c r="G34" s="241"/>
      <c r="H34" s="241"/>
      <c r="I34" s="241"/>
      <c r="J34" s="241"/>
      <c r="K34" s="241"/>
      <c r="L34" s="241"/>
      <c r="M34" s="241"/>
      <c r="N34" s="241"/>
      <c r="O34" s="241"/>
      <c r="P34" s="241"/>
      <c r="Q34" s="241"/>
    </row>
    <row r="35" spans="1:17" s="36" customFormat="1" ht="15" customHeight="1" outlineLevel="1">
      <c r="A35" s="60"/>
      <c r="B35" s="68" t="s">
        <v>499</v>
      </c>
      <c r="C35" s="13" t="s">
        <v>240</v>
      </c>
      <c r="D35" s="241"/>
      <c r="E35" s="241"/>
      <c r="F35" s="241"/>
      <c r="G35" s="241"/>
      <c r="H35" s="241"/>
      <c r="I35" s="241"/>
      <c r="J35" s="241"/>
      <c r="K35" s="241"/>
      <c r="L35" s="241"/>
      <c r="M35" s="241"/>
      <c r="N35" s="241"/>
      <c r="O35" s="241"/>
      <c r="P35" s="241"/>
      <c r="Q35" s="241"/>
    </row>
    <row r="36" spans="1:17" s="36" customFormat="1">
      <c r="A36" s="60"/>
      <c r="B36" s="68"/>
      <c r="C36" s="13"/>
      <c r="D36" s="241"/>
      <c r="E36" s="241"/>
      <c r="F36" s="241"/>
      <c r="G36" s="241"/>
      <c r="H36" s="241"/>
      <c r="I36" s="241"/>
      <c r="J36" s="241"/>
      <c r="K36" s="241"/>
      <c r="L36" s="241"/>
      <c r="M36" s="241"/>
      <c r="N36" s="241"/>
      <c r="O36" s="241"/>
      <c r="P36" s="241"/>
      <c r="Q36" s="241"/>
    </row>
    <row r="37" spans="1:17" s="1001" customFormat="1" ht="15" customHeight="1">
      <c r="A37" s="82" t="s">
        <v>27</v>
      </c>
      <c r="B37" s="80" t="s">
        <v>501</v>
      </c>
      <c r="C37" s="999" t="s">
        <v>240</v>
      </c>
      <c r="D37" s="1000">
        <v>0</v>
      </c>
      <c r="E37" s="1010">
        <f t="shared" ref="E37:N37" si="3">E38+E39+E40+E41+E47+E48+E49+E50</f>
        <v>861</v>
      </c>
      <c r="F37" s="1000"/>
      <c r="G37" s="1010">
        <v>750</v>
      </c>
      <c r="H37" s="1000"/>
      <c r="I37" s="1010">
        <v>69097</v>
      </c>
      <c r="J37" s="1010">
        <v>0</v>
      </c>
      <c r="K37" s="1010">
        <v>16316</v>
      </c>
      <c r="L37" s="1010">
        <v>2299</v>
      </c>
      <c r="M37" s="1010">
        <v>0</v>
      </c>
      <c r="N37" s="1010">
        <v>2299</v>
      </c>
      <c r="O37" s="1010">
        <v>2287</v>
      </c>
      <c r="P37" s="1010">
        <v>0</v>
      </c>
      <c r="Q37" s="1010">
        <v>2287</v>
      </c>
    </row>
    <row r="38" spans="1:17" s="36" customFormat="1" ht="15" customHeight="1" outlineLevel="2">
      <c r="A38" s="60"/>
      <c r="B38" s="68" t="s">
        <v>487</v>
      </c>
      <c r="C38" s="13" t="s">
        <v>240</v>
      </c>
      <c r="D38" s="241"/>
      <c r="E38" s="1003"/>
      <c r="F38" s="241"/>
      <c r="G38" s="241">
        <v>0</v>
      </c>
      <c r="H38" s="241"/>
      <c r="I38" s="241">
        <v>4646</v>
      </c>
      <c r="J38" s="241"/>
      <c r="K38" s="241"/>
      <c r="L38" s="241"/>
      <c r="M38" s="241"/>
      <c r="N38" s="241"/>
      <c r="O38" s="241"/>
      <c r="P38" s="241"/>
      <c r="Q38" s="241"/>
    </row>
    <row r="39" spans="1:17" s="36" customFormat="1" ht="15" customHeight="1" outlineLevel="2">
      <c r="A39" s="60"/>
      <c r="B39" s="68" t="s">
        <v>488</v>
      </c>
      <c r="C39" s="13" t="s">
        <v>240</v>
      </c>
      <c r="D39" s="241"/>
      <c r="E39" s="1003"/>
      <c r="F39" s="241"/>
      <c r="G39" s="241">
        <v>0</v>
      </c>
      <c r="H39" s="241"/>
      <c r="I39" s="241">
        <v>327</v>
      </c>
      <c r="J39" s="241"/>
      <c r="K39" s="241"/>
      <c r="L39" s="241"/>
      <c r="M39" s="241"/>
      <c r="N39" s="241"/>
      <c r="O39" s="241"/>
      <c r="P39" s="241"/>
      <c r="Q39" s="241"/>
    </row>
    <row r="40" spans="1:17" s="36" customFormat="1" ht="15" customHeight="1" outlineLevel="2">
      <c r="A40" s="60"/>
      <c r="B40" s="68" t="s">
        <v>489</v>
      </c>
      <c r="C40" s="13" t="s">
        <v>240</v>
      </c>
      <c r="D40" s="241"/>
      <c r="E40" s="1003"/>
      <c r="F40" s="241"/>
      <c r="G40" s="241">
        <v>0</v>
      </c>
      <c r="H40" s="241"/>
      <c r="I40" s="241">
        <v>5459</v>
      </c>
      <c r="J40" s="241"/>
      <c r="K40" s="241">
        <v>14556</v>
      </c>
      <c r="L40" s="241">
        <v>628</v>
      </c>
      <c r="M40" s="241"/>
      <c r="N40" s="241">
        <v>628</v>
      </c>
      <c r="O40" s="241">
        <v>637</v>
      </c>
      <c r="P40" s="241"/>
      <c r="Q40" s="241">
        <v>637</v>
      </c>
    </row>
    <row r="41" spans="1:17" s="36" customFormat="1" ht="15" customHeight="1" outlineLevel="2">
      <c r="A41" s="60"/>
      <c r="B41" s="68" t="s">
        <v>490</v>
      </c>
      <c r="C41" s="13" t="s">
        <v>240</v>
      </c>
      <c r="D41" s="241"/>
      <c r="E41" s="1003">
        <f t="shared" ref="E41" si="4">E42+E43+E44+E45+E46</f>
        <v>708</v>
      </c>
      <c r="F41" s="241"/>
      <c r="G41" s="241">
        <v>623</v>
      </c>
      <c r="H41" s="241">
        <v>0</v>
      </c>
      <c r="I41" s="241">
        <v>30046</v>
      </c>
      <c r="J41" s="241"/>
      <c r="K41" s="241">
        <v>1760</v>
      </c>
      <c r="L41" s="241">
        <v>704</v>
      </c>
      <c r="M41" s="241"/>
      <c r="N41" s="241">
        <v>704</v>
      </c>
      <c r="O41" s="241">
        <v>1650</v>
      </c>
      <c r="P41" s="241"/>
      <c r="Q41" s="241">
        <v>1650</v>
      </c>
    </row>
    <row r="42" spans="1:17" s="36" customFormat="1" ht="15" customHeight="1" outlineLevel="2">
      <c r="A42" s="60"/>
      <c r="B42" s="68" t="s">
        <v>491</v>
      </c>
      <c r="C42" s="13" t="s">
        <v>240</v>
      </c>
      <c r="D42" s="241"/>
      <c r="E42" s="1003"/>
      <c r="F42" s="241"/>
      <c r="G42" s="241">
        <v>0</v>
      </c>
      <c r="H42" s="241"/>
      <c r="I42" s="241"/>
      <c r="J42" s="241"/>
      <c r="K42" s="241"/>
      <c r="L42" s="241"/>
      <c r="M42" s="241"/>
      <c r="N42" s="241"/>
      <c r="O42" s="241"/>
      <c r="P42" s="241"/>
      <c r="Q42" s="241"/>
    </row>
    <row r="43" spans="1:17" s="36" customFormat="1" ht="15" customHeight="1" outlineLevel="2">
      <c r="A43" s="60"/>
      <c r="B43" s="70" t="s">
        <v>492</v>
      </c>
      <c r="C43" s="13" t="s">
        <v>240</v>
      </c>
      <c r="D43" s="241"/>
      <c r="E43" s="1003"/>
      <c r="F43" s="241"/>
      <c r="G43" s="241">
        <v>0</v>
      </c>
      <c r="H43" s="241"/>
      <c r="I43" s="241"/>
      <c r="J43" s="241"/>
      <c r="K43" s="241"/>
      <c r="L43" s="241"/>
      <c r="M43" s="241"/>
      <c r="N43" s="241"/>
      <c r="O43" s="241"/>
      <c r="P43" s="241"/>
      <c r="Q43" s="241"/>
    </row>
    <row r="44" spans="1:17" s="36" customFormat="1" ht="15" customHeight="1" outlineLevel="2">
      <c r="A44" s="60"/>
      <c r="B44" s="70" t="s">
        <v>493</v>
      </c>
      <c r="C44" s="13" t="s">
        <v>240</v>
      </c>
      <c r="D44" s="241"/>
      <c r="E44" s="1003">
        <v>9</v>
      </c>
      <c r="F44" s="241"/>
      <c r="G44" s="241">
        <v>28</v>
      </c>
      <c r="H44" s="241"/>
      <c r="I44" s="241">
        <v>97</v>
      </c>
      <c r="J44" s="241"/>
      <c r="K44" s="241"/>
      <c r="L44" s="241"/>
      <c r="M44" s="241"/>
      <c r="N44" s="241"/>
      <c r="O44" s="241"/>
      <c r="P44" s="241"/>
      <c r="Q44" s="241"/>
    </row>
    <row r="45" spans="1:17" s="36" customFormat="1" ht="15" customHeight="1" outlineLevel="2">
      <c r="A45" s="60"/>
      <c r="B45" s="70" t="s">
        <v>494</v>
      </c>
      <c r="C45" s="13" t="s">
        <v>240</v>
      </c>
      <c r="D45" s="241"/>
      <c r="E45" s="1003">
        <v>305</v>
      </c>
      <c r="F45" s="241"/>
      <c r="G45" s="241">
        <v>83</v>
      </c>
      <c r="H45" s="241"/>
      <c r="I45" s="241">
        <v>231</v>
      </c>
      <c r="J45" s="241"/>
      <c r="K45" s="241"/>
      <c r="L45" s="241"/>
      <c r="M45" s="241"/>
      <c r="N45" s="241"/>
      <c r="O45" s="241"/>
      <c r="P45" s="241"/>
      <c r="Q45" s="241"/>
    </row>
    <row r="46" spans="1:17" s="36" customFormat="1" ht="15" customHeight="1" outlineLevel="2">
      <c r="A46" s="60"/>
      <c r="B46" s="70" t="s">
        <v>495</v>
      </c>
      <c r="C46" s="13" t="s">
        <v>240</v>
      </c>
      <c r="D46" s="241"/>
      <c r="E46" s="1003">
        <v>394</v>
      </c>
      <c r="F46" s="241"/>
      <c r="G46" s="241">
        <v>512</v>
      </c>
      <c r="H46" s="241"/>
      <c r="I46" s="241">
        <v>29718</v>
      </c>
      <c r="J46" s="241"/>
      <c r="K46" s="241">
        <v>1760</v>
      </c>
      <c r="L46" s="241">
        <v>704</v>
      </c>
      <c r="M46" s="241"/>
      <c r="N46" s="241">
        <v>704</v>
      </c>
      <c r="O46" s="241">
        <v>1650</v>
      </c>
      <c r="P46" s="241"/>
      <c r="Q46" s="241">
        <v>1650</v>
      </c>
    </row>
    <row r="47" spans="1:17" s="36" customFormat="1" ht="15" customHeight="1" outlineLevel="2">
      <c r="A47" s="60"/>
      <c r="B47" s="70" t="s">
        <v>496</v>
      </c>
      <c r="C47" s="13" t="s">
        <v>240</v>
      </c>
      <c r="D47" s="241"/>
      <c r="E47" s="1003">
        <v>20</v>
      </c>
      <c r="F47" s="241"/>
      <c r="G47" s="241">
        <v>0</v>
      </c>
      <c r="H47" s="241"/>
      <c r="I47" s="241">
        <v>1039</v>
      </c>
      <c r="J47" s="241"/>
      <c r="K47" s="241"/>
      <c r="L47" s="241">
        <v>967</v>
      </c>
      <c r="M47" s="241"/>
      <c r="N47" s="241">
        <v>967</v>
      </c>
      <c r="O47" s="241"/>
      <c r="P47" s="241"/>
      <c r="Q47" s="241"/>
    </row>
    <row r="48" spans="1:17" s="36" customFormat="1" ht="15" customHeight="1" outlineLevel="2">
      <c r="A48" s="60"/>
      <c r="B48" s="70" t="s">
        <v>497</v>
      </c>
      <c r="C48" s="13" t="s">
        <v>240</v>
      </c>
      <c r="D48" s="241"/>
      <c r="E48" s="1003"/>
      <c r="F48" s="241"/>
      <c r="G48" s="241">
        <v>0</v>
      </c>
      <c r="H48" s="241"/>
      <c r="I48" s="241"/>
      <c r="J48" s="241"/>
      <c r="K48" s="241"/>
      <c r="L48" s="241"/>
      <c r="M48" s="241"/>
      <c r="N48" s="241"/>
      <c r="O48" s="241"/>
      <c r="P48" s="241"/>
      <c r="Q48" s="241"/>
    </row>
    <row r="49" spans="1:17" s="36" customFormat="1" ht="15" customHeight="1" outlineLevel="2">
      <c r="A49" s="60"/>
      <c r="B49" s="68" t="s">
        <v>498</v>
      </c>
      <c r="C49" s="13" t="s">
        <v>240</v>
      </c>
      <c r="D49" s="241"/>
      <c r="E49" s="1003">
        <v>133</v>
      </c>
      <c r="F49" s="241"/>
      <c r="G49" s="241">
        <v>37</v>
      </c>
      <c r="H49" s="241"/>
      <c r="I49" s="241"/>
      <c r="J49" s="241"/>
      <c r="K49" s="241"/>
      <c r="L49" s="241"/>
      <c r="M49" s="241"/>
      <c r="N49" s="241"/>
      <c r="O49" s="241"/>
      <c r="P49" s="241"/>
      <c r="Q49" s="241"/>
    </row>
    <row r="50" spans="1:17" s="36" customFormat="1" ht="15" customHeight="1" outlineLevel="2">
      <c r="A50" s="60"/>
      <c r="B50" s="68" t="s">
        <v>499</v>
      </c>
      <c r="C50" s="13" t="s">
        <v>240</v>
      </c>
      <c r="D50" s="241"/>
      <c r="E50" s="1003"/>
      <c r="F50" s="241"/>
      <c r="G50" s="241">
        <v>90</v>
      </c>
      <c r="H50" s="241"/>
      <c r="I50" s="241">
        <v>27580</v>
      </c>
      <c r="J50" s="241"/>
      <c r="K50" s="241"/>
      <c r="L50" s="241"/>
      <c r="M50" s="241"/>
      <c r="N50" s="241"/>
      <c r="O50" s="241"/>
      <c r="P50" s="241"/>
      <c r="Q50" s="241"/>
    </row>
    <row r="51" spans="1:17" s="36" customFormat="1">
      <c r="A51" s="60"/>
      <c r="B51" s="68"/>
      <c r="C51" s="13"/>
      <c r="D51" s="241"/>
      <c r="E51" s="241"/>
      <c r="F51" s="241"/>
      <c r="G51" s="241"/>
      <c r="H51" s="241"/>
      <c r="I51" s="241"/>
      <c r="J51" s="241"/>
      <c r="K51" s="241"/>
      <c r="L51" s="241"/>
      <c r="M51" s="241"/>
      <c r="N51" s="241"/>
      <c r="O51" s="241"/>
      <c r="P51" s="241"/>
      <c r="Q51" s="241"/>
    </row>
    <row r="52" spans="1:17" s="1001" customFormat="1" ht="28.5">
      <c r="A52" s="82" t="s">
        <v>30</v>
      </c>
      <c r="B52" s="80" t="s">
        <v>502</v>
      </c>
      <c r="C52" s="1002" t="s">
        <v>240</v>
      </c>
      <c r="D52" s="1000">
        <v>0</v>
      </c>
      <c r="E52" s="1010">
        <f t="shared" ref="E52" si="5">E53+E54+E55+E56+E62+E63+E64+E65</f>
        <v>528</v>
      </c>
      <c r="F52" s="1000"/>
      <c r="G52" s="1010">
        <v>18528.230850093172</v>
      </c>
      <c r="H52" s="1010">
        <v>0</v>
      </c>
      <c r="I52" s="1010">
        <v>14326</v>
      </c>
      <c r="J52" s="1010">
        <v>0</v>
      </c>
      <c r="K52" s="1010">
        <v>22064</v>
      </c>
      <c r="L52" s="1010">
        <v>0</v>
      </c>
      <c r="M52" s="1010">
        <v>0</v>
      </c>
      <c r="N52" s="1010">
        <v>0</v>
      </c>
      <c r="O52" s="1010">
        <v>0</v>
      </c>
      <c r="P52" s="1010">
        <v>0</v>
      </c>
      <c r="Q52" s="1010">
        <v>0</v>
      </c>
    </row>
    <row r="53" spans="1:17" s="36" customFormat="1" ht="15" customHeight="1" outlineLevel="1">
      <c r="A53" s="60"/>
      <c r="B53" s="68" t="s">
        <v>487</v>
      </c>
      <c r="C53" s="13" t="s">
        <v>240</v>
      </c>
      <c r="D53" s="241"/>
      <c r="E53" s="1003"/>
      <c r="F53" s="241"/>
      <c r="G53" s="1003">
        <v>18056</v>
      </c>
      <c r="H53" s="1003"/>
      <c r="I53" s="1003">
        <v>8712</v>
      </c>
      <c r="J53" s="1003"/>
      <c r="K53" s="1003"/>
      <c r="L53" s="241"/>
      <c r="M53" s="241"/>
      <c r="N53" s="241"/>
      <c r="O53" s="241"/>
      <c r="P53" s="241"/>
      <c r="Q53" s="241"/>
    </row>
    <row r="54" spans="1:17" s="36" customFormat="1" ht="15" customHeight="1" outlineLevel="1">
      <c r="A54" s="60"/>
      <c r="B54" s="68" t="s">
        <v>488</v>
      </c>
      <c r="C54" s="13" t="s">
        <v>240</v>
      </c>
      <c r="D54" s="241"/>
      <c r="E54" s="1003">
        <v>33</v>
      </c>
      <c r="F54" s="241"/>
      <c r="G54" s="1003">
        <v>29.400598380456433</v>
      </c>
      <c r="H54" s="1003"/>
      <c r="I54" s="1003"/>
      <c r="J54" s="1003"/>
      <c r="K54" s="1003"/>
      <c r="L54" s="241"/>
      <c r="M54" s="241"/>
      <c r="N54" s="241"/>
      <c r="O54" s="241"/>
      <c r="P54" s="241"/>
      <c r="Q54" s="241"/>
    </row>
    <row r="55" spans="1:17" s="36" customFormat="1" ht="15" customHeight="1" outlineLevel="1">
      <c r="A55" s="60"/>
      <c r="B55" s="68" t="s">
        <v>489</v>
      </c>
      <c r="C55" s="13" t="s">
        <v>240</v>
      </c>
      <c r="D55" s="241"/>
      <c r="E55" s="1003"/>
      <c r="F55" s="241"/>
      <c r="G55" s="1003">
        <v>0</v>
      </c>
      <c r="H55" s="1003"/>
      <c r="I55" s="1003"/>
      <c r="J55" s="1003"/>
      <c r="K55" s="1003"/>
      <c r="L55" s="241"/>
      <c r="M55" s="241"/>
      <c r="N55" s="241"/>
      <c r="O55" s="241"/>
      <c r="P55" s="241"/>
      <c r="Q55" s="241"/>
    </row>
    <row r="56" spans="1:17" s="36" customFormat="1" ht="15" customHeight="1" outlineLevel="1">
      <c r="A56" s="60"/>
      <c r="B56" s="68" t="s">
        <v>490</v>
      </c>
      <c r="C56" s="13" t="s">
        <v>240</v>
      </c>
      <c r="D56" s="241"/>
      <c r="E56" s="1003">
        <f t="shared" ref="E56" si="6">SUM(E57:E61)</f>
        <v>155</v>
      </c>
      <c r="F56" s="241"/>
      <c r="G56" s="1003">
        <v>397.29835156599091</v>
      </c>
      <c r="H56" s="1003"/>
      <c r="I56" s="1003">
        <v>87</v>
      </c>
      <c r="J56" s="1003"/>
      <c r="K56" s="1003"/>
      <c r="L56" s="241"/>
      <c r="M56" s="241"/>
      <c r="N56" s="241"/>
      <c r="O56" s="241"/>
      <c r="P56" s="241"/>
      <c r="Q56" s="241"/>
    </row>
    <row r="57" spans="1:17" s="36" customFormat="1" ht="15" customHeight="1" outlineLevel="1">
      <c r="A57" s="60"/>
      <c r="B57" s="68" t="s">
        <v>491</v>
      </c>
      <c r="C57" s="13" t="s">
        <v>240</v>
      </c>
      <c r="D57" s="241"/>
      <c r="E57" s="1003"/>
      <c r="F57" s="241"/>
      <c r="G57" s="1003">
        <v>0</v>
      </c>
      <c r="H57" s="1003"/>
      <c r="I57" s="1003"/>
      <c r="J57" s="1003"/>
      <c r="K57" s="1003"/>
      <c r="L57" s="241"/>
      <c r="M57" s="241"/>
      <c r="N57" s="241"/>
      <c r="O57" s="241"/>
      <c r="P57" s="241"/>
      <c r="Q57" s="241"/>
    </row>
    <row r="58" spans="1:17" s="36" customFormat="1" ht="15" customHeight="1" outlineLevel="1">
      <c r="A58" s="60"/>
      <c r="B58" s="70" t="s">
        <v>492</v>
      </c>
      <c r="C58" s="13" t="s">
        <v>240</v>
      </c>
      <c r="D58" s="241"/>
      <c r="E58" s="1003"/>
      <c r="F58" s="241"/>
      <c r="G58" s="1003">
        <v>0</v>
      </c>
      <c r="H58" s="1003"/>
      <c r="I58" s="1003"/>
      <c r="J58" s="1003"/>
      <c r="K58" s="1003"/>
      <c r="L58" s="241"/>
      <c r="M58" s="241"/>
      <c r="N58" s="241"/>
      <c r="O58" s="241"/>
      <c r="P58" s="241"/>
      <c r="Q58" s="241"/>
    </row>
    <row r="59" spans="1:17" s="36" customFormat="1" ht="15" customHeight="1" outlineLevel="1">
      <c r="A59" s="60"/>
      <c r="B59" s="70" t="s">
        <v>493</v>
      </c>
      <c r="C59" s="13" t="s">
        <v>240</v>
      </c>
      <c r="D59" s="241"/>
      <c r="E59" s="1003"/>
      <c r="F59" s="241"/>
      <c r="G59" s="1003">
        <v>0</v>
      </c>
      <c r="H59" s="1003"/>
      <c r="I59" s="1003"/>
      <c r="J59" s="1003"/>
      <c r="K59" s="1003"/>
      <c r="L59" s="241"/>
      <c r="M59" s="241"/>
      <c r="N59" s="241"/>
      <c r="O59" s="241"/>
      <c r="P59" s="241"/>
      <c r="Q59" s="241"/>
    </row>
    <row r="60" spans="1:17" s="36" customFormat="1" ht="15" customHeight="1" outlineLevel="1">
      <c r="A60" s="60"/>
      <c r="B60" s="70" t="s">
        <v>494</v>
      </c>
      <c r="C60" s="13" t="s">
        <v>240</v>
      </c>
      <c r="D60" s="241"/>
      <c r="E60" s="1003">
        <v>143</v>
      </c>
      <c r="F60" s="241"/>
      <c r="G60" s="1003">
        <v>87.681430568263877</v>
      </c>
      <c r="H60" s="1003"/>
      <c r="I60" s="1003">
        <v>60</v>
      </c>
      <c r="J60" s="1003"/>
      <c r="K60" s="1003"/>
      <c r="L60" s="241"/>
      <c r="M60" s="241"/>
      <c r="N60" s="241"/>
      <c r="O60" s="241"/>
      <c r="P60" s="241"/>
      <c r="Q60" s="241"/>
    </row>
    <row r="61" spans="1:17" s="36" customFormat="1" ht="15" customHeight="1" outlineLevel="1">
      <c r="A61" s="60"/>
      <c r="B61" s="70" t="s">
        <v>495</v>
      </c>
      <c r="C61" s="13" t="s">
        <v>240</v>
      </c>
      <c r="D61" s="241"/>
      <c r="E61" s="1003">
        <v>12</v>
      </c>
      <c r="F61" s="241"/>
      <c r="G61" s="1003">
        <v>309.61692099772705</v>
      </c>
      <c r="H61" s="1003"/>
      <c r="I61" s="1003">
        <v>27</v>
      </c>
      <c r="J61" s="1003"/>
      <c r="K61" s="1003"/>
      <c r="L61" s="241"/>
      <c r="M61" s="241"/>
      <c r="N61" s="241"/>
      <c r="O61" s="241"/>
      <c r="P61" s="241"/>
      <c r="Q61" s="241"/>
    </row>
    <row r="62" spans="1:17" s="36" customFormat="1" ht="15" customHeight="1" outlineLevel="1">
      <c r="A62" s="60"/>
      <c r="B62" s="70" t="s">
        <v>496</v>
      </c>
      <c r="C62" s="13" t="s">
        <v>240</v>
      </c>
      <c r="D62" s="241"/>
      <c r="E62" s="1003">
        <v>6</v>
      </c>
      <c r="F62" s="241"/>
      <c r="G62" s="1003">
        <v>0</v>
      </c>
      <c r="H62" s="1003"/>
      <c r="I62" s="1003"/>
      <c r="J62" s="1003"/>
      <c r="K62" s="1003"/>
      <c r="L62" s="241"/>
      <c r="M62" s="241"/>
      <c r="N62" s="241"/>
      <c r="O62" s="241"/>
      <c r="P62" s="241"/>
      <c r="Q62" s="241"/>
    </row>
    <row r="63" spans="1:17" s="36" customFormat="1" ht="15" customHeight="1" outlineLevel="1">
      <c r="A63" s="60"/>
      <c r="B63" s="70" t="s">
        <v>497</v>
      </c>
      <c r="C63" s="13" t="s">
        <v>240</v>
      </c>
      <c r="D63" s="241"/>
      <c r="E63" s="1003"/>
      <c r="F63" s="241"/>
      <c r="G63" s="1003">
        <v>0</v>
      </c>
      <c r="H63" s="1003"/>
      <c r="I63" s="1003"/>
      <c r="J63" s="1003"/>
      <c r="K63" s="1003"/>
      <c r="L63" s="241"/>
      <c r="M63" s="241"/>
      <c r="N63" s="241"/>
      <c r="O63" s="241"/>
      <c r="P63" s="241"/>
      <c r="Q63" s="241"/>
    </row>
    <row r="64" spans="1:17" s="36" customFormat="1" ht="15" customHeight="1" outlineLevel="1">
      <c r="A64" s="60"/>
      <c r="B64" s="68" t="s">
        <v>498</v>
      </c>
      <c r="C64" s="13" t="s">
        <v>240</v>
      </c>
      <c r="D64" s="241"/>
      <c r="E64" s="1003">
        <v>334</v>
      </c>
      <c r="F64" s="241"/>
      <c r="G64" s="1003">
        <v>24.457134935954908</v>
      </c>
      <c r="H64" s="1003"/>
      <c r="I64" s="1003">
        <v>11</v>
      </c>
      <c r="J64" s="1003"/>
      <c r="K64" s="1003"/>
      <c r="L64" s="241"/>
      <c r="M64" s="241"/>
      <c r="N64" s="241"/>
      <c r="O64" s="241"/>
      <c r="P64" s="241"/>
      <c r="Q64" s="241"/>
    </row>
    <row r="65" spans="1:17" s="36" customFormat="1" ht="15" customHeight="1" outlineLevel="1">
      <c r="A65" s="60"/>
      <c r="B65" s="68" t="s">
        <v>499</v>
      </c>
      <c r="C65" s="13" t="s">
        <v>240</v>
      </c>
      <c r="D65" s="241"/>
      <c r="E65" s="1003"/>
      <c r="F65" s="241"/>
      <c r="G65" s="1009">
        <v>21.074765210769655</v>
      </c>
      <c r="H65" s="1009"/>
      <c r="I65" s="1009">
        <v>5516</v>
      </c>
      <c r="J65" s="1009"/>
      <c r="K65" s="1009">
        <v>22064</v>
      </c>
      <c r="L65" s="241"/>
      <c r="M65" s="241"/>
      <c r="N65" s="241"/>
      <c r="O65" s="241"/>
      <c r="P65" s="241"/>
      <c r="Q65" s="241"/>
    </row>
    <row r="66" spans="1:17" s="36" customFormat="1">
      <c r="A66" s="60"/>
      <c r="B66" s="68"/>
      <c r="C66" s="13"/>
      <c r="D66" s="241"/>
      <c r="E66" s="241"/>
      <c r="F66" s="241"/>
      <c r="G66" s="241"/>
      <c r="H66" s="241"/>
      <c r="I66" s="241"/>
      <c r="J66" s="241"/>
      <c r="K66" s="241"/>
      <c r="L66" s="241"/>
      <c r="M66" s="241"/>
      <c r="N66" s="241"/>
      <c r="O66" s="241"/>
      <c r="P66" s="241"/>
      <c r="Q66" s="241"/>
    </row>
    <row r="67" spans="1:17" s="1001" customFormat="1" ht="30" customHeight="1">
      <c r="A67" s="82" t="s">
        <v>78</v>
      </c>
      <c r="B67" s="80" t="s">
        <v>503</v>
      </c>
      <c r="C67" s="1002" t="s">
        <v>240</v>
      </c>
      <c r="D67" s="1000">
        <v>2253</v>
      </c>
      <c r="E67" s="1000">
        <f t="shared" ref="E67" si="7">E68+E69+E70+E71+E77+E78+E79+E80</f>
        <v>5859</v>
      </c>
      <c r="F67" s="1000"/>
      <c r="G67" s="1000">
        <v>11046</v>
      </c>
      <c r="H67" s="1000">
        <v>0</v>
      </c>
      <c r="I67" s="1000">
        <v>28087</v>
      </c>
      <c r="J67" s="1000">
        <v>0</v>
      </c>
      <c r="K67" s="1000">
        <v>83138</v>
      </c>
      <c r="L67" s="1000">
        <v>71837</v>
      </c>
      <c r="M67" s="1000">
        <v>71102</v>
      </c>
      <c r="N67" s="1000">
        <v>72572</v>
      </c>
      <c r="O67" s="1000">
        <v>73893</v>
      </c>
      <c r="P67" s="1000">
        <v>73401</v>
      </c>
      <c r="Q67" s="1000">
        <v>74385</v>
      </c>
    </row>
    <row r="68" spans="1:17" s="36" customFormat="1" ht="15" customHeight="1" outlineLevel="1">
      <c r="A68" s="60"/>
      <c r="B68" s="68" t="s">
        <v>487</v>
      </c>
      <c r="C68" s="13" t="s">
        <v>240</v>
      </c>
      <c r="D68" s="241"/>
      <c r="E68" s="241">
        <v>2542</v>
      </c>
      <c r="F68" s="241"/>
      <c r="G68" s="241">
        <v>6412</v>
      </c>
      <c r="H68" s="241"/>
      <c r="I68" s="241">
        <v>6260</v>
      </c>
      <c r="J68" s="241"/>
      <c r="K68" s="241">
        <v>5994</v>
      </c>
      <c r="L68" s="241">
        <v>5994</v>
      </c>
      <c r="M68" s="241">
        <v>5994</v>
      </c>
      <c r="N68" s="241">
        <v>5994</v>
      </c>
      <c r="O68" s="241">
        <v>5994</v>
      </c>
      <c r="P68" s="241">
        <v>5994</v>
      </c>
      <c r="Q68" s="241">
        <v>5994</v>
      </c>
    </row>
    <row r="69" spans="1:17" s="36" customFormat="1" ht="15" customHeight="1" outlineLevel="1">
      <c r="A69" s="60"/>
      <c r="B69" s="68" t="s">
        <v>488</v>
      </c>
      <c r="C69" s="13" t="s">
        <v>240</v>
      </c>
      <c r="D69" s="241"/>
      <c r="E69" s="241"/>
      <c r="F69" s="241"/>
      <c r="G69" s="241">
        <v>31</v>
      </c>
      <c r="H69" s="241"/>
      <c r="I69" s="241">
        <v>135</v>
      </c>
      <c r="J69" s="241"/>
      <c r="K69" s="241">
        <v>449</v>
      </c>
      <c r="L69" s="241">
        <v>449</v>
      </c>
      <c r="M69" s="241">
        <v>449</v>
      </c>
      <c r="N69" s="241">
        <v>449</v>
      </c>
      <c r="O69" s="241">
        <v>449</v>
      </c>
      <c r="P69" s="241">
        <v>449</v>
      </c>
      <c r="Q69" s="241">
        <v>449</v>
      </c>
    </row>
    <row r="70" spans="1:17" s="36" customFormat="1" ht="15" customHeight="1" outlineLevel="1">
      <c r="A70" s="60"/>
      <c r="B70" s="68" t="s">
        <v>489</v>
      </c>
      <c r="C70" s="13" t="s">
        <v>240</v>
      </c>
      <c r="D70" s="241"/>
      <c r="E70" s="241"/>
      <c r="F70" s="241"/>
      <c r="G70" s="241">
        <v>0</v>
      </c>
      <c r="H70" s="241"/>
      <c r="I70" s="241">
        <v>227</v>
      </c>
      <c r="J70" s="241"/>
      <c r="K70" s="241">
        <v>11491</v>
      </c>
      <c r="L70" s="241">
        <v>20146</v>
      </c>
      <c r="M70" s="241">
        <v>20015</v>
      </c>
      <c r="N70" s="241">
        <v>20277</v>
      </c>
      <c r="O70" s="241">
        <v>20776</v>
      </c>
      <c r="P70" s="241">
        <v>20643</v>
      </c>
      <c r="Q70" s="241">
        <v>20908</v>
      </c>
    </row>
    <row r="71" spans="1:17" s="36" customFormat="1" ht="15" customHeight="1" outlineLevel="1">
      <c r="A71" s="60"/>
      <c r="B71" s="68" t="s">
        <v>490</v>
      </c>
      <c r="C71" s="13" t="s">
        <v>240</v>
      </c>
      <c r="D71" s="241"/>
      <c r="E71" s="241">
        <f t="shared" ref="E71" si="8">SUM(E72:E76)</f>
        <v>2234</v>
      </c>
      <c r="F71" s="241"/>
      <c r="G71" s="241">
        <v>3116</v>
      </c>
      <c r="H71" s="241">
        <v>0</v>
      </c>
      <c r="I71" s="241">
        <v>9998</v>
      </c>
      <c r="J71" s="241"/>
      <c r="K71" s="241">
        <v>39495</v>
      </c>
      <c r="L71" s="241">
        <v>40321</v>
      </c>
      <c r="M71" s="241">
        <v>40080</v>
      </c>
      <c r="N71" s="241">
        <v>40563</v>
      </c>
      <c r="O71" s="241">
        <v>41143</v>
      </c>
      <c r="P71" s="241">
        <v>40784</v>
      </c>
      <c r="Q71" s="241">
        <v>41503</v>
      </c>
    </row>
    <row r="72" spans="1:17" s="36" customFormat="1" ht="15" customHeight="1" outlineLevel="1">
      <c r="A72" s="60"/>
      <c r="B72" s="68" t="s">
        <v>491</v>
      </c>
      <c r="C72" s="13" t="s">
        <v>240</v>
      </c>
      <c r="D72" s="241"/>
      <c r="E72" s="241"/>
      <c r="F72" s="241"/>
      <c r="G72" s="241">
        <v>0</v>
      </c>
      <c r="H72" s="241"/>
      <c r="I72" s="241"/>
      <c r="J72" s="241"/>
      <c r="K72" s="241"/>
      <c r="L72" s="241"/>
      <c r="M72" s="241"/>
      <c r="N72" s="241"/>
      <c r="O72" s="241"/>
      <c r="P72" s="241"/>
      <c r="Q72" s="241"/>
    </row>
    <row r="73" spans="1:17" s="36" customFormat="1" ht="15" customHeight="1" outlineLevel="1">
      <c r="A73" s="60"/>
      <c r="B73" s="70" t="s">
        <v>492</v>
      </c>
      <c r="C73" s="13" t="s">
        <v>240</v>
      </c>
      <c r="D73" s="241"/>
      <c r="E73" s="241"/>
      <c r="F73" s="241"/>
      <c r="G73" s="241">
        <v>0</v>
      </c>
      <c r="H73" s="241"/>
      <c r="I73" s="241"/>
      <c r="J73" s="241"/>
      <c r="K73" s="241"/>
      <c r="L73" s="241"/>
      <c r="M73" s="241"/>
      <c r="N73" s="241"/>
      <c r="O73" s="241"/>
      <c r="P73" s="241"/>
      <c r="Q73" s="241"/>
    </row>
    <row r="74" spans="1:17" s="36" customFormat="1" ht="15" customHeight="1" outlineLevel="1">
      <c r="A74" s="60"/>
      <c r="B74" s="70" t="s">
        <v>493</v>
      </c>
      <c r="C74" s="13" t="s">
        <v>240</v>
      </c>
      <c r="D74" s="241"/>
      <c r="E74" s="241">
        <v>4</v>
      </c>
      <c r="F74" s="241"/>
      <c r="G74" s="241">
        <v>36</v>
      </c>
      <c r="H74" s="241"/>
      <c r="I74" s="241">
        <v>105</v>
      </c>
      <c r="J74" s="241"/>
      <c r="K74" s="241">
        <v>189</v>
      </c>
      <c r="L74" s="241">
        <v>189</v>
      </c>
      <c r="M74" s="241">
        <v>189</v>
      </c>
      <c r="N74" s="241">
        <v>189</v>
      </c>
      <c r="O74" s="241">
        <v>189</v>
      </c>
      <c r="P74" s="241">
        <v>189</v>
      </c>
      <c r="Q74" s="241">
        <v>189</v>
      </c>
    </row>
    <row r="75" spans="1:17" s="36" customFormat="1" ht="15" customHeight="1" outlineLevel="1">
      <c r="A75" s="60"/>
      <c r="B75" s="70" t="s">
        <v>494</v>
      </c>
      <c r="C75" s="13" t="s">
        <v>240</v>
      </c>
      <c r="D75" s="241"/>
      <c r="E75" s="241">
        <v>1530</v>
      </c>
      <c r="F75" s="241"/>
      <c r="G75" s="241">
        <v>2008</v>
      </c>
      <c r="H75" s="241"/>
      <c r="I75" s="241">
        <v>5003</v>
      </c>
      <c r="J75" s="241"/>
      <c r="K75" s="241">
        <v>5013</v>
      </c>
      <c r="L75" s="241">
        <v>5013</v>
      </c>
      <c r="M75" s="241">
        <v>5013</v>
      </c>
      <c r="N75" s="241">
        <v>5013</v>
      </c>
      <c r="O75" s="241">
        <v>5013</v>
      </c>
      <c r="P75" s="241">
        <v>5013</v>
      </c>
      <c r="Q75" s="241">
        <v>5013</v>
      </c>
    </row>
    <row r="76" spans="1:17" s="36" customFormat="1" ht="15" customHeight="1" outlineLevel="1">
      <c r="A76" s="60"/>
      <c r="B76" s="70" t="s">
        <v>495</v>
      </c>
      <c r="C76" s="13" t="s">
        <v>240</v>
      </c>
      <c r="D76" s="241"/>
      <c r="E76" s="241">
        <v>700</v>
      </c>
      <c r="F76" s="241"/>
      <c r="G76" s="241">
        <v>1072</v>
      </c>
      <c r="H76" s="241"/>
      <c r="I76" s="241">
        <v>4890</v>
      </c>
      <c r="J76" s="241"/>
      <c r="K76" s="241">
        <v>34293</v>
      </c>
      <c r="L76" s="241">
        <v>35119</v>
      </c>
      <c r="M76" s="241">
        <v>34878</v>
      </c>
      <c r="N76" s="241">
        <v>35361</v>
      </c>
      <c r="O76" s="241">
        <v>35941</v>
      </c>
      <c r="P76" s="241">
        <v>35582</v>
      </c>
      <c r="Q76" s="241">
        <v>36301</v>
      </c>
    </row>
    <row r="77" spans="1:17" s="36" customFormat="1" ht="15" customHeight="1" outlineLevel="1">
      <c r="A77" s="60"/>
      <c r="B77" s="70" t="s">
        <v>496</v>
      </c>
      <c r="C77" s="13" t="s">
        <v>240</v>
      </c>
      <c r="D77" s="241"/>
      <c r="E77" s="241">
        <v>47</v>
      </c>
      <c r="F77" s="241"/>
      <c r="G77" s="241">
        <v>64</v>
      </c>
      <c r="H77" s="241"/>
      <c r="I77" s="241">
        <v>275</v>
      </c>
      <c r="J77" s="241"/>
      <c r="K77" s="241">
        <v>1194</v>
      </c>
      <c r="L77" s="241">
        <v>1557</v>
      </c>
      <c r="M77" s="241">
        <v>1194</v>
      </c>
      <c r="N77" s="241">
        <v>1919</v>
      </c>
      <c r="O77" s="241">
        <v>2161</v>
      </c>
      <c r="P77" s="241">
        <v>2161</v>
      </c>
      <c r="Q77" s="241">
        <v>2161</v>
      </c>
    </row>
    <row r="78" spans="1:17" s="36" customFormat="1" ht="15" customHeight="1" outlineLevel="1">
      <c r="A78" s="60"/>
      <c r="B78" s="70" t="s">
        <v>497</v>
      </c>
      <c r="C78" s="13" t="s">
        <v>240</v>
      </c>
      <c r="D78" s="241"/>
      <c r="E78" s="241"/>
      <c r="F78" s="241"/>
      <c r="G78" s="241">
        <v>0</v>
      </c>
      <c r="H78" s="241"/>
      <c r="I78" s="241"/>
      <c r="J78" s="241"/>
      <c r="K78" s="241"/>
      <c r="L78" s="241"/>
      <c r="M78" s="241"/>
      <c r="N78" s="241"/>
      <c r="O78" s="241"/>
      <c r="P78" s="241"/>
      <c r="Q78" s="241"/>
    </row>
    <row r="79" spans="1:17" s="36" customFormat="1" ht="15" customHeight="1" outlineLevel="1">
      <c r="A79" s="60"/>
      <c r="B79" s="68" t="s">
        <v>498</v>
      </c>
      <c r="C79" s="13" t="s">
        <v>240</v>
      </c>
      <c r="D79" s="241"/>
      <c r="E79" s="241">
        <v>1036</v>
      </c>
      <c r="F79" s="241"/>
      <c r="G79" s="241">
        <v>1382</v>
      </c>
      <c r="H79" s="241"/>
      <c r="I79" s="241">
        <v>3163</v>
      </c>
      <c r="J79" s="241"/>
      <c r="K79" s="241">
        <v>3155</v>
      </c>
      <c r="L79" s="241">
        <v>3155</v>
      </c>
      <c r="M79" s="241">
        <v>3155</v>
      </c>
      <c r="N79" s="241">
        <v>3155</v>
      </c>
      <c r="O79" s="241">
        <v>3155</v>
      </c>
      <c r="P79" s="241">
        <v>3155</v>
      </c>
      <c r="Q79" s="241">
        <v>3155</v>
      </c>
    </row>
    <row r="80" spans="1:17" s="36" customFormat="1" ht="15" customHeight="1" outlineLevel="1">
      <c r="A80" s="60"/>
      <c r="B80" s="68" t="s">
        <v>499</v>
      </c>
      <c r="C80" s="13" t="s">
        <v>240</v>
      </c>
      <c r="D80" s="241"/>
      <c r="E80" s="241"/>
      <c r="F80" s="241"/>
      <c r="G80" s="241">
        <v>41</v>
      </c>
      <c r="H80" s="241"/>
      <c r="I80" s="241">
        <v>8029</v>
      </c>
      <c r="J80" s="241"/>
      <c r="K80" s="241">
        <v>21360</v>
      </c>
      <c r="L80" s="241">
        <v>215</v>
      </c>
      <c r="M80" s="241">
        <v>215</v>
      </c>
      <c r="N80" s="241">
        <v>215</v>
      </c>
      <c r="O80" s="241">
        <v>215</v>
      </c>
      <c r="P80" s="241">
        <v>215</v>
      </c>
      <c r="Q80" s="241">
        <v>215</v>
      </c>
    </row>
    <row r="81" spans="1:17" s="36" customFormat="1">
      <c r="A81" s="60"/>
      <c r="B81" s="68"/>
      <c r="C81" s="13"/>
      <c r="D81" s="66"/>
      <c r="E81" s="66"/>
      <c r="F81" s="66"/>
      <c r="G81" s="66"/>
      <c r="H81" s="66"/>
      <c r="I81" s="66"/>
      <c r="J81" s="66"/>
      <c r="K81" s="66"/>
      <c r="L81" s="66"/>
      <c r="M81" s="66"/>
      <c r="N81" s="66"/>
      <c r="O81" s="66"/>
      <c r="P81" s="66"/>
      <c r="Q81" s="66"/>
    </row>
    <row r="82" spans="1:17" s="1001" customFormat="1" ht="15" customHeight="1">
      <c r="A82" s="82" t="s">
        <v>86</v>
      </c>
      <c r="B82" s="80" t="s">
        <v>504</v>
      </c>
      <c r="C82" s="999"/>
      <c r="D82" s="432">
        <f>D97/D67*100</f>
        <v>7.2791833111407005</v>
      </c>
      <c r="E82" s="432">
        <f t="shared" ref="E82:N82" si="9">E97/E67*100</f>
        <v>16.572793992148831</v>
      </c>
      <c r="F82" s="432"/>
      <c r="G82" s="432">
        <v>12.094875973202969</v>
      </c>
      <c r="H82" s="1007" t="e">
        <v>#DIV/0!</v>
      </c>
      <c r="I82" s="432">
        <v>27.621319471641687</v>
      </c>
      <c r="J82" s="432" t="e">
        <v>#DIV/0!</v>
      </c>
      <c r="K82" s="432">
        <v>36.913324833409511</v>
      </c>
      <c r="L82" s="432">
        <v>13.0183610117349</v>
      </c>
      <c r="M82" s="432">
        <v>6.579280470310259</v>
      </c>
      <c r="N82" s="432">
        <v>6.4405004685002485</v>
      </c>
      <c r="O82" s="432">
        <v>11.346135628543976</v>
      </c>
      <c r="P82" s="432">
        <v>5.7138186128254382</v>
      </c>
      <c r="Q82" s="432">
        <v>5.6328560865765942</v>
      </c>
    </row>
    <row r="83" spans="1:17" s="36" customFormat="1" ht="15" customHeight="1" outlineLevel="1">
      <c r="A83" s="60"/>
      <c r="B83" s="68" t="s">
        <v>487</v>
      </c>
      <c r="C83" s="13" t="s">
        <v>138</v>
      </c>
      <c r="D83" s="66"/>
      <c r="E83" s="251">
        <f t="shared" ref="E83" si="10">E98/E68*100</f>
        <v>31.589299763965386</v>
      </c>
      <c r="F83" s="66"/>
      <c r="G83" s="251">
        <v>2.7604491578290706</v>
      </c>
      <c r="H83" s="1359" t="e">
        <v>#DIV/0!</v>
      </c>
      <c r="I83" s="251">
        <v>3.6581469648562299</v>
      </c>
      <c r="J83" s="251" t="e">
        <v>#DIV/0!</v>
      </c>
      <c r="K83" s="251">
        <v>4.2208875542208872</v>
      </c>
      <c r="L83" s="251">
        <v>4.2208875542208872</v>
      </c>
      <c r="M83" s="251">
        <v>2.1187854521187854</v>
      </c>
      <c r="N83" s="251">
        <v>2.1021021021021022</v>
      </c>
      <c r="O83" s="251">
        <v>4.2208875542208872</v>
      </c>
      <c r="P83" s="251">
        <v>2.1187854521187854</v>
      </c>
      <c r="Q83" s="251">
        <v>2.1021021021021022</v>
      </c>
    </row>
    <row r="84" spans="1:17" s="36" customFormat="1" ht="15" customHeight="1" outlineLevel="1">
      <c r="A84" s="60"/>
      <c r="B84" s="68" t="s">
        <v>488</v>
      </c>
      <c r="C84" s="13" t="s">
        <v>138</v>
      </c>
      <c r="D84" s="66"/>
      <c r="E84" s="251"/>
      <c r="F84" s="66"/>
      <c r="G84" s="251">
        <v>16.129032258064516</v>
      </c>
      <c r="H84" s="1359" t="e">
        <v>#DIV/0!</v>
      </c>
      <c r="I84" s="251">
        <v>11.111111111111111</v>
      </c>
      <c r="J84" s="251" t="e">
        <v>#DIV/0!</v>
      </c>
      <c r="K84" s="251">
        <v>12.24944320712695</v>
      </c>
      <c r="L84" s="251">
        <v>10.690423162583519</v>
      </c>
      <c r="M84" s="251">
        <v>5.3452115812917596</v>
      </c>
      <c r="N84" s="251">
        <v>5.3452115812917596</v>
      </c>
      <c r="O84" s="251">
        <v>10.690423162583519</v>
      </c>
      <c r="P84" s="251">
        <v>5.3452115812917596</v>
      </c>
      <c r="Q84" s="251">
        <v>5.3452115812917596</v>
      </c>
    </row>
    <row r="85" spans="1:17" s="36" customFormat="1" ht="15" customHeight="1" outlineLevel="1">
      <c r="A85" s="60"/>
      <c r="B85" s="68" t="s">
        <v>489</v>
      </c>
      <c r="C85" s="13" t="s">
        <v>138</v>
      </c>
      <c r="D85" s="66"/>
      <c r="E85" s="251"/>
      <c r="F85" s="66"/>
      <c r="G85" s="251"/>
      <c r="H85" s="1359"/>
      <c r="I85" s="251"/>
      <c r="J85" s="251"/>
      <c r="K85" s="251"/>
      <c r="L85" s="251"/>
      <c r="M85" s="251"/>
      <c r="N85" s="251"/>
      <c r="O85" s="251"/>
      <c r="P85" s="251"/>
      <c r="Q85" s="251"/>
    </row>
    <row r="86" spans="1:17" s="36" customFormat="1" ht="15" customHeight="1" outlineLevel="1">
      <c r="A86" s="60"/>
      <c r="B86" s="68" t="s">
        <v>490</v>
      </c>
      <c r="C86" s="13" t="s">
        <v>138</v>
      </c>
      <c r="D86" s="66"/>
      <c r="E86" s="251">
        <f t="shared" ref="E86" si="11">E101/E71*100</f>
        <v>5.1029543419874663</v>
      </c>
      <c r="F86" s="66"/>
      <c r="G86" s="251">
        <v>28.337612323491655</v>
      </c>
      <c r="H86" s="1359" t="e">
        <v>#DIV/0!</v>
      </c>
      <c r="I86" s="251">
        <v>13.842768553710741</v>
      </c>
      <c r="J86" s="251" t="e">
        <v>#DIV/0!</v>
      </c>
      <c r="K86" s="251">
        <v>17.475629826560322</v>
      </c>
      <c r="L86" s="251">
        <v>17.169713052751668</v>
      </c>
      <c r="M86" s="251">
        <v>8.6377245508982039</v>
      </c>
      <c r="N86" s="251">
        <v>8.5324063801987045</v>
      </c>
      <c r="O86" s="251">
        <v>14.753420995065989</v>
      </c>
      <c r="P86" s="251">
        <v>7.4440957238132599</v>
      </c>
      <c r="Q86" s="251">
        <v>7.3103149169939527</v>
      </c>
    </row>
    <row r="87" spans="1:17" s="36" customFormat="1" ht="15" customHeight="1" outlineLevel="1">
      <c r="A87" s="60"/>
      <c r="B87" s="68" t="s">
        <v>491</v>
      </c>
      <c r="C87" s="13" t="s">
        <v>138</v>
      </c>
      <c r="D87" s="66"/>
      <c r="E87" s="251"/>
      <c r="F87" s="66"/>
      <c r="G87" s="251"/>
      <c r="H87" s="1359"/>
      <c r="I87" s="251"/>
      <c r="J87" s="251"/>
      <c r="K87" s="251"/>
      <c r="L87" s="251"/>
      <c r="M87" s="251"/>
      <c r="N87" s="251"/>
      <c r="O87" s="251"/>
      <c r="P87" s="251"/>
      <c r="Q87" s="251"/>
    </row>
    <row r="88" spans="1:17" s="36" customFormat="1" ht="15" customHeight="1" outlineLevel="1">
      <c r="A88" s="60"/>
      <c r="B88" s="70" t="s">
        <v>492</v>
      </c>
      <c r="C88" s="13" t="s">
        <v>138</v>
      </c>
      <c r="D88" s="66"/>
      <c r="E88" s="251"/>
      <c r="F88" s="66"/>
      <c r="G88" s="251"/>
      <c r="H88" s="1359"/>
      <c r="I88" s="251"/>
      <c r="J88" s="251"/>
      <c r="K88" s="251"/>
      <c r="L88" s="251"/>
      <c r="M88" s="251"/>
      <c r="N88" s="251"/>
      <c r="O88" s="251"/>
      <c r="P88" s="251"/>
      <c r="Q88" s="251"/>
    </row>
    <row r="89" spans="1:17" s="36" customFormat="1" ht="15" customHeight="1" outlineLevel="1">
      <c r="A89" s="60"/>
      <c r="B89" s="70" t="s">
        <v>493</v>
      </c>
      <c r="C89" s="13" t="s">
        <v>138</v>
      </c>
      <c r="D89" s="66"/>
      <c r="E89" s="251">
        <f t="shared" ref="E89" si="12">E104/E74*100</f>
        <v>0</v>
      </c>
      <c r="F89" s="66"/>
      <c r="G89" s="251">
        <v>27.777777777777779</v>
      </c>
      <c r="H89" s="1359" t="e">
        <v>#DIV/0!</v>
      </c>
      <c r="I89" s="251">
        <v>27.61904761904762</v>
      </c>
      <c r="J89" s="251" t="e">
        <v>#DIV/0!</v>
      </c>
      <c r="K89" s="251">
        <v>34.391534391534393</v>
      </c>
      <c r="L89" s="251">
        <v>23.280423280423278</v>
      </c>
      <c r="M89" s="251">
        <v>11.640211640211639</v>
      </c>
      <c r="N89" s="251">
        <v>11.640211640211639</v>
      </c>
      <c r="O89" s="251">
        <v>7.9365079365079358</v>
      </c>
      <c r="P89" s="251">
        <v>4.2328042328042326</v>
      </c>
      <c r="Q89" s="251">
        <v>3.7037037037037033</v>
      </c>
    </row>
    <row r="90" spans="1:17" s="36" customFormat="1" ht="15" customHeight="1" outlineLevel="1">
      <c r="A90" s="60"/>
      <c r="B90" s="70" t="s">
        <v>494</v>
      </c>
      <c r="C90" s="13" t="s">
        <v>138</v>
      </c>
      <c r="D90" s="66"/>
      <c r="E90" s="251">
        <f t="shared" ref="E90" si="13">E105/E75*100</f>
        <v>4.7712418300653594</v>
      </c>
      <c r="F90" s="66"/>
      <c r="G90" s="251">
        <v>32.918326693227087</v>
      </c>
      <c r="H90" s="1359" t="e">
        <v>#DIV/0!</v>
      </c>
      <c r="I90" s="251">
        <v>13.312012792324603</v>
      </c>
      <c r="J90" s="251" t="e">
        <v>#DIV/0!</v>
      </c>
      <c r="K90" s="251">
        <v>1.7753840015958509</v>
      </c>
      <c r="L90" s="251">
        <v>1.4761619788549771</v>
      </c>
      <c r="M90" s="251">
        <v>0.73808098942748857</v>
      </c>
      <c r="N90" s="251">
        <v>0.73808098942748857</v>
      </c>
      <c r="O90" s="251">
        <v>1.9948134849391581E-2</v>
      </c>
      <c r="P90" s="251">
        <v>1.9948134849391581E-2</v>
      </c>
      <c r="Q90" s="251">
        <v>0</v>
      </c>
    </row>
    <row r="91" spans="1:17" s="36" customFormat="1" ht="15" customHeight="1" outlineLevel="1">
      <c r="A91" s="60"/>
      <c r="B91" s="70" t="s">
        <v>495</v>
      </c>
      <c r="C91" s="13" t="s">
        <v>138</v>
      </c>
      <c r="D91" s="66"/>
      <c r="E91" s="251">
        <f t="shared" ref="E91" si="14">E106/E76*100</f>
        <v>5.8571428571428577</v>
      </c>
      <c r="F91" s="66"/>
      <c r="G91" s="251">
        <v>19.776119402985074</v>
      </c>
      <c r="H91" s="1359" t="e">
        <v>#DIV/0!</v>
      </c>
      <c r="I91" s="251">
        <v>14.08997955010225</v>
      </c>
      <c r="J91" s="251" t="e">
        <v>#DIV/0!</v>
      </c>
      <c r="K91" s="251">
        <v>19.67748520106144</v>
      </c>
      <c r="L91" s="251">
        <v>19.376975426407359</v>
      </c>
      <c r="M91" s="251">
        <v>9.7568667928206896</v>
      </c>
      <c r="N91" s="251">
        <v>9.6207686434207176</v>
      </c>
      <c r="O91" s="251">
        <v>16.844272557803066</v>
      </c>
      <c r="P91" s="251">
        <v>8.5071103366870897</v>
      </c>
      <c r="Q91" s="251">
        <v>8.3386132613426636</v>
      </c>
    </row>
    <row r="92" spans="1:17" s="36" customFormat="1" ht="15" customHeight="1" outlineLevel="1">
      <c r="A92" s="60"/>
      <c r="B92" s="70" t="s">
        <v>496</v>
      </c>
      <c r="C92" s="13" t="s">
        <v>138</v>
      </c>
      <c r="D92" s="66"/>
      <c r="E92" s="251">
        <f t="shared" ref="E92" si="15">E107/E77*100</f>
        <v>4.2553191489361701</v>
      </c>
      <c r="F92" s="66"/>
      <c r="G92" s="251">
        <v>25</v>
      </c>
      <c r="H92" s="1359" t="e">
        <v>#DIV/0!</v>
      </c>
      <c r="I92" s="251">
        <v>13.454545454545455</v>
      </c>
      <c r="J92" s="251" t="e">
        <v>#DIV/0!</v>
      </c>
      <c r="K92" s="251">
        <v>28.308207705192629</v>
      </c>
      <c r="L92" s="251">
        <v>25.883108542068079</v>
      </c>
      <c r="M92" s="251">
        <v>16.917922948073702</v>
      </c>
      <c r="N92" s="251">
        <v>10.474205315268369</v>
      </c>
      <c r="O92" s="251">
        <v>24.340583063396576</v>
      </c>
      <c r="P92" s="251">
        <v>12.170291531698288</v>
      </c>
      <c r="Q92" s="251">
        <v>12.170291531698288</v>
      </c>
    </row>
    <row r="93" spans="1:17" s="36" customFormat="1" ht="15" customHeight="1" outlineLevel="1">
      <c r="A93" s="60"/>
      <c r="B93" s="70" t="s">
        <v>497</v>
      </c>
      <c r="C93" s="13" t="s">
        <v>138</v>
      </c>
      <c r="D93" s="66"/>
      <c r="E93" s="251"/>
      <c r="F93" s="66"/>
      <c r="G93" s="251"/>
      <c r="H93" s="1359"/>
      <c r="I93" s="251"/>
      <c r="J93" s="251"/>
      <c r="K93" s="251"/>
      <c r="L93" s="251"/>
      <c r="M93" s="251"/>
      <c r="N93" s="251"/>
      <c r="O93" s="251"/>
      <c r="P93" s="251"/>
      <c r="Q93" s="251"/>
    </row>
    <row r="94" spans="1:17" s="36" customFormat="1" ht="15" customHeight="1" outlineLevel="1">
      <c r="A94" s="60"/>
      <c r="B94" s="68" t="s">
        <v>498</v>
      </c>
      <c r="C94" s="13" t="s">
        <v>138</v>
      </c>
      <c r="D94" s="66"/>
      <c r="E94" s="251">
        <f t="shared" ref="E94" si="16">E109/E79*100</f>
        <v>4.8262548262548259</v>
      </c>
      <c r="F94" s="66"/>
      <c r="G94" s="251">
        <v>18.379160636758321</v>
      </c>
      <c r="H94" s="1359" t="e">
        <v>#DIV/0!</v>
      </c>
      <c r="I94" s="251">
        <v>18.242175150173885</v>
      </c>
      <c r="J94" s="251" t="e">
        <v>#DIV/0!</v>
      </c>
      <c r="K94" s="251">
        <v>18.161648177496037</v>
      </c>
      <c r="L94" s="251">
        <v>10.079239302694136</v>
      </c>
      <c r="M94" s="251">
        <v>5.0396196513470679</v>
      </c>
      <c r="N94" s="251">
        <v>5.0396196513470679</v>
      </c>
      <c r="O94" s="251">
        <v>0.85578446909667194</v>
      </c>
      <c r="P94" s="251">
        <v>0.44374009508716328</v>
      </c>
      <c r="Q94" s="251">
        <v>0.41204437400950872</v>
      </c>
    </row>
    <row r="95" spans="1:17" s="36" customFormat="1" ht="15" customHeight="1" outlineLevel="1">
      <c r="A95" s="60"/>
      <c r="B95" s="68" t="s">
        <v>499</v>
      </c>
      <c r="C95" s="13" t="s">
        <v>138</v>
      </c>
      <c r="D95" s="66"/>
      <c r="E95" s="251"/>
      <c r="F95" s="66"/>
      <c r="G95" s="251"/>
      <c r="H95" s="1359"/>
      <c r="I95" s="251"/>
      <c r="J95" s="251"/>
      <c r="K95" s="251"/>
      <c r="L95" s="251"/>
      <c r="M95" s="251"/>
      <c r="N95" s="251"/>
      <c r="O95" s="251"/>
      <c r="P95" s="251"/>
      <c r="Q95" s="251"/>
    </row>
    <row r="96" spans="1:17" s="36" customFormat="1">
      <c r="A96" s="60"/>
      <c r="B96" s="68"/>
      <c r="C96" s="13"/>
      <c r="D96" s="66"/>
      <c r="E96" s="66"/>
      <c r="F96" s="66"/>
      <c r="G96" s="66"/>
      <c r="H96" s="66"/>
      <c r="I96" s="66"/>
      <c r="J96" s="66"/>
      <c r="K96" s="66"/>
      <c r="L96" s="66"/>
      <c r="M96" s="66"/>
      <c r="N96" s="66"/>
      <c r="O96" s="66"/>
      <c r="P96" s="66"/>
      <c r="Q96" s="66"/>
    </row>
    <row r="97" spans="1:17" s="1001" customFormat="1" ht="15" customHeight="1">
      <c r="A97" s="82" t="s">
        <v>109</v>
      </c>
      <c r="B97" s="80" t="s">
        <v>505</v>
      </c>
      <c r="C97" s="999" t="s">
        <v>240</v>
      </c>
      <c r="D97" s="1000">
        <v>164</v>
      </c>
      <c r="E97" s="1000">
        <f t="shared" ref="E97" si="17">E98+E99+E100+E101+E107+E108+E109+E110</f>
        <v>971</v>
      </c>
      <c r="F97" s="1000"/>
      <c r="G97" s="1000">
        <v>1336</v>
      </c>
      <c r="H97" s="1000">
        <v>0</v>
      </c>
      <c r="I97" s="1000">
        <v>7758</v>
      </c>
      <c r="J97" s="1000">
        <v>0</v>
      </c>
      <c r="K97" s="1000">
        <v>30689</v>
      </c>
      <c r="L97" s="1000">
        <v>9352</v>
      </c>
      <c r="M97" s="1000">
        <v>4678</v>
      </c>
      <c r="N97" s="1000">
        <v>4674</v>
      </c>
      <c r="O97" s="1000">
        <v>8384</v>
      </c>
      <c r="P97" s="1000">
        <v>4194</v>
      </c>
      <c r="Q97" s="1000">
        <v>4190</v>
      </c>
    </row>
    <row r="98" spans="1:17" s="36" customFormat="1" ht="15" customHeight="1" outlineLevel="1">
      <c r="A98" s="60"/>
      <c r="B98" s="68" t="s">
        <v>487</v>
      </c>
      <c r="C98" s="13" t="s">
        <v>240</v>
      </c>
      <c r="D98" s="241"/>
      <c r="E98" s="241">
        <v>803</v>
      </c>
      <c r="F98" s="241"/>
      <c r="G98" s="241">
        <v>177</v>
      </c>
      <c r="H98" s="241"/>
      <c r="I98" s="241">
        <v>229</v>
      </c>
      <c r="J98" s="241"/>
      <c r="K98" s="241">
        <v>253</v>
      </c>
      <c r="L98" s="241">
        <v>253</v>
      </c>
      <c r="M98" s="241">
        <v>127</v>
      </c>
      <c r="N98" s="241">
        <v>126</v>
      </c>
      <c r="O98" s="241">
        <v>253</v>
      </c>
      <c r="P98" s="241">
        <v>127</v>
      </c>
      <c r="Q98" s="241">
        <v>126</v>
      </c>
    </row>
    <row r="99" spans="1:17" s="36" customFormat="1" ht="15" customHeight="1" outlineLevel="1">
      <c r="A99" s="60"/>
      <c r="B99" s="68" t="s">
        <v>488</v>
      </c>
      <c r="C99" s="13" t="s">
        <v>240</v>
      </c>
      <c r="D99" s="241"/>
      <c r="E99" s="241">
        <v>2</v>
      </c>
      <c r="F99" s="241"/>
      <c r="G99" s="241">
        <v>5</v>
      </c>
      <c r="H99" s="241"/>
      <c r="I99" s="241">
        <v>15</v>
      </c>
      <c r="J99" s="241"/>
      <c r="K99" s="241">
        <v>55</v>
      </c>
      <c r="L99" s="241">
        <v>48</v>
      </c>
      <c r="M99" s="241">
        <v>24</v>
      </c>
      <c r="N99" s="241">
        <v>24</v>
      </c>
      <c r="O99" s="241">
        <v>48</v>
      </c>
      <c r="P99" s="241">
        <v>24</v>
      </c>
      <c r="Q99" s="241">
        <v>24</v>
      </c>
    </row>
    <row r="100" spans="1:17" s="36" customFormat="1" ht="15" customHeight="1" outlineLevel="1">
      <c r="A100" s="60"/>
      <c r="B100" s="68" t="s">
        <v>489</v>
      </c>
      <c r="C100" s="13" t="s">
        <v>240</v>
      </c>
      <c r="D100" s="241"/>
      <c r="E100" s="241">
        <v>0</v>
      </c>
      <c r="F100" s="241"/>
      <c r="G100" s="241">
        <v>0</v>
      </c>
      <c r="H100" s="241"/>
      <c r="I100" s="241"/>
      <c r="J100" s="241"/>
      <c r="K100" s="241">
        <v>504</v>
      </c>
      <c r="L100" s="241">
        <v>1407</v>
      </c>
      <c r="M100" s="241">
        <v>704</v>
      </c>
      <c r="N100" s="241">
        <v>703</v>
      </c>
      <c r="O100" s="241">
        <v>1460</v>
      </c>
      <c r="P100" s="241">
        <v>730</v>
      </c>
      <c r="Q100" s="241">
        <v>730</v>
      </c>
    </row>
    <row r="101" spans="1:17" s="36" customFormat="1" ht="15" customHeight="1" outlineLevel="1">
      <c r="A101" s="60"/>
      <c r="B101" s="68" t="s">
        <v>490</v>
      </c>
      <c r="C101" s="13" t="s">
        <v>240</v>
      </c>
      <c r="D101" s="241"/>
      <c r="E101" s="241">
        <f t="shared" ref="E101" si="18">SUM(E102:E106)</f>
        <v>114</v>
      </c>
      <c r="F101" s="241"/>
      <c r="G101" s="241">
        <v>883</v>
      </c>
      <c r="H101" s="241">
        <v>0</v>
      </c>
      <c r="I101" s="241">
        <v>1384</v>
      </c>
      <c r="J101" s="241"/>
      <c r="K101" s="241">
        <v>6902</v>
      </c>
      <c r="L101" s="241">
        <v>6923</v>
      </c>
      <c r="M101" s="241">
        <v>3462</v>
      </c>
      <c r="N101" s="241">
        <v>3461</v>
      </c>
      <c r="O101" s="241">
        <v>6070</v>
      </c>
      <c r="P101" s="241">
        <v>3036</v>
      </c>
      <c r="Q101" s="241">
        <v>3034</v>
      </c>
    </row>
    <row r="102" spans="1:17" s="36" customFormat="1" ht="15" customHeight="1" outlineLevel="1">
      <c r="A102" s="60"/>
      <c r="B102" s="68" t="s">
        <v>491</v>
      </c>
      <c r="C102" s="13" t="s">
        <v>240</v>
      </c>
      <c r="D102" s="241"/>
      <c r="E102" s="241">
        <v>0</v>
      </c>
      <c r="F102" s="241"/>
      <c r="G102" s="241">
        <v>0</v>
      </c>
      <c r="H102" s="241"/>
      <c r="I102" s="241"/>
      <c r="J102" s="241"/>
      <c r="K102" s="241"/>
      <c r="L102" s="241"/>
      <c r="M102" s="241"/>
      <c r="N102" s="241"/>
      <c r="O102" s="241"/>
      <c r="P102" s="241"/>
      <c r="Q102" s="241"/>
    </row>
    <row r="103" spans="1:17" s="36" customFormat="1" ht="15" customHeight="1" outlineLevel="1">
      <c r="A103" s="60"/>
      <c r="B103" s="70" t="s">
        <v>492</v>
      </c>
      <c r="C103" s="13" t="s">
        <v>240</v>
      </c>
      <c r="D103" s="241"/>
      <c r="E103" s="241">
        <v>0</v>
      </c>
      <c r="F103" s="241"/>
      <c r="G103" s="241">
        <v>0</v>
      </c>
      <c r="H103" s="241"/>
      <c r="I103" s="241"/>
      <c r="J103" s="241"/>
      <c r="K103" s="241"/>
      <c r="L103" s="241"/>
      <c r="M103" s="241"/>
      <c r="N103" s="241"/>
      <c r="O103" s="241"/>
      <c r="P103" s="241"/>
      <c r="Q103" s="241"/>
    </row>
    <row r="104" spans="1:17" s="36" customFormat="1" ht="15" customHeight="1" outlineLevel="1">
      <c r="A104" s="60"/>
      <c r="B104" s="70" t="s">
        <v>493</v>
      </c>
      <c r="C104" s="13" t="s">
        <v>240</v>
      </c>
      <c r="D104" s="241"/>
      <c r="E104" s="241">
        <v>0</v>
      </c>
      <c r="F104" s="241"/>
      <c r="G104" s="241">
        <v>10</v>
      </c>
      <c r="H104" s="241"/>
      <c r="I104" s="241">
        <v>29</v>
      </c>
      <c r="J104" s="241"/>
      <c r="K104" s="241">
        <v>65</v>
      </c>
      <c r="L104" s="241">
        <v>44</v>
      </c>
      <c r="M104" s="241">
        <v>22</v>
      </c>
      <c r="N104" s="241">
        <v>22</v>
      </c>
      <c r="O104" s="241">
        <v>15</v>
      </c>
      <c r="P104" s="241">
        <v>8</v>
      </c>
      <c r="Q104" s="241">
        <v>7</v>
      </c>
    </row>
    <row r="105" spans="1:17" s="36" customFormat="1" ht="15" customHeight="1" outlineLevel="1">
      <c r="A105" s="60"/>
      <c r="B105" s="70" t="s">
        <v>494</v>
      </c>
      <c r="C105" s="13" t="s">
        <v>240</v>
      </c>
      <c r="D105" s="241"/>
      <c r="E105" s="241">
        <v>73</v>
      </c>
      <c r="F105" s="241"/>
      <c r="G105" s="241">
        <v>661</v>
      </c>
      <c r="H105" s="241"/>
      <c r="I105" s="241">
        <v>666</v>
      </c>
      <c r="J105" s="241"/>
      <c r="K105" s="241">
        <v>89</v>
      </c>
      <c r="L105" s="241">
        <v>74</v>
      </c>
      <c r="M105" s="241">
        <v>37</v>
      </c>
      <c r="N105" s="241">
        <v>37</v>
      </c>
      <c r="O105" s="241">
        <v>1</v>
      </c>
      <c r="P105" s="241">
        <v>1</v>
      </c>
      <c r="Q105" s="241"/>
    </row>
    <row r="106" spans="1:17" s="36" customFormat="1" ht="15" customHeight="1" outlineLevel="1">
      <c r="A106" s="60"/>
      <c r="B106" s="70" t="s">
        <v>495</v>
      </c>
      <c r="C106" s="13" t="s">
        <v>240</v>
      </c>
      <c r="D106" s="241"/>
      <c r="E106" s="241">
        <v>41</v>
      </c>
      <c r="F106" s="241"/>
      <c r="G106" s="241">
        <v>212</v>
      </c>
      <c r="H106" s="241"/>
      <c r="I106" s="241">
        <v>689</v>
      </c>
      <c r="J106" s="241"/>
      <c r="K106" s="241">
        <v>6748</v>
      </c>
      <c r="L106" s="241">
        <v>6805</v>
      </c>
      <c r="M106" s="241">
        <v>3403</v>
      </c>
      <c r="N106" s="241">
        <v>3402</v>
      </c>
      <c r="O106" s="241">
        <v>6054</v>
      </c>
      <c r="P106" s="241">
        <v>3027</v>
      </c>
      <c r="Q106" s="241">
        <v>3027</v>
      </c>
    </row>
    <row r="107" spans="1:17" s="36" customFormat="1" ht="15" customHeight="1" outlineLevel="1">
      <c r="A107" s="60"/>
      <c r="B107" s="70" t="s">
        <v>496</v>
      </c>
      <c r="C107" s="13" t="s">
        <v>240</v>
      </c>
      <c r="D107" s="241"/>
      <c r="E107" s="241">
        <v>2</v>
      </c>
      <c r="F107" s="241"/>
      <c r="G107" s="241">
        <v>16</v>
      </c>
      <c r="H107" s="241"/>
      <c r="I107" s="241">
        <v>37</v>
      </c>
      <c r="J107" s="241"/>
      <c r="K107" s="241">
        <v>338</v>
      </c>
      <c r="L107" s="241">
        <v>403</v>
      </c>
      <c r="M107" s="241">
        <v>202</v>
      </c>
      <c r="N107" s="241">
        <v>201</v>
      </c>
      <c r="O107" s="241">
        <v>526</v>
      </c>
      <c r="P107" s="241">
        <v>263</v>
      </c>
      <c r="Q107" s="241">
        <v>263</v>
      </c>
    </row>
    <row r="108" spans="1:17" s="36" customFormat="1" ht="15" customHeight="1" outlineLevel="1">
      <c r="A108" s="60"/>
      <c r="B108" s="70" t="s">
        <v>497</v>
      </c>
      <c r="C108" s="13" t="s">
        <v>240</v>
      </c>
      <c r="D108" s="241"/>
      <c r="E108" s="241">
        <v>0</v>
      </c>
      <c r="F108" s="241"/>
      <c r="G108" s="241">
        <v>0</v>
      </c>
      <c r="H108" s="241"/>
      <c r="I108" s="241"/>
      <c r="J108" s="241"/>
      <c r="K108" s="241"/>
      <c r="L108" s="241"/>
      <c r="M108" s="241"/>
      <c r="N108" s="241"/>
      <c r="O108" s="241"/>
      <c r="P108" s="241"/>
      <c r="Q108" s="241"/>
    </row>
    <row r="109" spans="1:17" s="36" customFormat="1" ht="15" customHeight="1" outlineLevel="1">
      <c r="A109" s="60"/>
      <c r="B109" s="68" t="s">
        <v>498</v>
      </c>
      <c r="C109" s="13" t="s">
        <v>240</v>
      </c>
      <c r="D109" s="241"/>
      <c r="E109" s="241">
        <v>50</v>
      </c>
      <c r="F109" s="241"/>
      <c r="G109" s="241">
        <v>254</v>
      </c>
      <c r="H109" s="241"/>
      <c r="I109" s="241">
        <v>577</v>
      </c>
      <c r="J109" s="241"/>
      <c r="K109" s="241">
        <v>573</v>
      </c>
      <c r="L109" s="241">
        <v>318</v>
      </c>
      <c r="M109" s="241">
        <v>159</v>
      </c>
      <c r="N109" s="241">
        <v>159</v>
      </c>
      <c r="O109" s="241">
        <v>27</v>
      </c>
      <c r="P109" s="241">
        <v>14</v>
      </c>
      <c r="Q109" s="241">
        <v>13</v>
      </c>
    </row>
    <row r="110" spans="1:17" s="36" customFormat="1" ht="15" customHeight="1" outlineLevel="1">
      <c r="A110" s="60"/>
      <c r="B110" s="68" t="s">
        <v>499</v>
      </c>
      <c r="C110" s="13" t="s">
        <v>240</v>
      </c>
      <c r="D110" s="241"/>
      <c r="E110" s="241"/>
      <c r="F110" s="241"/>
      <c r="G110" s="241">
        <v>1</v>
      </c>
      <c r="H110" s="241"/>
      <c r="I110" s="241">
        <v>5516</v>
      </c>
      <c r="J110" s="241"/>
      <c r="K110" s="241">
        <v>22064</v>
      </c>
      <c r="L110" s="241"/>
      <c r="M110" s="241"/>
      <c r="N110" s="241"/>
      <c r="O110" s="241"/>
      <c r="P110" s="241"/>
      <c r="Q110" s="241"/>
    </row>
    <row r="111" spans="1:17" s="1001" customFormat="1" ht="28.5">
      <c r="A111" s="82" t="s">
        <v>151</v>
      </c>
      <c r="B111" s="80" t="s">
        <v>1524</v>
      </c>
      <c r="C111" s="1002" t="s">
        <v>240</v>
      </c>
      <c r="D111" s="1000">
        <f>D97</f>
        <v>164</v>
      </c>
      <c r="E111" s="1000">
        <f t="shared" ref="E111:N111" si="19">E97</f>
        <v>971</v>
      </c>
      <c r="F111" s="1000">
        <f t="shared" si="19"/>
        <v>0</v>
      </c>
      <c r="G111" s="1000">
        <v>1336</v>
      </c>
      <c r="H111" s="1000"/>
      <c r="I111" s="1000">
        <v>7758</v>
      </c>
      <c r="J111" s="1000">
        <v>0</v>
      </c>
      <c r="K111" s="1000">
        <v>30689</v>
      </c>
      <c r="L111" s="1000">
        <v>9352</v>
      </c>
      <c r="M111" s="1000">
        <v>4678</v>
      </c>
      <c r="N111" s="1000">
        <v>4674</v>
      </c>
      <c r="O111" s="1000">
        <v>8384</v>
      </c>
      <c r="P111" s="1000">
        <v>4194</v>
      </c>
      <c r="Q111" s="1000">
        <v>4190</v>
      </c>
    </row>
    <row r="112" spans="1:17" s="36" customFormat="1" ht="15" customHeight="1">
      <c r="A112" s="60" t="s">
        <v>153</v>
      </c>
      <c r="B112" s="70" t="s">
        <v>402</v>
      </c>
      <c r="C112" s="13" t="s">
        <v>240</v>
      </c>
      <c r="D112" s="241"/>
      <c r="E112" s="241"/>
      <c r="F112" s="241"/>
      <c r="G112" s="241"/>
      <c r="H112" s="241"/>
      <c r="I112" s="241"/>
      <c r="J112" s="241"/>
      <c r="K112" s="241"/>
      <c r="L112" s="241"/>
      <c r="M112" s="241"/>
      <c r="N112" s="241"/>
      <c r="O112" s="241"/>
      <c r="P112" s="241"/>
      <c r="Q112" s="241"/>
    </row>
    <row r="113" spans="1:17" s="36" customFormat="1" ht="15" customHeight="1">
      <c r="A113" s="60" t="s">
        <v>1528</v>
      </c>
      <c r="B113" s="70" t="s">
        <v>404</v>
      </c>
      <c r="C113" s="13" t="s">
        <v>240</v>
      </c>
      <c r="D113" s="241">
        <v>164</v>
      </c>
      <c r="E113" s="241">
        <v>971</v>
      </c>
      <c r="F113" s="241"/>
      <c r="G113" s="241">
        <v>1336</v>
      </c>
      <c r="H113" s="241"/>
      <c r="I113" s="241">
        <v>7758</v>
      </c>
      <c r="J113" s="241">
        <v>0</v>
      </c>
      <c r="K113" s="241">
        <v>30689</v>
      </c>
      <c r="L113" s="241">
        <v>9352</v>
      </c>
      <c r="M113" s="241">
        <v>4678</v>
      </c>
      <c r="N113" s="241">
        <v>4674</v>
      </c>
      <c r="O113" s="241">
        <v>8384</v>
      </c>
      <c r="P113" s="241">
        <v>4194</v>
      </c>
      <c r="Q113" s="241">
        <v>4190</v>
      </c>
    </row>
    <row r="114" spans="1:17" s="36" customFormat="1" ht="15" customHeight="1">
      <c r="A114" s="60" t="s">
        <v>1529</v>
      </c>
      <c r="B114" s="70" t="s">
        <v>406</v>
      </c>
      <c r="C114" s="13" t="s">
        <v>240</v>
      </c>
      <c r="D114" s="241"/>
      <c r="E114" s="241"/>
      <c r="F114" s="241"/>
      <c r="G114" s="241"/>
      <c r="H114" s="241"/>
      <c r="I114" s="241"/>
      <c r="J114" s="241"/>
      <c r="K114" s="241"/>
      <c r="L114" s="241"/>
      <c r="M114" s="241"/>
      <c r="N114" s="241"/>
      <c r="O114" s="241"/>
      <c r="P114" s="241"/>
      <c r="Q114" s="241"/>
    </row>
    <row r="115" spans="1:17" s="36" customFormat="1" ht="15" customHeight="1">
      <c r="A115" s="60" t="s">
        <v>1530</v>
      </c>
      <c r="B115" s="70" t="s">
        <v>408</v>
      </c>
      <c r="C115" s="13" t="s">
        <v>240</v>
      </c>
      <c r="D115" s="241"/>
      <c r="E115" s="241"/>
      <c r="F115" s="241"/>
      <c r="G115" s="241"/>
      <c r="H115" s="241"/>
      <c r="I115" s="241"/>
      <c r="J115" s="241"/>
      <c r="K115" s="241"/>
      <c r="L115" s="241"/>
      <c r="M115" s="241"/>
      <c r="N115" s="241"/>
      <c r="O115" s="241"/>
      <c r="P115" s="241"/>
      <c r="Q115" s="241"/>
    </row>
    <row r="116" spans="1:17" customFormat="1" ht="12.75"/>
    <row r="117" spans="1:17" s="26" customFormat="1">
      <c r="A117" s="26" t="s">
        <v>88</v>
      </c>
      <c r="C117" s="48"/>
    </row>
    <row r="118" spans="1:17" s="541" customFormat="1" ht="51.75" customHeight="1">
      <c r="A118" s="541" t="s">
        <v>89</v>
      </c>
      <c r="B118" s="1842" t="s">
        <v>506</v>
      </c>
      <c r="C118" s="1842"/>
      <c r="D118" s="1842"/>
      <c r="E118" s="1842"/>
      <c r="F118" s="1842"/>
      <c r="G118" s="1842"/>
      <c r="H118" s="1842"/>
      <c r="I118" s="1842"/>
      <c r="J118" s="1842"/>
      <c r="K118" s="1842"/>
      <c r="L118" s="1842"/>
      <c r="M118" s="1842"/>
      <c r="N118" s="1842"/>
    </row>
    <row r="119" spans="1:17" s="541" customFormat="1" ht="58.5" customHeight="1">
      <c r="A119" s="541" t="s">
        <v>91</v>
      </c>
      <c r="B119" s="1842" t="s">
        <v>507</v>
      </c>
      <c r="C119" s="1842"/>
      <c r="D119" s="1842"/>
      <c r="E119" s="1842"/>
      <c r="F119" s="1842"/>
      <c r="G119" s="1842"/>
      <c r="H119" s="1842"/>
      <c r="I119" s="1842"/>
      <c r="J119" s="1842"/>
      <c r="K119" s="1842"/>
      <c r="L119" s="1842"/>
      <c r="M119" s="1842"/>
      <c r="N119" s="1842"/>
    </row>
    <row r="120" spans="1:17" ht="21" customHeight="1"/>
  </sheetData>
  <mergeCells count="3">
    <mergeCell ref="A3:N3"/>
    <mergeCell ref="B118:N118"/>
    <mergeCell ref="B119:N119"/>
  </mergeCells>
  <pageMargins left="0.78740157480314965" right="0.51181102362204722" top="0.28000000000000003" bottom="0.39370078740157483" header="0.19685039370078741" footer="0.19685039370078741"/>
  <pageSetup paperSize="9" scale="43" orientation="portrait" r:id="rId1"/>
  <headerFooter alignWithMargins="0"/>
  <rowBreaks count="1" manualBreakCount="1">
    <brk id="116" max="6" man="1"/>
  </row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R120"/>
  <sheetViews>
    <sheetView view="pageBreakPreview" zoomScaleNormal="100" workbookViewId="0">
      <pane xSplit="2" ySplit="5" topLeftCell="C7" activePane="bottomRight" state="frozen"/>
      <selection activeCell="F4" sqref="F4"/>
      <selection pane="topRight" activeCell="F4" sqref="F4"/>
      <selection pane="bottomLeft" activeCell="F4" sqref="F4"/>
      <selection pane="bottomRight" activeCell="F4" sqref="F4"/>
    </sheetView>
  </sheetViews>
  <sheetFormatPr defaultColWidth="4.28515625" defaultRowHeight="15" outlineLevelRow="1"/>
  <cols>
    <col min="1" max="1" width="5.42578125" style="1" customWidth="1"/>
    <col min="2" max="2" width="42.28515625" style="1" customWidth="1"/>
    <col min="3" max="3" width="12" style="21" customWidth="1"/>
    <col min="4" max="4" width="12.5703125" style="1" hidden="1" customWidth="1"/>
    <col min="5" max="5" width="11.5703125" style="1" hidden="1" customWidth="1"/>
    <col min="6" max="10" width="12.5703125" style="1" customWidth="1"/>
    <col min="11" max="11" width="15.7109375" style="1" customWidth="1"/>
    <col min="12" max="12" width="12.5703125" style="1" customWidth="1"/>
    <col min="13" max="13" width="11.42578125" style="1" customWidth="1"/>
    <col min="14" max="14" width="11" style="1" customWidth="1"/>
    <col min="15" max="15" width="12.7109375" style="1" customWidth="1"/>
    <col min="16" max="16" width="10.85546875" style="1" customWidth="1"/>
    <col min="17" max="17" width="10.5703125" style="1" customWidth="1"/>
    <col min="18" max="16384" width="4.28515625" style="1"/>
  </cols>
  <sheetData>
    <row r="1" spans="1:18" s="5" customFormat="1" ht="15.75" customHeight="1">
      <c r="A1" s="74" t="s">
        <v>1860</v>
      </c>
      <c r="C1" s="20"/>
      <c r="N1" s="6" t="s">
        <v>943</v>
      </c>
      <c r="Q1" s="6" t="s">
        <v>943</v>
      </c>
    </row>
    <row r="2" spans="1:18" s="5" customFormat="1" ht="12.75" customHeight="1">
      <c r="A2" s="105" t="str">
        <f>'4.10_свод_котельн.'!A2</f>
        <v>ПКГО - выработка котельными</v>
      </c>
      <c r="C2" s="20"/>
      <c r="R2" s="5" t="s">
        <v>1243</v>
      </c>
    </row>
    <row r="3" spans="1:18" ht="37.5" customHeight="1">
      <c r="A3" s="1915" t="s">
        <v>1185</v>
      </c>
      <c r="B3" s="1915"/>
      <c r="C3" s="1915"/>
      <c r="D3" s="1915"/>
      <c r="E3" s="1915"/>
      <c r="F3" s="1915"/>
      <c r="G3" s="1915"/>
      <c r="H3" s="1915"/>
      <c r="I3" s="1915"/>
      <c r="J3" s="1915"/>
      <c r="K3" s="1915"/>
      <c r="L3" s="1915"/>
      <c r="M3" s="1915"/>
      <c r="N3" s="1915"/>
    </row>
    <row r="4" spans="1:18" customFormat="1" ht="12.75" customHeight="1"/>
    <row r="5" spans="1:18" s="3" customFormat="1" ht="63" customHeight="1">
      <c r="A5" s="913" t="s">
        <v>1527</v>
      </c>
      <c r="B5" s="913" t="s">
        <v>1</v>
      </c>
      <c r="C5" s="913" t="s">
        <v>2</v>
      </c>
      <c r="D5" s="913" t="s">
        <v>1129</v>
      </c>
      <c r="E5" s="913" t="s">
        <v>1130</v>
      </c>
      <c r="F5" s="975" t="s">
        <v>1553</v>
      </c>
      <c r="G5" s="913" t="s">
        <v>1695</v>
      </c>
      <c r="H5" s="1310" t="s">
        <v>1702</v>
      </c>
      <c r="I5" s="1576" t="s">
        <v>1828</v>
      </c>
      <c r="J5" s="1613" t="s">
        <v>1842</v>
      </c>
      <c r="K5" s="1631" t="s">
        <v>1861</v>
      </c>
      <c r="L5" s="1631" t="s">
        <v>1862</v>
      </c>
      <c r="M5" s="1631" t="s">
        <v>763</v>
      </c>
      <c r="N5" s="1631" t="s">
        <v>764</v>
      </c>
      <c r="O5" s="1631" t="s">
        <v>1863</v>
      </c>
      <c r="P5" s="1631" t="s">
        <v>763</v>
      </c>
      <c r="Q5" s="1631" t="s">
        <v>764</v>
      </c>
    </row>
    <row r="6" spans="1:18" s="2" customFormat="1">
      <c r="A6" s="13">
        <v>1</v>
      </c>
      <c r="B6" s="13">
        <v>2</v>
      </c>
      <c r="C6" s="13">
        <v>3</v>
      </c>
      <c r="D6" s="13">
        <v>4</v>
      </c>
      <c r="E6" s="13">
        <v>5</v>
      </c>
      <c r="F6" s="13">
        <v>4</v>
      </c>
      <c r="G6" s="13">
        <v>5</v>
      </c>
      <c r="H6" s="13">
        <v>6</v>
      </c>
      <c r="I6" s="13">
        <v>7</v>
      </c>
      <c r="J6" s="13">
        <v>8</v>
      </c>
      <c r="K6" s="13">
        <v>9</v>
      </c>
      <c r="L6" s="13">
        <v>10</v>
      </c>
      <c r="M6" s="13">
        <v>11</v>
      </c>
      <c r="N6" s="13">
        <v>12</v>
      </c>
      <c r="O6" s="13">
        <v>13</v>
      </c>
      <c r="P6" s="13">
        <v>14</v>
      </c>
      <c r="Q6" s="13">
        <v>15</v>
      </c>
    </row>
    <row r="7" spans="1:18" s="1001" customFormat="1" ht="30" customHeight="1">
      <c r="A7" s="82" t="s">
        <v>4</v>
      </c>
      <c r="B7" s="80" t="s">
        <v>486</v>
      </c>
      <c r="C7" s="1002" t="s">
        <v>240</v>
      </c>
      <c r="D7" s="1000">
        <v>269</v>
      </c>
      <c r="E7" s="1000"/>
      <c r="F7" s="1000"/>
      <c r="G7" s="1000"/>
      <c r="H7" s="1000"/>
      <c r="I7" s="1000"/>
      <c r="J7" s="1000"/>
      <c r="K7" s="1000"/>
      <c r="L7" s="1000"/>
      <c r="M7" s="1000"/>
      <c r="N7" s="1000"/>
      <c r="O7" s="1000"/>
      <c r="P7" s="1000"/>
      <c r="Q7" s="1000"/>
    </row>
    <row r="8" spans="1:18" s="36" customFormat="1" ht="15" hidden="1" customHeight="1" outlineLevel="1">
      <c r="A8" s="60"/>
      <c r="B8" s="68" t="s">
        <v>487</v>
      </c>
      <c r="C8" s="13" t="s">
        <v>240</v>
      </c>
      <c r="D8" s="241"/>
      <c r="E8" s="241"/>
      <c r="F8" s="241"/>
      <c r="G8" s="241"/>
      <c r="H8" s="241"/>
      <c r="I8" s="241"/>
      <c r="J8" s="241"/>
      <c r="K8" s="241"/>
      <c r="L8" s="241"/>
      <c r="M8" s="241"/>
      <c r="N8" s="241"/>
      <c r="O8" s="241"/>
      <c r="P8" s="241"/>
      <c r="Q8" s="241"/>
    </row>
    <row r="9" spans="1:18" s="36" customFormat="1" ht="15" hidden="1" customHeight="1" outlineLevel="1">
      <c r="A9" s="60"/>
      <c r="B9" s="68" t="s">
        <v>488</v>
      </c>
      <c r="C9" s="13" t="s">
        <v>240</v>
      </c>
      <c r="D9" s="241"/>
      <c r="E9" s="241"/>
      <c r="F9" s="241"/>
      <c r="G9" s="241"/>
      <c r="H9" s="241"/>
      <c r="I9" s="241"/>
      <c r="J9" s="241"/>
      <c r="K9" s="241"/>
      <c r="L9" s="241"/>
      <c r="M9" s="241"/>
      <c r="N9" s="241"/>
      <c r="O9" s="241"/>
      <c r="P9" s="241"/>
      <c r="Q9" s="241"/>
    </row>
    <row r="10" spans="1:18" s="36" customFormat="1" ht="15" hidden="1" customHeight="1" outlineLevel="1">
      <c r="A10" s="60"/>
      <c r="B10" s="68" t="s">
        <v>489</v>
      </c>
      <c r="C10" s="13" t="s">
        <v>240</v>
      </c>
      <c r="D10" s="241"/>
      <c r="E10" s="241"/>
      <c r="F10" s="241"/>
      <c r="G10" s="241"/>
      <c r="H10" s="241"/>
      <c r="I10" s="241"/>
      <c r="J10" s="241"/>
      <c r="K10" s="241"/>
      <c r="L10" s="241"/>
      <c r="M10" s="241"/>
      <c r="N10" s="241"/>
      <c r="O10" s="241"/>
      <c r="P10" s="241"/>
      <c r="Q10" s="241"/>
    </row>
    <row r="11" spans="1:18" s="36" customFormat="1" ht="15" hidden="1" customHeight="1" outlineLevel="1">
      <c r="A11" s="60"/>
      <c r="B11" s="68" t="s">
        <v>490</v>
      </c>
      <c r="C11" s="13" t="s">
        <v>240</v>
      </c>
      <c r="D11" s="241"/>
      <c r="E11" s="241"/>
      <c r="F11" s="241"/>
      <c r="G11" s="241"/>
      <c r="H11" s="241"/>
      <c r="I11" s="241"/>
      <c r="J11" s="241"/>
      <c r="K11" s="241"/>
      <c r="L11" s="241"/>
      <c r="M11" s="241"/>
      <c r="N11" s="241"/>
      <c r="O11" s="241"/>
      <c r="P11" s="241"/>
      <c r="Q11" s="241"/>
    </row>
    <row r="12" spans="1:18" s="36" customFormat="1" ht="15" hidden="1" customHeight="1" outlineLevel="1">
      <c r="A12" s="60"/>
      <c r="B12" s="68" t="s">
        <v>491</v>
      </c>
      <c r="C12" s="13" t="s">
        <v>240</v>
      </c>
      <c r="D12" s="241"/>
      <c r="E12" s="241"/>
      <c r="F12" s="241"/>
      <c r="G12" s="241"/>
      <c r="H12" s="241"/>
      <c r="I12" s="241"/>
      <c r="J12" s="241"/>
      <c r="K12" s="241"/>
      <c r="L12" s="241"/>
      <c r="M12" s="241"/>
      <c r="N12" s="241"/>
      <c r="O12" s="241"/>
      <c r="P12" s="241"/>
      <c r="Q12" s="241"/>
    </row>
    <row r="13" spans="1:18" s="36" customFormat="1" ht="15" hidden="1" customHeight="1" outlineLevel="1">
      <c r="A13" s="60"/>
      <c r="B13" s="70" t="s">
        <v>492</v>
      </c>
      <c r="C13" s="13" t="s">
        <v>240</v>
      </c>
      <c r="D13" s="241"/>
      <c r="E13" s="241"/>
      <c r="F13" s="241"/>
      <c r="G13" s="241"/>
      <c r="H13" s="241"/>
      <c r="I13" s="241"/>
      <c r="J13" s="241"/>
      <c r="K13" s="241"/>
      <c r="L13" s="241"/>
      <c r="M13" s="241"/>
      <c r="N13" s="241"/>
      <c r="O13" s="241"/>
      <c r="P13" s="241"/>
      <c r="Q13" s="241"/>
    </row>
    <row r="14" spans="1:18" s="36" customFormat="1" ht="15" hidden="1" customHeight="1" outlineLevel="1">
      <c r="A14" s="60"/>
      <c r="B14" s="70" t="s">
        <v>493</v>
      </c>
      <c r="C14" s="13" t="s">
        <v>240</v>
      </c>
      <c r="D14" s="241"/>
      <c r="E14" s="241"/>
      <c r="F14" s="241"/>
      <c r="G14" s="241"/>
      <c r="H14" s="241"/>
      <c r="I14" s="241"/>
      <c r="J14" s="241"/>
      <c r="K14" s="241"/>
      <c r="L14" s="241"/>
      <c r="M14" s="241"/>
      <c r="N14" s="241"/>
      <c r="O14" s="241"/>
      <c r="P14" s="241"/>
      <c r="Q14" s="241"/>
    </row>
    <row r="15" spans="1:18" s="36" customFormat="1" ht="15" hidden="1" customHeight="1" outlineLevel="1">
      <c r="A15" s="60"/>
      <c r="B15" s="70" t="s">
        <v>494</v>
      </c>
      <c r="C15" s="13" t="s">
        <v>240</v>
      </c>
      <c r="D15" s="241"/>
      <c r="E15" s="241"/>
      <c r="F15" s="241"/>
      <c r="G15" s="241"/>
      <c r="H15" s="241"/>
      <c r="I15" s="241"/>
      <c r="J15" s="241"/>
      <c r="K15" s="241"/>
      <c r="L15" s="241"/>
      <c r="M15" s="241"/>
      <c r="N15" s="241"/>
      <c r="O15" s="241"/>
      <c r="P15" s="241"/>
      <c r="Q15" s="241"/>
    </row>
    <row r="16" spans="1:18" s="36" customFormat="1" ht="15" hidden="1" customHeight="1" outlineLevel="1">
      <c r="A16" s="60"/>
      <c r="B16" s="70" t="s">
        <v>495</v>
      </c>
      <c r="C16" s="13" t="s">
        <v>240</v>
      </c>
      <c r="D16" s="241"/>
      <c r="E16" s="241"/>
      <c r="F16" s="241"/>
      <c r="G16" s="241"/>
      <c r="H16" s="241"/>
      <c r="I16" s="241"/>
      <c r="J16" s="241"/>
      <c r="K16" s="241"/>
      <c r="L16" s="241"/>
      <c r="M16" s="241"/>
      <c r="N16" s="241"/>
      <c r="O16" s="241"/>
      <c r="P16" s="241"/>
      <c r="Q16" s="241"/>
    </row>
    <row r="17" spans="1:17" s="36" customFormat="1" ht="15" hidden="1" customHeight="1" outlineLevel="1">
      <c r="A17" s="60"/>
      <c r="B17" s="70" t="s">
        <v>496</v>
      </c>
      <c r="C17" s="13" t="s">
        <v>240</v>
      </c>
      <c r="D17" s="241"/>
      <c r="E17" s="241"/>
      <c r="F17" s="241"/>
      <c r="G17" s="241"/>
      <c r="H17" s="241"/>
      <c r="I17" s="241"/>
      <c r="J17" s="241"/>
      <c r="K17" s="241"/>
      <c r="L17" s="241"/>
      <c r="M17" s="241"/>
      <c r="N17" s="241"/>
      <c r="O17" s="241"/>
      <c r="P17" s="241"/>
      <c r="Q17" s="241"/>
    </row>
    <row r="18" spans="1:17" s="36" customFormat="1" ht="15" hidden="1" customHeight="1" outlineLevel="1">
      <c r="A18" s="60"/>
      <c r="B18" s="70" t="s">
        <v>497</v>
      </c>
      <c r="C18" s="13" t="s">
        <v>240</v>
      </c>
      <c r="D18" s="241"/>
      <c r="E18" s="241"/>
      <c r="F18" s="241"/>
      <c r="G18" s="241"/>
      <c r="H18" s="241"/>
      <c r="I18" s="241"/>
      <c r="J18" s="241"/>
      <c r="K18" s="241"/>
      <c r="L18" s="241"/>
      <c r="M18" s="241"/>
      <c r="N18" s="241"/>
      <c r="O18" s="241"/>
      <c r="P18" s="241"/>
      <c r="Q18" s="241"/>
    </row>
    <row r="19" spans="1:17" s="36" customFormat="1" ht="15" hidden="1" customHeight="1" outlineLevel="1">
      <c r="A19" s="60"/>
      <c r="B19" s="68" t="s">
        <v>498</v>
      </c>
      <c r="C19" s="13" t="s">
        <v>240</v>
      </c>
      <c r="D19" s="241"/>
      <c r="E19" s="241"/>
      <c r="F19" s="241"/>
      <c r="G19" s="241"/>
      <c r="H19" s="241"/>
      <c r="I19" s="241"/>
      <c r="J19" s="241"/>
      <c r="K19" s="241"/>
      <c r="L19" s="241"/>
      <c r="M19" s="241"/>
      <c r="N19" s="241"/>
      <c r="O19" s="241"/>
      <c r="P19" s="241"/>
      <c r="Q19" s="241"/>
    </row>
    <row r="20" spans="1:17" s="36" customFormat="1" ht="15" hidden="1" customHeight="1" outlineLevel="1">
      <c r="A20" s="60"/>
      <c r="B20" s="68" t="s">
        <v>499</v>
      </c>
      <c r="C20" s="13" t="s">
        <v>240</v>
      </c>
      <c r="D20" s="241"/>
      <c r="E20" s="241"/>
      <c r="F20" s="241"/>
      <c r="G20" s="241"/>
      <c r="H20" s="241"/>
      <c r="I20" s="241"/>
      <c r="J20" s="241"/>
      <c r="K20" s="241"/>
      <c r="L20" s="241"/>
      <c r="M20" s="241"/>
      <c r="N20" s="241"/>
      <c r="O20" s="241"/>
      <c r="P20" s="241"/>
      <c r="Q20" s="241"/>
    </row>
    <row r="21" spans="1:17" s="36" customFormat="1" collapsed="1">
      <c r="A21" s="60"/>
      <c r="B21" s="68"/>
      <c r="C21" s="13"/>
      <c r="D21" s="241"/>
      <c r="E21" s="241"/>
      <c r="F21" s="241"/>
      <c r="G21" s="241"/>
      <c r="H21" s="241"/>
      <c r="I21" s="241"/>
      <c r="J21" s="241"/>
      <c r="K21" s="241"/>
      <c r="L21" s="241"/>
      <c r="M21" s="241"/>
      <c r="N21" s="241"/>
      <c r="O21" s="241"/>
      <c r="P21" s="241"/>
      <c r="Q21" s="241"/>
    </row>
    <row r="22" spans="1:17" s="1001" customFormat="1" ht="60" customHeight="1">
      <c r="A22" s="82" t="s">
        <v>23</v>
      </c>
      <c r="B22" s="80" t="s">
        <v>500</v>
      </c>
      <c r="C22" s="1002" t="s">
        <v>240</v>
      </c>
      <c r="D22" s="1000"/>
      <c r="E22" s="1000"/>
      <c r="F22" s="1000"/>
      <c r="G22" s="1000"/>
      <c r="H22" s="1000"/>
      <c r="I22" s="1000"/>
      <c r="J22" s="1000"/>
      <c r="K22" s="1000"/>
      <c r="L22" s="1000"/>
      <c r="M22" s="1000"/>
      <c r="N22" s="1000"/>
      <c r="O22" s="1000"/>
      <c r="P22" s="1000"/>
      <c r="Q22" s="1000"/>
    </row>
    <row r="23" spans="1:17" s="36" customFormat="1" ht="15" hidden="1" customHeight="1" outlineLevel="1">
      <c r="A23" s="60"/>
      <c r="B23" s="68" t="s">
        <v>487</v>
      </c>
      <c r="C23" s="13" t="s">
        <v>240</v>
      </c>
      <c r="D23" s="241"/>
      <c r="E23" s="241"/>
      <c r="F23" s="241"/>
      <c r="G23" s="241"/>
      <c r="H23" s="241"/>
      <c r="I23" s="241"/>
      <c r="J23" s="241"/>
      <c r="K23" s="241"/>
      <c r="L23" s="241"/>
      <c r="M23" s="241"/>
      <c r="N23" s="241"/>
      <c r="O23" s="241"/>
      <c r="P23" s="241"/>
      <c r="Q23" s="241"/>
    </row>
    <row r="24" spans="1:17" s="36" customFormat="1" ht="15" hidden="1" customHeight="1" outlineLevel="1">
      <c r="A24" s="60"/>
      <c r="B24" s="68" t="s">
        <v>488</v>
      </c>
      <c r="C24" s="13" t="s">
        <v>240</v>
      </c>
      <c r="D24" s="241"/>
      <c r="E24" s="241"/>
      <c r="F24" s="241"/>
      <c r="G24" s="241"/>
      <c r="H24" s="241"/>
      <c r="I24" s="241"/>
      <c r="J24" s="241"/>
      <c r="K24" s="241"/>
      <c r="L24" s="241"/>
      <c r="M24" s="241"/>
      <c r="N24" s="241"/>
      <c r="O24" s="241"/>
      <c r="P24" s="241"/>
      <c r="Q24" s="241"/>
    </row>
    <row r="25" spans="1:17" s="36" customFormat="1" ht="15" hidden="1" customHeight="1" outlineLevel="1">
      <c r="A25" s="60"/>
      <c r="B25" s="68" t="s">
        <v>489</v>
      </c>
      <c r="C25" s="13" t="s">
        <v>240</v>
      </c>
      <c r="D25" s="241"/>
      <c r="E25" s="241"/>
      <c r="F25" s="241"/>
      <c r="G25" s="241"/>
      <c r="H25" s="241"/>
      <c r="I25" s="241"/>
      <c r="J25" s="241"/>
      <c r="K25" s="241"/>
      <c r="L25" s="241"/>
      <c r="M25" s="241"/>
      <c r="N25" s="241"/>
      <c r="O25" s="241"/>
      <c r="P25" s="241"/>
      <c r="Q25" s="241"/>
    </row>
    <row r="26" spans="1:17" s="36" customFormat="1" ht="15" hidden="1" customHeight="1" outlineLevel="1">
      <c r="A26" s="60"/>
      <c r="B26" s="68" t="s">
        <v>490</v>
      </c>
      <c r="C26" s="13" t="s">
        <v>240</v>
      </c>
      <c r="D26" s="241"/>
      <c r="E26" s="241"/>
      <c r="F26" s="241"/>
      <c r="G26" s="241"/>
      <c r="H26" s="241"/>
      <c r="I26" s="241"/>
      <c r="J26" s="241"/>
      <c r="K26" s="241"/>
      <c r="L26" s="241"/>
      <c r="M26" s="241"/>
      <c r="N26" s="241"/>
      <c r="O26" s="241"/>
      <c r="P26" s="241"/>
      <c r="Q26" s="241"/>
    </row>
    <row r="27" spans="1:17" s="36" customFormat="1" ht="15" hidden="1" customHeight="1" outlineLevel="1">
      <c r="A27" s="60"/>
      <c r="B27" s="68" t="s">
        <v>491</v>
      </c>
      <c r="C27" s="13" t="s">
        <v>240</v>
      </c>
      <c r="D27" s="241"/>
      <c r="E27" s="241"/>
      <c r="F27" s="241"/>
      <c r="G27" s="241"/>
      <c r="H27" s="241"/>
      <c r="I27" s="241"/>
      <c r="J27" s="241"/>
      <c r="K27" s="241"/>
      <c r="L27" s="241"/>
      <c r="M27" s="241"/>
      <c r="N27" s="241"/>
      <c r="O27" s="241"/>
      <c r="P27" s="241"/>
      <c r="Q27" s="241"/>
    </row>
    <row r="28" spans="1:17" s="36" customFormat="1" ht="15" hidden="1" customHeight="1" outlineLevel="1">
      <c r="A28" s="60"/>
      <c r="B28" s="70" t="s">
        <v>492</v>
      </c>
      <c r="C28" s="13" t="s">
        <v>240</v>
      </c>
      <c r="D28" s="241"/>
      <c r="E28" s="241"/>
      <c r="F28" s="241"/>
      <c r="G28" s="241"/>
      <c r="H28" s="241"/>
      <c r="I28" s="241"/>
      <c r="J28" s="241"/>
      <c r="K28" s="241"/>
      <c r="L28" s="241"/>
      <c r="M28" s="241"/>
      <c r="N28" s="241"/>
      <c r="O28" s="241"/>
      <c r="P28" s="241"/>
      <c r="Q28" s="241"/>
    </row>
    <row r="29" spans="1:17" s="36" customFormat="1" ht="15" hidden="1" customHeight="1" outlineLevel="1">
      <c r="A29" s="60"/>
      <c r="B29" s="70" t="s">
        <v>493</v>
      </c>
      <c r="C29" s="13" t="s">
        <v>240</v>
      </c>
      <c r="D29" s="241"/>
      <c r="E29" s="241"/>
      <c r="F29" s="241"/>
      <c r="G29" s="241"/>
      <c r="H29" s="241"/>
      <c r="I29" s="241"/>
      <c r="J29" s="241"/>
      <c r="K29" s="241"/>
      <c r="L29" s="241"/>
      <c r="M29" s="241"/>
      <c r="N29" s="241"/>
      <c r="O29" s="241"/>
      <c r="P29" s="241"/>
      <c r="Q29" s="241"/>
    </row>
    <row r="30" spans="1:17" s="36" customFormat="1" ht="15" hidden="1" customHeight="1" outlineLevel="1">
      <c r="A30" s="60"/>
      <c r="B30" s="70" t="s">
        <v>494</v>
      </c>
      <c r="C30" s="13" t="s">
        <v>240</v>
      </c>
      <c r="D30" s="241"/>
      <c r="E30" s="241"/>
      <c r="F30" s="241"/>
      <c r="G30" s="241"/>
      <c r="H30" s="241"/>
      <c r="I30" s="241"/>
      <c r="J30" s="241"/>
      <c r="K30" s="241"/>
      <c r="L30" s="241"/>
      <c r="M30" s="241"/>
      <c r="N30" s="241"/>
      <c r="O30" s="241"/>
      <c r="P30" s="241"/>
      <c r="Q30" s="241"/>
    </row>
    <row r="31" spans="1:17" s="36" customFormat="1" ht="15" hidden="1" customHeight="1" outlineLevel="1">
      <c r="A31" s="60"/>
      <c r="B31" s="70" t="s">
        <v>495</v>
      </c>
      <c r="C31" s="13" t="s">
        <v>240</v>
      </c>
      <c r="D31" s="241"/>
      <c r="E31" s="241"/>
      <c r="F31" s="241"/>
      <c r="G31" s="241"/>
      <c r="H31" s="241"/>
      <c r="I31" s="241"/>
      <c r="J31" s="241"/>
      <c r="K31" s="241"/>
      <c r="L31" s="241"/>
      <c r="M31" s="241"/>
      <c r="N31" s="241"/>
      <c r="O31" s="241"/>
      <c r="P31" s="241"/>
      <c r="Q31" s="241"/>
    </row>
    <row r="32" spans="1:17" s="36" customFormat="1" ht="15" hidden="1" customHeight="1" outlineLevel="1">
      <c r="A32" s="60"/>
      <c r="B32" s="70" t="s">
        <v>496</v>
      </c>
      <c r="C32" s="13" t="s">
        <v>240</v>
      </c>
      <c r="D32" s="241"/>
      <c r="E32" s="241"/>
      <c r="F32" s="241"/>
      <c r="G32" s="241"/>
      <c r="H32" s="241"/>
      <c r="I32" s="241"/>
      <c r="J32" s="241"/>
      <c r="K32" s="241"/>
      <c r="L32" s="241"/>
      <c r="M32" s="241"/>
      <c r="N32" s="241"/>
      <c r="O32" s="241"/>
      <c r="P32" s="241"/>
      <c r="Q32" s="241"/>
    </row>
    <row r="33" spans="1:17" s="36" customFormat="1" ht="15" hidden="1" customHeight="1" outlineLevel="1">
      <c r="A33" s="60"/>
      <c r="B33" s="70" t="s">
        <v>497</v>
      </c>
      <c r="C33" s="13" t="s">
        <v>240</v>
      </c>
      <c r="D33" s="241"/>
      <c r="E33" s="241"/>
      <c r="F33" s="241"/>
      <c r="G33" s="241"/>
      <c r="H33" s="241"/>
      <c r="I33" s="241"/>
      <c r="J33" s="241"/>
      <c r="K33" s="241"/>
      <c r="L33" s="241"/>
      <c r="M33" s="241"/>
      <c r="N33" s="241"/>
      <c r="O33" s="241"/>
      <c r="P33" s="241"/>
      <c r="Q33" s="241"/>
    </row>
    <row r="34" spans="1:17" s="36" customFormat="1" ht="15" hidden="1" customHeight="1" outlineLevel="1">
      <c r="A34" s="60"/>
      <c r="B34" s="68" t="s">
        <v>498</v>
      </c>
      <c r="C34" s="13" t="s">
        <v>240</v>
      </c>
      <c r="D34" s="241"/>
      <c r="E34" s="241"/>
      <c r="F34" s="241"/>
      <c r="G34" s="241"/>
      <c r="H34" s="241"/>
      <c r="I34" s="241"/>
      <c r="J34" s="241"/>
      <c r="K34" s="241"/>
      <c r="L34" s="241"/>
      <c r="M34" s="241"/>
      <c r="N34" s="241"/>
      <c r="O34" s="241"/>
      <c r="P34" s="241"/>
      <c r="Q34" s="241"/>
    </row>
    <row r="35" spans="1:17" s="36" customFormat="1" ht="15" hidden="1" customHeight="1" outlineLevel="1">
      <c r="A35" s="60"/>
      <c r="B35" s="68" t="s">
        <v>499</v>
      </c>
      <c r="C35" s="13" t="s">
        <v>240</v>
      </c>
      <c r="D35" s="241"/>
      <c r="E35" s="241"/>
      <c r="F35" s="241"/>
      <c r="G35" s="241"/>
      <c r="H35" s="241"/>
      <c r="I35" s="241"/>
      <c r="J35" s="241"/>
      <c r="K35" s="241"/>
      <c r="L35" s="241"/>
      <c r="M35" s="241"/>
      <c r="N35" s="241"/>
      <c r="O35" s="241"/>
      <c r="P35" s="241"/>
      <c r="Q35" s="241"/>
    </row>
    <row r="36" spans="1:17" s="36" customFormat="1" collapsed="1">
      <c r="A36" s="60"/>
      <c r="B36" s="68"/>
      <c r="C36" s="13"/>
      <c r="D36" s="241"/>
      <c r="E36" s="241"/>
      <c r="F36" s="241"/>
      <c r="G36" s="241"/>
      <c r="H36" s="241"/>
      <c r="I36" s="241"/>
      <c r="J36" s="241"/>
      <c r="K36" s="241"/>
      <c r="L36" s="241"/>
      <c r="M36" s="241"/>
      <c r="N36" s="241"/>
      <c r="O36" s="241"/>
      <c r="P36" s="241"/>
      <c r="Q36" s="241"/>
    </row>
    <row r="37" spans="1:17" s="1001" customFormat="1" ht="28.5">
      <c r="A37" s="82" t="s">
        <v>27</v>
      </c>
      <c r="B37" s="80" t="s">
        <v>501</v>
      </c>
      <c r="C37" s="1002" t="s">
        <v>240</v>
      </c>
      <c r="D37" s="1000">
        <v>0</v>
      </c>
      <c r="E37" s="1000"/>
      <c r="F37" s="1000"/>
      <c r="G37" s="1000"/>
      <c r="H37" s="1000"/>
      <c r="I37" s="1000"/>
      <c r="J37" s="1000"/>
      <c r="K37" s="1000"/>
      <c r="L37" s="1000"/>
      <c r="M37" s="1000"/>
      <c r="N37" s="1000"/>
      <c r="O37" s="1000"/>
      <c r="P37" s="1000"/>
      <c r="Q37" s="1000"/>
    </row>
    <row r="38" spans="1:17" s="36" customFormat="1" ht="15" hidden="1" customHeight="1" outlineLevel="1">
      <c r="A38" s="60"/>
      <c r="B38" s="68" t="s">
        <v>487</v>
      </c>
      <c r="C38" s="13" t="s">
        <v>240</v>
      </c>
      <c r="D38" s="241"/>
      <c r="E38" s="241"/>
      <c r="F38" s="241"/>
      <c r="G38" s="241"/>
      <c r="H38" s="241"/>
      <c r="I38" s="241"/>
      <c r="J38" s="241"/>
      <c r="K38" s="241"/>
      <c r="L38" s="241"/>
      <c r="M38" s="241"/>
      <c r="N38" s="241"/>
      <c r="O38" s="241"/>
      <c r="P38" s="241"/>
      <c r="Q38" s="241"/>
    </row>
    <row r="39" spans="1:17" s="36" customFormat="1" ht="15" hidden="1" customHeight="1" outlineLevel="1">
      <c r="A39" s="60"/>
      <c r="B39" s="68" t="s">
        <v>488</v>
      </c>
      <c r="C39" s="13" t="s">
        <v>240</v>
      </c>
      <c r="D39" s="241"/>
      <c r="E39" s="241"/>
      <c r="F39" s="241"/>
      <c r="G39" s="241"/>
      <c r="H39" s="241"/>
      <c r="I39" s="241"/>
      <c r="J39" s="241"/>
      <c r="K39" s="241"/>
      <c r="L39" s="241"/>
      <c r="M39" s="241"/>
      <c r="N39" s="241"/>
      <c r="O39" s="241"/>
      <c r="P39" s="241"/>
      <c r="Q39" s="241"/>
    </row>
    <row r="40" spans="1:17" s="36" customFormat="1" ht="15" hidden="1" customHeight="1" outlineLevel="1">
      <c r="A40" s="60"/>
      <c r="B40" s="68" t="s">
        <v>489</v>
      </c>
      <c r="C40" s="13" t="s">
        <v>240</v>
      </c>
      <c r="D40" s="241"/>
      <c r="E40" s="241"/>
      <c r="F40" s="241"/>
      <c r="G40" s="241"/>
      <c r="H40" s="241"/>
      <c r="I40" s="241"/>
      <c r="J40" s="241"/>
      <c r="K40" s="241"/>
      <c r="L40" s="241"/>
      <c r="M40" s="241"/>
      <c r="N40" s="241"/>
      <c r="O40" s="241"/>
      <c r="P40" s="241"/>
      <c r="Q40" s="241"/>
    </row>
    <row r="41" spans="1:17" s="36" customFormat="1" ht="15" hidden="1" customHeight="1" outlineLevel="1">
      <c r="A41" s="60"/>
      <c r="B41" s="68" t="s">
        <v>490</v>
      </c>
      <c r="C41" s="13" t="s">
        <v>240</v>
      </c>
      <c r="D41" s="241"/>
      <c r="E41" s="241"/>
      <c r="F41" s="241"/>
      <c r="G41" s="241"/>
      <c r="H41" s="241"/>
      <c r="I41" s="241"/>
      <c r="J41" s="241"/>
      <c r="K41" s="241"/>
      <c r="L41" s="241"/>
      <c r="M41" s="241"/>
      <c r="N41" s="241"/>
      <c r="O41" s="241"/>
      <c r="P41" s="241"/>
      <c r="Q41" s="241"/>
    </row>
    <row r="42" spans="1:17" s="36" customFormat="1" ht="15" hidden="1" customHeight="1" outlineLevel="1">
      <c r="A42" s="60"/>
      <c r="B42" s="68" t="s">
        <v>491</v>
      </c>
      <c r="C42" s="13" t="s">
        <v>240</v>
      </c>
      <c r="D42" s="241"/>
      <c r="E42" s="241"/>
      <c r="F42" s="241"/>
      <c r="G42" s="241"/>
      <c r="H42" s="241"/>
      <c r="I42" s="241"/>
      <c r="J42" s="241"/>
      <c r="K42" s="241"/>
      <c r="L42" s="241"/>
      <c r="M42" s="241"/>
      <c r="N42" s="241"/>
      <c r="O42" s="241"/>
      <c r="P42" s="241"/>
      <c r="Q42" s="241"/>
    </row>
    <row r="43" spans="1:17" s="36" customFormat="1" ht="15" hidden="1" customHeight="1" outlineLevel="1">
      <c r="A43" s="60"/>
      <c r="B43" s="70" t="s">
        <v>492</v>
      </c>
      <c r="C43" s="13" t="s">
        <v>240</v>
      </c>
      <c r="D43" s="241"/>
      <c r="E43" s="241"/>
      <c r="F43" s="241"/>
      <c r="G43" s="241"/>
      <c r="H43" s="241"/>
      <c r="I43" s="241"/>
      <c r="J43" s="241"/>
      <c r="K43" s="241"/>
      <c r="L43" s="241"/>
      <c r="M43" s="241"/>
      <c r="N43" s="241"/>
      <c r="O43" s="241"/>
      <c r="P43" s="241"/>
      <c r="Q43" s="241"/>
    </row>
    <row r="44" spans="1:17" s="36" customFormat="1" ht="15" hidden="1" customHeight="1" outlineLevel="1">
      <c r="A44" s="60"/>
      <c r="B44" s="70" t="s">
        <v>493</v>
      </c>
      <c r="C44" s="13" t="s">
        <v>240</v>
      </c>
      <c r="D44" s="241"/>
      <c r="E44" s="241"/>
      <c r="F44" s="241"/>
      <c r="G44" s="241"/>
      <c r="H44" s="241"/>
      <c r="I44" s="241"/>
      <c r="J44" s="241"/>
      <c r="K44" s="241"/>
      <c r="L44" s="241"/>
      <c r="M44" s="241"/>
      <c r="N44" s="241"/>
      <c r="O44" s="241"/>
      <c r="P44" s="241"/>
      <c r="Q44" s="241"/>
    </row>
    <row r="45" spans="1:17" s="36" customFormat="1" ht="15" hidden="1" customHeight="1" outlineLevel="1">
      <c r="A45" s="60"/>
      <c r="B45" s="70" t="s">
        <v>494</v>
      </c>
      <c r="C45" s="13" t="s">
        <v>240</v>
      </c>
      <c r="D45" s="241"/>
      <c r="E45" s="241"/>
      <c r="F45" s="241"/>
      <c r="G45" s="241"/>
      <c r="H45" s="241"/>
      <c r="I45" s="241"/>
      <c r="J45" s="241"/>
      <c r="K45" s="241"/>
      <c r="L45" s="241"/>
      <c r="M45" s="241"/>
      <c r="N45" s="241"/>
      <c r="O45" s="241"/>
      <c r="P45" s="241"/>
      <c r="Q45" s="241"/>
    </row>
    <row r="46" spans="1:17" s="36" customFormat="1" ht="15" hidden="1" customHeight="1" outlineLevel="1">
      <c r="A46" s="60"/>
      <c r="B46" s="70" t="s">
        <v>495</v>
      </c>
      <c r="C46" s="13" t="s">
        <v>240</v>
      </c>
      <c r="D46" s="241"/>
      <c r="E46" s="241"/>
      <c r="F46" s="241"/>
      <c r="G46" s="241"/>
      <c r="H46" s="241"/>
      <c r="I46" s="241"/>
      <c r="J46" s="241"/>
      <c r="K46" s="241"/>
      <c r="L46" s="241"/>
      <c r="M46" s="241"/>
      <c r="N46" s="241"/>
      <c r="O46" s="241"/>
      <c r="P46" s="241"/>
      <c r="Q46" s="241"/>
    </row>
    <row r="47" spans="1:17" s="36" customFormat="1" ht="15" hidden="1" customHeight="1" outlineLevel="1">
      <c r="A47" s="60"/>
      <c r="B47" s="70" t="s">
        <v>496</v>
      </c>
      <c r="C47" s="13" t="s">
        <v>240</v>
      </c>
      <c r="D47" s="241"/>
      <c r="E47" s="241"/>
      <c r="F47" s="241"/>
      <c r="G47" s="241"/>
      <c r="H47" s="241"/>
      <c r="I47" s="241"/>
      <c r="J47" s="241"/>
      <c r="K47" s="241"/>
      <c r="L47" s="241"/>
      <c r="M47" s="241"/>
      <c r="N47" s="241"/>
      <c r="O47" s="241"/>
      <c r="P47" s="241"/>
      <c r="Q47" s="241"/>
    </row>
    <row r="48" spans="1:17" s="36" customFormat="1" ht="15" hidden="1" customHeight="1" outlineLevel="1">
      <c r="A48" s="60"/>
      <c r="B48" s="70" t="s">
        <v>497</v>
      </c>
      <c r="C48" s="13" t="s">
        <v>240</v>
      </c>
      <c r="D48" s="241"/>
      <c r="E48" s="241"/>
      <c r="F48" s="241"/>
      <c r="G48" s="241"/>
      <c r="H48" s="241"/>
      <c r="I48" s="241"/>
      <c r="J48" s="241"/>
      <c r="K48" s="241"/>
      <c r="L48" s="241"/>
      <c r="M48" s="241"/>
      <c r="N48" s="241"/>
      <c r="O48" s="241"/>
      <c r="P48" s="241"/>
      <c r="Q48" s="241"/>
    </row>
    <row r="49" spans="1:17" s="36" customFormat="1" ht="15" hidden="1" customHeight="1" outlineLevel="1">
      <c r="A49" s="60"/>
      <c r="B49" s="68" t="s">
        <v>498</v>
      </c>
      <c r="C49" s="13" t="s">
        <v>240</v>
      </c>
      <c r="D49" s="241"/>
      <c r="E49" s="241"/>
      <c r="F49" s="241"/>
      <c r="G49" s="241"/>
      <c r="H49" s="241"/>
      <c r="I49" s="241"/>
      <c r="J49" s="241"/>
      <c r="K49" s="241"/>
      <c r="L49" s="241"/>
      <c r="M49" s="241"/>
      <c r="N49" s="241"/>
      <c r="O49" s="241"/>
      <c r="P49" s="241"/>
      <c r="Q49" s="241"/>
    </row>
    <row r="50" spans="1:17" s="36" customFormat="1" ht="15" hidden="1" customHeight="1" outlineLevel="1">
      <c r="A50" s="60"/>
      <c r="B50" s="68" t="s">
        <v>499</v>
      </c>
      <c r="C50" s="13" t="s">
        <v>240</v>
      </c>
      <c r="D50" s="241"/>
      <c r="E50" s="241"/>
      <c r="F50" s="241"/>
      <c r="G50" s="241"/>
      <c r="H50" s="241"/>
      <c r="I50" s="241"/>
      <c r="J50" s="241"/>
      <c r="K50" s="241"/>
      <c r="L50" s="241"/>
      <c r="M50" s="241"/>
      <c r="N50" s="241"/>
      <c r="O50" s="241"/>
      <c r="P50" s="241"/>
      <c r="Q50" s="241"/>
    </row>
    <row r="51" spans="1:17" s="36" customFormat="1" collapsed="1">
      <c r="A51" s="60"/>
      <c r="B51" s="68"/>
      <c r="C51" s="13"/>
      <c r="D51" s="241"/>
      <c r="E51" s="241"/>
      <c r="F51" s="241"/>
      <c r="G51" s="241"/>
      <c r="H51" s="241"/>
      <c r="I51" s="241"/>
      <c r="J51" s="241"/>
      <c r="K51" s="241"/>
      <c r="L51" s="241"/>
      <c r="M51" s="241"/>
      <c r="N51" s="241"/>
      <c r="O51" s="241"/>
      <c r="P51" s="241"/>
      <c r="Q51" s="241"/>
    </row>
    <row r="52" spans="1:17" s="1001" customFormat="1" ht="15" customHeight="1">
      <c r="A52" s="82" t="s">
        <v>30</v>
      </c>
      <c r="B52" s="80" t="s">
        <v>502</v>
      </c>
      <c r="C52" s="999" t="s">
        <v>240</v>
      </c>
      <c r="D52" s="1000">
        <v>0</v>
      </c>
      <c r="E52" s="1000"/>
      <c r="F52" s="1000"/>
      <c r="G52" s="1000"/>
      <c r="H52" s="1000"/>
      <c r="I52" s="1000"/>
      <c r="J52" s="1000"/>
      <c r="K52" s="1000"/>
      <c r="L52" s="1000"/>
      <c r="M52" s="1000"/>
      <c r="N52" s="1000"/>
      <c r="O52" s="1000"/>
      <c r="P52" s="1000"/>
      <c r="Q52" s="1000"/>
    </row>
    <row r="53" spans="1:17" s="36" customFormat="1" ht="15" hidden="1" customHeight="1" outlineLevel="1">
      <c r="A53" s="60"/>
      <c r="B53" s="68" t="s">
        <v>487</v>
      </c>
      <c r="C53" s="13" t="s">
        <v>240</v>
      </c>
      <c r="D53" s="241"/>
      <c r="E53" s="241"/>
      <c r="F53" s="241"/>
      <c r="G53" s="241"/>
      <c r="H53" s="241"/>
      <c r="I53" s="241"/>
      <c r="J53" s="241"/>
      <c r="K53" s="241"/>
      <c r="L53" s="241"/>
      <c r="M53" s="241"/>
      <c r="N53" s="241"/>
      <c r="O53" s="241"/>
      <c r="P53" s="241"/>
      <c r="Q53" s="241"/>
    </row>
    <row r="54" spans="1:17" s="36" customFormat="1" ht="15" hidden="1" customHeight="1" outlineLevel="1">
      <c r="A54" s="60"/>
      <c r="B54" s="68" t="s">
        <v>488</v>
      </c>
      <c r="C54" s="13" t="s">
        <v>240</v>
      </c>
      <c r="D54" s="241"/>
      <c r="E54" s="241"/>
      <c r="F54" s="241"/>
      <c r="G54" s="241"/>
      <c r="H54" s="241"/>
      <c r="I54" s="241"/>
      <c r="J54" s="241"/>
      <c r="K54" s="241"/>
      <c r="L54" s="241"/>
      <c r="M54" s="241"/>
      <c r="N54" s="241"/>
      <c r="O54" s="241"/>
      <c r="P54" s="241"/>
      <c r="Q54" s="241"/>
    </row>
    <row r="55" spans="1:17" s="36" customFormat="1" ht="15" hidden="1" customHeight="1" outlineLevel="1">
      <c r="A55" s="60"/>
      <c r="B55" s="68" t="s">
        <v>489</v>
      </c>
      <c r="C55" s="13" t="s">
        <v>240</v>
      </c>
      <c r="D55" s="241"/>
      <c r="E55" s="241"/>
      <c r="F55" s="241"/>
      <c r="G55" s="241"/>
      <c r="H55" s="241"/>
      <c r="I55" s="241"/>
      <c r="J55" s="241"/>
      <c r="K55" s="241"/>
      <c r="L55" s="241"/>
      <c r="M55" s="241"/>
      <c r="N55" s="241"/>
      <c r="O55" s="241"/>
      <c r="P55" s="241"/>
      <c r="Q55" s="241"/>
    </row>
    <row r="56" spans="1:17" s="36" customFormat="1" ht="15" hidden="1" customHeight="1" outlineLevel="1">
      <c r="A56" s="60"/>
      <c r="B56" s="68" t="s">
        <v>490</v>
      </c>
      <c r="C56" s="13" t="s">
        <v>240</v>
      </c>
      <c r="D56" s="241"/>
      <c r="E56" s="241"/>
      <c r="F56" s="241"/>
      <c r="G56" s="241"/>
      <c r="H56" s="241"/>
      <c r="I56" s="241"/>
      <c r="J56" s="241"/>
      <c r="K56" s="241"/>
      <c r="L56" s="241"/>
      <c r="M56" s="241"/>
      <c r="N56" s="241"/>
      <c r="O56" s="241"/>
      <c r="P56" s="241"/>
      <c r="Q56" s="241"/>
    </row>
    <row r="57" spans="1:17" s="36" customFormat="1" ht="15" hidden="1" customHeight="1" outlineLevel="1">
      <c r="A57" s="60"/>
      <c r="B57" s="68" t="s">
        <v>491</v>
      </c>
      <c r="C57" s="13" t="s">
        <v>240</v>
      </c>
      <c r="D57" s="241"/>
      <c r="E57" s="241"/>
      <c r="F57" s="241"/>
      <c r="G57" s="241"/>
      <c r="H57" s="241"/>
      <c r="I57" s="241"/>
      <c r="J57" s="241"/>
      <c r="K57" s="241"/>
      <c r="L57" s="241"/>
      <c r="M57" s="241"/>
      <c r="N57" s="241"/>
      <c r="O57" s="241"/>
      <c r="P57" s="241"/>
      <c r="Q57" s="241"/>
    </row>
    <row r="58" spans="1:17" s="36" customFormat="1" ht="15" hidden="1" customHeight="1" outlineLevel="1">
      <c r="A58" s="60"/>
      <c r="B58" s="70" t="s">
        <v>492</v>
      </c>
      <c r="C58" s="13" t="s">
        <v>240</v>
      </c>
      <c r="D58" s="241"/>
      <c r="E58" s="241"/>
      <c r="F58" s="241"/>
      <c r="G58" s="241"/>
      <c r="H58" s="241"/>
      <c r="I58" s="241"/>
      <c r="J58" s="241"/>
      <c r="K58" s="241"/>
      <c r="L58" s="241"/>
      <c r="M58" s="241"/>
      <c r="N58" s="241"/>
      <c r="O58" s="241"/>
      <c r="P58" s="241"/>
      <c r="Q58" s="241"/>
    </row>
    <row r="59" spans="1:17" s="36" customFormat="1" ht="15" hidden="1" customHeight="1" outlineLevel="1">
      <c r="A59" s="60"/>
      <c r="B59" s="70" t="s">
        <v>493</v>
      </c>
      <c r="C59" s="13" t="s">
        <v>240</v>
      </c>
      <c r="D59" s="241"/>
      <c r="E59" s="241"/>
      <c r="F59" s="241"/>
      <c r="G59" s="241"/>
      <c r="H59" s="241"/>
      <c r="I59" s="241"/>
      <c r="J59" s="241"/>
      <c r="K59" s="241"/>
      <c r="L59" s="241"/>
      <c r="M59" s="241"/>
      <c r="N59" s="241"/>
      <c r="O59" s="241"/>
      <c r="P59" s="241"/>
      <c r="Q59" s="241"/>
    </row>
    <row r="60" spans="1:17" s="36" customFormat="1" ht="15" hidden="1" customHeight="1" outlineLevel="1">
      <c r="A60" s="60"/>
      <c r="B60" s="70" t="s">
        <v>494</v>
      </c>
      <c r="C60" s="13" t="s">
        <v>240</v>
      </c>
      <c r="D60" s="241"/>
      <c r="E60" s="241"/>
      <c r="F60" s="241"/>
      <c r="G60" s="241"/>
      <c r="H60" s="241"/>
      <c r="I60" s="241"/>
      <c r="J60" s="241"/>
      <c r="K60" s="241"/>
      <c r="L60" s="241"/>
      <c r="M60" s="241"/>
      <c r="N60" s="241"/>
      <c r="O60" s="241"/>
      <c r="P60" s="241"/>
      <c r="Q60" s="241"/>
    </row>
    <row r="61" spans="1:17" s="36" customFormat="1" ht="15" hidden="1" customHeight="1" outlineLevel="1">
      <c r="A61" s="60"/>
      <c r="B61" s="70" t="s">
        <v>495</v>
      </c>
      <c r="C61" s="13" t="s">
        <v>240</v>
      </c>
      <c r="D61" s="241"/>
      <c r="E61" s="241"/>
      <c r="F61" s="241"/>
      <c r="G61" s="241"/>
      <c r="H61" s="241"/>
      <c r="I61" s="241"/>
      <c r="J61" s="241"/>
      <c r="K61" s="241"/>
      <c r="L61" s="241"/>
      <c r="M61" s="241"/>
      <c r="N61" s="241"/>
      <c r="O61" s="241"/>
      <c r="P61" s="241"/>
      <c r="Q61" s="241"/>
    </row>
    <row r="62" spans="1:17" s="36" customFormat="1" ht="15" hidden="1" customHeight="1" outlineLevel="1">
      <c r="A62" s="60"/>
      <c r="B62" s="70" t="s">
        <v>496</v>
      </c>
      <c r="C62" s="13" t="s">
        <v>240</v>
      </c>
      <c r="D62" s="241"/>
      <c r="E62" s="241"/>
      <c r="F62" s="241"/>
      <c r="G62" s="241"/>
      <c r="H62" s="241"/>
      <c r="I62" s="241"/>
      <c r="J62" s="241"/>
      <c r="K62" s="241"/>
      <c r="L62" s="241"/>
      <c r="M62" s="241"/>
      <c r="N62" s="241"/>
      <c r="O62" s="241"/>
      <c r="P62" s="241"/>
      <c r="Q62" s="241"/>
    </row>
    <row r="63" spans="1:17" s="36" customFormat="1" ht="15" hidden="1" customHeight="1" outlineLevel="1">
      <c r="A63" s="60"/>
      <c r="B63" s="70" t="s">
        <v>497</v>
      </c>
      <c r="C63" s="13" t="s">
        <v>240</v>
      </c>
      <c r="D63" s="241"/>
      <c r="E63" s="241"/>
      <c r="F63" s="241"/>
      <c r="G63" s="241"/>
      <c r="H63" s="241"/>
      <c r="I63" s="241"/>
      <c r="J63" s="241"/>
      <c r="K63" s="241"/>
      <c r="L63" s="241"/>
      <c r="M63" s="241"/>
      <c r="N63" s="241"/>
      <c r="O63" s="241"/>
      <c r="P63" s="241"/>
      <c r="Q63" s="241"/>
    </row>
    <row r="64" spans="1:17" s="36" customFormat="1" ht="15" hidden="1" customHeight="1" outlineLevel="1">
      <c r="A64" s="60"/>
      <c r="B64" s="68" t="s">
        <v>498</v>
      </c>
      <c r="C64" s="13" t="s">
        <v>240</v>
      </c>
      <c r="D64" s="241"/>
      <c r="E64" s="241"/>
      <c r="F64" s="241"/>
      <c r="G64" s="241"/>
      <c r="H64" s="241"/>
      <c r="I64" s="241"/>
      <c r="J64" s="241"/>
      <c r="K64" s="241"/>
      <c r="L64" s="241"/>
      <c r="M64" s="241"/>
      <c r="N64" s="241"/>
      <c r="O64" s="241"/>
      <c r="P64" s="241"/>
      <c r="Q64" s="241"/>
    </row>
    <row r="65" spans="1:17" s="36" customFormat="1" ht="15" hidden="1" customHeight="1" outlineLevel="1">
      <c r="A65" s="60"/>
      <c r="B65" s="68" t="s">
        <v>499</v>
      </c>
      <c r="C65" s="13" t="s">
        <v>240</v>
      </c>
      <c r="D65" s="241"/>
      <c r="E65" s="241"/>
      <c r="F65" s="241"/>
      <c r="G65" s="241"/>
      <c r="H65" s="241"/>
      <c r="I65" s="241"/>
      <c r="J65" s="241"/>
      <c r="K65" s="241"/>
      <c r="L65" s="241"/>
      <c r="M65" s="241"/>
      <c r="N65" s="241"/>
      <c r="O65" s="241"/>
      <c r="P65" s="241"/>
      <c r="Q65" s="241"/>
    </row>
    <row r="66" spans="1:17" s="36" customFormat="1" collapsed="1">
      <c r="A66" s="60"/>
      <c r="B66" s="68"/>
      <c r="C66" s="13"/>
      <c r="D66" s="241"/>
      <c r="E66" s="241"/>
      <c r="F66" s="241"/>
      <c r="G66" s="241"/>
      <c r="H66" s="241"/>
      <c r="I66" s="241"/>
      <c r="J66" s="241"/>
      <c r="K66" s="241"/>
      <c r="L66" s="241"/>
      <c r="M66" s="241"/>
      <c r="N66" s="241"/>
      <c r="O66" s="241"/>
      <c r="P66" s="241"/>
      <c r="Q66" s="241"/>
    </row>
    <row r="67" spans="1:17" s="1001" customFormat="1" ht="30" customHeight="1">
      <c r="A67" s="82" t="s">
        <v>78</v>
      </c>
      <c r="B67" s="80" t="s">
        <v>503</v>
      </c>
      <c r="C67" s="1002" t="s">
        <v>240</v>
      </c>
      <c r="D67" s="1000">
        <v>269</v>
      </c>
      <c r="E67" s="1000"/>
      <c r="F67" s="1000"/>
      <c r="G67" s="1000"/>
      <c r="H67" s="1000"/>
      <c r="I67" s="1000"/>
      <c r="J67" s="1000"/>
      <c r="K67" s="1000"/>
      <c r="L67" s="1000"/>
      <c r="M67" s="1000"/>
      <c r="N67" s="1000"/>
      <c r="O67" s="1000"/>
      <c r="P67" s="1000"/>
      <c r="Q67" s="1000"/>
    </row>
    <row r="68" spans="1:17" s="36" customFormat="1" ht="15" customHeight="1" outlineLevel="1">
      <c r="A68" s="60"/>
      <c r="B68" s="68" t="s">
        <v>487</v>
      </c>
      <c r="C68" s="13" t="s">
        <v>240</v>
      </c>
      <c r="D68" s="241"/>
      <c r="E68" s="241"/>
      <c r="F68" s="241"/>
      <c r="G68" s="241"/>
      <c r="H68" s="241"/>
      <c r="I68" s="241"/>
      <c r="J68" s="241"/>
      <c r="K68" s="241"/>
      <c r="L68" s="241"/>
      <c r="M68" s="241"/>
      <c r="N68" s="241"/>
      <c r="O68" s="241"/>
      <c r="P68" s="241"/>
      <c r="Q68" s="241"/>
    </row>
    <row r="69" spans="1:17" s="36" customFormat="1" ht="15" customHeight="1" outlineLevel="1">
      <c r="A69" s="60"/>
      <c r="B69" s="68" t="s">
        <v>488</v>
      </c>
      <c r="C69" s="13" t="s">
        <v>240</v>
      </c>
      <c r="D69" s="241"/>
      <c r="E69" s="241"/>
      <c r="F69" s="241"/>
      <c r="G69" s="241"/>
      <c r="H69" s="241"/>
      <c r="I69" s="241"/>
      <c r="J69" s="241"/>
      <c r="K69" s="241"/>
      <c r="L69" s="241"/>
      <c r="M69" s="241"/>
      <c r="N69" s="241"/>
      <c r="O69" s="241"/>
      <c r="P69" s="241"/>
      <c r="Q69" s="241"/>
    </row>
    <row r="70" spans="1:17" s="36" customFormat="1" ht="15" customHeight="1" outlineLevel="1">
      <c r="A70" s="60"/>
      <c r="B70" s="68" t="s">
        <v>489</v>
      </c>
      <c r="C70" s="13" t="s">
        <v>240</v>
      </c>
      <c r="D70" s="241"/>
      <c r="E70" s="241"/>
      <c r="F70" s="241"/>
      <c r="G70" s="241"/>
      <c r="H70" s="241"/>
      <c r="I70" s="241"/>
      <c r="J70" s="241"/>
      <c r="K70" s="241"/>
      <c r="L70" s="241"/>
      <c r="M70" s="241"/>
      <c r="N70" s="241"/>
      <c r="O70" s="241"/>
      <c r="P70" s="241"/>
      <c r="Q70" s="241"/>
    </row>
    <row r="71" spans="1:17" s="36" customFormat="1" ht="15" customHeight="1" outlineLevel="1">
      <c r="A71" s="60"/>
      <c r="B71" s="68" t="s">
        <v>490</v>
      </c>
      <c r="C71" s="13" t="s">
        <v>240</v>
      </c>
      <c r="D71" s="241"/>
      <c r="E71" s="241"/>
      <c r="F71" s="241"/>
      <c r="G71" s="241"/>
      <c r="H71" s="241"/>
      <c r="I71" s="241"/>
      <c r="J71" s="241"/>
      <c r="K71" s="241"/>
      <c r="L71" s="241"/>
      <c r="M71" s="241"/>
      <c r="N71" s="241"/>
      <c r="O71" s="241"/>
      <c r="P71" s="241"/>
      <c r="Q71" s="241"/>
    </row>
    <row r="72" spans="1:17" s="36" customFormat="1" ht="15" customHeight="1" outlineLevel="1">
      <c r="A72" s="60"/>
      <c r="B72" s="68" t="s">
        <v>491</v>
      </c>
      <c r="C72" s="13" t="s">
        <v>240</v>
      </c>
      <c r="D72" s="241"/>
      <c r="E72" s="241"/>
      <c r="F72" s="241"/>
      <c r="G72" s="241"/>
      <c r="H72" s="241"/>
      <c r="I72" s="241"/>
      <c r="J72" s="241"/>
      <c r="K72" s="241"/>
      <c r="L72" s="241"/>
      <c r="M72" s="241"/>
      <c r="N72" s="241"/>
      <c r="O72" s="241"/>
      <c r="P72" s="241"/>
      <c r="Q72" s="241"/>
    </row>
    <row r="73" spans="1:17" s="36" customFormat="1" ht="15" customHeight="1" outlineLevel="1">
      <c r="A73" s="60"/>
      <c r="B73" s="70" t="s">
        <v>492</v>
      </c>
      <c r="C73" s="13" t="s">
        <v>240</v>
      </c>
      <c r="D73" s="241"/>
      <c r="E73" s="241"/>
      <c r="F73" s="241"/>
      <c r="G73" s="241"/>
      <c r="H73" s="241"/>
      <c r="I73" s="241"/>
      <c r="J73" s="241"/>
      <c r="K73" s="241"/>
      <c r="L73" s="241"/>
      <c r="M73" s="241"/>
      <c r="N73" s="241"/>
      <c r="O73" s="241"/>
      <c r="P73" s="241"/>
      <c r="Q73" s="241"/>
    </row>
    <row r="74" spans="1:17" s="36" customFormat="1" ht="15" customHeight="1" outlineLevel="1">
      <c r="A74" s="60"/>
      <c r="B74" s="70" t="s">
        <v>493</v>
      </c>
      <c r="C74" s="13" t="s">
        <v>240</v>
      </c>
      <c r="D74" s="241"/>
      <c r="E74" s="241"/>
      <c r="F74" s="241"/>
      <c r="G74" s="241"/>
      <c r="H74" s="241"/>
      <c r="I74" s="241"/>
      <c r="J74" s="241"/>
      <c r="K74" s="241"/>
      <c r="L74" s="241"/>
      <c r="M74" s="241"/>
      <c r="N74" s="241"/>
      <c r="O74" s="241"/>
      <c r="P74" s="241"/>
      <c r="Q74" s="241"/>
    </row>
    <row r="75" spans="1:17" s="36" customFormat="1" ht="15" customHeight="1" outlineLevel="1">
      <c r="A75" s="60"/>
      <c r="B75" s="70" t="s">
        <v>494</v>
      </c>
      <c r="C75" s="13" t="s">
        <v>240</v>
      </c>
      <c r="D75" s="241"/>
      <c r="E75" s="241"/>
      <c r="F75" s="241"/>
      <c r="G75" s="241"/>
      <c r="H75" s="241"/>
      <c r="I75" s="241"/>
      <c r="J75" s="241"/>
      <c r="K75" s="241"/>
      <c r="L75" s="241"/>
      <c r="M75" s="241"/>
      <c r="N75" s="241"/>
      <c r="O75" s="241"/>
      <c r="P75" s="241"/>
      <c r="Q75" s="241"/>
    </row>
    <row r="76" spans="1:17" s="36" customFormat="1" ht="15" customHeight="1" outlineLevel="1">
      <c r="A76" s="60"/>
      <c r="B76" s="70" t="s">
        <v>495</v>
      </c>
      <c r="C76" s="13" t="s">
        <v>240</v>
      </c>
      <c r="D76" s="241"/>
      <c r="E76" s="241"/>
      <c r="F76" s="241"/>
      <c r="G76" s="241"/>
      <c r="H76" s="241"/>
      <c r="I76" s="241"/>
      <c r="J76" s="241"/>
      <c r="K76" s="241"/>
      <c r="L76" s="241"/>
      <c r="M76" s="241"/>
      <c r="N76" s="241"/>
      <c r="O76" s="241"/>
      <c r="P76" s="241"/>
      <c r="Q76" s="241"/>
    </row>
    <row r="77" spans="1:17" s="36" customFormat="1" ht="15" customHeight="1" outlineLevel="1">
      <c r="A77" s="60"/>
      <c r="B77" s="70" t="s">
        <v>496</v>
      </c>
      <c r="C77" s="13" t="s">
        <v>240</v>
      </c>
      <c r="D77" s="241"/>
      <c r="E77" s="241"/>
      <c r="F77" s="241"/>
      <c r="G77" s="241"/>
      <c r="H77" s="241"/>
      <c r="I77" s="241"/>
      <c r="J77" s="241"/>
      <c r="K77" s="241"/>
      <c r="L77" s="241"/>
      <c r="M77" s="241"/>
      <c r="N77" s="241"/>
      <c r="O77" s="241"/>
      <c r="P77" s="241"/>
      <c r="Q77" s="241"/>
    </row>
    <row r="78" spans="1:17" s="36" customFormat="1" ht="15" customHeight="1" outlineLevel="1">
      <c r="A78" s="60"/>
      <c r="B78" s="70" t="s">
        <v>497</v>
      </c>
      <c r="C78" s="13" t="s">
        <v>240</v>
      </c>
      <c r="D78" s="241"/>
      <c r="E78" s="241"/>
      <c r="F78" s="241"/>
      <c r="G78" s="241"/>
      <c r="H78" s="241"/>
      <c r="I78" s="241"/>
      <c r="J78" s="241"/>
      <c r="K78" s="241"/>
      <c r="L78" s="241"/>
      <c r="M78" s="241"/>
      <c r="N78" s="241"/>
      <c r="O78" s="241"/>
      <c r="P78" s="241"/>
      <c r="Q78" s="241"/>
    </row>
    <row r="79" spans="1:17" s="36" customFormat="1" ht="15" customHeight="1" outlineLevel="1">
      <c r="A79" s="60"/>
      <c r="B79" s="68" t="s">
        <v>498</v>
      </c>
      <c r="C79" s="13" t="s">
        <v>240</v>
      </c>
      <c r="D79" s="241"/>
      <c r="E79" s="241"/>
      <c r="F79" s="241"/>
      <c r="G79" s="241"/>
      <c r="H79" s="241"/>
      <c r="I79" s="241"/>
      <c r="J79" s="241"/>
      <c r="K79" s="241"/>
      <c r="L79" s="241"/>
      <c r="M79" s="241"/>
      <c r="N79" s="241"/>
      <c r="O79" s="241"/>
      <c r="P79" s="241"/>
      <c r="Q79" s="241"/>
    </row>
    <row r="80" spans="1:17" s="36" customFormat="1" ht="15" customHeight="1" outlineLevel="1">
      <c r="A80" s="60"/>
      <c r="B80" s="68" t="s">
        <v>499</v>
      </c>
      <c r="C80" s="13" t="s">
        <v>240</v>
      </c>
      <c r="D80" s="241"/>
      <c r="E80" s="241"/>
      <c r="F80" s="241"/>
      <c r="G80" s="241"/>
      <c r="H80" s="241"/>
      <c r="I80" s="241"/>
      <c r="J80" s="241"/>
      <c r="K80" s="241"/>
      <c r="L80" s="241"/>
      <c r="M80" s="241"/>
      <c r="N80" s="241"/>
      <c r="O80" s="241"/>
      <c r="P80" s="241"/>
      <c r="Q80" s="241"/>
    </row>
    <row r="81" spans="1:17" s="36" customFormat="1">
      <c r="A81" s="60"/>
      <c r="B81" s="68"/>
      <c r="C81" s="13"/>
      <c r="D81" s="66"/>
      <c r="E81" s="66"/>
      <c r="F81" s="66"/>
      <c r="G81" s="66"/>
      <c r="H81" s="66"/>
      <c r="I81" s="66"/>
      <c r="J81" s="66"/>
      <c r="K81" s="66"/>
      <c r="L81" s="66"/>
      <c r="M81" s="66"/>
      <c r="N81" s="66"/>
      <c r="O81" s="66"/>
      <c r="P81" s="66"/>
      <c r="Q81" s="66"/>
    </row>
    <row r="82" spans="1:17" s="1001" customFormat="1" ht="15" customHeight="1">
      <c r="A82" s="82" t="s">
        <v>86</v>
      </c>
      <c r="B82" s="80" t="s">
        <v>504</v>
      </c>
      <c r="C82" s="999"/>
      <c r="D82" s="432">
        <f>D97/D67*100</f>
        <v>83.643122676579935</v>
      </c>
      <c r="E82" s="432"/>
      <c r="F82" s="432"/>
      <c r="G82" s="432"/>
      <c r="H82" s="432"/>
      <c r="I82" s="432"/>
      <c r="J82" s="432"/>
      <c r="K82" s="432"/>
      <c r="L82" s="432"/>
      <c r="M82" s="432"/>
      <c r="N82" s="432"/>
      <c r="O82" s="432"/>
      <c r="P82" s="432"/>
      <c r="Q82" s="432"/>
    </row>
    <row r="83" spans="1:17" s="36" customFormat="1" ht="15" customHeight="1" outlineLevel="1">
      <c r="A83" s="60"/>
      <c r="B83" s="68" t="s">
        <v>487</v>
      </c>
      <c r="C83" s="13" t="s">
        <v>138</v>
      </c>
      <c r="D83" s="66"/>
      <c r="E83" s="66"/>
      <c r="F83" s="66"/>
      <c r="G83" s="66"/>
      <c r="H83" s="66"/>
      <c r="I83" s="66"/>
      <c r="J83" s="66"/>
      <c r="K83" s="66"/>
      <c r="L83" s="66"/>
      <c r="M83" s="66"/>
      <c r="N83" s="66"/>
      <c r="O83" s="66"/>
      <c r="P83" s="66"/>
      <c r="Q83" s="66"/>
    </row>
    <row r="84" spans="1:17" s="36" customFormat="1" ht="15" customHeight="1" outlineLevel="1">
      <c r="A84" s="60"/>
      <c r="B84" s="68" t="s">
        <v>488</v>
      </c>
      <c r="C84" s="13" t="s">
        <v>138</v>
      </c>
      <c r="D84" s="66"/>
      <c r="E84" s="66"/>
      <c r="F84" s="66"/>
      <c r="G84" s="66"/>
      <c r="H84" s="66"/>
      <c r="I84" s="66"/>
      <c r="J84" s="66"/>
      <c r="K84" s="66"/>
      <c r="L84" s="66"/>
      <c r="M84" s="66"/>
      <c r="N84" s="66"/>
      <c r="O84" s="66"/>
      <c r="P84" s="66"/>
      <c r="Q84" s="66"/>
    </row>
    <row r="85" spans="1:17" s="36" customFormat="1" ht="15" customHeight="1" outlineLevel="1">
      <c r="A85" s="60"/>
      <c r="B85" s="68" t="s">
        <v>489</v>
      </c>
      <c r="C85" s="13" t="s">
        <v>138</v>
      </c>
      <c r="D85" s="66"/>
      <c r="E85" s="66"/>
      <c r="F85" s="66"/>
      <c r="G85" s="66"/>
      <c r="H85" s="66"/>
      <c r="I85" s="66"/>
      <c r="J85" s="66"/>
      <c r="K85" s="66"/>
      <c r="L85" s="66"/>
      <c r="M85" s="66"/>
      <c r="N85" s="66"/>
      <c r="O85" s="66"/>
      <c r="P85" s="66"/>
      <c r="Q85" s="66"/>
    </row>
    <row r="86" spans="1:17" s="36" customFormat="1" ht="15" customHeight="1" outlineLevel="1">
      <c r="A86" s="60"/>
      <c r="B86" s="68" t="s">
        <v>490</v>
      </c>
      <c r="C86" s="13" t="s">
        <v>138</v>
      </c>
      <c r="D86" s="66"/>
      <c r="E86" s="66"/>
      <c r="F86" s="66"/>
      <c r="G86" s="66"/>
      <c r="H86" s="66"/>
      <c r="I86" s="66"/>
      <c r="J86" s="66"/>
      <c r="K86" s="66"/>
      <c r="L86" s="66"/>
      <c r="M86" s="66"/>
      <c r="N86" s="66"/>
      <c r="O86" s="66"/>
      <c r="P86" s="66"/>
      <c r="Q86" s="66"/>
    </row>
    <row r="87" spans="1:17" s="36" customFormat="1" ht="15" customHeight="1" outlineLevel="1">
      <c r="A87" s="60"/>
      <c r="B87" s="68" t="s">
        <v>491</v>
      </c>
      <c r="C87" s="13" t="s">
        <v>138</v>
      </c>
      <c r="D87" s="66"/>
      <c r="E87" s="66"/>
      <c r="F87" s="66"/>
      <c r="G87" s="66"/>
      <c r="H87" s="66"/>
      <c r="I87" s="66"/>
      <c r="J87" s="66"/>
      <c r="K87" s="66"/>
      <c r="L87" s="66"/>
      <c r="M87" s="66"/>
      <c r="N87" s="66"/>
      <c r="O87" s="66"/>
      <c r="P87" s="66"/>
      <c r="Q87" s="66"/>
    </row>
    <row r="88" spans="1:17" s="36" customFormat="1" ht="15" customHeight="1" outlineLevel="1">
      <c r="A88" s="60"/>
      <c r="B88" s="70" t="s">
        <v>492</v>
      </c>
      <c r="C88" s="13" t="s">
        <v>138</v>
      </c>
      <c r="D88" s="66"/>
      <c r="E88" s="66"/>
      <c r="F88" s="66"/>
      <c r="G88" s="66"/>
      <c r="H88" s="66"/>
      <c r="I88" s="66"/>
      <c r="J88" s="66"/>
      <c r="K88" s="66"/>
      <c r="L88" s="66"/>
      <c r="M88" s="66"/>
      <c r="N88" s="66"/>
      <c r="O88" s="66"/>
      <c r="P88" s="66"/>
      <c r="Q88" s="66"/>
    </row>
    <row r="89" spans="1:17" s="36" customFormat="1" ht="15" customHeight="1" outlineLevel="1">
      <c r="A89" s="60"/>
      <c r="B89" s="70" t="s">
        <v>493</v>
      </c>
      <c r="C89" s="13" t="s">
        <v>138</v>
      </c>
      <c r="D89" s="66"/>
      <c r="E89" s="66"/>
      <c r="F89" s="66"/>
      <c r="G89" s="66"/>
      <c r="H89" s="66"/>
      <c r="I89" s="66"/>
      <c r="J89" s="66"/>
      <c r="K89" s="66"/>
      <c r="L89" s="66"/>
      <c r="M89" s="66"/>
      <c r="N89" s="66"/>
      <c r="O89" s="66"/>
      <c r="P89" s="66"/>
      <c r="Q89" s="66"/>
    </row>
    <row r="90" spans="1:17" s="36" customFormat="1" ht="15" customHeight="1" outlineLevel="1">
      <c r="A90" s="60"/>
      <c r="B90" s="70" t="s">
        <v>494</v>
      </c>
      <c r="C90" s="13" t="s">
        <v>138</v>
      </c>
      <c r="D90" s="66"/>
      <c r="E90" s="66"/>
      <c r="F90" s="66"/>
      <c r="G90" s="66"/>
      <c r="H90" s="66"/>
      <c r="I90" s="66"/>
      <c r="J90" s="66"/>
      <c r="K90" s="66"/>
      <c r="L90" s="66"/>
      <c r="M90" s="66"/>
      <c r="N90" s="66"/>
      <c r="O90" s="66"/>
      <c r="P90" s="66"/>
      <c r="Q90" s="66"/>
    </row>
    <row r="91" spans="1:17" s="36" customFormat="1" ht="15" customHeight="1" outlineLevel="1">
      <c r="A91" s="60"/>
      <c r="B91" s="70" t="s">
        <v>495</v>
      </c>
      <c r="C91" s="13" t="s">
        <v>138</v>
      </c>
      <c r="D91" s="66"/>
      <c r="E91" s="66"/>
      <c r="F91" s="66"/>
      <c r="G91" s="66"/>
      <c r="H91" s="66"/>
      <c r="I91" s="66"/>
      <c r="J91" s="66"/>
      <c r="K91" s="66"/>
      <c r="L91" s="66"/>
      <c r="M91" s="66"/>
      <c r="N91" s="66"/>
      <c r="O91" s="66"/>
      <c r="P91" s="66"/>
      <c r="Q91" s="66"/>
    </row>
    <row r="92" spans="1:17" s="36" customFormat="1" ht="15" customHeight="1" outlineLevel="1">
      <c r="A92" s="60"/>
      <c r="B92" s="70" t="s">
        <v>496</v>
      </c>
      <c r="C92" s="13" t="s">
        <v>138</v>
      </c>
      <c r="D92" s="66"/>
      <c r="E92" s="66"/>
      <c r="F92" s="66"/>
      <c r="G92" s="66"/>
      <c r="H92" s="66"/>
      <c r="I92" s="66"/>
      <c r="J92" s="66"/>
      <c r="K92" s="66"/>
      <c r="L92" s="66"/>
      <c r="M92" s="66"/>
      <c r="N92" s="66"/>
      <c r="O92" s="66"/>
      <c r="P92" s="66"/>
      <c r="Q92" s="66"/>
    </row>
    <row r="93" spans="1:17" s="36" customFormat="1" ht="15" customHeight="1" outlineLevel="1">
      <c r="A93" s="60"/>
      <c r="B93" s="70" t="s">
        <v>497</v>
      </c>
      <c r="C93" s="13" t="s">
        <v>138</v>
      </c>
      <c r="D93" s="66"/>
      <c r="E93" s="66"/>
      <c r="F93" s="66"/>
      <c r="G93" s="66"/>
      <c r="H93" s="66"/>
      <c r="I93" s="66"/>
      <c r="J93" s="66"/>
      <c r="K93" s="66"/>
      <c r="L93" s="66"/>
      <c r="M93" s="66"/>
      <c r="N93" s="66"/>
      <c r="O93" s="66"/>
      <c r="P93" s="66"/>
      <c r="Q93" s="66"/>
    </row>
    <row r="94" spans="1:17" s="36" customFormat="1" ht="15" customHeight="1" outlineLevel="1">
      <c r="A94" s="60"/>
      <c r="B94" s="68" t="s">
        <v>498</v>
      </c>
      <c r="C94" s="13" t="s">
        <v>138</v>
      </c>
      <c r="D94" s="66"/>
      <c r="E94" s="66"/>
      <c r="F94" s="66"/>
      <c r="G94" s="66"/>
      <c r="H94" s="66"/>
      <c r="I94" s="66"/>
      <c r="J94" s="66"/>
      <c r="K94" s="66"/>
      <c r="L94" s="66"/>
      <c r="M94" s="66"/>
      <c r="N94" s="66"/>
      <c r="O94" s="66"/>
      <c r="P94" s="66"/>
      <c r="Q94" s="66"/>
    </row>
    <row r="95" spans="1:17" s="36" customFormat="1" ht="15" customHeight="1" outlineLevel="1">
      <c r="A95" s="60"/>
      <c r="B95" s="68" t="s">
        <v>499</v>
      </c>
      <c r="C95" s="13" t="s">
        <v>138</v>
      </c>
      <c r="D95" s="66"/>
      <c r="E95" s="66"/>
      <c r="F95" s="66"/>
      <c r="G95" s="66"/>
      <c r="H95" s="66"/>
      <c r="I95" s="66"/>
      <c r="J95" s="66"/>
      <c r="K95" s="66"/>
      <c r="L95" s="66"/>
      <c r="M95" s="66"/>
      <c r="N95" s="66"/>
      <c r="O95" s="66"/>
      <c r="P95" s="66"/>
      <c r="Q95" s="66"/>
    </row>
    <row r="96" spans="1:17" s="36" customFormat="1">
      <c r="A96" s="60"/>
      <c r="B96" s="68"/>
      <c r="C96" s="13"/>
      <c r="D96" s="66"/>
      <c r="E96" s="66"/>
      <c r="F96" s="66"/>
      <c r="G96" s="66"/>
      <c r="H96" s="66"/>
      <c r="I96" s="66"/>
      <c r="J96" s="66"/>
      <c r="K96" s="66"/>
      <c r="L96" s="66"/>
      <c r="M96" s="66"/>
      <c r="N96" s="66"/>
      <c r="O96" s="66"/>
      <c r="P96" s="66"/>
      <c r="Q96" s="66"/>
    </row>
    <row r="97" spans="1:17" s="36" customFormat="1" ht="15" customHeight="1">
      <c r="A97" s="82" t="s">
        <v>109</v>
      </c>
      <c r="B97" s="80" t="s">
        <v>505</v>
      </c>
      <c r="C97" s="999" t="s">
        <v>240</v>
      </c>
      <c r="D97" s="1000">
        <v>225</v>
      </c>
      <c r="E97" s="1000">
        <f>E98+E99+E100+E101+E107+E108+E109+E110</f>
        <v>602</v>
      </c>
      <c r="F97" s="1000"/>
      <c r="G97" s="1000">
        <v>319</v>
      </c>
      <c r="H97" s="1000">
        <v>0</v>
      </c>
      <c r="I97" s="1000">
        <v>317</v>
      </c>
      <c r="J97" s="1000">
        <v>0</v>
      </c>
      <c r="K97" s="1000">
        <v>404</v>
      </c>
      <c r="L97" s="1000">
        <v>532</v>
      </c>
      <c r="M97" s="1000">
        <v>252</v>
      </c>
      <c r="N97" s="1000">
        <v>280</v>
      </c>
      <c r="O97" s="1000">
        <v>583</v>
      </c>
      <c r="P97" s="1000">
        <v>278</v>
      </c>
      <c r="Q97" s="1000">
        <v>305</v>
      </c>
    </row>
    <row r="98" spans="1:17" s="36" customFormat="1" ht="15" customHeight="1" outlineLevel="1">
      <c r="A98" s="60"/>
      <c r="B98" s="68" t="s">
        <v>487</v>
      </c>
      <c r="C98" s="13" t="s">
        <v>240</v>
      </c>
      <c r="D98" s="241"/>
      <c r="E98" s="241"/>
      <c r="F98" s="241"/>
      <c r="G98" s="241">
        <v>23</v>
      </c>
      <c r="H98" s="241"/>
      <c r="I98" s="241">
        <v>20</v>
      </c>
      <c r="J98" s="241"/>
      <c r="K98" s="241">
        <v>20</v>
      </c>
      <c r="L98" s="241">
        <v>20</v>
      </c>
      <c r="M98" s="241">
        <v>9</v>
      </c>
      <c r="N98" s="241">
        <v>11</v>
      </c>
      <c r="O98" s="241">
        <v>20</v>
      </c>
      <c r="P98" s="241">
        <v>9</v>
      </c>
      <c r="Q98" s="241">
        <v>11</v>
      </c>
    </row>
    <row r="99" spans="1:17" s="36" customFormat="1" ht="15" customHeight="1" outlineLevel="1">
      <c r="A99" s="60"/>
      <c r="B99" s="68" t="s">
        <v>488</v>
      </c>
      <c r="C99" s="13" t="s">
        <v>240</v>
      </c>
      <c r="D99" s="241"/>
      <c r="E99" s="241"/>
      <c r="F99" s="241"/>
      <c r="G99" s="241"/>
      <c r="H99" s="241"/>
      <c r="I99" s="241">
        <v>0</v>
      </c>
      <c r="J99" s="241"/>
      <c r="K99" s="241">
        <v>0</v>
      </c>
      <c r="L99" s="241">
        <v>70</v>
      </c>
      <c r="M99" s="241">
        <v>33</v>
      </c>
      <c r="N99" s="241">
        <v>37</v>
      </c>
      <c r="O99" s="241">
        <v>121</v>
      </c>
      <c r="P99" s="241">
        <v>59</v>
      </c>
      <c r="Q99" s="241">
        <v>62</v>
      </c>
    </row>
    <row r="100" spans="1:17" s="36" customFormat="1" ht="15" customHeight="1" outlineLevel="1">
      <c r="A100" s="60"/>
      <c r="B100" s="68" t="s">
        <v>489</v>
      </c>
      <c r="C100" s="13" t="s">
        <v>240</v>
      </c>
      <c r="D100" s="241"/>
      <c r="E100" s="241"/>
      <c r="F100" s="241"/>
      <c r="G100" s="241"/>
      <c r="H100" s="241"/>
      <c r="I100" s="241">
        <v>0</v>
      </c>
      <c r="J100" s="241"/>
      <c r="K100" s="241">
        <v>0</v>
      </c>
      <c r="L100" s="241">
        <v>0</v>
      </c>
      <c r="M100" s="241"/>
      <c r="N100" s="241"/>
      <c r="O100" s="241">
        <v>0</v>
      </c>
      <c r="P100" s="241"/>
      <c r="Q100" s="241"/>
    </row>
    <row r="101" spans="1:17" s="36" customFormat="1" ht="15" customHeight="1" outlineLevel="1">
      <c r="A101" s="60"/>
      <c r="B101" s="68" t="s">
        <v>490</v>
      </c>
      <c r="C101" s="13" t="s">
        <v>240</v>
      </c>
      <c r="D101" s="241"/>
      <c r="E101" s="241">
        <f>E102+E103+E104+E105+E106</f>
        <v>0</v>
      </c>
      <c r="F101" s="241"/>
      <c r="G101" s="241">
        <v>270</v>
      </c>
      <c r="H101" s="241">
        <v>0</v>
      </c>
      <c r="I101" s="241">
        <v>270</v>
      </c>
      <c r="J101" s="241"/>
      <c r="K101" s="241">
        <v>344</v>
      </c>
      <c r="L101" s="241">
        <v>402</v>
      </c>
      <c r="M101" s="241">
        <v>195</v>
      </c>
      <c r="N101" s="241">
        <v>207</v>
      </c>
      <c r="O101" s="241">
        <v>402</v>
      </c>
      <c r="P101" s="241">
        <v>195</v>
      </c>
      <c r="Q101" s="241">
        <v>207</v>
      </c>
    </row>
    <row r="102" spans="1:17" s="36" customFormat="1" ht="15" customHeight="1" outlineLevel="1">
      <c r="A102" s="60"/>
      <c r="B102" s="68" t="s">
        <v>491</v>
      </c>
      <c r="C102" s="13" t="s">
        <v>240</v>
      </c>
      <c r="D102" s="241"/>
      <c r="E102" s="241"/>
      <c r="F102" s="241"/>
      <c r="G102" s="241"/>
      <c r="H102" s="241"/>
      <c r="I102" s="241">
        <v>0</v>
      </c>
      <c r="J102" s="241"/>
      <c r="K102" s="241">
        <v>0</v>
      </c>
      <c r="L102" s="241">
        <v>0</v>
      </c>
      <c r="M102" s="241"/>
      <c r="N102" s="241"/>
      <c r="O102" s="241">
        <v>0</v>
      </c>
      <c r="P102" s="241"/>
      <c r="Q102" s="241"/>
    </row>
    <row r="103" spans="1:17" s="36" customFormat="1" ht="15" customHeight="1" outlineLevel="1">
      <c r="A103" s="60"/>
      <c r="B103" s="70" t="s">
        <v>492</v>
      </c>
      <c r="C103" s="13" t="s">
        <v>240</v>
      </c>
      <c r="D103" s="241"/>
      <c r="E103" s="241"/>
      <c r="F103" s="241"/>
      <c r="G103" s="241"/>
      <c r="H103" s="241"/>
      <c r="I103" s="241">
        <v>0</v>
      </c>
      <c r="J103" s="241"/>
      <c r="K103" s="241">
        <v>0</v>
      </c>
      <c r="L103" s="241">
        <v>0</v>
      </c>
      <c r="M103" s="241"/>
      <c r="N103" s="241"/>
      <c r="O103" s="241">
        <v>0</v>
      </c>
      <c r="P103" s="241"/>
      <c r="Q103" s="241"/>
    </row>
    <row r="104" spans="1:17" s="36" customFormat="1" ht="15" customHeight="1" outlineLevel="1">
      <c r="A104" s="60"/>
      <c r="B104" s="70" t="s">
        <v>493</v>
      </c>
      <c r="C104" s="13" t="s">
        <v>240</v>
      </c>
      <c r="D104" s="241"/>
      <c r="E104" s="241"/>
      <c r="F104" s="241"/>
      <c r="G104" s="241">
        <v>176</v>
      </c>
      <c r="H104" s="241"/>
      <c r="I104" s="241">
        <v>200</v>
      </c>
      <c r="J104" s="241"/>
      <c r="K104" s="241">
        <v>249</v>
      </c>
      <c r="L104" s="241">
        <v>277</v>
      </c>
      <c r="M104" s="241">
        <v>135</v>
      </c>
      <c r="N104" s="241">
        <v>142</v>
      </c>
      <c r="O104" s="241">
        <v>277</v>
      </c>
      <c r="P104" s="241">
        <v>135</v>
      </c>
      <c r="Q104" s="241">
        <v>142</v>
      </c>
    </row>
    <row r="105" spans="1:17" s="36" customFormat="1" ht="15" customHeight="1" outlineLevel="1">
      <c r="A105" s="60"/>
      <c r="B105" s="70" t="s">
        <v>494</v>
      </c>
      <c r="C105" s="13" t="s">
        <v>240</v>
      </c>
      <c r="D105" s="241"/>
      <c r="E105" s="241"/>
      <c r="F105" s="241"/>
      <c r="G105" s="241">
        <v>74</v>
      </c>
      <c r="H105" s="241"/>
      <c r="I105" s="241">
        <v>49</v>
      </c>
      <c r="J105" s="241"/>
      <c r="K105" s="241">
        <v>74</v>
      </c>
      <c r="L105" s="241">
        <v>104</v>
      </c>
      <c r="M105" s="241">
        <v>50</v>
      </c>
      <c r="N105" s="241">
        <v>54</v>
      </c>
      <c r="O105" s="241">
        <v>104</v>
      </c>
      <c r="P105" s="241">
        <v>50</v>
      </c>
      <c r="Q105" s="241">
        <v>54</v>
      </c>
    </row>
    <row r="106" spans="1:17" s="36" customFormat="1" ht="15" customHeight="1" outlineLevel="1">
      <c r="A106" s="60"/>
      <c r="B106" s="70" t="s">
        <v>495</v>
      </c>
      <c r="C106" s="13" t="s">
        <v>240</v>
      </c>
      <c r="D106" s="241"/>
      <c r="E106" s="241"/>
      <c r="F106" s="241"/>
      <c r="G106" s="241">
        <v>20</v>
      </c>
      <c r="H106" s="241"/>
      <c r="I106" s="241">
        <v>21</v>
      </c>
      <c r="J106" s="241"/>
      <c r="K106" s="241">
        <v>21</v>
      </c>
      <c r="L106" s="241">
        <v>21</v>
      </c>
      <c r="M106" s="241">
        <v>10</v>
      </c>
      <c r="N106" s="241">
        <v>11</v>
      </c>
      <c r="O106" s="241">
        <v>21</v>
      </c>
      <c r="P106" s="241">
        <v>10</v>
      </c>
      <c r="Q106" s="241">
        <v>11</v>
      </c>
    </row>
    <row r="107" spans="1:17" s="36" customFormat="1" ht="15" customHeight="1" outlineLevel="1">
      <c r="A107" s="60"/>
      <c r="B107" s="70" t="s">
        <v>496</v>
      </c>
      <c r="C107" s="13" t="s">
        <v>240</v>
      </c>
      <c r="D107" s="241"/>
      <c r="E107" s="241"/>
      <c r="F107" s="241"/>
      <c r="G107" s="241"/>
      <c r="H107" s="241"/>
      <c r="I107" s="241">
        <v>0</v>
      </c>
      <c r="J107" s="241"/>
      <c r="K107" s="241">
        <v>0</v>
      </c>
      <c r="L107" s="241">
        <v>0</v>
      </c>
      <c r="M107" s="241"/>
      <c r="N107" s="241"/>
      <c r="O107" s="241">
        <v>0</v>
      </c>
      <c r="P107" s="241"/>
      <c r="Q107" s="241"/>
    </row>
    <row r="108" spans="1:17" s="36" customFormat="1" ht="15" customHeight="1" outlineLevel="1">
      <c r="A108" s="60"/>
      <c r="B108" s="70" t="s">
        <v>497</v>
      </c>
      <c r="C108" s="13" t="s">
        <v>240</v>
      </c>
      <c r="D108" s="241"/>
      <c r="E108" s="241"/>
      <c r="F108" s="241"/>
      <c r="G108" s="241"/>
      <c r="H108" s="241"/>
      <c r="I108" s="241">
        <v>0</v>
      </c>
      <c r="J108" s="241"/>
      <c r="K108" s="241">
        <v>0</v>
      </c>
      <c r="L108" s="241">
        <v>0</v>
      </c>
      <c r="M108" s="241"/>
      <c r="N108" s="241"/>
      <c r="O108" s="241">
        <v>0</v>
      </c>
      <c r="P108" s="241"/>
      <c r="Q108" s="241"/>
    </row>
    <row r="109" spans="1:17" s="36" customFormat="1" ht="15" customHeight="1" outlineLevel="1">
      <c r="A109" s="60"/>
      <c r="B109" s="68" t="s">
        <v>498</v>
      </c>
      <c r="C109" s="13" t="s">
        <v>240</v>
      </c>
      <c r="D109" s="241"/>
      <c r="E109" s="241">
        <v>602</v>
      </c>
      <c r="F109" s="241"/>
      <c r="G109" s="241">
        <v>22</v>
      </c>
      <c r="H109" s="241"/>
      <c r="I109" s="241">
        <v>24</v>
      </c>
      <c r="J109" s="241"/>
      <c r="K109" s="241">
        <v>24</v>
      </c>
      <c r="L109" s="241">
        <v>24</v>
      </c>
      <c r="M109" s="241">
        <v>10</v>
      </c>
      <c r="N109" s="241">
        <v>14</v>
      </c>
      <c r="O109" s="241">
        <v>24</v>
      </c>
      <c r="P109" s="241">
        <v>10</v>
      </c>
      <c r="Q109" s="241">
        <v>14</v>
      </c>
    </row>
    <row r="110" spans="1:17" s="36" customFormat="1" ht="15" customHeight="1" outlineLevel="1">
      <c r="A110" s="60"/>
      <c r="B110" s="68" t="s">
        <v>499</v>
      </c>
      <c r="C110" s="13" t="s">
        <v>240</v>
      </c>
      <c r="D110" s="241"/>
      <c r="E110" s="241"/>
      <c r="F110" s="241"/>
      <c r="G110" s="241">
        <v>4</v>
      </c>
      <c r="H110" s="241"/>
      <c r="I110" s="241">
        <v>3</v>
      </c>
      <c r="J110" s="241"/>
      <c r="K110" s="241">
        <v>16</v>
      </c>
      <c r="L110" s="241">
        <v>16</v>
      </c>
      <c r="M110" s="241">
        <v>5</v>
      </c>
      <c r="N110" s="241">
        <v>11</v>
      </c>
      <c r="O110" s="241">
        <v>16</v>
      </c>
      <c r="P110" s="241">
        <v>5</v>
      </c>
      <c r="Q110" s="241">
        <v>11</v>
      </c>
    </row>
    <row r="111" spans="1:17" s="1001" customFormat="1" ht="28.5">
      <c r="A111" s="82" t="s">
        <v>151</v>
      </c>
      <c r="B111" s="80" t="s">
        <v>1524</v>
      </c>
      <c r="C111" s="1002" t="s">
        <v>240</v>
      </c>
      <c r="D111" s="1000">
        <f>D97</f>
        <v>225</v>
      </c>
      <c r="E111" s="1000">
        <f t="shared" ref="E111:N111" si="0">E97</f>
        <v>602</v>
      </c>
      <c r="F111" s="1000">
        <f t="shared" si="0"/>
        <v>0</v>
      </c>
      <c r="G111" s="1000">
        <v>319</v>
      </c>
      <c r="H111" s="1000"/>
      <c r="I111" s="1000">
        <v>317</v>
      </c>
      <c r="J111" s="1000">
        <v>0</v>
      </c>
      <c r="K111" s="1000">
        <v>404</v>
      </c>
      <c r="L111" s="1000">
        <v>532</v>
      </c>
      <c r="M111" s="1000">
        <v>252</v>
      </c>
      <c r="N111" s="1000">
        <v>280</v>
      </c>
      <c r="O111" s="1000">
        <v>583</v>
      </c>
      <c r="P111" s="1000">
        <v>278</v>
      </c>
      <c r="Q111" s="1000">
        <v>305</v>
      </c>
    </row>
    <row r="112" spans="1:17" s="36" customFormat="1" ht="15" customHeight="1">
      <c r="A112" s="60" t="s">
        <v>153</v>
      </c>
      <c r="B112" s="70" t="s">
        <v>402</v>
      </c>
      <c r="C112" s="13" t="s">
        <v>240</v>
      </c>
      <c r="D112" s="241"/>
      <c r="E112" s="241"/>
      <c r="F112" s="241"/>
      <c r="G112" s="241"/>
      <c r="H112" s="241"/>
      <c r="I112" s="241"/>
      <c r="J112" s="241"/>
      <c r="K112" s="241"/>
      <c r="L112" s="241"/>
      <c r="M112" s="241"/>
      <c r="N112" s="241"/>
      <c r="O112" s="241"/>
      <c r="P112" s="241"/>
      <c r="Q112" s="241"/>
    </row>
    <row r="113" spans="1:17" s="36" customFormat="1" ht="15" customHeight="1">
      <c r="A113" s="60" t="s">
        <v>1528</v>
      </c>
      <c r="B113" s="70" t="s">
        <v>404</v>
      </c>
      <c r="C113" s="13" t="s">
        <v>240</v>
      </c>
      <c r="D113" s="241">
        <v>225</v>
      </c>
      <c r="E113" s="241">
        <v>602</v>
      </c>
      <c r="F113" s="241"/>
      <c r="G113" s="241">
        <v>319</v>
      </c>
      <c r="H113" s="241"/>
      <c r="I113" s="241">
        <v>317</v>
      </c>
      <c r="J113" s="241">
        <v>0</v>
      </c>
      <c r="K113" s="241">
        <v>404</v>
      </c>
      <c r="L113" s="241">
        <v>532</v>
      </c>
      <c r="M113" s="241">
        <v>252</v>
      </c>
      <c r="N113" s="241">
        <v>280</v>
      </c>
      <c r="O113" s="241">
        <v>583</v>
      </c>
      <c r="P113" s="241">
        <v>278</v>
      </c>
      <c r="Q113" s="241">
        <v>305</v>
      </c>
    </row>
    <row r="114" spans="1:17" s="36" customFormat="1" ht="15" customHeight="1">
      <c r="A114" s="60" t="s">
        <v>1529</v>
      </c>
      <c r="B114" s="70" t="s">
        <v>406</v>
      </c>
      <c r="C114" s="13" t="s">
        <v>240</v>
      </c>
      <c r="D114" s="241"/>
      <c r="E114" s="241"/>
      <c r="F114" s="241"/>
      <c r="G114" s="241"/>
      <c r="H114" s="241"/>
      <c r="I114" s="241"/>
      <c r="J114" s="241"/>
      <c r="K114" s="241"/>
      <c r="L114" s="241"/>
      <c r="M114" s="241"/>
      <c r="N114" s="241"/>
      <c r="O114" s="241"/>
      <c r="P114" s="241"/>
      <c r="Q114" s="241"/>
    </row>
    <row r="115" spans="1:17" s="36" customFormat="1" ht="15" customHeight="1">
      <c r="A115" s="60" t="s">
        <v>1530</v>
      </c>
      <c r="B115" s="70" t="s">
        <v>408</v>
      </c>
      <c r="C115" s="13" t="s">
        <v>240</v>
      </c>
      <c r="D115" s="241"/>
      <c r="E115" s="241"/>
      <c r="F115" s="241"/>
      <c r="G115" s="241"/>
      <c r="H115" s="241"/>
      <c r="I115" s="241"/>
      <c r="J115" s="241"/>
      <c r="K115" s="241"/>
      <c r="L115" s="241"/>
      <c r="M115" s="241"/>
      <c r="N115" s="241"/>
      <c r="O115" s="241"/>
      <c r="P115" s="241"/>
      <c r="Q115" s="241"/>
    </row>
    <row r="116" spans="1:17" customFormat="1" ht="12.75"/>
    <row r="117" spans="1:17" s="26" customFormat="1">
      <c r="A117" s="26" t="s">
        <v>88</v>
      </c>
      <c r="C117" s="48"/>
    </row>
    <row r="118" spans="1:17" s="541" customFormat="1" ht="51.75" customHeight="1">
      <c r="A118" s="541" t="s">
        <v>89</v>
      </c>
      <c r="B118" s="1842" t="s">
        <v>506</v>
      </c>
      <c r="C118" s="1842"/>
      <c r="D118" s="1842"/>
      <c r="E118" s="1842"/>
      <c r="F118" s="1842"/>
      <c r="G118" s="1842"/>
      <c r="H118" s="1842"/>
      <c r="I118" s="1842"/>
      <c r="J118" s="1842"/>
      <c r="K118" s="1842"/>
      <c r="L118" s="1842"/>
      <c r="M118" s="1842"/>
      <c r="N118" s="1842"/>
    </row>
    <row r="119" spans="1:17" s="541" customFormat="1" ht="58.5" customHeight="1">
      <c r="A119" s="541" t="s">
        <v>91</v>
      </c>
      <c r="B119" s="1842" t="s">
        <v>507</v>
      </c>
      <c r="C119" s="1842"/>
      <c r="D119" s="1842"/>
      <c r="E119" s="1842"/>
      <c r="F119" s="1842"/>
      <c r="G119" s="1842"/>
      <c r="H119" s="1842"/>
      <c r="I119" s="1842"/>
      <c r="J119" s="1842"/>
      <c r="K119" s="1842"/>
      <c r="L119" s="1842"/>
      <c r="M119" s="1842"/>
      <c r="N119" s="1842"/>
    </row>
    <row r="120" spans="1:17" ht="21" customHeight="1"/>
  </sheetData>
  <mergeCells count="3">
    <mergeCell ref="A3:N3"/>
    <mergeCell ref="B118:N118"/>
    <mergeCell ref="B119:N119"/>
  </mergeCells>
  <pageMargins left="0.78740157480314965" right="0.51181102362204722" top="0.59055118110236227" bottom="0.39370078740157483" header="0.19685039370078741" footer="0.19685039370078741"/>
  <pageSetup paperSize="9" scale="43" orientation="portrait" r:id="rId1"/>
  <headerFooter alignWithMargins="0"/>
  <rowBreaks count="1" manualBreakCount="1">
    <brk id="116" max="6" man="1"/>
  </rowBreaks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 tint="0.39997558519241921"/>
  </sheetPr>
  <dimension ref="A1:R120"/>
  <sheetViews>
    <sheetView view="pageBreakPreview" zoomScaleNormal="100" workbookViewId="0">
      <pane xSplit="2" ySplit="5" topLeftCell="C23" activePane="bottomRight" state="frozen"/>
      <selection activeCell="F4" sqref="F4"/>
      <selection pane="topRight" activeCell="F4" sqref="F4"/>
      <selection pane="bottomLeft" activeCell="F4" sqref="F4"/>
      <selection pane="bottomRight" activeCell="F4" sqref="F4"/>
    </sheetView>
  </sheetViews>
  <sheetFormatPr defaultColWidth="4.28515625" defaultRowHeight="15" outlineLevelRow="1"/>
  <cols>
    <col min="1" max="1" width="5.42578125" style="1" customWidth="1"/>
    <col min="2" max="2" width="42.28515625" style="1" customWidth="1"/>
    <col min="3" max="3" width="12" style="21" customWidth="1"/>
    <col min="4" max="4" width="12.5703125" style="1" hidden="1" customWidth="1"/>
    <col min="5" max="5" width="11.5703125" style="1" hidden="1" customWidth="1"/>
    <col min="6" max="10" width="12.5703125" style="1" customWidth="1"/>
    <col min="11" max="11" width="15.7109375" style="1" customWidth="1"/>
    <col min="12" max="12" width="12.5703125" style="1" customWidth="1"/>
    <col min="13" max="13" width="11.42578125" style="1" customWidth="1"/>
    <col min="14" max="14" width="11" style="1" customWidth="1"/>
    <col min="15" max="15" width="12.7109375" style="1" customWidth="1"/>
    <col min="16" max="16" width="10.85546875" style="1" customWidth="1"/>
    <col min="17" max="17" width="10.5703125" style="1" customWidth="1"/>
    <col min="18" max="16384" width="4.28515625" style="1"/>
  </cols>
  <sheetData>
    <row r="1" spans="1:18" s="5" customFormat="1" ht="15.75" customHeight="1">
      <c r="A1" s="74" t="s">
        <v>1860</v>
      </c>
      <c r="C1" s="20"/>
      <c r="N1" s="6" t="s">
        <v>943</v>
      </c>
      <c r="Q1" s="6" t="s">
        <v>943</v>
      </c>
    </row>
    <row r="2" spans="1:18" s="5" customFormat="1" ht="12.75" customHeight="1">
      <c r="A2" s="1693" t="str">
        <f>'3.1'!$A$2</f>
        <v>ПКГО - Комбинированная выработка КТЭЦ</v>
      </c>
      <c r="C2" s="20"/>
      <c r="R2" s="5" t="s">
        <v>1243</v>
      </c>
    </row>
    <row r="3" spans="1:18" ht="37.5" customHeight="1">
      <c r="A3" s="1964" t="s">
        <v>1179</v>
      </c>
      <c r="B3" s="1964"/>
      <c r="C3" s="1964"/>
      <c r="D3" s="1964"/>
      <c r="E3" s="1964"/>
      <c r="F3" s="1964"/>
      <c r="G3" s="1964"/>
      <c r="H3" s="1964"/>
      <c r="I3" s="1964"/>
      <c r="J3" s="1964"/>
      <c r="K3" s="1964"/>
      <c r="L3" s="1964"/>
      <c r="M3" s="1964"/>
      <c r="N3" s="1964"/>
    </row>
    <row r="4" spans="1:18" customFormat="1" ht="12.75" customHeight="1"/>
    <row r="5" spans="1:18" s="3" customFormat="1" ht="63" customHeight="1">
      <c r="A5" s="1692" t="s">
        <v>1527</v>
      </c>
      <c r="B5" s="1692" t="s">
        <v>1</v>
      </c>
      <c r="C5" s="1692" t="s">
        <v>2</v>
      </c>
      <c r="D5" s="1692" t="s">
        <v>1129</v>
      </c>
      <c r="E5" s="1692" t="s">
        <v>1130</v>
      </c>
      <c r="F5" s="1692" t="s">
        <v>1131</v>
      </c>
      <c r="G5" s="1692" t="s">
        <v>1695</v>
      </c>
      <c r="H5" s="1692" t="s">
        <v>1696</v>
      </c>
      <c r="I5" s="1692" t="s">
        <v>1828</v>
      </c>
      <c r="J5" s="1692" t="s">
        <v>1842</v>
      </c>
      <c r="K5" s="1692" t="s">
        <v>1861</v>
      </c>
      <c r="L5" s="1692" t="s">
        <v>1862</v>
      </c>
      <c r="M5" s="1692" t="s">
        <v>763</v>
      </c>
      <c r="N5" s="1692" t="s">
        <v>764</v>
      </c>
      <c r="O5" s="1692" t="s">
        <v>1863</v>
      </c>
      <c r="P5" s="1692" t="s">
        <v>763</v>
      </c>
      <c r="Q5" s="1692" t="s">
        <v>764</v>
      </c>
    </row>
    <row r="6" spans="1:18" s="2" customFormat="1">
      <c r="A6" s="13">
        <v>1</v>
      </c>
      <c r="B6" s="13">
        <v>2</v>
      </c>
      <c r="C6" s="13">
        <v>3</v>
      </c>
      <c r="D6" s="13">
        <v>4</v>
      </c>
      <c r="E6" s="13">
        <v>5</v>
      </c>
      <c r="F6" s="13">
        <v>4</v>
      </c>
      <c r="G6" s="13">
        <v>5</v>
      </c>
      <c r="H6" s="13">
        <v>6</v>
      </c>
      <c r="I6" s="13">
        <v>7</v>
      </c>
      <c r="J6" s="13">
        <v>8</v>
      </c>
      <c r="K6" s="13">
        <v>9</v>
      </c>
      <c r="L6" s="13">
        <v>10</v>
      </c>
      <c r="M6" s="13">
        <v>11</v>
      </c>
      <c r="N6" s="13">
        <v>12</v>
      </c>
      <c r="O6" s="13">
        <v>13</v>
      </c>
      <c r="P6" s="13">
        <v>14</v>
      </c>
      <c r="Q6" s="13">
        <v>15</v>
      </c>
    </row>
    <row r="7" spans="1:18" s="1001" customFormat="1" ht="30" customHeight="1">
      <c r="A7" s="82" t="s">
        <v>4</v>
      </c>
      <c r="B7" s="80" t="s">
        <v>486</v>
      </c>
      <c r="C7" s="1002" t="s">
        <v>240</v>
      </c>
      <c r="D7" s="1000">
        <v>866147</v>
      </c>
      <c r="E7" s="1000">
        <f t="shared" ref="E7:Q7" si="0">E8+E9+E10+E11+E17+E18+E19+E20</f>
        <v>1301729</v>
      </c>
      <c r="F7" s="1000"/>
      <c r="G7" s="1000">
        <f>G8+G9+G10+G11+G17+G18+G19+G20</f>
        <v>0</v>
      </c>
      <c r="H7" s="1000"/>
      <c r="I7" s="1000">
        <v>135075</v>
      </c>
      <c r="J7" s="1000">
        <v>0</v>
      </c>
      <c r="K7" s="1000">
        <v>141900</v>
      </c>
      <c r="L7" s="1000">
        <v>152951.95000000001</v>
      </c>
      <c r="M7" s="1000">
        <v>152951.95000000001</v>
      </c>
      <c r="N7" s="1000">
        <v>152951.95000000001</v>
      </c>
      <c r="O7" s="1000">
        <v>168965.15000000002</v>
      </c>
      <c r="P7" s="1000">
        <v>168965.15000000002</v>
      </c>
      <c r="Q7" s="1000">
        <v>168965.15000000002</v>
      </c>
    </row>
    <row r="8" spans="1:18" s="36" customFormat="1" ht="15" customHeight="1" outlineLevel="1">
      <c r="A8" s="60"/>
      <c r="B8" s="68" t="s">
        <v>487</v>
      </c>
      <c r="C8" s="13" t="s">
        <v>240</v>
      </c>
      <c r="D8" s="241"/>
      <c r="E8" s="241">
        <v>703326</v>
      </c>
      <c r="F8" s="241"/>
      <c r="G8" s="241"/>
      <c r="H8" s="241"/>
      <c r="I8" s="241">
        <v>110596</v>
      </c>
      <c r="J8" s="241"/>
      <c r="K8" s="241">
        <v>110596</v>
      </c>
      <c r="L8" s="241">
        <v>110596</v>
      </c>
      <c r="M8" s="241">
        <v>110596</v>
      </c>
      <c r="N8" s="241">
        <v>110596</v>
      </c>
      <c r="O8" s="241">
        <v>110596</v>
      </c>
      <c r="P8" s="241">
        <v>110596</v>
      </c>
      <c r="Q8" s="241">
        <v>110596</v>
      </c>
    </row>
    <row r="9" spans="1:18" s="36" customFormat="1" ht="15" customHeight="1" outlineLevel="1">
      <c r="A9" s="60"/>
      <c r="B9" s="68" t="s">
        <v>488</v>
      </c>
      <c r="C9" s="13" t="s">
        <v>240</v>
      </c>
      <c r="D9" s="241"/>
      <c r="E9" s="241">
        <v>190892</v>
      </c>
      <c r="F9" s="241"/>
      <c r="G9" s="241"/>
      <c r="H9" s="241"/>
      <c r="I9" s="241"/>
      <c r="J9" s="241"/>
      <c r="K9" s="241">
        <v>0</v>
      </c>
      <c r="L9" s="241">
        <v>0</v>
      </c>
      <c r="M9" s="241">
        <v>0</v>
      </c>
      <c r="N9" s="241">
        <v>0</v>
      </c>
      <c r="O9" s="241">
        <v>0</v>
      </c>
      <c r="P9" s="241">
        <v>0</v>
      </c>
      <c r="Q9" s="241">
        <v>0</v>
      </c>
    </row>
    <row r="10" spans="1:18" s="36" customFormat="1" ht="15" customHeight="1" outlineLevel="1">
      <c r="A10" s="60"/>
      <c r="B10" s="68" t="s">
        <v>489</v>
      </c>
      <c r="C10" s="13" t="s">
        <v>240</v>
      </c>
      <c r="D10" s="241"/>
      <c r="E10" s="241">
        <v>20071</v>
      </c>
      <c r="F10" s="241"/>
      <c r="G10" s="241"/>
      <c r="H10" s="241"/>
      <c r="I10" s="241"/>
      <c r="J10" s="241"/>
      <c r="K10" s="241">
        <v>0</v>
      </c>
      <c r="L10" s="241">
        <v>0</v>
      </c>
      <c r="M10" s="241">
        <v>0</v>
      </c>
      <c r="N10" s="241">
        <v>0</v>
      </c>
      <c r="O10" s="241">
        <v>0</v>
      </c>
      <c r="P10" s="241">
        <v>0</v>
      </c>
      <c r="Q10" s="241">
        <v>0</v>
      </c>
    </row>
    <row r="11" spans="1:18" s="36" customFormat="1" ht="15" customHeight="1" outlineLevel="1">
      <c r="A11" s="60"/>
      <c r="B11" s="68" t="s">
        <v>490</v>
      </c>
      <c r="C11" s="13" t="s">
        <v>240</v>
      </c>
      <c r="D11" s="241"/>
      <c r="E11" s="241">
        <f t="shared" ref="E11" si="1">E12+E13+E14+E15+E16</f>
        <v>378881</v>
      </c>
      <c r="F11" s="241"/>
      <c r="G11" s="241"/>
      <c r="H11" s="241">
        <v>0</v>
      </c>
      <c r="I11" s="241">
        <v>21681</v>
      </c>
      <c r="J11" s="241">
        <v>0</v>
      </c>
      <c r="K11" s="241">
        <v>28510</v>
      </c>
      <c r="L11" s="241">
        <v>28657</v>
      </c>
      <c r="M11" s="241">
        <v>28657</v>
      </c>
      <c r="N11" s="241">
        <v>28657</v>
      </c>
      <c r="O11" s="241">
        <v>30558.2</v>
      </c>
      <c r="P11" s="241">
        <v>30558.2</v>
      </c>
      <c r="Q11" s="241">
        <v>30558.2</v>
      </c>
    </row>
    <row r="12" spans="1:18" s="36" customFormat="1" ht="15" customHeight="1" outlineLevel="1">
      <c r="A12" s="60"/>
      <c r="B12" s="68" t="s">
        <v>491</v>
      </c>
      <c r="C12" s="13" t="s">
        <v>240</v>
      </c>
      <c r="D12" s="241"/>
      <c r="E12" s="241">
        <v>102053</v>
      </c>
      <c r="F12" s="241"/>
      <c r="G12" s="241"/>
      <c r="H12" s="241"/>
      <c r="I12" s="241"/>
      <c r="J12" s="241"/>
      <c r="K12" s="241">
        <v>0</v>
      </c>
      <c r="L12" s="241">
        <v>0</v>
      </c>
      <c r="M12" s="241">
        <v>0</v>
      </c>
      <c r="N12" s="241">
        <v>0</v>
      </c>
      <c r="O12" s="241">
        <v>0</v>
      </c>
      <c r="P12" s="241">
        <v>0</v>
      </c>
      <c r="Q12" s="241">
        <v>0</v>
      </c>
    </row>
    <row r="13" spans="1:18" s="36" customFormat="1" ht="15" customHeight="1" outlineLevel="1">
      <c r="A13" s="60"/>
      <c r="B13" s="70" t="s">
        <v>492</v>
      </c>
      <c r="C13" s="13" t="s">
        <v>240</v>
      </c>
      <c r="D13" s="241"/>
      <c r="E13" s="241">
        <v>23461</v>
      </c>
      <c r="F13" s="241"/>
      <c r="G13" s="241"/>
      <c r="H13" s="241"/>
      <c r="I13" s="241">
        <v>6138</v>
      </c>
      <c r="J13" s="241"/>
      <c r="K13" s="241">
        <v>7976</v>
      </c>
      <c r="L13" s="241">
        <v>7976</v>
      </c>
      <c r="M13" s="241">
        <v>7976</v>
      </c>
      <c r="N13" s="241">
        <v>7976</v>
      </c>
      <c r="O13" s="241">
        <v>7976</v>
      </c>
      <c r="P13" s="241">
        <v>7976</v>
      </c>
      <c r="Q13" s="241">
        <v>7976</v>
      </c>
    </row>
    <row r="14" spans="1:18" s="36" customFormat="1" ht="15" customHeight="1" outlineLevel="1">
      <c r="A14" s="60"/>
      <c r="B14" s="70" t="s">
        <v>493</v>
      </c>
      <c r="C14" s="13" t="s">
        <v>240</v>
      </c>
      <c r="D14" s="241"/>
      <c r="E14" s="241">
        <v>4442</v>
      </c>
      <c r="F14" s="241"/>
      <c r="G14" s="241"/>
      <c r="H14" s="241"/>
      <c r="I14" s="241"/>
      <c r="J14" s="241"/>
      <c r="K14" s="241">
        <v>0</v>
      </c>
      <c r="L14" s="241">
        <v>147</v>
      </c>
      <c r="M14" s="241">
        <v>147</v>
      </c>
      <c r="N14" s="241">
        <v>147</v>
      </c>
      <c r="O14" s="241">
        <v>284.2</v>
      </c>
      <c r="P14" s="241">
        <v>284.2</v>
      </c>
      <c r="Q14" s="241">
        <v>284.2</v>
      </c>
    </row>
    <row r="15" spans="1:18" s="36" customFormat="1" ht="15" customHeight="1" outlineLevel="1">
      <c r="A15" s="60"/>
      <c r="B15" s="70" t="s">
        <v>494</v>
      </c>
      <c r="C15" s="13" t="s">
        <v>240</v>
      </c>
      <c r="D15" s="241"/>
      <c r="E15" s="241">
        <v>1290</v>
      </c>
      <c r="F15" s="241"/>
      <c r="G15" s="241"/>
      <c r="H15" s="241"/>
      <c r="I15" s="241">
        <v>15543</v>
      </c>
      <c r="J15" s="241"/>
      <c r="K15" s="241">
        <v>20534</v>
      </c>
      <c r="L15" s="241">
        <v>20534</v>
      </c>
      <c r="M15" s="241">
        <v>20534</v>
      </c>
      <c r="N15" s="241">
        <v>20534</v>
      </c>
      <c r="O15" s="241">
        <v>22298</v>
      </c>
      <c r="P15" s="241">
        <v>22298</v>
      </c>
      <c r="Q15" s="241">
        <v>22298</v>
      </c>
    </row>
    <row r="16" spans="1:18" s="36" customFormat="1" ht="15" customHeight="1" outlineLevel="1">
      <c r="A16" s="60"/>
      <c r="B16" s="70" t="s">
        <v>495</v>
      </c>
      <c r="C16" s="13" t="s">
        <v>240</v>
      </c>
      <c r="D16" s="241"/>
      <c r="E16" s="241">
        <v>247635</v>
      </c>
      <c r="F16" s="241"/>
      <c r="G16" s="241"/>
      <c r="H16" s="241"/>
      <c r="I16" s="241"/>
      <c r="J16" s="241"/>
      <c r="K16" s="241">
        <v>0</v>
      </c>
      <c r="L16" s="241">
        <v>0</v>
      </c>
      <c r="M16" s="241">
        <v>0</v>
      </c>
      <c r="N16" s="241">
        <v>0</v>
      </c>
      <c r="O16" s="241">
        <v>0</v>
      </c>
      <c r="P16" s="241">
        <v>0</v>
      </c>
      <c r="Q16" s="241">
        <v>0</v>
      </c>
    </row>
    <row r="17" spans="1:17" s="36" customFormat="1" ht="15" customHeight="1" outlineLevel="1">
      <c r="A17" s="60"/>
      <c r="B17" s="70" t="s">
        <v>496</v>
      </c>
      <c r="C17" s="13" t="s">
        <v>240</v>
      </c>
      <c r="D17" s="241"/>
      <c r="E17" s="241">
        <v>1798</v>
      </c>
      <c r="F17" s="241"/>
      <c r="G17" s="241"/>
      <c r="H17" s="241"/>
      <c r="I17" s="241"/>
      <c r="J17" s="241"/>
      <c r="K17" s="241">
        <v>0</v>
      </c>
      <c r="L17" s="241">
        <v>7791</v>
      </c>
      <c r="M17" s="241">
        <v>7791</v>
      </c>
      <c r="N17" s="241">
        <v>7791</v>
      </c>
      <c r="O17" s="241">
        <v>17739.47</v>
      </c>
      <c r="P17" s="241">
        <v>17739.47</v>
      </c>
      <c r="Q17" s="241">
        <v>17739.47</v>
      </c>
    </row>
    <row r="18" spans="1:17" s="36" customFormat="1" ht="15" customHeight="1" outlineLevel="1">
      <c r="A18" s="60"/>
      <c r="B18" s="70" t="s">
        <v>497</v>
      </c>
      <c r="C18" s="13" t="s">
        <v>240</v>
      </c>
      <c r="D18" s="241"/>
      <c r="E18" s="241">
        <v>5</v>
      </c>
      <c r="F18" s="241"/>
      <c r="G18" s="241"/>
      <c r="H18" s="241"/>
      <c r="I18" s="241"/>
      <c r="J18" s="241"/>
      <c r="K18" s="241">
        <v>0</v>
      </c>
      <c r="L18" s="241">
        <v>0</v>
      </c>
      <c r="M18" s="241">
        <v>0</v>
      </c>
      <c r="N18" s="241">
        <v>0</v>
      </c>
      <c r="O18" s="241">
        <v>0</v>
      </c>
      <c r="P18" s="241">
        <v>0</v>
      </c>
      <c r="Q18" s="241">
        <v>0</v>
      </c>
    </row>
    <row r="19" spans="1:17" s="36" customFormat="1" ht="15" customHeight="1" outlineLevel="1">
      <c r="A19" s="60"/>
      <c r="B19" s="68" t="s">
        <v>498</v>
      </c>
      <c r="C19" s="13" t="s">
        <v>240</v>
      </c>
      <c r="D19" s="241"/>
      <c r="E19" s="241">
        <v>946</v>
      </c>
      <c r="F19" s="241"/>
      <c r="G19" s="241"/>
      <c r="H19" s="241"/>
      <c r="I19" s="241">
        <v>2708</v>
      </c>
      <c r="J19" s="241"/>
      <c r="K19" s="241">
        <v>2704</v>
      </c>
      <c r="L19" s="241">
        <v>2704</v>
      </c>
      <c r="M19" s="241">
        <v>2704</v>
      </c>
      <c r="N19" s="241">
        <v>2704</v>
      </c>
      <c r="O19" s="241">
        <v>2704</v>
      </c>
      <c r="P19" s="241">
        <v>2704</v>
      </c>
      <c r="Q19" s="241">
        <v>2704</v>
      </c>
    </row>
    <row r="20" spans="1:17" s="36" customFormat="1" ht="15" customHeight="1" outlineLevel="1">
      <c r="A20" s="60"/>
      <c r="B20" s="68" t="s">
        <v>499</v>
      </c>
      <c r="C20" s="13" t="s">
        <v>240</v>
      </c>
      <c r="D20" s="241"/>
      <c r="E20" s="241">
        <v>5810</v>
      </c>
      <c r="F20" s="241"/>
      <c r="G20" s="241"/>
      <c r="H20" s="241"/>
      <c r="I20" s="241">
        <v>90</v>
      </c>
      <c r="J20" s="241"/>
      <c r="K20" s="241">
        <v>90</v>
      </c>
      <c r="L20" s="241">
        <v>3203.95</v>
      </c>
      <c r="M20" s="241">
        <v>3203.95</v>
      </c>
      <c r="N20" s="241">
        <v>3203.95</v>
      </c>
      <c r="O20" s="241">
        <v>7367.48</v>
      </c>
      <c r="P20" s="241">
        <v>7367.48</v>
      </c>
      <c r="Q20" s="241">
        <v>7367.48</v>
      </c>
    </row>
    <row r="21" spans="1:17" s="36" customFormat="1">
      <c r="A21" s="60"/>
      <c r="B21" s="68"/>
      <c r="C21" s="13"/>
      <c r="D21" s="241"/>
      <c r="E21" s="241"/>
      <c r="F21" s="241"/>
      <c r="G21" s="241"/>
      <c r="H21" s="241"/>
      <c r="I21" s="241"/>
      <c r="J21" s="241"/>
      <c r="K21" s="241"/>
      <c r="L21" s="241"/>
      <c r="M21" s="241"/>
      <c r="N21" s="241"/>
      <c r="O21" s="241"/>
      <c r="P21" s="241"/>
      <c r="Q21" s="241"/>
    </row>
    <row r="22" spans="1:17" s="1001" customFormat="1" ht="60" customHeight="1">
      <c r="A22" s="82" t="s">
        <v>23</v>
      </c>
      <c r="B22" s="80" t="s">
        <v>500</v>
      </c>
      <c r="C22" s="1002" t="s">
        <v>240</v>
      </c>
      <c r="D22" s="1000">
        <f t="shared" ref="D22:Q22" si="2">D23+D24+D25+D26+D32+D33+D34+D35</f>
        <v>0</v>
      </c>
      <c r="E22" s="1000">
        <f t="shared" si="2"/>
        <v>479963</v>
      </c>
      <c r="F22" s="1000">
        <f t="shared" si="2"/>
        <v>0</v>
      </c>
      <c r="G22" s="1000">
        <f t="shared" si="2"/>
        <v>0</v>
      </c>
      <c r="H22" s="1000">
        <f t="shared" si="2"/>
        <v>0</v>
      </c>
      <c r="I22" s="1000">
        <v>0</v>
      </c>
      <c r="J22" s="1000">
        <v>0</v>
      </c>
      <c r="K22" s="1000">
        <v>0</v>
      </c>
      <c r="L22" s="1000">
        <v>0</v>
      </c>
      <c r="M22" s="1000">
        <v>0</v>
      </c>
      <c r="N22" s="1000">
        <v>0</v>
      </c>
      <c r="O22" s="1000">
        <v>0</v>
      </c>
      <c r="P22" s="1000">
        <v>0</v>
      </c>
      <c r="Q22" s="1000">
        <v>0</v>
      </c>
    </row>
    <row r="23" spans="1:17" s="36" customFormat="1" ht="15" customHeight="1" outlineLevel="1">
      <c r="A23" s="60"/>
      <c r="B23" s="68" t="s">
        <v>487</v>
      </c>
      <c r="C23" s="13" t="s">
        <v>240</v>
      </c>
      <c r="D23" s="241"/>
      <c r="E23" s="241">
        <v>479963</v>
      </c>
      <c r="F23" s="241"/>
      <c r="G23" s="241"/>
      <c r="H23" s="241"/>
      <c r="I23" s="241"/>
      <c r="J23" s="241"/>
      <c r="K23" s="241"/>
      <c r="L23" s="241"/>
      <c r="M23" s="241"/>
      <c r="N23" s="241"/>
      <c r="O23" s="241"/>
      <c r="P23" s="241"/>
      <c r="Q23" s="241"/>
    </row>
    <row r="24" spans="1:17" s="36" customFormat="1" ht="15" customHeight="1" outlineLevel="1">
      <c r="A24" s="60"/>
      <c r="B24" s="68" t="s">
        <v>488</v>
      </c>
      <c r="C24" s="13" t="s">
        <v>240</v>
      </c>
      <c r="D24" s="241"/>
      <c r="E24" s="241"/>
      <c r="F24" s="241"/>
      <c r="G24" s="241"/>
      <c r="H24" s="241"/>
      <c r="I24" s="241"/>
      <c r="J24" s="241"/>
      <c r="K24" s="241"/>
      <c r="L24" s="241"/>
      <c r="M24" s="241"/>
      <c r="N24" s="241"/>
      <c r="O24" s="241"/>
      <c r="P24" s="241"/>
      <c r="Q24" s="241"/>
    </row>
    <row r="25" spans="1:17" s="36" customFormat="1" ht="15" customHeight="1" outlineLevel="1">
      <c r="A25" s="60"/>
      <c r="B25" s="68" t="s">
        <v>489</v>
      </c>
      <c r="C25" s="13" t="s">
        <v>240</v>
      </c>
      <c r="D25" s="241"/>
      <c r="E25" s="241"/>
      <c r="F25" s="241"/>
      <c r="G25" s="241"/>
      <c r="H25" s="241"/>
      <c r="I25" s="241"/>
      <c r="J25" s="241"/>
      <c r="K25" s="241"/>
      <c r="L25" s="241"/>
      <c r="M25" s="241"/>
      <c r="N25" s="241"/>
      <c r="O25" s="241"/>
      <c r="P25" s="241"/>
      <c r="Q25" s="241"/>
    </row>
    <row r="26" spans="1:17" s="36" customFormat="1" ht="15" customHeight="1" outlineLevel="1">
      <c r="A26" s="60"/>
      <c r="B26" s="68" t="s">
        <v>490</v>
      </c>
      <c r="C26" s="13" t="s">
        <v>240</v>
      </c>
      <c r="D26" s="241"/>
      <c r="E26" s="241"/>
      <c r="F26" s="241"/>
      <c r="G26" s="241"/>
      <c r="H26" s="241"/>
      <c r="I26" s="241"/>
      <c r="J26" s="241"/>
      <c r="K26" s="241"/>
      <c r="L26" s="241"/>
      <c r="M26" s="241"/>
      <c r="N26" s="241"/>
      <c r="O26" s="241"/>
      <c r="P26" s="241"/>
      <c r="Q26" s="241"/>
    </row>
    <row r="27" spans="1:17" s="36" customFormat="1" ht="15" customHeight="1" outlineLevel="1">
      <c r="A27" s="60"/>
      <c r="B27" s="68" t="s">
        <v>491</v>
      </c>
      <c r="C27" s="13" t="s">
        <v>240</v>
      </c>
      <c r="D27" s="241"/>
      <c r="E27" s="241"/>
      <c r="F27" s="241"/>
      <c r="G27" s="241"/>
      <c r="H27" s="241"/>
      <c r="I27" s="241"/>
      <c r="J27" s="241"/>
      <c r="K27" s="241"/>
      <c r="L27" s="241"/>
      <c r="M27" s="241"/>
      <c r="N27" s="241"/>
      <c r="O27" s="241"/>
      <c r="P27" s="241"/>
      <c r="Q27" s="241"/>
    </row>
    <row r="28" spans="1:17" s="36" customFormat="1" ht="15" customHeight="1" outlineLevel="1">
      <c r="A28" s="60"/>
      <c r="B28" s="70" t="s">
        <v>492</v>
      </c>
      <c r="C28" s="13" t="s">
        <v>240</v>
      </c>
      <c r="D28" s="241"/>
      <c r="E28" s="241"/>
      <c r="F28" s="241"/>
      <c r="G28" s="241"/>
      <c r="H28" s="241"/>
      <c r="I28" s="241"/>
      <c r="J28" s="241"/>
      <c r="K28" s="241"/>
      <c r="L28" s="241"/>
      <c r="M28" s="241"/>
      <c r="N28" s="241"/>
      <c r="O28" s="241"/>
      <c r="P28" s="241"/>
      <c r="Q28" s="241"/>
    </row>
    <row r="29" spans="1:17" s="36" customFormat="1" ht="15" customHeight="1" outlineLevel="1">
      <c r="A29" s="60"/>
      <c r="B29" s="70" t="s">
        <v>493</v>
      </c>
      <c r="C29" s="13" t="s">
        <v>240</v>
      </c>
      <c r="D29" s="241"/>
      <c r="E29" s="241"/>
      <c r="F29" s="241"/>
      <c r="G29" s="241"/>
      <c r="H29" s="241"/>
      <c r="I29" s="241"/>
      <c r="J29" s="241"/>
      <c r="K29" s="241"/>
      <c r="L29" s="241"/>
      <c r="M29" s="241"/>
      <c r="N29" s="241"/>
      <c r="O29" s="241"/>
      <c r="P29" s="241"/>
      <c r="Q29" s="241"/>
    </row>
    <row r="30" spans="1:17" s="36" customFormat="1" ht="15" customHeight="1" outlineLevel="1">
      <c r="A30" s="60"/>
      <c r="B30" s="70" t="s">
        <v>494</v>
      </c>
      <c r="C30" s="13" t="s">
        <v>240</v>
      </c>
      <c r="D30" s="241"/>
      <c r="E30" s="241"/>
      <c r="F30" s="241"/>
      <c r="G30" s="241"/>
      <c r="H30" s="241"/>
      <c r="I30" s="241"/>
      <c r="J30" s="241"/>
      <c r="K30" s="241"/>
      <c r="L30" s="241"/>
      <c r="M30" s="241"/>
      <c r="N30" s="241"/>
      <c r="O30" s="241"/>
      <c r="P30" s="241"/>
      <c r="Q30" s="241"/>
    </row>
    <row r="31" spans="1:17" s="36" customFormat="1" ht="15" customHeight="1" outlineLevel="1">
      <c r="A31" s="60"/>
      <c r="B31" s="70" t="s">
        <v>495</v>
      </c>
      <c r="C31" s="13" t="s">
        <v>240</v>
      </c>
      <c r="D31" s="241"/>
      <c r="E31" s="241"/>
      <c r="F31" s="241"/>
      <c r="G31" s="241"/>
      <c r="H31" s="241"/>
      <c r="I31" s="241"/>
      <c r="J31" s="241"/>
      <c r="K31" s="241"/>
      <c r="L31" s="241"/>
      <c r="M31" s="241"/>
      <c r="N31" s="241"/>
      <c r="O31" s="241"/>
      <c r="P31" s="241"/>
      <c r="Q31" s="241"/>
    </row>
    <row r="32" spans="1:17" s="36" customFormat="1" ht="15" customHeight="1" outlineLevel="1">
      <c r="A32" s="60"/>
      <c r="B32" s="70" t="s">
        <v>496</v>
      </c>
      <c r="C32" s="13" t="s">
        <v>240</v>
      </c>
      <c r="D32" s="241"/>
      <c r="E32" s="241"/>
      <c r="F32" s="241"/>
      <c r="G32" s="241"/>
      <c r="H32" s="241"/>
      <c r="I32" s="241"/>
      <c r="J32" s="241"/>
      <c r="K32" s="241"/>
      <c r="L32" s="241"/>
      <c r="M32" s="241"/>
      <c r="N32" s="241"/>
      <c r="O32" s="241"/>
      <c r="P32" s="241"/>
      <c r="Q32" s="241"/>
    </row>
    <row r="33" spans="1:17" s="36" customFormat="1" ht="15" customHeight="1" outlineLevel="1">
      <c r="A33" s="60"/>
      <c r="B33" s="70" t="s">
        <v>497</v>
      </c>
      <c r="C33" s="13" t="s">
        <v>240</v>
      </c>
      <c r="D33" s="241"/>
      <c r="E33" s="241"/>
      <c r="F33" s="241"/>
      <c r="G33" s="241"/>
      <c r="H33" s="241"/>
      <c r="I33" s="241"/>
      <c r="J33" s="241"/>
      <c r="K33" s="241"/>
      <c r="L33" s="241"/>
      <c r="M33" s="241"/>
      <c r="N33" s="241"/>
      <c r="O33" s="241"/>
      <c r="P33" s="241"/>
      <c r="Q33" s="241"/>
    </row>
    <row r="34" spans="1:17" s="36" customFormat="1" ht="15" customHeight="1" outlineLevel="1">
      <c r="A34" s="60"/>
      <c r="B34" s="68" t="s">
        <v>498</v>
      </c>
      <c r="C34" s="13" t="s">
        <v>240</v>
      </c>
      <c r="D34" s="241"/>
      <c r="E34" s="241"/>
      <c r="F34" s="241"/>
      <c r="G34" s="241"/>
      <c r="H34" s="241"/>
      <c r="I34" s="241"/>
      <c r="J34" s="241"/>
      <c r="K34" s="241"/>
      <c r="L34" s="241"/>
      <c r="M34" s="241"/>
      <c r="N34" s="241"/>
      <c r="O34" s="241"/>
      <c r="P34" s="241"/>
      <c r="Q34" s="241"/>
    </row>
    <row r="35" spans="1:17" s="36" customFormat="1" ht="15" customHeight="1" outlineLevel="1">
      <c r="A35" s="60"/>
      <c r="B35" s="68" t="s">
        <v>499</v>
      </c>
      <c r="C35" s="13" t="s">
        <v>240</v>
      </c>
      <c r="D35" s="241"/>
      <c r="E35" s="241"/>
      <c r="F35" s="241"/>
      <c r="G35" s="241"/>
      <c r="H35" s="241"/>
      <c r="I35" s="241"/>
      <c r="J35" s="241"/>
      <c r="K35" s="241"/>
      <c r="L35" s="241"/>
      <c r="M35" s="241"/>
      <c r="N35" s="241"/>
      <c r="O35" s="241"/>
      <c r="P35" s="241"/>
      <c r="Q35" s="241"/>
    </row>
    <row r="36" spans="1:17" s="36" customFormat="1">
      <c r="A36" s="60"/>
      <c r="B36" s="68"/>
      <c r="C36" s="13"/>
      <c r="D36" s="241"/>
      <c r="E36" s="241"/>
      <c r="F36" s="241"/>
      <c r="G36" s="241"/>
      <c r="H36" s="241"/>
      <c r="I36" s="241"/>
      <c r="J36" s="241"/>
      <c r="K36" s="241"/>
      <c r="L36" s="241"/>
      <c r="M36" s="241"/>
      <c r="N36" s="241"/>
      <c r="O36" s="241"/>
      <c r="P36" s="241"/>
      <c r="Q36" s="241"/>
    </row>
    <row r="37" spans="1:17" s="1001" customFormat="1" ht="15" customHeight="1">
      <c r="A37" s="82" t="s">
        <v>27</v>
      </c>
      <c r="B37" s="80" t="s">
        <v>501</v>
      </c>
      <c r="C37" s="999" t="s">
        <v>240</v>
      </c>
      <c r="D37" s="1000">
        <v>23334</v>
      </c>
      <c r="E37" s="1000">
        <f t="shared" ref="E37:Q37" si="3">E38+E39+E40+E41+E47+E48+E49+E50</f>
        <v>25864</v>
      </c>
      <c r="F37" s="1000">
        <f t="shared" si="3"/>
        <v>0</v>
      </c>
      <c r="G37" s="1000">
        <f t="shared" si="3"/>
        <v>0</v>
      </c>
      <c r="H37" s="1000"/>
      <c r="I37" s="1000">
        <v>7260</v>
      </c>
      <c r="J37" s="1000">
        <v>0</v>
      </c>
      <c r="K37" s="1000">
        <v>11051.95</v>
      </c>
      <c r="L37" s="1000">
        <v>16013.2</v>
      </c>
      <c r="M37" s="1000">
        <v>0</v>
      </c>
      <c r="N37" s="1000">
        <v>16013.2</v>
      </c>
      <c r="O37" s="1000">
        <v>17997.7</v>
      </c>
      <c r="P37" s="1000">
        <v>0</v>
      </c>
      <c r="Q37" s="1000">
        <v>17997.7</v>
      </c>
    </row>
    <row r="38" spans="1:17" s="36" customFormat="1" ht="15" customHeight="1" outlineLevel="1">
      <c r="A38" s="60"/>
      <c r="B38" s="68" t="s">
        <v>487</v>
      </c>
      <c r="C38" s="13" t="s">
        <v>240</v>
      </c>
      <c r="D38" s="241"/>
      <c r="E38" s="241"/>
      <c r="F38" s="241"/>
      <c r="G38" s="1003"/>
      <c r="H38" s="1003"/>
      <c r="I38" s="1003"/>
      <c r="J38" s="1003"/>
      <c r="K38" s="1003">
        <v>0</v>
      </c>
      <c r="L38" s="1003">
        <v>0</v>
      </c>
      <c r="M38" s="1003">
        <v>0</v>
      </c>
      <c r="N38" s="1003">
        <v>0</v>
      </c>
      <c r="O38" s="1003">
        <v>0</v>
      </c>
      <c r="P38" s="1003">
        <v>0</v>
      </c>
      <c r="Q38" s="1003">
        <v>0</v>
      </c>
    </row>
    <row r="39" spans="1:17" s="36" customFormat="1" ht="15" customHeight="1" outlineLevel="1">
      <c r="A39" s="60"/>
      <c r="B39" s="68" t="s">
        <v>488</v>
      </c>
      <c r="C39" s="13" t="s">
        <v>240</v>
      </c>
      <c r="D39" s="241"/>
      <c r="E39" s="241">
        <v>17120</v>
      </c>
      <c r="F39" s="241"/>
      <c r="G39" s="1003"/>
      <c r="H39" s="1003"/>
      <c r="I39" s="1003"/>
      <c r="J39" s="1003"/>
      <c r="K39" s="1003">
        <v>0</v>
      </c>
      <c r="L39" s="1003">
        <v>0</v>
      </c>
      <c r="M39" s="1003">
        <v>0</v>
      </c>
      <c r="N39" s="1003">
        <v>0</v>
      </c>
      <c r="O39" s="1003">
        <v>0</v>
      </c>
      <c r="P39" s="1003">
        <v>0</v>
      </c>
      <c r="Q39" s="1003">
        <v>0</v>
      </c>
    </row>
    <row r="40" spans="1:17" s="36" customFormat="1" ht="15" customHeight="1" outlineLevel="1">
      <c r="A40" s="60"/>
      <c r="B40" s="68" t="s">
        <v>489</v>
      </c>
      <c r="C40" s="13" t="s">
        <v>240</v>
      </c>
      <c r="D40" s="241"/>
      <c r="E40" s="241"/>
      <c r="F40" s="241"/>
      <c r="G40" s="1003"/>
      <c r="H40" s="1003"/>
      <c r="I40" s="1003"/>
      <c r="J40" s="1003"/>
      <c r="K40" s="1003">
        <v>0</v>
      </c>
      <c r="L40" s="1003">
        <v>0</v>
      </c>
      <c r="M40" s="1003">
        <v>0</v>
      </c>
      <c r="N40" s="1003">
        <v>0</v>
      </c>
      <c r="O40" s="1003">
        <v>0</v>
      </c>
      <c r="P40" s="1003">
        <v>0</v>
      </c>
      <c r="Q40" s="1003">
        <v>0</v>
      </c>
    </row>
    <row r="41" spans="1:17" s="36" customFormat="1" ht="15" customHeight="1" outlineLevel="1">
      <c r="A41" s="60"/>
      <c r="B41" s="68" t="s">
        <v>490</v>
      </c>
      <c r="C41" s="13" t="s">
        <v>240</v>
      </c>
      <c r="D41" s="241"/>
      <c r="E41" s="241">
        <f t="shared" ref="E41" si="4">E42+E43+E44+E45+E46</f>
        <v>8325</v>
      </c>
      <c r="F41" s="241"/>
      <c r="G41" s="1003"/>
      <c r="H41" s="1003">
        <v>0</v>
      </c>
      <c r="I41" s="1003">
        <v>7250</v>
      </c>
      <c r="J41" s="1003"/>
      <c r="K41" s="1003">
        <v>147</v>
      </c>
      <c r="L41" s="1003">
        <v>1901.2</v>
      </c>
      <c r="M41" s="1003">
        <v>0</v>
      </c>
      <c r="N41" s="1003">
        <v>1901.2</v>
      </c>
      <c r="O41" s="1003">
        <v>3750.46</v>
      </c>
      <c r="P41" s="1003">
        <v>0</v>
      </c>
      <c r="Q41" s="1003">
        <v>3750.46</v>
      </c>
    </row>
    <row r="42" spans="1:17" s="36" customFormat="1" ht="15" customHeight="1" outlineLevel="1">
      <c r="A42" s="60"/>
      <c r="B42" s="68" t="s">
        <v>491</v>
      </c>
      <c r="C42" s="13" t="s">
        <v>240</v>
      </c>
      <c r="D42" s="241"/>
      <c r="E42" s="241"/>
      <c r="F42" s="241"/>
      <c r="G42" s="1003"/>
      <c r="H42" s="1003"/>
      <c r="I42" s="1003"/>
      <c r="J42" s="1003"/>
      <c r="K42" s="1003">
        <v>0</v>
      </c>
      <c r="L42" s="1003">
        <v>0</v>
      </c>
      <c r="M42" s="1003">
        <v>0</v>
      </c>
      <c r="N42" s="1003">
        <v>0</v>
      </c>
      <c r="O42" s="1003">
        <v>0</v>
      </c>
      <c r="P42" s="1003">
        <v>0</v>
      </c>
      <c r="Q42" s="1003">
        <v>0</v>
      </c>
    </row>
    <row r="43" spans="1:17" s="36" customFormat="1" ht="15" customHeight="1" outlineLevel="1">
      <c r="A43" s="60"/>
      <c r="B43" s="70" t="s">
        <v>492</v>
      </c>
      <c r="C43" s="13" t="s">
        <v>240</v>
      </c>
      <c r="D43" s="241"/>
      <c r="E43" s="241">
        <v>2178</v>
      </c>
      <c r="F43" s="241"/>
      <c r="G43" s="1003"/>
      <c r="H43" s="1003"/>
      <c r="I43" s="1003">
        <v>1838</v>
      </c>
      <c r="J43" s="1003"/>
      <c r="K43" s="1003">
        <v>0</v>
      </c>
      <c r="L43" s="1003">
        <v>0</v>
      </c>
      <c r="M43" s="1003">
        <v>0</v>
      </c>
      <c r="N43" s="1003">
        <v>0</v>
      </c>
      <c r="O43" s="1003">
        <v>0</v>
      </c>
      <c r="P43" s="1003">
        <v>0</v>
      </c>
      <c r="Q43" s="1003">
        <v>0</v>
      </c>
    </row>
    <row r="44" spans="1:17" s="36" customFormat="1" ht="15" customHeight="1" outlineLevel="1">
      <c r="A44" s="60"/>
      <c r="B44" s="70" t="s">
        <v>493</v>
      </c>
      <c r="C44" s="13" t="s">
        <v>240</v>
      </c>
      <c r="D44" s="241"/>
      <c r="E44" s="241">
        <v>120</v>
      </c>
      <c r="F44" s="241"/>
      <c r="G44" s="1003"/>
      <c r="H44" s="1003"/>
      <c r="I44" s="1003"/>
      <c r="J44" s="1003"/>
      <c r="K44" s="1003">
        <v>147</v>
      </c>
      <c r="L44" s="1003">
        <v>137.19999999999999</v>
      </c>
      <c r="M44" s="1003">
        <v>0</v>
      </c>
      <c r="N44" s="1003">
        <v>137.19999999999999</v>
      </c>
      <c r="O44" s="1003">
        <v>514.5</v>
      </c>
      <c r="P44" s="1003">
        <v>0</v>
      </c>
      <c r="Q44" s="1003">
        <v>514.5</v>
      </c>
    </row>
    <row r="45" spans="1:17" s="36" customFormat="1" ht="15" customHeight="1" outlineLevel="1">
      <c r="A45" s="60"/>
      <c r="B45" s="70" t="s">
        <v>494</v>
      </c>
      <c r="C45" s="13" t="s">
        <v>240</v>
      </c>
      <c r="D45" s="241"/>
      <c r="E45" s="241">
        <v>105</v>
      </c>
      <c r="F45" s="241"/>
      <c r="G45" s="1003"/>
      <c r="H45" s="1003"/>
      <c r="I45" s="1003">
        <v>5412</v>
      </c>
      <c r="J45" s="1003"/>
      <c r="K45" s="1003">
        <v>0</v>
      </c>
      <c r="L45" s="1003">
        <v>1764</v>
      </c>
      <c r="M45" s="1003">
        <v>0</v>
      </c>
      <c r="N45" s="1003">
        <v>1764</v>
      </c>
      <c r="O45" s="1003">
        <v>3235.96</v>
      </c>
      <c r="P45" s="1003">
        <v>0</v>
      </c>
      <c r="Q45" s="1003">
        <v>3235.96</v>
      </c>
    </row>
    <row r="46" spans="1:17" s="36" customFormat="1" ht="15" customHeight="1" outlineLevel="1">
      <c r="A46" s="60"/>
      <c r="B46" s="70" t="s">
        <v>495</v>
      </c>
      <c r="C46" s="13" t="s">
        <v>240</v>
      </c>
      <c r="D46" s="241"/>
      <c r="E46" s="241">
        <v>5922</v>
      </c>
      <c r="F46" s="241"/>
      <c r="G46" s="1003"/>
      <c r="H46" s="1003"/>
      <c r="I46" s="1003"/>
      <c r="J46" s="1003"/>
      <c r="K46" s="1003">
        <v>0</v>
      </c>
      <c r="L46" s="1003">
        <v>0</v>
      </c>
      <c r="M46" s="1003">
        <v>0</v>
      </c>
      <c r="N46" s="1003">
        <v>0</v>
      </c>
      <c r="O46" s="1003">
        <v>0</v>
      </c>
      <c r="P46" s="1003">
        <v>0</v>
      </c>
      <c r="Q46" s="1003">
        <v>0</v>
      </c>
    </row>
    <row r="47" spans="1:17" s="36" customFormat="1" ht="15" customHeight="1" outlineLevel="1">
      <c r="A47" s="60"/>
      <c r="B47" s="70" t="s">
        <v>496</v>
      </c>
      <c r="C47" s="13" t="s">
        <v>240</v>
      </c>
      <c r="D47" s="241"/>
      <c r="E47" s="241"/>
      <c r="F47" s="241"/>
      <c r="G47" s="1003"/>
      <c r="H47" s="1003"/>
      <c r="I47" s="1003"/>
      <c r="J47" s="1003"/>
      <c r="K47" s="1003">
        <v>7791</v>
      </c>
      <c r="L47" s="1003">
        <v>9948.4699999999993</v>
      </c>
      <c r="M47" s="1003">
        <v>0</v>
      </c>
      <c r="N47" s="1003">
        <v>9948.4699999999993</v>
      </c>
      <c r="O47" s="1003">
        <v>10021.969999999999</v>
      </c>
      <c r="P47" s="1003">
        <v>0</v>
      </c>
      <c r="Q47" s="1003">
        <v>10021.969999999999</v>
      </c>
    </row>
    <row r="48" spans="1:17" s="36" customFormat="1" ht="15" customHeight="1" outlineLevel="1">
      <c r="A48" s="60"/>
      <c r="B48" s="70" t="s">
        <v>497</v>
      </c>
      <c r="C48" s="13" t="s">
        <v>240</v>
      </c>
      <c r="D48" s="241"/>
      <c r="E48" s="241">
        <v>5</v>
      </c>
      <c r="F48" s="241"/>
      <c r="G48" s="1003"/>
      <c r="H48" s="1003"/>
      <c r="I48" s="1003"/>
      <c r="J48" s="1003"/>
      <c r="K48" s="1003">
        <v>0</v>
      </c>
      <c r="L48" s="1003">
        <v>0</v>
      </c>
      <c r="M48" s="1003">
        <v>0</v>
      </c>
      <c r="N48" s="1003">
        <v>0</v>
      </c>
      <c r="O48" s="1003">
        <v>0</v>
      </c>
      <c r="P48" s="1003">
        <v>0</v>
      </c>
      <c r="Q48" s="1003">
        <v>0</v>
      </c>
    </row>
    <row r="49" spans="1:17" s="36" customFormat="1" ht="15" customHeight="1" outlineLevel="1">
      <c r="A49" s="60"/>
      <c r="B49" s="68" t="s">
        <v>498</v>
      </c>
      <c r="C49" s="13" t="s">
        <v>240</v>
      </c>
      <c r="D49" s="241"/>
      <c r="E49" s="241">
        <v>156</v>
      </c>
      <c r="F49" s="241"/>
      <c r="G49" s="1003"/>
      <c r="H49" s="1003"/>
      <c r="I49" s="1003">
        <v>10</v>
      </c>
      <c r="J49" s="1003"/>
      <c r="K49" s="1003">
        <v>0</v>
      </c>
      <c r="L49" s="1003">
        <v>0</v>
      </c>
      <c r="M49" s="1003">
        <v>0</v>
      </c>
      <c r="N49" s="1003">
        <v>0</v>
      </c>
      <c r="O49" s="1003">
        <v>0</v>
      </c>
      <c r="P49" s="1003">
        <v>0</v>
      </c>
      <c r="Q49" s="1003">
        <v>0</v>
      </c>
    </row>
    <row r="50" spans="1:17" s="36" customFormat="1" ht="15" customHeight="1" outlineLevel="1">
      <c r="A50" s="60"/>
      <c r="B50" s="68" t="s">
        <v>499</v>
      </c>
      <c r="C50" s="13" t="s">
        <v>240</v>
      </c>
      <c r="D50" s="241"/>
      <c r="E50" s="241">
        <v>258</v>
      </c>
      <c r="F50" s="241"/>
      <c r="G50" s="1003"/>
      <c r="H50" s="1003"/>
      <c r="I50" s="1003"/>
      <c r="J50" s="1003"/>
      <c r="K50" s="1003">
        <v>3113.95</v>
      </c>
      <c r="L50" s="1003">
        <v>4163.53</v>
      </c>
      <c r="M50" s="1003">
        <v>0</v>
      </c>
      <c r="N50" s="1003">
        <v>4163.53</v>
      </c>
      <c r="O50" s="1003">
        <v>4225.2699999999995</v>
      </c>
      <c r="P50" s="1003">
        <v>0</v>
      </c>
      <c r="Q50" s="1003">
        <v>4225.2699999999995</v>
      </c>
    </row>
    <row r="51" spans="1:17" s="36" customFormat="1">
      <c r="A51" s="60"/>
      <c r="B51" s="68"/>
      <c r="C51" s="13"/>
      <c r="D51" s="241"/>
      <c r="E51" s="241"/>
      <c r="F51" s="241"/>
      <c r="G51" s="241"/>
      <c r="H51" s="241"/>
      <c r="I51" s="241"/>
      <c r="J51" s="241"/>
      <c r="K51" s="241"/>
      <c r="L51" s="241"/>
      <c r="M51" s="241"/>
      <c r="N51" s="241"/>
      <c r="O51" s="241"/>
      <c r="P51" s="241"/>
      <c r="Q51" s="241"/>
    </row>
    <row r="52" spans="1:17" s="1001" customFormat="1" ht="28.5">
      <c r="A52" s="82" t="s">
        <v>30</v>
      </c>
      <c r="B52" s="80" t="s">
        <v>502</v>
      </c>
      <c r="C52" s="1002" t="s">
        <v>240</v>
      </c>
      <c r="D52" s="1000">
        <v>0</v>
      </c>
      <c r="E52" s="1000">
        <f t="shared" ref="E52:Q52" si="5">E53+E54+E55+E56+E62+E63+E64+E65</f>
        <v>1178</v>
      </c>
      <c r="F52" s="1000">
        <f t="shared" si="5"/>
        <v>0</v>
      </c>
      <c r="G52" s="1000">
        <f t="shared" si="5"/>
        <v>0</v>
      </c>
      <c r="H52" s="1000">
        <f t="shared" si="5"/>
        <v>0</v>
      </c>
      <c r="I52" s="1000">
        <v>435</v>
      </c>
      <c r="J52" s="1000">
        <v>0</v>
      </c>
      <c r="K52" s="1000">
        <v>0</v>
      </c>
      <c r="L52" s="1000">
        <v>0</v>
      </c>
      <c r="M52" s="1000">
        <v>0</v>
      </c>
      <c r="N52" s="1000">
        <v>0</v>
      </c>
      <c r="O52" s="1000">
        <v>0</v>
      </c>
      <c r="P52" s="1000">
        <v>0</v>
      </c>
      <c r="Q52" s="1000">
        <v>0</v>
      </c>
    </row>
    <row r="53" spans="1:17" s="36" customFormat="1" ht="15" customHeight="1" outlineLevel="1">
      <c r="A53" s="60"/>
      <c r="B53" s="68" t="s">
        <v>487</v>
      </c>
      <c r="C53" s="13" t="s">
        <v>240</v>
      </c>
      <c r="D53" s="241"/>
      <c r="E53" s="241"/>
      <c r="F53" s="241"/>
      <c r="G53" s="1003"/>
      <c r="H53" s="1003"/>
      <c r="I53" s="1003"/>
      <c r="J53" s="1003"/>
      <c r="K53" s="1003"/>
      <c r="L53" s="1003">
        <v>0</v>
      </c>
      <c r="M53" s="1003"/>
      <c r="N53" s="1003"/>
      <c r="O53" s="1003">
        <v>0</v>
      </c>
      <c r="P53" s="1003"/>
      <c r="Q53" s="1003"/>
    </row>
    <row r="54" spans="1:17" s="36" customFormat="1" ht="15" customHeight="1" outlineLevel="1">
      <c r="A54" s="60"/>
      <c r="B54" s="68" t="s">
        <v>488</v>
      </c>
      <c r="C54" s="13" t="s">
        <v>240</v>
      </c>
      <c r="D54" s="241"/>
      <c r="E54" s="241">
        <v>1178</v>
      </c>
      <c r="F54" s="241"/>
      <c r="G54" s="1003"/>
      <c r="H54" s="1003"/>
      <c r="I54" s="1003"/>
      <c r="J54" s="1003"/>
      <c r="K54" s="1003"/>
      <c r="L54" s="1003">
        <v>0</v>
      </c>
      <c r="M54" s="1003"/>
      <c r="N54" s="1003"/>
      <c r="O54" s="1003">
        <v>0</v>
      </c>
      <c r="P54" s="1003"/>
      <c r="Q54" s="1003"/>
    </row>
    <row r="55" spans="1:17" s="36" customFormat="1" ht="15" customHeight="1" outlineLevel="1">
      <c r="A55" s="60"/>
      <c r="B55" s="68" t="s">
        <v>489</v>
      </c>
      <c r="C55" s="13" t="s">
        <v>240</v>
      </c>
      <c r="D55" s="241"/>
      <c r="E55" s="241"/>
      <c r="F55" s="241"/>
      <c r="G55" s="1003"/>
      <c r="H55" s="1003"/>
      <c r="I55" s="1003"/>
      <c r="J55" s="1003"/>
      <c r="K55" s="1003"/>
      <c r="L55" s="1003">
        <v>0</v>
      </c>
      <c r="M55" s="1003"/>
      <c r="N55" s="1003"/>
      <c r="O55" s="1003">
        <v>0</v>
      </c>
      <c r="P55" s="1003"/>
      <c r="Q55" s="1003"/>
    </row>
    <row r="56" spans="1:17" s="36" customFormat="1" ht="15" customHeight="1" outlineLevel="1">
      <c r="A56" s="60"/>
      <c r="B56" s="68" t="s">
        <v>490</v>
      </c>
      <c r="C56" s="13" t="s">
        <v>240</v>
      </c>
      <c r="D56" s="241"/>
      <c r="E56" s="241"/>
      <c r="F56" s="241"/>
      <c r="G56" s="1003"/>
      <c r="H56" s="1003">
        <f t="shared" ref="H56:K56" si="6">H57+H58+H59+H60+H61</f>
        <v>0</v>
      </c>
      <c r="I56" s="1003">
        <v>421</v>
      </c>
      <c r="J56" s="1003">
        <v>0</v>
      </c>
      <c r="K56" s="1003">
        <v>0</v>
      </c>
      <c r="L56" s="1003">
        <v>0</v>
      </c>
      <c r="M56" s="1003">
        <v>0</v>
      </c>
      <c r="N56" s="1003">
        <v>0</v>
      </c>
      <c r="O56" s="1003">
        <v>0</v>
      </c>
      <c r="P56" s="1003">
        <v>0</v>
      </c>
      <c r="Q56" s="1003">
        <v>0</v>
      </c>
    </row>
    <row r="57" spans="1:17" s="36" customFormat="1" ht="15" customHeight="1" outlineLevel="1">
      <c r="A57" s="60"/>
      <c r="B57" s="68" t="s">
        <v>491</v>
      </c>
      <c r="C57" s="13" t="s">
        <v>240</v>
      </c>
      <c r="D57" s="241"/>
      <c r="E57" s="241"/>
      <c r="F57" s="241"/>
      <c r="G57" s="1003"/>
      <c r="H57" s="1003"/>
      <c r="I57" s="1003"/>
      <c r="J57" s="1003"/>
      <c r="K57" s="1003"/>
      <c r="L57" s="1003">
        <v>0</v>
      </c>
      <c r="M57" s="1003"/>
      <c r="N57" s="1003"/>
      <c r="O57" s="1003">
        <v>0</v>
      </c>
      <c r="P57" s="1003"/>
      <c r="Q57" s="1003"/>
    </row>
    <row r="58" spans="1:17" s="36" customFormat="1" ht="15" customHeight="1" outlineLevel="1">
      <c r="A58" s="60"/>
      <c r="B58" s="70" t="s">
        <v>492</v>
      </c>
      <c r="C58" s="13" t="s">
        <v>240</v>
      </c>
      <c r="D58" s="241"/>
      <c r="E58" s="241"/>
      <c r="F58" s="241"/>
      <c r="G58" s="1003"/>
      <c r="H58" s="1003"/>
      <c r="I58" s="1003"/>
      <c r="J58" s="1003"/>
      <c r="K58" s="1003"/>
      <c r="L58" s="1003">
        <v>0</v>
      </c>
      <c r="M58" s="1003"/>
      <c r="N58" s="1003"/>
      <c r="O58" s="1003">
        <v>0</v>
      </c>
      <c r="P58" s="1003"/>
      <c r="Q58" s="1003"/>
    </row>
    <row r="59" spans="1:17" s="36" customFormat="1" ht="15" customHeight="1" outlineLevel="1">
      <c r="A59" s="60"/>
      <c r="B59" s="70" t="s">
        <v>493</v>
      </c>
      <c r="C59" s="13" t="s">
        <v>240</v>
      </c>
      <c r="D59" s="241"/>
      <c r="E59" s="241"/>
      <c r="F59" s="241"/>
      <c r="G59" s="1003"/>
      <c r="H59" s="1003"/>
      <c r="I59" s="1003"/>
      <c r="J59" s="1003"/>
      <c r="K59" s="1003"/>
      <c r="L59" s="1003">
        <v>0</v>
      </c>
      <c r="M59" s="1003"/>
      <c r="N59" s="1003"/>
      <c r="O59" s="1003">
        <v>0</v>
      </c>
      <c r="P59" s="1003"/>
      <c r="Q59" s="1003"/>
    </row>
    <row r="60" spans="1:17" s="36" customFormat="1" ht="15" customHeight="1" outlineLevel="1">
      <c r="A60" s="60"/>
      <c r="B60" s="70" t="s">
        <v>494</v>
      </c>
      <c r="C60" s="13" t="s">
        <v>240</v>
      </c>
      <c r="D60" s="241"/>
      <c r="E60" s="241"/>
      <c r="F60" s="241"/>
      <c r="G60" s="1003"/>
      <c r="H60" s="1003"/>
      <c r="I60" s="1003">
        <v>421</v>
      </c>
      <c r="J60" s="1003"/>
      <c r="K60" s="1003"/>
      <c r="L60" s="1003">
        <v>0</v>
      </c>
      <c r="M60" s="1003"/>
      <c r="N60" s="1003"/>
      <c r="O60" s="1003">
        <v>0</v>
      </c>
      <c r="P60" s="1003"/>
      <c r="Q60" s="1003"/>
    </row>
    <row r="61" spans="1:17" s="36" customFormat="1" ht="15" customHeight="1" outlineLevel="1">
      <c r="A61" s="60"/>
      <c r="B61" s="70" t="s">
        <v>495</v>
      </c>
      <c r="C61" s="13" t="s">
        <v>240</v>
      </c>
      <c r="D61" s="241"/>
      <c r="E61" s="241"/>
      <c r="F61" s="241"/>
      <c r="G61" s="1003"/>
      <c r="H61" s="1003"/>
      <c r="I61" s="1003"/>
      <c r="J61" s="1003"/>
      <c r="K61" s="1003"/>
      <c r="L61" s="1003">
        <v>0</v>
      </c>
      <c r="M61" s="1003"/>
      <c r="N61" s="1003"/>
      <c r="O61" s="1003">
        <v>0</v>
      </c>
      <c r="P61" s="1003"/>
      <c r="Q61" s="1003"/>
    </row>
    <row r="62" spans="1:17" s="36" customFormat="1" ht="15" customHeight="1" outlineLevel="1">
      <c r="A62" s="60"/>
      <c r="B62" s="70" t="s">
        <v>496</v>
      </c>
      <c r="C62" s="13" t="s">
        <v>240</v>
      </c>
      <c r="D62" s="241"/>
      <c r="E62" s="241"/>
      <c r="F62" s="241"/>
      <c r="G62" s="1003"/>
      <c r="H62" s="1003"/>
      <c r="I62" s="1003"/>
      <c r="J62" s="1003"/>
      <c r="K62" s="1003"/>
      <c r="L62" s="1003">
        <v>0</v>
      </c>
      <c r="M62" s="1003"/>
      <c r="N62" s="1003"/>
      <c r="O62" s="1003">
        <v>0</v>
      </c>
      <c r="P62" s="1003"/>
      <c r="Q62" s="1003"/>
    </row>
    <row r="63" spans="1:17" s="36" customFormat="1" ht="15" customHeight="1" outlineLevel="1">
      <c r="A63" s="60"/>
      <c r="B63" s="70" t="s">
        <v>497</v>
      </c>
      <c r="C63" s="13" t="s">
        <v>240</v>
      </c>
      <c r="D63" s="241"/>
      <c r="E63" s="241"/>
      <c r="F63" s="241"/>
      <c r="G63" s="1003"/>
      <c r="H63" s="1003"/>
      <c r="I63" s="1003"/>
      <c r="J63" s="1003"/>
      <c r="K63" s="1003"/>
      <c r="L63" s="1003">
        <v>0</v>
      </c>
      <c r="M63" s="1003"/>
      <c r="N63" s="1003"/>
      <c r="O63" s="1003">
        <v>0</v>
      </c>
      <c r="P63" s="1003"/>
      <c r="Q63" s="1003"/>
    </row>
    <row r="64" spans="1:17" s="36" customFormat="1" ht="15" customHeight="1" outlineLevel="1">
      <c r="A64" s="60"/>
      <c r="B64" s="68" t="s">
        <v>498</v>
      </c>
      <c r="C64" s="13" t="s">
        <v>240</v>
      </c>
      <c r="D64" s="241"/>
      <c r="E64" s="241"/>
      <c r="F64" s="241"/>
      <c r="G64" s="1003"/>
      <c r="H64" s="1003"/>
      <c r="I64" s="1003">
        <v>14</v>
      </c>
      <c r="J64" s="1003"/>
      <c r="K64" s="1003"/>
      <c r="L64" s="1003">
        <v>0</v>
      </c>
      <c r="M64" s="1003"/>
      <c r="N64" s="1003"/>
      <c r="O64" s="1003">
        <v>0</v>
      </c>
      <c r="P64" s="1003"/>
      <c r="Q64" s="1003"/>
    </row>
    <row r="65" spans="1:17" s="36" customFormat="1" ht="15" customHeight="1" outlineLevel="1">
      <c r="A65" s="60"/>
      <c r="B65" s="68" t="s">
        <v>499</v>
      </c>
      <c r="C65" s="13" t="s">
        <v>240</v>
      </c>
      <c r="D65" s="241"/>
      <c r="E65" s="241"/>
      <c r="F65" s="241"/>
      <c r="G65" s="1003"/>
      <c r="H65" s="1003"/>
      <c r="I65" s="1003"/>
      <c r="J65" s="1003"/>
      <c r="K65" s="1003"/>
      <c r="L65" s="1003">
        <v>0</v>
      </c>
      <c r="M65" s="1003"/>
      <c r="N65" s="1003"/>
      <c r="O65" s="1003">
        <v>0</v>
      </c>
      <c r="P65" s="1003"/>
      <c r="Q65" s="1003"/>
    </row>
    <row r="66" spans="1:17" s="36" customFormat="1">
      <c r="A66" s="60"/>
      <c r="B66" s="68"/>
      <c r="C66" s="13"/>
      <c r="D66" s="241"/>
      <c r="E66" s="241"/>
      <c r="F66" s="241"/>
      <c r="G66" s="241"/>
      <c r="H66" s="241"/>
      <c r="I66" s="241"/>
      <c r="J66" s="241"/>
      <c r="K66" s="241"/>
      <c r="L66" s="241"/>
      <c r="M66" s="241"/>
      <c r="N66" s="241"/>
      <c r="O66" s="241"/>
      <c r="P66" s="241"/>
      <c r="Q66" s="241"/>
    </row>
    <row r="67" spans="1:17" s="1001" customFormat="1" ht="30" customHeight="1">
      <c r="A67" s="82" t="s">
        <v>78</v>
      </c>
      <c r="B67" s="80" t="s">
        <v>503</v>
      </c>
      <c r="C67" s="1002" t="s">
        <v>240</v>
      </c>
      <c r="D67" s="1000">
        <v>1011130</v>
      </c>
      <c r="E67" s="1000">
        <f t="shared" ref="E67:Q67" si="7">E68+E69+E70+E71+E77+E78+E79+E80</f>
        <v>1324478</v>
      </c>
      <c r="F67" s="1000"/>
      <c r="G67" s="1000">
        <f t="shared" si="7"/>
        <v>0</v>
      </c>
      <c r="H67" s="1000"/>
      <c r="I67" s="1000">
        <v>137140</v>
      </c>
      <c r="J67" s="1000">
        <v>0</v>
      </c>
      <c r="K67" s="1000">
        <v>131849.44499999998</v>
      </c>
      <c r="L67" s="1000">
        <v>145382.01999999999</v>
      </c>
      <c r="M67" s="1000">
        <v>137375.41999999998</v>
      </c>
      <c r="N67" s="1000">
        <v>145382.01999999999</v>
      </c>
      <c r="O67" s="1000">
        <v>162387.46999999997</v>
      </c>
      <c r="P67" s="1000">
        <v>171386.31999999998</v>
      </c>
      <c r="Q67" s="1000">
        <v>180385.16999999998</v>
      </c>
    </row>
    <row r="68" spans="1:17" s="36" customFormat="1" ht="15" customHeight="1" outlineLevel="1">
      <c r="A68" s="60"/>
      <c r="B68" s="68" t="s">
        <v>487</v>
      </c>
      <c r="C68" s="13" t="s">
        <v>240</v>
      </c>
      <c r="D68" s="241"/>
      <c r="E68" s="241">
        <v>723324</v>
      </c>
      <c r="F68" s="241"/>
      <c r="G68" s="1003"/>
      <c r="H68" s="1003"/>
      <c r="I68" s="1003">
        <v>110596</v>
      </c>
      <c r="J68" s="1003"/>
      <c r="K68" s="1003">
        <v>98456.19</v>
      </c>
      <c r="L68" s="1003">
        <v>98456.19</v>
      </c>
      <c r="M68" s="1003">
        <v>98456.19</v>
      </c>
      <c r="N68" s="1003">
        <v>98456.19</v>
      </c>
      <c r="O68" s="1003">
        <v>98456.19</v>
      </c>
      <c r="P68" s="1003">
        <v>98456.19</v>
      </c>
      <c r="Q68" s="1003">
        <v>98456.19</v>
      </c>
    </row>
    <row r="69" spans="1:17" s="36" customFormat="1" ht="15" customHeight="1" outlineLevel="1">
      <c r="A69" s="60"/>
      <c r="B69" s="68" t="s">
        <v>488</v>
      </c>
      <c r="C69" s="13" t="s">
        <v>240</v>
      </c>
      <c r="D69" s="241"/>
      <c r="E69" s="241">
        <v>192742</v>
      </c>
      <c r="F69" s="241"/>
      <c r="G69" s="1003"/>
      <c r="H69" s="1003"/>
      <c r="I69" s="1003"/>
      <c r="J69" s="1003"/>
      <c r="K69" s="1003">
        <v>0</v>
      </c>
      <c r="L69" s="1003">
        <v>0</v>
      </c>
      <c r="M69" s="1003">
        <v>0</v>
      </c>
      <c r="N69" s="1003">
        <v>0</v>
      </c>
      <c r="O69" s="1003">
        <v>0</v>
      </c>
      <c r="P69" s="1003">
        <v>0</v>
      </c>
      <c r="Q69" s="1003">
        <v>0</v>
      </c>
    </row>
    <row r="70" spans="1:17" s="36" customFormat="1" ht="15" customHeight="1" outlineLevel="1">
      <c r="A70" s="60"/>
      <c r="B70" s="68" t="s">
        <v>489</v>
      </c>
      <c r="C70" s="13" t="s">
        <v>240</v>
      </c>
      <c r="D70" s="241"/>
      <c r="E70" s="241">
        <v>20071</v>
      </c>
      <c r="F70" s="241"/>
      <c r="G70" s="1003"/>
      <c r="H70" s="1003"/>
      <c r="I70" s="1003"/>
      <c r="J70" s="1003"/>
      <c r="K70" s="1003">
        <v>0</v>
      </c>
      <c r="L70" s="1003">
        <v>0</v>
      </c>
      <c r="M70" s="1003">
        <v>0</v>
      </c>
      <c r="N70" s="1003">
        <v>0</v>
      </c>
      <c r="O70" s="1003">
        <v>0</v>
      </c>
      <c r="P70" s="1003">
        <v>0</v>
      </c>
      <c r="Q70" s="1003">
        <v>0</v>
      </c>
    </row>
    <row r="71" spans="1:17" s="36" customFormat="1" ht="15" customHeight="1" outlineLevel="1">
      <c r="A71" s="60"/>
      <c r="B71" s="68" t="s">
        <v>490</v>
      </c>
      <c r="C71" s="13" t="s">
        <v>240</v>
      </c>
      <c r="D71" s="241"/>
      <c r="E71" s="241">
        <f t="shared" ref="E71" si="8">E72+E73+E74+E75+E76</f>
        <v>379971</v>
      </c>
      <c r="F71" s="241"/>
      <c r="G71" s="1003"/>
      <c r="H71" s="1003">
        <v>0</v>
      </c>
      <c r="I71" s="1003">
        <v>23753</v>
      </c>
      <c r="J71" s="1003">
        <v>0</v>
      </c>
      <c r="K71" s="1003">
        <v>25453.539999999997</v>
      </c>
      <c r="L71" s="1003">
        <v>26477.64</v>
      </c>
      <c r="M71" s="1003">
        <v>25527.039999999997</v>
      </c>
      <c r="N71" s="1003">
        <v>26477.64</v>
      </c>
      <c r="O71" s="1003">
        <v>29303.469999999998</v>
      </c>
      <c r="P71" s="1003">
        <v>31178.699999999997</v>
      </c>
      <c r="Q71" s="1003">
        <v>33053.93</v>
      </c>
    </row>
    <row r="72" spans="1:17" s="36" customFormat="1" ht="15" customHeight="1" outlineLevel="1">
      <c r="A72" s="60"/>
      <c r="B72" s="68" t="s">
        <v>491</v>
      </c>
      <c r="C72" s="13" t="s">
        <v>240</v>
      </c>
      <c r="D72" s="241"/>
      <c r="E72" s="241">
        <v>102055</v>
      </c>
      <c r="F72" s="241"/>
      <c r="G72" s="1003"/>
      <c r="H72" s="1003"/>
      <c r="I72" s="1003"/>
      <c r="J72" s="1003"/>
      <c r="K72" s="1003">
        <v>0</v>
      </c>
      <c r="L72" s="1003">
        <v>0</v>
      </c>
      <c r="M72" s="1003">
        <v>0</v>
      </c>
      <c r="N72" s="1003">
        <v>0</v>
      </c>
      <c r="O72" s="1003">
        <v>0</v>
      </c>
      <c r="P72" s="1003">
        <v>0</v>
      </c>
      <c r="Q72" s="1003">
        <v>0</v>
      </c>
    </row>
    <row r="73" spans="1:17" s="36" customFormat="1" ht="15" customHeight="1" outlineLevel="1">
      <c r="A73" s="60"/>
      <c r="B73" s="70" t="s">
        <v>492</v>
      </c>
      <c r="C73" s="13" t="s">
        <v>240</v>
      </c>
      <c r="D73" s="241"/>
      <c r="E73" s="241">
        <v>24204</v>
      </c>
      <c r="F73" s="241"/>
      <c r="G73" s="1003"/>
      <c r="H73" s="1003"/>
      <c r="I73" s="1003">
        <v>7017</v>
      </c>
      <c r="J73" s="1003"/>
      <c r="K73" s="1003">
        <v>7100.0999999999995</v>
      </c>
      <c r="L73" s="1003">
        <v>7100.0999999999995</v>
      </c>
      <c r="M73" s="1003">
        <v>7100.0999999999995</v>
      </c>
      <c r="N73" s="1003">
        <v>7100.0999999999995</v>
      </c>
      <c r="O73" s="1003">
        <v>7100.0999999999995</v>
      </c>
      <c r="P73" s="1003">
        <v>7100.0999999999995</v>
      </c>
      <c r="Q73" s="1003">
        <v>7100.0999999999995</v>
      </c>
    </row>
    <row r="74" spans="1:17" s="36" customFormat="1" ht="15" customHeight="1" outlineLevel="1">
      <c r="A74" s="60"/>
      <c r="B74" s="70" t="s">
        <v>493</v>
      </c>
      <c r="C74" s="13" t="s">
        <v>240</v>
      </c>
      <c r="D74" s="241"/>
      <c r="E74" s="241">
        <v>4472</v>
      </c>
      <c r="F74" s="241"/>
      <c r="G74" s="1003"/>
      <c r="H74" s="1003"/>
      <c r="I74" s="1003"/>
      <c r="J74" s="1003"/>
      <c r="K74" s="1003">
        <v>73.5</v>
      </c>
      <c r="L74" s="1003">
        <v>215.6</v>
      </c>
      <c r="M74" s="1003">
        <v>147</v>
      </c>
      <c r="N74" s="1003">
        <v>215.6</v>
      </c>
      <c r="O74" s="1003">
        <v>541.45000000000005</v>
      </c>
      <c r="P74" s="1003">
        <v>798.69999999999993</v>
      </c>
      <c r="Q74" s="1003">
        <v>1055.95</v>
      </c>
    </row>
    <row r="75" spans="1:17" s="36" customFormat="1" ht="15" customHeight="1" outlineLevel="1">
      <c r="A75" s="60"/>
      <c r="B75" s="70" t="s">
        <v>494</v>
      </c>
      <c r="C75" s="13" t="s">
        <v>240</v>
      </c>
      <c r="D75" s="241"/>
      <c r="E75" s="241">
        <v>1328</v>
      </c>
      <c r="F75" s="241"/>
      <c r="G75" s="1003"/>
      <c r="H75" s="1003"/>
      <c r="I75" s="1003">
        <v>16736</v>
      </c>
      <c r="J75" s="1003"/>
      <c r="K75" s="1003">
        <v>18279.939999999999</v>
      </c>
      <c r="L75" s="1003">
        <v>19161.939999999999</v>
      </c>
      <c r="M75" s="1003">
        <v>18279.939999999999</v>
      </c>
      <c r="N75" s="1003">
        <v>19161.939999999999</v>
      </c>
      <c r="O75" s="1003">
        <v>21661.919999999998</v>
      </c>
      <c r="P75" s="1003">
        <v>23279.899999999998</v>
      </c>
      <c r="Q75" s="1003">
        <v>24897.88</v>
      </c>
    </row>
    <row r="76" spans="1:17" s="36" customFormat="1" ht="15" customHeight="1" outlineLevel="1">
      <c r="A76" s="60"/>
      <c r="B76" s="70" t="s">
        <v>495</v>
      </c>
      <c r="C76" s="13" t="s">
        <v>240</v>
      </c>
      <c r="D76" s="241"/>
      <c r="E76" s="241">
        <v>247912</v>
      </c>
      <c r="F76" s="241"/>
      <c r="G76" s="1003"/>
      <c r="H76" s="1003"/>
      <c r="I76" s="1003"/>
      <c r="J76" s="1003"/>
      <c r="K76" s="1003">
        <v>0</v>
      </c>
      <c r="L76" s="1003">
        <v>0</v>
      </c>
      <c r="M76" s="1003">
        <v>0</v>
      </c>
      <c r="N76" s="1003">
        <v>0</v>
      </c>
      <c r="O76" s="1003">
        <v>0</v>
      </c>
      <c r="P76" s="1003">
        <v>0</v>
      </c>
      <c r="Q76" s="1003">
        <v>0</v>
      </c>
    </row>
    <row r="77" spans="1:17" s="36" customFormat="1" ht="15" customHeight="1" outlineLevel="1">
      <c r="A77" s="60"/>
      <c r="B77" s="70" t="s">
        <v>496</v>
      </c>
      <c r="C77" s="13" t="s">
        <v>240</v>
      </c>
      <c r="D77" s="241"/>
      <c r="E77" s="241">
        <v>1798</v>
      </c>
      <c r="F77" s="241"/>
      <c r="G77" s="1003"/>
      <c r="H77" s="1003"/>
      <c r="I77" s="1003"/>
      <c r="J77" s="1003"/>
      <c r="K77" s="1003">
        <v>3895.5</v>
      </c>
      <c r="L77" s="1003">
        <v>12765.235000000001</v>
      </c>
      <c r="M77" s="1003">
        <v>7791</v>
      </c>
      <c r="N77" s="1003">
        <v>12765.235000000001</v>
      </c>
      <c r="O77" s="1003">
        <v>22750.454999999998</v>
      </c>
      <c r="P77" s="1003">
        <v>27761.439999999999</v>
      </c>
      <c r="Q77" s="1003">
        <v>32772.425000000003</v>
      </c>
    </row>
    <row r="78" spans="1:17" s="36" customFormat="1" ht="15" customHeight="1" outlineLevel="1">
      <c r="A78" s="60"/>
      <c r="B78" s="70" t="s">
        <v>497</v>
      </c>
      <c r="C78" s="13" t="s">
        <v>240</v>
      </c>
      <c r="D78" s="241"/>
      <c r="E78" s="241">
        <v>6</v>
      </c>
      <c r="F78" s="241"/>
      <c r="G78" s="1003"/>
      <c r="H78" s="1003"/>
      <c r="I78" s="1003"/>
      <c r="J78" s="1003"/>
      <c r="K78" s="1003">
        <v>0</v>
      </c>
      <c r="L78" s="1003">
        <v>0</v>
      </c>
      <c r="M78" s="1003">
        <v>0</v>
      </c>
      <c r="N78" s="1003">
        <v>0</v>
      </c>
      <c r="O78" s="1003">
        <v>0</v>
      </c>
      <c r="P78" s="1003">
        <v>0</v>
      </c>
      <c r="Q78" s="1003">
        <v>0</v>
      </c>
    </row>
    <row r="79" spans="1:17" s="36" customFormat="1" ht="15" customHeight="1" outlineLevel="1">
      <c r="A79" s="60"/>
      <c r="B79" s="68" t="s">
        <v>498</v>
      </c>
      <c r="C79" s="13" t="s">
        <v>240</v>
      </c>
      <c r="D79" s="241"/>
      <c r="E79" s="241">
        <v>656</v>
      </c>
      <c r="F79" s="241"/>
      <c r="G79" s="1003"/>
      <c r="H79" s="1003"/>
      <c r="I79" s="1003">
        <v>2701</v>
      </c>
      <c r="J79" s="1003"/>
      <c r="K79" s="1003">
        <v>2407.37</v>
      </c>
      <c r="L79" s="1003">
        <v>2407.37</v>
      </c>
      <c r="M79" s="1003">
        <v>2407.37</v>
      </c>
      <c r="N79" s="1003">
        <v>2407.37</v>
      </c>
      <c r="O79" s="1003">
        <v>2407.37</v>
      </c>
      <c r="P79" s="1003">
        <v>2407.37</v>
      </c>
      <c r="Q79" s="1003">
        <v>2407.37</v>
      </c>
    </row>
    <row r="80" spans="1:17" s="36" customFormat="1" ht="15" customHeight="1" outlineLevel="1">
      <c r="A80" s="60"/>
      <c r="B80" s="68" t="s">
        <v>499</v>
      </c>
      <c r="C80" s="13" t="s">
        <v>240</v>
      </c>
      <c r="D80" s="241"/>
      <c r="E80" s="241">
        <v>5910</v>
      </c>
      <c r="F80" s="241"/>
      <c r="G80" s="1003"/>
      <c r="H80" s="1003"/>
      <c r="I80" s="1003">
        <v>90</v>
      </c>
      <c r="J80" s="1003"/>
      <c r="K80" s="1003">
        <v>1636.845</v>
      </c>
      <c r="L80" s="1003">
        <v>5275.585</v>
      </c>
      <c r="M80" s="1003">
        <v>3193.82</v>
      </c>
      <c r="N80" s="1003">
        <v>5275.585</v>
      </c>
      <c r="O80" s="1003">
        <v>9469.9850000000006</v>
      </c>
      <c r="P80" s="1003">
        <v>11582.619999999999</v>
      </c>
      <c r="Q80" s="1003">
        <v>13695.254999999999</v>
      </c>
    </row>
    <row r="81" spans="1:17" s="36" customFormat="1">
      <c r="A81" s="60"/>
      <c r="B81" s="68"/>
      <c r="C81" s="13"/>
      <c r="D81" s="66"/>
      <c r="E81" s="66"/>
      <c r="F81" s="66"/>
      <c r="G81" s="66"/>
      <c r="H81" s="66"/>
      <c r="I81" s="66"/>
      <c r="J81" s="66"/>
      <c r="K81" s="66"/>
      <c r="L81" s="66"/>
      <c r="M81" s="66"/>
      <c r="N81" s="66"/>
      <c r="O81" s="66"/>
      <c r="P81" s="66"/>
      <c r="Q81" s="66"/>
    </row>
    <row r="82" spans="1:17" s="1001" customFormat="1" ht="15" customHeight="1">
      <c r="A82" s="82" t="s">
        <v>86</v>
      </c>
      <c r="B82" s="80" t="s">
        <v>504</v>
      </c>
      <c r="C82" s="999"/>
      <c r="D82" s="432">
        <f>D97/D67*100</f>
        <v>5.1909250046977142</v>
      </c>
      <c r="E82" s="432">
        <f>E97/E67*100</f>
        <v>5.9365274470395129</v>
      </c>
      <c r="F82" s="432" t="e">
        <f t="shared" ref="F82:Q95" si="9">F97/F67*100</f>
        <v>#DIV/0!</v>
      </c>
      <c r="G82" s="432" t="e">
        <f t="shared" si="9"/>
        <v>#DIV/0!</v>
      </c>
      <c r="H82" s="432" t="e">
        <f t="shared" si="9"/>
        <v>#DIV/0!</v>
      </c>
      <c r="I82" s="432">
        <v>3.904768849351028</v>
      </c>
      <c r="J82" s="432" t="e">
        <v>#DIV/0!</v>
      </c>
      <c r="K82" s="432">
        <v>4.2912808620468601</v>
      </c>
      <c r="L82" s="432">
        <v>4.9518365476005917</v>
      </c>
      <c r="M82" s="432">
        <v>2.5852659813524141</v>
      </c>
      <c r="N82" s="432">
        <v>2.5089484930805064</v>
      </c>
      <c r="O82" s="432">
        <v>5.880453707419667</v>
      </c>
      <c r="P82" s="432">
        <v>2.689211134237552</v>
      </c>
      <c r="Q82" s="432">
        <v>2.7386841168816702</v>
      </c>
    </row>
    <row r="83" spans="1:17" s="36" customFormat="1" ht="15" customHeight="1" outlineLevel="1">
      <c r="A83" s="60"/>
      <c r="B83" s="68" t="s">
        <v>487</v>
      </c>
      <c r="C83" s="13" t="s">
        <v>138</v>
      </c>
      <c r="D83" s="66"/>
      <c r="E83" s="1004">
        <f t="shared" ref="E83:E95" si="10">E98/E68*100</f>
        <v>2.8695301137526199</v>
      </c>
      <c r="F83" s="66"/>
      <c r="G83" s="1004" t="e">
        <f t="shared" si="9"/>
        <v>#DIV/0!</v>
      </c>
      <c r="H83" s="1004"/>
      <c r="I83" s="1004">
        <v>1.0000361676733336</v>
      </c>
      <c r="J83" s="1004" t="e">
        <v>#DIV/0!</v>
      </c>
      <c r="K83" s="1004">
        <v>1.000343401466175</v>
      </c>
      <c r="L83" s="1004">
        <v>1.000343401466175</v>
      </c>
      <c r="M83" s="1004">
        <v>0.50017170073308748</v>
      </c>
      <c r="N83" s="1004">
        <v>0.50017170073308748</v>
      </c>
      <c r="O83" s="1004">
        <v>1.000343401466175</v>
      </c>
      <c r="P83" s="1004">
        <v>0.50017170073308748</v>
      </c>
      <c r="Q83" s="1004">
        <v>0.50017170073308748</v>
      </c>
    </row>
    <row r="84" spans="1:17" s="36" customFormat="1" ht="15" customHeight="1" outlineLevel="1">
      <c r="A84" s="60"/>
      <c r="B84" s="68" t="s">
        <v>488</v>
      </c>
      <c r="C84" s="13" t="s">
        <v>138</v>
      </c>
      <c r="D84" s="66"/>
      <c r="E84" s="1004">
        <f t="shared" si="10"/>
        <v>5.3750609623226904</v>
      </c>
      <c r="F84" s="66"/>
      <c r="G84" s="1004" t="e">
        <f t="shared" si="9"/>
        <v>#DIV/0!</v>
      </c>
      <c r="H84" s="1004"/>
      <c r="I84" s="1004" t="e">
        <v>#DIV/0!</v>
      </c>
      <c r="J84" s="1004" t="e">
        <v>#DIV/0!</v>
      </c>
      <c r="K84" s="1004" t="e">
        <v>#DIV/0!</v>
      </c>
      <c r="L84" s="1004" t="e">
        <v>#DIV/0!</v>
      </c>
      <c r="M84" s="1004" t="e">
        <v>#DIV/0!</v>
      </c>
      <c r="N84" s="1004" t="e">
        <v>#DIV/0!</v>
      </c>
      <c r="O84" s="1004" t="e">
        <v>#DIV/0!</v>
      </c>
      <c r="P84" s="1004" t="e">
        <v>#DIV/0!</v>
      </c>
      <c r="Q84" s="1004" t="e">
        <v>#DIV/0!</v>
      </c>
    </row>
    <row r="85" spans="1:17" s="36" customFormat="1" ht="15" customHeight="1" outlineLevel="1">
      <c r="A85" s="60"/>
      <c r="B85" s="68" t="s">
        <v>489</v>
      </c>
      <c r="C85" s="13" t="s">
        <v>138</v>
      </c>
      <c r="D85" s="66"/>
      <c r="E85" s="1004">
        <f t="shared" si="10"/>
        <v>8.5745603108963167</v>
      </c>
      <c r="F85" s="66"/>
      <c r="G85" s="1004" t="e">
        <f t="shared" si="9"/>
        <v>#DIV/0!</v>
      </c>
      <c r="H85" s="1004"/>
      <c r="I85" s="1004" t="e">
        <v>#DIV/0!</v>
      </c>
      <c r="J85" s="1004" t="e">
        <v>#DIV/0!</v>
      </c>
      <c r="K85" s="1004" t="e">
        <v>#DIV/0!</v>
      </c>
      <c r="L85" s="1004" t="e">
        <v>#DIV/0!</v>
      </c>
      <c r="M85" s="1004" t="e">
        <v>#DIV/0!</v>
      </c>
      <c r="N85" s="1004" t="e">
        <v>#DIV/0!</v>
      </c>
      <c r="O85" s="1004" t="e">
        <v>#DIV/0!</v>
      </c>
      <c r="P85" s="1004" t="e">
        <v>#DIV/0!</v>
      </c>
      <c r="Q85" s="1004" t="e">
        <v>#DIV/0!</v>
      </c>
    </row>
    <row r="86" spans="1:17" s="36" customFormat="1" ht="15" customHeight="1" outlineLevel="1">
      <c r="A86" s="60"/>
      <c r="B86" s="68" t="s">
        <v>490</v>
      </c>
      <c r="C86" s="13" t="s">
        <v>138</v>
      </c>
      <c r="D86" s="66"/>
      <c r="E86" s="1004">
        <f t="shared" si="10"/>
        <v>11.714841395790732</v>
      </c>
      <c r="F86" s="66"/>
      <c r="G86" s="1004" t="e">
        <f t="shared" si="9"/>
        <v>#DIV/0!</v>
      </c>
      <c r="H86" s="1004"/>
      <c r="I86" s="1004">
        <v>16.258998863301478</v>
      </c>
      <c r="J86" s="1004" t="e">
        <v>#DIV/0!</v>
      </c>
      <c r="K86" s="1004">
        <v>16.605705925384054</v>
      </c>
      <c r="L86" s="1004">
        <v>16.555629580279813</v>
      </c>
      <c r="M86" s="1004">
        <v>8.3979576167076164</v>
      </c>
      <c r="N86" s="1004">
        <v>8.4591753645717667</v>
      </c>
      <c r="O86" s="1004">
        <v>16.679765229169107</v>
      </c>
      <c r="P86" s="1004">
        <v>7.3078736445073078</v>
      </c>
      <c r="Q86" s="1004">
        <v>7.8939176067717209</v>
      </c>
    </row>
    <row r="87" spans="1:17" s="36" customFormat="1" ht="15" customHeight="1" outlineLevel="1">
      <c r="A87" s="60"/>
      <c r="B87" s="68" t="s">
        <v>491</v>
      </c>
      <c r="C87" s="13" t="s">
        <v>138</v>
      </c>
      <c r="D87" s="66"/>
      <c r="E87" s="1004">
        <f t="shared" si="10"/>
        <v>12.291411493802361</v>
      </c>
      <c r="F87" s="66"/>
      <c r="G87" s="1004" t="e">
        <f t="shared" si="9"/>
        <v>#DIV/0!</v>
      </c>
      <c r="H87" s="1004"/>
      <c r="I87" s="1004" t="e">
        <v>#DIV/0!</v>
      </c>
      <c r="J87" s="1004" t="e">
        <v>#DIV/0!</v>
      </c>
      <c r="K87" s="1004" t="e">
        <v>#DIV/0!</v>
      </c>
      <c r="L87" s="1004" t="e">
        <v>#DIV/0!</v>
      </c>
      <c r="M87" s="1004" t="e">
        <v>#DIV/0!</v>
      </c>
      <c r="N87" s="1004" t="e">
        <v>#DIV/0!</v>
      </c>
      <c r="O87" s="1004" t="e">
        <v>#DIV/0!</v>
      </c>
      <c r="P87" s="1004" t="e">
        <v>#DIV/0!</v>
      </c>
      <c r="Q87" s="1004" t="e">
        <v>#DIV/0!</v>
      </c>
    </row>
    <row r="88" spans="1:17" s="36" customFormat="1" ht="15" customHeight="1" outlineLevel="1">
      <c r="A88" s="60"/>
      <c r="B88" s="70" t="s">
        <v>492</v>
      </c>
      <c r="C88" s="13" t="s">
        <v>138</v>
      </c>
      <c r="D88" s="66"/>
      <c r="E88" s="1004">
        <f t="shared" si="10"/>
        <v>29.528177160799867</v>
      </c>
      <c r="F88" s="66"/>
      <c r="G88" s="1004" t="e">
        <f t="shared" si="9"/>
        <v>#DIV/0!</v>
      </c>
      <c r="H88" s="1004"/>
      <c r="I88" s="1004">
        <v>12.697734074390766</v>
      </c>
      <c r="J88" s="1004" t="e">
        <v>#DIV/0!</v>
      </c>
      <c r="K88" s="1004">
        <v>12.698412698412701</v>
      </c>
      <c r="L88" s="1004">
        <v>12.698412698412701</v>
      </c>
      <c r="M88" s="1004">
        <v>6.3492063492063506</v>
      </c>
      <c r="N88" s="1004">
        <v>6.3492063492063506</v>
      </c>
      <c r="O88" s="1004">
        <v>12.698412698412701</v>
      </c>
      <c r="P88" s="1004">
        <v>6.3492063492063506</v>
      </c>
      <c r="Q88" s="1004">
        <v>6.3492063492063506</v>
      </c>
    </row>
    <row r="89" spans="1:17" s="36" customFormat="1" ht="15" customHeight="1" outlineLevel="1">
      <c r="A89" s="60"/>
      <c r="B89" s="70" t="s">
        <v>493</v>
      </c>
      <c r="C89" s="13" t="s">
        <v>138</v>
      </c>
      <c r="D89" s="66"/>
      <c r="E89" s="1004">
        <f t="shared" si="10"/>
        <v>18.872987477638638</v>
      </c>
      <c r="F89" s="66"/>
      <c r="G89" s="1004" t="e">
        <f t="shared" si="9"/>
        <v>#DIV/0!</v>
      </c>
      <c r="H89" s="1004"/>
      <c r="I89" s="1004" t="e">
        <v>#DIV/0!</v>
      </c>
      <c r="J89" s="1004" t="e">
        <v>#DIV/0!</v>
      </c>
      <c r="K89" s="1004">
        <v>20</v>
      </c>
      <c r="L89" s="1004">
        <v>16.818181818181817</v>
      </c>
      <c r="M89" s="1004">
        <v>10</v>
      </c>
      <c r="N89" s="1004">
        <v>10</v>
      </c>
      <c r="O89" s="1004">
        <v>41.990950226244344</v>
      </c>
      <c r="P89" s="1004">
        <v>3.6809815950920246</v>
      </c>
      <c r="Q89" s="1004">
        <v>18.747099767981439</v>
      </c>
    </row>
    <row r="90" spans="1:17" s="36" customFormat="1" ht="15" customHeight="1" outlineLevel="1">
      <c r="A90" s="60"/>
      <c r="B90" s="70" t="s">
        <v>494</v>
      </c>
      <c r="C90" s="13" t="s">
        <v>138</v>
      </c>
      <c r="D90" s="66"/>
      <c r="E90" s="1004">
        <f t="shared" si="10"/>
        <v>32.53012048192771</v>
      </c>
      <c r="F90" s="66"/>
      <c r="G90" s="1004" t="e">
        <f t="shared" si="9"/>
        <v>#DIV/0!</v>
      </c>
      <c r="H90" s="1004"/>
      <c r="I90" s="1004">
        <v>17.752151051625241</v>
      </c>
      <c r="J90" s="1004" t="e">
        <v>#DIV/0!</v>
      </c>
      <c r="K90" s="1004">
        <v>18.10968744973999</v>
      </c>
      <c r="L90" s="1004">
        <v>17.98189536132563</v>
      </c>
      <c r="M90" s="1004">
        <v>9.1808288211011639</v>
      </c>
      <c r="N90" s="1004">
        <v>9.2236485449803105</v>
      </c>
      <c r="O90" s="1004">
        <v>17.352062975027145</v>
      </c>
      <c r="P90" s="1004">
        <v>7.7246895390444115</v>
      </c>
      <c r="Q90" s="1004">
        <v>7.8741242226245758</v>
      </c>
    </row>
    <row r="91" spans="1:17" s="36" customFormat="1" ht="15" customHeight="1" outlineLevel="1">
      <c r="A91" s="60"/>
      <c r="B91" s="70" t="s">
        <v>495</v>
      </c>
      <c r="C91" s="13" t="s">
        <v>138</v>
      </c>
      <c r="D91" s="66"/>
      <c r="E91" s="1004">
        <f t="shared" si="10"/>
        <v>9.4977249991932613</v>
      </c>
      <c r="F91" s="66"/>
      <c r="G91" s="1004" t="e">
        <f t="shared" si="9"/>
        <v>#DIV/0!</v>
      </c>
      <c r="H91" s="1004"/>
      <c r="I91" s="1004" t="e">
        <v>#DIV/0!</v>
      </c>
      <c r="J91" s="1004" t="e">
        <v>#DIV/0!</v>
      </c>
      <c r="K91" s="1004" t="e">
        <v>#DIV/0!</v>
      </c>
      <c r="L91" s="1004" t="e">
        <v>#DIV/0!</v>
      </c>
      <c r="M91" s="1004" t="e">
        <v>#DIV/0!</v>
      </c>
      <c r="N91" s="1004" t="e">
        <v>#DIV/0!</v>
      </c>
      <c r="O91" s="1004" t="e">
        <v>#DIV/0!</v>
      </c>
      <c r="P91" s="1004" t="e">
        <v>#DIV/0!</v>
      </c>
      <c r="Q91" s="1004" t="e">
        <v>#DIV/0!</v>
      </c>
    </row>
    <row r="92" spans="1:17" s="36" customFormat="1" ht="15" customHeight="1" outlineLevel="1">
      <c r="A92" s="60"/>
      <c r="B92" s="70" t="s">
        <v>496</v>
      </c>
      <c r="C92" s="13" t="s">
        <v>138</v>
      </c>
      <c r="D92" s="66"/>
      <c r="E92" s="1004">
        <f t="shared" si="10"/>
        <v>18.409343715239153</v>
      </c>
      <c r="F92" s="66"/>
      <c r="G92" s="1004" t="e">
        <f t="shared" si="9"/>
        <v>#DIV/0!</v>
      </c>
      <c r="H92" s="1004"/>
      <c r="I92" s="1004" t="e">
        <v>#DIV/0!</v>
      </c>
      <c r="J92" s="1004" t="e">
        <v>#DIV/0!</v>
      </c>
      <c r="K92" s="1004">
        <v>0</v>
      </c>
      <c r="L92" s="1004">
        <v>8.1377271942114646</v>
      </c>
      <c r="M92" s="1004">
        <v>6.666666666666667</v>
      </c>
      <c r="N92" s="1004">
        <v>4.0688635971057323</v>
      </c>
      <c r="O92" s="1004">
        <v>10.396407456466255</v>
      </c>
      <c r="P92" s="1004">
        <v>4.2590369951990965</v>
      </c>
      <c r="Q92" s="1004">
        <v>3.6093148431951549</v>
      </c>
    </row>
    <row r="93" spans="1:17" s="36" customFormat="1" ht="15" customHeight="1" outlineLevel="1">
      <c r="A93" s="60"/>
      <c r="B93" s="70" t="s">
        <v>497</v>
      </c>
      <c r="C93" s="13" t="s">
        <v>138</v>
      </c>
      <c r="D93" s="66"/>
      <c r="E93" s="1004">
        <f t="shared" si="10"/>
        <v>33.333333333333329</v>
      </c>
      <c r="F93" s="66"/>
      <c r="G93" s="1004" t="e">
        <f t="shared" si="9"/>
        <v>#DIV/0!</v>
      </c>
      <c r="H93" s="1004"/>
      <c r="I93" s="1004" t="e">
        <v>#DIV/0!</v>
      </c>
      <c r="J93" s="1004" t="e">
        <v>#DIV/0!</v>
      </c>
      <c r="K93" s="1004" t="e">
        <v>#DIV/0!</v>
      </c>
      <c r="L93" s="1004" t="e">
        <v>#DIV/0!</v>
      </c>
      <c r="M93" s="1004" t="e">
        <v>#DIV/0!</v>
      </c>
      <c r="N93" s="1004" t="e">
        <v>#DIV/0!</v>
      </c>
      <c r="O93" s="1004" t="e">
        <v>#DIV/0!</v>
      </c>
      <c r="P93" s="1004" t="e">
        <v>#DIV/0!</v>
      </c>
      <c r="Q93" s="1004" t="e">
        <v>#DIV/0!</v>
      </c>
    </row>
    <row r="94" spans="1:17" s="36" customFormat="1" ht="15" customHeight="1" outlineLevel="1">
      <c r="A94" s="60"/>
      <c r="B94" s="68" t="s">
        <v>498</v>
      </c>
      <c r="C94" s="13" t="s">
        <v>138</v>
      </c>
      <c r="D94" s="66"/>
      <c r="E94" s="1004">
        <f t="shared" si="10"/>
        <v>41.310975609756099</v>
      </c>
      <c r="F94" s="66"/>
      <c r="G94" s="1004" t="e">
        <f t="shared" si="9"/>
        <v>#DIV/0!</v>
      </c>
      <c r="H94" s="1004"/>
      <c r="I94" s="1004">
        <v>14.32802665679378</v>
      </c>
      <c r="J94" s="1004" t="e">
        <v>#DIV/0!</v>
      </c>
      <c r="K94" s="1004">
        <v>14.308976185629959</v>
      </c>
      <c r="L94" s="1004">
        <v>14.288622023203745</v>
      </c>
      <c r="M94" s="1004">
        <v>7.1443110116018724</v>
      </c>
      <c r="N94" s="1004">
        <v>7.1443110116018724</v>
      </c>
      <c r="O94" s="1004">
        <v>14.288622023203745</v>
      </c>
      <c r="P94" s="1004">
        <v>7.1443110116018724</v>
      </c>
      <c r="Q94" s="1004">
        <v>7.1443110116018724</v>
      </c>
    </row>
    <row r="95" spans="1:17" s="36" customFormat="1" ht="15" customHeight="1" outlineLevel="1">
      <c r="A95" s="60"/>
      <c r="B95" s="68" t="s">
        <v>499</v>
      </c>
      <c r="C95" s="13" t="s">
        <v>138</v>
      </c>
      <c r="D95" s="66"/>
      <c r="E95" s="1004">
        <f t="shared" si="10"/>
        <v>11.40439932318105</v>
      </c>
      <c r="F95" s="66"/>
      <c r="G95" s="1004" t="e">
        <f t="shared" si="9"/>
        <v>#DIV/0!</v>
      </c>
      <c r="H95" s="1004"/>
      <c r="I95" s="1004">
        <v>0</v>
      </c>
      <c r="J95" s="1004" t="e">
        <v>#DIV/0!</v>
      </c>
      <c r="K95" s="1004">
        <v>6.226612782517587</v>
      </c>
      <c r="L95" s="1004">
        <v>8.4892954999303392</v>
      </c>
      <c r="M95" s="1004">
        <v>7.0113531758208048</v>
      </c>
      <c r="N95" s="1004">
        <v>4.2446477499651696</v>
      </c>
      <c r="O95" s="1004">
        <v>10.213954932346777</v>
      </c>
      <c r="P95" s="1004">
        <v>4.175480159065911</v>
      </c>
      <c r="Q95" s="1004">
        <v>3.5313690763698813</v>
      </c>
    </row>
    <row r="96" spans="1:17" s="36" customFormat="1">
      <c r="A96" s="60"/>
      <c r="B96" s="68"/>
      <c r="C96" s="13"/>
      <c r="D96" s="66"/>
      <c r="E96" s="66"/>
      <c r="F96" s="66"/>
      <c r="G96" s="66"/>
      <c r="H96" s="66"/>
      <c r="I96" s="66"/>
      <c r="J96" s="66"/>
      <c r="K96" s="66"/>
      <c r="L96" s="1004"/>
      <c r="M96" s="1004"/>
      <c r="N96" s="1004"/>
      <c r="O96" s="1004"/>
      <c r="P96" s="1004"/>
      <c r="Q96" s="1004"/>
    </row>
    <row r="97" spans="1:17" s="1001" customFormat="1" ht="15" customHeight="1">
      <c r="A97" s="82" t="s">
        <v>109</v>
      </c>
      <c r="B97" s="80" t="s">
        <v>505</v>
      </c>
      <c r="C97" s="999" t="s">
        <v>240</v>
      </c>
      <c r="D97" s="1000">
        <v>52487</v>
      </c>
      <c r="E97" s="1000">
        <f t="shared" ref="E97:Q97" si="11">E98+E99+E100+E101+E107+E108+E109+E110</f>
        <v>78628</v>
      </c>
      <c r="F97" s="1000"/>
      <c r="G97" s="1000">
        <f t="shared" si="11"/>
        <v>0</v>
      </c>
      <c r="H97" s="1000"/>
      <c r="I97" s="1000">
        <v>5355</v>
      </c>
      <c r="J97" s="1000">
        <v>0</v>
      </c>
      <c r="K97" s="1000">
        <v>5658.03</v>
      </c>
      <c r="L97" s="1000">
        <v>7199.0800000000008</v>
      </c>
      <c r="M97" s="1000">
        <v>3551.52</v>
      </c>
      <c r="N97" s="1000">
        <v>3647.56</v>
      </c>
      <c r="O97" s="1000">
        <v>9549.119999999999</v>
      </c>
      <c r="P97" s="1000">
        <v>4608.9399999999996</v>
      </c>
      <c r="Q97" s="1000">
        <v>4940.1799999999994</v>
      </c>
    </row>
    <row r="98" spans="1:17" s="36" customFormat="1" ht="15" customHeight="1" outlineLevel="1">
      <c r="A98" s="60"/>
      <c r="B98" s="68" t="s">
        <v>487</v>
      </c>
      <c r="C98" s="13" t="s">
        <v>240</v>
      </c>
      <c r="D98" s="241"/>
      <c r="E98" s="241">
        <v>20756</v>
      </c>
      <c r="F98" s="241"/>
      <c r="G98" s="1003"/>
      <c r="H98" s="1003"/>
      <c r="I98" s="1003">
        <v>1106</v>
      </c>
      <c r="J98" s="1003"/>
      <c r="K98" s="1003">
        <v>984.90000000000009</v>
      </c>
      <c r="L98" s="1003">
        <v>984.90000000000009</v>
      </c>
      <c r="M98" s="1003">
        <v>492.45000000000005</v>
      </c>
      <c r="N98" s="1003">
        <v>492.45000000000005</v>
      </c>
      <c r="O98" s="1003">
        <v>984.90000000000009</v>
      </c>
      <c r="P98" s="1003">
        <v>492.45000000000005</v>
      </c>
      <c r="Q98" s="1003">
        <v>492.45000000000005</v>
      </c>
    </row>
    <row r="99" spans="1:17" s="36" customFormat="1" ht="15" customHeight="1" outlineLevel="1">
      <c r="A99" s="60"/>
      <c r="B99" s="68" t="s">
        <v>488</v>
      </c>
      <c r="C99" s="13" t="s">
        <v>240</v>
      </c>
      <c r="D99" s="241"/>
      <c r="E99" s="241">
        <v>10360</v>
      </c>
      <c r="F99" s="241"/>
      <c r="G99" s="1003"/>
      <c r="H99" s="1003"/>
      <c r="I99" s="1003"/>
      <c r="J99" s="1003"/>
      <c r="K99" s="1003">
        <v>0</v>
      </c>
      <c r="L99" s="1003">
        <v>0</v>
      </c>
      <c r="M99" s="1003">
        <v>0</v>
      </c>
      <c r="N99" s="1003">
        <v>0</v>
      </c>
      <c r="O99" s="1003">
        <v>0</v>
      </c>
      <c r="P99" s="1003">
        <v>0</v>
      </c>
      <c r="Q99" s="1003">
        <v>0</v>
      </c>
    </row>
    <row r="100" spans="1:17" s="36" customFormat="1" ht="15" customHeight="1" outlineLevel="1">
      <c r="A100" s="60"/>
      <c r="B100" s="68" t="s">
        <v>489</v>
      </c>
      <c r="C100" s="13" t="s">
        <v>240</v>
      </c>
      <c r="D100" s="241"/>
      <c r="E100" s="241">
        <v>1721</v>
      </c>
      <c r="F100" s="241"/>
      <c r="G100" s="1003"/>
      <c r="H100" s="1003"/>
      <c r="I100" s="1003"/>
      <c r="J100" s="1003"/>
      <c r="K100" s="1003">
        <v>0</v>
      </c>
      <c r="L100" s="1003">
        <v>0</v>
      </c>
      <c r="M100" s="1003">
        <v>0</v>
      </c>
      <c r="N100" s="1003">
        <v>0</v>
      </c>
      <c r="O100" s="1003">
        <v>0</v>
      </c>
      <c r="P100" s="1003">
        <v>0</v>
      </c>
      <c r="Q100" s="1003">
        <v>0</v>
      </c>
    </row>
    <row r="101" spans="1:17" s="36" customFormat="1" ht="15" customHeight="1" outlineLevel="1">
      <c r="A101" s="60"/>
      <c r="B101" s="68" t="s">
        <v>490</v>
      </c>
      <c r="C101" s="13" t="s">
        <v>240</v>
      </c>
      <c r="D101" s="241"/>
      <c r="E101" s="241">
        <f t="shared" ref="E101" si="12">E102+E103+E104+E105+E106</f>
        <v>44513</v>
      </c>
      <c r="F101" s="241"/>
      <c r="G101" s="1003"/>
      <c r="H101" s="1003">
        <v>0</v>
      </c>
      <c r="I101" s="1003">
        <v>3862</v>
      </c>
      <c r="J101" s="1003">
        <v>0</v>
      </c>
      <c r="K101" s="1003">
        <v>4226.74</v>
      </c>
      <c r="L101" s="1003">
        <v>4383.54</v>
      </c>
      <c r="M101" s="1003">
        <v>2143.75</v>
      </c>
      <c r="N101" s="1003">
        <v>2239.79</v>
      </c>
      <c r="O101" s="1003">
        <v>4887.75</v>
      </c>
      <c r="P101" s="1003">
        <v>2278.5</v>
      </c>
      <c r="Q101" s="1003">
        <v>2609.25</v>
      </c>
    </row>
    <row r="102" spans="1:17" s="36" customFormat="1" ht="15" customHeight="1" outlineLevel="1">
      <c r="A102" s="60"/>
      <c r="B102" s="68" t="s">
        <v>491</v>
      </c>
      <c r="C102" s="13" t="s">
        <v>240</v>
      </c>
      <c r="D102" s="241"/>
      <c r="E102" s="241">
        <v>12544</v>
      </c>
      <c r="F102" s="241"/>
      <c r="G102" s="1003"/>
      <c r="H102" s="1003"/>
      <c r="I102" s="1003"/>
      <c r="J102" s="1003"/>
      <c r="K102" s="1003">
        <v>0</v>
      </c>
      <c r="L102" s="1003">
        <v>0</v>
      </c>
      <c r="M102" s="1003">
        <v>0</v>
      </c>
      <c r="N102" s="1003">
        <v>0</v>
      </c>
      <c r="O102" s="1003">
        <v>0</v>
      </c>
      <c r="P102" s="1003">
        <v>0</v>
      </c>
      <c r="Q102" s="1003">
        <v>0</v>
      </c>
    </row>
    <row r="103" spans="1:17" s="36" customFormat="1" ht="15" customHeight="1" outlineLevel="1">
      <c r="A103" s="60"/>
      <c r="B103" s="70" t="s">
        <v>492</v>
      </c>
      <c r="C103" s="13" t="s">
        <v>240</v>
      </c>
      <c r="D103" s="241"/>
      <c r="E103" s="241">
        <v>7147</v>
      </c>
      <c r="F103" s="241"/>
      <c r="G103" s="1003"/>
      <c r="H103" s="1003"/>
      <c r="I103" s="1003">
        <v>891</v>
      </c>
      <c r="J103" s="1003"/>
      <c r="K103" s="1003">
        <v>901.6</v>
      </c>
      <c r="L103" s="1003">
        <v>901.6</v>
      </c>
      <c r="M103" s="1003">
        <v>450.8</v>
      </c>
      <c r="N103" s="1003">
        <v>450.8</v>
      </c>
      <c r="O103" s="1003">
        <v>901.6</v>
      </c>
      <c r="P103" s="1003">
        <v>450.8</v>
      </c>
      <c r="Q103" s="1003">
        <v>450.8</v>
      </c>
    </row>
    <row r="104" spans="1:17" s="36" customFormat="1" ht="15" customHeight="1" outlineLevel="1">
      <c r="A104" s="60"/>
      <c r="B104" s="70" t="s">
        <v>493</v>
      </c>
      <c r="C104" s="13" t="s">
        <v>240</v>
      </c>
      <c r="D104" s="241"/>
      <c r="E104" s="241">
        <v>844</v>
      </c>
      <c r="F104" s="241"/>
      <c r="G104" s="1003"/>
      <c r="H104" s="1003"/>
      <c r="I104" s="1003"/>
      <c r="J104" s="1003"/>
      <c r="K104" s="1003">
        <v>14.7</v>
      </c>
      <c r="L104" s="1003">
        <v>36.26</v>
      </c>
      <c r="M104" s="1003">
        <v>14.7</v>
      </c>
      <c r="N104" s="1003">
        <v>21.56</v>
      </c>
      <c r="O104" s="1003">
        <v>227.36</v>
      </c>
      <c r="P104" s="1003">
        <v>29.4</v>
      </c>
      <c r="Q104" s="1003">
        <v>197.96</v>
      </c>
    </row>
    <row r="105" spans="1:17" s="36" customFormat="1" ht="15" customHeight="1" outlineLevel="1">
      <c r="A105" s="60"/>
      <c r="B105" s="70" t="s">
        <v>494</v>
      </c>
      <c r="C105" s="13" t="s">
        <v>240</v>
      </c>
      <c r="D105" s="241"/>
      <c r="E105" s="241">
        <v>432</v>
      </c>
      <c r="F105" s="241"/>
      <c r="G105" s="1003"/>
      <c r="H105" s="1003"/>
      <c r="I105" s="1003">
        <v>2971</v>
      </c>
      <c r="J105" s="1003"/>
      <c r="K105" s="1003">
        <v>3310.44</v>
      </c>
      <c r="L105" s="1003">
        <v>3445.6800000000003</v>
      </c>
      <c r="M105" s="1003">
        <v>1678.25</v>
      </c>
      <c r="N105" s="1003">
        <v>1767.43</v>
      </c>
      <c r="O105" s="1003">
        <v>3758.79</v>
      </c>
      <c r="P105" s="1003">
        <v>1798.3</v>
      </c>
      <c r="Q105" s="1003">
        <v>1960.49</v>
      </c>
    </row>
    <row r="106" spans="1:17" s="36" customFormat="1" ht="15" customHeight="1" outlineLevel="1">
      <c r="A106" s="60"/>
      <c r="B106" s="70" t="s">
        <v>495</v>
      </c>
      <c r="C106" s="13" t="s">
        <v>240</v>
      </c>
      <c r="D106" s="241"/>
      <c r="E106" s="241">
        <f>23929-383</f>
        <v>23546</v>
      </c>
      <c r="F106" s="241"/>
      <c r="G106" s="1003"/>
      <c r="H106" s="1003"/>
      <c r="I106" s="1003"/>
      <c r="J106" s="1003"/>
      <c r="K106" s="1003">
        <v>0</v>
      </c>
      <c r="L106" s="1003">
        <v>0</v>
      </c>
      <c r="M106" s="1003">
        <v>0</v>
      </c>
      <c r="N106" s="1003">
        <v>0</v>
      </c>
      <c r="O106" s="1003">
        <v>0</v>
      </c>
      <c r="P106" s="1003">
        <v>0</v>
      </c>
      <c r="Q106" s="1003">
        <v>0</v>
      </c>
    </row>
    <row r="107" spans="1:17" s="36" customFormat="1" ht="15" customHeight="1" outlineLevel="1">
      <c r="A107" s="60"/>
      <c r="B107" s="70" t="s">
        <v>496</v>
      </c>
      <c r="C107" s="13" t="s">
        <v>240</v>
      </c>
      <c r="D107" s="241"/>
      <c r="E107" s="241">
        <v>331</v>
      </c>
      <c r="F107" s="241"/>
      <c r="G107" s="1003"/>
      <c r="H107" s="1003"/>
      <c r="I107" s="1003"/>
      <c r="J107" s="1003"/>
      <c r="K107" s="1003">
        <v>0</v>
      </c>
      <c r="L107" s="1003">
        <v>1038.8</v>
      </c>
      <c r="M107" s="1003">
        <v>519.4</v>
      </c>
      <c r="N107" s="1003">
        <v>519.4</v>
      </c>
      <c r="O107" s="1003">
        <v>2365.2299999999996</v>
      </c>
      <c r="P107" s="1003">
        <v>1182.3699999999999</v>
      </c>
      <c r="Q107" s="1003">
        <v>1182.8599999999999</v>
      </c>
    </row>
    <row r="108" spans="1:17" s="36" customFormat="1" ht="15" customHeight="1" outlineLevel="1">
      <c r="A108" s="60"/>
      <c r="B108" s="70" t="s">
        <v>497</v>
      </c>
      <c r="C108" s="13" t="s">
        <v>240</v>
      </c>
      <c r="D108" s="241"/>
      <c r="E108" s="241">
        <v>2</v>
      </c>
      <c r="F108" s="241"/>
      <c r="G108" s="1003"/>
      <c r="H108" s="1003"/>
      <c r="I108" s="1003"/>
      <c r="J108" s="1003"/>
      <c r="K108" s="1003">
        <v>0</v>
      </c>
      <c r="L108" s="1003">
        <v>0</v>
      </c>
      <c r="M108" s="1003">
        <v>0</v>
      </c>
      <c r="N108" s="1003">
        <v>0</v>
      </c>
      <c r="O108" s="1003">
        <v>0</v>
      </c>
      <c r="P108" s="1003">
        <v>0</v>
      </c>
      <c r="Q108" s="1003">
        <v>0</v>
      </c>
    </row>
    <row r="109" spans="1:17" s="36" customFormat="1" ht="15" customHeight="1" outlineLevel="1">
      <c r="A109" s="60"/>
      <c r="B109" s="68" t="s">
        <v>498</v>
      </c>
      <c r="C109" s="13" t="s">
        <v>240</v>
      </c>
      <c r="D109" s="241"/>
      <c r="E109" s="241">
        <v>271</v>
      </c>
      <c r="F109" s="241"/>
      <c r="G109" s="1003"/>
      <c r="H109" s="1003"/>
      <c r="I109" s="1003">
        <v>387</v>
      </c>
      <c r="J109" s="1003"/>
      <c r="K109" s="1003">
        <v>344.46999999999997</v>
      </c>
      <c r="L109" s="1003">
        <v>343.98</v>
      </c>
      <c r="M109" s="1003">
        <v>171.99</v>
      </c>
      <c r="N109" s="1003">
        <v>171.99</v>
      </c>
      <c r="O109" s="1003">
        <v>343.98</v>
      </c>
      <c r="P109" s="1003">
        <v>171.99</v>
      </c>
      <c r="Q109" s="1003">
        <v>171.99</v>
      </c>
    </row>
    <row r="110" spans="1:17" s="36" customFormat="1" ht="15" customHeight="1" outlineLevel="1">
      <c r="A110" s="60"/>
      <c r="B110" s="68" t="s">
        <v>499</v>
      </c>
      <c r="C110" s="13" t="s">
        <v>240</v>
      </c>
      <c r="D110" s="241"/>
      <c r="E110" s="241">
        <v>674</v>
      </c>
      <c r="F110" s="241"/>
      <c r="G110" s="1003"/>
      <c r="H110" s="1003"/>
      <c r="I110" s="1003"/>
      <c r="J110" s="1003"/>
      <c r="K110" s="1003">
        <v>101.92</v>
      </c>
      <c r="L110" s="1003">
        <v>447.86</v>
      </c>
      <c r="M110" s="1003">
        <v>223.93</v>
      </c>
      <c r="N110" s="1003">
        <v>223.93</v>
      </c>
      <c r="O110" s="1003">
        <v>967.26</v>
      </c>
      <c r="P110" s="1003">
        <v>483.63</v>
      </c>
      <c r="Q110" s="1003">
        <v>483.63</v>
      </c>
    </row>
    <row r="111" spans="1:17" s="1001" customFormat="1" ht="28.5">
      <c r="A111" s="82" t="s">
        <v>151</v>
      </c>
      <c r="B111" s="80" t="s">
        <v>1524</v>
      </c>
      <c r="C111" s="1002" t="s">
        <v>240</v>
      </c>
      <c r="D111" s="1000">
        <v>53485</v>
      </c>
      <c r="E111" s="1000">
        <v>80015</v>
      </c>
      <c r="F111" s="1000"/>
      <c r="G111" s="1013">
        <f>G97</f>
        <v>0</v>
      </c>
      <c r="H111" s="1013">
        <f>H113</f>
        <v>0</v>
      </c>
      <c r="I111" s="1013">
        <v>5355</v>
      </c>
      <c r="J111" s="1013">
        <v>0</v>
      </c>
      <c r="K111" s="1013">
        <v>5658.03</v>
      </c>
      <c r="L111" s="1013">
        <v>7199.0800000000008</v>
      </c>
      <c r="M111" s="1013">
        <v>3551.52</v>
      </c>
      <c r="N111" s="1013">
        <v>3647.56</v>
      </c>
      <c r="O111" s="1013">
        <v>9549.119999999999</v>
      </c>
      <c r="P111" s="1013">
        <v>4608.9399999999996</v>
      </c>
      <c r="Q111" s="1013">
        <v>4940.1799999999994</v>
      </c>
    </row>
    <row r="112" spans="1:17" s="36" customFormat="1" ht="15" customHeight="1">
      <c r="A112" s="60" t="s">
        <v>153</v>
      </c>
      <c r="B112" s="70" t="s">
        <v>402</v>
      </c>
      <c r="C112" s="13" t="s">
        <v>240</v>
      </c>
      <c r="D112" s="241"/>
      <c r="E112" s="241"/>
      <c r="F112" s="241"/>
      <c r="G112" s="241"/>
      <c r="H112" s="241"/>
      <c r="I112" s="241"/>
      <c r="J112" s="241"/>
      <c r="K112" s="241"/>
      <c r="L112" s="241"/>
      <c r="M112" s="241"/>
      <c r="N112" s="241"/>
      <c r="O112" s="241"/>
      <c r="P112" s="241"/>
      <c r="Q112" s="241"/>
    </row>
    <row r="113" spans="1:17" s="36" customFormat="1" ht="15" customHeight="1">
      <c r="A113" s="60" t="s">
        <v>1528</v>
      </c>
      <c r="B113" s="70" t="s">
        <v>404</v>
      </c>
      <c r="C113" s="13" t="s">
        <v>240</v>
      </c>
      <c r="D113" s="241">
        <v>53485</v>
      </c>
      <c r="E113" s="241">
        <v>80015</v>
      </c>
      <c r="F113" s="241"/>
      <c r="G113" s="241">
        <f>G111</f>
        <v>0</v>
      </c>
      <c r="H113" s="241"/>
      <c r="I113" s="241">
        <v>5355</v>
      </c>
      <c r="J113" s="241">
        <v>0</v>
      </c>
      <c r="K113" s="241">
        <v>5658.03</v>
      </c>
      <c r="L113" s="241">
        <v>7199.0800000000008</v>
      </c>
      <c r="M113" s="241">
        <v>3551.52</v>
      </c>
      <c r="N113" s="241">
        <v>3647.56</v>
      </c>
      <c r="O113" s="241">
        <v>9549.119999999999</v>
      </c>
      <c r="P113" s="241">
        <v>4608.9399999999996</v>
      </c>
      <c r="Q113" s="241">
        <v>4940.1799999999994</v>
      </c>
    </row>
    <row r="114" spans="1:17" s="36" customFormat="1" ht="15" customHeight="1">
      <c r="A114" s="60" t="s">
        <v>1529</v>
      </c>
      <c r="B114" s="70" t="s">
        <v>406</v>
      </c>
      <c r="C114" s="13" t="s">
        <v>240</v>
      </c>
      <c r="D114" s="241"/>
      <c r="E114" s="241"/>
      <c r="F114" s="241"/>
      <c r="G114" s="241"/>
      <c r="H114" s="241"/>
      <c r="I114" s="241"/>
      <c r="J114" s="241"/>
      <c r="K114" s="241"/>
      <c r="L114" s="241"/>
      <c r="M114" s="241"/>
      <c r="N114" s="241"/>
      <c r="O114" s="241"/>
      <c r="P114" s="241"/>
      <c r="Q114" s="241"/>
    </row>
    <row r="115" spans="1:17" s="36" customFormat="1" ht="15" customHeight="1">
      <c r="A115" s="60" t="s">
        <v>1530</v>
      </c>
      <c r="B115" s="70" t="s">
        <v>408</v>
      </c>
      <c r="C115" s="13" t="s">
        <v>240</v>
      </c>
      <c r="D115" s="241"/>
      <c r="E115" s="241"/>
      <c r="F115" s="241"/>
      <c r="G115" s="241"/>
      <c r="H115" s="241"/>
      <c r="I115" s="241"/>
      <c r="J115" s="241"/>
      <c r="K115" s="241"/>
      <c r="L115" s="241"/>
      <c r="M115" s="241"/>
      <c r="N115" s="241"/>
      <c r="O115" s="241"/>
      <c r="P115" s="241"/>
      <c r="Q115" s="241"/>
    </row>
    <row r="116" spans="1:17" customFormat="1" ht="12.75"/>
    <row r="117" spans="1:17" s="26" customFormat="1">
      <c r="A117" s="26" t="s">
        <v>88</v>
      </c>
      <c r="C117" s="48"/>
    </row>
    <row r="118" spans="1:17" s="1694" customFormat="1" ht="51.75" customHeight="1">
      <c r="A118" s="1694" t="s">
        <v>89</v>
      </c>
      <c r="B118" s="1842" t="s">
        <v>506</v>
      </c>
      <c r="C118" s="1842"/>
      <c r="D118" s="1842"/>
      <c r="E118" s="1842"/>
      <c r="F118" s="1842"/>
      <c r="G118" s="1842"/>
      <c r="H118" s="1842"/>
      <c r="I118" s="1842"/>
      <c r="J118" s="1842"/>
      <c r="K118" s="1842"/>
      <c r="L118" s="1842"/>
      <c r="M118" s="1842"/>
      <c r="N118" s="1842"/>
    </row>
    <row r="119" spans="1:17" s="1694" customFormat="1" ht="58.5" customHeight="1">
      <c r="A119" s="1694" t="s">
        <v>91</v>
      </c>
      <c r="B119" s="1842" t="s">
        <v>507</v>
      </c>
      <c r="C119" s="1842"/>
      <c r="D119" s="1842"/>
      <c r="E119" s="1842"/>
      <c r="F119" s="1842"/>
      <c r="G119" s="1842"/>
      <c r="H119" s="1842"/>
      <c r="I119" s="1842"/>
      <c r="J119" s="1842"/>
      <c r="K119" s="1842"/>
      <c r="L119" s="1842"/>
      <c r="M119" s="1842"/>
      <c r="N119" s="1842"/>
    </row>
    <row r="120" spans="1:17" ht="21" customHeight="1"/>
  </sheetData>
  <mergeCells count="3">
    <mergeCell ref="A3:N3"/>
    <mergeCell ref="B118:N118"/>
    <mergeCell ref="B119:N119"/>
  </mergeCells>
  <pageMargins left="0.78740157480314965" right="0.51181102362204722" top="0.3" bottom="0.39370078740157483" header="0.19685039370078741" footer="0.19685039370078741"/>
  <pageSetup paperSize="9" scale="43" orientation="portrait" r:id="rId1"/>
  <headerFooter alignWithMargins="0"/>
  <rowBreaks count="2" manualBreakCount="2">
    <brk id="115" max="16" man="1"/>
    <brk id="116" max="6" man="1"/>
  </row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Z36"/>
  <sheetViews>
    <sheetView view="pageBreakPreview" zoomScaleNormal="100" zoomScaleSheetLayoutView="100" workbookViewId="0">
      <pane xSplit="2" ySplit="8" topLeftCell="C9" activePane="bottomRight" state="frozen"/>
      <selection activeCell="R1" sqref="R1"/>
      <selection pane="topRight" activeCell="R1" sqref="R1"/>
      <selection pane="bottomLeft" activeCell="R1" sqref="R1"/>
      <selection pane="bottomRight" activeCell="R1" sqref="R1"/>
    </sheetView>
  </sheetViews>
  <sheetFormatPr defaultColWidth="4.85546875" defaultRowHeight="12" customHeight="1" outlineLevelCol="1"/>
  <cols>
    <col min="1" max="1" width="4.85546875" style="26" customWidth="1"/>
    <col min="2" max="2" width="40.140625" style="26" customWidth="1"/>
    <col min="3" max="3" width="10.7109375" style="107" customWidth="1"/>
    <col min="4" max="4" width="10.42578125" style="107" customWidth="1"/>
    <col min="5" max="5" width="5.85546875" style="107" customWidth="1"/>
    <col min="6" max="6" width="2.5703125" style="107" customWidth="1" outlineLevel="1"/>
    <col min="7" max="7" width="6.28515625" style="107" customWidth="1" outlineLevel="1"/>
    <col min="8" max="10" width="2.7109375" style="107" customWidth="1" outlineLevel="1"/>
    <col min="11" max="11" width="10.7109375" style="300" customWidth="1"/>
    <col min="12" max="12" width="10.42578125" style="300" customWidth="1"/>
    <col min="13" max="13" width="5.85546875" style="300" customWidth="1"/>
    <col min="14" max="14" width="3.28515625" style="300" customWidth="1" outlineLevel="1"/>
    <col min="15" max="15" width="6.28515625" style="300" customWidth="1" outlineLevel="1"/>
    <col min="16" max="18" width="2.7109375" style="300" customWidth="1" outlineLevel="1"/>
    <col min="19" max="19" width="10.7109375" style="300" customWidth="1"/>
    <col min="20" max="20" width="10.42578125" style="300" customWidth="1"/>
    <col min="21" max="21" width="5.85546875" style="300" customWidth="1"/>
    <col min="22" max="22" width="3.5703125" style="300" customWidth="1" outlineLevel="1"/>
    <col min="23" max="23" width="6.28515625" style="300" customWidth="1" outlineLevel="1"/>
    <col min="24" max="26" width="2.7109375" style="300" customWidth="1" outlineLevel="1"/>
    <col min="27" max="16384" width="4.85546875" style="26"/>
  </cols>
  <sheetData>
    <row r="1" spans="1:26" s="24" customFormat="1" ht="14.25">
      <c r="A1" s="530" t="s">
        <v>765</v>
      </c>
      <c r="B1" s="298"/>
      <c r="C1" s="298"/>
      <c r="D1" s="298"/>
      <c r="E1" s="298"/>
      <c r="F1" s="298"/>
      <c r="G1" s="298"/>
      <c r="H1" s="298"/>
      <c r="I1" s="298"/>
      <c r="J1" s="299"/>
      <c r="K1" s="298"/>
      <c r="L1" s="298"/>
      <c r="M1" s="298"/>
      <c r="N1" s="298"/>
      <c r="O1" s="298"/>
      <c r="P1" s="298"/>
      <c r="Q1" s="298"/>
      <c r="R1" s="299"/>
      <c r="S1" s="298"/>
      <c r="T1" s="298"/>
      <c r="U1" s="298"/>
      <c r="V1" s="298"/>
      <c r="W1" s="298"/>
      <c r="X1" s="298"/>
      <c r="Y1" s="298"/>
      <c r="Z1" s="299" t="s">
        <v>60</v>
      </c>
    </row>
    <row r="2" spans="1:26" ht="15" customHeight="1">
      <c r="A2" s="531" t="str">
        <f>'[10]3.1'!$A$2</f>
        <v>ПКГО - выработка котельными</v>
      </c>
      <c r="B2" s="300"/>
      <c r="C2" s="300"/>
      <c r="D2" s="300"/>
      <c r="E2" s="300"/>
      <c r="F2" s="300"/>
      <c r="G2" s="300"/>
      <c r="H2" s="300"/>
      <c r="I2" s="300"/>
      <c r="J2" s="300"/>
    </row>
    <row r="3" spans="1:26" ht="18.75">
      <c r="A3" s="1861" t="s">
        <v>61</v>
      </c>
      <c r="B3" s="1861"/>
      <c r="C3" s="1861"/>
      <c r="D3" s="1861"/>
      <c r="E3" s="1861"/>
      <c r="F3" s="1861"/>
      <c r="G3" s="1861"/>
      <c r="H3" s="1861"/>
      <c r="I3" s="1861"/>
      <c r="J3" s="1861"/>
      <c r="K3" s="1861"/>
      <c r="L3" s="1861"/>
      <c r="M3" s="1861"/>
      <c r="N3" s="1861"/>
      <c r="O3" s="1861"/>
      <c r="P3" s="1861"/>
      <c r="Q3" s="1861"/>
      <c r="R3" s="1861"/>
      <c r="S3" s="1861"/>
      <c r="T3" s="1861"/>
      <c r="U3" s="1861"/>
      <c r="V3" s="1861"/>
      <c r="W3" s="1861"/>
      <c r="X3" s="1861"/>
      <c r="Y3" s="1861"/>
      <c r="Z3" s="1861"/>
    </row>
    <row r="4" spans="1:26" s="541" customFormat="1" ht="15.75" customHeight="1">
      <c r="A4" s="294"/>
      <c r="B4" s="294"/>
      <c r="C4" s="294"/>
      <c r="D4" s="294"/>
      <c r="E4" s="294"/>
      <c r="F4" s="294"/>
      <c r="G4" s="294"/>
      <c r="H4" s="294"/>
      <c r="I4" s="294"/>
      <c r="J4" s="301"/>
      <c r="K4" s="294"/>
      <c r="L4" s="294"/>
      <c r="M4" s="294"/>
      <c r="N4" s="294"/>
      <c r="O4" s="294"/>
      <c r="P4" s="294"/>
      <c r="Q4" s="294"/>
      <c r="R4" s="301"/>
      <c r="S4" s="294"/>
      <c r="T4" s="294"/>
      <c r="U4" s="294"/>
      <c r="V4" s="294"/>
      <c r="W4" s="294"/>
      <c r="X4" s="294"/>
      <c r="Y4" s="294"/>
      <c r="Z4" s="301"/>
    </row>
    <row r="5" spans="1:26" s="31" customFormat="1" ht="30.75" customHeight="1">
      <c r="A5" s="1858" t="s">
        <v>0</v>
      </c>
      <c r="B5" s="1858" t="s">
        <v>1</v>
      </c>
      <c r="C5" s="1862" t="s">
        <v>773</v>
      </c>
      <c r="D5" s="1863"/>
      <c r="E5" s="1863"/>
      <c r="F5" s="1863"/>
      <c r="G5" s="1863"/>
      <c r="H5" s="1863"/>
      <c r="I5" s="1863"/>
      <c r="J5" s="1863"/>
      <c r="K5" s="1844" t="s">
        <v>774</v>
      </c>
      <c r="L5" s="1845"/>
      <c r="M5" s="1845"/>
      <c r="N5" s="1845"/>
      <c r="O5" s="1845"/>
      <c r="P5" s="1845"/>
      <c r="Q5" s="1845"/>
      <c r="R5" s="1845"/>
      <c r="S5" s="1844" t="s">
        <v>775</v>
      </c>
      <c r="T5" s="1845"/>
      <c r="U5" s="1845"/>
      <c r="V5" s="1845"/>
      <c r="W5" s="1845"/>
      <c r="X5" s="1845"/>
      <c r="Y5" s="1845"/>
      <c r="Z5" s="1845"/>
    </row>
    <row r="6" spans="1:26" s="31" customFormat="1" ht="15" customHeight="1">
      <c r="A6" s="1859"/>
      <c r="B6" s="1859"/>
      <c r="C6" s="1864" t="s">
        <v>63</v>
      </c>
      <c r="D6" s="1862" t="s">
        <v>64</v>
      </c>
      <c r="E6" s="1863"/>
      <c r="F6" s="1863"/>
      <c r="G6" s="1863"/>
      <c r="H6" s="1863"/>
      <c r="I6" s="1863"/>
      <c r="J6" s="1863"/>
      <c r="K6" s="1851" t="s">
        <v>63</v>
      </c>
      <c r="L6" s="1844" t="s">
        <v>64</v>
      </c>
      <c r="M6" s="1845"/>
      <c r="N6" s="1845"/>
      <c r="O6" s="1845"/>
      <c r="P6" s="1845"/>
      <c r="Q6" s="1845"/>
      <c r="R6" s="1845"/>
      <c r="S6" s="1851" t="s">
        <v>63</v>
      </c>
      <c r="T6" s="1844" t="s">
        <v>64</v>
      </c>
      <c r="U6" s="1845"/>
      <c r="V6" s="1845"/>
      <c r="W6" s="1845"/>
      <c r="X6" s="1845"/>
      <c r="Y6" s="1845"/>
      <c r="Z6" s="1845"/>
    </row>
    <row r="7" spans="1:26" s="31" customFormat="1" ht="15" customHeight="1">
      <c r="A7" s="1859"/>
      <c r="B7" s="1859"/>
      <c r="C7" s="1865"/>
      <c r="D7" s="1867" t="s">
        <v>65</v>
      </c>
      <c r="E7" s="1869" t="s">
        <v>66</v>
      </c>
      <c r="F7" s="1862" t="s">
        <v>64</v>
      </c>
      <c r="G7" s="1863"/>
      <c r="H7" s="1863"/>
      <c r="I7" s="1863"/>
      <c r="J7" s="1863"/>
      <c r="K7" s="1852"/>
      <c r="L7" s="1854" t="s">
        <v>65</v>
      </c>
      <c r="M7" s="1856" t="s">
        <v>66</v>
      </c>
      <c r="N7" s="1844" t="s">
        <v>64</v>
      </c>
      <c r="O7" s="1845"/>
      <c r="P7" s="1845"/>
      <c r="Q7" s="1845"/>
      <c r="R7" s="1845"/>
      <c r="S7" s="1852"/>
      <c r="T7" s="1854" t="s">
        <v>65</v>
      </c>
      <c r="U7" s="1856" t="s">
        <v>66</v>
      </c>
      <c r="V7" s="1844" t="s">
        <v>64</v>
      </c>
      <c r="W7" s="1845"/>
      <c r="X7" s="1845"/>
      <c r="Y7" s="1845"/>
      <c r="Z7" s="1845"/>
    </row>
    <row r="8" spans="1:26" s="31" customFormat="1" ht="84.75" customHeight="1">
      <c r="A8" s="1860"/>
      <c r="B8" s="1860"/>
      <c r="C8" s="1866"/>
      <c r="D8" s="1868"/>
      <c r="E8" s="1870"/>
      <c r="F8" s="279" t="s">
        <v>942</v>
      </c>
      <c r="G8" s="285" t="s">
        <v>67</v>
      </c>
      <c r="H8" s="279" t="s">
        <v>940</v>
      </c>
      <c r="I8" s="279" t="s">
        <v>941</v>
      </c>
      <c r="J8" s="279" t="s">
        <v>68</v>
      </c>
      <c r="K8" s="1853"/>
      <c r="L8" s="1855"/>
      <c r="M8" s="1857"/>
      <c r="N8" s="302" t="s">
        <v>942</v>
      </c>
      <c r="O8" s="303" t="s">
        <v>67</v>
      </c>
      <c r="P8" s="302" t="s">
        <v>940</v>
      </c>
      <c r="Q8" s="302" t="s">
        <v>941</v>
      </c>
      <c r="R8" s="302" t="s">
        <v>68</v>
      </c>
      <c r="S8" s="1853"/>
      <c r="T8" s="1855"/>
      <c r="U8" s="1857"/>
      <c r="V8" s="302" t="s">
        <v>942</v>
      </c>
      <c r="W8" s="303" t="s">
        <v>67</v>
      </c>
      <c r="X8" s="302" t="s">
        <v>940</v>
      </c>
      <c r="Y8" s="302" t="s">
        <v>941</v>
      </c>
      <c r="Z8" s="302" t="s">
        <v>68</v>
      </c>
    </row>
    <row r="9" spans="1:26" s="48" customFormat="1" ht="15">
      <c r="A9" s="13">
        <v>1</v>
      </c>
      <c r="B9" s="13">
        <v>2</v>
      </c>
      <c r="C9" s="109">
        <v>3</v>
      </c>
      <c r="D9" s="109">
        <v>4</v>
      </c>
      <c r="E9" s="109">
        <v>5</v>
      </c>
      <c r="F9" s="109">
        <v>6</v>
      </c>
      <c r="G9" s="109">
        <v>7</v>
      </c>
      <c r="H9" s="109">
        <v>8</v>
      </c>
      <c r="I9" s="109">
        <v>9</v>
      </c>
      <c r="J9" s="109">
        <v>10</v>
      </c>
      <c r="K9" s="281">
        <v>11</v>
      </c>
      <c r="L9" s="281">
        <v>12</v>
      </c>
      <c r="M9" s="281">
        <v>13</v>
      </c>
      <c r="N9" s="281">
        <v>14</v>
      </c>
      <c r="O9" s="281">
        <v>15</v>
      </c>
      <c r="P9" s="281">
        <v>16</v>
      </c>
      <c r="Q9" s="281">
        <v>17</v>
      </c>
      <c r="R9" s="281">
        <v>18</v>
      </c>
      <c r="S9" s="281">
        <v>19</v>
      </c>
      <c r="T9" s="281">
        <v>20</v>
      </c>
      <c r="U9" s="281">
        <v>21</v>
      </c>
      <c r="V9" s="281">
        <v>22</v>
      </c>
      <c r="W9" s="281">
        <v>23</v>
      </c>
      <c r="X9" s="281">
        <v>24</v>
      </c>
      <c r="Y9" s="281">
        <v>25</v>
      </c>
      <c r="Z9" s="281">
        <v>26</v>
      </c>
    </row>
    <row r="10" spans="1:26" s="106" customFormat="1" ht="42.75">
      <c r="A10" s="110" t="s">
        <v>4</v>
      </c>
      <c r="B10" s="111" t="s">
        <v>69</v>
      </c>
      <c r="C10" s="287">
        <f>C14+C15</f>
        <v>564.173</v>
      </c>
      <c r="D10" s="287">
        <f t="shared" ref="D10:G10" si="0">D14+D15</f>
        <v>564.173</v>
      </c>
      <c r="E10" s="287">
        <f t="shared" si="0"/>
        <v>0</v>
      </c>
      <c r="F10" s="287"/>
      <c r="G10" s="287">
        <f t="shared" si="0"/>
        <v>0</v>
      </c>
      <c r="H10" s="287"/>
      <c r="I10" s="287"/>
      <c r="J10" s="287"/>
      <c r="K10" s="304">
        <f>K14+K15</f>
        <v>352.83</v>
      </c>
      <c r="L10" s="304">
        <f t="shared" ref="L10:O10" si="1">L14+L15</f>
        <v>352.83</v>
      </c>
      <c r="M10" s="304">
        <f t="shared" si="1"/>
        <v>0</v>
      </c>
      <c r="N10" s="304"/>
      <c r="O10" s="304">
        <f t="shared" si="1"/>
        <v>0</v>
      </c>
      <c r="P10" s="304"/>
      <c r="Q10" s="304"/>
      <c r="R10" s="304"/>
      <c r="S10" s="304">
        <f>S14+S15</f>
        <v>211.34299999999999</v>
      </c>
      <c r="T10" s="304">
        <f t="shared" ref="T10:W10" si="2">T14+T15</f>
        <v>211.34299999999999</v>
      </c>
      <c r="U10" s="304">
        <f t="shared" si="2"/>
        <v>0</v>
      </c>
      <c r="V10" s="304"/>
      <c r="W10" s="304">
        <f t="shared" si="2"/>
        <v>0</v>
      </c>
      <c r="X10" s="304"/>
      <c r="Y10" s="304"/>
      <c r="Z10" s="304"/>
    </row>
    <row r="11" spans="1:26" ht="15" customHeight="1">
      <c r="A11" s="17"/>
      <c r="B11" s="16" t="s">
        <v>70</v>
      </c>
      <c r="C11" s="288"/>
      <c r="D11" s="288"/>
      <c r="E11" s="269"/>
      <c r="F11" s="288"/>
      <c r="G11" s="288"/>
      <c r="H11" s="288"/>
      <c r="I11" s="288"/>
      <c r="J11" s="288"/>
      <c r="K11" s="305"/>
      <c r="L11" s="305"/>
      <c r="M11" s="306"/>
      <c r="N11" s="305"/>
      <c r="O11" s="305"/>
      <c r="P11" s="305"/>
      <c r="Q11" s="305"/>
      <c r="R11" s="305"/>
      <c r="S11" s="305"/>
      <c r="T11" s="305"/>
      <c r="U11" s="306"/>
      <c r="V11" s="305"/>
      <c r="W11" s="305"/>
      <c r="X11" s="305"/>
      <c r="Y11" s="305"/>
      <c r="Z11" s="305"/>
    </row>
    <row r="12" spans="1:26" ht="15" customHeight="1">
      <c r="A12" s="17"/>
      <c r="B12" s="51" t="s">
        <v>71</v>
      </c>
      <c r="C12" s="269">
        <f>D12+E12</f>
        <v>0</v>
      </c>
      <c r="D12" s="289"/>
      <c r="E12" s="269">
        <f>G12</f>
        <v>0</v>
      </c>
      <c r="F12" s="288"/>
      <c r="G12" s="289"/>
      <c r="H12" s="288"/>
      <c r="I12" s="288"/>
      <c r="J12" s="288"/>
      <c r="K12" s="306">
        <f>L12+M12</f>
        <v>0</v>
      </c>
      <c r="L12" s="288"/>
      <c r="M12" s="306">
        <f>O12</f>
        <v>0</v>
      </c>
      <c r="N12" s="305"/>
      <c r="O12" s="288"/>
      <c r="P12" s="305"/>
      <c r="Q12" s="305"/>
      <c r="R12" s="305"/>
      <c r="S12" s="306">
        <f>T12+U12</f>
        <v>0</v>
      </c>
      <c r="T12" s="288"/>
      <c r="U12" s="306">
        <f>W12</f>
        <v>0</v>
      </c>
      <c r="V12" s="305"/>
      <c r="W12" s="288"/>
      <c r="X12" s="305"/>
      <c r="Y12" s="305"/>
      <c r="Z12" s="305"/>
    </row>
    <row r="13" spans="1:26" ht="15" customHeight="1">
      <c r="A13" s="17"/>
      <c r="B13" s="51" t="s">
        <v>72</v>
      </c>
      <c r="C13" s="269"/>
      <c r="D13" s="269"/>
      <c r="E13" s="269"/>
      <c r="F13" s="269"/>
      <c r="G13" s="269"/>
      <c r="H13" s="269"/>
      <c r="I13" s="269"/>
      <c r="J13" s="269"/>
      <c r="K13" s="306"/>
      <c r="L13" s="306"/>
      <c r="M13" s="306"/>
      <c r="N13" s="306"/>
      <c r="O13" s="306"/>
      <c r="P13" s="306"/>
      <c r="Q13" s="306"/>
      <c r="R13" s="306"/>
      <c r="S13" s="306"/>
      <c r="T13" s="306"/>
      <c r="U13" s="306"/>
      <c r="V13" s="306"/>
      <c r="W13" s="306"/>
      <c r="X13" s="306"/>
      <c r="Y13" s="306"/>
      <c r="Z13" s="306"/>
    </row>
    <row r="14" spans="1:26" ht="15" customHeight="1">
      <c r="A14" s="17"/>
      <c r="B14" s="51" t="s">
        <v>73</v>
      </c>
      <c r="C14" s="269">
        <f>D14+E14</f>
        <v>562.24599999999998</v>
      </c>
      <c r="D14" s="289">
        <f>L14+T14</f>
        <v>562.24599999999998</v>
      </c>
      <c r="E14" s="269">
        <f>G14</f>
        <v>0</v>
      </c>
      <c r="F14" s="288"/>
      <c r="G14" s="289"/>
      <c r="H14" s="288"/>
      <c r="I14" s="288"/>
      <c r="J14" s="288"/>
      <c r="K14" s="306">
        <f>L14+M14</f>
        <v>351.62</v>
      </c>
      <c r="L14" s="288">
        <v>351.62</v>
      </c>
      <c r="M14" s="306">
        <f>O14</f>
        <v>0</v>
      </c>
      <c r="N14" s="305"/>
      <c r="O14" s="288"/>
      <c r="P14" s="305"/>
      <c r="Q14" s="305"/>
      <c r="R14" s="305"/>
      <c r="S14" s="306">
        <f>T14+U14</f>
        <v>210.62599999999998</v>
      </c>
      <c r="T14" s="288">
        <v>210.62599999999998</v>
      </c>
      <c r="U14" s="306">
        <f>W14</f>
        <v>0</v>
      </c>
      <c r="V14" s="305"/>
      <c r="W14" s="288"/>
      <c r="X14" s="305"/>
      <c r="Y14" s="305"/>
      <c r="Z14" s="306"/>
    </row>
    <row r="15" spans="1:26" ht="15" customHeight="1">
      <c r="A15" s="17"/>
      <c r="B15" s="51" t="s">
        <v>74</v>
      </c>
      <c r="C15" s="269">
        <f>D15+E15</f>
        <v>1.927</v>
      </c>
      <c r="D15" s="289">
        <f>L15+T15</f>
        <v>1.927</v>
      </c>
      <c r="E15" s="269">
        <f>G15</f>
        <v>0</v>
      </c>
      <c r="F15" s="288"/>
      <c r="G15" s="289"/>
      <c r="H15" s="288"/>
      <c r="I15" s="288"/>
      <c r="J15" s="288"/>
      <c r="K15" s="306">
        <f>L15+M15</f>
        <v>1.21</v>
      </c>
      <c r="L15" s="288">
        <v>1.21</v>
      </c>
      <c r="M15" s="306">
        <f>O15</f>
        <v>0</v>
      </c>
      <c r="N15" s="305"/>
      <c r="O15" s="288"/>
      <c r="P15" s="305"/>
      <c r="Q15" s="305"/>
      <c r="R15" s="305"/>
      <c r="S15" s="306">
        <f>T15+U15</f>
        <v>0.71699999999999997</v>
      </c>
      <c r="T15" s="288">
        <v>0.71699999999999997</v>
      </c>
      <c r="U15" s="306">
        <f>W15</f>
        <v>0</v>
      </c>
      <c r="V15" s="305"/>
      <c r="W15" s="288"/>
      <c r="X15" s="305"/>
      <c r="Y15" s="305"/>
      <c r="Z15" s="306"/>
    </row>
    <row r="16" spans="1:26" ht="15" customHeight="1">
      <c r="A16" s="17" t="s">
        <v>23</v>
      </c>
      <c r="B16" s="16" t="s">
        <v>75</v>
      </c>
      <c r="C16" s="269"/>
      <c r="D16" s="269"/>
      <c r="E16" s="269"/>
      <c r="F16" s="269"/>
      <c r="G16" s="269"/>
      <c r="H16" s="269"/>
      <c r="I16" s="269"/>
      <c r="J16" s="269"/>
      <c r="K16" s="306"/>
      <c r="L16" s="306"/>
      <c r="M16" s="306"/>
      <c r="N16" s="306"/>
      <c r="O16" s="306"/>
      <c r="P16" s="306"/>
      <c r="Q16" s="306"/>
      <c r="R16" s="306"/>
      <c r="S16" s="306"/>
      <c r="T16" s="306"/>
      <c r="U16" s="306"/>
      <c r="V16" s="306"/>
      <c r="W16" s="306"/>
      <c r="X16" s="306"/>
      <c r="Y16" s="306"/>
      <c r="Z16" s="306"/>
    </row>
    <row r="17" spans="1:26" ht="15" customHeight="1">
      <c r="A17" s="17"/>
      <c r="B17" s="16" t="s">
        <v>70</v>
      </c>
      <c r="C17" s="269"/>
      <c r="D17" s="269"/>
      <c r="E17" s="269"/>
      <c r="F17" s="269"/>
      <c r="G17" s="269"/>
      <c r="H17" s="269"/>
      <c r="I17" s="269"/>
      <c r="J17" s="269"/>
      <c r="K17" s="306"/>
      <c r="L17" s="306"/>
      <c r="M17" s="306"/>
      <c r="N17" s="306"/>
      <c r="O17" s="306"/>
      <c r="P17" s="306"/>
      <c r="Q17" s="306"/>
      <c r="R17" s="306"/>
      <c r="S17" s="306"/>
      <c r="T17" s="306"/>
      <c r="U17" s="306"/>
      <c r="V17" s="306"/>
      <c r="W17" s="306"/>
      <c r="X17" s="306"/>
      <c r="Y17" s="306"/>
      <c r="Z17" s="306"/>
    </row>
    <row r="18" spans="1:26" ht="15">
      <c r="A18" s="17"/>
      <c r="B18" s="16" t="s">
        <v>26</v>
      </c>
      <c r="C18" s="269"/>
      <c r="D18" s="269"/>
      <c r="E18" s="269"/>
      <c r="F18" s="269"/>
      <c r="G18" s="269"/>
      <c r="H18" s="269"/>
      <c r="I18" s="269"/>
      <c r="J18" s="269"/>
      <c r="K18" s="306"/>
      <c r="L18" s="306"/>
      <c r="M18" s="306"/>
      <c r="N18" s="306"/>
      <c r="O18" s="306"/>
      <c r="P18" s="306"/>
      <c r="Q18" s="306"/>
      <c r="R18" s="306"/>
      <c r="S18" s="306"/>
      <c r="T18" s="306"/>
      <c r="U18" s="306"/>
      <c r="V18" s="306"/>
      <c r="W18" s="306"/>
      <c r="X18" s="306"/>
      <c r="Y18" s="306"/>
      <c r="Z18" s="306"/>
    </row>
    <row r="19" spans="1:26" s="106" customFormat="1" ht="30" customHeight="1">
      <c r="A19" s="110" t="s">
        <v>27</v>
      </c>
      <c r="B19" s="111" t="s">
        <v>76</v>
      </c>
      <c r="C19" s="287">
        <f t="shared" ref="C19" si="3">D19+E19</f>
        <v>2.9060000000000001</v>
      </c>
      <c r="D19" s="290">
        <f>L19+T19</f>
        <v>2.9060000000000001</v>
      </c>
      <c r="E19" s="287"/>
      <c r="F19" s="287"/>
      <c r="G19" s="290"/>
      <c r="H19" s="287"/>
      <c r="I19" s="287"/>
      <c r="J19" s="287"/>
      <c r="K19" s="304">
        <f t="shared" ref="K19" si="4">L19+M19</f>
        <v>1.921</v>
      </c>
      <c r="L19" s="287">
        <v>1.921</v>
      </c>
      <c r="M19" s="304"/>
      <c r="N19" s="304"/>
      <c r="O19" s="287"/>
      <c r="P19" s="304"/>
      <c r="Q19" s="304"/>
      <c r="R19" s="304"/>
      <c r="S19" s="304">
        <f t="shared" ref="S19" si="5">T19+U19</f>
        <v>0.98499999999999999</v>
      </c>
      <c r="T19" s="287">
        <v>0.98499999999999999</v>
      </c>
      <c r="U19" s="304"/>
      <c r="V19" s="304"/>
      <c r="W19" s="287"/>
      <c r="X19" s="304"/>
      <c r="Y19" s="304"/>
      <c r="Z19" s="304"/>
    </row>
    <row r="20" spans="1:26" s="106" customFormat="1" ht="42.75">
      <c r="A20" s="110" t="s">
        <v>30</v>
      </c>
      <c r="B20" s="111" t="s">
        <v>77</v>
      </c>
      <c r="C20" s="287">
        <f>C10+C16</f>
        <v>564.173</v>
      </c>
      <c r="D20" s="287">
        <f t="shared" ref="D20:G20" si="6">D10+D16</f>
        <v>564.173</v>
      </c>
      <c r="E20" s="287">
        <f t="shared" si="6"/>
        <v>0</v>
      </c>
      <c r="F20" s="287"/>
      <c r="G20" s="287">
        <f t="shared" si="6"/>
        <v>0</v>
      </c>
      <c r="H20" s="287"/>
      <c r="I20" s="287"/>
      <c r="J20" s="287"/>
      <c r="K20" s="304">
        <f>K10+K16</f>
        <v>352.83</v>
      </c>
      <c r="L20" s="304">
        <f t="shared" ref="L20:O20" si="7">L10+L16</f>
        <v>352.83</v>
      </c>
      <c r="M20" s="304">
        <f t="shared" si="7"/>
        <v>0</v>
      </c>
      <c r="N20" s="304"/>
      <c r="O20" s="304">
        <f t="shared" si="7"/>
        <v>0</v>
      </c>
      <c r="P20" s="304"/>
      <c r="Q20" s="304"/>
      <c r="R20" s="304"/>
      <c r="S20" s="304">
        <f>S10+S16</f>
        <v>211.34299999999999</v>
      </c>
      <c r="T20" s="304">
        <f t="shared" ref="T20:W20" si="8">T10+T16</f>
        <v>211.34299999999999</v>
      </c>
      <c r="U20" s="304">
        <f t="shared" si="8"/>
        <v>0</v>
      </c>
      <c r="V20" s="304"/>
      <c r="W20" s="304">
        <f t="shared" si="8"/>
        <v>0</v>
      </c>
      <c r="X20" s="304"/>
      <c r="Y20" s="304"/>
      <c r="Z20" s="304"/>
    </row>
    <row r="21" spans="1:26" s="106" customFormat="1" ht="30" customHeight="1">
      <c r="A21" s="110" t="s">
        <v>78</v>
      </c>
      <c r="B21" s="111" t="s">
        <v>79</v>
      </c>
      <c r="C21" s="287">
        <f t="shared" ref="C21:G21" si="9">SUM(C23:C24)</f>
        <v>99.317000000000007</v>
      </c>
      <c r="D21" s="287">
        <f t="shared" si="9"/>
        <v>99.317000000000007</v>
      </c>
      <c r="E21" s="287">
        <f t="shared" si="9"/>
        <v>0</v>
      </c>
      <c r="F21" s="287"/>
      <c r="G21" s="287">
        <f t="shared" si="9"/>
        <v>0</v>
      </c>
      <c r="H21" s="287"/>
      <c r="I21" s="287"/>
      <c r="J21" s="287"/>
      <c r="K21" s="304">
        <f t="shared" ref="K21:M21" si="10">SUM(K23:K24)</f>
        <v>58.622999999999998</v>
      </c>
      <c r="L21" s="304">
        <f t="shared" si="10"/>
        <v>58.622999999999998</v>
      </c>
      <c r="M21" s="304">
        <f t="shared" si="10"/>
        <v>0</v>
      </c>
      <c r="N21" s="304"/>
      <c r="O21" s="304">
        <f t="shared" ref="O21" si="11">SUM(O23:O24)</f>
        <v>0</v>
      </c>
      <c r="P21" s="304"/>
      <c r="Q21" s="304"/>
      <c r="R21" s="304"/>
      <c r="S21" s="304">
        <f t="shared" ref="S21:U21" si="12">SUM(S23:S24)</f>
        <v>40.694000000000003</v>
      </c>
      <c r="T21" s="304">
        <f t="shared" si="12"/>
        <v>40.694000000000003</v>
      </c>
      <c r="U21" s="304">
        <f t="shared" si="12"/>
        <v>0</v>
      </c>
      <c r="V21" s="304"/>
      <c r="W21" s="304">
        <f t="shared" ref="W21" si="13">SUM(W23:W24)</f>
        <v>0</v>
      </c>
      <c r="X21" s="304"/>
      <c r="Y21" s="304"/>
      <c r="Z21" s="304"/>
    </row>
    <row r="22" spans="1:26" ht="15" customHeight="1">
      <c r="A22" s="17" t="s">
        <v>80</v>
      </c>
      <c r="B22" s="16" t="s">
        <v>70</v>
      </c>
      <c r="C22" s="288"/>
      <c r="D22" s="288"/>
      <c r="E22" s="288"/>
      <c r="F22" s="288"/>
      <c r="G22" s="288"/>
      <c r="H22" s="288"/>
      <c r="I22" s="288"/>
      <c r="J22" s="288"/>
      <c r="K22" s="305"/>
      <c r="L22" s="305"/>
      <c r="M22" s="305"/>
      <c r="N22" s="305"/>
      <c r="O22" s="305"/>
      <c r="P22" s="305"/>
      <c r="Q22" s="305"/>
      <c r="R22" s="305"/>
      <c r="S22" s="305"/>
      <c r="T22" s="305"/>
      <c r="U22" s="305"/>
      <c r="V22" s="305"/>
      <c r="W22" s="305"/>
      <c r="X22" s="305"/>
      <c r="Y22" s="305"/>
      <c r="Z22" s="305"/>
    </row>
    <row r="23" spans="1:26" ht="15" customHeight="1">
      <c r="A23" s="17"/>
      <c r="B23" s="51" t="s">
        <v>81</v>
      </c>
      <c r="C23" s="269">
        <f t="shared" ref="C23:C28" si="14">D23+E23</f>
        <v>99.317000000000007</v>
      </c>
      <c r="D23" s="289">
        <f>L23+T23</f>
        <v>99.317000000000007</v>
      </c>
      <c r="E23" s="269">
        <f t="shared" ref="E23:E25" si="15">G23</f>
        <v>0</v>
      </c>
      <c r="F23" s="288"/>
      <c r="G23" s="289"/>
      <c r="H23" s="288"/>
      <c r="I23" s="288"/>
      <c r="J23" s="288"/>
      <c r="K23" s="306">
        <f t="shared" ref="K23:K25" si="16">L23+M23</f>
        <v>58.622999999999998</v>
      </c>
      <c r="L23" s="288">
        <v>58.622999999999998</v>
      </c>
      <c r="M23" s="306">
        <f t="shared" ref="M23" si="17">O23</f>
        <v>0</v>
      </c>
      <c r="N23" s="305"/>
      <c r="O23" s="288"/>
      <c r="P23" s="305"/>
      <c r="Q23" s="305"/>
      <c r="R23" s="305"/>
      <c r="S23" s="306">
        <f t="shared" ref="S23:S25" si="18">T23+U23</f>
        <v>40.694000000000003</v>
      </c>
      <c r="T23" s="288">
        <v>40.694000000000003</v>
      </c>
      <c r="U23" s="306">
        <f t="shared" ref="U23" si="19">W23</f>
        <v>0</v>
      </c>
      <c r="V23" s="305"/>
      <c r="W23" s="288"/>
      <c r="X23" s="305"/>
      <c r="Y23" s="305"/>
      <c r="Z23" s="305"/>
    </row>
    <row r="24" spans="1:26" ht="15" customHeight="1">
      <c r="A24" s="17" t="s">
        <v>82</v>
      </c>
      <c r="B24" s="51" t="s">
        <v>83</v>
      </c>
      <c r="C24" s="269">
        <f t="shared" si="14"/>
        <v>0</v>
      </c>
      <c r="D24" s="289">
        <f>L24+T24</f>
        <v>0</v>
      </c>
      <c r="E24" s="269"/>
      <c r="F24" s="269"/>
      <c r="G24" s="291"/>
      <c r="H24" s="269"/>
      <c r="I24" s="269"/>
      <c r="J24" s="269"/>
      <c r="K24" s="306">
        <f t="shared" si="16"/>
        <v>0</v>
      </c>
      <c r="L24" s="269">
        <v>0</v>
      </c>
      <c r="M24" s="306"/>
      <c r="N24" s="306"/>
      <c r="O24" s="269"/>
      <c r="P24" s="306"/>
      <c r="Q24" s="306"/>
      <c r="R24" s="306"/>
      <c r="S24" s="306">
        <f t="shared" si="18"/>
        <v>0</v>
      </c>
      <c r="T24" s="269">
        <v>0</v>
      </c>
      <c r="U24" s="306"/>
      <c r="V24" s="306"/>
      <c r="W24" s="269"/>
      <c r="X24" s="306"/>
      <c r="Y24" s="306"/>
      <c r="Z24" s="306"/>
    </row>
    <row r="25" spans="1:26" ht="30">
      <c r="A25" s="17" t="s">
        <v>84</v>
      </c>
      <c r="B25" s="16" t="s">
        <v>85</v>
      </c>
      <c r="C25" s="259">
        <f t="shared" si="14"/>
        <v>17.603997355421122</v>
      </c>
      <c r="D25" s="259">
        <f t="shared" ref="D25" si="20">D21/D20*100</f>
        <v>17.603997355421122</v>
      </c>
      <c r="E25" s="269">
        <f t="shared" si="15"/>
        <v>0</v>
      </c>
      <c r="F25" s="269"/>
      <c r="G25" s="269"/>
      <c r="H25" s="269"/>
      <c r="I25" s="269"/>
      <c r="J25" s="269"/>
      <c r="K25" s="307">
        <f t="shared" si="16"/>
        <v>16.615083751381686</v>
      </c>
      <c r="L25" s="307">
        <f t="shared" ref="L25" si="21">L21/L20*100</f>
        <v>16.615083751381686</v>
      </c>
      <c r="M25" s="306">
        <f t="shared" ref="M25" si="22">O25</f>
        <v>0</v>
      </c>
      <c r="N25" s="306"/>
      <c r="O25" s="306"/>
      <c r="P25" s="306"/>
      <c r="Q25" s="306"/>
      <c r="R25" s="306"/>
      <c r="S25" s="307">
        <f t="shared" si="18"/>
        <v>19.254955214982282</v>
      </c>
      <c r="T25" s="307">
        <f t="shared" ref="T25" si="23">T21/T20*100</f>
        <v>19.254955214982282</v>
      </c>
      <c r="U25" s="306">
        <f t="shared" ref="U25" si="24">W25</f>
        <v>0</v>
      </c>
      <c r="V25" s="306"/>
      <c r="W25" s="306"/>
      <c r="X25" s="306"/>
      <c r="Y25" s="306"/>
      <c r="Z25" s="306"/>
    </row>
    <row r="26" spans="1:26" ht="30">
      <c r="A26" s="17"/>
      <c r="B26" s="113" t="s">
        <v>787</v>
      </c>
      <c r="C26" s="269">
        <f>D26+E26</f>
        <v>0</v>
      </c>
      <c r="D26" s="291"/>
      <c r="E26" s="269"/>
      <c r="F26" s="269"/>
      <c r="G26" s="291"/>
      <c r="H26" s="269"/>
      <c r="I26" s="269"/>
      <c r="J26" s="269"/>
      <c r="K26" s="306">
        <f>L26+M26</f>
        <v>0</v>
      </c>
      <c r="L26" s="269"/>
      <c r="M26" s="306"/>
      <c r="N26" s="306"/>
      <c r="O26" s="269"/>
      <c r="P26" s="306"/>
      <c r="Q26" s="306"/>
      <c r="R26" s="306"/>
      <c r="S26" s="306">
        <f>T26+U26</f>
        <v>0</v>
      </c>
      <c r="T26" s="269"/>
      <c r="U26" s="306"/>
      <c r="V26" s="306"/>
      <c r="W26" s="269"/>
      <c r="X26" s="306"/>
      <c r="Y26" s="306"/>
      <c r="Z26" s="306"/>
    </row>
    <row r="27" spans="1:26" ht="15">
      <c r="A27" s="17"/>
      <c r="B27" s="113" t="s">
        <v>788</v>
      </c>
      <c r="C27" s="269">
        <f>D27+E27</f>
        <v>0</v>
      </c>
      <c r="D27" s="291">
        <f>L27+T27</f>
        <v>0</v>
      </c>
      <c r="E27" s="269">
        <f>G27</f>
        <v>0</v>
      </c>
      <c r="F27" s="269"/>
      <c r="G27" s="291"/>
      <c r="H27" s="269"/>
      <c r="I27" s="269"/>
      <c r="J27" s="269"/>
      <c r="K27" s="306">
        <f>L27+M27</f>
        <v>11.352</v>
      </c>
      <c r="L27" s="269">
        <v>11.352</v>
      </c>
      <c r="M27" s="306">
        <f>O27</f>
        <v>0</v>
      </c>
      <c r="N27" s="306"/>
      <c r="O27" s="269"/>
      <c r="P27" s="306"/>
      <c r="Q27" s="306"/>
      <c r="R27" s="306"/>
      <c r="S27" s="306">
        <f>T27+U27</f>
        <v>-11.352</v>
      </c>
      <c r="T27" s="269">
        <v>-11.352</v>
      </c>
      <c r="U27" s="306">
        <f>W27</f>
        <v>0</v>
      </c>
      <c r="V27" s="306"/>
      <c r="W27" s="269"/>
      <c r="X27" s="306"/>
      <c r="Y27" s="306"/>
      <c r="Z27" s="306"/>
    </row>
    <row r="28" spans="1:26" s="106" customFormat="1" ht="42.75">
      <c r="A28" s="110" t="s">
        <v>86</v>
      </c>
      <c r="B28" s="111" t="s">
        <v>87</v>
      </c>
      <c r="C28" s="269">
        <f t="shared" si="14"/>
        <v>461.95</v>
      </c>
      <c r="D28" s="269">
        <f>D20-D21-D26-D27-D19</f>
        <v>461.95</v>
      </c>
      <c r="E28" s="269">
        <f>E20-E21-E26-E27-E19</f>
        <v>0</v>
      </c>
      <c r="F28" s="269"/>
      <c r="G28" s="269">
        <f>G20-G21-G26-G27-G19</f>
        <v>0</v>
      </c>
      <c r="H28" s="269"/>
      <c r="I28" s="269"/>
      <c r="J28" s="269"/>
      <c r="K28" s="306">
        <f t="shared" ref="K28" si="25">L28+M28</f>
        <v>280.93400000000003</v>
      </c>
      <c r="L28" s="306">
        <f>L20-L21-L26-L27-L19</f>
        <v>280.93400000000003</v>
      </c>
      <c r="M28" s="306">
        <f>M20-M21-M26-M27-M19</f>
        <v>0</v>
      </c>
      <c r="N28" s="306"/>
      <c r="O28" s="306">
        <f>O20-O21-O26-O27-O19</f>
        <v>0</v>
      </c>
      <c r="P28" s="306"/>
      <c r="Q28" s="306"/>
      <c r="R28" s="306"/>
      <c r="S28" s="306">
        <f t="shared" ref="S28" si="26">T28+U28</f>
        <v>181.01599999999999</v>
      </c>
      <c r="T28" s="306">
        <f>T20-T21-T26-T27-T19</f>
        <v>181.01599999999999</v>
      </c>
      <c r="U28" s="306">
        <f>U20-U21-U26-U27-U19</f>
        <v>0</v>
      </c>
      <c r="V28" s="306"/>
      <c r="W28" s="306">
        <f>W20-W21-W26-W27-W19</f>
        <v>0</v>
      </c>
      <c r="X28" s="306"/>
      <c r="Y28" s="306"/>
      <c r="Z28" s="306"/>
    </row>
    <row r="29" spans="1:26" ht="15">
      <c r="B29" s="300"/>
      <c r="C29" s="300"/>
      <c r="D29" s="300"/>
      <c r="E29" s="300"/>
      <c r="F29" s="300"/>
      <c r="G29" s="300"/>
      <c r="H29" s="300"/>
      <c r="I29" s="300"/>
      <c r="J29" s="300"/>
    </row>
    <row r="30" spans="1:26" ht="15">
      <c r="A30" s="26" t="s">
        <v>88</v>
      </c>
      <c r="B30" s="300"/>
      <c r="C30" s="300"/>
      <c r="D30" s="300"/>
      <c r="E30" s="300"/>
      <c r="F30" s="300"/>
      <c r="G30" s="300"/>
      <c r="H30" s="300"/>
      <c r="I30" s="300"/>
      <c r="J30" s="300"/>
    </row>
    <row r="31" spans="1:26" s="541" customFormat="1" ht="32.25" customHeight="1">
      <c r="A31" s="45" t="s">
        <v>89</v>
      </c>
      <c r="B31" s="1872" t="s">
        <v>90</v>
      </c>
      <c r="C31" s="1872"/>
      <c r="D31" s="1872"/>
      <c r="E31" s="1872"/>
      <c r="F31" s="1872"/>
      <c r="G31" s="1872"/>
      <c r="H31" s="1872"/>
      <c r="I31" s="1872"/>
      <c r="J31" s="1872"/>
      <c r="K31" s="1872"/>
      <c r="L31" s="1872"/>
      <c r="M31" s="1872"/>
      <c r="N31" s="1872"/>
      <c r="O31" s="1872"/>
      <c r="P31" s="1872"/>
      <c r="Q31" s="1872"/>
      <c r="R31" s="1872"/>
      <c r="S31" s="1872"/>
      <c r="T31" s="1872"/>
      <c r="U31" s="1872"/>
      <c r="V31" s="1872"/>
      <c r="W31" s="1872"/>
      <c r="X31" s="1872"/>
      <c r="Y31" s="1872"/>
      <c r="Z31" s="1872"/>
    </row>
    <row r="32" spans="1:26" s="541" customFormat="1" ht="15" customHeight="1">
      <c r="A32" s="45" t="s">
        <v>91</v>
      </c>
      <c r="B32" s="294" t="s">
        <v>92</v>
      </c>
      <c r="C32" s="294"/>
      <c r="D32" s="294"/>
      <c r="E32" s="294"/>
      <c r="F32" s="294"/>
      <c r="G32" s="294"/>
      <c r="H32" s="294"/>
      <c r="I32" s="294"/>
      <c r="J32" s="294"/>
      <c r="K32" s="294"/>
      <c r="L32" s="294"/>
      <c r="M32" s="294"/>
      <c r="N32" s="294"/>
      <c r="O32" s="294"/>
      <c r="P32" s="294"/>
      <c r="Q32" s="294"/>
      <c r="R32" s="294"/>
      <c r="S32" s="294"/>
      <c r="T32" s="294"/>
      <c r="U32" s="294"/>
      <c r="V32" s="294"/>
      <c r="W32" s="294"/>
      <c r="X32" s="294"/>
      <c r="Y32" s="294"/>
      <c r="Z32" s="294"/>
    </row>
    <row r="33" spans="1:26" s="541" customFormat="1" ht="15" customHeight="1">
      <c r="A33" s="45" t="s">
        <v>93</v>
      </c>
      <c r="B33" s="294" t="s">
        <v>94</v>
      </c>
      <c r="C33" s="294"/>
      <c r="D33" s="294"/>
      <c r="E33" s="294"/>
      <c r="F33" s="294"/>
      <c r="G33" s="294"/>
      <c r="H33" s="294"/>
      <c r="I33" s="294"/>
      <c r="J33" s="294"/>
      <c r="K33" s="294"/>
      <c r="L33" s="294"/>
      <c r="M33" s="294"/>
      <c r="N33" s="294"/>
      <c r="O33" s="294"/>
      <c r="P33" s="294"/>
      <c r="Q33" s="294"/>
      <c r="R33" s="294"/>
      <c r="S33" s="294"/>
      <c r="T33" s="294"/>
      <c r="U33" s="294"/>
      <c r="V33" s="294"/>
      <c r="W33" s="294"/>
      <c r="X33" s="294"/>
      <c r="Y33" s="294"/>
      <c r="Z33" s="294"/>
    </row>
    <row r="34" spans="1:26" s="541" customFormat="1" ht="15" customHeight="1">
      <c r="A34" s="45" t="s">
        <v>95</v>
      </c>
      <c r="B34" s="294" t="s">
        <v>96</v>
      </c>
      <c r="C34" s="294"/>
      <c r="D34" s="294"/>
      <c r="E34" s="294"/>
      <c r="F34" s="294"/>
      <c r="G34" s="294"/>
      <c r="H34" s="294"/>
      <c r="I34" s="294"/>
      <c r="J34" s="294"/>
      <c r="K34" s="294"/>
      <c r="L34" s="294"/>
      <c r="M34" s="294"/>
      <c r="N34" s="294"/>
      <c r="O34" s="294"/>
      <c r="P34" s="294"/>
      <c r="Q34" s="294"/>
      <c r="R34" s="294"/>
      <c r="S34" s="294"/>
      <c r="T34" s="294"/>
      <c r="U34" s="294"/>
      <c r="V34" s="294"/>
      <c r="W34" s="294"/>
      <c r="X34" s="294"/>
      <c r="Y34" s="294"/>
      <c r="Z34" s="294"/>
    </row>
    <row r="35" spans="1:26" s="541" customFormat="1" ht="31.5" customHeight="1">
      <c r="A35" s="45" t="s">
        <v>97</v>
      </c>
      <c r="B35" s="1872" t="s">
        <v>98</v>
      </c>
      <c r="C35" s="1872"/>
      <c r="D35" s="1872"/>
      <c r="E35" s="1872"/>
      <c r="F35" s="1872"/>
      <c r="G35" s="1872"/>
      <c r="H35" s="1872"/>
      <c r="I35" s="1872"/>
      <c r="J35" s="1872"/>
      <c r="K35" s="1872"/>
      <c r="L35" s="1872"/>
      <c r="M35" s="1872"/>
      <c r="N35" s="1872"/>
      <c r="O35" s="1872"/>
      <c r="P35" s="1872"/>
      <c r="Q35" s="1872"/>
      <c r="R35" s="1872"/>
      <c r="S35" s="1872"/>
      <c r="T35" s="1872"/>
      <c r="U35" s="1872"/>
      <c r="V35" s="1872"/>
      <c r="W35" s="1872"/>
      <c r="X35" s="1872"/>
      <c r="Y35" s="1872"/>
      <c r="Z35" s="1872"/>
    </row>
    <row r="36" spans="1:26" s="541" customFormat="1" ht="26.25" customHeight="1">
      <c r="C36" s="108"/>
      <c r="D36" s="108"/>
      <c r="E36" s="108"/>
      <c r="F36" s="108"/>
      <c r="G36" s="108"/>
      <c r="H36" s="108"/>
      <c r="I36" s="108"/>
      <c r="J36" s="108"/>
      <c r="K36" s="294"/>
      <c r="L36" s="294"/>
      <c r="M36" s="294"/>
      <c r="N36" s="294"/>
      <c r="O36" s="294"/>
      <c r="P36" s="294"/>
      <c r="Q36" s="294"/>
      <c r="R36" s="294"/>
      <c r="S36" s="294"/>
      <c r="T36" s="294"/>
      <c r="U36" s="294"/>
      <c r="V36" s="294"/>
      <c r="W36" s="294"/>
      <c r="X36" s="294"/>
      <c r="Y36" s="294"/>
      <c r="Z36" s="294"/>
    </row>
  </sheetData>
  <mergeCells count="23">
    <mergeCell ref="A3:Z3"/>
    <mergeCell ref="A5:A8"/>
    <mergeCell ref="B5:B8"/>
    <mergeCell ref="C5:J5"/>
    <mergeCell ref="K5:R5"/>
    <mergeCell ref="S5:Z5"/>
    <mergeCell ref="C6:C8"/>
    <mergeCell ref="D6:J6"/>
    <mergeCell ref="K6:K8"/>
    <mergeCell ref="L6:R6"/>
    <mergeCell ref="V7:Z7"/>
    <mergeCell ref="B31:Z31"/>
    <mergeCell ref="B35:Z35"/>
    <mergeCell ref="S6:S8"/>
    <mergeCell ref="T6:Z6"/>
    <mergeCell ref="D7:D8"/>
    <mergeCell ref="E7:E8"/>
    <mergeCell ref="F7:J7"/>
    <mergeCell ref="L7:L8"/>
    <mergeCell ref="M7:M8"/>
    <mergeCell ref="N7:R7"/>
    <mergeCell ref="T7:T8"/>
    <mergeCell ref="U7:U8"/>
  </mergeCells>
  <pageMargins left="0.78740157480314965" right="0.22" top="0.78740157480314965" bottom="0.39370078740157483" header="0.19685039370078741" footer="0.19685039370078741"/>
  <pageSetup paperSize="9" scale="62" orientation="landscape" r:id="rId1"/>
  <headerFooter alignWithMargins="0"/>
  <rowBreaks count="1" manualBreakCount="1">
    <brk id="35" max="33" man="1"/>
  </rowBreak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L149"/>
  <sheetViews>
    <sheetView view="pageBreakPreview" zoomScaleNormal="100" workbookViewId="0">
      <pane xSplit="2" ySplit="6" topLeftCell="F49" activePane="bottomRight" state="frozen"/>
      <selection activeCell="I24" sqref="I24"/>
      <selection pane="topRight" activeCell="I24" sqref="I24"/>
      <selection pane="bottomLeft" activeCell="I24" sqref="I24"/>
      <selection pane="bottomRight" activeCell="H55" sqref="H55"/>
    </sheetView>
  </sheetViews>
  <sheetFormatPr defaultColWidth="2.7109375" defaultRowHeight="15"/>
  <cols>
    <col min="1" max="1" width="8.7109375" style="1" customWidth="1"/>
    <col min="2" max="2" width="42.5703125" style="1" customWidth="1"/>
    <col min="3" max="3" width="13.7109375" style="1" hidden="1" customWidth="1"/>
    <col min="4" max="4" width="13.28515625" style="1" hidden="1" customWidth="1"/>
    <col min="5" max="5" width="12.5703125" style="1" hidden="1" customWidth="1"/>
    <col min="6" max="7" width="12.7109375" style="1" customWidth="1"/>
    <col min="8" max="8" width="17" style="1" customWidth="1"/>
    <col min="9" max="10" width="12.7109375" style="1" customWidth="1"/>
    <col min="11" max="11" width="11.140625" style="1" hidden="1" customWidth="1"/>
    <col min="12" max="12" width="11.42578125" style="1" hidden="1" customWidth="1"/>
    <col min="13" max="61" width="8.28515625" style="1" customWidth="1"/>
    <col min="62" max="16384" width="2.7109375" style="1"/>
  </cols>
  <sheetData>
    <row r="1" spans="1:12" s="5" customFormat="1" ht="18" customHeight="1">
      <c r="A1" s="74" t="s">
        <v>1860</v>
      </c>
      <c r="I1" s="6" t="s">
        <v>944</v>
      </c>
      <c r="J1" s="6"/>
    </row>
    <row r="2" spans="1:12" ht="12.75" customHeight="1">
      <c r="A2" s="105" t="str">
        <f>'4.1 (свод)'!A2</f>
        <v>КТЭЦ + котельные СВОД</v>
      </c>
    </row>
    <row r="3" spans="1:12" ht="18.75">
      <c r="A3" s="1877" t="s">
        <v>508</v>
      </c>
      <c r="B3" s="1962"/>
      <c r="C3" s="1962"/>
      <c r="D3" s="1962"/>
      <c r="E3" s="1962"/>
      <c r="F3" s="1962"/>
      <c r="G3" s="1962"/>
      <c r="H3" s="1962"/>
      <c r="I3" s="1962"/>
      <c r="J3" s="1962"/>
      <c r="K3" s="1962"/>
      <c r="L3" s="1962"/>
    </row>
    <row r="4" spans="1:12" ht="12.75" customHeight="1">
      <c r="B4" s="535"/>
      <c r="C4" s="769"/>
      <c r="D4" s="769"/>
      <c r="E4" s="769"/>
      <c r="F4" s="535"/>
      <c r="G4" s="1283"/>
      <c r="H4" s="1583"/>
      <c r="I4" s="535"/>
    </row>
    <row r="5" spans="1:12" ht="14.25" customHeight="1">
      <c r="I5" s="23" t="s">
        <v>360</v>
      </c>
      <c r="J5" s="23"/>
    </row>
    <row r="6" spans="1:12" s="3" customFormat="1" ht="60">
      <c r="A6" s="540" t="s">
        <v>0</v>
      </c>
      <c r="B6" s="540" t="s">
        <v>509</v>
      </c>
      <c r="C6" s="772" t="s">
        <v>1129</v>
      </c>
      <c r="D6" s="772" t="s">
        <v>1130</v>
      </c>
      <c r="E6" s="772" t="s">
        <v>1131</v>
      </c>
      <c r="F6" s="1284" t="s">
        <v>1695</v>
      </c>
      <c r="G6" s="1586" t="s">
        <v>1828</v>
      </c>
      <c r="H6" s="1641" t="s">
        <v>1861</v>
      </c>
      <c r="I6" s="1641" t="s">
        <v>1862</v>
      </c>
      <c r="J6" s="1641" t="s">
        <v>1863</v>
      </c>
      <c r="K6" s="1641" t="s">
        <v>763</v>
      </c>
      <c r="L6" s="1641" t="s">
        <v>764</v>
      </c>
    </row>
    <row r="7" spans="1:12" s="2" customFormat="1">
      <c r="A7" s="13">
        <v>1</v>
      </c>
      <c r="B7" s="13">
        <v>2</v>
      </c>
      <c r="C7" s="13"/>
      <c r="D7" s="13">
        <v>3</v>
      </c>
      <c r="E7" s="13"/>
      <c r="F7" s="13">
        <v>3</v>
      </c>
      <c r="G7" s="13">
        <v>4</v>
      </c>
      <c r="H7" s="13">
        <v>5</v>
      </c>
      <c r="I7" s="13">
        <v>6</v>
      </c>
      <c r="J7" s="13">
        <v>7</v>
      </c>
      <c r="K7" s="13">
        <v>5</v>
      </c>
      <c r="L7" s="13">
        <v>6</v>
      </c>
    </row>
    <row r="8" spans="1:12" s="41" customFormat="1" ht="15" customHeight="1">
      <c r="A8" s="60">
        <v>1</v>
      </c>
      <c r="B8" s="68" t="s">
        <v>510</v>
      </c>
      <c r="C8" s="68"/>
      <c r="D8" s="250">
        <f t="shared" ref="D8:E8" si="0">D44+D80+D116</f>
        <v>36451</v>
      </c>
      <c r="E8" s="250">
        <f t="shared" si="0"/>
        <v>0</v>
      </c>
      <c r="F8" s="250">
        <f>F44+F80+F116</f>
        <v>23316.275809999999</v>
      </c>
      <c r="G8" s="250">
        <f>G44+G80+G116</f>
        <v>237242.08900000004</v>
      </c>
      <c r="H8" s="250">
        <f>H44+H80+H116</f>
        <v>270454.77779598918</v>
      </c>
      <c r="I8" s="250">
        <f>I44+I80+I116</f>
        <v>85454.212431455977</v>
      </c>
      <c r="J8" s="250">
        <f>J44+J80+J116</f>
        <v>226166.50947940053</v>
      </c>
      <c r="K8" s="250"/>
      <c r="L8" s="250"/>
    </row>
    <row r="9" spans="1:12" s="41" customFormat="1" ht="15" customHeight="1">
      <c r="A9" s="60"/>
      <c r="B9" s="68" t="s">
        <v>70</v>
      </c>
      <c r="C9" s="68"/>
      <c r="D9" s="250">
        <f t="shared" ref="D9:E9" si="1">D45+D81+D117</f>
        <v>0</v>
      </c>
      <c r="E9" s="250">
        <f t="shared" si="1"/>
        <v>0</v>
      </c>
      <c r="F9" s="250">
        <f t="shared" ref="F9:I24" si="2">F45+F81+F117</f>
        <v>0</v>
      </c>
      <c r="G9" s="250">
        <f t="shared" ref="G9:H9" si="3">G45+G81+G117</f>
        <v>0</v>
      </c>
      <c r="H9" s="250">
        <f t="shared" si="3"/>
        <v>0</v>
      </c>
      <c r="I9" s="250">
        <f t="shared" si="2"/>
        <v>0</v>
      </c>
      <c r="J9" s="250">
        <f t="shared" ref="J9" si="4">J45+J81+J117</f>
        <v>0</v>
      </c>
      <c r="K9" s="250"/>
      <c r="L9" s="250"/>
    </row>
    <row r="10" spans="1:12" s="41" customFormat="1" ht="15" customHeight="1">
      <c r="A10" s="60" t="s">
        <v>5</v>
      </c>
      <c r="B10" s="70" t="s">
        <v>511</v>
      </c>
      <c r="C10" s="70"/>
      <c r="D10" s="250">
        <f t="shared" ref="D10:E10" si="5">D46+D82+D118</f>
        <v>36451</v>
      </c>
      <c r="E10" s="250">
        <f t="shared" si="5"/>
        <v>0</v>
      </c>
      <c r="F10" s="250">
        <f t="shared" si="2"/>
        <v>23316.275809999999</v>
      </c>
      <c r="G10" s="250">
        <f t="shared" ref="G10:H10" si="6">G46+G82+G118</f>
        <v>237242.08900000004</v>
      </c>
      <c r="H10" s="250">
        <f t="shared" si="6"/>
        <v>270454.77779598918</v>
      </c>
      <c r="I10" s="250">
        <f>I46+I82+I118</f>
        <v>85454.212431455977</v>
      </c>
      <c r="J10" s="250">
        <f>J46+J82+J118</f>
        <v>226166.50947940053</v>
      </c>
      <c r="K10" s="250"/>
      <c r="L10" s="250"/>
    </row>
    <row r="11" spans="1:12" s="41" customFormat="1" ht="15" customHeight="1">
      <c r="A11" s="60" t="s">
        <v>11</v>
      </c>
      <c r="B11" s="70" t="s">
        <v>512</v>
      </c>
      <c r="C11" s="70"/>
      <c r="D11" s="250">
        <f t="shared" ref="D11:E11" si="7">D47+D83+D119</f>
        <v>0</v>
      </c>
      <c r="E11" s="250">
        <f t="shared" si="7"/>
        <v>0</v>
      </c>
      <c r="F11" s="250">
        <f t="shared" si="2"/>
        <v>0</v>
      </c>
      <c r="G11" s="250">
        <f t="shared" ref="G11:H11" si="8">G47+G83+G119</f>
        <v>0</v>
      </c>
      <c r="H11" s="250">
        <f t="shared" si="8"/>
        <v>0</v>
      </c>
      <c r="I11" s="250">
        <f t="shared" si="2"/>
        <v>0</v>
      </c>
      <c r="J11" s="250">
        <f t="shared" ref="J11" si="9">J47+J83+J119</f>
        <v>0</v>
      </c>
      <c r="K11" s="250"/>
      <c r="L11" s="250"/>
    </row>
    <row r="12" spans="1:12" s="41" customFormat="1" ht="15" customHeight="1">
      <c r="A12" s="60"/>
      <c r="B12" s="68" t="s">
        <v>513</v>
      </c>
      <c r="C12" s="68"/>
      <c r="D12" s="250">
        <f t="shared" ref="D12:E12" si="10">D48+D84+D120</f>
        <v>0</v>
      </c>
      <c r="E12" s="250">
        <f t="shared" si="10"/>
        <v>0</v>
      </c>
      <c r="F12" s="250">
        <f t="shared" si="2"/>
        <v>0</v>
      </c>
      <c r="G12" s="250">
        <f t="shared" ref="G12:H12" si="11">G48+G84+G120</f>
        <v>0</v>
      </c>
      <c r="H12" s="250">
        <f t="shared" si="11"/>
        <v>0</v>
      </c>
      <c r="I12" s="250">
        <f t="shared" si="2"/>
        <v>0</v>
      </c>
      <c r="J12" s="250">
        <f t="shared" ref="J12" si="12">J48+J84+J120</f>
        <v>0</v>
      </c>
      <c r="K12" s="250"/>
      <c r="L12" s="250"/>
    </row>
    <row r="13" spans="1:12" s="41" customFormat="1" ht="15" customHeight="1">
      <c r="A13" s="60" t="s">
        <v>445</v>
      </c>
      <c r="B13" s="70" t="s">
        <v>402</v>
      </c>
      <c r="C13" s="70"/>
      <c r="D13" s="250">
        <f t="shared" ref="D13:E13" si="13">D49+D85+D121</f>
        <v>0</v>
      </c>
      <c r="E13" s="250">
        <f t="shared" si="13"/>
        <v>0</v>
      </c>
      <c r="F13" s="250">
        <f t="shared" si="2"/>
        <v>0</v>
      </c>
      <c r="G13" s="250">
        <f t="shared" ref="G13:H13" si="14">G49+G85+G121</f>
        <v>0</v>
      </c>
      <c r="H13" s="250">
        <f t="shared" si="14"/>
        <v>0</v>
      </c>
      <c r="I13" s="250">
        <f t="shared" si="2"/>
        <v>0</v>
      </c>
      <c r="J13" s="250">
        <f t="shared" ref="J13" si="15">J49+J85+J121</f>
        <v>0</v>
      </c>
      <c r="K13" s="250"/>
      <c r="L13" s="250"/>
    </row>
    <row r="14" spans="1:12" s="41" customFormat="1" ht="15" customHeight="1">
      <c r="A14" s="60" t="s">
        <v>446</v>
      </c>
      <c r="B14" s="70" t="s">
        <v>404</v>
      </c>
      <c r="C14" s="70"/>
      <c r="D14" s="250">
        <f t="shared" ref="D14:E14" si="16">D50+D86+D122</f>
        <v>0</v>
      </c>
      <c r="E14" s="250">
        <f t="shared" si="16"/>
        <v>0</v>
      </c>
      <c r="F14" s="250">
        <f t="shared" si="2"/>
        <v>0</v>
      </c>
      <c r="G14" s="250">
        <f t="shared" ref="G14:H14" si="17">G50+G86+G122</f>
        <v>0</v>
      </c>
      <c r="H14" s="250">
        <f t="shared" si="17"/>
        <v>0</v>
      </c>
      <c r="I14" s="250">
        <f t="shared" si="2"/>
        <v>0</v>
      </c>
      <c r="J14" s="250">
        <f t="shared" ref="J14" si="18">J50+J86+J122</f>
        <v>0</v>
      </c>
      <c r="K14" s="250"/>
      <c r="L14" s="250"/>
    </row>
    <row r="15" spans="1:12" s="41" customFormat="1" ht="15" customHeight="1">
      <c r="A15" s="60" t="s">
        <v>461</v>
      </c>
      <c r="B15" s="70" t="s">
        <v>406</v>
      </c>
      <c r="C15" s="70"/>
      <c r="D15" s="250">
        <f t="shared" ref="D15:E15" si="19">D51+D87+D123</f>
        <v>0</v>
      </c>
      <c r="E15" s="250">
        <f t="shared" si="19"/>
        <v>0</v>
      </c>
      <c r="F15" s="250">
        <f t="shared" si="2"/>
        <v>0</v>
      </c>
      <c r="G15" s="250">
        <f t="shared" ref="G15:H15" si="20">G51+G87+G123</f>
        <v>0</v>
      </c>
      <c r="H15" s="250">
        <f t="shared" si="20"/>
        <v>0</v>
      </c>
      <c r="I15" s="250">
        <f t="shared" si="2"/>
        <v>0</v>
      </c>
      <c r="J15" s="250">
        <f t="shared" ref="J15" si="21">J51+J87+J123</f>
        <v>0</v>
      </c>
      <c r="K15" s="250"/>
      <c r="L15" s="250"/>
    </row>
    <row r="16" spans="1:12" s="41" customFormat="1" ht="15" customHeight="1">
      <c r="A16" s="60" t="s">
        <v>514</v>
      </c>
      <c r="B16" s="70" t="s">
        <v>408</v>
      </c>
      <c r="C16" s="70"/>
      <c r="D16" s="250">
        <f t="shared" ref="D16:E16" si="22">D52+D88+D124</f>
        <v>0</v>
      </c>
      <c r="E16" s="250">
        <f t="shared" si="22"/>
        <v>0</v>
      </c>
      <c r="F16" s="250">
        <f t="shared" si="2"/>
        <v>0</v>
      </c>
      <c r="G16" s="250">
        <f t="shared" ref="G16:H16" si="23">G52+G88+G124</f>
        <v>0</v>
      </c>
      <c r="H16" s="250">
        <f t="shared" si="23"/>
        <v>0</v>
      </c>
      <c r="I16" s="250">
        <f t="shared" si="2"/>
        <v>0</v>
      </c>
      <c r="J16" s="250">
        <f t="shared" ref="J16" si="24">J52+J88+J124</f>
        <v>0</v>
      </c>
      <c r="K16" s="250"/>
      <c r="L16" s="250"/>
    </row>
    <row r="17" spans="1:12" s="41" customFormat="1" ht="15" customHeight="1">
      <c r="A17" s="60" t="s">
        <v>23</v>
      </c>
      <c r="B17" s="68" t="s">
        <v>515</v>
      </c>
      <c r="C17" s="68"/>
      <c r="D17" s="250">
        <f t="shared" ref="D17:E17" si="25">D53+D89+D125</f>
        <v>36451</v>
      </c>
      <c r="E17" s="250">
        <f t="shared" si="25"/>
        <v>0</v>
      </c>
      <c r="F17" s="250">
        <f t="shared" si="2"/>
        <v>23316.275809999999</v>
      </c>
      <c r="G17" s="250">
        <f t="shared" ref="G17:H17" si="26">G53+G89+G125</f>
        <v>237242.08900000001</v>
      </c>
      <c r="H17" s="250">
        <f t="shared" si="26"/>
        <v>270454.77779598924</v>
      </c>
      <c r="I17" s="250">
        <f t="shared" si="2"/>
        <v>85454.212431455977</v>
      </c>
      <c r="J17" s="250">
        <f t="shared" ref="J17" si="27">J53+J89+J125</f>
        <v>226166.50947940053</v>
      </c>
      <c r="K17" s="250"/>
      <c r="L17" s="250"/>
    </row>
    <row r="18" spans="1:12" s="41" customFormat="1" ht="15" customHeight="1">
      <c r="A18" s="60"/>
      <c r="B18" s="68" t="s">
        <v>516</v>
      </c>
      <c r="C18" s="68"/>
      <c r="D18" s="250">
        <f t="shared" ref="D18:E18" si="28">D54+D90+D126</f>
        <v>0</v>
      </c>
      <c r="E18" s="250">
        <f t="shared" si="28"/>
        <v>0</v>
      </c>
      <c r="F18" s="250">
        <f t="shared" si="2"/>
        <v>0</v>
      </c>
      <c r="G18" s="250">
        <f t="shared" ref="G18:H18" si="29">G54+G90+G126</f>
        <v>0</v>
      </c>
      <c r="H18" s="250">
        <f t="shared" si="29"/>
        <v>0</v>
      </c>
      <c r="I18" s="250">
        <f t="shared" si="2"/>
        <v>0</v>
      </c>
      <c r="J18" s="250">
        <f t="shared" ref="J18" si="30">J54+J90+J126</f>
        <v>0</v>
      </c>
      <c r="K18" s="250"/>
      <c r="L18" s="250"/>
    </row>
    <row r="19" spans="1:12" s="41" customFormat="1" ht="30" customHeight="1">
      <c r="A19" s="60" t="s">
        <v>24</v>
      </c>
      <c r="B19" s="68" t="s">
        <v>517</v>
      </c>
      <c r="C19" s="68"/>
      <c r="D19" s="250">
        <f t="shared" ref="D19:E19" si="31">D55+D91+D127</f>
        <v>36451</v>
      </c>
      <c r="E19" s="250">
        <f t="shared" si="31"/>
        <v>0</v>
      </c>
      <c r="F19" s="250">
        <f t="shared" si="2"/>
        <v>23316.275809999999</v>
      </c>
      <c r="G19" s="250">
        <f t="shared" ref="G19:H19" si="32">G55+G91+G127</f>
        <v>120527.08899999998</v>
      </c>
      <c r="H19" s="250">
        <f t="shared" si="32"/>
        <v>95893.91114547546</v>
      </c>
      <c r="I19" s="250">
        <f t="shared" si="2"/>
        <v>63959.357843495134</v>
      </c>
      <c r="J19" s="250">
        <f t="shared" ref="J19" si="33">J55+J91+J127</f>
        <v>214415.22608433233</v>
      </c>
      <c r="K19" s="250"/>
      <c r="L19" s="250"/>
    </row>
    <row r="20" spans="1:12" s="41" customFormat="1" ht="30" customHeight="1">
      <c r="A20" s="60" t="s">
        <v>25</v>
      </c>
      <c r="B20" s="68" t="s">
        <v>518</v>
      </c>
      <c r="C20" s="68"/>
      <c r="D20" s="250">
        <f t="shared" ref="D20:E20" si="34">D56+D92+D128</f>
        <v>0</v>
      </c>
      <c r="E20" s="250">
        <f t="shared" si="34"/>
        <v>0</v>
      </c>
      <c r="F20" s="250">
        <f t="shared" si="2"/>
        <v>0</v>
      </c>
      <c r="G20" s="250">
        <f t="shared" ref="G20:H20" si="35">G56+G92+G128</f>
        <v>0</v>
      </c>
      <c r="H20" s="250">
        <f t="shared" si="35"/>
        <v>0</v>
      </c>
      <c r="I20" s="250">
        <f t="shared" si="2"/>
        <v>0</v>
      </c>
      <c r="J20" s="250">
        <f t="shared" ref="J20" si="36">J56+J92+J128</f>
        <v>0</v>
      </c>
      <c r="K20" s="250"/>
      <c r="L20" s="250"/>
    </row>
    <row r="21" spans="1:12" s="41" customFormat="1" ht="15" customHeight="1">
      <c r="A21" s="60" t="s">
        <v>139</v>
      </c>
      <c r="B21" s="68" t="s">
        <v>519</v>
      </c>
      <c r="C21" s="68"/>
      <c r="D21" s="250">
        <f t="shared" ref="D21:E21" si="37">D57+D93+D129</f>
        <v>0</v>
      </c>
      <c r="E21" s="250">
        <f t="shared" si="37"/>
        <v>0</v>
      </c>
      <c r="F21" s="250">
        <f t="shared" si="2"/>
        <v>0</v>
      </c>
      <c r="G21" s="250">
        <f t="shared" ref="G21:H21" si="38">G57+G93+G129</f>
        <v>0</v>
      </c>
      <c r="H21" s="250">
        <f t="shared" si="38"/>
        <v>13442.95947480446</v>
      </c>
      <c r="I21" s="250">
        <f t="shared" si="2"/>
        <v>0</v>
      </c>
      <c r="J21" s="250">
        <f t="shared" ref="J21" si="39">J57+J93+J129</f>
        <v>0</v>
      </c>
      <c r="K21" s="250"/>
      <c r="L21" s="250"/>
    </row>
    <row r="22" spans="1:12" s="41" customFormat="1" ht="15" customHeight="1">
      <c r="A22" s="60" t="s">
        <v>433</v>
      </c>
      <c r="B22" s="68" t="s">
        <v>520</v>
      </c>
      <c r="C22" s="68"/>
      <c r="D22" s="250">
        <f t="shared" ref="D22:E22" si="40">D58+D94+D130</f>
        <v>0</v>
      </c>
      <c r="E22" s="250">
        <f t="shared" si="40"/>
        <v>0</v>
      </c>
      <c r="F22" s="250">
        <f t="shared" si="2"/>
        <v>0</v>
      </c>
      <c r="G22" s="250">
        <f t="shared" ref="G22:H22" si="41">G58+G94+G130</f>
        <v>0</v>
      </c>
      <c r="H22" s="250">
        <f t="shared" si="41"/>
        <v>0</v>
      </c>
      <c r="I22" s="250">
        <f t="shared" si="2"/>
        <v>0</v>
      </c>
      <c r="J22" s="250">
        <f t="shared" ref="J22" si="42">J58+J94+J130</f>
        <v>0</v>
      </c>
      <c r="K22" s="250"/>
      <c r="L22" s="250"/>
    </row>
    <row r="23" spans="1:12" s="41" customFormat="1" ht="15" customHeight="1">
      <c r="A23" s="60" t="s">
        <v>521</v>
      </c>
      <c r="B23" s="68" t="s">
        <v>522</v>
      </c>
      <c r="C23" s="68"/>
      <c r="D23" s="250">
        <f t="shared" ref="D23:E23" si="43">D59+D95+D131</f>
        <v>0</v>
      </c>
      <c r="E23" s="250">
        <f t="shared" si="43"/>
        <v>0</v>
      </c>
      <c r="F23" s="250">
        <f t="shared" si="2"/>
        <v>0</v>
      </c>
      <c r="G23" s="250">
        <f t="shared" ref="G23:H23" si="44">G59+G95+G131</f>
        <v>0</v>
      </c>
      <c r="H23" s="250">
        <f t="shared" si="44"/>
        <v>0</v>
      </c>
      <c r="I23" s="250">
        <f t="shared" si="2"/>
        <v>0</v>
      </c>
      <c r="J23" s="250">
        <f t="shared" ref="J23" si="45">J59+J95+J131</f>
        <v>0</v>
      </c>
      <c r="K23" s="250"/>
      <c r="L23" s="250"/>
    </row>
    <row r="24" spans="1:12" s="41" customFormat="1" ht="30" customHeight="1">
      <c r="A24" s="60" t="s">
        <v>523</v>
      </c>
      <c r="B24" s="68" t="s">
        <v>524</v>
      </c>
      <c r="C24" s="68"/>
      <c r="D24" s="250">
        <f t="shared" ref="D24:E24" si="46">D60+D96+D132</f>
        <v>0</v>
      </c>
      <c r="E24" s="250">
        <f t="shared" si="46"/>
        <v>0</v>
      </c>
      <c r="F24" s="250">
        <f t="shared" si="2"/>
        <v>0</v>
      </c>
      <c r="G24" s="250">
        <f t="shared" ref="G24:H24" si="47">G60+G96+G132</f>
        <v>62031</v>
      </c>
      <c r="H24" s="250">
        <f t="shared" si="47"/>
        <v>0</v>
      </c>
      <c r="I24" s="250">
        <f t="shared" si="2"/>
        <v>0</v>
      </c>
      <c r="J24" s="250">
        <f t="shared" ref="J24" si="48">J60+J96+J132</f>
        <v>0</v>
      </c>
      <c r="K24" s="250"/>
      <c r="L24" s="250"/>
    </row>
    <row r="25" spans="1:12" s="41" customFormat="1" ht="15" customHeight="1">
      <c r="A25" s="60" t="s">
        <v>471</v>
      </c>
      <c r="B25" s="68" t="s">
        <v>1738</v>
      </c>
      <c r="C25" s="68"/>
      <c r="D25" s="250">
        <f t="shared" ref="D25:E25" si="49">D61+D97+D133</f>
        <v>0</v>
      </c>
      <c r="E25" s="250">
        <f t="shared" si="49"/>
        <v>0</v>
      </c>
      <c r="F25" s="250">
        <f t="shared" ref="F25:I29" si="50">F61+F97+F133</f>
        <v>0</v>
      </c>
      <c r="G25" s="250">
        <f t="shared" ref="G25:H25" si="51">G61+G97+G133</f>
        <v>0</v>
      </c>
      <c r="H25" s="250">
        <f t="shared" si="51"/>
        <v>0</v>
      </c>
      <c r="I25" s="250">
        <f t="shared" si="50"/>
        <v>0</v>
      </c>
      <c r="J25" s="250">
        <f t="shared" ref="J25" si="52">J61+J97+J133</f>
        <v>0</v>
      </c>
      <c r="K25" s="250"/>
      <c r="L25" s="250"/>
    </row>
    <row r="26" spans="1:12" s="41" customFormat="1" ht="15" customHeight="1">
      <c r="A26" s="60" t="s">
        <v>475</v>
      </c>
      <c r="B26" s="68" t="s">
        <v>1739</v>
      </c>
      <c r="C26" s="68"/>
      <c r="D26" s="250">
        <f t="shared" ref="D26:E26" si="53">D62+D98+D134</f>
        <v>0</v>
      </c>
      <c r="E26" s="250">
        <f t="shared" si="53"/>
        <v>0</v>
      </c>
      <c r="F26" s="250">
        <f t="shared" si="50"/>
        <v>0</v>
      </c>
      <c r="G26" s="250">
        <f t="shared" ref="G26:H26" si="54">G62+G98+G134</f>
        <v>51746</v>
      </c>
      <c r="H26" s="250">
        <f t="shared" si="54"/>
        <v>128172.39780965932</v>
      </c>
      <c r="I26" s="250">
        <f t="shared" si="50"/>
        <v>10026.323352691668</v>
      </c>
      <c r="J26" s="250">
        <f t="shared" ref="J26" si="55">J62+J98+J134</f>
        <v>0</v>
      </c>
      <c r="K26" s="250"/>
      <c r="L26" s="250"/>
    </row>
    <row r="27" spans="1:12" s="41" customFormat="1" ht="15" customHeight="1">
      <c r="A27" s="60" t="s">
        <v>477</v>
      </c>
      <c r="B27" s="68" t="s">
        <v>1740</v>
      </c>
      <c r="C27" s="68"/>
      <c r="D27" s="250">
        <f t="shared" ref="D27:E27" si="56">D63+D99+D135</f>
        <v>0</v>
      </c>
      <c r="E27" s="250">
        <f t="shared" si="56"/>
        <v>0</v>
      </c>
      <c r="F27" s="250">
        <f t="shared" si="50"/>
        <v>0</v>
      </c>
      <c r="G27" s="250">
        <f t="shared" ref="G27:H27" si="57">G63+G99+G135</f>
        <v>2938</v>
      </c>
      <c r="H27" s="250">
        <f t="shared" si="57"/>
        <v>32945.509366049999</v>
      </c>
      <c r="I27" s="250">
        <f t="shared" si="50"/>
        <v>11468.531235269167</v>
      </c>
      <c r="J27" s="250">
        <f t="shared" ref="J27" si="58">J63+J99+J135</f>
        <v>11751.283395068189</v>
      </c>
      <c r="K27" s="250"/>
      <c r="L27" s="250"/>
    </row>
    <row r="28" spans="1:12" s="41" customFormat="1" ht="15" customHeight="1">
      <c r="A28" s="60"/>
      <c r="B28" s="338" t="s">
        <v>958</v>
      </c>
      <c r="C28" s="338"/>
      <c r="D28" s="250">
        <f t="shared" ref="D28:E28" si="59">D64+D100+D136</f>
        <v>0</v>
      </c>
      <c r="E28" s="250">
        <f t="shared" si="59"/>
        <v>0</v>
      </c>
      <c r="F28" s="250">
        <f t="shared" si="50"/>
        <v>0</v>
      </c>
      <c r="G28" s="250">
        <f t="shared" ref="G28:H28" si="60">G64+G100+G136</f>
        <v>0</v>
      </c>
      <c r="H28" s="250">
        <f t="shared" si="60"/>
        <v>0</v>
      </c>
      <c r="I28" s="250">
        <f t="shared" si="50"/>
        <v>0</v>
      </c>
      <c r="J28" s="250">
        <f t="shared" ref="J28" si="61">J64+J100+J136</f>
        <v>0</v>
      </c>
      <c r="K28" s="250"/>
      <c r="L28" s="250"/>
    </row>
    <row r="29" spans="1:12" s="41" customFormat="1" ht="15" customHeight="1">
      <c r="A29" s="60" t="s">
        <v>479</v>
      </c>
      <c r="B29" s="68" t="s">
        <v>525</v>
      </c>
      <c r="C29" s="68"/>
      <c r="D29" s="250">
        <f t="shared" ref="D29:E29" si="62">D65+D101+D137</f>
        <v>36451</v>
      </c>
      <c r="E29" s="250">
        <f t="shared" si="62"/>
        <v>0</v>
      </c>
      <c r="F29" s="250">
        <f>F65+F101+F137</f>
        <v>23316.275809999999</v>
      </c>
      <c r="G29" s="250">
        <f>G65+G101+G137</f>
        <v>237242.08900000001</v>
      </c>
      <c r="H29" s="250">
        <f>H65+H101+H137</f>
        <v>270454.77779598924</v>
      </c>
      <c r="I29" s="250">
        <f t="shared" si="50"/>
        <v>85454.212431455977</v>
      </c>
      <c r="J29" s="250">
        <f t="shared" ref="J29" si="63">J65+J101+J137</f>
        <v>226166.50947940053</v>
      </c>
      <c r="K29" s="250"/>
      <c r="L29" s="250"/>
    </row>
    <row r="30" spans="1:12" s="41" customFormat="1" ht="15" customHeight="1">
      <c r="A30" s="60" t="s">
        <v>481</v>
      </c>
      <c r="B30" s="68" t="s">
        <v>526</v>
      </c>
      <c r="C30" s="68"/>
      <c r="D30" s="250">
        <f t="shared" ref="D30:E30" si="64">D66+D102+D138</f>
        <v>0</v>
      </c>
      <c r="E30" s="250">
        <f t="shared" si="64"/>
        <v>0</v>
      </c>
      <c r="F30" s="250">
        <f t="shared" ref="F30:I35" si="65">F66+F102+F138</f>
        <v>0</v>
      </c>
      <c r="G30" s="250">
        <f t="shared" ref="G30:H30" si="66">G66+G102+G138</f>
        <v>0</v>
      </c>
      <c r="H30" s="250">
        <f t="shared" si="66"/>
        <v>0</v>
      </c>
      <c r="I30" s="250">
        <f t="shared" si="65"/>
        <v>0</v>
      </c>
      <c r="J30" s="250">
        <f t="shared" ref="J30" si="67">J66+J102+J138</f>
        <v>0</v>
      </c>
      <c r="K30" s="250"/>
      <c r="L30" s="250"/>
    </row>
    <row r="31" spans="1:12" s="41" customFormat="1" ht="15" customHeight="1">
      <c r="A31" s="60"/>
      <c r="B31" s="68" t="s">
        <v>527</v>
      </c>
      <c r="C31" s="68"/>
      <c r="D31" s="250">
        <f t="shared" ref="D31:E31" si="68">D67+D103+D139</f>
        <v>0</v>
      </c>
      <c r="E31" s="250">
        <f t="shared" si="68"/>
        <v>0</v>
      </c>
      <c r="F31" s="250">
        <f t="shared" si="65"/>
        <v>0</v>
      </c>
      <c r="G31" s="250">
        <f t="shared" ref="G31:H31" si="69">G67+G103+G139</f>
        <v>0</v>
      </c>
      <c r="H31" s="250">
        <f t="shared" si="69"/>
        <v>0</v>
      </c>
      <c r="I31" s="250">
        <f t="shared" si="65"/>
        <v>0</v>
      </c>
      <c r="J31" s="250">
        <f t="shared" ref="J31" si="70">J67+J103+J139</f>
        <v>0</v>
      </c>
      <c r="K31" s="250"/>
      <c r="L31" s="250"/>
    </row>
    <row r="32" spans="1:12" s="41" customFormat="1" ht="15" customHeight="1">
      <c r="A32" s="60" t="s">
        <v>482</v>
      </c>
      <c r="B32" s="70" t="s">
        <v>402</v>
      </c>
      <c r="C32" s="70"/>
      <c r="D32" s="250">
        <f t="shared" ref="D32:E32" si="71">D68+D104+D140</f>
        <v>0</v>
      </c>
      <c r="E32" s="250">
        <f t="shared" si="71"/>
        <v>0</v>
      </c>
      <c r="F32" s="250">
        <f t="shared" si="65"/>
        <v>0</v>
      </c>
      <c r="G32" s="250">
        <f t="shared" ref="G32:H32" si="72">G68+G104+G140</f>
        <v>0</v>
      </c>
      <c r="H32" s="250">
        <f t="shared" si="72"/>
        <v>0</v>
      </c>
      <c r="I32" s="250">
        <f t="shared" si="65"/>
        <v>0</v>
      </c>
      <c r="J32" s="250">
        <f t="shared" ref="J32" si="73">J68+J104+J140</f>
        <v>0</v>
      </c>
      <c r="K32" s="250"/>
      <c r="L32" s="250"/>
    </row>
    <row r="33" spans="1:12" s="41" customFormat="1" ht="15" customHeight="1">
      <c r="A33" s="60" t="s">
        <v>483</v>
      </c>
      <c r="B33" s="70" t="s">
        <v>404</v>
      </c>
      <c r="C33" s="70"/>
      <c r="D33" s="250">
        <f t="shared" ref="D33:E33" si="74">D69+D105+D141</f>
        <v>0</v>
      </c>
      <c r="E33" s="250">
        <f t="shared" si="74"/>
        <v>0</v>
      </c>
      <c r="F33" s="250">
        <f t="shared" si="65"/>
        <v>0</v>
      </c>
      <c r="G33" s="250">
        <f t="shared" ref="G33:H33" si="75">G69+G105+G141</f>
        <v>0</v>
      </c>
      <c r="H33" s="250">
        <f t="shared" si="75"/>
        <v>0</v>
      </c>
      <c r="I33" s="250">
        <f t="shared" si="65"/>
        <v>0</v>
      </c>
      <c r="J33" s="250">
        <f t="shared" ref="J33" si="76">J69+J105+J141</f>
        <v>0</v>
      </c>
      <c r="K33" s="250"/>
      <c r="L33" s="250"/>
    </row>
    <row r="34" spans="1:12" s="41" customFormat="1" ht="15" customHeight="1">
      <c r="A34" s="60" t="s">
        <v>528</v>
      </c>
      <c r="B34" s="70" t="s">
        <v>406</v>
      </c>
      <c r="C34" s="70"/>
      <c r="D34" s="250">
        <f t="shared" ref="D34:E34" si="77">D70+D106+D142</f>
        <v>0</v>
      </c>
      <c r="E34" s="250">
        <f t="shared" si="77"/>
        <v>0</v>
      </c>
      <c r="F34" s="250">
        <f t="shared" si="65"/>
        <v>0</v>
      </c>
      <c r="G34" s="250">
        <f t="shared" ref="G34:H34" si="78">G70+G106+G142</f>
        <v>0</v>
      </c>
      <c r="H34" s="250">
        <f t="shared" si="78"/>
        <v>0</v>
      </c>
      <c r="I34" s="250">
        <f t="shared" si="65"/>
        <v>0</v>
      </c>
      <c r="J34" s="250">
        <f t="shared" ref="J34" si="79">J70+J106+J142</f>
        <v>0</v>
      </c>
      <c r="K34" s="250"/>
      <c r="L34" s="250"/>
    </row>
    <row r="35" spans="1:12" s="41" customFormat="1" ht="15" customHeight="1">
      <c r="A35" s="60" t="s">
        <v>529</v>
      </c>
      <c r="B35" s="70" t="s">
        <v>408</v>
      </c>
      <c r="C35" s="70"/>
      <c r="D35" s="250">
        <f t="shared" ref="D35:E35" si="80">D71+D107+D143</f>
        <v>0</v>
      </c>
      <c r="E35" s="250">
        <f t="shared" si="80"/>
        <v>0</v>
      </c>
      <c r="F35" s="250">
        <f t="shared" si="65"/>
        <v>0</v>
      </c>
      <c r="G35" s="250">
        <f t="shared" ref="G35:H35" si="81">G71+G107+G143</f>
        <v>0</v>
      </c>
      <c r="H35" s="250">
        <f t="shared" si="81"/>
        <v>0</v>
      </c>
      <c r="I35" s="250">
        <f t="shared" si="65"/>
        <v>0</v>
      </c>
      <c r="J35" s="250">
        <f t="shared" ref="J35" si="82">J71+J107+J143</f>
        <v>0</v>
      </c>
      <c r="K35" s="250"/>
      <c r="L35" s="250"/>
    </row>
    <row r="37" spans="1:12" s="5" customFormat="1" ht="18" customHeight="1">
      <c r="A37" s="74" t="s">
        <v>1860</v>
      </c>
      <c r="H37" s="1965" t="s">
        <v>947</v>
      </c>
      <c r="I37" s="1966"/>
      <c r="J37" s="6"/>
    </row>
    <row r="38" spans="1:12" ht="12.75" customHeight="1">
      <c r="A38" s="1644" t="str">
        <f>'4.1 (свод)'!A2</f>
        <v>КТЭЦ + котельные СВОД</v>
      </c>
    </row>
    <row r="39" spans="1:12" ht="18.75">
      <c r="A39" s="1877" t="s">
        <v>508</v>
      </c>
      <c r="B39" s="1877"/>
      <c r="C39" s="1877"/>
      <c r="D39" s="1877"/>
      <c r="E39" s="1877"/>
      <c r="F39" s="1877"/>
      <c r="G39" s="1877"/>
      <c r="H39" s="1877"/>
      <c r="I39" s="1877"/>
    </row>
    <row r="40" spans="1:12" ht="12.75" customHeight="1">
      <c r="B40" s="535"/>
      <c r="C40" s="769"/>
      <c r="D40" s="769"/>
      <c r="E40" s="769"/>
      <c r="F40" s="535"/>
      <c r="G40" s="1283"/>
      <c r="H40" s="1583"/>
      <c r="I40" s="535"/>
    </row>
    <row r="41" spans="1:12" ht="14.25" customHeight="1">
      <c r="I41" s="23" t="s">
        <v>360</v>
      </c>
      <c r="J41" s="23"/>
    </row>
    <row r="42" spans="1:12" s="3" customFormat="1" ht="60">
      <c r="A42" s="540" t="s">
        <v>0</v>
      </c>
      <c r="B42" s="540" t="s">
        <v>509</v>
      </c>
      <c r="C42" s="772"/>
      <c r="D42" s="1284" t="s">
        <v>1130</v>
      </c>
      <c r="E42" s="1284" t="s">
        <v>1131</v>
      </c>
      <c r="F42" s="1284" t="s">
        <v>1695</v>
      </c>
      <c r="G42" s="1586" t="s">
        <v>1828</v>
      </c>
      <c r="H42" s="1641" t="s">
        <v>1861</v>
      </c>
      <c r="I42" s="1641" t="s">
        <v>1862</v>
      </c>
      <c r="J42" s="1641" t="s">
        <v>1863</v>
      </c>
      <c r="K42" s="1641" t="s">
        <v>763</v>
      </c>
      <c r="L42" s="1641" t="s">
        <v>764</v>
      </c>
    </row>
    <row r="43" spans="1:12" s="2" customFormat="1">
      <c r="A43" s="13">
        <v>1</v>
      </c>
      <c r="B43" s="13">
        <v>2</v>
      </c>
      <c r="C43" s="13"/>
      <c r="D43" s="13">
        <v>3</v>
      </c>
      <c r="E43" s="13"/>
      <c r="F43" s="13">
        <v>3</v>
      </c>
      <c r="G43" s="13">
        <v>4</v>
      </c>
      <c r="H43" s="13">
        <v>5</v>
      </c>
      <c r="I43" s="13">
        <v>6</v>
      </c>
      <c r="J43" s="13">
        <v>7</v>
      </c>
      <c r="K43" s="13">
        <v>5</v>
      </c>
      <c r="L43" s="13">
        <v>6</v>
      </c>
    </row>
    <row r="44" spans="1:12" s="41" customFormat="1" ht="15" customHeight="1">
      <c r="A44" s="60">
        <v>1</v>
      </c>
      <c r="B44" s="68" t="s">
        <v>510</v>
      </c>
      <c r="C44" s="68"/>
      <c r="D44" s="241">
        <f>'4.11_КТЭЦ'!D44+'4.11_котельные'!D44</f>
        <v>22398</v>
      </c>
      <c r="E44" s="241">
        <f>'4.11_КТЭЦ'!E44+'4.11_котельные'!E44</f>
        <v>0</v>
      </c>
      <c r="F44" s="241">
        <f>'4.11_КТЭЦ'!F44+'4.11_котельные'!F44</f>
        <v>9197.2152100000003</v>
      </c>
      <c r="G44" s="241">
        <f>'4.11_КТЭЦ'!G44+'4.11_котельные'!G44</f>
        <v>15013.67</v>
      </c>
      <c r="H44" s="241">
        <f>'4.11_КТЭЦ'!H44+'4.11_котельные'!H44</f>
        <v>15442.606908639962</v>
      </c>
      <c r="I44" s="241">
        <f>'4.11_КТЭЦ'!I44+'4.11_котельные'!I44</f>
        <v>32941.428650535563</v>
      </c>
      <c r="J44" s="241">
        <f>'4.11_КТЭЦ'!J44+'4.11_котельные'!J44</f>
        <v>61323.859715951527</v>
      </c>
      <c r="K44" s="250"/>
      <c r="L44" s="250"/>
    </row>
    <row r="45" spans="1:12" s="41" customFormat="1" ht="15" customHeight="1">
      <c r="A45" s="60"/>
      <c r="B45" s="68" t="s">
        <v>70</v>
      </c>
      <c r="C45" s="68"/>
      <c r="D45" s="68"/>
      <c r="E45" s="68"/>
      <c r="F45" s="250"/>
      <c r="G45" s="250"/>
      <c r="H45" s="250"/>
      <c r="I45" s="250"/>
      <c r="J45" s="250"/>
      <c r="K45" s="250"/>
      <c r="L45" s="250"/>
    </row>
    <row r="46" spans="1:12" s="41" customFormat="1" ht="15" customHeight="1">
      <c r="A46" s="60" t="s">
        <v>5</v>
      </c>
      <c r="B46" s="70" t="s">
        <v>511</v>
      </c>
      <c r="C46" s="70"/>
      <c r="D46" s="241">
        <f>'4.11_КТЭЦ'!D46+'4.11_котельные'!D46</f>
        <v>22398</v>
      </c>
      <c r="E46" s="241">
        <f>'4.11_КТЭЦ'!E46+'4.11_котельные'!E46</f>
        <v>0</v>
      </c>
      <c r="F46" s="241">
        <f>'4.11_КТЭЦ'!F46+'4.11_котельные'!F46</f>
        <v>9197.2152100000003</v>
      </c>
      <c r="G46" s="241">
        <f>'4.11_КТЭЦ'!G46+'4.11_котельные'!G46</f>
        <v>15013.67</v>
      </c>
      <c r="H46" s="241">
        <f>'4.11_КТЭЦ'!H46+'4.11_котельные'!H46</f>
        <v>15442.606908639962</v>
      </c>
      <c r="I46" s="241">
        <f>'4.11_КТЭЦ'!I46+'4.11_котельные'!I46</f>
        <v>32941.428650535563</v>
      </c>
      <c r="J46" s="241">
        <f>'4.11_КТЭЦ'!J46+'4.11_котельные'!J46</f>
        <v>61323.859715951527</v>
      </c>
      <c r="K46" s="250"/>
      <c r="L46" s="250"/>
    </row>
    <row r="47" spans="1:12" s="41" customFormat="1" ht="15" customHeight="1">
      <c r="A47" s="60" t="s">
        <v>11</v>
      </c>
      <c r="B47" s="70" t="s">
        <v>512</v>
      </c>
      <c r="C47" s="70"/>
      <c r="D47" s="70"/>
      <c r="E47" s="70"/>
      <c r="F47" s="250"/>
      <c r="G47" s="250"/>
      <c r="H47" s="250"/>
      <c r="I47" s="250"/>
      <c r="J47" s="250"/>
      <c r="K47" s="250"/>
      <c r="L47" s="250"/>
    </row>
    <row r="48" spans="1:12" s="41" customFormat="1" ht="15" customHeight="1">
      <c r="A48" s="60"/>
      <c r="B48" s="68" t="s">
        <v>513</v>
      </c>
      <c r="C48" s="68"/>
      <c r="D48" s="68"/>
      <c r="E48" s="68"/>
      <c r="F48" s="250"/>
      <c r="G48" s="250"/>
      <c r="H48" s="250"/>
      <c r="I48" s="250"/>
      <c r="J48" s="250"/>
      <c r="K48" s="250"/>
      <c r="L48" s="250"/>
    </row>
    <row r="49" spans="1:12" s="41" customFormat="1" ht="15" customHeight="1">
      <c r="A49" s="60" t="s">
        <v>445</v>
      </c>
      <c r="B49" s="70" t="s">
        <v>402</v>
      </c>
      <c r="C49" s="70"/>
      <c r="D49" s="70"/>
      <c r="E49" s="70"/>
      <c r="F49" s="250"/>
      <c r="G49" s="250"/>
      <c r="H49" s="250"/>
      <c r="I49" s="250"/>
      <c r="J49" s="250"/>
      <c r="K49" s="250"/>
      <c r="L49" s="250"/>
    </row>
    <row r="50" spans="1:12" s="41" customFormat="1" ht="15" customHeight="1">
      <c r="A50" s="60" t="s">
        <v>446</v>
      </c>
      <c r="B50" s="70" t="s">
        <v>404</v>
      </c>
      <c r="C50" s="70"/>
      <c r="D50" s="70"/>
      <c r="E50" s="70"/>
      <c r="F50" s="250"/>
      <c r="G50" s="250"/>
      <c r="H50" s="250"/>
      <c r="I50" s="250"/>
      <c r="J50" s="250"/>
      <c r="K50" s="250"/>
      <c r="L50" s="250"/>
    </row>
    <row r="51" spans="1:12" s="41" customFormat="1" ht="15" customHeight="1">
      <c r="A51" s="60" t="s">
        <v>461</v>
      </c>
      <c r="B51" s="70" t="s">
        <v>406</v>
      </c>
      <c r="C51" s="70"/>
      <c r="D51" s="70"/>
      <c r="E51" s="70"/>
      <c r="F51" s="250"/>
      <c r="G51" s="250"/>
      <c r="H51" s="250"/>
      <c r="I51" s="250"/>
      <c r="J51" s="250"/>
      <c r="K51" s="250"/>
      <c r="L51" s="250"/>
    </row>
    <row r="52" spans="1:12" s="41" customFormat="1" ht="15" customHeight="1">
      <c r="A52" s="60" t="s">
        <v>514</v>
      </c>
      <c r="B52" s="70" t="s">
        <v>408</v>
      </c>
      <c r="C52" s="70"/>
      <c r="D52" s="70"/>
      <c r="E52" s="70"/>
      <c r="F52" s="250"/>
      <c r="G52" s="250"/>
      <c r="H52" s="250"/>
      <c r="I52" s="250"/>
      <c r="J52" s="250"/>
      <c r="K52" s="250"/>
      <c r="L52" s="250"/>
    </row>
    <row r="53" spans="1:12" s="41" customFormat="1" ht="15" customHeight="1">
      <c r="A53" s="60" t="s">
        <v>23</v>
      </c>
      <c r="B53" s="68" t="s">
        <v>515</v>
      </c>
      <c r="C53" s="68"/>
      <c r="D53" s="241">
        <f>'4.11_КТЭЦ'!D53+'4.11_котельные'!D53</f>
        <v>22398</v>
      </c>
      <c r="E53" s="241">
        <f>'4.11_КТЭЦ'!E53+'4.11_котельные'!E53</f>
        <v>0</v>
      </c>
      <c r="F53" s="241">
        <f>'4.11_КТЭЦ'!F53+'4.11_котельные'!F53</f>
        <v>9197.2152100000003</v>
      </c>
      <c r="G53" s="241">
        <f>'4.11_КТЭЦ'!G53+'4.11_котельные'!G53</f>
        <v>15013.67</v>
      </c>
      <c r="H53" s="241">
        <f>'4.11_КТЭЦ'!H53+'4.11_котельные'!H53</f>
        <v>15442.606908639962</v>
      </c>
      <c r="I53" s="241">
        <f>'4.11_КТЭЦ'!I53+'4.11_котельные'!I53</f>
        <v>32941.428650535563</v>
      </c>
      <c r="J53" s="241">
        <f>'4.11_КТЭЦ'!J53+'4.11_котельные'!J53</f>
        <v>61323.859715951527</v>
      </c>
      <c r="K53" s="250"/>
      <c r="L53" s="250"/>
    </row>
    <row r="54" spans="1:12" s="41" customFormat="1" ht="15" customHeight="1">
      <c r="A54" s="60"/>
      <c r="B54" s="68" t="s">
        <v>516</v>
      </c>
      <c r="C54" s="68"/>
      <c r="D54" s="68"/>
      <c r="E54" s="68"/>
      <c r="F54" s="250"/>
      <c r="G54" s="250"/>
      <c r="H54" s="250"/>
      <c r="I54" s="250"/>
      <c r="J54" s="250"/>
      <c r="K54" s="250"/>
      <c r="L54" s="250"/>
    </row>
    <row r="55" spans="1:12" s="41" customFormat="1" ht="30" customHeight="1">
      <c r="A55" s="60" t="s">
        <v>24</v>
      </c>
      <c r="B55" s="68" t="s">
        <v>517</v>
      </c>
      <c r="C55" s="68"/>
      <c r="D55" s="241">
        <f>'4.11_КТЭЦ'!D55+'4.11_котельные'!D55</f>
        <v>22398</v>
      </c>
      <c r="E55" s="241">
        <f>'4.11_КТЭЦ'!E55+'4.11_котельные'!E55</f>
        <v>0</v>
      </c>
      <c r="F55" s="241">
        <f>'4.11_КТЭЦ'!F55+'4.11_котельные'!F55</f>
        <v>9197.2152100000003</v>
      </c>
      <c r="G55" s="241">
        <f>'4.11_КТЭЦ'!G55+'4.11_котельные'!G55</f>
        <v>15013.67</v>
      </c>
      <c r="H55" s="241">
        <f>'4.11_КТЭЦ'!H55+'4.11_котельные'!H55</f>
        <v>15442.606908639962</v>
      </c>
      <c r="I55" s="241">
        <f>'4.11_КТЭЦ'!I55+'4.11_котельные'!I55</f>
        <v>32941.428650535563</v>
      </c>
      <c r="J55" s="241">
        <f>'4.11_КТЭЦ'!J55+'4.11_котельные'!J55</f>
        <v>61323.859715951527</v>
      </c>
      <c r="K55" s="250"/>
      <c r="L55" s="250"/>
    </row>
    <row r="56" spans="1:12" s="41" customFormat="1" ht="30" customHeight="1">
      <c r="A56" s="60" t="s">
        <v>25</v>
      </c>
      <c r="B56" s="68" t="s">
        <v>518</v>
      </c>
      <c r="C56" s="68"/>
      <c r="D56" s="68"/>
      <c r="E56" s="68"/>
      <c r="F56" s="250"/>
      <c r="G56" s="250"/>
      <c r="H56" s="250"/>
      <c r="I56" s="250"/>
      <c r="J56" s="250"/>
      <c r="K56" s="250"/>
      <c r="L56" s="250"/>
    </row>
    <row r="57" spans="1:12" s="41" customFormat="1" ht="15" customHeight="1">
      <c r="A57" s="60" t="s">
        <v>139</v>
      </c>
      <c r="B57" s="68" t="s">
        <v>519</v>
      </c>
      <c r="C57" s="68"/>
      <c r="D57" s="68"/>
      <c r="E57" s="68"/>
      <c r="F57" s="250"/>
      <c r="G57" s="250"/>
      <c r="H57" s="250"/>
      <c r="I57" s="250"/>
      <c r="J57" s="250"/>
      <c r="K57" s="250"/>
      <c r="L57" s="250"/>
    </row>
    <row r="58" spans="1:12" s="41" customFormat="1" ht="15" customHeight="1">
      <c r="A58" s="60" t="s">
        <v>433</v>
      </c>
      <c r="B58" s="68" t="s">
        <v>520</v>
      </c>
      <c r="C58" s="68"/>
      <c r="D58" s="68"/>
      <c r="E58" s="68"/>
      <c r="F58" s="250"/>
      <c r="G58" s="250"/>
      <c r="H58" s="250"/>
      <c r="I58" s="250"/>
      <c r="J58" s="250"/>
      <c r="K58" s="250"/>
      <c r="L58" s="250"/>
    </row>
    <row r="59" spans="1:12" s="41" customFormat="1" ht="15" customHeight="1">
      <c r="A59" s="60" t="s">
        <v>521</v>
      </c>
      <c r="B59" s="68" t="s">
        <v>522</v>
      </c>
      <c r="C59" s="68"/>
      <c r="D59" s="68"/>
      <c r="E59" s="68"/>
      <c r="F59" s="250"/>
      <c r="G59" s="250"/>
      <c r="H59" s="250"/>
      <c r="I59" s="250"/>
      <c r="J59" s="250"/>
      <c r="K59" s="250"/>
      <c r="L59" s="250"/>
    </row>
    <row r="60" spans="1:12" s="41" customFormat="1" ht="30" customHeight="1">
      <c r="A60" s="60" t="s">
        <v>523</v>
      </c>
      <c r="B60" s="68" t="s">
        <v>524</v>
      </c>
      <c r="C60" s="68"/>
      <c r="D60" s="68"/>
      <c r="E60" s="68"/>
      <c r="F60" s="250"/>
      <c r="G60" s="250"/>
      <c r="H60" s="250"/>
      <c r="I60" s="250"/>
      <c r="J60" s="250"/>
      <c r="K60" s="250"/>
      <c r="L60" s="250"/>
    </row>
    <row r="61" spans="1:12" s="41" customFormat="1" ht="15" customHeight="1">
      <c r="A61" s="60" t="s">
        <v>471</v>
      </c>
      <c r="B61" s="68" t="s">
        <v>1738</v>
      </c>
      <c r="C61" s="68"/>
      <c r="D61" s="241">
        <f>'4.11_КТЭЦ'!D61+'4.11_котельные'!D61</f>
        <v>0</v>
      </c>
      <c r="E61" s="241">
        <f>'4.11_КТЭЦ'!E61+'4.11_котельные'!E61</f>
        <v>0</v>
      </c>
      <c r="F61" s="241">
        <f>'4.11_КТЭЦ'!F61+'4.11_котельные'!F61</f>
        <v>0</v>
      </c>
      <c r="G61" s="241">
        <f>'4.11_КТЭЦ'!G61+'4.11_котельные'!G61</f>
        <v>0</v>
      </c>
      <c r="H61" s="241">
        <f>'4.11_КТЭЦ'!H61+'4.11_котельные'!H61</f>
        <v>0</v>
      </c>
      <c r="I61" s="241">
        <f>'4.11_КТЭЦ'!I61+'4.11_котельные'!I61</f>
        <v>0</v>
      </c>
      <c r="J61" s="241">
        <f>'4.11_КТЭЦ'!J61+'4.11_котельные'!J61</f>
        <v>0</v>
      </c>
      <c r="K61" s="250"/>
      <c r="L61" s="250"/>
    </row>
    <row r="62" spans="1:12" s="41" customFormat="1" ht="15" customHeight="1">
      <c r="A62" s="60" t="s">
        <v>475</v>
      </c>
      <c r="B62" s="68" t="s">
        <v>1739</v>
      </c>
      <c r="C62" s="68"/>
      <c r="D62" s="241">
        <f>'4.11_КТЭЦ'!D62+'4.11_котельные'!D62</f>
        <v>0</v>
      </c>
      <c r="E62" s="241">
        <f>'4.11_КТЭЦ'!E62+'4.11_котельные'!E62</f>
        <v>0</v>
      </c>
      <c r="F62" s="241">
        <f>'4.11_КТЭЦ'!F62+'4.11_котельные'!F62</f>
        <v>0</v>
      </c>
      <c r="G62" s="241">
        <f>'4.11_КТЭЦ'!G62+'4.11_котельные'!G62</f>
        <v>0</v>
      </c>
      <c r="H62" s="241">
        <f>'4.11_КТЭЦ'!H62+'4.11_котельные'!H62</f>
        <v>0</v>
      </c>
      <c r="I62" s="241">
        <f>'4.11_КТЭЦ'!I62+'4.11_котельные'!I62</f>
        <v>0</v>
      </c>
      <c r="J62" s="241">
        <f>'4.11_КТЭЦ'!J62+'4.11_котельные'!J62</f>
        <v>0</v>
      </c>
      <c r="K62" s="250"/>
      <c r="L62" s="250"/>
    </row>
    <row r="63" spans="1:12" s="41" customFormat="1" ht="15" customHeight="1">
      <c r="A63" s="60" t="s">
        <v>477</v>
      </c>
      <c r="B63" s="68" t="s">
        <v>1740</v>
      </c>
      <c r="C63" s="68"/>
      <c r="D63" s="241">
        <f>'4.11_КТЭЦ'!D63+'4.11_котельные'!D63</f>
        <v>0</v>
      </c>
      <c r="E63" s="241">
        <f>'4.11_КТЭЦ'!E63+'4.11_котельные'!E63</f>
        <v>0</v>
      </c>
      <c r="F63" s="241">
        <f>'4.11_КТЭЦ'!F63+'4.11_котельные'!F63</f>
        <v>0</v>
      </c>
      <c r="G63" s="241">
        <f>'4.11_КТЭЦ'!G63+'4.11_котельные'!G63</f>
        <v>0</v>
      </c>
      <c r="H63" s="241">
        <f>'4.11_КТЭЦ'!H63+'4.11_котельные'!H63</f>
        <v>0</v>
      </c>
      <c r="I63" s="241">
        <f>'4.11_КТЭЦ'!I63+'4.11_котельные'!I63</f>
        <v>0</v>
      </c>
      <c r="J63" s="241">
        <f>'4.11_КТЭЦ'!J63+'4.11_котельные'!J63</f>
        <v>0</v>
      </c>
      <c r="K63" s="250"/>
      <c r="L63" s="250"/>
    </row>
    <row r="64" spans="1:12" s="41" customFormat="1" ht="15" customHeight="1">
      <c r="A64" s="60"/>
      <c r="B64" s="338" t="s">
        <v>958</v>
      </c>
      <c r="C64" s="338"/>
      <c r="D64" s="338">
        <f>'4.11_КТЭЦ'!D64+'4.11_котельные'!D64</f>
        <v>0</v>
      </c>
      <c r="E64" s="338">
        <f>'4.11_КТЭЦ'!E64+'4.11_котельные'!E64</f>
        <v>0</v>
      </c>
      <c r="F64" s="338">
        <f>'4.11_КТЭЦ'!F64+'4.11_котельные'!F64</f>
        <v>0</v>
      </c>
      <c r="G64" s="338">
        <f>'4.11_КТЭЦ'!G64+'4.11_котельные'!G64</f>
        <v>0</v>
      </c>
      <c r="H64" s="338">
        <f>'4.11_КТЭЦ'!H64+'4.11_котельные'!H64</f>
        <v>0</v>
      </c>
      <c r="I64" s="338">
        <f>'4.11_КТЭЦ'!I64+'4.11_котельные'!I64</f>
        <v>0</v>
      </c>
      <c r="J64" s="338">
        <f>'4.11_КТЭЦ'!J64+'4.11_котельные'!J64</f>
        <v>0</v>
      </c>
      <c r="K64" s="250"/>
      <c r="L64" s="250"/>
    </row>
    <row r="65" spans="1:12" s="41" customFormat="1" ht="15" customHeight="1">
      <c r="A65" s="60" t="s">
        <v>479</v>
      </c>
      <c r="B65" s="68" t="s">
        <v>525</v>
      </c>
      <c r="C65" s="68"/>
      <c r="D65" s="250">
        <f t="shared" ref="D65" si="83">D55+SUM(D57:D64)</f>
        <v>22398</v>
      </c>
      <c r="E65" s="250">
        <f t="shared" ref="E65" si="84">E55+SUM(E57:E64)</f>
        <v>0</v>
      </c>
      <c r="F65" s="250">
        <f>F55+SUM(F57:F64)</f>
        <v>9197.2152100000003</v>
      </c>
      <c r="G65" s="250">
        <f>G55+SUM(G57:G64)</f>
        <v>15013.67</v>
      </c>
      <c r="H65" s="250">
        <f>H55+SUM(H57:H64)</f>
        <v>15442.606908639962</v>
      </c>
      <c r="I65" s="250">
        <f>I55+SUM(I57:I64)</f>
        <v>32941.428650535563</v>
      </c>
      <c r="J65" s="250">
        <f>J55+SUM(J57:J64)</f>
        <v>61323.859715951527</v>
      </c>
      <c r="K65" s="250"/>
      <c r="L65" s="250"/>
    </row>
    <row r="66" spans="1:12" s="41" customFormat="1" ht="15" customHeight="1">
      <c r="A66" s="60" t="s">
        <v>481</v>
      </c>
      <c r="B66" s="68" t="s">
        <v>526</v>
      </c>
      <c r="C66" s="68"/>
      <c r="D66" s="250">
        <f>'4.11_КТЭЦ'!D66+'4.11_котельные'!D66</f>
        <v>0</v>
      </c>
      <c r="E66" s="250">
        <f>'4.11_КТЭЦ'!E66+'4.11_котельные'!E66</f>
        <v>0</v>
      </c>
      <c r="F66" s="250">
        <f>'4.11_КТЭЦ'!F66+'4.11_котельные'!F66</f>
        <v>0</v>
      </c>
      <c r="G66" s="250">
        <f>'4.11_КТЭЦ'!G66+'4.11_котельные'!G66</f>
        <v>0</v>
      </c>
      <c r="H66" s="250">
        <f>'4.11_КТЭЦ'!H66+'4.11_котельные'!H66</f>
        <v>0</v>
      </c>
      <c r="I66" s="250">
        <f>'4.11_КТЭЦ'!I66+'4.11_котельные'!I66</f>
        <v>0</v>
      </c>
      <c r="J66" s="250">
        <f>'4.11_КТЭЦ'!J66+'4.11_котельные'!J66</f>
        <v>0</v>
      </c>
      <c r="K66" s="250"/>
      <c r="L66" s="250"/>
    </row>
    <row r="67" spans="1:12" s="41" customFormat="1" ht="15" customHeight="1">
      <c r="A67" s="60"/>
      <c r="B67" s="68" t="s">
        <v>527</v>
      </c>
      <c r="C67" s="68"/>
      <c r="D67" s="68"/>
      <c r="E67" s="68"/>
      <c r="F67" s="250"/>
      <c r="G67" s="250"/>
      <c r="H67" s="250"/>
      <c r="I67" s="250"/>
      <c r="J67" s="250"/>
      <c r="K67" s="250"/>
      <c r="L67" s="250"/>
    </row>
    <row r="68" spans="1:12" s="41" customFormat="1" ht="15" customHeight="1">
      <c r="A68" s="60" t="s">
        <v>482</v>
      </c>
      <c r="B68" s="70" t="s">
        <v>402</v>
      </c>
      <c r="C68" s="70"/>
      <c r="D68" s="250"/>
      <c r="E68" s="250"/>
      <c r="F68" s="250"/>
      <c r="G68" s="250"/>
      <c r="H68" s="250"/>
      <c r="I68" s="250"/>
      <c r="J68" s="250"/>
      <c r="K68" s="250"/>
      <c r="L68" s="250"/>
    </row>
    <row r="69" spans="1:12" s="41" customFormat="1" ht="15" customHeight="1">
      <c r="A69" s="60" t="s">
        <v>483</v>
      </c>
      <c r="B69" s="70" t="s">
        <v>404</v>
      </c>
      <c r="C69" s="70"/>
      <c r="D69" s="250">
        <f t="shared" ref="D69:I69" si="85">D66</f>
        <v>0</v>
      </c>
      <c r="E69" s="250">
        <f t="shared" si="85"/>
        <v>0</v>
      </c>
      <c r="F69" s="250">
        <f>F66</f>
        <v>0</v>
      </c>
      <c r="G69" s="250">
        <f t="shared" si="85"/>
        <v>0</v>
      </c>
      <c r="H69" s="250">
        <f t="shared" ref="H69" si="86">H66</f>
        <v>0</v>
      </c>
      <c r="I69" s="250">
        <f t="shared" si="85"/>
        <v>0</v>
      </c>
      <c r="J69" s="250">
        <f t="shared" ref="J69" si="87">J66</f>
        <v>0</v>
      </c>
      <c r="K69" s="250"/>
      <c r="L69" s="250"/>
    </row>
    <row r="70" spans="1:12" s="41" customFormat="1" ht="15" customHeight="1">
      <c r="A70" s="60" t="s">
        <v>528</v>
      </c>
      <c r="B70" s="70" t="s">
        <v>406</v>
      </c>
      <c r="C70" s="70"/>
      <c r="D70" s="70"/>
      <c r="E70" s="70"/>
      <c r="F70" s="250"/>
      <c r="G70" s="250"/>
      <c r="H70" s="250"/>
      <c r="I70" s="250"/>
      <c r="J70" s="250"/>
      <c r="K70" s="250"/>
      <c r="L70" s="250"/>
    </row>
    <row r="71" spans="1:12" s="41" customFormat="1" ht="15" customHeight="1">
      <c r="A71" s="60" t="s">
        <v>529</v>
      </c>
      <c r="B71" s="70" t="s">
        <v>408</v>
      </c>
      <c r="C71" s="70"/>
      <c r="D71" s="70"/>
      <c r="E71" s="70"/>
      <c r="F71" s="250"/>
      <c r="G71" s="250"/>
      <c r="H71" s="250"/>
      <c r="I71" s="250"/>
      <c r="J71" s="250"/>
      <c r="K71" s="250"/>
      <c r="L71" s="250"/>
    </row>
    <row r="73" spans="1:12" s="5" customFormat="1" ht="18" customHeight="1">
      <c r="A73" s="74" t="s">
        <v>1860</v>
      </c>
      <c r="I73" s="6" t="s">
        <v>945</v>
      </c>
      <c r="J73" s="6"/>
    </row>
    <row r="74" spans="1:12" ht="12.75" customHeight="1">
      <c r="A74" s="1644" t="str">
        <f>'4.1 (свод)'!A2</f>
        <v>КТЭЦ + котельные СВОД</v>
      </c>
    </row>
    <row r="75" spans="1:12" ht="18.75">
      <c r="A75" s="1877" t="s">
        <v>508</v>
      </c>
      <c r="B75" s="1877"/>
      <c r="C75" s="1877"/>
      <c r="D75" s="1877"/>
      <c r="E75" s="1877"/>
      <c r="F75" s="1877"/>
      <c r="G75" s="1877"/>
      <c r="H75" s="1877"/>
      <c r="I75" s="1877"/>
    </row>
    <row r="76" spans="1:12" ht="12.75" customHeight="1">
      <c r="B76" s="535"/>
      <c r="C76" s="769"/>
      <c r="D76" s="769"/>
      <c r="E76" s="769"/>
      <c r="F76" s="535"/>
      <c r="G76" s="1283"/>
      <c r="H76" s="1583"/>
      <c r="I76" s="535"/>
    </row>
    <row r="77" spans="1:12" ht="14.25" customHeight="1">
      <c r="I77" s="23" t="s">
        <v>360</v>
      </c>
      <c r="J77" s="23"/>
    </row>
    <row r="78" spans="1:12" s="3" customFormat="1" ht="60">
      <c r="A78" s="540" t="s">
        <v>0</v>
      </c>
      <c r="B78" s="540" t="s">
        <v>509</v>
      </c>
      <c r="C78" s="772"/>
      <c r="D78" s="1284" t="s">
        <v>1130</v>
      </c>
      <c r="E78" s="1284" t="s">
        <v>1131</v>
      </c>
      <c r="F78" s="1284" t="s">
        <v>1695</v>
      </c>
      <c r="G78" s="1586" t="s">
        <v>1828</v>
      </c>
      <c r="H78" s="1641" t="s">
        <v>1861</v>
      </c>
      <c r="I78" s="1641" t="s">
        <v>1862</v>
      </c>
      <c r="J78" s="1641" t="s">
        <v>1863</v>
      </c>
      <c r="K78" s="1641" t="s">
        <v>763</v>
      </c>
      <c r="L78" s="1641" t="s">
        <v>764</v>
      </c>
    </row>
    <row r="79" spans="1:12" s="2" customFormat="1">
      <c r="A79" s="13">
        <v>1</v>
      </c>
      <c r="B79" s="13">
        <v>2</v>
      </c>
      <c r="C79" s="13"/>
      <c r="D79" s="13">
        <v>3</v>
      </c>
      <c r="E79" s="13"/>
      <c r="F79" s="13">
        <v>3</v>
      </c>
      <c r="G79" s="13">
        <v>4</v>
      </c>
      <c r="H79" s="13">
        <v>5</v>
      </c>
      <c r="I79" s="13">
        <v>6</v>
      </c>
      <c r="J79" s="13">
        <v>6</v>
      </c>
      <c r="K79" s="13">
        <v>5</v>
      </c>
      <c r="L79" s="13">
        <v>6</v>
      </c>
    </row>
    <row r="80" spans="1:12" s="41" customFormat="1" ht="15" customHeight="1">
      <c r="A80" s="60">
        <v>1</v>
      </c>
      <c r="B80" s="68" t="s">
        <v>510</v>
      </c>
      <c r="C80" s="68"/>
      <c r="D80" s="241">
        <f>'4.11_КТЭЦ'!D80+'4.11_котельные'!D80</f>
        <v>12325</v>
      </c>
      <c r="E80" s="241">
        <f>'4.11_КТЭЦ'!E80+'4.11_котельные'!E80</f>
        <v>0</v>
      </c>
      <c r="F80" s="241">
        <f>'4.11_КТЭЦ'!F80+'4.11_котельные'!F80</f>
        <v>13497.120199999999</v>
      </c>
      <c r="G80" s="241">
        <f>'4.11_КТЭЦ'!G80+'4.11_котельные'!G80</f>
        <v>215123.44200000001</v>
      </c>
      <c r="H80" s="241">
        <f>'4.11_КТЭЦ'!H80+'4.11_котельные'!H80</f>
        <v>245570.76020546275</v>
      </c>
      <c r="I80" s="241">
        <f>'4.11_КТЭЦ'!I80+'4.11_котельные'!I80</f>
        <v>50358.556925511883</v>
      </c>
      <c r="J80" s="241">
        <f>'4.11_КТЭЦ'!J80+'4.11_котельные'!J80</f>
        <v>163589.67373395944</v>
      </c>
      <c r="K80" s="250"/>
      <c r="L80" s="250"/>
    </row>
    <row r="81" spans="1:12" s="41" customFormat="1" ht="15" customHeight="1">
      <c r="A81" s="60"/>
      <c r="B81" s="68" t="s">
        <v>70</v>
      </c>
      <c r="C81" s="68"/>
      <c r="D81" s="68"/>
      <c r="E81" s="68"/>
      <c r="F81" s="250"/>
      <c r="G81" s="250"/>
      <c r="H81" s="250"/>
      <c r="I81" s="250"/>
      <c r="J81" s="250"/>
      <c r="K81" s="250"/>
      <c r="L81" s="250"/>
    </row>
    <row r="82" spans="1:12" s="41" customFormat="1" ht="15" customHeight="1">
      <c r="A82" s="60" t="s">
        <v>5</v>
      </c>
      <c r="B82" s="70" t="s">
        <v>511</v>
      </c>
      <c r="C82" s="70"/>
      <c r="D82" s="241">
        <f>'4.11_КТЭЦ'!D82+'4.11_котельные'!D82</f>
        <v>12325</v>
      </c>
      <c r="E82" s="241">
        <f>'4.11_КТЭЦ'!E82+'4.11_котельные'!E82</f>
        <v>0</v>
      </c>
      <c r="F82" s="241">
        <f>'4.11_КТЭЦ'!F82+'4.11_котельные'!F82</f>
        <v>13497.120199999999</v>
      </c>
      <c r="G82" s="241">
        <f>'4.11_КТЭЦ'!G82+'4.11_котельные'!G82</f>
        <v>215123.44200000001</v>
      </c>
      <c r="H82" s="241">
        <f>'4.11_КТЭЦ'!H82+'4.11_котельные'!H82</f>
        <v>245570.76020546275</v>
      </c>
      <c r="I82" s="241">
        <f>'4.11_КТЭЦ'!I82+'4.11_котельные'!I82</f>
        <v>50358.556925511883</v>
      </c>
      <c r="J82" s="241">
        <f>'4.11_КТЭЦ'!J82+'4.11_котельные'!J82</f>
        <v>163589.67373395944</v>
      </c>
      <c r="K82" s="250"/>
      <c r="L82" s="250"/>
    </row>
    <row r="83" spans="1:12" s="41" customFormat="1" ht="15" customHeight="1">
      <c r="A83" s="60" t="s">
        <v>11</v>
      </c>
      <c r="B83" s="70" t="s">
        <v>512</v>
      </c>
      <c r="C83" s="70"/>
      <c r="D83" s="70"/>
      <c r="E83" s="70"/>
      <c r="F83" s="250"/>
      <c r="G83" s="250"/>
      <c r="H83" s="250"/>
      <c r="I83" s="250"/>
      <c r="J83" s="250"/>
      <c r="K83" s="250"/>
      <c r="L83" s="250"/>
    </row>
    <row r="84" spans="1:12" s="41" customFormat="1" ht="15" customHeight="1">
      <c r="A84" s="60"/>
      <c r="B84" s="68" t="s">
        <v>513</v>
      </c>
      <c r="C84" s="68"/>
      <c r="D84" s="68"/>
      <c r="E84" s="68"/>
      <c r="F84" s="250"/>
      <c r="G84" s="250"/>
      <c r="H84" s="250"/>
      <c r="I84" s="250"/>
      <c r="J84" s="250"/>
      <c r="K84" s="250"/>
      <c r="L84" s="250"/>
    </row>
    <row r="85" spans="1:12" s="41" customFormat="1" ht="15" customHeight="1">
      <c r="A85" s="60" t="s">
        <v>445</v>
      </c>
      <c r="B85" s="70" t="s">
        <v>402</v>
      </c>
      <c r="C85" s="70"/>
      <c r="D85" s="70"/>
      <c r="E85" s="70"/>
      <c r="F85" s="250"/>
      <c r="G85" s="250"/>
      <c r="H85" s="250"/>
      <c r="I85" s="250"/>
      <c r="J85" s="250"/>
      <c r="K85" s="250"/>
      <c r="L85" s="250"/>
    </row>
    <row r="86" spans="1:12" s="41" customFormat="1" ht="15" customHeight="1">
      <c r="A86" s="60" t="s">
        <v>446</v>
      </c>
      <c r="B86" s="70" t="s">
        <v>404</v>
      </c>
      <c r="C86" s="70"/>
      <c r="D86" s="70"/>
      <c r="E86" s="70"/>
      <c r="F86" s="250"/>
      <c r="G86" s="250"/>
      <c r="H86" s="250"/>
      <c r="I86" s="250"/>
      <c r="J86" s="250"/>
      <c r="K86" s="250"/>
      <c r="L86" s="250"/>
    </row>
    <row r="87" spans="1:12" s="41" customFormat="1" ht="15" customHeight="1">
      <c r="A87" s="60" t="s">
        <v>461</v>
      </c>
      <c r="B87" s="70" t="s">
        <v>406</v>
      </c>
      <c r="C87" s="70"/>
      <c r="D87" s="70"/>
      <c r="E87" s="70"/>
      <c r="F87" s="250"/>
      <c r="G87" s="250"/>
      <c r="H87" s="250"/>
      <c r="I87" s="250"/>
      <c r="J87" s="250"/>
      <c r="K87" s="250"/>
      <c r="L87" s="250"/>
    </row>
    <row r="88" spans="1:12" s="41" customFormat="1" ht="15" customHeight="1">
      <c r="A88" s="60" t="s">
        <v>514</v>
      </c>
      <c r="B88" s="70" t="s">
        <v>408</v>
      </c>
      <c r="C88" s="70"/>
      <c r="D88" s="70"/>
      <c r="E88" s="70"/>
      <c r="F88" s="250"/>
      <c r="G88" s="250"/>
      <c r="H88" s="250"/>
      <c r="I88" s="250"/>
      <c r="J88" s="250"/>
      <c r="K88" s="250"/>
      <c r="L88" s="250"/>
    </row>
    <row r="89" spans="1:12" s="41" customFormat="1" ht="15" customHeight="1">
      <c r="A89" s="60" t="s">
        <v>23</v>
      </c>
      <c r="B89" s="68" t="s">
        <v>515</v>
      </c>
      <c r="C89" s="68"/>
      <c r="D89" s="241">
        <f>'4.11_КТЭЦ'!D89+'4.11_котельные'!D89</f>
        <v>12325</v>
      </c>
      <c r="E89" s="241">
        <f>'4.11_КТЭЦ'!E89+'4.11_котельные'!E89</f>
        <v>0</v>
      </c>
      <c r="F89" s="241">
        <f>'4.11_КТЭЦ'!F89+'4.11_котельные'!F89</f>
        <v>13497.120199999999</v>
      </c>
      <c r="G89" s="241">
        <f>'4.11_КТЭЦ'!G89+'4.11_котельные'!G89</f>
        <v>215123.44199999998</v>
      </c>
      <c r="H89" s="241">
        <f>'4.11_КТЭЦ'!H89+'4.11_котельные'!H89</f>
        <v>245570.76020546281</v>
      </c>
      <c r="I89" s="241">
        <f>'4.11_КТЭЦ'!I89+'4.11_котельные'!I89</f>
        <v>50358.556925511883</v>
      </c>
      <c r="J89" s="241">
        <f>'4.11_КТЭЦ'!J89+'4.11_котельные'!J89</f>
        <v>163589.67373395944</v>
      </c>
      <c r="K89" s="250"/>
      <c r="L89" s="250"/>
    </row>
    <row r="90" spans="1:12" s="41" customFormat="1" ht="15" customHeight="1">
      <c r="A90" s="60"/>
      <c r="B90" s="68" t="s">
        <v>516</v>
      </c>
      <c r="C90" s="68"/>
      <c r="D90" s="68"/>
      <c r="E90" s="68"/>
      <c r="F90" s="250"/>
      <c r="G90" s="250"/>
      <c r="H90" s="250"/>
      <c r="I90" s="250"/>
      <c r="J90" s="250"/>
      <c r="K90" s="250"/>
      <c r="L90" s="250"/>
    </row>
    <row r="91" spans="1:12" s="41" customFormat="1" ht="30" customHeight="1">
      <c r="A91" s="60" t="s">
        <v>24</v>
      </c>
      <c r="B91" s="68" t="s">
        <v>517</v>
      </c>
      <c r="C91" s="68"/>
      <c r="D91" s="241">
        <f>'4.11_КТЭЦ'!D91+'4.11_котельные'!D91</f>
        <v>12325</v>
      </c>
      <c r="E91" s="241">
        <f>'4.11_КТЭЦ'!E91+'4.11_котельные'!E91</f>
        <v>0</v>
      </c>
      <c r="F91" s="241">
        <f>'4.11_КТЭЦ'!F91+'4.11_котельные'!F91</f>
        <v>13497.120199999999</v>
      </c>
      <c r="G91" s="241">
        <f>'4.11_КТЭЦ'!G91+'4.11_котельные'!G91</f>
        <v>98408.441999999981</v>
      </c>
      <c r="H91" s="241">
        <f>'4.11_КТЭЦ'!H91+'4.11_котельные'!H91</f>
        <v>71009.893554949042</v>
      </c>
      <c r="I91" s="241">
        <f>'4.11_КТЭЦ'!I91+'4.11_котельные'!I91</f>
        <v>28863.702337551043</v>
      </c>
      <c r="J91" s="241">
        <f>'4.11_КТЭЦ'!J91+'4.11_котельные'!J91</f>
        <v>151838.39033889124</v>
      </c>
      <c r="K91" s="250"/>
      <c r="L91" s="250"/>
    </row>
    <row r="92" spans="1:12" s="41" customFormat="1" ht="30" customHeight="1">
      <c r="A92" s="60" t="s">
        <v>25</v>
      </c>
      <c r="B92" s="68" t="s">
        <v>518</v>
      </c>
      <c r="C92" s="68"/>
      <c r="D92" s="68"/>
      <c r="E92" s="68"/>
      <c r="F92" s="241">
        <f>'4.11_КТЭЦ'!F92+'4.11_котельные'!F92</f>
        <v>0</v>
      </c>
      <c r="G92" s="241">
        <f>'4.11_КТЭЦ'!G92+'4.11_котельные'!G92</f>
        <v>0</v>
      </c>
      <c r="H92" s="241">
        <f>'4.11_КТЭЦ'!H92+'4.11_котельные'!H92</f>
        <v>0</v>
      </c>
      <c r="I92" s="241">
        <f>'4.11_КТЭЦ'!I92+'4.11_котельные'!I92</f>
        <v>0</v>
      </c>
      <c r="J92" s="241">
        <f>'4.11_КТЭЦ'!J92+'4.11_котельные'!J92</f>
        <v>0</v>
      </c>
      <c r="K92" s="250"/>
      <c r="L92" s="250"/>
    </row>
    <row r="93" spans="1:12" s="41" customFormat="1" ht="15" customHeight="1">
      <c r="A93" s="60" t="s">
        <v>139</v>
      </c>
      <c r="B93" s="68" t="s">
        <v>519</v>
      </c>
      <c r="C93" s="68"/>
      <c r="D93" s="68"/>
      <c r="E93" s="68"/>
      <c r="F93" s="241">
        <f>'4.11_КТЭЦ'!F93+'4.11_котельные'!F93</f>
        <v>0</v>
      </c>
      <c r="G93" s="241">
        <f>'4.11_КТЭЦ'!G93+'4.11_котельные'!G93</f>
        <v>0</v>
      </c>
      <c r="H93" s="241">
        <f>'4.11_КТЭЦ'!H93+'4.11_котельные'!H93</f>
        <v>13442.95947480446</v>
      </c>
      <c r="I93" s="241">
        <f>'4.11_КТЭЦ'!I93+'4.11_котельные'!I93</f>
        <v>0</v>
      </c>
      <c r="J93" s="241">
        <f>'4.11_КТЭЦ'!J93+'4.11_котельные'!J93</f>
        <v>0</v>
      </c>
      <c r="K93" s="250"/>
      <c r="L93" s="250"/>
    </row>
    <row r="94" spans="1:12" s="41" customFormat="1" ht="15" customHeight="1">
      <c r="A94" s="60" t="s">
        <v>433</v>
      </c>
      <c r="B94" s="68" t="s">
        <v>520</v>
      </c>
      <c r="C94" s="68"/>
      <c r="D94" s="68"/>
      <c r="E94" s="68"/>
      <c r="F94" s="241">
        <f>'4.11_КТЭЦ'!F94+'4.11_котельные'!F94</f>
        <v>0</v>
      </c>
      <c r="G94" s="241">
        <f>'4.11_КТЭЦ'!G94+'4.11_котельные'!G94</f>
        <v>0</v>
      </c>
      <c r="H94" s="241">
        <f>'4.11_КТЭЦ'!H94+'4.11_котельные'!H94</f>
        <v>0</v>
      </c>
      <c r="I94" s="241">
        <f>'4.11_КТЭЦ'!I94+'4.11_котельные'!I94</f>
        <v>0</v>
      </c>
      <c r="J94" s="241">
        <f>'4.11_КТЭЦ'!J94+'4.11_котельные'!J94</f>
        <v>0</v>
      </c>
      <c r="K94" s="250"/>
      <c r="L94" s="250"/>
    </row>
    <row r="95" spans="1:12" s="41" customFormat="1" ht="15" customHeight="1">
      <c r="A95" s="60" t="s">
        <v>521</v>
      </c>
      <c r="B95" s="68" t="s">
        <v>522</v>
      </c>
      <c r="C95" s="68"/>
      <c r="D95" s="68"/>
      <c r="E95" s="68"/>
      <c r="F95" s="241">
        <f>'4.11_КТЭЦ'!F95+'4.11_котельные'!F95</f>
        <v>0</v>
      </c>
      <c r="G95" s="241">
        <f>'4.11_КТЭЦ'!G95+'4.11_котельные'!G95</f>
        <v>0</v>
      </c>
      <c r="H95" s="241">
        <f>'4.11_КТЭЦ'!H95+'4.11_котельные'!H95</f>
        <v>0</v>
      </c>
      <c r="I95" s="241">
        <f>'4.11_КТЭЦ'!I95+'4.11_котельные'!I95</f>
        <v>0</v>
      </c>
      <c r="J95" s="241">
        <f>'4.11_КТЭЦ'!J95+'4.11_котельные'!J95</f>
        <v>0</v>
      </c>
      <c r="K95" s="250"/>
      <c r="L95" s="250"/>
    </row>
    <row r="96" spans="1:12" s="41" customFormat="1" ht="30" customHeight="1">
      <c r="A96" s="60" t="s">
        <v>523</v>
      </c>
      <c r="B96" s="68" t="s">
        <v>524</v>
      </c>
      <c r="C96" s="68"/>
      <c r="D96" s="68"/>
      <c r="E96" s="68"/>
      <c r="F96" s="241">
        <f>'4.11_КТЭЦ'!F96+'4.11_котельные'!F96</f>
        <v>0</v>
      </c>
      <c r="G96" s="241">
        <f>'4.11_КТЭЦ'!G96+'4.11_котельные'!G96</f>
        <v>62031</v>
      </c>
      <c r="H96" s="241">
        <f>'4.11_КТЭЦ'!H96+'4.11_котельные'!H96</f>
        <v>0</v>
      </c>
      <c r="I96" s="241">
        <f>'4.11_КТЭЦ'!I96+'4.11_котельные'!I96</f>
        <v>0</v>
      </c>
      <c r="J96" s="241">
        <f>'4.11_КТЭЦ'!J96+'4.11_котельные'!J96</f>
        <v>0</v>
      </c>
      <c r="K96" s="250"/>
      <c r="L96" s="250"/>
    </row>
    <row r="97" spans="1:12" s="41" customFormat="1" ht="15" customHeight="1">
      <c r="A97" s="60" t="s">
        <v>471</v>
      </c>
      <c r="B97" s="68" t="s">
        <v>1738</v>
      </c>
      <c r="C97" s="68"/>
      <c r="D97" s="241">
        <f>'4.11_КТЭЦ'!D97+'4.11_котельные'!D97</f>
        <v>0</v>
      </c>
      <c r="E97" s="241">
        <f>'4.11_КТЭЦ'!E97+'4.11_котельные'!E97</f>
        <v>0</v>
      </c>
      <c r="F97" s="241">
        <f>'4.11_КТЭЦ'!F97+'4.11_котельные'!F97</f>
        <v>0</v>
      </c>
      <c r="G97" s="241">
        <f>'4.11_КТЭЦ'!G97+'4.11_котельные'!G97</f>
        <v>0</v>
      </c>
      <c r="H97" s="241">
        <f>'4.11_КТЭЦ'!H97+'4.11_котельные'!H97</f>
        <v>0</v>
      </c>
      <c r="I97" s="241">
        <f>'4.11_КТЭЦ'!I97+'4.11_котельные'!I97</f>
        <v>0</v>
      </c>
      <c r="J97" s="241">
        <f>'4.11_КТЭЦ'!J97+'4.11_котельные'!J97</f>
        <v>0</v>
      </c>
      <c r="K97" s="250"/>
      <c r="L97" s="250"/>
    </row>
    <row r="98" spans="1:12" s="41" customFormat="1" ht="15" customHeight="1">
      <c r="A98" s="60" t="s">
        <v>475</v>
      </c>
      <c r="B98" s="68" t="s">
        <v>1739</v>
      </c>
      <c r="C98" s="68"/>
      <c r="D98" s="241">
        <f>'4.11_КТЭЦ'!D98+'4.11_котельные'!D98</f>
        <v>0</v>
      </c>
      <c r="E98" s="241">
        <f>'4.11_КТЭЦ'!E98+'4.11_котельные'!E98</f>
        <v>0</v>
      </c>
      <c r="F98" s="241">
        <f>'4.11_КТЭЦ'!F98+'4.11_котельные'!F98</f>
        <v>0</v>
      </c>
      <c r="G98" s="241">
        <f>'4.11_КТЭЦ'!G98+'4.11_котельные'!G98</f>
        <v>51746</v>
      </c>
      <c r="H98" s="241">
        <f>'4.11_КТЭЦ'!H98+'4.11_котельные'!H98</f>
        <v>128172.39780965932</v>
      </c>
      <c r="I98" s="241">
        <f>'4.11_КТЭЦ'!I98+'4.11_котельные'!I98</f>
        <v>10026.323352691668</v>
      </c>
      <c r="J98" s="241">
        <f>'4.11_КТЭЦ'!J98+'4.11_котельные'!J98</f>
        <v>0</v>
      </c>
      <c r="K98" s="250"/>
      <c r="L98" s="250"/>
    </row>
    <row r="99" spans="1:12" s="41" customFormat="1" ht="15" customHeight="1">
      <c r="A99" s="60" t="s">
        <v>477</v>
      </c>
      <c r="B99" s="68" t="s">
        <v>1740</v>
      </c>
      <c r="C99" s="68"/>
      <c r="D99" s="241">
        <f>'4.11_КТЭЦ'!D99+'4.11_котельные'!D99</f>
        <v>0</v>
      </c>
      <c r="E99" s="241">
        <f>'4.11_КТЭЦ'!E99+'4.11_котельные'!E99</f>
        <v>0</v>
      </c>
      <c r="F99" s="241">
        <f>'4.11_КТЭЦ'!F99+'4.11_котельные'!F99</f>
        <v>0</v>
      </c>
      <c r="G99" s="241">
        <f>'4.11_КТЭЦ'!G99+'4.11_котельные'!G99</f>
        <v>2938</v>
      </c>
      <c r="H99" s="241">
        <f>'4.11_КТЭЦ'!H99+'4.11_котельные'!H99</f>
        <v>32945.509366049999</v>
      </c>
      <c r="I99" s="241">
        <f>'4.11_КТЭЦ'!I99+'4.11_котельные'!I99</f>
        <v>11468.531235269167</v>
      </c>
      <c r="J99" s="241">
        <f>'4.11_КТЭЦ'!J99+'4.11_котельные'!J99</f>
        <v>11751.283395068189</v>
      </c>
      <c r="K99" s="250"/>
      <c r="L99" s="250"/>
    </row>
    <row r="100" spans="1:12" s="41" customFormat="1" ht="15" customHeight="1">
      <c r="A100" s="60"/>
      <c r="B100" s="338" t="s">
        <v>958</v>
      </c>
      <c r="C100" s="338"/>
      <c r="D100" s="338">
        <f>'4.11_КТЭЦ'!D100+'4.11_котельные'!D100</f>
        <v>0</v>
      </c>
      <c r="E100" s="338">
        <f>'4.11_КТЭЦ'!E100+'4.11_котельные'!E100</f>
        <v>0</v>
      </c>
      <c r="F100" s="338">
        <f>'4.11_КТЭЦ'!F100+'4.11_котельные'!F100</f>
        <v>0</v>
      </c>
      <c r="G100" s="338">
        <f>'4.11_КТЭЦ'!G100+'4.11_котельные'!G100</f>
        <v>0</v>
      </c>
      <c r="H100" s="338">
        <f>'4.11_КТЭЦ'!H100+'4.11_котельные'!H100</f>
        <v>0</v>
      </c>
      <c r="I100" s="338">
        <f>'4.11_КТЭЦ'!I100+'4.11_котельные'!I100</f>
        <v>0</v>
      </c>
      <c r="J100" s="338">
        <f>'4.11_КТЭЦ'!J100+'4.11_котельные'!J100</f>
        <v>0</v>
      </c>
      <c r="K100" s="250"/>
      <c r="L100" s="250"/>
    </row>
    <row r="101" spans="1:12" s="41" customFormat="1" ht="15" customHeight="1">
      <c r="A101" s="60" t="s">
        <v>479</v>
      </c>
      <c r="B101" s="68" t="s">
        <v>525</v>
      </c>
      <c r="C101" s="68"/>
      <c r="D101" s="250">
        <f t="shared" ref="D101" si="88">D91+SUM(D93:D100)</f>
        <v>12325</v>
      </c>
      <c r="E101" s="250">
        <f t="shared" ref="E101" si="89">E91+SUM(E93:E100)</f>
        <v>0</v>
      </c>
      <c r="F101" s="250">
        <f>F91+SUM(F93:F100)</f>
        <v>13497.120199999999</v>
      </c>
      <c r="G101" s="250">
        <f>G91+SUM(G93:G100)</f>
        <v>215123.44199999998</v>
      </c>
      <c r="H101" s="250">
        <f>H91+SUM(H93:H100)</f>
        <v>245570.76020546281</v>
      </c>
      <c r="I101" s="250">
        <f>I91+SUM(I93:I100)</f>
        <v>50358.556925511875</v>
      </c>
      <c r="J101" s="250">
        <f>J91+SUM(J93:J100)</f>
        <v>163589.67373395944</v>
      </c>
      <c r="K101" s="250"/>
      <c r="L101" s="250"/>
    </row>
    <row r="102" spans="1:12" s="41" customFormat="1" ht="15" customHeight="1">
      <c r="A102" s="60" t="s">
        <v>481</v>
      </c>
      <c r="B102" s="68" t="s">
        <v>526</v>
      </c>
      <c r="C102" s="68"/>
      <c r="D102" s="250">
        <f>'4.11_КТЭЦ'!D102+'4.11_котельные'!D102</f>
        <v>0</v>
      </c>
      <c r="E102" s="250">
        <f>'4.11_КТЭЦ'!E102+'4.11_котельные'!E102</f>
        <v>0</v>
      </c>
      <c r="F102" s="250">
        <f>'4.11_КТЭЦ'!F102+'4.11_котельные'!F102</f>
        <v>0</v>
      </c>
      <c r="G102" s="250">
        <f>'4.11_КТЭЦ'!G102+'4.11_котельные'!G102</f>
        <v>0</v>
      </c>
      <c r="H102" s="250">
        <f>'4.11_КТЭЦ'!H102+'4.11_котельные'!H102</f>
        <v>0</v>
      </c>
      <c r="I102" s="250">
        <f>'4.11_КТЭЦ'!I102+'4.11_котельные'!I102</f>
        <v>0</v>
      </c>
      <c r="J102" s="250">
        <f>'4.11_КТЭЦ'!J102+'4.11_котельные'!J102</f>
        <v>0</v>
      </c>
      <c r="K102" s="250"/>
      <c r="L102" s="250"/>
    </row>
    <row r="103" spans="1:12" s="41" customFormat="1" ht="15" customHeight="1">
      <c r="A103" s="60"/>
      <c r="B103" s="68" t="s">
        <v>527</v>
      </c>
      <c r="C103" s="68"/>
      <c r="D103" s="68"/>
      <c r="E103" s="68"/>
      <c r="F103" s="250"/>
      <c r="G103" s="250"/>
      <c r="H103" s="250"/>
      <c r="I103" s="250"/>
      <c r="J103" s="250"/>
      <c r="K103" s="250"/>
      <c r="L103" s="250"/>
    </row>
    <row r="104" spans="1:12" s="41" customFormat="1" ht="15" customHeight="1">
      <c r="A104" s="60" t="s">
        <v>482</v>
      </c>
      <c r="B104" s="70" t="s">
        <v>402</v>
      </c>
      <c r="C104" s="70"/>
      <c r="D104" s="70"/>
      <c r="E104" s="70"/>
      <c r="F104" s="250"/>
      <c r="G104" s="250"/>
      <c r="H104" s="250"/>
      <c r="I104" s="250"/>
      <c r="J104" s="250"/>
      <c r="K104" s="250"/>
      <c r="L104" s="250"/>
    </row>
    <row r="105" spans="1:12" s="41" customFormat="1" ht="15" customHeight="1">
      <c r="A105" s="60" t="s">
        <v>483</v>
      </c>
      <c r="B105" s="70" t="s">
        <v>404</v>
      </c>
      <c r="C105" s="70"/>
      <c r="D105" s="250">
        <f t="shared" ref="D105:E105" si="90">D102</f>
        <v>0</v>
      </c>
      <c r="E105" s="250">
        <f t="shared" si="90"/>
        <v>0</v>
      </c>
      <c r="F105" s="250">
        <f>F102</f>
        <v>0</v>
      </c>
      <c r="G105" s="250">
        <f t="shared" ref="G105:I105" si="91">G102</f>
        <v>0</v>
      </c>
      <c r="H105" s="250">
        <f t="shared" ref="H105" si="92">H102</f>
        <v>0</v>
      </c>
      <c r="I105" s="250">
        <f t="shared" si="91"/>
        <v>0</v>
      </c>
      <c r="J105" s="250">
        <f t="shared" ref="J105" si="93">J102</f>
        <v>0</v>
      </c>
      <c r="K105" s="250"/>
      <c r="L105" s="250"/>
    </row>
    <row r="106" spans="1:12" s="41" customFormat="1" ht="15" customHeight="1">
      <c r="A106" s="60" t="s">
        <v>528</v>
      </c>
      <c r="B106" s="70" t="s">
        <v>406</v>
      </c>
      <c r="C106" s="70"/>
      <c r="D106" s="70"/>
      <c r="E106" s="70"/>
      <c r="F106" s="250"/>
      <c r="G106" s="250"/>
      <c r="H106" s="250"/>
      <c r="I106" s="250"/>
      <c r="J106" s="250"/>
      <c r="K106" s="250"/>
      <c r="L106" s="250"/>
    </row>
    <row r="107" spans="1:12" s="41" customFormat="1" ht="15" customHeight="1">
      <c r="A107" s="60" t="s">
        <v>529</v>
      </c>
      <c r="B107" s="70" t="s">
        <v>408</v>
      </c>
      <c r="C107" s="70"/>
      <c r="D107" s="70"/>
      <c r="E107" s="70"/>
      <c r="F107" s="250"/>
      <c r="G107" s="250"/>
      <c r="H107" s="250"/>
      <c r="I107" s="250"/>
      <c r="J107" s="250"/>
      <c r="K107" s="250"/>
      <c r="L107" s="250"/>
    </row>
    <row r="109" spans="1:12" s="5" customFormat="1" ht="18" customHeight="1">
      <c r="A109" s="74" t="s">
        <v>1860</v>
      </c>
      <c r="I109" s="6" t="s">
        <v>946</v>
      </c>
      <c r="J109" s="6"/>
    </row>
    <row r="110" spans="1:12" ht="12.75" customHeight="1">
      <c r="A110" s="1644" t="str">
        <f>'4.1 (свод)'!A2</f>
        <v>КТЭЦ + котельные СВОД</v>
      </c>
    </row>
    <row r="111" spans="1:12" ht="18.75">
      <c r="A111" s="1877" t="s">
        <v>508</v>
      </c>
      <c r="B111" s="1877"/>
      <c r="C111" s="1877"/>
      <c r="D111" s="1877"/>
      <c r="E111" s="1877"/>
      <c r="F111" s="1877"/>
      <c r="G111" s="1877"/>
      <c r="H111" s="1877"/>
      <c r="I111" s="1877"/>
    </row>
    <row r="112" spans="1:12" ht="12.75" customHeight="1">
      <c r="B112" s="535"/>
      <c r="C112" s="769"/>
      <c r="D112" s="769"/>
      <c r="E112" s="769"/>
      <c r="F112" s="535"/>
      <c r="G112" s="1283"/>
      <c r="H112" s="1583"/>
      <c r="I112" s="535"/>
    </row>
    <row r="113" spans="1:12" ht="14.25" customHeight="1">
      <c r="I113" s="23" t="s">
        <v>360</v>
      </c>
      <c r="J113" s="23"/>
    </row>
    <row r="114" spans="1:12" s="3" customFormat="1" ht="60">
      <c r="A114" s="540" t="s">
        <v>0</v>
      </c>
      <c r="B114" s="540" t="s">
        <v>509</v>
      </c>
      <c r="C114" s="772"/>
      <c r="D114" s="1284" t="s">
        <v>1130</v>
      </c>
      <c r="E114" s="1284" t="s">
        <v>1131</v>
      </c>
      <c r="F114" s="1284" t="s">
        <v>1695</v>
      </c>
      <c r="G114" s="1586" t="s">
        <v>1828</v>
      </c>
      <c r="H114" s="1641" t="s">
        <v>1861</v>
      </c>
      <c r="I114" s="1641" t="s">
        <v>1862</v>
      </c>
      <c r="J114" s="1641" t="s">
        <v>1863</v>
      </c>
      <c r="K114" s="1641" t="s">
        <v>763</v>
      </c>
      <c r="L114" s="1641" t="s">
        <v>764</v>
      </c>
    </row>
    <row r="115" spans="1:12" s="2" customFormat="1">
      <c r="A115" s="13">
        <v>1</v>
      </c>
      <c r="B115" s="13">
        <v>2</v>
      </c>
      <c r="C115" s="13"/>
      <c r="D115" s="13">
        <v>3</v>
      </c>
      <c r="E115" s="13"/>
      <c r="F115" s="13">
        <v>3</v>
      </c>
      <c r="G115" s="13">
        <v>4</v>
      </c>
      <c r="H115" s="13">
        <v>5</v>
      </c>
      <c r="I115" s="13">
        <v>6</v>
      </c>
      <c r="J115" s="13">
        <v>6</v>
      </c>
      <c r="K115" s="13">
        <v>5</v>
      </c>
      <c r="L115" s="13">
        <v>6</v>
      </c>
    </row>
    <row r="116" spans="1:12" s="41" customFormat="1" ht="15" customHeight="1">
      <c r="A116" s="60">
        <v>1</v>
      </c>
      <c r="B116" s="68" t="s">
        <v>510</v>
      </c>
      <c r="C116" s="68"/>
      <c r="D116" s="241">
        <f>'4.11_КТЭЦ'!D116+'4.11_котельные'!D116</f>
        <v>1728</v>
      </c>
      <c r="E116" s="241">
        <f>'4.11_КТЭЦ'!E116+'4.11_котельные'!E116</f>
        <v>0</v>
      </c>
      <c r="F116" s="241">
        <f>'4.11_КТЭЦ'!F116+'4.11_котельные'!F116</f>
        <v>621.94040000000007</v>
      </c>
      <c r="G116" s="241">
        <f>'4.11_КТЭЦ'!G116+'4.11_котельные'!G116</f>
        <v>7104.9769999999999</v>
      </c>
      <c r="H116" s="241">
        <f>'4.11_КТЭЦ'!H116+'4.11_котельные'!H116</f>
        <v>9441.4106818864566</v>
      </c>
      <c r="I116" s="241">
        <f>'4.11_КТЭЦ'!I116+'4.11_котельные'!I116</f>
        <v>2154.226855408534</v>
      </c>
      <c r="J116" s="241">
        <f>'4.11_КТЭЦ'!J116+'4.11_котельные'!J116</f>
        <v>1252.9760294895723</v>
      </c>
      <c r="K116" s="250"/>
      <c r="L116" s="250"/>
    </row>
    <row r="117" spans="1:12" s="41" customFormat="1" ht="15" customHeight="1">
      <c r="A117" s="60"/>
      <c r="B117" s="68" t="s">
        <v>70</v>
      </c>
      <c r="C117" s="68"/>
      <c r="D117" s="68"/>
      <c r="E117" s="68"/>
      <c r="F117" s="250"/>
      <c r="G117" s="250"/>
      <c r="H117" s="250"/>
      <c r="I117" s="250"/>
      <c r="J117" s="250"/>
      <c r="K117" s="250"/>
      <c r="L117" s="250"/>
    </row>
    <row r="118" spans="1:12" s="41" customFormat="1" ht="15" customHeight="1">
      <c r="A118" s="60" t="s">
        <v>5</v>
      </c>
      <c r="B118" s="70" t="s">
        <v>511</v>
      </c>
      <c r="C118" s="70"/>
      <c r="D118" s="241">
        <f>'4.11_КТЭЦ'!D118+'4.11_котельные'!D118</f>
        <v>1728</v>
      </c>
      <c r="E118" s="241">
        <f>'4.11_КТЭЦ'!E118+'4.11_котельные'!E118</f>
        <v>0</v>
      </c>
      <c r="F118" s="241">
        <f>'4.11_КТЭЦ'!F118+'4.11_котельные'!F118</f>
        <v>621.94040000000007</v>
      </c>
      <c r="G118" s="241">
        <f>'4.11_КТЭЦ'!G118+'4.11_котельные'!G118</f>
        <v>7104.9769999999999</v>
      </c>
      <c r="H118" s="241">
        <f>'4.11_КТЭЦ'!H118+'4.11_котельные'!H118</f>
        <v>9441.4106818864566</v>
      </c>
      <c r="I118" s="241">
        <f>'4.11_КТЭЦ'!I118+'4.11_котельные'!I118</f>
        <v>2154.226855408534</v>
      </c>
      <c r="J118" s="241">
        <f>'4.11_КТЭЦ'!J118+'4.11_котельные'!J118</f>
        <v>1252.9760294895723</v>
      </c>
      <c r="K118" s="250"/>
      <c r="L118" s="250"/>
    </row>
    <row r="119" spans="1:12" s="41" customFormat="1" ht="15" customHeight="1">
      <c r="A119" s="60" t="s">
        <v>11</v>
      </c>
      <c r="B119" s="70" t="s">
        <v>512</v>
      </c>
      <c r="C119" s="70"/>
      <c r="D119" s="70"/>
      <c r="E119" s="70"/>
      <c r="F119" s="250"/>
      <c r="G119" s="250"/>
      <c r="H119" s="250"/>
      <c r="I119" s="250"/>
      <c r="J119" s="250"/>
      <c r="K119" s="250"/>
      <c r="L119" s="250"/>
    </row>
    <row r="120" spans="1:12" s="41" customFormat="1" ht="15" customHeight="1">
      <c r="A120" s="60"/>
      <c r="B120" s="68" t="s">
        <v>513</v>
      </c>
      <c r="C120" s="68"/>
      <c r="D120" s="68"/>
      <c r="E120" s="68"/>
      <c r="F120" s="250"/>
      <c r="G120" s="250"/>
      <c r="H120" s="250"/>
      <c r="I120" s="250"/>
      <c r="J120" s="250"/>
      <c r="K120" s="250"/>
      <c r="L120" s="250"/>
    </row>
    <row r="121" spans="1:12" s="41" customFormat="1" ht="15" customHeight="1">
      <c r="A121" s="60" t="s">
        <v>445</v>
      </c>
      <c r="B121" s="70" t="s">
        <v>402</v>
      </c>
      <c r="C121" s="70"/>
      <c r="D121" s="70"/>
      <c r="E121" s="70"/>
      <c r="F121" s="250"/>
      <c r="G121" s="250"/>
      <c r="H121" s="250"/>
      <c r="I121" s="250"/>
      <c r="J121" s="250"/>
      <c r="K121" s="250"/>
      <c r="L121" s="250"/>
    </row>
    <row r="122" spans="1:12" s="41" customFormat="1" ht="15" customHeight="1">
      <c r="A122" s="60" t="s">
        <v>446</v>
      </c>
      <c r="B122" s="70" t="s">
        <v>404</v>
      </c>
      <c r="C122" s="70"/>
      <c r="D122" s="70"/>
      <c r="E122" s="70"/>
      <c r="F122" s="250"/>
      <c r="G122" s="250"/>
      <c r="H122" s="250"/>
      <c r="I122" s="250"/>
      <c r="J122" s="250"/>
      <c r="K122" s="250"/>
      <c r="L122" s="250"/>
    </row>
    <row r="123" spans="1:12" s="41" customFormat="1" ht="15" customHeight="1">
      <c r="A123" s="60" t="s">
        <v>461</v>
      </c>
      <c r="B123" s="70" t="s">
        <v>406</v>
      </c>
      <c r="C123" s="70"/>
      <c r="D123" s="70"/>
      <c r="E123" s="70"/>
      <c r="F123" s="250"/>
      <c r="G123" s="250"/>
      <c r="H123" s="250"/>
      <c r="I123" s="250"/>
      <c r="J123" s="250"/>
      <c r="K123" s="250"/>
      <c r="L123" s="250"/>
    </row>
    <row r="124" spans="1:12" s="41" customFormat="1" ht="15" customHeight="1">
      <c r="A124" s="60" t="s">
        <v>514</v>
      </c>
      <c r="B124" s="70" t="s">
        <v>408</v>
      </c>
      <c r="C124" s="70"/>
      <c r="D124" s="70"/>
      <c r="E124" s="70"/>
      <c r="F124" s="250"/>
      <c r="G124" s="250"/>
      <c r="H124" s="250"/>
      <c r="I124" s="250"/>
      <c r="J124" s="250"/>
      <c r="K124" s="250"/>
      <c r="L124" s="250"/>
    </row>
    <row r="125" spans="1:12" s="41" customFormat="1" ht="15" customHeight="1">
      <c r="A125" s="60" t="s">
        <v>23</v>
      </c>
      <c r="B125" s="68" t="s">
        <v>515</v>
      </c>
      <c r="C125" s="68"/>
      <c r="D125" s="241">
        <f>'4.11_КТЭЦ'!D125+'4.11_котельные'!D125</f>
        <v>1728</v>
      </c>
      <c r="E125" s="241">
        <f>'4.11_КТЭЦ'!E125+'4.11_котельные'!E125</f>
        <v>0</v>
      </c>
      <c r="F125" s="241">
        <f>'4.11_КТЭЦ'!F125+'4.11_котельные'!F125</f>
        <v>621.94040000000007</v>
      </c>
      <c r="G125" s="241">
        <f>'4.11_КТЭЦ'!G125+'4.11_котельные'!G125</f>
        <v>7104.9769999999999</v>
      </c>
      <c r="H125" s="241">
        <f>'4.11_КТЭЦ'!H125+'4.11_котельные'!H125</f>
        <v>9441.4106818864566</v>
      </c>
      <c r="I125" s="241">
        <f>'4.11_КТЭЦ'!I125+'4.11_котельные'!I125</f>
        <v>2154.226855408534</v>
      </c>
      <c r="J125" s="241">
        <f>'4.11_КТЭЦ'!J125+'4.11_котельные'!J125</f>
        <v>1252.9760294895723</v>
      </c>
      <c r="K125" s="250"/>
      <c r="L125" s="250"/>
    </row>
    <row r="126" spans="1:12" s="41" customFormat="1" ht="15" customHeight="1">
      <c r="A126" s="60"/>
      <c r="B126" s="68" t="s">
        <v>516</v>
      </c>
      <c r="C126" s="68"/>
      <c r="D126" s="68"/>
      <c r="E126" s="68"/>
      <c r="F126" s="250"/>
      <c r="G126" s="250"/>
      <c r="H126" s="250"/>
      <c r="I126" s="250"/>
      <c r="J126" s="250"/>
      <c r="K126" s="250"/>
      <c r="L126" s="250"/>
    </row>
    <row r="127" spans="1:12" s="41" customFormat="1" ht="30" customHeight="1">
      <c r="A127" s="60" t="s">
        <v>24</v>
      </c>
      <c r="B127" s="68" t="s">
        <v>517</v>
      </c>
      <c r="C127" s="68"/>
      <c r="D127" s="241">
        <f>'4.11_КТЭЦ'!D127+'4.11_котельные'!D127</f>
        <v>1728</v>
      </c>
      <c r="E127" s="241">
        <f>'4.11_КТЭЦ'!E127+'4.11_котельные'!E127</f>
        <v>0</v>
      </c>
      <c r="F127" s="241">
        <f>'4.11_КТЭЦ'!F127+'4.11_котельные'!F127</f>
        <v>621.94040000000007</v>
      </c>
      <c r="G127" s="241">
        <f>'4.11_КТЭЦ'!G127+'4.11_котельные'!G127</f>
        <v>7104.9769999999999</v>
      </c>
      <c r="H127" s="241">
        <f>'4.11_КТЭЦ'!H127+'4.11_котельные'!H127</f>
        <v>9441.4106818864566</v>
      </c>
      <c r="I127" s="241">
        <f>'4.11_КТЭЦ'!I127+'4.11_котельные'!I127</f>
        <v>2154.226855408534</v>
      </c>
      <c r="J127" s="241">
        <f>'4.11_КТЭЦ'!J127+'4.11_котельные'!J127</f>
        <v>1252.9760294895723</v>
      </c>
      <c r="K127" s="250"/>
      <c r="L127" s="250"/>
    </row>
    <row r="128" spans="1:12" s="41" customFormat="1" ht="30" customHeight="1">
      <c r="A128" s="60" t="s">
        <v>25</v>
      </c>
      <c r="B128" s="68" t="s">
        <v>518</v>
      </c>
      <c r="C128" s="68"/>
      <c r="D128" s="68"/>
      <c r="E128" s="68"/>
      <c r="F128" s="250"/>
      <c r="G128" s="250"/>
      <c r="H128" s="250"/>
      <c r="I128" s="250"/>
      <c r="J128" s="250"/>
      <c r="K128" s="250"/>
      <c r="L128" s="250"/>
    </row>
    <row r="129" spans="1:12" s="41" customFormat="1" ht="15" customHeight="1">
      <c r="A129" s="60" t="s">
        <v>139</v>
      </c>
      <c r="B129" s="68" t="s">
        <v>519</v>
      </c>
      <c r="C129" s="68"/>
      <c r="D129" s="68"/>
      <c r="E129" s="68"/>
      <c r="F129" s="250"/>
      <c r="G129" s="250"/>
      <c r="H129" s="250"/>
      <c r="I129" s="250"/>
      <c r="J129" s="250"/>
      <c r="K129" s="250"/>
      <c r="L129" s="250"/>
    </row>
    <row r="130" spans="1:12" s="41" customFormat="1" ht="15" customHeight="1">
      <c r="A130" s="60" t="s">
        <v>433</v>
      </c>
      <c r="B130" s="68" t="s">
        <v>520</v>
      </c>
      <c r="C130" s="68"/>
      <c r="D130" s="68"/>
      <c r="E130" s="68"/>
      <c r="F130" s="250"/>
      <c r="G130" s="250"/>
      <c r="H130" s="250"/>
      <c r="I130" s="250"/>
      <c r="J130" s="250"/>
      <c r="K130" s="250"/>
      <c r="L130" s="250"/>
    </row>
    <row r="131" spans="1:12" s="41" customFormat="1" ht="15" customHeight="1">
      <c r="A131" s="60" t="s">
        <v>521</v>
      </c>
      <c r="B131" s="68" t="s">
        <v>522</v>
      </c>
      <c r="C131" s="68"/>
      <c r="D131" s="68"/>
      <c r="E131" s="68"/>
      <c r="F131" s="250"/>
      <c r="G131" s="250"/>
      <c r="H131" s="250"/>
      <c r="I131" s="250"/>
      <c r="J131" s="250"/>
      <c r="K131" s="250"/>
      <c r="L131" s="250"/>
    </row>
    <row r="132" spans="1:12" s="41" customFormat="1" ht="30" customHeight="1">
      <c r="A132" s="60" t="s">
        <v>523</v>
      </c>
      <c r="B132" s="68" t="s">
        <v>524</v>
      </c>
      <c r="C132" s="68"/>
      <c r="D132" s="68"/>
      <c r="E132" s="68"/>
      <c r="F132" s="250"/>
      <c r="G132" s="250"/>
      <c r="H132" s="250"/>
      <c r="I132" s="250"/>
      <c r="J132" s="250"/>
      <c r="K132" s="250"/>
      <c r="L132" s="250"/>
    </row>
    <row r="133" spans="1:12" s="41" customFormat="1" ht="15" customHeight="1">
      <c r="A133" s="60" t="s">
        <v>471</v>
      </c>
      <c r="B133" s="68" t="s">
        <v>1738</v>
      </c>
      <c r="C133" s="68"/>
      <c r="D133" s="241">
        <f>'4.11_КТЭЦ'!D133+'4.11_котельные'!D133</f>
        <v>0</v>
      </c>
      <c r="E133" s="241">
        <f>'4.11_КТЭЦ'!E133+'4.11_котельные'!E133</f>
        <v>0</v>
      </c>
      <c r="F133" s="241">
        <f>'4.11_КТЭЦ'!F133+'4.11_котельные'!F133</f>
        <v>0</v>
      </c>
      <c r="G133" s="241">
        <f>'4.11_КТЭЦ'!G133+'4.11_котельные'!G133</f>
        <v>0</v>
      </c>
      <c r="H133" s="241">
        <f>'4.11_КТЭЦ'!H133+'4.11_котельные'!H133</f>
        <v>0</v>
      </c>
      <c r="I133" s="241">
        <f>'4.11_КТЭЦ'!I133+'4.11_котельные'!I133</f>
        <v>0</v>
      </c>
      <c r="J133" s="241">
        <f>'4.11_КТЭЦ'!J133+'4.11_котельные'!J133</f>
        <v>0</v>
      </c>
      <c r="K133" s="250"/>
      <c r="L133" s="250"/>
    </row>
    <row r="134" spans="1:12" s="41" customFormat="1" ht="15" customHeight="1">
      <c r="A134" s="60" t="s">
        <v>475</v>
      </c>
      <c r="B134" s="68" t="s">
        <v>1739</v>
      </c>
      <c r="C134" s="68"/>
      <c r="D134" s="241">
        <f>'4.11_КТЭЦ'!D134+'4.11_котельные'!D134</f>
        <v>0</v>
      </c>
      <c r="E134" s="241">
        <f>'4.11_КТЭЦ'!E134+'4.11_котельные'!E134</f>
        <v>0</v>
      </c>
      <c r="F134" s="241">
        <f>'4.11_КТЭЦ'!F134+'4.11_котельные'!F134</f>
        <v>0</v>
      </c>
      <c r="G134" s="241">
        <f>'4.11_КТЭЦ'!G134+'4.11_котельные'!G134</f>
        <v>0</v>
      </c>
      <c r="H134" s="241">
        <f>'4.11_КТЭЦ'!H134+'4.11_котельные'!H134</f>
        <v>0</v>
      </c>
      <c r="I134" s="241">
        <f>'4.11_КТЭЦ'!I134+'4.11_котельные'!I134</f>
        <v>0</v>
      </c>
      <c r="J134" s="241">
        <f>'4.11_КТЭЦ'!J134+'4.11_котельные'!J134</f>
        <v>0</v>
      </c>
      <c r="K134" s="250"/>
      <c r="L134" s="250"/>
    </row>
    <row r="135" spans="1:12" s="41" customFormat="1" ht="15" customHeight="1">
      <c r="A135" s="60" t="s">
        <v>477</v>
      </c>
      <c r="B135" s="68" t="s">
        <v>1740</v>
      </c>
      <c r="C135" s="68"/>
      <c r="D135" s="241">
        <f>'4.11_КТЭЦ'!D135+'4.11_котельные'!D135</f>
        <v>0</v>
      </c>
      <c r="E135" s="241">
        <f>'4.11_КТЭЦ'!E135+'4.11_котельные'!E135</f>
        <v>0</v>
      </c>
      <c r="F135" s="241">
        <f>'4.11_КТЭЦ'!F135+'4.11_котельные'!F135</f>
        <v>0</v>
      </c>
      <c r="G135" s="241">
        <f>'4.11_КТЭЦ'!G135+'4.11_котельные'!G135</f>
        <v>0</v>
      </c>
      <c r="H135" s="241">
        <f>'4.11_КТЭЦ'!H135+'4.11_котельные'!H135</f>
        <v>0</v>
      </c>
      <c r="I135" s="241">
        <f>'4.11_КТЭЦ'!I135+'4.11_котельные'!I135</f>
        <v>0</v>
      </c>
      <c r="J135" s="241">
        <f>'4.11_КТЭЦ'!J135+'4.11_котельные'!J135</f>
        <v>0</v>
      </c>
      <c r="K135" s="250"/>
      <c r="L135" s="250"/>
    </row>
    <row r="136" spans="1:12" s="41" customFormat="1" ht="15" customHeight="1">
      <c r="A136" s="60"/>
      <c r="B136" s="338" t="s">
        <v>958</v>
      </c>
      <c r="C136" s="338"/>
      <c r="D136" s="338">
        <f>'4.11_КТЭЦ'!D136+'4.11_котельные'!D136</f>
        <v>0</v>
      </c>
      <c r="E136" s="338">
        <f>'4.11_КТЭЦ'!E136+'4.11_котельные'!E136</f>
        <v>0</v>
      </c>
      <c r="F136" s="338">
        <f>'4.11_КТЭЦ'!F136+'4.11_котельные'!F136</f>
        <v>0</v>
      </c>
      <c r="G136" s="338">
        <f>'4.11_КТЭЦ'!G136+'4.11_котельные'!G136</f>
        <v>0</v>
      </c>
      <c r="H136" s="338">
        <f>'4.11_КТЭЦ'!H136+'4.11_котельные'!H136</f>
        <v>0</v>
      </c>
      <c r="I136" s="338">
        <f>'4.11_КТЭЦ'!I136+'4.11_котельные'!I136</f>
        <v>0</v>
      </c>
      <c r="J136" s="338">
        <f>'4.11_КТЭЦ'!J136+'4.11_котельные'!J136</f>
        <v>0</v>
      </c>
      <c r="K136" s="250"/>
      <c r="L136" s="250"/>
    </row>
    <row r="137" spans="1:12" s="41" customFormat="1" ht="15" customHeight="1">
      <c r="A137" s="60" t="s">
        <v>479</v>
      </c>
      <c r="B137" s="68" t="s">
        <v>525</v>
      </c>
      <c r="C137" s="68"/>
      <c r="D137" s="250">
        <f t="shared" ref="D137:E137" si="94">D127+SUM(D129:D136)</f>
        <v>1728</v>
      </c>
      <c r="E137" s="250">
        <f t="shared" si="94"/>
        <v>0</v>
      </c>
      <c r="F137" s="250">
        <f>F127+SUM(F129:F136)</f>
        <v>621.94040000000007</v>
      </c>
      <c r="G137" s="250">
        <f>G127+SUM(G129:G136)</f>
        <v>7104.9769999999999</v>
      </c>
      <c r="H137" s="250">
        <f>H127+SUM(H129:H136)</f>
        <v>9441.4106818864566</v>
      </c>
      <c r="I137" s="250">
        <f>I127+SUM(I129:I136)</f>
        <v>2154.226855408534</v>
      </c>
      <c r="J137" s="250">
        <f>J127+SUM(J129:J136)</f>
        <v>1252.9760294895723</v>
      </c>
      <c r="K137" s="250"/>
      <c r="L137" s="250"/>
    </row>
    <row r="138" spans="1:12" s="41" customFormat="1" ht="15" customHeight="1">
      <c r="A138" s="60" t="s">
        <v>481</v>
      </c>
      <c r="B138" s="68" t="s">
        <v>526</v>
      </c>
      <c r="C138" s="68"/>
      <c r="D138" s="250">
        <f>'4.11_КТЭЦ'!D138+'4.11_котельные'!D138</f>
        <v>0</v>
      </c>
      <c r="E138" s="250">
        <f>'4.11_КТЭЦ'!E138+'4.11_котельные'!E138</f>
        <v>0</v>
      </c>
      <c r="F138" s="250">
        <f>'4.11_КТЭЦ'!F138+'4.11_котельные'!F138</f>
        <v>0</v>
      </c>
      <c r="G138" s="250">
        <f>'4.11_КТЭЦ'!G138+'4.11_котельные'!G138</f>
        <v>0</v>
      </c>
      <c r="H138" s="250">
        <f>'4.11_КТЭЦ'!H138+'4.11_котельные'!H138</f>
        <v>0</v>
      </c>
      <c r="I138" s="250">
        <f>'4.11_КТЭЦ'!I138+'4.11_котельные'!I138</f>
        <v>0</v>
      </c>
      <c r="J138" s="250">
        <f>'4.11_КТЭЦ'!J138+'4.11_котельные'!J138</f>
        <v>0</v>
      </c>
      <c r="K138" s="250"/>
      <c r="L138" s="250"/>
    </row>
    <row r="139" spans="1:12" s="41" customFormat="1" ht="15" customHeight="1">
      <c r="A139" s="60"/>
      <c r="B139" s="68" t="s">
        <v>527</v>
      </c>
      <c r="C139" s="68"/>
      <c r="D139" s="68"/>
      <c r="E139" s="68"/>
      <c r="F139" s="250"/>
      <c r="G139" s="250"/>
      <c r="H139" s="250"/>
      <c r="I139" s="250"/>
      <c r="J139" s="250"/>
      <c r="K139" s="250"/>
      <c r="L139" s="250"/>
    </row>
    <row r="140" spans="1:12" s="41" customFormat="1" ht="15" customHeight="1">
      <c r="A140" s="60" t="s">
        <v>482</v>
      </c>
      <c r="B140" s="70" t="s">
        <v>402</v>
      </c>
      <c r="C140" s="70"/>
      <c r="D140" s="70"/>
      <c r="E140" s="70"/>
      <c r="F140" s="250"/>
      <c r="G140" s="250"/>
      <c r="H140" s="250"/>
      <c r="I140" s="250"/>
      <c r="J140" s="250"/>
      <c r="K140" s="250"/>
      <c r="L140" s="250"/>
    </row>
    <row r="141" spans="1:12" s="41" customFormat="1" ht="15" customHeight="1">
      <c r="A141" s="60" t="s">
        <v>483</v>
      </c>
      <c r="B141" s="70" t="s">
        <v>404</v>
      </c>
      <c r="C141" s="70"/>
      <c r="D141" s="250">
        <f t="shared" ref="D141:E141" si="95">D138</f>
        <v>0</v>
      </c>
      <c r="E141" s="250">
        <f t="shared" si="95"/>
        <v>0</v>
      </c>
      <c r="F141" s="250">
        <f>F138</f>
        <v>0</v>
      </c>
      <c r="G141" s="250">
        <f t="shared" ref="G141:I141" si="96">G138</f>
        <v>0</v>
      </c>
      <c r="H141" s="250">
        <f t="shared" ref="H141" si="97">H138</f>
        <v>0</v>
      </c>
      <c r="I141" s="250">
        <f t="shared" si="96"/>
        <v>0</v>
      </c>
      <c r="J141" s="250">
        <f t="shared" ref="J141" si="98">J138</f>
        <v>0</v>
      </c>
      <c r="K141" s="250"/>
      <c r="L141" s="250"/>
    </row>
    <row r="142" spans="1:12" s="41" customFormat="1" ht="15" customHeight="1">
      <c r="A142" s="60" t="s">
        <v>528</v>
      </c>
      <c r="B142" s="70" t="s">
        <v>406</v>
      </c>
      <c r="C142" s="70"/>
      <c r="D142" s="70"/>
      <c r="E142" s="70"/>
      <c r="F142" s="250"/>
      <c r="G142" s="250"/>
      <c r="H142" s="250"/>
      <c r="I142" s="250"/>
      <c r="J142" s="250"/>
      <c r="K142" s="250"/>
      <c r="L142" s="250"/>
    </row>
    <row r="143" spans="1:12" s="41" customFormat="1" ht="15" customHeight="1">
      <c r="A143" s="60" t="s">
        <v>529</v>
      </c>
      <c r="B143" s="70" t="s">
        <v>408</v>
      </c>
      <c r="C143" s="70"/>
      <c r="D143" s="70"/>
      <c r="E143" s="70"/>
      <c r="F143" s="250"/>
      <c r="G143" s="250"/>
      <c r="H143" s="250"/>
      <c r="I143" s="250"/>
      <c r="J143" s="250"/>
      <c r="K143" s="250"/>
      <c r="L143" s="250"/>
    </row>
    <row r="146" spans="1:9" s="26" customFormat="1">
      <c r="A146" s="26" t="s">
        <v>88</v>
      </c>
    </row>
    <row r="147" spans="1:9" s="541" customFormat="1" ht="30" customHeight="1">
      <c r="A147" s="541" t="s">
        <v>89</v>
      </c>
      <c r="B147" s="1842" t="s">
        <v>530</v>
      </c>
      <c r="C147" s="1842"/>
      <c r="D147" s="1842"/>
      <c r="E147" s="1842"/>
      <c r="F147" s="1842"/>
      <c r="G147" s="1842"/>
      <c r="H147" s="1842"/>
      <c r="I147" s="1842"/>
    </row>
    <row r="148" spans="1:9" s="541" customFormat="1" ht="75" customHeight="1">
      <c r="A148" s="541" t="s">
        <v>91</v>
      </c>
      <c r="B148" s="1842" t="s">
        <v>531</v>
      </c>
      <c r="C148" s="1842"/>
      <c r="D148" s="1842"/>
      <c r="E148" s="1842"/>
      <c r="F148" s="1842"/>
      <c r="G148" s="1842"/>
      <c r="H148" s="1842"/>
      <c r="I148" s="1842"/>
    </row>
    <row r="149" spans="1:9" ht="15.75" customHeight="1"/>
  </sheetData>
  <mergeCells count="7">
    <mergeCell ref="A3:L3"/>
    <mergeCell ref="B147:I147"/>
    <mergeCell ref="B148:I148"/>
    <mergeCell ref="A39:I39"/>
    <mergeCell ref="A75:I75"/>
    <mergeCell ref="A111:I111"/>
    <mergeCell ref="H37:I37"/>
  </mergeCells>
  <pageMargins left="0.78740157480314965" right="0.51181102362204722" top="0.59055118110236227" bottom="0.39370078740157483" header="0.19685039370078741" footer="0.19685039370078741"/>
  <pageSetup paperSize="9" scale="76" orientation="portrait" r:id="rId1"/>
  <headerFooter alignWithMargins="0"/>
  <rowBreaks count="3" manualBreakCount="3">
    <brk id="36" max="8" man="1"/>
    <brk id="72" max="8" man="1"/>
    <brk id="108" max="8" man="1"/>
  </rowBreak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L149"/>
  <sheetViews>
    <sheetView view="pageBreakPreview" zoomScaleNormal="100" workbookViewId="0">
      <pane xSplit="2" ySplit="6" topLeftCell="F7" activePane="bottomRight" state="frozen"/>
      <selection activeCell="G46" sqref="G46"/>
      <selection pane="topRight" activeCell="G46" sqref="G46"/>
      <selection pane="bottomLeft" activeCell="G46" sqref="G46"/>
      <selection pane="bottomRight" activeCell="J113" sqref="J113"/>
    </sheetView>
  </sheetViews>
  <sheetFormatPr defaultColWidth="2.7109375" defaultRowHeight="15"/>
  <cols>
    <col min="1" max="1" width="8.7109375" style="1" customWidth="1"/>
    <col min="2" max="2" width="42.5703125" style="1" customWidth="1"/>
    <col min="3" max="3" width="13.7109375" style="1" hidden="1" customWidth="1"/>
    <col min="4" max="4" width="13.28515625" style="1" hidden="1" customWidth="1"/>
    <col min="5" max="5" width="12.5703125" style="1" hidden="1" customWidth="1"/>
    <col min="6" max="7" width="12.7109375" style="1" customWidth="1"/>
    <col min="8" max="8" width="17" style="1" customWidth="1"/>
    <col min="9" max="10" width="12.7109375" style="1" customWidth="1"/>
    <col min="11" max="11" width="11.140625" style="1" hidden="1" customWidth="1"/>
    <col min="12" max="12" width="11.42578125" style="1" hidden="1" customWidth="1"/>
    <col min="13" max="61" width="8.28515625" style="1" customWidth="1"/>
    <col min="62" max="16384" width="2.7109375" style="1"/>
  </cols>
  <sheetData>
    <row r="1" spans="1:12" s="5" customFormat="1" ht="18" customHeight="1">
      <c r="A1" s="74" t="s">
        <v>1860</v>
      </c>
      <c r="I1" s="6" t="s">
        <v>944</v>
      </c>
      <c r="J1" s="6"/>
    </row>
    <row r="2" spans="1:12" ht="12.75" customHeight="1">
      <c r="A2" s="105" t="str">
        <f>'3.1'!$A$2</f>
        <v>ПКГО - Комбинированная выработка КТЭЦ</v>
      </c>
    </row>
    <row r="3" spans="1:12" ht="18.75">
      <c r="A3" s="1877" t="s">
        <v>508</v>
      </c>
      <c r="B3" s="1962"/>
      <c r="C3" s="1962"/>
      <c r="D3" s="1962"/>
      <c r="E3" s="1962"/>
      <c r="F3" s="1962"/>
      <c r="G3" s="1962"/>
      <c r="H3" s="1962"/>
      <c r="I3" s="1962"/>
      <c r="J3" s="1962"/>
      <c r="K3" s="1962"/>
      <c r="L3" s="1962"/>
    </row>
    <row r="4" spans="1:12" ht="12.75" customHeight="1">
      <c r="B4" s="7"/>
      <c r="C4" s="769"/>
      <c r="D4" s="769"/>
      <c r="E4" s="769"/>
      <c r="F4" s="7"/>
      <c r="G4" s="1283"/>
      <c r="H4" s="1583"/>
      <c r="I4" s="7"/>
    </row>
    <row r="5" spans="1:12" ht="14.25" customHeight="1">
      <c r="I5" s="23" t="s">
        <v>360</v>
      </c>
      <c r="J5" s="23"/>
    </row>
    <row r="6" spans="1:12" s="3" customFormat="1" ht="60">
      <c r="A6" s="12" t="s">
        <v>0</v>
      </c>
      <c r="B6" s="12" t="s">
        <v>509</v>
      </c>
      <c r="C6" s="772" t="s">
        <v>1129</v>
      </c>
      <c r="D6" s="772" t="s">
        <v>1130</v>
      </c>
      <c r="E6" s="772" t="s">
        <v>1131</v>
      </c>
      <c r="F6" s="772" t="s">
        <v>1695</v>
      </c>
      <c r="G6" s="1586" t="s">
        <v>1828</v>
      </c>
      <c r="H6" s="1641" t="s">
        <v>1861</v>
      </c>
      <c r="I6" s="1641" t="s">
        <v>1862</v>
      </c>
      <c r="J6" s="1641" t="s">
        <v>1863</v>
      </c>
      <c r="K6" s="1641" t="s">
        <v>763</v>
      </c>
      <c r="L6" s="1641" t="s">
        <v>764</v>
      </c>
    </row>
    <row r="7" spans="1:12" s="2" customFormat="1">
      <c r="A7" s="13">
        <v>1</v>
      </c>
      <c r="B7" s="13">
        <v>2</v>
      </c>
      <c r="C7" s="13"/>
      <c r="D7" s="13">
        <v>3</v>
      </c>
      <c r="E7" s="13">
        <v>4</v>
      </c>
      <c r="F7" s="13">
        <v>3</v>
      </c>
      <c r="G7" s="13">
        <v>4</v>
      </c>
      <c r="H7" s="13">
        <v>5</v>
      </c>
      <c r="I7" s="13">
        <v>6</v>
      </c>
      <c r="J7" s="13">
        <v>7</v>
      </c>
      <c r="K7" s="13">
        <v>5</v>
      </c>
      <c r="L7" s="13">
        <v>6</v>
      </c>
    </row>
    <row r="8" spans="1:12" s="41" customFormat="1" ht="15" customHeight="1">
      <c r="A8" s="60">
        <v>1</v>
      </c>
      <c r="B8" s="68" t="s">
        <v>510</v>
      </c>
      <c r="C8" s="68"/>
      <c r="D8" s="250">
        <f t="shared" ref="D8:E8" si="0">D44+D80+D116</f>
        <v>36451</v>
      </c>
      <c r="E8" s="250">
        <f t="shared" si="0"/>
        <v>0</v>
      </c>
      <c r="F8" s="250">
        <f>F44+F80+F116</f>
        <v>23316.275809999999</v>
      </c>
      <c r="G8" s="250">
        <f>G44+G80+G116</f>
        <v>237242.08900000004</v>
      </c>
      <c r="H8" s="250">
        <f>H44+H80+H116</f>
        <v>270454.77779598918</v>
      </c>
      <c r="I8" s="250">
        <f>I44+I80+I116</f>
        <v>85454.212431455977</v>
      </c>
      <c r="J8" s="250">
        <f>J44+J80+J116</f>
        <v>226166.50947940053</v>
      </c>
      <c r="K8" s="250"/>
      <c r="L8" s="250"/>
    </row>
    <row r="9" spans="1:12" s="41" customFormat="1" ht="15" customHeight="1">
      <c r="A9" s="60"/>
      <c r="B9" s="68" t="s">
        <v>70</v>
      </c>
      <c r="C9" s="68"/>
      <c r="D9" s="250">
        <f t="shared" ref="D9:E9" si="1">D45+D81+D117</f>
        <v>0</v>
      </c>
      <c r="E9" s="250">
        <f t="shared" si="1"/>
        <v>0</v>
      </c>
      <c r="F9" s="250">
        <f t="shared" ref="F9:I9" si="2">F45+F81+F117</f>
        <v>0</v>
      </c>
      <c r="G9" s="250">
        <f t="shared" ref="G9:H9" si="3">G45+G81+G117</f>
        <v>0</v>
      </c>
      <c r="H9" s="250">
        <f t="shared" si="3"/>
        <v>0</v>
      </c>
      <c r="I9" s="250">
        <f t="shared" si="2"/>
        <v>0</v>
      </c>
      <c r="J9" s="250">
        <f t="shared" ref="J9" si="4">J45+J81+J117</f>
        <v>0</v>
      </c>
      <c r="K9" s="250"/>
      <c r="L9" s="250"/>
    </row>
    <row r="10" spans="1:12" s="41" customFormat="1" ht="15" customHeight="1">
      <c r="A10" s="60" t="s">
        <v>5</v>
      </c>
      <c r="B10" s="70" t="s">
        <v>511</v>
      </c>
      <c r="C10" s="70"/>
      <c r="D10" s="250">
        <f t="shared" ref="D10:F10" si="5">D46+D82+D118</f>
        <v>36451</v>
      </c>
      <c r="E10" s="250">
        <f t="shared" si="5"/>
        <v>0</v>
      </c>
      <c r="F10" s="250">
        <f t="shared" si="5"/>
        <v>23316.275809999999</v>
      </c>
      <c r="G10" s="250">
        <f t="shared" ref="G10:H10" si="6">G46+G82+G118</f>
        <v>237242.08900000004</v>
      </c>
      <c r="H10" s="250">
        <f t="shared" si="6"/>
        <v>270454.77779598918</v>
      </c>
      <c r="I10" s="250">
        <f>I46+I82+I118</f>
        <v>85454.212431455977</v>
      </c>
      <c r="J10" s="250">
        <f>J46+J82+J118</f>
        <v>226166.50947940053</v>
      </c>
      <c r="K10" s="250"/>
      <c r="L10" s="250"/>
    </row>
    <row r="11" spans="1:12" s="41" customFormat="1" ht="15" customHeight="1">
      <c r="A11" s="60" t="s">
        <v>11</v>
      </c>
      <c r="B11" s="70" t="s">
        <v>512</v>
      </c>
      <c r="C11" s="70"/>
      <c r="D11" s="250">
        <f t="shared" ref="D11:E11" si="7">D47+D83+D119</f>
        <v>0</v>
      </c>
      <c r="E11" s="250">
        <f t="shared" si="7"/>
        <v>0</v>
      </c>
      <c r="F11" s="250">
        <f t="shared" ref="F11:I11" si="8">F47+F83+F119</f>
        <v>0</v>
      </c>
      <c r="G11" s="250">
        <f t="shared" ref="G11:H11" si="9">G47+G83+G119</f>
        <v>0</v>
      </c>
      <c r="H11" s="250">
        <f t="shared" si="9"/>
        <v>0</v>
      </c>
      <c r="I11" s="250">
        <f t="shared" si="8"/>
        <v>0</v>
      </c>
      <c r="J11" s="250">
        <f t="shared" ref="J11" si="10">J47+J83+J119</f>
        <v>0</v>
      </c>
      <c r="K11" s="250"/>
      <c r="L11" s="250"/>
    </row>
    <row r="12" spans="1:12" s="41" customFormat="1" ht="15" customHeight="1">
      <c r="A12" s="60"/>
      <c r="B12" s="68" t="s">
        <v>513</v>
      </c>
      <c r="C12" s="68"/>
      <c r="D12" s="250">
        <f t="shared" ref="D12:E12" si="11">D48+D84+D120</f>
        <v>0</v>
      </c>
      <c r="E12" s="250">
        <f t="shared" si="11"/>
        <v>0</v>
      </c>
      <c r="F12" s="250">
        <f t="shared" ref="F12:I12" si="12">F48+F84+F120</f>
        <v>0</v>
      </c>
      <c r="G12" s="250">
        <f t="shared" ref="G12:H12" si="13">G48+G84+G120</f>
        <v>0</v>
      </c>
      <c r="H12" s="250">
        <f t="shared" si="13"/>
        <v>0</v>
      </c>
      <c r="I12" s="250">
        <f t="shared" si="12"/>
        <v>0</v>
      </c>
      <c r="J12" s="250">
        <f t="shared" ref="J12" si="14">J48+J84+J120</f>
        <v>0</v>
      </c>
      <c r="K12" s="250"/>
      <c r="L12" s="250"/>
    </row>
    <row r="13" spans="1:12" s="41" customFormat="1" ht="15" customHeight="1">
      <c r="A13" s="60" t="s">
        <v>445</v>
      </c>
      <c r="B13" s="70" t="s">
        <v>402</v>
      </c>
      <c r="C13" s="70"/>
      <c r="D13" s="250">
        <f t="shared" ref="D13:E13" si="15">D49+D85+D121</f>
        <v>0</v>
      </c>
      <c r="E13" s="250">
        <f t="shared" si="15"/>
        <v>0</v>
      </c>
      <c r="F13" s="250">
        <f t="shared" ref="F13:I13" si="16">F49+F85+F121</f>
        <v>0</v>
      </c>
      <c r="G13" s="250">
        <f t="shared" ref="G13:H13" si="17">G49+G85+G121</f>
        <v>0</v>
      </c>
      <c r="H13" s="250">
        <f t="shared" si="17"/>
        <v>0</v>
      </c>
      <c r="I13" s="250">
        <f t="shared" si="16"/>
        <v>0</v>
      </c>
      <c r="J13" s="250">
        <f t="shared" ref="J13" si="18">J49+J85+J121</f>
        <v>0</v>
      </c>
      <c r="K13" s="250"/>
      <c r="L13" s="250"/>
    </row>
    <row r="14" spans="1:12" s="41" customFormat="1" ht="15" customHeight="1">
      <c r="A14" s="60" t="s">
        <v>446</v>
      </c>
      <c r="B14" s="70" t="s">
        <v>404</v>
      </c>
      <c r="C14" s="70"/>
      <c r="D14" s="250">
        <f t="shared" ref="D14:E14" si="19">D50+D86+D122</f>
        <v>0</v>
      </c>
      <c r="E14" s="250">
        <f t="shared" si="19"/>
        <v>0</v>
      </c>
      <c r="F14" s="250">
        <f t="shared" ref="F14:I14" si="20">F50+F86+F122</f>
        <v>0</v>
      </c>
      <c r="G14" s="250">
        <f t="shared" ref="G14:H14" si="21">G50+G86+G122</f>
        <v>0</v>
      </c>
      <c r="H14" s="250">
        <f t="shared" si="21"/>
        <v>0</v>
      </c>
      <c r="I14" s="250">
        <f t="shared" si="20"/>
        <v>0</v>
      </c>
      <c r="J14" s="250">
        <f t="shared" ref="J14" si="22">J50+J86+J122</f>
        <v>0</v>
      </c>
      <c r="K14" s="250"/>
      <c r="L14" s="250"/>
    </row>
    <row r="15" spans="1:12" s="41" customFormat="1" ht="15" customHeight="1">
      <c r="A15" s="60" t="s">
        <v>461</v>
      </c>
      <c r="B15" s="70" t="s">
        <v>406</v>
      </c>
      <c r="C15" s="70"/>
      <c r="D15" s="250">
        <f t="shared" ref="D15:E15" si="23">D51+D87+D123</f>
        <v>0</v>
      </c>
      <c r="E15" s="250">
        <f t="shared" si="23"/>
        <v>0</v>
      </c>
      <c r="F15" s="250">
        <f t="shared" ref="F15:I15" si="24">F51+F87+F123</f>
        <v>0</v>
      </c>
      <c r="G15" s="250">
        <f t="shared" ref="G15:H15" si="25">G51+G87+G123</f>
        <v>0</v>
      </c>
      <c r="H15" s="250">
        <f t="shared" si="25"/>
        <v>0</v>
      </c>
      <c r="I15" s="250">
        <f t="shared" si="24"/>
        <v>0</v>
      </c>
      <c r="J15" s="250">
        <f t="shared" ref="J15" si="26">J51+J87+J123</f>
        <v>0</v>
      </c>
      <c r="K15" s="250"/>
      <c r="L15" s="250"/>
    </row>
    <row r="16" spans="1:12" s="41" customFormat="1" ht="15" customHeight="1">
      <c r="A16" s="60" t="s">
        <v>514</v>
      </c>
      <c r="B16" s="70" t="s">
        <v>408</v>
      </c>
      <c r="C16" s="70"/>
      <c r="D16" s="250">
        <f t="shared" ref="D16:E16" si="27">D52+D88+D124</f>
        <v>0</v>
      </c>
      <c r="E16" s="250">
        <f t="shared" si="27"/>
        <v>0</v>
      </c>
      <c r="F16" s="250">
        <f t="shared" ref="F16:I16" si="28">F52+F88+F124</f>
        <v>0</v>
      </c>
      <c r="G16" s="250">
        <f t="shared" ref="G16:H16" si="29">G52+G88+G124</f>
        <v>0</v>
      </c>
      <c r="H16" s="250">
        <f t="shared" si="29"/>
        <v>0</v>
      </c>
      <c r="I16" s="250">
        <f t="shared" si="28"/>
        <v>0</v>
      </c>
      <c r="J16" s="250">
        <f t="shared" ref="J16" si="30">J52+J88+J124</f>
        <v>0</v>
      </c>
      <c r="K16" s="250"/>
      <c r="L16" s="250"/>
    </row>
    <row r="17" spans="1:12" s="41" customFormat="1" ht="15" customHeight="1">
      <c r="A17" s="60" t="s">
        <v>23</v>
      </c>
      <c r="B17" s="68" t="s">
        <v>515</v>
      </c>
      <c r="C17" s="68"/>
      <c r="D17" s="250">
        <f t="shared" ref="D17:E17" si="31">D53+D89+D125</f>
        <v>36451</v>
      </c>
      <c r="E17" s="250">
        <f t="shared" si="31"/>
        <v>0</v>
      </c>
      <c r="F17" s="250">
        <f t="shared" ref="F17:I17" si="32">F53+F89+F125</f>
        <v>23316.275809999999</v>
      </c>
      <c r="G17" s="250">
        <f t="shared" ref="G17:H17" si="33">G53+G89+G125</f>
        <v>237242.08900000001</v>
      </c>
      <c r="H17" s="250">
        <f t="shared" si="33"/>
        <v>270454.77779598924</v>
      </c>
      <c r="I17" s="250">
        <f t="shared" si="32"/>
        <v>85454.212431455977</v>
      </c>
      <c r="J17" s="250">
        <f t="shared" ref="J17" si="34">J53+J89+J125</f>
        <v>226166.50947940053</v>
      </c>
      <c r="K17" s="250"/>
      <c r="L17" s="250"/>
    </row>
    <row r="18" spans="1:12" s="41" customFormat="1" ht="15" customHeight="1">
      <c r="A18" s="60"/>
      <c r="B18" s="68" t="s">
        <v>516</v>
      </c>
      <c r="C18" s="68"/>
      <c r="D18" s="250">
        <f t="shared" ref="D18:E18" si="35">D54+D90+D126</f>
        <v>0</v>
      </c>
      <c r="E18" s="250">
        <f t="shared" si="35"/>
        <v>0</v>
      </c>
      <c r="F18" s="250">
        <f t="shared" ref="F18:I18" si="36">F54+F90+F126</f>
        <v>0</v>
      </c>
      <c r="G18" s="250">
        <f t="shared" ref="G18:H18" si="37">G54+G90+G126</f>
        <v>0</v>
      </c>
      <c r="H18" s="250">
        <f t="shared" si="37"/>
        <v>0</v>
      </c>
      <c r="I18" s="250">
        <f t="shared" si="36"/>
        <v>0</v>
      </c>
      <c r="J18" s="250">
        <f t="shared" ref="J18" si="38">J54+J90+J126</f>
        <v>0</v>
      </c>
      <c r="K18" s="250"/>
      <c r="L18" s="250"/>
    </row>
    <row r="19" spans="1:12" s="41" customFormat="1" ht="30" customHeight="1">
      <c r="A19" s="60" t="s">
        <v>24</v>
      </c>
      <c r="B19" s="68" t="s">
        <v>517</v>
      </c>
      <c r="C19" s="68"/>
      <c r="D19" s="250">
        <f t="shared" ref="D19:E19" si="39">D55+D91+D127</f>
        <v>36451</v>
      </c>
      <c r="E19" s="250">
        <f t="shared" si="39"/>
        <v>0</v>
      </c>
      <c r="F19" s="250">
        <f t="shared" ref="F19:I19" si="40">F55+F91+F127</f>
        <v>23316.275809999999</v>
      </c>
      <c r="G19" s="250">
        <f t="shared" ref="G19:H19" si="41">G55+G91+G127</f>
        <v>120527.08899999998</v>
      </c>
      <c r="H19" s="250">
        <f t="shared" si="41"/>
        <v>95893.91114547546</v>
      </c>
      <c r="I19" s="250">
        <f t="shared" si="40"/>
        <v>63959.357843495134</v>
      </c>
      <c r="J19" s="250">
        <f t="shared" ref="J19" si="42">J55+J91+J127</f>
        <v>214415.22608433233</v>
      </c>
      <c r="K19" s="250"/>
      <c r="L19" s="250"/>
    </row>
    <row r="20" spans="1:12" s="41" customFormat="1" ht="30" customHeight="1">
      <c r="A20" s="60" t="s">
        <v>25</v>
      </c>
      <c r="B20" s="68" t="s">
        <v>518</v>
      </c>
      <c r="C20" s="68"/>
      <c r="D20" s="250">
        <f t="shared" ref="D20:E20" si="43">D56+D92+D128</f>
        <v>0</v>
      </c>
      <c r="E20" s="250">
        <f t="shared" si="43"/>
        <v>0</v>
      </c>
      <c r="F20" s="250">
        <f t="shared" ref="F20:I20" si="44">F56+F92+F128</f>
        <v>0</v>
      </c>
      <c r="G20" s="250">
        <f t="shared" ref="G20:H20" si="45">G56+G92+G128</f>
        <v>0</v>
      </c>
      <c r="H20" s="250">
        <f t="shared" si="45"/>
        <v>0</v>
      </c>
      <c r="I20" s="250">
        <f t="shared" si="44"/>
        <v>0</v>
      </c>
      <c r="J20" s="250">
        <f t="shared" ref="J20" si="46">J56+J92+J128</f>
        <v>0</v>
      </c>
      <c r="K20" s="250"/>
      <c r="L20" s="250"/>
    </row>
    <row r="21" spans="1:12" s="41" customFormat="1" ht="15" customHeight="1">
      <c r="A21" s="60" t="s">
        <v>139</v>
      </c>
      <c r="B21" s="68" t="s">
        <v>519</v>
      </c>
      <c r="C21" s="68"/>
      <c r="D21" s="250">
        <f t="shared" ref="D21:E21" si="47">D57+D93+D129</f>
        <v>0</v>
      </c>
      <c r="E21" s="250">
        <f t="shared" si="47"/>
        <v>0</v>
      </c>
      <c r="F21" s="250">
        <f t="shared" ref="F21:I21" si="48">F57+F93+F129</f>
        <v>0</v>
      </c>
      <c r="G21" s="250">
        <f t="shared" ref="G21:H21" si="49">G57+G93+G129</f>
        <v>0</v>
      </c>
      <c r="H21" s="250">
        <f t="shared" si="49"/>
        <v>13442.95947480446</v>
      </c>
      <c r="I21" s="250">
        <f t="shared" si="48"/>
        <v>0</v>
      </c>
      <c r="J21" s="250">
        <f t="shared" ref="J21" si="50">J57+J93+J129</f>
        <v>0</v>
      </c>
      <c r="K21" s="250"/>
      <c r="L21" s="250"/>
    </row>
    <row r="22" spans="1:12" s="41" customFormat="1" ht="15" customHeight="1">
      <c r="A22" s="60" t="s">
        <v>433</v>
      </c>
      <c r="B22" s="68" t="s">
        <v>520</v>
      </c>
      <c r="C22" s="68"/>
      <c r="D22" s="250">
        <f t="shared" ref="D22:E22" si="51">D58+D94+D130</f>
        <v>0</v>
      </c>
      <c r="E22" s="250">
        <f t="shared" si="51"/>
        <v>0</v>
      </c>
      <c r="F22" s="250">
        <f t="shared" ref="F22:I22" si="52">F58+F94+F130</f>
        <v>0</v>
      </c>
      <c r="G22" s="250">
        <f t="shared" ref="G22:H22" si="53">G58+G94+G130</f>
        <v>0</v>
      </c>
      <c r="H22" s="250">
        <f t="shared" si="53"/>
        <v>0</v>
      </c>
      <c r="I22" s="250">
        <f t="shared" si="52"/>
        <v>0</v>
      </c>
      <c r="J22" s="250">
        <f t="shared" ref="J22" si="54">J58+J94+J130</f>
        <v>0</v>
      </c>
      <c r="K22" s="250"/>
      <c r="L22" s="250"/>
    </row>
    <row r="23" spans="1:12" s="41" customFormat="1" ht="15" customHeight="1">
      <c r="A23" s="60" t="s">
        <v>521</v>
      </c>
      <c r="B23" s="68" t="s">
        <v>522</v>
      </c>
      <c r="C23" s="68"/>
      <c r="D23" s="250">
        <f t="shared" ref="D23:E23" si="55">D59+D95+D131</f>
        <v>0</v>
      </c>
      <c r="E23" s="250">
        <f t="shared" si="55"/>
        <v>0</v>
      </c>
      <c r="F23" s="250">
        <f t="shared" ref="F23:I23" si="56">F59+F95+F131</f>
        <v>0</v>
      </c>
      <c r="G23" s="250">
        <f t="shared" ref="G23:H23" si="57">G59+G95+G131</f>
        <v>0</v>
      </c>
      <c r="H23" s="250">
        <f t="shared" si="57"/>
        <v>0</v>
      </c>
      <c r="I23" s="250">
        <f t="shared" si="56"/>
        <v>0</v>
      </c>
      <c r="J23" s="250">
        <f t="shared" ref="J23" si="58">J59+J95+J131</f>
        <v>0</v>
      </c>
      <c r="K23" s="250"/>
      <c r="L23" s="250"/>
    </row>
    <row r="24" spans="1:12" s="41" customFormat="1" ht="30" customHeight="1">
      <c r="A24" s="60" t="s">
        <v>523</v>
      </c>
      <c r="B24" s="68" t="s">
        <v>524</v>
      </c>
      <c r="C24" s="68"/>
      <c r="D24" s="250">
        <f t="shared" ref="D24:E24" si="59">D60+D96+D132</f>
        <v>0</v>
      </c>
      <c r="E24" s="250">
        <f t="shared" si="59"/>
        <v>0</v>
      </c>
      <c r="F24" s="250">
        <f t="shared" ref="F24:I24" si="60">F60+F96+F132</f>
        <v>0</v>
      </c>
      <c r="G24" s="250">
        <f t="shared" ref="G24:H24" si="61">G60+G96+G132</f>
        <v>62031</v>
      </c>
      <c r="H24" s="250">
        <f t="shared" si="61"/>
        <v>0</v>
      </c>
      <c r="I24" s="250">
        <f t="shared" si="60"/>
        <v>0</v>
      </c>
      <c r="J24" s="250">
        <f t="shared" ref="J24" si="62">J60+J96+J132</f>
        <v>0</v>
      </c>
      <c r="K24" s="250"/>
      <c r="L24" s="250"/>
    </row>
    <row r="25" spans="1:12" s="41" customFormat="1" ht="15" customHeight="1">
      <c r="A25" s="60" t="s">
        <v>471</v>
      </c>
      <c r="B25" s="68" t="s">
        <v>1738</v>
      </c>
      <c r="C25" s="68"/>
      <c r="D25" s="250">
        <f t="shared" ref="D25:E25" si="63">D61+D97+D133</f>
        <v>0</v>
      </c>
      <c r="E25" s="250">
        <f t="shared" si="63"/>
        <v>0</v>
      </c>
      <c r="F25" s="250">
        <f t="shared" ref="F25:I25" si="64">F61+F97+F133</f>
        <v>0</v>
      </c>
      <c r="G25" s="250">
        <f t="shared" ref="G25:H25" si="65">G61+G97+G133</f>
        <v>0</v>
      </c>
      <c r="H25" s="250">
        <f t="shared" si="65"/>
        <v>0</v>
      </c>
      <c r="I25" s="250">
        <f t="shared" si="64"/>
        <v>0</v>
      </c>
      <c r="J25" s="250">
        <f t="shared" ref="J25" si="66">J61+J97+J133</f>
        <v>0</v>
      </c>
      <c r="K25" s="250"/>
      <c r="L25" s="250"/>
    </row>
    <row r="26" spans="1:12" s="41" customFormat="1" ht="15" customHeight="1">
      <c r="A26" s="60" t="s">
        <v>475</v>
      </c>
      <c r="B26" s="68" t="s">
        <v>1739</v>
      </c>
      <c r="C26" s="68"/>
      <c r="D26" s="250">
        <f t="shared" ref="D26:E26" si="67">D62+D98+D134</f>
        <v>0</v>
      </c>
      <c r="E26" s="250">
        <f t="shared" si="67"/>
        <v>0</v>
      </c>
      <c r="F26" s="250">
        <f t="shared" ref="F26:I26" si="68">F62+F98+F134</f>
        <v>0</v>
      </c>
      <c r="G26" s="250">
        <f t="shared" ref="G26:H26" si="69">G62+G98+G134</f>
        <v>51746</v>
      </c>
      <c r="H26" s="250">
        <f t="shared" si="69"/>
        <v>128172.39780965932</v>
      </c>
      <c r="I26" s="250">
        <f t="shared" si="68"/>
        <v>10026.323352691668</v>
      </c>
      <c r="J26" s="250">
        <f t="shared" ref="J26" si="70">J62+J98+J134</f>
        <v>0</v>
      </c>
      <c r="K26" s="250"/>
      <c r="L26" s="250"/>
    </row>
    <row r="27" spans="1:12" s="41" customFormat="1" ht="15" customHeight="1">
      <c r="A27" s="60" t="s">
        <v>477</v>
      </c>
      <c r="B27" s="68" t="s">
        <v>1740</v>
      </c>
      <c r="C27" s="68"/>
      <c r="D27" s="250">
        <f t="shared" ref="D27:E27" si="71">D63+D99+D135</f>
        <v>0</v>
      </c>
      <c r="E27" s="250">
        <f t="shared" si="71"/>
        <v>0</v>
      </c>
      <c r="F27" s="250">
        <f t="shared" ref="F27:I28" si="72">F63+F99+F135</f>
        <v>0</v>
      </c>
      <c r="G27" s="250">
        <f t="shared" ref="G27:H27" si="73">G63+G99+G135</f>
        <v>2938</v>
      </c>
      <c r="H27" s="250">
        <f t="shared" si="73"/>
        <v>32945.509366049999</v>
      </c>
      <c r="I27" s="250">
        <f t="shared" si="72"/>
        <v>11468.531235269167</v>
      </c>
      <c r="J27" s="250">
        <f t="shared" ref="J27" si="74">J63+J99+J135</f>
        <v>11751.283395068189</v>
      </c>
      <c r="K27" s="250"/>
      <c r="L27" s="250"/>
    </row>
    <row r="28" spans="1:12" s="41" customFormat="1" ht="15" customHeight="1">
      <c r="A28" s="60"/>
      <c r="B28" s="338" t="s">
        <v>958</v>
      </c>
      <c r="C28" s="338"/>
      <c r="D28" s="250">
        <f t="shared" ref="D28:E28" si="75">D64+D100+D136</f>
        <v>0</v>
      </c>
      <c r="E28" s="250">
        <f t="shared" si="75"/>
        <v>0</v>
      </c>
      <c r="F28" s="250">
        <f t="shared" si="72"/>
        <v>0</v>
      </c>
      <c r="G28" s="250">
        <f t="shared" ref="G28:H28" si="76">G64+G100+G136</f>
        <v>0</v>
      </c>
      <c r="H28" s="250">
        <f t="shared" si="76"/>
        <v>0</v>
      </c>
      <c r="I28" s="250">
        <f t="shared" si="72"/>
        <v>0</v>
      </c>
      <c r="J28" s="250">
        <f t="shared" ref="J28:J29" si="77">J64+J100+J136</f>
        <v>0</v>
      </c>
      <c r="K28" s="250"/>
      <c r="L28" s="250"/>
    </row>
    <row r="29" spans="1:12" s="41" customFormat="1" ht="15" customHeight="1">
      <c r="A29" s="60" t="s">
        <v>479</v>
      </c>
      <c r="B29" s="68" t="s">
        <v>525</v>
      </c>
      <c r="C29" s="68"/>
      <c r="D29" s="250">
        <f t="shared" ref="D29:E29" si="78">D65+D101+D137</f>
        <v>36451</v>
      </c>
      <c r="E29" s="250">
        <f t="shared" si="78"/>
        <v>0</v>
      </c>
      <c r="F29" s="250">
        <f>F65+F101+F137</f>
        <v>23316.275809999999</v>
      </c>
      <c r="G29" s="250">
        <f>G65+G101+G137</f>
        <v>237242.08900000001</v>
      </c>
      <c r="H29" s="250">
        <f>H65+H101+H137</f>
        <v>270454.77779598924</v>
      </c>
      <c r="I29" s="250">
        <f t="shared" ref="I29" si="79">I65+I101+I137</f>
        <v>85454.212431455977</v>
      </c>
      <c r="J29" s="250">
        <f t="shared" si="77"/>
        <v>226166.50947940053</v>
      </c>
      <c r="K29" s="250"/>
      <c r="L29" s="250"/>
    </row>
    <row r="30" spans="1:12" s="41" customFormat="1" ht="15" customHeight="1">
      <c r="A30" s="60" t="s">
        <v>481</v>
      </c>
      <c r="B30" s="68" t="s">
        <v>526</v>
      </c>
      <c r="C30" s="68"/>
      <c r="D30" s="250">
        <f t="shared" ref="D30:E30" si="80">D66+D102+D138</f>
        <v>0</v>
      </c>
      <c r="E30" s="250">
        <f t="shared" si="80"/>
        <v>0</v>
      </c>
      <c r="F30" s="250">
        <f t="shared" ref="F30:I30" si="81">F66+F102+F138</f>
        <v>0</v>
      </c>
      <c r="G30" s="250">
        <f t="shared" ref="G30:H30" si="82">G66+G102+G138</f>
        <v>0</v>
      </c>
      <c r="H30" s="250">
        <f t="shared" si="82"/>
        <v>0</v>
      </c>
      <c r="I30" s="250">
        <f t="shared" si="81"/>
        <v>0</v>
      </c>
      <c r="J30" s="250">
        <f t="shared" ref="J30" si="83">J66+J102+J138</f>
        <v>0</v>
      </c>
      <c r="K30" s="250"/>
      <c r="L30" s="250"/>
    </row>
    <row r="31" spans="1:12" s="41" customFormat="1" ht="15" customHeight="1">
      <c r="A31" s="60"/>
      <c r="B31" s="68" t="s">
        <v>527</v>
      </c>
      <c r="C31" s="68"/>
      <c r="D31" s="250">
        <f t="shared" ref="D31:E31" si="84">D67+D103+D139</f>
        <v>0</v>
      </c>
      <c r="E31" s="250">
        <f t="shared" si="84"/>
        <v>0</v>
      </c>
      <c r="F31" s="250">
        <f t="shared" ref="F31:I31" si="85">F67+F103+F139</f>
        <v>0</v>
      </c>
      <c r="G31" s="250">
        <f t="shared" ref="G31:H31" si="86">G67+G103+G139</f>
        <v>0</v>
      </c>
      <c r="H31" s="250">
        <f t="shared" si="86"/>
        <v>0</v>
      </c>
      <c r="I31" s="250">
        <f t="shared" si="85"/>
        <v>0</v>
      </c>
      <c r="J31" s="250">
        <f t="shared" ref="J31" si="87">J67+J103+J139</f>
        <v>0</v>
      </c>
      <c r="K31" s="250"/>
      <c r="L31" s="250"/>
    </row>
    <row r="32" spans="1:12" s="41" customFormat="1" ht="15" customHeight="1">
      <c r="A32" s="60" t="s">
        <v>482</v>
      </c>
      <c r="B32" s="70" t="s">
        <v>402</v>
      </c>
      <c r="C32" s="70"/>
      <c r="D32" s="250">
        <f t="shared" ref="D32:E32" si="88">D68+D104+D140</f>
        <v>0</v>
      </c>
      <c r="E32" s="250">
        <f t="shared" si="88"/>
        <v>0</v>
      </c>
      <c r="F32" s="250">
        <f t="shared" ref="F32:I32" si="89">F68+F104+F140</f>
        <v>0</v>
      </c>
      <c r="G32" s="250">
        <f t="shared" ref="G32:H32" si="90">G68+G104+G140</f>
        <v>0</v>
      </c>
      <c r="H32" s="250">
        <f t="shared" si="90"/>
        <v>0</v>
      </c>
      <c r="I32" s="250">
        <f t="shared" si="89"/>
        <v>0</v>
      </c>
      <c r="J32" s="250">
        <f t="shared" ref="J32" si="91">J68+J104+J140</f>
        <v>0</v>
      </c>
      <c r="K32" s="250"/>
      <c r="L32" s="250"/>
    </row>
    <row r="33" spans="1:12" s="41" customFormat="1" ht="15" customHeight="1">
      <c r="A33" s="60" t="s">
        <v>483</v>
      </c>
      <c r="B33" s="70" t="s">
        <v>404</v>
      </c>
      <c r="C33" s="70"/>
      <c r="D33" s="250">
        <f t="shared" ref="D33:E33" si="92">D69+D105+D141</f>
        <v>0</v>
      </c>
      <c r="E33" s="250">
        <f t="shared" si="92"/>
        <v>0</v>
      </c>
      <c r="F33" s="250">
        <f t="shared" ref="F33:I33" si="93">F69+F105+F141</f>
        <v>0</v>
      </c>
      <c r="G33" s="250">
        <f t="shared" ref="G33:H33" si="94">G69+G105+G141</f>
        <v>0</v>
      </c>
      <c r="H33" s="250">
        <f t="shared" si="94"/>
        <v>0</v>
      </c>
      <c r="I33" s="250">
        <f t="shared" si="93"/>
        <v>0</v>
      </c>
      <c r="J33" s="250">
        <f t="shared" ref="J33" si="95">J69+J105+J141</f>
        <v>0</v>
      </c>
      <c r="K33" s="250"/>
      <c r="L33" s="250"/>
    </row>
    <row r="34" spans="1:12" s="41" customFormat="1" ht="15" customHeight="1">
      <c r="A34" s="60" t="s">
        <v>528</v>
      </c>
      <c r="B34" s="70" t="s">
        <v>406</v>
      </c>
      <c r="C34" s="70"/>
      <c r="D34" s="250">
        <f t="shared" ref="D34:E34" si="96">D70+D106+D142</f>
        <v>0</v>
      </c>
      <c r="E34" s="250">
        <f t="shared" si="96"/>
        <v>0</v>
      </c>
      <c r="F34" s="250">
        <f t="shared" ref="F34:I34" si="97">F70+F106+F142</f>
        <v>0</v>
      </c>
      <c r="G34" s="250">
        <f t="shared" ref="G34:H34" si="98">G70+G106+G142</f>
        <v>0</v>
      </c>
      <c r="H34" s="250">
        <f t="shared" si="98"/>
        <v>0</v>
      </c>
      <c r="I34" s="250">
        <f t="shared" si="97"/>
        <v>0</v>
      </c>
      <c r="J34" s="250">
        <f t="shared" ref="J34" si="99">J70+J106+J142</f>
        <v>0</v>
      </c>
      <c r="K34" s="250"/>
      <c r="L34" s="250"/>
    </row>
    <row r="35" spans="1:12" s="41" customFormat="1" ht="15" customHeight="1">
      <c r="A35" s="60" t="s">
        <v>529</v>
      </c>
      <c r="B35" s="70" t="s">
        <v>408</v>
      </c>
      <c r="C35" s="70"/>
      <c r="D35" s="250">
        <f t="shared" ref="D35:E35" si="100">D71+D107+D143</f>
        <v>0</v>
      </c>
      <c r="E35" s="250">
        <f t="shared" si="100"/>
        <v>0</v>
      </c>
      <c r="F35" s="250">
        <f t="shared" ref="F35:I35" si="101">F71+F107+F143</f>
        <v>0</v>
      </c>
      <c r="G35" s="250">
        <f t="shared" ref="G35:H35" si="102">G71+G107+G143</f>
        <v>0</v>
      </c>
      <c r="H35" s="250">
        <f t="shared" si="102"/>
        <v>0</v>
      </c>
      <c r="I35" s="250">
        <f t="shared" si="101"/>
        <v>0</v>
      </c>
      <c r="J35" s="250">
        <f t="shared" ref="J35" si="103">J71+J107+J143</f>
        <v>0</v>
      </c>
      <c r="K35" s="250"/>
      <c r="L35" s="250"/>
    </row>
    <row r="37" spans="1:12" s="5" customFormat="1" ht="18" customHeight="1">
      <c r="A37" s="74" t="s">
        <v>1860</v>
      </c>
      <c r="I37" s="6" t="s">
        <v>947</v>
      </c>
      <c r="J37" s="6"/>
    </row>
    <row r="38" spans="1:12" ht="12.75" customHeight="1">
      <c r="A38" s="105" t="str">
        <f>'3.1'!$A$2</f>
        <v>ПКГО - Комбинированная выработка КТЭЦ</v>
      </c>
    </row>
    <row r="39" spans="1:12" ht="18.75">
      <c r="A39" s="1877" t="s">
        <v>508</v>
      </c>
      <c r="B39" s="1877"/>
      <c r="C39" s="1877"/>
      <c r="D39" s="1877"/>
      <c r="E39" s="1877"/>
      <c r="F39" s="1877"/>
      <c r="G39" s="1877"/>
      <c r="H39" s="1877"/>
      <c r="I39" s="1877"/>
    </row>
    <row r="40" spans="1:12" ht="12.75" customHeight="1">
      <c r="B40" s="274"/>
      <c r="C40" s="769"/>
      <c r="D40" s="769"/>
      <c r="E40" s="769"/>
      <c r="F40" s="274"/>
      <c r="G40" s="1283"/>
      <c r="H40" s="1583"/>
      <c r="I40" s="274"/>
    </row>
    <row r="41" spans="1:12" ht="14.25" customHeight="1">
      <c r="I41" s="23" t="s">
        <v>360</v>
      </c>
      <c r="J41" s="23"/>
    </row>
    <row r="42" spans="1:12" s="3" customFormat="1" ht="60">
      <c r="A42" s="276" t="s">
        <v>0</v>
      </c>
      <c r="B42" s="276" t="s">
        <v>509</v>
      </c>
      <c r="C42" s="772"/>
      <c r="D42" s="1284" t="s">
        <v>1130</v>
      </c>
      <c r="E42" s="1284" t="s">
        <v>1131</v>
      </c>
      <c r="F42" s="1284" t="s">
        <v>1695</v>
      </c>
      <c r="G42" s="1586" t="s">
        <v>1828</v>
      </c>
      <c r="H42" s="1641" t="s">
        <v>1861</v>
      </c>
      <c r="I42" s="1641" t="s">
        <v>1862</v>
      </c>
      <c r="J42" s="1641" t="s">
        <v>1863</v>
      </c>
      <c r="K42" s="1641" t="s">
        <v>763</v>
      </c>
      <c r="L42" s="1641" t="s">
        <v>764</v>
      </c>
    </row>
    <row r="43" spans="1:12" s="2" customFormat="1">
      <c r="A43" s="13">
        <v>1</v>
      </c>
      <c r="B43" s="13">
        <v>2</v>
      </c>
      <c r="C43" s="13"/>
      <c r="D43" s="13">
        <v>3</v>
      </c>
      <c r="E43" s="13"/>
      <c r="F43" s="13">
        <v>3</v>
      </c>
      <c r="G43" s="13">
        <v>4</v>
      </c>
      <c r="H43" s="13">
        <v>5</v>
      </c>
      <c r="I43" s="13">
        <v>6</v>
      </c>
      <c r="J43" s="13">
        <v>7</v>
      </c>
      <c r="K43" s="13">
        <v>5</v>
      </c>
      <c r="L43" s="13">
        <v>6</v>
      </c>
    </row>
    <row r="44" spans="1:12" s="41" customFormat="1" ht="15" customHeight="1">
      <c r="A44" s="60">
        <v>1</v>
      </c>
      <c r="B44" s="68" t="s">
        <v>510</v>
      </c>
      <c r="C44" s="68"/>
      <c r="D44" s="250">
        <f>D46+D47+D49+D50+D51</f>
        <v>22398</v>
      </c>
      <c r="E44" s="250">
        <f t="shared" ref="E44:I44" si="104">E46+E47+E49+E50+E51</f>
        <v>0</v>
      </c>
      <c r="F44" s="250">
        <f t="shared" si="104"/>
        <v>9197.2152100000003</v>
      </c>
      <c r="G44" s="250">
        <f t="shared" si="104"/>
        <v>15013.67</v>
      </c>
      <c r="H44" s="250">
        <f t="shared" ref="H44" si="105">H46+H47+H49+H50+H51</f>
        <v>15442.606908639962</v>
      </c>
      <c r="I44" s="250">
        <f t="shared" si="104"/>
        <v>32941.428650535563</v>
      </c>
      <c r="J44" s="250">
        <f t="shared" ref="J44" si="106">J46+J47+J49+J50+J51</f>
        <v>61323.859715951527</v>
      </c>
      <c r="K44" s="250"/>
      <c r="L44" s="250"/>
    </row>
    <row r="45" spans="1:12" s="41" customFormat="1" ht="15" customHeight="1">
      <c r="A45" s="60"/>
      <c r="B45" s="68" t="s">
        <v>70</v>
      </c>
      <c r="C45" s="68"/>
      <c r="D45" s="68"/>
      <c r="E45" s="68"/>
      <c r="F45" s="250"/>
      <c r="G45" s="250"/>
      <c r="H45" s="250"/>
      <c r="I45" s="250"/>
      <c r="J45" s="250"/>
      <c r="K45" s="250"/>
      <c r="L45" s="250"/>
    </row>
    <row r="46" spans="1:12" s="41" customFormat="1" ht="15" customHeight="1">
      <c r="A46" s="60" t="s">
        <v>5</v>
      </c>
      <c r="B46" s="70" t="s">
        <v>511</v>
      </c>
      <c r="C46" s="70"/>
      <c r="D46" s="250">
        <v>22398</v>
      </c>
      <c r="E46" s="250"/>
      <c r="F46" s="250">
        <v>9197.2152100000003</v>
      </c>
      <c r="G46" s="250">
        <v>15013.67</v>
      </c>
      <c r="H46" s="250">
        <v>15442.606908639962</v>
      </c>
      <c r="I46" s="250">
        <v>32941.428650535563</v>
      </c>
      <c r="J46" s="250">
        <v>61323.859715951527</v>
      </c>
      <c r="K46" s="250"/>
      <c r="L46" s="250"/>
    </row>
    <row r="47" spans="1:12" s="41" customFormat="1" ht="15" customHeight="1">
      <c r="A47" s="60" t="s">
        <v>11</v>
      </c>
      <c r="B47" s="70" t="s">
        <v>512</v>
      </c>
      <c r="C47" s="70"/>
      <c r="D47" s="70"/>
      <c r="E47" s="70"/>
      <c r="F47" s="250"/>
      <c r="G47" s="250"/>
      <c r="H47" s="250"/>
      <c r="I47" s="250"/>
      <c r="J47" s="250"/>
      <c r="K47" s="250"/>
      <c r="L47" s="250"/>
    </row>
    <row r="48" spans="1:12" s="41" customFormat="1" ht="15" customHeight="1">
      <c r="A48" s="60"/>
      <c r="B48" s="68" t="s">
        <v>513</v>
      </c>
      <c r="C48" s="68"/>
      <c r="D48" s="68"/>
      <c r="E48" s="68"/>
      <c r="F48" s="250"/>
      <c r="G48" s="250"/>
      <c r="H48" s="250"/>
      <c r="I48" s="250"/>
      <c r="J48" s="250"/>
      <c r="K48" s="250"/>
      <c r="L48" s="250"/>
    </row>
    <row r="49" spans="1:12" s="41" customFormat="1" ht="15" customHeight="1">
      <c r="A49" s="60" t="s">
        <v>445</v>
      </c>
      <c r="B49" s="70" t="s">
        <v>402</v>
      </c>
      <c r="C49" s="70"/>
      <c r="D49" s="70"/>
      <c r="E49" s="70"/>
      <c r="F49" s="250"/>
      <c r="G49" s="250"/>
      <c r="H49" s="250"/>
      <c r="I49" s="250"/>
      <c r="J49" s="250"/>
      <c r="K49" s="250"/>
      <c r="L49" s="250"/>
    </row>
    <row r="50" spans="1:12" s="41" customFormat="1" ht="15" customHeight="1">
      <c r="A50" s="60" t="s">
        <v>446</v>
      </c>
      <c r="B50" s="70" t="s">
        <v>404</v>
      </c>
      <c r="C50" s="70"/>
      <c r="D50" s="70"/>
      <c r="E50" s="70"/>
      <c r="F50" s="250"/>
      <c r="G50" s="250"/>
      <c r="H50" s="250"/>
      <c r="I50" s="250"/>
      <c r="J50" s="250"/>
      <c r="K50" s="250"/>
      <c r="L50" s="250"/>
    </row>
    <row r="51" spans="1:12" s="41" customFormat="1" ht="15" customHeight="1">
      <c r="A51" s="60" t="s">
        <v>461</v>
      </c>
      <c r="B51" s="70" t="s">
        <v>406</v>
      </c>
      <c r="C51" s="70"/>
      <c r="D51" s="70"/>
      <c r="E51" s="70"/>
      <c r="F51" s="250"/>
      <c r="G51" s="250"/>
      <c r="H51" s="250"/>
      <c r="I51" s="250"/>
      <c r="J51" s="250"/>
      <c r="K51" s="250"/>
      <c r="L51" s="250"/>
    </row>
    <row r="52" spans="1:12" s="41" customFormat="1" ht="15" customHeight="1">
      <c r="A52" s="60" t="s">
        <v>514</v>
      </c>
      <c r="B52" s="70" t="s">
        <v>408</v>
      </c>
      <c r="C52" s="70"/>
      <c r="D52" s="70"/>
      <c r="E52" s="70"/>
      <c r="F52" s="250"/>
      <c r="G52" s="250"/>
      <c r="H52" s="250"/>
      <c r="I52" s="250"/>
      <c r="J52" s="250"/>
      <c r="K52" s="250"/>
      <c r="L52" s="250"/>
    </row>
    <row r="53" spans="1:12" s="41" customFormat="1" ht="15" customHeight="1">
      <c r="A53" s="60" t="s">
        <v>23</v>
      </c>
      <c r="B53" s="68" t="s">
        <v>515</v>
      </c>
      <c r="C53" s="68"/>
      <c r="D53" s="250">
        <f>D55+D57+D58+D59+D60+D61+D62+D63</f>
        <v>22398</v>
      </c>
      <c r="E53" s="250">
        <f t="shared" ref="E53:I53" si="107">E55+E57+E58+E59+E60+E61+E62+E63</f>
        <v>0</v>
      </c>
      <c r="F53" s="250">
        <f t="shared" si="107"/>
        <v>9197.2152100000003</v>
      </c>
      <c r="G53" s="250">
        <f t="shared" si="107"/>
        <v>15013.67</v>
      </c>
      <c r="H53" s="250">
        <f t="shared" ref="H53" si="108">H55+H57+H58+H59+H60+H61+H62+H63</f>
        <v>15442.606908639962</v>
      </c>
      <c r="I53" s="250">
        <f t="shared" si="107"/>
        <v>32941.428650535563</v>
      </c>
      <c r="J53" s="250">
        <f t="shared" ref="J53" si="109">J55+J57+J58+J59+J60+J61+J62+J63</f>
        <v>61323.859715951527</v>
      </c>
      <c r="K53" s="250"/>
      <c r="L53" s="250"/>
    </row>
    <row r="54" spans="1:12" s="41" customFormat="1" ht="15" customHeight="1">
      <c r="A54" s="60"/>
      <c r="B54" s="68" t="s">
        <v>516</v>
      </c>
      <c r="C54" s="68"/>
      <c r="D54" s="68"/>
      <c r="E54" s="68"/>
      <c r="F54" s="250"/>
      <c r="G54" s="250"/>
      <c r="H54" s="250"/>
      <c r="I54" s="250"/>
      <c r="J54" s="250"/>
      <c r="K54" s="250"/>
      <c r="L54" s="250"/>
    </row>
    <row r="55" spans="1:12" s="41" customFormat="1" ht="30" customHeight="1">
      <c r="A55" s="60" t="s">
        <v>24</v>
      </c>
      <c r="B55" s="68" t="s">
        <v>517</v>
      </c>
      <c r="C55" s="68"/>
      <c r="D55" s="250">
        <v>22398</v>
      </c>
      <c r="E55" s="68"/>
      <c r="F55" s="250">
        <v>9197.2152100000003</v>
      </c>
      <c r="G55" s="250">
        <v>15013.67</v>
      </c>
      <c r="H55" s="250">
        <v>15442.606908639962</v>
      </c>
      <c r="I55" s="250">
        <v>32941.428650535563</v>
      </c>
      <c r="J55" s="250">
        <v>61323.859715951527</v>
      </c>
      <c r="K55" s="250"/>
      <c r="L55" s="250"/>
    </row>
    <row r="56" spans="1:12" s="41" customFormat="1" ht="30" customHeight="1">
      <c r="A56" s="60" t="s">
        <v>25</v>
      </c>
      <c r="B56" s="68" t="s">
        <v>518</v>
      </c>
      <c r="C56" s="68"/>
      <c r="D56" s="68"/>
      <c r="E56" s="68"/>
      <c r="F56" s="250"/>
      <c r="G56" s="250"/>
      <c r="H56" s="250"/>
      <c r="I56" s="250"/>
      <c r="J56" s="250"/>
      <c r="K56" s="250"/>
      <c r="L56" s="250"/>
    </row>
    <row r="57" spans="1:12" s="41" customFormat="1" ht="15" customHeight="1">
      <c r="A57" s="60" t="s">
        <v>139</v>
      </c>
      <c r="B57" s="68" t="s">
        <v>519</v>
      </c>
      <c r="C57" s="68"/>
      <c r="D57" s="68"/>
      <c r="E57" s="68"/>
      <c r="F57" s="250"/>
      <c r="G57" s="250"/>
      <c r="H57" s="250"/>
      <c r="I57" s="250"/>
      <c r="J57" s="250"/>
      <c r="K57" s="250"/>
      <c r="L57" s="250"/>
    </row>
    <row r="58" spans="1:12" s="41" customFormat="1" ht="15" customHeight="1">
      <c r="A58" s="60" t="s">
        <v>433</v>
      </c>
      <c r="B58" s="68" t="s">
        <v>520</v>
      </c>
      <c r="C58" s="68"/>
      <c r="D58" s="68"/>
      <c r="E58" s="68"/>
      <c r="F58" s="250"/>
      <c r="G58" s="250"/>
      <c r="H58" s="250"/>
      <c r="I58" s="250"/>
      <c r="J58" s="250"/>
      <c r="K58" s="250"/>
      <c r="L58" s="250"/>
    </row>
    <row r="59" spans="1:12" s="41" customFormat="1" ht="15" customHeight="1">
      <c r="A59" s="60" t="s">
        <v>521</v>
      </c>
      <c r="B59" s="68" t="s">
        <v>522</v>
      </c>
      <c r="C59" s="68"/>
      <c r="D59" s="68"/>
      <c r="E59" s="68"/>
      <c r="F59" s="250"/>
      <c r="G59" s="250"/>
      <c r="H59" s="250"/>
      <c r="I59" s="250"/>
      <c r="J59" s="250"/>
      <c r="K59" s="250"/>
      <c r="L59" s="250"/>
    </row>
    <row r="60" spans="1:12" s="41" customFormat="1" ht="30" customHeight="1">
      <c r="A60" s="60" t="s">
        <v>523</v>
      </c>
      <c r="B60" s="68" t="s">
        <v>524</v>
      </c>
      <c r="C60" s="68"/>
      <c r="D60" s="68"/>
      <c r="E60" s="68"/>
      <c r="F60" s="250"/>
      <c r="G60" s="250"/>
      <c r="H60" s="250"/>
      <c r="I60" s="250"/>
      <c r="J60" s="250"/>
      <c r="K60" s="250"/>
      <c r="L60" s="250"/>
    </row>
    <row r="61" spans="1:12" s="41" customFormat="1" ht="15" customHeight="1">
      <c r="A61" s="60" t="s">
        <v>471</v>
      </c>
      <c r="B61" s="68" t="s">
        <v>1738</v>
      </c>
      <c r="C61" s="68"/>
      <c r="D61" s="68"/>
      <c r="E61" s="68"/>
      <c r="F61" s="250"/>
      <c r="G61" s="250"/>
      <c r="H61" s="250"/>
      <c r="I61" s="250"/>
      <c r="J61" s="250"/>
      <c r="K61" s="250"/>
      <c r="L61" s="250"/>
    </row>
    <row r="62" spans="1:12" s="41" customFormat="1" ht="15" customHeight="1">
      <c r="A62" s="60" t="s">
        <v>475</v>
      </c>
      <c r="B62" s="68" t="s">
        <v>1739</v>
      </c>
      <c r="C62" s="68"/>
      <c r="D62" s="68"/>
      <c r="E62" s="68"/>
      <c r="F62" s="250"/>
      <c r="G62" s="250"/>
      <c r="H62" s="250"/>
      <c r="I62" s="250"/>
      <c r="J62" s="250"/>
      <c r="K62" s="250"/>
      <c r="L62" s="250"/>
    </row>
    <row r="63" spans="1:12" s="41" customFormat="1" ht="15" customHeight="1">
      <c r="A63" s="60" t="s">
        <v>477</v>
      </c>
      <c r="B63" s="68" t="s">
        <v>1740</v>
      </c>
      <c r="C63" s="68"/>
      <c r="D63" s="68"/>
      <c r="E63" s="68"/>
      <c r="F63" s="250"/>
      <c r="G63" s="250"/>
      <c r="H63" s="250"/>
      <c r="I63" s="250"/>
      <c r="J63" s="250"/>
      <c r="K63" s="250"/>
      <c r="L63" s="250"/>
    </row>
    <row r="64" spans="1:12" s="41" customFormat="1" ht="15" customHeight="1">
      <c r="A64" s="60"/>
      <c r="B64" s="338" t="s">
        <v>958</v>
      </c>
      <c r="C64" s="338"/>
      <c r="D64" s="338"/>
      <c r="E64" s="338"/>
      <c r="F64" s="250"/>
      <c r="G64" s="250"/>
      <c r="H64" s="250"/>
      <c r="I64" s="250"/>
      <c r="J64" s="250"/>
      <c r="K64" s="250"/>
      <c r="L64" s="250"/>
    </row>
    <row r="65" spans="1:12" s="41" customFormat="1" ht="15" customHeight="1">
      <c r="A65" s="60" t="s">
        <v>479</v>
      </c>
      <c r="B65" s="68" t="s">
        <v>525</v>
      </c>
      <c r="C65" s="68"/>
      <c r="D65" s="250">
        <f t="shared" ref="D65" si="110">D55+SUM(D57:D64)</f>
        <v>22398</v>
      </c>
      <c r="E65" s="250">
        <f t="shared" ref="E65" si="111">E55+SUM(E57:E64)</f>
        <v>0</v>
      </c>
      <c r="F65" s="250">
        <f>F55+SUM(F57:F64)</f>
        <v>9197.2152100000003</v>
      </c>
      <c r="G65" s="250">
        <f>G55+SUM(G57:G64)</f>
        <v>15013.67</v>
      </c>
      <c r="H65" s="250">
        <f>H55+SUM(H57:H64)</f>
        <v>15442.606908639962</v>
      </c>
      <c r="I65" s="250">
        <f>I55+SUM(I57:I64)</f>
        <v>32941.428650535563</v>
      </c>
      <c r="J65" s="250">
        <f>J55+SUM(J57:J64)</f>
        <v>61323.859715951527</v>
      </c>
      <c r="K65" s="250"/>
      <c r="L65" s="250"/>
    </row>
    <row r="66" spans="1:12" s="41" customFormat="1" ht="15" customHeight="1">
      <c r="A66" s="60" t="s">
        <v>481</v>
      </c>
      <c r="B66" s="68" t="s">
        <v>526</v>
      </c>
      <c r="C66" s="68"/>
      <c r="D66" s="68"/>
      <c r="E66" s="68"/>
      <c r="F66" s="818">
        <f>F44-F65</f>
        <v>0</v>
      </c>
      <c r="G66" s="818">
        <f t="shared" ref="G66:I66" si="112">G44-G65</f>
        <v>0</v>
      </c>
      <c r="H66" s="818">
        <f t="shared" ref="H66" si="113">H44-H65</f>
        <v>0</v>
      </c>
      <c r="I66" s="818">
        <f t="shared" si="112"/>
        <v>0</v>
      </c>
      <c r="J66" s="818">
        <f t="shared" ref="J66" si="114">J44-J65</f>
        <v>0</v>
      </c>
      <c r="K66" s="250"/>
      <c r="L66" s="250"/>
    </row>
    <row r="67" spans="1:12" s="41" customFormat="1" ht="15" customHeight="1">
      <c r="A67" s="60"/>
      <c r="B67" s="68" t="s">
        <v>527</v>
      </c>
      <c r="C67" s="68"/>
      <c r="D67" s="68"/>
      <c r="E67" s="68"/>
      <c r="F67" s="250"/>
      <c r="G67" s="250"/>
      <c r="H67" s="250"/>
      <c r="I67" s="250"/>
      <c r="J67" s="250"/>
      <c r="K67" s="250"/>
      <c r="L67" s="250"/>
    </row>
    <row r="68" spans="1:12" s="41" customFormat="1" ht="15" customHeight="1">
      <c r="A68" s="60" t="s">
        <v>482</v>
      </c>
      <c r="B68" s="70" t="s">
        <v>402</v>
      </c>
      <c r="C68" s="70"/>
      <c r="D68" s="70"/>
      <c r="E68" s="70"/>
      <c r="F68" s="250"/>
      <c r="G68" s="250"/>
      <c r="H68" s="250"/>
      <c r="I68" s="250"/>
      <c r="J68" s="250"/>
      <c r="K68" s="250"/>
      <c r="L68" s="250"/>
    </row>
    <row r="69" spans="1:12" s="41" customFormat="1" ht="15" customHeight="1">
      <c r="A69" s="60" t="s">
        <v>483</v>
      </c>
      <c r="B69" s="70" t="s">
        <v>404</v>
      </c>
      <c r="C69" s="70"/>
      <c r="D69" s="70"/>
      <c r="E69" s="70"/>
      <c r="F69" s="250"/>
      <c r="G69" s="250"/>
      <c r="H69" s="250"/>
      <c r="I69" s="250"/>
      <c r="J69" s="250"/>
      <c r="K69" s="250"/>
      <c r="L69" s="250"/>
    </row>
    <row r="70" spans="1:12" s="41" customFormat="1" ht="15" customHeight="1">
      <c r="A70" s="60" t="s">
        <v>528</v>
      </c>
      <c r="B70" s="70" t="s">
        <v>406</v>
      </c>
      <c r="C70" s="70"/>
      <c r="D70" s="70"/>
      <c r="E70" s="70"/>
      <c r="F70" s="250"/>
      <c r="G70" s="250"/>
      <c r="H70" s="250"/>
      <c r="I70" s="250"/>
      <c r="J70" s="250"/>
      <c r="K70" s="250"/>
      <c r="L70" s="250"/>
    </row>
    <row r="71" spans="1:12" s="41" customFormat="1" ht="15" customHeight="1">
      <c r="A71" s="60" t="s">
        <v>529</v>
      </c>
      <c r="B71" s="70" t="s">
        <v>408</v>
      </c>
      <c r="C71" s="70"/>
      <c r="D71" s="70"/>
      <c r="E71" s="70"/>
      <c r="F71" s="250"/>
      <c r="G71" s="250"/>
      <c r="H71" s="250"/>
      <c r="I71" s="250"/>
      <c r="J71" s="250"/>
      <c r="K71" s="250"/>
      <c r="L71" s="250"/>
    </row>
    <row r="73" spans="1:12" s="5" customFormat="1" ht="18" customHeight="1">
      <c r="A73" s="74" t="s">
        <v>1860</v>
      </c>
      <c r="I73" s="6" t="s">
        <v>945</v>
      </c>
      <c r="J73" s="6"/>
    </row>
    <row r="74" spans="1:12" ht="12.75" customHeight="1">
      <c r="A74" s="105" t="str">
        <f>'3.1'!$A$2</f>
        <v>ПКГО - Комбинированная выработка КТЭЦ</v>
      </c>
    </row>
    <row r="75" spans="1:12" ht="18.75">
      <c r="A75" s="1877" t="s">
        <v>508</v>
      </c>
      <c r="B75" s="1877"/>
      <c r="C75" s="1877"/>
      <c r="D75" s="1877"/>
      <c r="E75" s="1877"/>
      <c r="F75" s="1877"/>
      <c r="G75" s="1877"/>
      <c r="H75" s="1877"/>
      <c r="I75" s="1877"/>
    </row>
    <row r="76" spans="1:12" ht="12.75" customHeight="1">
      <c r="B76" s="274"/>
      <c r="C76" s="769"/>
      <c r="D76" s="769"/>
      <c r="E76" s="769"/>
      <c r="F76" s="274"/>
      <c r="G76" s="1283"/>
      <c r="H76" s="1583"/>
      <c r="I76" s="274"/>
    </row>
    <row r="77" spans="1:12" ht="14.25" customHeight="1">
      <c r="I77" s="23" t="s">
        <v>360</v>
      </c>
      <c r="J77" s="23"/>
    </row>
    <row r="78" spans="1:12" s="3" customFormat="1" ht="60">
      <c r="A78" s="276" t="s">
        <v>0</v>
      </c>
      <c r="B78" s="276" t="s">
        <v>509</v>
      </c>
      <c r="C78" s="772"/>
      <c r="D78" s="772" t="s">
        <v>1130</v>
      </c>
      <c r="E78" s="772" t="s">
        <v>1131</v>
      </c>
      <c r="F78" s="1284" t="s">
        <v>1695</v>
      </c>
      <c r="G78" s="1586" t="s">
        <v>1828</v>
      </c>
      <c r="H78" s="1641" t="s">
        <v>1861</v>
      </c>
      <c r="I78" s="1641" t="s">
        <v>1862</v>
      </c>
      <c r="J78" s="1641" t="s">
        <v>1863</v>
      </c>
      <c r="K78" s="1641" t="s">
        <v>763</v>
      </c>
      <c r="L78" s="1641" t="s">
        <v>764</v>
      </c>
    </row>
    <row r="79" spans="1:12" s="2" customFormat="1">
      <c r="A79" s="13">
        <v>1</v>
      </c>
      <c r="B79" s="13">
        <v>2</v>
      </c>
      <c r="C79" s="13"/>
      <c r="D79" s="13">
        <v>3</v>
      </c>
      <c r="E79" s="13"/>
      <c r="F79" s="13">
        <v>3</v>
      </c>
      <c r="G79" s="13">
        <v>4</v>
      </c>
      <c r="H79" s="13">
        <v>5</v>
      </c>
      <c r="I79" s="13">
        <v>6</v>
      </c>
      <c r="J79" s="13">
        <v>7</v>
      </c>
      <c r="K79" s="13">
        <v>5</v>
      </c>
      <c r="L79" s="13">
        <v>6</v>
      </c>
    </row>
    <row r="80" spans="1:12" s="41" customFormat="1" ht="15" customHeight="1">
      <c r="A80" s="60">
        <v>1</v>
      </c>
      <c r="B80" s="68" t="s">
        <v>510</v>
      </c>
      <c r="C80" s="68"/>
      <c r="D80" s="250">
        <f>D82+D83+D85+D86+D87</f>
        <v>12325</v>
      </c>
      <c r="E80" s="250">
        <f t="shared" ref="E80:I80" si="115">E82+E83+E85+E86+E87</f>
        <v>0</v>
      </c>
      <c r="F80" s="250">
        <f t="shared" si="115"/>
        <v>13497.120199999999</v>
      </c>
      <c r="G80" s="250">
        <f t="shared" si="115"/>
        <v>215123.44200000001</v>
      </c>
      <c r="H80" s="250">
        <f t="shared" ref="H80" si="116">H82+H83+H85+H86+H87</f>
        <v>245570.76020546275</v>
      </c>
      <c r="I80" s="250">
        <f t="shared" si="115"/>
        <v>50358.556925511883</v>
      </c>
      <c r="J80" s="250">
        <f t="shared" ref="J80" si="117">J82+J83+J85+J86+J87</f>
        <v>163589.67373395944</v>
      </c>
      <c r="K80" s="250"/>
      <c r="L80" s="250"/>
    </row>
    <row r="81" spans="1:12" s="41" customFormat="1" ht="15" customHeight="1">
      <c r="A81" s="60"/>
      <c r="B81" s="68" t="s">
        <v>70</v>
      </c>
      <c r="C81" s="68"/>
      <c r="D81" s="68"/>
      <c r="E81" s="68"/>
      <c r="F81" s="250"/>
      <c r="G81" s="250"/>
      <c r="H81" s="250"/>
      <c r="I81" s="250"/>
      <c r="J81" s="250"/>
      <c r="K81" s="250"/>
      <c r="L81" s="250"/>
    </row>
    <row r="82" spans="1:12" s="41" customFormat="1" ht="15" customHeight="1">
      <c r="A82" s="60" t="s">
        <v>5</v>
      </c>
      <c r="B82" s="70" t="s">
        <v>511</v>
      </c>
      <c r="C82" s="70"/>
      <c r="D82" s="250">
        <v>12325</v>
      </c>
      <c r="E82" s="250"/>
      <c r="F82" s="250">
        <v>13497.120199999999</v>
      </c>
      <c r="G82" s="250">
        <v>215123.44200000001</v>
      </c>
      <c r="H82" s="250">
        <v>245570.76020546275</v>
      </c>
      <c r="I82" s="250">
        <v>50358.556925511883</v>
      </c>
      <c r="J82" s="250">
        <v>163589.67373395944</v>
      </c>
      <c r="K82" s="250"/>
      <c r="L82" s="250"/>
    </row>
    <row r="83" spans="1:12" s="41" customFormat="1" ht="15" customHeight="1">
      <c r="A83" s="60" t="s">
        <v>11</v>
      </c>
      <c r="B83" s="70" t="s">
        <v>512</v>
      </c>
      <c r="C83" s="70"/>
      <c r="D83" s="70"/>
      <c r="E83" s="70"/>
      <c r="F83" s="250"/>
      <c r="G83" s="250"/>
      <c r="H83" s="250"/>
      <c r="I83" s="250"/>
      <c r="J83" s="250"/>
      <c r="K83" s="250"/>
      <c r="L83" s="250"/>
    </row>
    <row r="84" spans="1:12" s="41" customFormat="1" ht="15" customHeight="1">
      <c r="A84" s="60"/>
      <c r="B84" s="68" t="s">
        <v>513</v>
      </c>
      <c r="C84" s="68"/>
      <c r="D84" s="68"/>
      <c r="E84" s="68"/>
      <c r="F84" s="250"/>
      <c r="G84" s="250"/>
      <c r="H84" s="250"/>
      <c r="I84" s="250"/>
      <c r="J84" s="250"/>
      <c r="K84" s="250"/>
      <c r="L84" s="250"/>
    </row>
    <row r="85" spans="1:12" s="41" customFormat="1" ht="15" customHeight="1">
      <c r="A85" s="60" t="s">
        <v>445</v>
      </c>
      <c r="B85" s="70" t="s">
        <v>402</v>
      </c>
      <c r="C85" s="70"/>
      <c r="D85" s="70"/>
      <c r="E85" s="70"/>
      <c r="F85" s="250"/>
      <c r="G85" s="250"/>
      <c r="H85" s="250"/>
      <c r="I85" s="250"/>
      <c r="J85" s="250"/>
      <c r="K85" s="250"/>
      <c r="L85" s="250"/>
    </row>
    <row r="86" spans="1:12" s="41" customFormat="1" ht="15" customHeight="1">
      <c r="A86" s="60" t="s">
        <v>446</v>
      </c>
      <c r="B86" s="70" t="s">
        <v>404</v>
      </c>
      <c r="C86" s="70"/>
      <c r="D86" s="70"/>
      <c r="E86" s="70"/>
      <c r="F86" s="250"/>
      <c r="G86" s="250"/>
      <c r="H86" s="250"/>
      <c r="I86" s="250"/>
      <c r="J86" s="250"/>
      <c r="K86" s="250"/>
      <c r="L86" s="250"/>
    </row>
    <row r="87" spans="1:12" s="41" customFormat="1" ht="15" customHeight="1">
      <c r="A87" s="60" t="s">
        <v>461</v>
      </c>
      <c r="B87" s="70" t="s">
        <v>406</v>
      </c>
      <c r="C87" s="70"/>
      <c r="D87" s="70"/>
      <c r="E87" s="70"/>
      <c r="F87" s="250"/>
      <c r="G87" s="250"/>
      <c r="H87" s="250"/>
      <c r="I87" s="250"/>
      <c r="J87" s="250"/>
      <c r="K87" s="250"/>
      <c r="L87" s="250"/>
    </row>
    <row r="88" spans="1:12" s="41" customFormat="1" ht="15" customHeight="1">
      <c r="A88" s="60" t="s">
        <v>514</v>
      </c>
      <c r="B88" s="70" t="s">
        <v>408</v>
      </c>
      <c r="C88" s="70"/>
      <c r="D88" s="70"/>
      <c r="E88" s="70"/>
      <c r="F88" s="250"/>
      <c r="G88" s="250"/>
      <c r="H88" s="250"/>
      <c r="I88" s="250"/>
      <c r="J88" s="250"/>
      <c r="K88" s="250"/>
      <c r="L88" s="250"/>
    </row>
    <row r="89" spans="1:12" s="41" customFormat="1" ht="15" customHeight="1">
      <c r="A89" s="60" t="s">
        <v>23</v>
      </c>
      <c r="B89" s="68" t="s">
        <v>515</v>
      </c>
      <c r="C89" s="68"/>
      <c r="D89" s="250">
        <f>D91+D93+D94+D95+D96+D97+D98+D99</f>
        <v>12325</v>
      </c>
      <c r="E89" s="68">
        <f t="shared" ref="E89:I89" si="118">E91+E93+E94+E95+E96+E97+E98+E99</f>
        <v>0</v>
      </c>
      <c r="F89" s="250">
        <f t="shared" si="118"/>
        <v>13497.120199999999</v>
      </c>
      <c r="G89" s="250">
        <f t="shared" si="118"/>
        <v>215123.44199999998</v>
      </c>
      <c r="H89" s="250">
        <f t="shared" ref="H89" si="119">H91+H93+H94+H95+H96+H97+H98+H99</f>
        <v>245570.76020546281</v>
      </c>
      <c r="I89" s="250">
        <f t="shared" si="118"/>
        <v>50358.556925511883</v>
      </c>
      <c r="J89" s="250">
        <f t="shared" ref="J89" si="120">J91+J93+J94+J95+J96+J97+J98+J99</f>
        <v>163589.67373395944</v>
      </c>
      <c r="K89" s="250"/>
      <c r="L89" s="250"/>
    </row>
    <row r="90" spans="1:12" s="41" customFormat="1" ht="15" customHeight="1">
      <c r="A90" s="60"/>
      <c r="B90" s="68" t="s">
        <v>516</v>
      </c>
      <c r="C90" s="68"/>
      <c r="D90" s="250"/>
      <c r="E90" s="68"/>
      <c r="F90" s="250"/>
      <c r="G90" s="250"/>
      <c r="H90" s="250"/>
      <c r="I90" s="250"/>
      <c r="J90" s="250"/>
      <c r="K90" s="250"/>
      <c r="L90" s="250"/>
    </row>
    <row r="91" spans="1:12" s="41" customFormat="1" ht="30" customHeight="1">
      <c r="A91" s="60" t="s">
        <v>24</v>
      </c>
      <c r="B91" s="68" t="s">
        <v>517</v>
      </c>
      <c r="C91" s="68"/>
      <c r="D91" s="250">
        <v>12325</v>
      </c>
      <c r="E91" s="68"/>
      <c r="F91" s="250">
        <v>13497.120199999999</v>
      </c>
      <c r="G91" s="250">
        <v>98408.441999999981</v>
      </c>
      <c r="H91" s="250">
        <v>71009.893554949042</v>
      </c>
      <c r="I91" s="250">
        <v>28863.702337551043</v>
      </c>
      <c r="J91" s="250">
        <v>151838.39033889124</v>
      </c>
      <c r="K91" s="250"/>
      <c r="L91" s="250"/>
    </row>
    <row r="92" spans="1:12" s="41" customFormat="1" ht="30" customHeight="1">
      <c r="A92" s="60" t="s">
        <v>25</v>
      </c>
      <c r="B92" s="68" t="s">
        <v>518</v>
      </c>
      <c r="C92" s="68"/>
      <c r="D92" s="68"/>
      <c r="E92" s="68"/>
      <c r="F92" s="250"/>
      <c r="G92" s="250"/>
      <c r="H92" s="250"/>
      <c r="I92" s="250"/>
      <c r="J92" s="250"/>
      <c r="K92" s="250"/>
      <c r="L92" s="250"/>
    </row>
    <row r="93" spans="1:12" s="41" customFormat="1" ht="15" customHeight="1">
      <c r="A93" s="60" t="s">
        <v>139</v>
      </c>
      <c r="B93" s="68" t="s">
        <v>519</v>
      </c>
      <c r="C93" s="68"/>
      <c r="D93" s="68"/>
      <c r="E93" s="68"/>
      <c r="F93" s="250"/>
      <c r="G93" s="250"/>
      <c r="H93" s="250">
        <v>13442.95947480446</v>
      </c>
      <c r="I93" s="250"/>
      <c r="J93" s="250"/>
      <c r="K93" s="250"/>
      <c r="L93" s="250"/>
    </row>
    <row r="94" spans="1:12" s="41" customFormat="1" ht="15" customHeight="1">
      <c r="A94" s="60" t="s">
        <v>433</v>
      </c>
      <c r="B94" s="68" t="s">
        <v>520</v>
      </c>
      <c r="C94" s="68"/>
      <c r="D94" s="68"/>
      <c r="E94" s="68"/>
      <c r="F94" s="250"/>
      <c r="G94" s="250"/>
      <c r="H94" s="250"/>
      <c r="I94" s="250"/>
      <c r="J94" s="250"/>
      <c r="K94" s="250"/>
      <c r="L94" s="250"/>
    </row>
    <row r="95" spans="1:12" s="41" customFormat="1" ht="15" customHeight="1">
      <c r="A95" s="60" t="s">
        <v>521</v>
      </c>
      <c r="B95" s="68" t="s">
        <v>522</v>
      </c>
      <c r="C95" s="68"/>
      <c r="D95" s="68"/>
      <c r="E95" s="68"/>
      <c r="F95" s="250"/>
      <c r="G95" s="250"/>
      <c r="H95" s="250"/>
      <c r="I95" s="250"/>
      <c r="J95" s="250"/>
      <c r="K95" s="250"/>
      <c r="L95" s="250"/>
    </row>
    <row r="96" spans="1:12" s="41" customFormat="1" ht="30" customHeight="1">
      <c r="A96" s="60" t="s">
        <v>523</v>
      </c>
      <c r="B96" s="68" t="s">
        <v>524</v>
      </c>
      <c r="C96" s="68"/>
      <c r="D96" s="68"/>
      <c r="E96" s="68"/>
      <c r="F96" s="250"/>
      <c r="G96" s="250">
        <v>62031</v>
      </c>
      <c r="H96" s="250"/>
      <c r="I96" s="250"/>
      <c r="J96" s="250"/>
      <c r="K96" s="250"/>
      <c r="L96" s="250"/>
    </row>
    <row r="97" spans="1:12" s="41" customFormat="1" ht="15" customHeight="1">
      <c r="A97" s="60" t="s">
        <v>471</v>
      </c>
      <c r="B97" s="68" t="s">
        <v>1738</v>
      </c>
      <c r="C97" s="68"/>
      <c r="D97" s="68"/>
      <c r="E97" s="68"/>
      <c r="F97" s="250"/>
      <c r="G97" s="250"/>
      <c r="H97" s="250"/>
      <c r="I97" s="250"/>
      <c r="J97" s="250"/>
      <c r="K97" s="250"/>
      <c r="L97" s="250"/>
    </row>
    <row r="98" spans="1:12" s="41" customFormat="1" ht="15" customHeight="1">
      <c r="A98" s="60" t="s">
        <v>475</v>
      </c>
      <c r="B98" s="68" t="s">
        <v>1739</v>
      </c>
      <c r="C98" s="68"/>
      <c r="D98" s="68"/>
      <c r="E98" s="68"/>
      <c r="F98" s="250"/>
      <c r="G98" s="250">
        <v>51746</v>
      </c>
      <c r="H98" s="250">
        <v>128172.39780965932</v>
      </c>
      <c r="I98" s="250">
        <v>10026.323352691668</v>
      </c>
      <c r="J98" s="250"/>
      <c r="K98" s="250"/>
      <c r="L98" s="250"/>
    </row>
    <row r="99" spans="1:12" s="41" customFormat="1" ht="15" customHeight="1">
      <c r="A99" s="60" t="s">
        <v>477</v>
      </c>
      <c r="B99" s="68" t="s">
        <v>1740</v>
      </c>
      <c r="C99" s="68"/>
      <c r="D99" s="68"/>
      <c r="E99" s="68"/>
      <c r="F99" s="250"/>
      <c r="G99" s="250">
        <v>2938</v>
      </c>
      <c r="H99" s="250">
        <v>32945.509366049999</v>
      </c>
      <c r="I99" s="250">
        <v>11468.531235269167</v>
      </c>
      <c r="J99" s="250">
        <v>11751.283395068189</v>
      </c>
      <c r="K99" s="250"/>
      <c r="L99" s="250"/>
    </row>
    <row r="100" spans="1:12" s="41" customFormat="1" ht="15" customHeight="1">
      <c r="A100" s="60"/>
      <c r="B100" s="338" t="s">
        <v>958</v>
      </c>
      <c r="C100" s="338"/>
      <c r="D100" s="338"/>
      <c r="E100" s="338"/>
      <c r="F100" s="250"/>
      <c r="G100" s="250"/>
      <c r="H100" s="250"/>
      <c r="I100" s="250"/>
      <c r="J100" s="250"/>
      <c r="K100" s="250"/>
      <c r="L100" s="250"/>
    </row>
    <row r="101" spans="1:12" s="41" customFormat="1" ht="15" customHeight="1">
      <c r="A101" s="60" t="s">
        <v>479</v>
      </c>
      <c r="B101" s="68" t="s">
        <v>525</v>
      </c>
      <c r="C101" s="68"/>
      <c r="D101" s="250">
        <f t="shared" ref="D101" si="121">D91+SUM(D93:D100)</f>
        <v>12325</v>
      </c>
      <c r="E101" s="250">
        <f t="shared" ref="E101" si="122">E91+SUM(E93:E100)</f>
        <v>0</v>
      </c>
      <c r="F101" s="250">
        <f>F91+SUM(F93:F100)</f>
        <v>13497.120199999999</v>
      </c>
      <c r="G101" s="250">
        <f>G91+SUM(G93:G100)</f>
        <v>215123.44199999998</v>
      </c>
      <c r="H101" s="250">
        <f>H91+SUM(H93:H100)</f>
        <v>245570.76020546281</v>
      </c>
      <c r="I101" s="250">
        <f>I91+SUM(I93:I100)</f>
        <v>50358.556925511875</v>
      </c>
      <c r="J101" s="250">
        <f>J91+SUM(J93:J100)</f>
        <v>163589.67373395944</v>
      </c>
      <c r="K101" s="250"/>
      <c r="L101" s="250"/>
    </row>
    <row r="102" spans="1:12" s="41" customFormat="1" ht="15" customHeight="1">
      <c r="A102" s="60" t="s">
        <v>481</v>
      </c>
      <c r="B102" s="68" t="s">
        <v>526</v>
      </c>
      <c r="C102" s="68"/>
      <c r="D102" s="68"/>
      <c r="E102" s="68"/>
      <c r="F102" s="818">
        <f>F80-F101</f>
        <v>0</v>
      </c>
      <c r="G102" s="818">
        <f t="shared" ref="G102:I102" si="123">G80-G101</f>
        <v>0</v>
      </c>
      <c r="H102" s="818">
        <f t="shared" ref="H102" si="124">H80-H101</f>
        <v>0</v>
      </c>
      <c r="I102" s="818">
        <f t="shared" si="123"/>
        <v>0</v>
      </c>
      <c r="J102" s="818">
        <f t="shared" ref="J102" si="125">J80-J101</f>
        <v>0</v>
      </c>
      <c r="K102" s="250"/>
      <c r="L102" s="250"/>
    </row>
    <row r="103" spans="1:12" s="41" customFormat="1" ht="15" customHeight="1">
      <c r="A103" s="60"/>
      <c r="B103" s="68" t="s">
        <v>527</v>
      </c>
      <c r="C103" s="68"/>
      <c r="D103" s="68"/>
      <c r="E103" s="68"/>
      <c r="F103" s="250"/>
      <c r="G103" s="250"/>
      <c r="H103" s="250"/>
      <c r="I103" s="250"/>
      <c r="J103" s="250"/>
      <c r="K103" s="250"/>
      <c r="L103" s="250"/>
    </row>
    <row r="104" spans="1:12" s="41" customFormat="1" ht="15" customHeight="1">
      <c r="A104" s="60" t="s">
        <v>482</v>
      </c>
      <c r="B104" s="70" t="s">
        <v>402</v>
      </c>
      <c r="C104" s="70"/>
      <c r="D104" s="70"/>
      <c r="E104" s="70"/>
      <c r="F104" s="250"/>
      <c r="G104" s="250"/>
      <c r="H104" s="250"/>
      <c r="I104" s="250"/>
      <c r="J104" s="250"/>
      <c r="K104" s="250"/>
      <c r="L104" s="250"/>
    </row>
    <row r="105" spans="1:12" s="41" customFormat="1" ht="15" customHeight="1">
      <c r="A105" s="60" t="s">
        <v>483</v>
      </c>
      <c r="B105" s="70" t="s">
        <v>404</v>
      </c>
      <c r="C105" s="70"/>
      <c r="D105" s="70"/>
      <c r="E105" s="70"/>
      <c r="F105" s="250"/>
      <c r="G105" s="250"/>
      <c r="H105" s="250"/>
      <c r="I105" s="250"/>
      <c r="J105" s="250"/>
      <c r="K105" s="250"/>
      <c r="L105" s="250"/>
    </row>
    <row r="106" spans="1:12" s="41" customFormat="1" ht="15" customHeight="1">
      <c r="A106" s="60" t="s">
        <v>528</v>
      </c>
      <c r="B106" s="70" t="s">
        <v>406</v>
      </c>
      <c r="C106" s="70"/>
      <c r="D106" s="70"/>
      <c r="E106" s="70"/>
      <c r="F106" s="250"/>
      <c r="G106" s="250"/>
      <c r="H106" s="250"/>
      <c r="I106" s="250"/>
      <c r="J106" s="250"/>
      <c r="K106" s="250"/>
      <c r="L106" s="250"/>
    </row>
    <row r="107" spans="1:12" s="41" customFormat="1" ht="15" customHeight="1">
      <c r="A107" s="60" t="s">
        <v>529</v>
      </c>
      <c r="B107" s="70" t="s">
        <v>408</v>
      </c>
      <c r="C107" s="70"/>
      <c r="D107" s="70"/>
      <c r="E107" s="70"/>
      <c r="F107" s="250"/>
      <c r="G107" s="250"/>
      <c r="H107" s="250"/>
      <c r="I107" s="250"/>
      <c r="J107" s="250"/>
      <c r="K107" s="250"/>
      <c r="L107" s="250"/>
    </row>
    <row r="109" spans="1:12" s="5" customFormat="1" ht="18" customHeight="1">
      <c r="A109" s="74" t="s">
        <v>1860</v>
      </c>
      <c r="I109" s="6" t="s">
        <v>946</v>
      </c>
      <c r="J109" s="6"/>
    </row>
    <row r="110" spans="1:12" ht="12.75" customHeight="1">
      <c r="A110" s="105" t="str">
        <f>'3.1'!$A$2</f>
        <v>ПКГО - Комбинированная выработка КТЭЦ</v>
      </c>
    </row>
    <row r="111" spans="1:12" ht="18.75">
      <c r="A111" s="1877" t="s">
        <v>508</v>
      </c>
      <c r="B111" s="1877"/>
      <c r="C111" s="1877"/>
      <c r="D111" s="1877"/>
      <c r="E111" s="1877"/>
      <c r="F111" s="1877"/>
      <c r="G111" s="1877"/>
      <c r="H111" s="1877"/>
      <c r="I111" s="1877"/>
    </row>
    <row r="112" spans="1:12" ht="12.75" customHeight="1">
      <c r="B112" s="274"/>
      <c r="C112" s="769"/>
      <c r="D112" s="769"/>
      <c r="E112" s="769"/>
      <c r="F112" s="274"/>
      <c r="G112" s="1283"/>
      <c r="H112" s="1583"/>
      <c r="I112" s="274"/>
    </row>
    <row r="113" spans="1:12" ht="14.25" customHeight="1">
      <c r="I113" s="23" t="s">
        <v>360</v>
      </c>
      <c r="J113" s="23"/>
    </row>
    <row r="114" spans="1:12" s="3" customFormat="1" ht="60">
      <c r="A114" s="276" t="s">
        <v>0</v>
      </c>
      <c r="B114" s="276" t="s">
        <v>509</v>
      </c>
      <c r="C114" s="772"/>
      <c r="D114" s="772" t="s">
        <v>1130</v>
      </c>
      <c r="E114" s="772" t="s">
        <v>1131</v>
      </c>
      <c r="F114" s="1284" t="s">
        <v>1695</v>
      </c>
      <c r="G114" s="1586" t="s">
        <v>1828</v>
      </c>
      <c r="H114" s="1641" t="s">
        <v>1861</v>
      </c>
      <c r="I114" s="1641" t="s">
        <v>1862</v>
      </c>
      <c r="J114" s="1641" t="s">
        <v>1863</v>
      </c>
      <c r="K114" s="1641" t="s">
        <v>763</v>
      </c>
      <c r="L114" s="1641" t="s">
        <v>764</v>
      </c>
    </row>
    <row r="115" spans="1:12" s="2" customFormat="1">
      <c r="A115" s="13">
        <v>1</v>
      </c>
      <c r="B115" s="13">
        <v>2</v>
      </c>
      <c r="C115" s="13"/>
      <c r="D115" s="13">
        <v>3</v>
      </c>
      <c r="E115" s="13"/>
      <c r="F115" s="13">
        <v>3</v>
      </c>
      <c r="G115" s="13">
        <v>4</v>
      </c>
      <c r="H115" s="13">
        <v>5</v>
      </c>
      <c r="I115" s="13">
        <v>6</v>
      </c>
      <c r="J115" s="13">
        <v>7</v>
      </c>
      <c r="K115" s="13">
        <v>5</v>
      </c>
      <c r="L115" s="13">
        <v>6</v>
      </c>
    </row>
    <row r="116" spans="1:12" s="41" customFormat="1" ht="15" customHeight="1">
      <c r="A116" s="60">
        <v>1</v>
      </c>
      <c r="B116" s="68" t="s">
        <v>510</v>
      </c>
      <c r="C116" s="68"/>
      <c r="D116" s="250">
        <f>D118+D119+D121+D122+D123</f>
        <v>1728</v>
      </c>
      <c r="E116" s="250">
        <f t="shared" ref="E116" si="126">E118+E119+E121+E122+E123</f>
        <v>0</v>
      </c>
      <c r="F116" s="250">
        <f>F118+F119+F121+F122+F123</f>
        <v>621.94040000000007</v>
      </c>
      <c r="G116" s="250">
        <f t="shared" ref="G116:I116" si="127">G118+G119+G121+G122+G123</f>
        <v>7104.9769999999999</v>
      </c>
      <c r="H116" s="250">
        <f t="shared" ref="H116" si="128">H118+H119+H121+H122+H123</f>
        <v>9441.4106818864566</v>
      </c>
      <c r="I116" s="250">
        <f t="shared" si="127"/>
        <v>2154.226855408534</v>
      </c>
      <c r="J116" s="250">
        <f t="shared" ref="J116:K116" si="129">J118+J119+J121+J122+J123</f>
        <v>1252.9760294895723</v>
      </c>
      <c r="K116" s="250">
        <f t="shared" si="129"/>
        <v>19329.996327064826</v>
      </c>
      <c r="L116" s="250"/>
    </row>
    <row r="117" spans="1:12" s="41" customFormat="1" ht="15" customHeight="1">
      <c r="A117" s="60"/>
      <c r="B117" s="68" t="s">
        <v>70</v>
      </c>
      <c r="C117" s="68"/>
      <c r="D117" s="68"/>
      <c r="E117" s="68"/>
      <c r="F117" s="68"/>
      <c r="G117" s="250"/>
      <c r="H117" s="250"/>
      <c r="I117" s="250"/>
      <c r="J117" s="250"/>
      <c r="K117" s="250"/>
      <c r="L117" s="250"/>
    </row>
    <row r="118" spans="1:12" s="41" customFormat="1" ht="15" customHeight="1">
      <c r="A118" s="60" t="s">
        <v>5</v>
      </c>
      <c r="B118" s="70" t="s">
        <v>511</v>
      </c>
      <c r="C118" s="250">
        <f t="shared" ref="C118" si="130">C116</f>
        <v>0</v>
      </c>
      <c r="D118" s="250">
        <v>1728</v>
      </c>
      <c r="E118" s="250"/>
      <c r="F118" s="250">
        <v>621.94040000000007</v>
      </c>
      <c r="G118" s="250">
        <v>7104.9769999999999</v>
      </c>
      <c r="H118" s="250">
        <v>9441.4106818864566</v>
      </c>
      <c r="I118" s="250">
        <v>2154.226855408534</v>
      </c>
      <c r="J118" s="250">
        <v>1252.9760294895723</v>
      </c>
      <c r="K118" s="250">
        <v>19329.996327064826</v>
      </c>
      <c r="L118" s="250"/>
    </row>
    <row r="119" spans="1:12" s="41" customFormat="1" ht="15" customHeight="1">
      <c r="A119" s="60" t="s">
        <v>11</v>
      </c>
      <c r="B119" s="70" t="s">
        <v>512</v>
      </c>
      <c r="C119" s="70"/>
      <c r="D119" s="70"/>
      <c r="E119" s="70"/>
      <c r="F119" s="70"/>
      <c r="G119" s="250"/>
      <c r="H119" s="250"/>
      <c r="I119" s="250"/>
      <c r="J119" s="250"/>
      <c r="K119" s="250"/>
      <c r="L119" s="250"/>
    </row>
    <row r="120" spans="1:12" s="41" customFormat="1" ht="15" customHeight="1">
      <c r="A120" s="60"/>
      <c r="B120" s="68" t="s">
        <v>513</v>
      </c>
      <c r="C120" s="68"/>
      <c r="D120" s="68"/>
      <c r="E120" s="68"/>
      <c r="F120" s="68"/>
      <c r="G120" s="250"/>
      <c r="H120" s="250"/>
      <c r="I120" s="250"/>
      <c r="J120" s="250"/>
      <c r="K120" s="250"/>
      <c r="L120" s="250"/>
    </row>
    <row r="121" spans="1:12" s="41" customFormat="1" ht="15" customHeight="1">
      <c r="A121" s="60" t="s">
        <v>445</v>
      </c>
      <c r="B121" s="70" t="s">
        <v>402</v>
      </c>
      <c r="C121" s="70"/>
      <c r="D121" s="70"/>
      <c r="E121" s="70"/>
      <c r="F121" s="70"/>
      <c r="G121" s="250"/>
      <c r="H121" s="250"/>
      <c r="I121" s="250"/>
      <c r="J121" s="250"/>
      <c r="K121" s="250"/>
      <c r="L121" s="250"/>
    </row>
    <row r="122" spans="1:12" s="41" customFormat="1" ht="15" customHeight="1">
      <c r="A122" s="60" t="s">
        <v>446</v>
      </c>
      <c r="B122" s="70" t="s">
        <v>404</v>
      </c>
      <c r="C122" s="70"/>
      <c r="D122" s="70"/>
      <c r="E122" s="70"/>
      <c r="F122" s="70"/>
      <c r="G122" s="250"/>
      <c r="H122" s="250"/>
      <c r="I122" s="250"/>
      <c r="J122" s="250"/>
      <c r="K122" s="250"/>
      <c r="L122" s="250"/>
    </row>
    <row r="123" spans="1:12" s="41" customFormat="1" ht="15" customHeight="1">
      <c r="A123" s="60" t="s">
        <v>461</v>
      </c>
      <c r="B123" s="70" t="s">
        <v>406</v>
      </c>
      <c r="C123" s="70"/>
      <c r="D123" s="70"/>
      <c r="E123" s="70"/>
      <c r="F123" s="70"/>
      <c r="G123" s="250"/>
      <c r="H123" s="250"/>
      <c r="I123" s="250"/>
      <c r="J123" s="250"/>
      <c r="K123" s="250"/>
      <c r="L123" s="250"/>
    </row>
    <row r="124" spans="1:12" s="41" customFormat="1" ht="15" customHeight="1">
      <c r="A124" s="60" t="s">
        <v>514</v>
      </c>
      <c r="B124" s="70" t="s">
        <v>408</v>
      </c>
      <c r="C124" s="70"/>
      <c r="D124" s="70"/>
      <c r="E124" s="70"/>
      <c r="F124" s="70"/>
      <c r="G124" s="250"/>
      <c r="H124" s="250"/>
      <c r="I124" s="250"/>
      <c r="J124" s="250"/>
      <c r="K124" s="250"/>
      <c r="L124" s="250"/>
    </row>
    <row r="125" spans="1:12" s="41" customFormat="1" ht="15" customHeight="1">
      <c r="A125" s="60" t="s">
        <v>23</v>
      </c>
      <c r="B125" s="68" t="s">
        <v>515</v>
      </c>
      <c r="C125" s="68"/>
      <c r="D125" s="250">
        <f>D127+D129+D130+D131+D132+D133+D134+D135</f>
        <v>1728</v>
      </c>
      <c r="E125" s="250">
        <f t="shared" ref="E125" si="131">E127+E129+E130+E131+E132+E133+E134+E135</f>
        <v>0</v>
      </c>
      <c r="F125" s="250">
        <f>F127+F129+F130+F131+F132+F133+F134+F135</f>
        <v>621.94040000000007</v>
      </c>
      <c r="G125" s="250">
        <f t="shared" ref="G125:I125" si="132">G127+G129+G130+G131+G132+G133+G134+G135</f>
        <v>7104.9769999999999</v>
      </c>
      <c r="H125" s="250">
        <f t="shared" ref="H125" si="133">H127+H129+H130+H131+H132+H133+H134+H135</f>
        <v>9441.4106818864566</v>
      </c>
      <c r="I125" s="250">
        <f t="shared" si="132"/>
        <v>2154.226855408534</v>
      </c>
      <c r="J125" s="250">
        <f t="shared" ref="J125:K125" si="134">J127+J129+J130+J131+J132+J133+J134+J135</f>
        <v>1252.9760294895723</v>
      </c>
      <c r="K125" s="250">
        <f t="shared" si="134"/>
        <v>19329.996327064826</v>
      </c>
      <c r="L125" s="250"/>
    </row>
    <row r="126" spans="1:12" s="41" customFormat="1" ht="15" customHeight="1">
      <c r="A126" s="60"/>
      <c r="B126" s="68" t="s">
        <v>516</v>
      </c>
      <c r="C126" s="68"/>
      <c r="D126" s="68"/>
      <c r="E126" s="68"/>
      <c r="F126" s="68"/>
      <c r="G126" s="250"/>
      <c r="H126" s="250"/>
      <c r="I126" s="250"/>
      <c r="J126" s="250"/>
      <c r="K126" s="250"/>
      <c r="L126" s="250"/>
    </row>
    <row r="127" spans="1:12" s="41" customFormat="1" ht="30" customHeight="1">
      <c r="A127" s="60" t="s">
        <v>24</v>
      </c>
      <c r="B127" s="68" t="s">
        <v>517</v>
      </c>
      <c r="C127" s="68"/>
      <c r="D127" s="250">
        <v>1728</v>
      </c>
      <c r="E127" s="68"/>
      <c r="F127" s="250">
        <v>621.94040000000007</v>
      </c>
      <c r="G127" s="250">
        <v>7104.9769999999999</v>
      </c>
      <c r="H127" s="250">
        <v>9441.4106818864566</v>
      </c>
      <c r="I127" s="250">
        <v>2154.226855408534</v>
      </c>
      <c r="J127" s="250">
        <v>1252.9760294895723</v>
      </c>
      <c r="K127" s="250">
        <v>19329.996327064826</v>
      </c>
      <c r="L127" s="250"/>
    </row>
    <row r="128" spans="1:12" s="41" customFormat="1" ht="30" customHeight="1">
      <c r="A128" s="60" t="s">
        <v>25</v>
      </c>
      <c r="B128" s="68" t="s">
        <v>518</v>
      </c>
      <c r="C128" s="68"/>
      <c r="D128" s="68"/>
      <c r="E128" s="68"/>
      <c r="F128" s="68"/>
      <c r="G128" s="250"/>
      <c r="H128" s="250"/>
      <c r="I128" s="250"/>
      <c r="J128" s="250"/>
      <c r="K128" s="250"/>
      <c r="L128" s="250"/>
    </row>
    <row r="129" spans="1:12" s="41" customFormat="1" ht="15" customHeight="1">
      <c r="A129" s="60" t="s">
        <v>139</v>
      </c>
      <c r="B129" s="68" t="s">
        <v>519</v>
      </c>
      <c r="C129" s="68"/>
      <c r="D129" s="68"/>
      <c r="E129" s="68"/>
      <c r="F129" s="68"/>
      <c r="G129" s="250"/>
      <c r="H129" s="250"/>
      <c r="I129" s="250"/>
      <c r="J129" s="250"/>
      <c r="K129" s="250"/>
      <c r="L129" s="250"/>
    </row>
    <row r="130" spans="1:12" s="41" customFormat="1" ht="15" customHeight="1">
      <c r="A130" s="60" t="s">
        <v>433</v>
      </c>
      <c r="B130" s="68" t="s">
        <v>520</v>
      </c>
      <c r="C130" s="68"/>
      <c r="D130" s="68"/>
      <c r="E130" s="68"/>
      <c r="F130" s="68"/>
      <c r="G130" s="250"/>
      <c r="H130" s="250"/>
      <c r="I130" s="250"/>
      <c r="J130" s="250"/>
      <c r="K130" s="250"/>
      <c r="L130" s="250"/>
    </row>
    <row r="131" spans="1:12" s="41" customFormat="1" ht="15" customHeight="1">
      <c r="A131" s="60" t="s">
        <v>521</v>
      </c>
      <c r="B131" s="68" t="s">
        <v>522</v>
      </c>
      <c r="C131" s="68"/>
      <c r="D131" s="68"/>
      <c r="E131" s="68"/>
      <c r="F131" s="68"/>
      <c r="G131" s="250"/>
      <c r="H131" s="250"/>
      <c r="I131" s="250"/>
      <c r="J131" s="250"/>
      <c r="K131" s="250"/>
      <c r="L131" s="250"/>
    </row>
    <row r="132" spans="1:12" s="41" customFormat="1" ht="30" customHeight="1">
      <c r="A132" s="60" t="s">
        <v>523</v>
      </c>
      <c r="B132" s="68" t="s">
        <v>524</v>
      </c>
      <c r="C132" s="68"/>
      <c r="D132" s="68"/>
      <c r="E132" s="68"/>
      <c r="F132" s="68"/>
      <c r="G132" s="250"/>
      <c r="H132" s="250"/>
      <c r="I132" s="250"/>
      <c r="J132" s="250"/>
      <c r="K132" s="250"/>
      <c r="L132" s="250"/>
    </row>
    <row r="133" spans="1:12" s="41" customFormat="1" ht="15" customHeight="1">
      <c r="A133" s="60" t="s">
        <v>471</v>
      </c>
      <c r="B133" s="68" t="s">
        <v>1738</v>
      </c>
      <c r="C133" s="68"/>
      <c r="D133" s="68"/>
      <c r="E133" s="68"/>
      <c r="F133" s="68"/>
      <c r="G133" s="250"/>
      <c r="H133" s="250"/>
      <c r="I133" s="250"/>
      <c r="J133" s="250"/>
      <c r="K133" s="250"/>
      <c r="L133" s="250"/>
    </row>
    <row r="134" spans="1:12" s="41" customFormat="1" ht="15" customHeight="1">
      <c r="A134" s="60" t="s">
        <v>475</v>
      </c>
      <c r="B134" s="68" t="s">
        <v>1739</v>
      </c>
      <c r="C134" s="68"/>
      <c r="D134" s="68"/>
      <c r="E134" s="68"/>
      <c r="F134" s="68"/>
      <c r="G134" s="250"/>
      <c r="H134" s="250"/>
      <c r="I134" s="250"/>
      <c r="J134" s="250"/>
      <c r="K134" s="250"/>
      <c r="L134" s="250"/>
    </row>
    <row r="135" spans="1:12" s="41" customFormat="1" ht="15" customHeight="1">
      <c r="A135" s="60" t="s">
        <v>477</v>
      </c>
      <c r="B135" s="68" t="s">
        <v>1740</v>
      </c>
      <c r="C135" s="68"/>
      <c r="D135" s="68"/>
      <c r="E135" s="68"/>
      <c r="F135" s="68"/>
      <c r="G135" s="250"/>
      <c r="H135" s="250"/>
      <c r="I135" s="250"/>
      <c r="J135" s="250"/>
      <c r="K135" s="250"/>
      <c r="L135" s="250"/>
    </row>
    <row r="136" spans="1:12" s="41" customFormat="1" ht="15" customHeight="1">
      <c r="A136" s="60"/>
      <c r="B136" s="338" t="s">
        <v>958</v>
      </c>
      <c r="C136" s="338"/>
      <c r="D136" s="338"/>
      <c r="E136" s="338"/>
      <c r="F136" s="338"/>
      <c r="G136" s="250"/>
      <c r="H136" s="250"/>
      <c r="I136" s="250"/>
      <c r="J136" s="250"/>
      <c r="K136" s="250"/>
      <c r="L136" s="250"/>
    </row>
    <row r="137" spans="1:12" s="41" customFormat="1" ht="15" customHeight="1">
      <c r="A137" s="60" t="s">
        <v>479</v>
      </c>
      <c r="B137" s="68" t="s">
        <v>525</v>
      </c>
      <c r="C137" s="68"/>
      <c r="D137" s="250">
        <f t="shared" ref="D137:F137" si="135">D127+SUM(D129:D136)</f>
        <v>1728</v>
      </c>
      <c r="E137" s="250">
        <f t="shared" si="135"/>
        <v>0</v>
      </c>
      <c r="F137" s="250">
        <f t="shared" si="135"/>
        <v>621.94040000000007</v>
      </c>
      <c r="G137" s="250">
        <f>G127+SUM(G129:G136)</f>
        <v>7104.9769999999999</v>
      </c>
      <c r="H137" s="250">
        <f>H127+SUM(H129:H136)</f>
        <v>9441.4106818864566</v>
      </c>
      <c r="I137" s="250">
        <f>I127+SUM(I129:I136)</f>
        <v>2154.226855408534</v>
      </c>
      <c r="J137" s="250">
        <f>J127+SUM(J129:J136)</f>
        <v>1252.9760294895723</v>
      </c>
      <c r="K137" s="250">
        <f>K127+SUM(K129:K136)</f>
        <v>19329.996327064826</v>
      </c>
      <c r="L137" s="250"/>
    </row>
    <row r="138" spans="1:12" s="41" customFormat="1" ht="15" customHeight="1">
      <c r="A138" s="60" t="s">
        <v>481</v>
      </c>
      <c r="B138" s="68" t="s">
        <v>526</v>
      </c>
      <c r="C138" s="68"/>
      <c r="D138" s="68"/>
      <c r="E138" s="68"/>
      <c r="F138" s="818">
        <f>F116-F137</f>
        <v>0</v>
      </c>
      <c r="G138" s="818">
        <f t="shared" ref="G138:I138" si="136">G116-G137</f>
        <v>0</v>
      </c>
      <c r="H138" s="818">
        <f t="shared" ref="H138" si="137">H116-H137</f>
        <v>0</v>
      </c>
      <c r="I138" s="818">
        <f t="shared" si="136"/>
        <v>0</v>
      </c>
      <c r="J138" s="818">
        <f t="shared" ref="J138:K138" si="138">J116-J137</f>
        <v>0</v>
      </c>
      <c r="K138" s="818">
        <f t="shared" si="138"/>
        <v>0</v>
      </c>
      <c r="L138" s="250"/>
    </row>
    <row r="139" spans="1:12" s="41" customFormat="1" ht="15" customHeight="1">
      <c r="A139" s="60"/>
      <c r="B139" s="68" t="s">
        <v>527</v>
      </c>
      <c r="C139" s="68"/>
      <c r="D139" s="68"/>
      <c r="E139" s="68"/>
      <c r="F139" s="250"/>
      <c r="G139" s="250"/>
      <c r="H139" s="250"/>
      <c r="I139" s="250"/>
      <c r="J139" s="250"/>
      <c r="K139" s="250"/>
      <c r="L139" s="250"/>
    </row>
    <row r="140" spans="1:12" s="41" customFormat="1" ht="15" customHeight="1">
      <c r="A140" s="60" t="s">
        <v>482</v>
      </c>
      <c r="B140" s="70" t="s">
        <v>402</v>
      </c>
      <c r="C140" s="70"/>
      <c r="D140" s="70"/>
      <c r="E140" s="70"/>
      <c r="F140" s="250"/>
      <c r="G140" s="250"/>
      <c r="H140" s="250"/>
      <c r="I140" s="250"/>
      <c r="J140" s="250"/>
      <c r="K140" s="250"/>
      <c r="L140" s="250"/>
    </row>
    <row r="141" spans="1:12" s="41" customFormat="1" ht="15" customHeight="1">
      <c r="A141" s="60" t="s">
        <v>483</v>
      </c>
      <c r="B141" s="70" t="s">
        <v>404</v>
      </c>
      <c r="C141" s="70"/>
      <c r="D141" s="70"/>
      <c r="E141" s="70"/>
      <c r="F141" s="250"/>
      <c r="G141" s="250"/>
      <c r="H141" s="250"/>
      <c r="I141" s="250"/>
      <c r="J141" s="250"/>
      <c r="K141" s="250"/>
      <c r="L141" s="250"/>
    </row>
    <row r="142" spans="1:12" s="41" customFormat="1" ht="15" customHeight="1">
      <c r="A142" s="60" t="s">
        <v>528</v>
      </c>
      <c r="B142" s="70" t="s">
        <v>406</v>
      </c>
      <c r="C142" s="70"/>
      <c r="D142" s="70"/>
      <c r="E142" s="70"/>
      <c r="F142" s="250"/>
      <c r="G142" s="250"/>
      <c r="H142" s="250"/>
      <c r="I142" s="250"/>
      <c r="J142" s="250"/>
      <c r="K142" s="250"/>
      <c r="L142" s="250"/>
    </row>
    <row r="143" spans="1:12" s="41" customFormat="1" ht="15" customHeight="1">
      <c r="A143" s="60" t="s">
        <v>529</v>
      </c>
      <c r="B143" s="70" t="s">
        <v>408</v>
      </c>
      <c r="C143" s="70"/>
      <c r="D143" s="70"/>
      <c r="E143" s="70"/>
      <c r="F143" s="250"/>
      <c r="G143" s="250"/>
      <c r="H143" s="250"/>
      <c r="I143" s="250"/>
      <c r="J143" s="250"/>
      <c r="K143" s="250"/>
      <c r="L143" s="250"/>
    </row>
    <row r="146" spans="1:9" s="26" customFormat="1">
      <c r="A146" s="26" t="s">
        <v>88</v>
      </c>
    </row>
    <row r="147" spans="1:9" s="28" customFormat="1" ht="30" customHeight="1">
      <c r="A147" s="28" t="s">
        <v>89</v>
      </c>
      <c r="B147" s="1842" t="s">
        <v>530</v>
      </c>
      <c r="C147" s="1842"/>
      <c r="D147" s="1842"/>
      <c r="E147" s="1842"/>
      <c r="F147" s="1842"/>
      <c r="G147" s="1842"/>
      <c r="H147" s="1842"/>
      <c r="I147" s="1842"/>
    </row>
    <row r="148" spans="1:9" s="28" customFormat="1" ht="75" customHeight="1">
      <c r="A148" s="28" t="s">
        <v>91</v>
      </c>
      <c r="B148" s="1842" t="s">
        <v>531</v>
      </c>
      <c r="C148" s="1842"/>
      <c r="D148" s="1842"/>
      <c r="E148" s="1842"/>
      <c r="F148" s="1842"/>
      <c r="G148" s="1842"/>
      <c r="H148" s="1842"/>
      <c r="I148" s="1842"/>
    </row>
    <row r="149" spans="1:9" ht="15.75" customHeight="1"/>
  </sheetData>
  <mergeCells count="6">
    <mergeCell ref="A3:L3"/>
    <mergeCell ref="B147:I147"/>
    <mergeCell ref="B148:I148"/>
    <mergeCell ref="A39:I39"/>
    <mergeCell ref="A111:I111"/>
    <mergeCell ref="A75:I75"/>
  </mergeCells>
  <pageMargins left="1.02" right="0.51181102362204722" top="0.59055118110236227" bottom="0.39370078740157483" header="0.19685039370078741" footer="0.19685039370078741"/>
  <pageSetup paperSize="9" scale="63" orientation="portrait" r:id="rId1"/>
  <headerFooter alignWithMargins="0"/>
  <rowBreaks count="3" manualBreakCount="3">
    <brk id="36" max="8" man="1"/>
    <brk id="72" max="8" man="1"/>
    <brk id="108" max="8" man="1"/>
  </row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L149"/>
  <sheetViews>
    <sheetView view="pageBreakPreview" zoomScaleNormal="100" workbookViewId="0">
      <pane xSplit="2" ySplit="6" topLeftCell="C31" activePane="bottomRight" state="frozen"/>
      <selection activeCell="F4" sqref="F4"/>
      <selection pane="topRight" activeCell="F4" sqref="F4"/>
      <selection pane="bottomLeft" activeCell="F4" sqref="F4"/>
      <selection pane="bottomRight" activeCell="F4" sqref="F4"/>
    </sheetView>
  </sheetViews>
  <sheetFormatPr defaultColWidth="2.7109375" defaultRowHeight="15"/>
  <cols>
    <col min="1" max="1" width="8.7109375" style="1" customWidth="1"/>
    <col min="2" max="2" width="42.5703125" style="1" customWidth="1"/>
    <col min="3" max="3" width="13.7109375" style="1" hidden="1" customWidth="1"/>
    <col min="4" max="4" width="13.28515625" style="1" hidden="1" customWidth="1"/>
    <col min="5" max="5" width="12.5703125" style="1" hidden="1" customWidth="1"/>
    <col min="6" max="7" width="12.7109375" style="1" customWidth="1"/>
    <col min="8" max="8" width="17" style="1" customWidth="1"/>
    <col min="9" max="10" width="12.7109375" style="1" customWidth="1"/>
    <col min="11" max="11" width="11.140625" style="1" hidden="1" customWidth="1"/>
    <col min="12" max="12" width="11.42578125" style="1" hidden="1" customWidth="1"/>
    <col min="13" max="61" width="8.28515625" style="1" customWidth="1"/>
    <col min="62" max="16384" width="2.7109375" style="1"/>
  </cols>
  <sheetData>
    <row r="1" spans="1:12" s="5" customFormat="1" ht="18" customHeight="1">
      <c r="A1" s="74" t="s">
        <v>1860</v>
      </c>
      <c r="I1" s="6"/>
      <c r="J1" s="6" t="s">
        <v>944</v>
      </c>
    </row>
    <row r="2" spans="1:12" ht="12.75" customHeight="1">
      <c r="A2" s="105" t="str">
        <f>'4.1_котельные'!A2</f>
        <v>ПКГО - выработка котельными</v>
      </c>
    </row>
    <row r="3" spans="1:12" ht="18.75">
      <c r="A3" s="1877" t="s">
        <v>508</v>
      </c>
      <c r="B3" s="1962"/>
      <c r="C3" s="1962"/>
      <c r="D3" s="1962"/>
      <c r="E3" s="1962"/>
      <c r="F3" s="1962"/>
      <c r="G3" s="1962"/>
      <c r="H3" s="1962"/>
      <c r="I3" s="1962"/>
      <c r="J3" s="1962"/>
      <c r="K3" s="1962"/>
      <c r="L3" s="1962"/>
    </row>
    <row r="4" spans="1:12" ht="12.75" customHeight="1">
      <c r="B4" s="535"/>
      <c r="C4" s="769"/>
      <c r="D4" s="769"/>
      <c r="E4" s="769"/>
      <c r="F4" s="535"/>
      <c r="G4" s="1283"/>
      <c r="H4" s="1583"/>
      <c r="I4" s="535"/>
    </row>
    <row r="5" spans="1:12" ht="14.25" customHeight="1">
      <c r="I5" s="23"/>
      <c r="J5" s="23" t="s">
        <v>360</v>
      </c>
    </row>
    <row r="6" spans="1:12" s="3" customFormat="1" ht="60">
      <c r="A6" s="540" t="s">
        <v>0</v>
      </c>
      <c r="B6" s="540" t="s">
        <v>509</v>
      </c>
      <c r="C6" s="772" t="s">
        <v>1129</v>
      </c>
      <c r="D6" s="772" t="s">
        <v>1130</v>
      </c>
      <c r="E6" s="772" t="s">
        <v>1131</v>
      </c>
      <c r="F6" s="1284" t="s">
        <v>1695</v>
      </c>
      <c r="G6" s="1586" t="s">
        <v>1828</v>
      </c>
      <c r="H6" s="1641" t="s">
        <v>1861</v>
      </c>
      <c r="I6" s="1641" t="s">
        <v>1862</v>
      </c>
      <c r="J6" s="1641" t="s">
        <v>1863</v>
      </c>
      <c r="K6" s="1641" t="s">
        <v>763</v>
      </c>
      <c r="L6" s="1641" t="s">
        <v>764</v>
      </c>
    </row>
    <row r="7" spans="1:12" s="2" customFormat="1">
      <c r="A7" s="13">
        <v>1</v>
      </c>
      <c r="B7" s="13">
        <v>2</v>
      </c>
      <c r="C7" s="13"/>
      <c r="D7" s="13">
        <v>3</v>
      </c>
      <c r="E7" s="13"/>
      <c r="F7" s="13">
        <v>3</v>
      </c>
      <c r="G7" s="13">
        <v>4</v>
      </c>
      <c r="H7" s="13">
        <v>5</v>
      </c>
      <c r="I7" s="13">
        <v>6</v>
      </c>
      <c r="J7" s="13">
        <v>7</v>
      </c>
      <c r="K7" s="13">
        <v>5</v>
      </c>
      <c r="L7" s="13">
        <v>6</v>
      </c>
    </row>
    <row r="8" spans="1:12" s="41" customFormat="1" ht="15" customHeight="1">
      <c r="A8" s="60">
        <v>1</v>
      </c>
      <c r="B8" s="68" t="s">
        <v>510</v>
      </c>
      <c r="C8" s="68"/>
      <c r="D8" s="250">
        <f t="shared" ref="D8:E8" si="0">D44+D80+D116</f>
        <v>0</v>
      </c>
      <c r="E8" s="250">
        <f t="shared" si="0"/>
        <v>0</v>
      </c>
      <c r="F8" s="250">
        <f>F44+F80+F116</f>
        <v>0</v>
      </c>
      <c r="G8" s="250">
        <f>G44+G80+G116</f>
        <v>0</v>
      </c>
      <c r="H8" s="250">
        <f>H44+H80+H116</f>
        <v>0</v>
      </c>
      <c r="I8" s="250">
        <f>I44+I80+I116</f>
        <v>0</v>
      </c>
      <c r="J8" s="250">
        <f>J44+J80+J116</f>
        <v>0</v>
      </c>
      <c r="K8" s="250"/>
      <c r="L8" s="250"/>
    </row>
    <row r="9" spans="1:12" s="41" customFormat="1" ht="15" customHeight="1">
      <c r="A9" s="60"/>
      <c r="B9" s="68" t="s">
        <v>70</v>
      </c>
      <c r="C9" s="68"/>
      <c r="D9" s="250">
        <f t="shared" ref="D9:E9" si="1">D45+D81+D117</f>
        <v>0</v>
      </c>
      <c r="E9" s="250">
        <f t="shared" si="1"/>
        <v>0</v>
      </c>
      <c r="F9" s="250">
        <f t="shared" ref="F9:I24" si="2">F45+F81+F117</f>
        <v>0</v>
      </c>
      <c r="G9" s="250">
        <f t="shared" ref="G9:H9" si="3">G45+G81+G117</f>
        <v>0</v>
      </c>
      <c r="H9" s="250">
        <f t="shared" si="3"/>
        <v>0</v>
      </c>
      <c r="I9" s="250">
        <f t="shared" si="2"/>
        <v>0</v>
      </c>
      <c r="J9" s="250">
        <f t="shared" ref="J9" si="4">J45+J81+J117</f>
        <v>0</v>
      </c>
      <c r="K9" s="250"/>
      <c r="L9" s="250"/>
    </row>
    <row r="10" spans="1:12" s="41" customFormat="1" ht="15" customHeight="1">
      <c r="A10" s="60" t="s">
        <v>5</v>
      </c>
      <c r="B10" s="70" t="s">
        <v>511</v>
      </c>
      <c r="C10" s="70"/>
      <c r="D10" s="250">
        <f t="shared" ref="D10:E10" si="5">D46+D82+D118</f>
        <v>0</v>
      </c>
      <c r="E10" s="250">
        <f t="shared" si="5"/>
        <v>0</v>
      </c>
      <c r="F10" s="250">
        <f t="shared" si="2"/>
        <v>0</v>
      </c>
      <c r="G10" s="250">
        <f t="shared" ref="G10:H10" si="6">G46+G82+G118</f>
        <v>0</v>
      </c>
      <c r="H10" s="250">
        <f t="shared" si="6"/>
        <v>0</v>
      </c>
      <c r="I10" s="250">
        <f t="shared" si="2"/>
        <v>0</v>
      </c>
      <c r="J10" s="250">
        <f t="shared" ref="J10" si="7">J46+J82+J118</f>
        <v>0</v>
      </c>
      <c r="K10" s="250"/>
      <c r="L10" s="250"/>
    </row>
    <row r="11" spans="1:12" s="41" customFormat="1" ht="15" customHeight="1">
      <c r="A11" s="60" t="s">
        <v>11</v>
      </c>
      <c r="B11" s="70" t="s">
        <v>512</v>
      </c>
      <c r="C11" s="70"/>
      <c r="D11" s="250">
        <f t="shared" ref="D11:E11" si="8">D47+D83+D119</f>
        <v>0</v>
      </c>
      <c r="E11" s="250">
        <f t="shared" si="8"/>
        <v>0</v>
      </c>
      <c r="F11" s="250">
        <f t="shared" si="2"/>
        <v>0</v>
      </c>
      <c r="G11" s="250">
        <f t="shared" ref="G11:H11" si="9">G47+G83+G119</f>
        <v>0</v>
      </c>
      <c r="H11" s="250">
        <f t="shared" si="9"/>
        <v>0</v>
      </c>
      <c r="I11" s="250">
        <f t="shared" si="2"/>
        <v>0</v>
      </c>
      <c r="J11" s="250">
        <f t="shared" ref="J11" si="10">J47+J83+J119</f>
        <v>0</v>
      </c>
      <c r="K11" s="250"/>
      <c r="L11" s="250"/>
    </row>
    <row r="12" spans="1:12" s="41" customFormat="1" ht="15" customHeight="1">
      <c r="A12" s="60"/>
      <c r="B12" s="68" t="s">
        <v>513</v>
      </c>
      <c r="C12" s="68"/>
      <c r="D12" s="250">
        <f t="shared" ref="D12:E12" si="11">D48+D84+D120</f>
        <v>0</v>
      </c>
      <c r="E12" s="250">
        <f t="shared" si="11"/>
        <v>0</v>
      </c>
      <c r="F12" s="250">
        <f t="shared" si="2"/>
        <v>0</v>
      </c>
      <c r="G12" s="250">
        <f t="shared" ref="G12:H12" si="12">G48+G84+G120</f>
        <v>0</v>
      </c>
      <c r="H12" s="250">
        <f t="shared" si="12"/>
        <v>0</v>
      </c>
      <c r="I12" s="250">
        <f t="shared" si="2"/>
        <v>0</v>
      </c>
      <c r="J12" s="250">
        <f t="shared" ref="J12" si="13">J48+J84+J120</f>
        <v>0</v>
      </c>
      <c r="K12" s="250"/>
      <c r="L12" s="250"/>
    </row>
    <row r="13" spans="1:12" s="41" customFormat="1" ht="15" customHeight="1">
      <c r="A13" s="60" t="s">
        <v>445</v>
      </c>
      <c r="B13" s="70" t="s">
        <v>402</v>
      </c>
      <c r="C13" s="70"/>
      <c r="D13" s="250">
        <f t="shared" ref="D13:E13" si="14">D49+D85+D121</f>
        <v>0</v>
      </c>
      <c r="E13" s="250">
        <f t="shared" si="14"/>
        <v>0</v>
      </c>
      <c r="F13" s="250">
        <f t="shared" si="2"/>
        <v>0</v>
      </c>
      <c r="G13" s="250">
        <f t="shared" ref="G13:H13" si="15">G49+G85+G121</f>
        <v>0</v>
      </c>
      <c r="H13" s="250">
        <f t="shared" si="15"/>
        <v>0</v>
      </c>
      <c r="I13" s="250">
        <f t="shared" si="2"/>
        <v>0</v>
      </c>
      <c r="J13" s="250">
        <f t="shared" ref="J13" si="16">J49+J85+J121</f>
        <v>0</v>
      </c>
      <c r="K13" s="250"/>
      <c r="L13" s="250"/>
    </row>
    <row r="14" spans="1:12" s="41" customFormat="1" ht="15" customHeight="1">
      <c r="A14" s="60" t="s">
        <v>446</v>
      </c>
      <c r="B14" s="70" t="s">
        <v>404</v>
      </c>
      <c r="C14" s="70"/>
      <c r="D14" s="250">
        <f t="shared" ref="D14:E14" si="17">D50+D86+D122</f>
        <v>0</v>
      </c>
      <c r="E14" s="250">
        <f t="shared" si="17"/>
        <v>0</v>
      </c>
      <c r="F14" s="250">
        <f t="shared" si="2"/>
        <v>0</v>
      </c>
      <c r="G14" s="250">
        <f t="shared" ref="G14:H14" si="18">G50+G86+G122</f>
        <v>0</v>
      </c>
      <c r="H14" s="250">
        <f t="shared" si="18"/>
        <v>0</v>
      </c>
      <c r="I14" s="250">
        <f t="shared" si="2"/>
        <v>0</v>
      </c>
      <c r="J14" s="250">
        <f t="shared" ref="J14" si="19">J50+J86+J122</f>
        <v>0</v>
      </c>
      <c r="K14" s="250"/>
      <c r="L14" s="250"/>
    </row>
    <row r="15" spans="1:12" s="41" customFormat="1" ht="15" customHeight="1">
      <c r="A15" s="60" t="s">
        <v>461</v>
      </c>
      <c r="B15" s="70" t="s">
        <v>406</v>
      </c>
      <c r="C15" s="70"/>
      <c r="D15" s="250">
        <f t="shared" ref="D15:E15" si="20">D51+D87+D123</f>
        <v>0</v>
      </c>
      <c r="E15" s="250">
        <f t="shared" si="20"/>
        <v>0</v>
      </c>
      <c r="F15" s="250">
        <f t="shared" si="2"/>
        <v>0</v>
      </c>
      <c r="G15" s="250">
        <f t="shared" ref="G15:H15" si="21">G51+G87+G123</f>
        <v>0</v>
      </c>
      <c r="H15" s="250">
        <f t="shared" si="21"/>
        <v>0</v>
      </c>
      <c r="I15" s="250">
        <f t="shared" si="2"/>
        <v>0</v>
      </c>
      <c r="J15" s="250">
        <f t="shared" ref="J15" si="22">J51+J87+J123</f>
        <v>0</v>
      </c>
      <c r="K15" s="250"/>
      <c r="L15" s="250"/>
    </row>
    <row r="16" spans="1:12" s="41" customFormat="1" ht="15" customHeight="1">
      <c r="A16" s="60" t="s">
        <v>514</v>
      </c>
      <c r="B16" s="70" t="s">
        <v>408</v>
      </c>
      <c r="C16" s="70"/>
      <c r="D16" s="250">
        <f t="shared" ref="D16:E16" si="23">D52+D88+D124</f>
        <v>0</v>
      </c>
      <c r="E16" s="250">
        <f t="shared" si="23"/>
        <v>0</v>
      </c>
      <c r="F16" s="250">
        <f t="shared" si="2"/>
        <v>0</v>
      </c>
      <c r="G16" s="250">
        <f t="shared" ref="G16:H16" si="24">G52+G88+G124</f>
        <v>0</v>
      </c>
      <c r="H16" s="250">
        <f t="shared" si="24"/>
        <v>0</v>
      </c>
      <c r="I16" s="250">
        <f t="shared" si="2"/>
        <v>0</v>
      </c>
      <c r="J16" s="250">
        <f t="shared" ref="J16" si="25">J52+J88+J124</f>
        <v>0</v>
      </c>
      <c r="K16" s="250"/>
      <c r="L16" s="250"/>
    </row>
    <row r="17" spans="1:12" s="41" customFormat="1" ht="15" customHeight="1">
      <c r="A17" s="60" t="s">
        <v>23</v>
      </c>
      <c r="B17" s="68" t="s">
        <v>515</v>
      </c>
      <c r="C17" s="68"/>
      <c r="D17" s="250">
        <f t="shared" ref="D17:E17" si="26">D53+D89+D125</f>
        <v>0</v>
      </c>
      <c r="E17" s="250">
        <f t="shared" si="26"/>
        <v>0</v>
      </c>
      <c r="F17" s="250">
        <f t="shared" si="2"/>
        <v>0</v>
      </c>
      <c r="G17" s="250">
        <f t="shared" ref="G17:H17" si="27">G53+G89+G125</f>
        <v>0</v>
      </c>
      <c r="H17" s="250">
        <f t="shared" si="27"/>
        <v>0</v>
      </c>
      <c r="I17" s="250">
        <f t="shared" si="2"/>
        <v>0</v>
      </c>
      <c r="J17" s="250">
        <f t="shared" ref="J17" si="28">J53+J89+J125</f>
        <v>0</v>
      </c>
      <c r="K17" s="250"/>
      <c r="L17" s="250"/>
    </row>
    <row r="18" spans="1:12" s="41" customFormat="1" ht="15" customHeight="1">
      <c r="A18" s="60"/>
      <c r="B18" s="68" t="s">
        <v>516</v>
      </c>
      <c r="C18" s="68"/>
      <c r="D18" s="250">
        <f t="shared" ref="D18:E18" si="29">D54+D90+D126</f>
        <v>0</v>
      </c>
      <c r="E18" s="250">
        <f t="shared" si="29"/>
        <v>0</v>
      </c>
      <c r="F18" s="250">
        <f t="shared" si="2"/>
        <v>0</v>
      </c>
      <c r="G18" s="250">
        <f t="shared" ref="G18:H18" si="30">G54+G90+G126</f>
        <v>0</v>
      </c>
      <c r="H18" s="250">
        <f t="shared" si="30"/>
        <v>0</v>
      </c>
      <c r="I18" s="250">
        <f t="shared" si="2"/>
        <v>0</v>
      </c>
      <c r="J18" s="250">
        <f t="shared" ref="J18" si="31">J54+J90+J126</f>
        <v>0</v>
      </c>
      <c r="K18" s="250"/>
      <c r="L18" s="250"/>
    </row>
    <row r="19" spans="1:12" s="41" customFormat="1" ht="30" customHeight="1">
      <c r="A19" s="60" t="s">
        <v>24</v>
      </c>
      <c r="B19" s="68" t="s">
        <v>517</v>
      </c>
      <c r="C19" s="68"/>
      <c r="D19" s="250">
        <f t="shared" ref="D19:E19" si="32">D55+D91+D127</f>
        <v>0</v>
      </c>
      <c r="E19" s="250">
        <f t="shared" si="32"/>
        <v>0</v>
      </c>
      <c r="F19" s="250">
        <f t="shared" si="2"/>
        <v>0</v>
      </c>
      <c r="G19" s="250">
        <f t="shared" ref="G19:H19" si="33">G55+G91+G127</f>
        <v>0</v>
      </c>
      <c r="H19" s="250">
        <f t="shared" si="33"/>
        <v>0</v>
      </c>
      <c r="I19" s="250">
        <f t="shared" si="2"/>
        <v>0</v>
      </c>
      <c r="J19" s="250">
        <f t="shared" ref="J19" si="34">J55+J91+J127</f>
        <v>0</v>
      </c>
      <c r="K19" s="250"/>
      <c r="L19" s="250"/>
    </row>
    <row r="20" spans="1:12" s="41" customFormat="1" ht="30" customHeight="1">
      <c r="A20" s="60" t="s">
        <v>25</v>
      </c>
      <c r="B20" s="68" t="s">
        <v>518</v>
      </c>
      <c r="C20" s="68"/>
      <c r="D20" s="250">
        <f t="shared" ref="D20:E20" si="35">D56+D92+D128</f>
        <v>0</v>
      </c>
      <c r="E20" s="250">
        <f t="shared" si="35"/>
        <v>0</v>
      </c>
      <c r="F20" s="250">
        <f t="shared" si="2"/>
        <v>0</v>
      </c>
      <c r="G20" s="250">
        <f t="shared" ref="G20:H20" si="36">G56+G92+G128</f>
        <v>0</v>
      </c>
      <c r="H20" s="250">
        <f t="shared" si="36"/>
        <v>0</v>
      </c>
      <c r="I20" s="250">
        <f t="shared" si="2"/>
        <v>0</v>
      </c>
      <c r="J20" s="250">
        <f t="shared" ref="J20" si="37">J56+J92+J128</f>
        <v>0</v>
      </c>
      <c r="K20" s="250"/>
      <c r="L20" s="250"/>
    </row>
    <row r="21" spans="1:12" s="41" customFormat="1" ht="15" customHeight="1">
      <c r="A21" s="60" t="s">
        <v>139</v>
      </c>
      <c r="B21" s="68" t="s">
        <v>519</v>
      </c>
      <c r="C21" s="68"/>
      <c r="D21" s="250">
        <f t="shared" ref="D21:E21" si="38">D57+D93+D129</f>
        <v>0</v>
      </c>
      <c r="E21" s="250">
        <f t="shared" si="38"/>
        <v>0</v>
      </c>
      <c r="F21" s="250">
        <f t="shared" si="2"/>
        <v>0</v>
      </c>
      <c r="G21" s="250">
        <f t="shared" ref="G21:H21" si="39">G57+G93+G129</f>
        <v>0</v>
      </c>
      <c r="H21" s="250">
        <f t="shared" si="39"/>
        <v>0</v>
      </c>
      <c r="I21" s="250">
        <f t="shared" si="2"/>
        <v>0</v>
      </c>
      <c r="J21" s="250">
        <f t="shared" ref="J21" si="40">J57+J93+J129</f>
        <v>0</v>
      </c>
      <c r="K21" s="250"/>
      <c r="L21" s="250"/>
    </row>
    <row r="22" spans="1:12" s="41" customFormat="1" ht="15" customHeight="1">
      <c r="A22" s="60" t="s">
        <v>433</v>
      </c>
      <c r="B22" s="68" t="s">
        <v>520</v>
      </c>
      <c r="C22" s="68"/>
      <c r="D22" s="250">
        <f t="shared" ref="D22:E22" si="41">D58+D94+D130</f>
        <v>0</v>
      </c>
      <c r="E22" s="250">
        <f t="shared" si="41"/>
        <v>0</v>
      </c>
      <c r="F22" s="250">
        <f t="shared" si="2"/>
        <v>0</v>
      </c>
      <c r="G22" s="250">
        <f t="shared" ref="G22:H22" si="42">G58+G94+G130</f>
        <v>0</v>
      </c>
      <c r="H22" s="250">
        <f t="shared" si="42"/>
        <v>0</v>
      </c>
      <c r="I22" s="250">
        <f t="shared" si="2"/>
        <v>0</v>
      </c>
      <c r="J22" s="250">
        <f t="shared" ref="J22" si="43">J58+J94+J130</f>
        <v>0</v>
      </c>
      <c r="K22" s="250"/>
      <c r="L22" s="250"/>
    </row>
    <row r="23" spans="1:12" s="41" customFormat="1" ht="15" customHeight="1">
      <c r="A23" s="60" t="s">
        <v>521</v>
      </c>
      <c r="B23" s="68" t="s">
        <v>522</v>
      </c>
      <c r="C23" s="68"/>
      <c r="D23" s="250">
        <f t="shared" ref="D23:E23" si="44">D59+D95+D131</f>
        <v>0</v>
      </c>
      <c r="E23" s="250">
        <f t="shared" si="44"/>
        <v>0</v>
      </c>
      <c r="F23" s="250">
        <f t="shared" si="2"/>
        <v>0</v>
      </c>
      <c r="G23" s="250">
        <f t="shared" ref="G23:H23" si="45">G59+G95+G131</f>
        <v>0</v>
      </c>
      <c r="H23" s="250">
        <f t="shared" si="45"/>
        <v>0</v>
      </c>
      <c r="I23" s="250">
        <f t="shared" si="2"/>
        <v>0</v>
      </c>
      <c r="J23" s="250">
        <f t="shared" ref="J23" si="46">J59+J95+J131</f>
        <v>0</v>
      </c>
      <c r="K23" s="250"/>
      <c r="L23" s="250"/>
    </row>
    <row r="24" spans="1:12" s="41" customFormat="1" ht="30" customHeight="1">
      <c r="A24" s="60" t="s">
        <v>523</v>
      </c>
      <c r="B24" s="68" t="s">
        <v>524</v>
      </c>
      <c r="C24" s="68"/>
      <c r="D24" s="250">
        <f t="shared" ref="D24:E24" si="47">D60+D96+D132</f>
        <v>0</v>
      </c>
      <c r="E24" s="250">
        <f t="shared" si="47"/>
        <v>0</v>
      </c>
      <c r="F24" s="250">
        <f t="shared" si="2"/>
        <v>0</v>
      </c>
      <c r="G24" s="250">
        <f t="shared" ref="G24:H24" si="48">G60+G96+G132</f>
        <v>0</v>
      </c>
      <c r="H24" s="250">
        <f t="shared" si="48"/>
        <v>0</v>
      </c>
      <c r="I24" s="250">
        <f t="shared" si="2"/>
        <v>0</v>
      </c>
      <c r="J24" s="250">
        <f t="shared" ref="J24" si="49">J60+J96+J132</f>
        <v>0</v>
      </c>
      <c r="K24" s="250"/>
      <c r="L24" s="250"/>
    </row>
    <row r="25" spans="1:12" s="41" customFormat="1" ht="15" customHeight="1">
      <c r="A25" s="60" t="s">
        <v>471</v>
      </c>
      <c r="B25" s="68" t="s">
        <v>1738</v>
      </c>
      <c r="C25" s="68"/>
      <c r="D25" s="250">
        <f t="shared" ref="D25:E25" si="50">D61+D97+D133</f>
        <v>0</v>
      </c>
      <c r="E25" s="250">
        <f t="shared" si="50"/>
        <v>0</v>
      </c>
      <c r="F25" s="250">
        <f t="shared" ref="F25:I29" si="51">F61+F97+F133</f>
        <v>0</v>
      </c>
      <c r="G25" s="250">
        <f t="shared" ref="G25:H25" si="52">G61+G97+G133</f>
        <v>0</v>
      </c>
      <c r="H25" s="250">
        <f t="shared" si="52"/>
        <v>0</v>
      </c>
      <c r="I25" s="250">
        <f t="shared" si="51"/>
        <v>0</v>
      </c>
      <c r="J25" s="250">
        <f t="shared" ref="J25" si="53">J61+J97+J133</f>
        <v>0</v>
      </c>
      <c r="K25" s="250"/>
      <c r="L25" s="250"/>
    </row>
    <row r="26" spans="1:12" s="41" customFormat="1" ht="15" customHeight="1">
      <c r="A26" s="60" t="s">
        <v>475</v>
      </c>
      <c r="B26" s="68" t="s">
        <v>1739</v>
      </c>
      <c r="C26" s="68"/>
      <c r="D26" s="250">
        <f t="shared" ref="D26:E26" si="54">D62+D98+D134</f>
        <v>0</v>
      </c>
      <c r="E26" s="250">
        <f t="shared" si="54"/>
        <v>0</v>
      </c>
      <c r="F26" s="250">
        <f t="shared" si="51"/>
        <v>0</v>
      </c>
      <c r="G26" s="250">
        <f t="shared" ref="G26:H26" si="55">G62+G98+G134</f>
        <v>0</v>
      </c>
      <c r="H26" s="250">
        <f t="shared" si="55"/>
        <v>0</v>
      </c>
      <c r="I26" s="250">
        <f t="shared" si="51"/>
        <v>0</v>
      </c>
      <c r="J26" s="250">
        <f t="shared" ref="J26" si="56">J62+J98+J134</f>
        <v>0</v>
      </c>
      <c r="K26" s="250"/>
      <c r="L26" s="250"/>
    </row>
    <row r="27" spans="1:12" s="41" customFormat="1" ht="15" customHeight="1">
      <c r="A27" s="60" t="s">
        <v>477</v>
      </c>
      <c r="B27" s="68" t="s">
        <v>1740</v>
      </c>
      <c r="C27" s="68"/>
      <c r="D27" s="250">
        <f t="shared" ref="D27:E27" si="57">D63+D99+D135</f>
        <v>0</v>
      </c>
      <c r="E27" s="250">
        <f t="shared" si="57"/>
        <v>0</v>
      </c>
      <c r="F27" s="250">
        <f t="shared" si="51"/>
        <v>0</v>
      </c>
      <c r="G27" s="250">
        <f t="shared" ref="G27:H27" si="58">G63+G99+G135</f>
        <v>0</v>
      </c>
      <c r="H27" s="250">
        <f t="shared" si="58"/>
        <v>0</v>
      </c>
      <c r="I27" s="250">
        <f t="shared" si="51"/>
        <v>0</v>
      </c>
      <c r="J27" s="250">
        <f t="shared" ref="J27" si="59">J63+J99+J135</f>
        <v>0</v>
      </c>
      <c r="K27" s="250"/>
      <c r="L27" s="250"/>
    </row>
    <row r="28" spans="1:12" s="41" customFormat="1" ht="15" customHeight="1">
      <c r="A28" s="60"/>
      <c r="B28" s="338" t="s">
        <v>958</v>
      </c>
      <c r="C28" s="338"/>
      <c r="D28" s="250">
        <f t="shared" ref="D28:E28" si="60">D64+D100+D136</f>
        <v>0</v>
      </c>
      <c r="E28" s="250">
        <f t="shared" si="60"/>
        <v>0</v>
      </c>
      <c r="F28" s="250">
        <f t="shared" si="51"/>
        <v>0</v>
      </c>
      <c r="G28" s="250">
        <f t="shared" ref="G28:H28" si="61">G64+G100+G136</f>
        <v>0</v>
      </c>
      <c r="H28" s="250">
        <f t="shared" si="61"/>
        <v>0</v>
      </c>
      <c r="I28" s="250">
        <f t="shared" si="51"/>
        <v>0</v>
      </c>
      <c r="J28" s="250">
        <f t="shared" ref="J28" si="62">J64+J100+J136</f>
        <v>0</v>
      </c>
      <c r="K28" s="250"/>
      <c r="L28" s="250"/>
    </row>
    <row r="29" spans="1:12" s="41" customFormat="1" ht="15" customHeight="1">
      <c r="A29" s="60" t="s">
        <v>479</v>
      </c>
      <c r="B29" s="68" t="s">
        <v>525</v>
      </c>
      <c r="C29" s="68"/>
      <c r="D29" s="250">
        <f t="shared" ref="D29:E29" si="63">D65+D101+D137</f>
        <v>0</v>
      </c>
      <c r="E29" s="250">
        <f t="shared" si="63"/>
        <v>0</v>
      </c>
      <c r="F29" s="250">
        <f>F65+F101+F137</f>
        <v>0</v>
      </c>
      <c r="G29" s="250">
        <f>G65+G101+G137</f>
        <v>0</v>
      </c>
      <c r="H29" s="250">
        <f>H65+H101+H137</f>
        <v>0</v>
      </c>
      <c r="I29" s="250">
        <f t="shared" si="51"/>
        <v>0</v>
      </c>
      <c r="J29" s="250">
        <f t="shared" ref="J29" si="64">J65+J101+J137</f>
        <v>0</v>
      </c>
      <c r="K29" s="250"/>
      <c r="L29" s="250"/>
    </row>
    <row r="30" spans="1:12" s="41" customFormat="1" ht="15" customHeight="1">
      <c r="A30" s="60" t="s">
        <v>481</v>
      </c>
      <c r="B30" s="68" t="s">
        <v>526</v>
      </c>
      <c r="C30" s="68"/>
      <c r="D30" s="250">
        <f t="shared" ref="D30:E30" si="65">D66+D102+D138</f>
        <v>0</v>
      </c>
      <c r="E30" s="250">
        <f t="shared" si="65"/>
        <v>0</v>
      </c>
      <c r="F30" s="250">
        <f t="shared" ref="F30:I35" si="66">F66+F102+F138</f>
        <v>0</v>
      </c>
      <c r="G30" s="250">
        <f t="shared" ref="G30:H30" si="67">G66+G102+G138</f>
        <v>0</v>
      </c>
      <c r="H30" s="250">
        <f t="shared" si="67"/>
        <v>0</v>
      </c>
      <c r="I30" s="250">
        <f t="shared" si="66"/>
        <v>0</v>
      </c>
      <c r="J30" s="250">
        <f t="shared" ref="J30" si="68">J66+J102+J138</f>
        <v>0</v>
      </c>
      <c r="K30" s="250"/>
      <c r="L30" s="250"/>
    </row>
    <row r="31" spans="1:12" s="41" customFormat="1" ht="15" customHeight="1">
      <c r="A31" s="60"/>
      <c r="B31" s="68" t="s">
        <v>527</v>
      </c>
      <c r="C31" s="68"/>
      <c r="D31" s="250">
        <f t="shared" ref="D31:E31" si="69">D67+D103+D139</f>
        <v>0</v>
      </c>
      <c r="E31" s="250">
        <f t="shared" si="69"/>
        <v>0</v>
      </c>
      <c r="F31" s="250">
        <f t="shared" si="66"/>
        <v>0</v>
      </c>
      <c r="G31" s="250">
        <f t="shared" ref="G31:H31" si="70">G67+G103+G139</f>
        <v>0</v>
      </c>
      <c r="H31" s="250">
        <f t="shared" si="70"/>
        <v>0</v>
      </c>
      <c r="I31" s="250">
        <f t="shared" si="66"/>
        <v>0</v>
      </c>
      <c r="J31" s="250">
        <f t="shared" ref="J31" si="71">J67+J103+J139</f>
        <v>0</v>
      </c>
      <c r="K31" s="250"/>
      <c r="L31" s="250"/>
    </row>
    <row r="32" spans="1:12" s="41" customFormat="1" ht="15" customHeight="1">
      <c r="A32" s="60" t="s">
        <v>482</v>
      </c>
      <c r="B32" s="70" t="s">
        <v>402</v>
      </c>
      <c r="C32" s="70"/>
      <c r="D32" s="250">
        <f t="shared" ref="D32:E32" si="72">D68+D104+D140</f>
        <v>0</v>
      </c>
      <c r="E32" s="250">
        <f t="shared" si="72"/>
        <v>0</v>
      </c>
      <c r="F32" s="250">
        <f t="shared" si="66"/>
        <v>0</v>
      </c>
      <c r="G32" s="250">
        <f t="shared" ref="G32:H32" si="73">G68+G104+G140</f>
        <v>0</v>
      </c>
      <c r="H32" s="250">
        <f t="shared" si="73"/>
        <v>0</v>
      </c>
      <c r="I32" s="250">
        <f t="shared" si="66"/>
        <v>0</v>
      </c>
      <c r="J32" s="250">
        <f t="shared" ref="J32" si="74">J68+J104+J140</f>
        <v>0</v>
      </c>
      <c r="K32" s="250"/>
      <c r="L32" s="250"/>
    </row>
    <row r="33" spans="1:12" s="41" customFormat="1" ht="15" customHeight="1">
      <c r="A33" s="60" t="s">
        <v>483</v>
      </c>
      <c r="B33" s="70" t="s">
        <v>404</v>
      </c>
      <c r="C33" s="70"/>
      <c r="D33" s="250">
        <f t="shared" ref="D33:E33" si="75">D69+D105+D141</f>
        <v>0</v>
      </c>
      <c r="E33" s="250">
        <f t="shared" si="75"/>
        <v>0</v>
      </c>
      <c r="F33" s="250">
        <f t="shared" si="66"/>
        <v>0</v>
      </c>
      <c r="G33" s="250">
        <f t="shared" ref="G33:H33" si="76">G69+G105+G141</f>
        <v>0</v>
      </c>
      <c r="H33" s="250">
        <f t="shared" si="76"/>
        <v>0</v>
      </c>
      <c r="I33" s="250">
        <f t="shared" si="66"/>
        <v>0</v>
      </c>
      <c r="J33" s="250">
        <f t="shared" ref="J33" si="77">J69+J105+J141</f>
        <v>0</v>
      </c>
      <c r="K33" s="250"/>
      <c r="L33" s="250"/>
    </row>
    <row r="34" spans="1:12" s="41" customFormat="1" ht="15" customHeight="1">
      <c r="A34" s="60" t="s">
        <v>528</v>
      </c>
      <c r="B34" s="70" t="s">
        <v>406</v>
      </c>
      <c r="C34" s="70"/>
      <c r="D34" s="250">
        <f t="shared" ref="D34:E34" si="78">D70+D106+D142</f>
        <v>0</v>
      </c>
      <c r="E34" s="250">
        <f t="shared" si="78"/>
        <v>0</v>
      </c>
      <c r="F34" s="250">
        <f t="shared" si="66"/>
        <v>0</v>
      </c>
      <c r="G34" s="250">
        <f t="shared" ref="G34:H34" si="79">G70+G106+G142</f>
        <v>0</v>
      </c>
      <c r="H34" s="250">
        <f t="shared" si="79"/>
        <v>0</v>
      </c>
      <c r="I34" s="250">
        <f t="shared" si="66"/>
        <v>0</v>
      </c>
      <c r="J34" s="250">
        <f t="shared" ref="J34" si="80">J70+J106+J142</f>
        <v>0</v>
      </c>
      <c r="K34" s="250"/>
      <c r="L34" s="250"/>
    </row>
    <row r="35" spans="1:12" s="41" customFormat="1" ht="15" customHeight="1">
      <c r="A35" s="60" t="s">
        <v>529</v>
      </c>
      <c r="B35" s="70" t="s">
        <v>408</v>
      </c>
      <c r="C35" s="70"/>
      <c r="D35" s="250">
        <f t="shared" ref="D35:E35" si="81">D71+D107+D143</f>
        <v>0</v>
      </c>
      <c r="E35" s="250">
        <f t="shared" si="81"/>
        <v>0</v>
      </c>
      <c r="F35" s="250">
        <f t="shared" si="66"/>
        <v>0</v>
      </c>
      <c r="G35" s="250">
        <f t="shared" ref="G35:H35" si="82">G71+G107+G143</f>
        <v>0</v>
      </c>
      <c r="H35" s="250">
        <f t="shared" si="82"/>
        <v>0</v>
      </c>
      <c r="I35" s="250">
        <f t="shared" si="66"/>
        <v>0</v>
      </c>
      <c r="J35" s="250">
        <f t="shared" ref="J35" si="83">J71+J107+J143</f>
        <v>0</v>
      </c>
      <c r="K35" s="250"/>
      <c r="L35" s="250"/>
    </row>
    <row r="37" spans="1:12" s="5" customFormat="1" ht="18" customHeight="1">
      <c r="A37" s="74" t="s">
        <v>1860</v>
      </c>
      <c r="I37" s="6"/>
      <c r="J37" s="6" t="s">
        <v>947</v>
      </c>
    </row>
    <row r="38" spans="1:12" ht="12.75" customHeight="1">
      <c r="A38" s="1644" t="str">
        <f>'4.1_котельные'!A2</f>
        <v>ПКГО - выработка котельными</v>
      </c>
    </row>
    <row r="39" spans="1:12" ht="18.75">
      <c r="A39" s="1877" t="s">
        <v>508</v>
      </c>
      <c r="B39" s="1877"/>
      <c r="C39" s="1877"/>
      <c r="D39" s="1877"/>
      <c r="E39" s="1877"/>
      <c r="F39" s="1877"/>
      <c r="G39" s="1877"/>
      <c r="H39" s="1877"/>
      <c r="I39" s="1877"/>
    </row>
    <row r="40" spans="1:12" ht="12.75" customHeight="1">
      <c r="B40" s="535"/>
      <c r="C40" s="769"/>
      <c r="D40" s="769"/>
      <c r="E40" s="769"/>
      <c r="F40" s="535"/>
      <c r="G40" s="1283"/>
      <c r="H40" s="1583"/>
      <c r="I40" s="535"/>
    </row>
    <row r="41" spans="1:12" ht="14.25" customHeight="1">
      <c r="I41" s="23"/>
      <c r="J41" s="23" t="s">
        <v>360</v>
      </c>
    </row>
    <row r="42" spans="1:12" s="3" customFormat="1" ht="60">
      <c r="A42" s="540" t="s">
        <v>0</v>
      </c>
      <c r="B42" s="540" t="s">
        <v>509</v>
      </c>
      <c r="C42" s="772"/>
      <c r="D42" s="1284" t="s">
        <v>1130</v>
      </c>
      <c r="E42" s="1284" t="s">
        <v>1131</v>
      </c>
      <c r="F42" s="1284" t="s">
        <v>1695</v>
      </c>
      <c r="G42" s="1586" t="s">
        <v>1828</v>
      </c>
      <c r="H42" s="1641" t="s">
        <v>1861</v>
      </c>
      <c r="I42" s="1641" t="s">
        <v>1862</v>
      </c>
      <c r="J42" s="1641" t="s">
        <v>1863</v>
      </c>
      <c r="K42" s="1641" t="s">
        <v>763</v>
      </c>
      <c r="L42" s="1641" t="s">
        <v>764</v>
      </c>
    </row>
    <row r="43" spans="1:12" s="2" customFormat="1">
      <c r="A43" s="13">
        <v>1</v>
      </c>
      <c r="B43" s="13">
        <v>2</v>
      </c>
      <c r="C43" s="13"/>
      <c r="D43" s="13">
        <v>3</v>
      </c>
      <c r="E43" s="13"/>
      <c r="F43" s="13">
        <v>3</v>
      </c>
      <c r="G43" s="13">
        <v>4</v>
      </c>
      <c r="H43" s="13">
        <v>5</v>
      </c>
      <c r="I43" s="13">
        <v>6</v>
      </c>
      <c r="J43" s="13">
        <v>7</v>
      </c>
      <c r="K43" s="13">
        <v>5</v>
      </c>
      <c r="L43" s="13">
        <v>6</v>
      </c>
    </row>
    <row r="44" spans="1:12" s="41" customFormat="1" ht="15" customHeight="1">
      <c r="A44" s="60">
        <v>1</v>
      </c>
      <c r="B44" s="68" t="s">
        <v>510</v>
      </c>
      <c r="C44" s="68"/>
      <c r="D44" s="250">
        <f>D46+D47+D49+D50+D51</f>
        <v>0</v>
      </c>
      <c r="E44" s="250">
        <f t="shared" ref="E44:I44" si="84">E46+E47+E49+E50+E51</f>
        <v>0</v>
      </c>
      <c r="F44" s="250">
        <f t="shared" si="84"/>
        <v>0</v>
      </c>
      <c r="G44" s="250">
        <f t="shared" ref="G44:H44" si="85">G46+G47+G49+G50+G51</f>
        <v>0</v>
      </c>
      <c r="H44" s="250">
        <f t="shared" si="85"/>
        <v>0</v>
      </c>
      <c r="I44" s="250">
        <f t="shared" si="84"/>
        <v>0</v>
      </c>
      <c r="J44" s="250">
        <f t="shared" ref="J44" si="86">J46+J47+J49+J50+J51</f>
        <v>0</v>
      </c>
      <c r="K44" s="250"/>
      <c r="L44" s="250"/>
    </row>
    <row r="45" spans="1:12" s="41" customFormat="1" ht="15" customHeight="1">
      <c r="A45" s="60"/>
      <c r="B45" s="68" t="s">
        <v>70</v>
      </c>
      <c r="C45" s="68"/>
      <c r="D45" s="68"/>
      <c r="E45" s="68"/>
      <c r="F45" s="250"/>
      <c r="G45" s="250"/>
      <c r="H45" s="250"/>
      <c r="I45" s="250"/>
      <c r="J45" s="250"/>
      <c r="K45" s="250"/>
      <c r="L45" s="250"/>
    </row>
    <row r="46" spans="1:12" s="41" customFormat="1" ht="15" customHeight="1">
      <c r="A46" s="60" t="s">
        <v>5</v>
      </c>
      <c r="B46" s="70" t="s">
        <v>511</v>
      </c>
      <c r="C46" s="70"/>
      <c r="D46" s="250"/>
      <c r="E46" s="250"/>
      <c r="F46" s="250"/>
      <c r="G46" s="250"/>
      <c r="H46" s="250"/>
      <c r="I46" s="250"/>
      <c r="J46" s="250"/>
      <c r="K46" s="250"/>
      <c r="L46" s="250"/>
    </row>
    <row r="47" spans="1:12" s="41" customFormat="1" ht="15" customHeight="1">
      <c r="A47" s="60" t="s">
        <v>11</v>
      </c>
      <c r="B47" s="70" t="s">
        <v>512</v>
      </c>
      <c r="C47" s="70"/>
      <c r="D47" s="70"/>
      <c r="E47" s="70"/>
      <c r="F47" s="250"/>
      <c r="G47" s="250"/>
      <c r="H47" s="250"/>
      <c r="I47" s="250"/>
      <c r="J47" s="250"/>
      <c r="K47" s="250"/>
      <c r="L47" s="250"/>
    </row>
    <row r="48" spans="1:12" s="41" customFormat="1" ht="15" customHeight="1">
      <c r="A48" s="60"/>
      <c r="B48" s="68" t="s">
        <v>513</v>
      </c>
      <c r="C48" s="68"/>
      <c r="D48" s="68"/>
      <c r="E48" s="68"/>
      <c r="F48" s="250"/>
      <c r="G48" s="250"/>
      <c r="H48" s="250"/>
      <c r="I48" s="250"/>
      <c r="J48" s="250"/>
      <c r="K48" s="250"/>
      <c r="L48" s="250"/>
    </row>
    <row r="49" spans="1:12" s="41" customFormat="1" ht="15" customHeight="1">
      <c r="A49" s="60" t="s">
        <v>445</v>
      </c>
      <c r="B49" s="70" t="s">
        <v>402</v>
      </c>
      <c r="C49" s="70"/>
      <c r="D49" s="70"/>
      <c r="E49" s="70"/>
      <c r="F49" s="250"/>
      <c r="G49" s="250"/>
      <c r="H49" s="250"/>
      <c r="I49" s="250"/>
      <c r="J49" s="250"/>
      <c r="K49" s="250"/>
      <c r="L49" s="250"/>
    </row>
    <row r="50" spans="1:12" s="41" customFormat="1" ht="15" customHeight="1">
      <c r="A50" s="60" t="s">
        <v>446</v>
      </c>
      <c r="B50" s="70" t="s">
        <v>404</v>
      </c>
      <c r="C50" s="70"/>
      <c r="D50" s="70"/>
      <c r="E50" s="70"/>
      <c r="F50" s="250"/>
      <c r="G50" s="250"/>
      <c r="H50" s="250"/>
      <c r="I50" s="250"/>
      <c r="J50" s="250"/>
      <c r="K50" s="250"/>
      <c r="L50" s="250"/>
    </row>
    <row r="51" spans="1:12" s="41" customFormat="1" ht="15" customHeight="1">
      <c r="A51" s="60" t="s">
        <v>461</v>
      </c>
      <c r="B51" s="70" t="s">
        <v>406</v>
      </c>
      <c r="C51" s="70"/>
      <c r="D51" s="70"/>
      <c r="E51" s="70"/>
      <c r="F51" s="250"/>
      <c r="G51" s="250"/>
      <c r="H51" s="250"/>
      <c r="I51" s="250"/>
      <c r="J51" s="250"/>
      <c r="K51" s="250"/>
      <c r="L51" s="250"/>
    </row>
    <row r="52" spans="1:12" s="41" customFormat="1" ht="15" customHeight="1">
      <c r="A52" s="60" t="s">
        <v>514</v>
      </c>
      <c r="B52" s="70" t="s">
        <v>408</v>
      </c>
      <c r="C52" s="70"/>
      <c r="D52" s="70"/>
      <c r="E52" s="70"/>
      <c r="F52" s="250"/>
      <c r="G52" s="250"/>
      <c r="H52" s="250"/>
      <c r="I52" s="250"/>
      <c r="J52" s="250"/>
      <c r="K52" s="250"/>
      <c r="L52" s="250"/>
    </row>
    <row r="53" spans="1:12" s="41" customFormat="1" ht="15" customHeight="1">
      <c r="A53" s="60" t="s">
        <v>23</v>
      </c>
      <c r="B53" s="68" t="s">
        <v>515</v>
      </c>
      <c r="C53" s="68"/>
      <c r="D53" s="68">
        <f>D55+D57+D58+D59+D60+D61+D62+D63</f>
        <v>0</v>
      </c>
      <c r="E53" s="68">
        <f t="shared" ref="E53:I53" si="87">E55+E57+E58+E59+E60+E61+E62+E63</f>
        <v>0</v>
      </c>
      <c r="F53" s="68">
        <f t="shared" si="87"/>
        <v>0</v>
      </c>
      <c r="G53" s="68">
        <f t="shared" ref="G53:H53" si="88">G55+G57+G58+G59+G60+G61+G62+G63</f>
        <v>0</v>
      </c>
      <c r="H53" s="68">
        <f t="shared" si="88"/>
        <v>0</v>
      </c>
      <c r="I53" s="68">
        <f t="shared" si="87"/>
        <v>0</v>
      </c>
      <c r="J53" s="68">
        <f t="shared" ref="J53" si="89">J55+J57+J58+J59+J60+J61+J62+J63</f>
        <v>0</v>
      </c>
      <c r="K53" s="250"/>
      <c r="L53" s="250"/>
    </row>
    <row r="54" spans="1:12" s="41" customFormat="1" ht="15" customHeight="1">
      <c r="A54" s="60"/>
      <c r="B54" s="68" t="s">
        <v>516</v>
      </c>
      <c r="C54" s="68"/>
      <c r="D54" s="68"/>
      <c r="E54" s="68"/>
      <c r="F54" s="250"/>
      <c r="G54" s="250"/>
      <c r="H54" s="250"/>
      <c r="I54" s="250"/>
      <c r="J54" s="250"/>
      <c r="K54" s="250"/>
      <c r="L54" s="250"/>
    </row>
    <row r="55" spans="1:12" s="41" customFormat="1" ht="30" customHeight="1">
      <c r="A55" s="60" t="s">
        <v>24</v>
      </c>
      <c r="B55" s="68" t="s">
        <v>517</v>
      </c>
      <c r="C55" s="68"/>
      <c r="D55" s="68"/>
      <c r="E55" s="68"/>
      <c r="F55" s="250"/>
      <c r="G55" s="250"/>
      <c r="H55" s="250"/>
      <c r="I55" s="250"/>
      <c r="J55" s="250"/>
      <c r="K55" s="250"/>
      <c r="L55" s="250"/>
    </row>
    <row r="56" spans="1:12" s="41" customFormat="1" ht="30" customHeight="1">
      <c r="A56" s="60" t="s">
        <v>25</v>
      </c>
      <c r="B56" s="68" t="s">
        <v>518</v>
      </c>
      <c r="C56" s="68"/>
      <c r="D56" s="68"/>
      <c r="E56" s="68"/>
      <c r="F56" s="250"/>
      <c r="G56" s="250"/>
      <c r="H56" s="250"/>
      <c r="I56" s="250"/>
      <c r="J56" s="250"/>
      <c r="K56" s="250"/>
      <c r="L56" s="250"/>
    </row>
    <row r="57" spans="1:12" s="41" customFormat="1" ht="15" customHeight="1">
      <c r="A57" s="60" t="s">
        <v>139</v>
      </c>
      <c r="B57" s="68" t="s">
        <v>519</v>
      </c>
      <c r="C57" s="68"/>
      <c r="D57" s="68"/>
      <c r="E57" s="68"/>
      <c r="F57" s="250"/>
      <c r="G57" s="250"/>
      <c r="H57" s="250"/>
      <c r="I57" s="250"/>
      <c r="J57" s="250"/>
      <c r="K57" s="250"/>
      <c r="L57" s="250"/>
    </row>
    <row r="58" spans="1:12" s="41" customFormat="1" ht="15" customHeight="1">
      <c r="A58" s="60" t="s">
        <v>433</v>
      </c>
      <c r="B58" s="68" t="s">
        <v>520</v>
      </c>
      <c r="C58" s="68"/>
      <c r="D58" s="68"/>
      <c r="E58" s="68"/>
      <c r="F58" s="250"/>
      <c r="G58" s="250"/>
      <c r="H58" s="250"/>
      <c r="I58" s="250"/>
      <c r="J58" s="250"/>
      <c r="K58" s="250"/>
      <c r="L58" s="250"/>
    </row>
    <row r="59" spans="1:12" s="41" customFormat="1" ht="15" customHeight="1">
      <c r="A59" s="60" t="s">
        <v>521</v>
      </c>
      <c r="B59" s="68" t="s">
        <v>522</v>
      </c>
      <c r="C59" s="68"/>
      <c r="D59" s="68"/>
      <c r="E59" s="68"/>
      <c r="F59" s="250"/>
      <c r="G59" s="250"/>
      <c r="H59" s="250"/>
      <c r="I59" s="250"/>
      <c r="J59" s="250"/>
      <c r="K59" s="250"/>
      <c r="L59" s="250"/>
    </row>
    <row r="60" spans="1:12" s="41" customFormat="1" ht="30" customHeight="1">
      <c r="A60" s="60" t="s">
        <v>523</v>
      </c>
      <c r="B60" s="68" t="s">
        <v>524</v>
      </c>
      <c r="C60" s="68"/>
      <c r="D60" s="68"/>
      <c r="E60" s="68"/>
      <c r="F60" s="250"/>
      <c r="G60" s="250"/>
      <c r="H60" s="250"/>
      <c r="I60" s="250"/>
      <c r="J60" s="250"/>
      <c r="K60" s="250"/>
      <c r="L60" s="250"/>
    </row>
    <row r="61" spans="1:12" s="41" customFormat="1" ht="15" customHeight="1">
      <c r="A61" s="60" t="s">
        <v>471</v>
      </c>
      <c r="B61" s="68" t="s">
        <v>1738</v>
      </c>
      <c r="C61" s="68"/>
      <c r="D61" s="68"/>
      <c r="E61" s="68"/>
      <c r="F61" s="250"/>
      <c r="G61" s="250"/>
      <c r="H61" s="250"/>
      <c r="I61" s="250"/>
      <c r="J61" s="250"/>
      <c r="K61" s="250"/>
      <c r="L61" s="250"/>
    </row>
    <row r="62" spans="1:12" s="41" customFormat="1" ht="15" customHeight="1">
      <c r="A62" s="60" t="s">
        <v>475</v>
      </c>
      <c r="B62" s="68" t="s">
        <v>1739</v>
      </c>
      <c r="C62" s="68"/>
      <c r="D62" s="68"/>
      <c r="E62" s="68"/>
      <c r="F62" s="250"/>
      <c r="G62" s="250"/>
      <c r="H62" s="250"/>
      <c r="I62" s="250"/>
      <c r="J62" s="250"/>
      <c r="K62" s="250"/>
      <c r="L62" s="250"/>
    </row>
    <row r="63" spans="1:12" s="41" customFormat="1" ht="15" customHeight="1">
      <c r="A63" s="60" t="s">
        <v>477</v>
      </c>
      <c r="B63" s="68" t="s">
        <v>1740</v>
      </c>
      <c r="C63" s="68"/>
      <c r="D63" s="68"/>
      <c r="E63" s="68"/>
      <c r="F63" s="250"/>
      <c r="G63" s="250"/>
      <c r="H63" s="250"/>
      <c r="I63" s="250"/>
      <c r="J63" s="250"/>
      <c r="K63" s="250"/>
      <c r="L63" s="250"/>
    </row>
    <row r="64" spans="1:12" s="41" customFormat="1" ht="15" customHeight="1">
      <c r="A64" s="60"/>
      <c r="B64" s="338" t="s">
        <v>958</v>
      </c>
      <c r="C64" s="338"/>
      <c r="D64" s="338"/>
      <c r="E64" s="338"/>
      <c r="F64" s="250"/>
      <c r="G64" s="250"/>
      <c r="H64" s="250"/>
      <c r="I64" s="250"/>
      <c r="J64" s="250"/>
      <c r="K64" s="250"/>
      <c r="L64" s="250"/>
    </row>
    <row r="65" spans="1:12" s="41" customFormat="1" ht="15" customHeight="1">
      <c r="A65" s="60" t="s">
        <v>479</v>
      </c>
      <c r="B65" s="68" t="s">
        <v>525</v>
      </c>
      <c r="C65" s="68"/>
      <c r="D65" s="250">
        <f t="shared" ref="D65" si="90">D55+SUM(D57:D64)</f>
        <v>0</v>
      </c>
      <c r="E65" s="250">
        <f t="shared" ref="E65" si="91">E55+SUM(E57:E64)</f>
        <v>0</v>
      </c>
      <c r="F65" s="250">
        <f>F55+SUM(F57:F64)</f>
        <v>0</v>
      </c>
      <c r="G65" s="250">
        <f>G55+SUM(G57:G64)</f>
        <v>0</v>
      </c>
      <c r="H65" s="250">
        <f>H55+SUM(H57:H64)</f>
        <v>0</v>
      </c>
      <c r="I65" s="250">
        <f>I55+SUM(I57:I64)</f>
        <v>0</v>
      </c>
      <c r="J65" s="250">
        <f>J55+SUM(J57:J64)</f>
        <v>0</v>
      </c>
      <c r="K65" s="250"/>
      <c r="L65" s="250"/>
    </row>
    <row r="66" spans="1:12" s="41" customFormat="1" ht="15" customHeight="1">
      <c r="A66" s="60" t="s">
        <v>481</v>
      </c>
      <c r="B66" s="68" t="s">
        <v>526</v>
      </c>
      <c r="C66" s="68"/>
      <c r="D66" s="68"/>
      <c r="E66" s="68"/>
      <c r="F66" s="250"/>
      <c r="G66" s="250"/>
      <c r="H66" s="250"/>
      <c r="I66" s="250"/>
      <c r="J66" s="250"/>
      <c r="K66" s="250"/>
      <c r="L66" s="250"/>
    </row>
    <row r="67" spans="1:12" s="41" customFormat="1" ht="15" customHeight="1">
      <c r="A67" s="60"/>
      <c r="B67" s="68" t="s">
        <v>527</v>
      </c>
      <c r="C67" s="68"/>
      <c r="D67" s="68"/>
      <c r="E67" s="68"/>
      <c r="F67" s="250"/>
      <c r="G67" s="250"/>
      <c r="H67" s="250"/>
      <c r="I67" s="250"/>
      <c r="J67" s="250"/>
      <c r="K67" s="250"/>
      <c r="L67" s="250"/>
    </row>
    <row r="68" spans="1:12" s="41" customFormat="1" ht="15" customHeight="1">
      <c r="A68" s="60" t="s">
        <v>482</v>
      </c>
      <c r="B68" s="70" t="s">
        <v>402</v>
      </c>
      <c r="C68" s="70"/>
      <c r="D68" s="70"/>
      <c r="E68" s="70"/>
      <c r="F68" s="250"/>
      <c r="G68" s="250"/>
      <c r="H68" s="250"/>
      <c r="I68" s="250"/>
      <c r="J68" s="250"/>
      <c r="K68" s="250"/>
      <c r="L68" s="250"/>
    </row>
    <row r="69" spans="1:12" s="41" customFormat="1" ht="15" customHeight="1">
      <c r="A69" s="60" t="s">
        <v>483</v>
      </c>
      <c r="B69" s="70" t="s">
        <v>404</v>
      </c>
      <c r="C69" s="70"/>
      <c r="D69" s="70"/>
      <c r="E69" s="70"/>
      <c r="F69" s="250"/>
      <c r="G69" s="250"/>
      <c r="H69" s="250"/>
      <c r="I69" s="250"/>
      <c r="J69" s="250"/>
      <c r="K69" s="250"/>
      <c r="L69" s="250"/>
    </row>
    <row r="70" spans="1:12" s="41" customFormat="1" ht="15" customHeight="1">
      <c r="A70" s="60" t="s">
        <v>528</v>
      </c>
      <c r="B70" s="70" t="s">
        <v>406</v>
      </c>
      <c r="C70" s="70"/>
      <c r="D70" s="70"/>
      <c r="E70" s="70"/>
      <c r="F70" s="250"/>
      <c r="G70" s="250"/>
      <c r="H70" s="250"/>
      <c r="I70" s="250"/>
      <c r="J70" s="250"/>
      <c r="K70" s="250"/>
      <c r="L70" s="250"/>
    </row>
    <row r="71" spans="1:12" s="41" customFormat="1" ht="15" customHeight="1">
      <c r="A71" s="60" t="s">
        <v>529</v>
      </c>
      <c r="B71" s="70" t="s">
        <v>408</v>
      </c>
      <c r="C71" s="70"/>
      <c r="D71" s="70"/>
      <c r="E71" s="70"/>
      <c r="F71" s="250"/>
      <c r="G71" s="250"/>
      <c r="H71" s="250"/>
      <c r="I71" s="250"/>
      <c r="J71" s="250"/>
      <c r="K71" s="250"/>
      <c r="L71" s="250"/>
    </row>
    <row r="73" spans="1:12" s="5" customFormat="1" ht="18" customHeight="1">
      <c r="A73" s="74" t="s">
        <v>1860</v>
      </c>
      <c r="I73" s="6"/>
      <c r="J73" s="6" t="s">
        <v>945</v>
      </c>
    </row>
    <row r="74" spans="1:12" ht="12.75" customHeight="1">
      <c r="A74" s="1644" t="str">
        <f>'4.1_котельные'!A2</f>
        <v>ПКГО - выработка котельными</v>
      </c>
    </row>
    <row r="75" spans="1:12" ht="18.75">
      <c r="A75" s="1877" t="s">
        <v>508</v>
      </c>
      <c r="B75" s="1877"/>
      <c r="C75" s="1877"/>
      <c r="D75" s="1877"/>
      <c r="E75" s="1877"/>
      <c r="F75" s="1877"/>
      <c r="G75" s="1877"/>
      <c r="H75" s="1877"/>
      <c r="I75" s="1877"/>
    </row>
    <row r="76" spans="1:12" ht="12.75" customHeight="1">
      <c r="B76" s="535"/>
      <c r="C76" s="769"/>
      <c r="D76" s="769"/>
      <c r="E76" s="769"/>
      <c r="F76" s="535"/>
      <c r="G76" s="1283"/>
      <c r="H76" s="1583"/>
      <c r="I76" s="535"/>
    </row>
    <row r="77" spans="1:12" ht="14.25" customHeight="1">
      <c r="I77" s="23"/>
      <c r="J77" s="23" t="s">
        <v>360</v>
      </c>
    </row>
    <row r="78" spans="1:12" s="3" customFormat="1" ht="60">
      <c r="A78" s="540" t="s">
        <v>0</v>
      </c>
      <c r="B78" s="540" t="s">
        <v>509</v>
      </c>
      <c r="C78" s="772"/>
      <c r="D78" s="1284" t="s">
        <v>1130</v>
      </c>
      <c r="E78" s="1284" t="s">
        <v>1131</v>
      </c>
      <c r="F78" s="1284" t="s">
        <v>1695</v>
      </c>
      <c r="G78" s="1586" t="s">
        <v>1828</v>
      </c>
      <c r="H78" s="1641" t="s">
        <v>1861</v>
      </c>
      <c r="I78" s="1641" t="s">
        <v>1862</v>
      </c>
      <c r="J78" s="1641" t="s">
        <v>1863</v>
      </c>
      <c r="K78" s="1641" t="s">
        <v>763</v>
      </c>
      <c r="L78" s="1641" t="s">
        <v>764</v>
      </c>
    </row>
    <row r="79" spans="1:12" s="2" customFormat="1">
      <c r="A79" s="13">
        <v>1</v>
      </c>
      <c r="B79" s="13">
        <v>2</v>
      </c>
      <c r="C79" s="13"/>
      <c r="D79" s="13">
        <v>3</v>
      </c>
      <c r="E79" s="13"/>
      <c r="F79" s="13">
        <v>3</v>
      </c>
      <c r="G79" s="13">
        <v>4</v>
      </c>
      <c r="H79" s="13">
        <v>5</v>
      </c>
      <c r="I79" s="13">
        <v>6</v>
      </c>
      <c r="J79" s="13">
        <v>7</v>
      </c>
      <c r="K79" s="13">
        <v>5</v>
      </c>
      <c r="L79" s="13">
        <v>6</v>
      </c>
    </row>
    <row r="80" spans="1:12" s="41" customFormat="1" ht="15" customHeight="1">
      <c r="A80" s="60">
        <v>1</v>
      </c>
      <c r="B80" s="68" t="s">
        <v>510</v>
      </c>
      <c r="C80" s="68"/>
      <c r="D80" s="250">
        <f>D82+D83+D85+D86+D87</f>
        <v>0</v>
      </c>
      <c r="E80" s="250">
        <f t="shared" ref="E80:I80" si="92">E82+E83+E85+E86+E87</f>
        <v>0</v>
      </c>
      <c r="F80" s="250">
        <f t="shared" si="92"/>
        <v>0</v>
      </c>
      <c r="G80" s="250">
        <f t="shared" si="92"/>
        <v>0</v>
      </c>
      <c r="H80" s="250">
        <f t="shared" ref="H80" si="93">H82+H83+H85+H86+H87</f>
        <v>0</v>
      </c>
      <c r="I80" s="250">
        <f t="shared" si="92"/>
        <v>0</v>
      </c>
      <c r="J80" s="250">
        <f t="shared" ref="J80" si="94">J82+J83+J85+J86+J87</f>
        <v>0</v>
      </c>
      <c r="K80" s="250"/>
      <c r="L80" s="250"/>
    </row>
    <row r="81" spans="1:12" s="41" customFormat="1" ht="15" customHeight="1">
      <c r="A81" s="60"/>
      <c r="B81" s="68" t="s">
        <v>70</v>
      </c>
      <c r="C81" s="68"/>
      <c r="D81" s="68"/>
      <c r="E81" s="68"/>
      <c r="F81" s="250"/>
      <c r="G81" s="250"/>
      <c r="H81" s="250"/>
      <c r="I81" s="250"/>
      <c r="J81" s="250"/>
      <c r="K81" s="250"/>
      <c r="L81" s="250"/>
    </row>
    <row r="82" spans="1:12" s="41" customFormat="1" ht="15" customHeight="1">
      <c r="A82" s="60" t="s">
        <v>5</v>
      </c>
      <c r="B82" s="70" t="s">
        <v>511</v>
      </c>
      <c r="C82" s="70"/>
      <c r="D82" s="250"/>
      <c r="E82" s="250"/>
      <c r="F82" s="250"/>
      <c r="G82" s="250"/>
      <c r="H82" s="250"/>
      <c r="I82" s="250"/>
      <c r="J82" s="250"/>
      <c r="K82" s="250"/>
      <c r="L82" s="250"/>
    </row>
    <row r="83" spans="1:12" s="41" customFormat="1" ht="15" customHeight="1">
      <c r="A83" s="60" t="s">
        <v>11</v>
      </c>
      <c r="B83" s="70" t="s">
        <v>512</v>
      </c>
      <c r="C83" s="70"/>
      <c r="D83" s="70"/>
      <c r="E83" s="70"/>
      <c r="F83" s="250"/>
      <c r="G83" s="250"/>
      <c r="H83" s="250"/>
      <c r="I83" s="250"/>
      <c r="J83" s="250"/>
      <c r="K83" s="250"/>
      <c r="L83" s="250"/>
    </row>
    <row r="84" spans="1:12" s="41" customFormat="1" ht="15" customHeight="1">
      <c r="A84" s="60"/>
      <c r="B84" s="68" t="s">
        <v>513</v>
      </c>
      <c r="C84" s="68"/>
      <c r="D84" s="68"/>
      <c r="E84" s="68"/>
      <c r="F84" s="250"/>
      <c r="G84" s="250"/>
      <c r="H84" s="250"/>
      <c r="I84" s="250"/>
      <c r="J84" s="250"/>
      <c r="K84" s="250"/>
      <c r="L84" s="250"/>
    </row>
    <row r="85" spans="1:12" s="41" customFormat="1" ht="15" customHeight="1">
      <c r="A85" s="60" t="s">
        <v>445</v>
      </c>
      <c r="B85" s="70" t="s">
        <v>402</v>
      </c>
      <c r="C85" s="70"/>
      <c r="D85" s="70"/>
      <c r="E85" s="70"/>
      <c r="F85" s="250"/>
      <c r="G85" s="250"/>
      <c r="H85" s="250"/>
      <c r="I85" s="250"/>
      <c r="J85" s="250"/>
      <c r="K85" s="250"/>
      <c r="L85" s="250"/>
    </row>
    <row r="86" spans="1:12" s="41" customFormat="1" ht="15" customHeight="1">
      <c r="A86" s="60" t="s">
        <v>446</v>
      </c>
      <c r="B86" s="70" t="s">
        <v>404</v>
      </c>
      <c r="C86" s="70"/>
      <c r="D86" s="70"/>
      <c r="E86" s="70"/>
      <c r="F86" s="250"/>
      <c r="G86" s="250"/>
      <c r="H86" s="250"/>
      <c r="I86" s="250"/>
      <c r="J86" s="250"/>
      <c r="K86" s="250"/>
      <c r="L86" s="250"/>
    </row>
    <row r="87" spans="1:12" s="41" customFormat="1" ht="15" customHeight="1">
      <c r="A87" s="60" t="s">
        <v>461</v>
      </c>
      <c r="B87" s="70" t="s">
        <v>406</v>
      </c>
      <c r="C87" s="70"/>
      <c r="D87" s="70"/>
      <c r="E87" s="70"/>
      <c r="F87" s="250"/>
      <c r="G87" s="250"/>
      <c r="H87" s="250"/>
      <c r="I87" s="250"/>
      <c r="J87" s="250"/>
      <c r="K87" s="250"/>
      <c r="L87" s="250"/>
    </row>
    <row r="88" spans="1:12" s="41" customFormat="1" ht="15" customHeight="1">
      <c r="A88" s="60" t="s">
        <v>514</v>
      </c>
      <c r="B88" s="70" t="s">
        <v>408</v>
      </c>
      <c r="C88" s="70"/>
      <c r="D88" s="70"/>
      <c r="E88" s="70"/>
      <c r="F88" s="250"/>
      <c r="G88" s="250"/>
      <c r="H88" s="250"/>
      <c r="I88" s="250"/>
      <c r="J88" s="250"/>
      <c r="K88" s="250"/>
      <c r="L88" s="250"/>
    </row>
    <row r="89" spans="1:12" s="41" customFormat="1" ht="15" customHeight="1">
      <c r="A89" s="60" t="s">
        <v>23</v>
      </c>
      <c r="B89" s="68" t="s">
        <v>515</v>
      </c>
      <c r="C89" s="68"/>
      <c r="D89" s="68">
        <f>D91+D93+D94+D95+D96+D97+D98+D99</f>
        <v>0</v>
      </c>
      <c r="E89" s="68">
        <f t="shared" ref="E89:I89" si="95">E91+E93+E94+E95+E96+E97+E98+E99</f>
        <v>0</v>
      </c>
      <c r="F89" s="68">
        <f t="shared" si="95"/>
        <v>0</v>
      </c>
      <c r="G89" s="68">
        <f t="shared" si="95"/>
        <v>0</v>
      </c>
      <c r="H89" s="68">
        <f t="shared" ref="H89" si="96">H91+H93+H94+H95+H96+H97+H98+H99</f>
        <v>0</v>
      </c>
      <c r="I89" s="68">
        <f t="shared" si="95"/>
        <v>0</v>
      </c>
      <c r="J89" s="68">
        <f t="shared" ref="J89" si="97">J91+J93+J94+J95+J96+J97+J98+J99</f>
        <v>0</v>
      </c>
      <c r="K89" s="250"/>
      <c r="L89" s="250"/>
    </row>
    <row r="90" spans="1:12" s="41" customFormat="1" ht="15" customHeight="1">
      <c r="A90" s="60"/>
      <c r="B90" s="68" t="s">
        <v>516</v>
      </c>
      <c r="C90" s="68"/>
      <c r="D90" s="68"/>
      <c r="E90" s="68"/>
      <c r="F90" s="250"/>
      <c r="G90" s="250"/>
      <c r="H90" s="250"/>
      <c r="I90" s="250"/>
      <c r="J90" s="250"/>
      <c r="K90" s="250"/>
      <c r="L90" s="250"/>
    </row>
    <row r="91" spans="1:12" s="41" customFormat="1" ht="30" customHeight="1">
      <c r="A91" s="60" t="s">
        <v>24</v>
      </c>
      <c r="B91" s="68" t="s">
        <v>517</v>
      </c>
      <c r="C91" s="68"/>
      <c r="D91" s="68"/>
      <c r="E91" s="68"/>
      <c r="F91" s="250"/>
      <c r="G91" s="250"/>
      <c r="H91" s="250"/>
      <c r="I91" s="250"/>
      <c r="J91" s="250"/>
      <c r="K91" s="250"/>
      <c r="L91" s="250"/>
    </row>
    <row r="92" spans="1:12" s="41" customFormat="1" ht="30" customHeight="1">
      <c r="A92" s="60" t="s">
        <v>25</v>
      </c>
      <c r="B92" s="68" t="s">
        <v>518</v>
      </c>
      <c r="C92" s="68"/>
      <c r="D92" s="68"/>
      <c r="E92" s="68"/>
      <c r="F92" s="250"/>
      <c r="G92" s="250"/>
      <c r="H92" s="250"/>
      <c r="I92" s="250"/>
      <c r="J92" s="250"/>
      <c r="K92" s="250"/>
      <c r="L92" s="250"/>
    </row>
    <row r="93" spans="1:12" s="41" customFormat="1" ht="15" customHeight="1">
      <c r="A93" s="60" t="s">
        <v>139</v>
      </c>
      <c r="B93" s="68" t="s">
        <v>519</v>
      </c>
      <c r="C93" s="68"/>
      <c r="D93" s="68"/>
      <c r="E93" s="68"/>
      <c r="F93" s="250"/>
      <c r="G93" s="250"/>
      <c r="H93" s="250"/>
      <c r="I93" s="250"/>
      <c r="J93" s="250"/>
      <c r="K93" s="250"/>
      <c r="L93" s="250"/>
    </row>
    <row r="94" spans="1:12" s="41" customFormat="1" ht="15" customHeight="1">
      <c r="A94" s="60" t="s">
        <v>433</v>
      </c>
      <c r="B94" s="68" t="s">
        <v>520</v>
      </c>
      <c r="C94" s="68"/>
      <c r="D94" s="68"/>
      <c r="E94" s="68"/>
      <c r="F94" s="250"/>
      <c r="G94" s="250"/>
      <c r="H94" s="250"/>
      <c r="I94" s="250"/>
      <c r="J94" s="250"/>
      <c r="K94" s="250"/>
      <c r="L94" s="250"/>
    </row>
    <row r="95" spans="1:12" s="41" customFormat="1" ht="15" customHeight="1">
      <c r="A95" s="60" t="s">
        <v>521</v>
      </c>
      <c r="B95" s="68" t="s">
        <v>522</v>
      </c>
      <c r="C95" s="68"/>
      <c r="D95" s="68"/>
      <c r="E95" s="68"/>
      <c r="F95" s="250"/>
      <c r="G95" s="250"/>
      <c r="H95" s="250"/>
      <c r="I95" s="250"/>
      <c r="J95" s="250"/>
      <c r="K95" s="250"/>
      <c r="L95" s="250"/>
    </row>
    <row r="96" spans="1:12" s="41" customFormat="1" ht="30" customHeight="1">
      <c r="A96" s="60" t="s">
        <v>523</v>
      </c>
      <c r="B96" s="68" t="s">
        <v>524</v>
      </c>
      <c r="C96" s="68"/>
      <c r="D96" s="68"/>
      <c r="E96" s="68"/>
      <c r="F96" s="250"/>
      <c r="G96" s="250"/>
      <c r="H96" s="250"/>
      <c r="I96" s="250"/>
      <c r="J96" s="250"/>
      <c r="K96" s="250"/>
      <c r="L96" s="250"/>
    </row>
    <row r="97" spans="1:12" s="41" customFormat="1" ht="15" customHeight="1">
      <c r="A97" s="60" t="s">
        <v>471</v>
      </c>
      <c r="B97" s="68" t="s">
        <v>1738</v>
      </c>
      <c r="C97" s="68"/>
      <c r="D97" s="68"/>
      <c r="E97" s="68"/>
      <c r="F97" s="250"/>
      <c r="G97" s="250"/>
      <c r="H97" s="250"/>
      <c r="I97" s="250"/>
      <c r="J97" s="250"/>
      <c r="K97" s="250"/>
      <c r="L97" s="250"/>
    </row>
    <row r="98" spans="1:12" s="41" customFormat="1" ht="15" customHeight="1">
      <c r="A98" s="60" t="s">
        <v>475</v>
      </c>
      <c r="B98" s="68" t="s">
        <v>1739</v>
      </c>
      <c r="C98" s="68"/>
      <c r="D98" s="68"/>
      <c r="E98" s="68"/>
      <c r="F98" s="250"/>
      <c r="G98" s="250"/>
      <c r="H98" s="250"/>
      <c r="I98" s="250"/>
      <c r="J98" s="250"/>
      <c r="K98" s="250"/>
      <c r="L98" s="250"/>
    </row>
    <row r="99" spans="1:12" s="41" customFormat="1" ht="15" customHeight="1">
      <c r="A99" s="60" t="s">
        <v>477</v>
      </c>
      <c r="B99" s="68" t="s">
        <v>1740</v>
      </c>
      <c r="C99" s="68"/>
      <c r="D99" s="68"/>
      <c r="E99" s="68"/>
      <c r="F99" s="250"/>
      <c r="G99" s="250"/>
      <c r="H99" s="250"/>
      <c r="I99" s="250"/>
      <c r="J99" s="250"/>
      <c r="K99" s="250"/>
      <c r="L99" s="250"/>
    </row>
    <row r="100" spans="1:12" s="41" customFormat="1" ht="15" customHeight="1">
      <c r="A100" s="60"/>
      <c r="B100" s="338" t="s">
        <v>958</v>
      </c>
      <c r="C100" s="338"/>
      <c r="D100" s="338"/>
      <c r="E100" s="338"/>
      <c r="F100" s="250"/>
      <c r="G100" s="250"/>
      <c r="H100" s="250"/>
      <c r="I100" s="250"/>
      <c r="J100" s="250"/>
      <c r="K100" s="250"/>
      <c r="L100" s="250"/>
    </row>
    <row r="101" spans="1:12" s="41" customFormat="1" ht="15" customHeight="1">
      <c r="A101" s="60" t="s">
        <v>479</v>
      </c>
      <c r="B101" s="68" t="s">
        <v>525</v>
      </c>
      <c r="C101" s="68"/>
      <c r="D101" s="250">
        <f t="shared" ref="D101" si="98">D91+SUM(D93:D100)</f>
        <v>0</v>
      </c>
      <c r="E101" s="250">
        <f t="shared" ref="E101" si="99">E91+SUM(E93:E100)</f>
        <v>0</v>
      </c>
      <c r="F101" s="250">
        <f>F91+SUM(F93:F100)</f>
        <v>0</v>
      </c>
      <c r="G101" s="250">
        <f>G91+SUM(G93:G100)</f>
        <v>0</v>
      </c>
      <c r="H101" s="250">
        <f>H91+SUM(H93:H100)</f>
        <v>0</v>
      </c>
      <c r="I101" s="250">
        <f>I91+SUM(I93:I100)</f>
        <v>0</v>
      </c>
      <c r="J101" s="250">
        <f>J91+SUM(J93:J100)</f>
        <v>0</v>
      </c>
      <c r="K101" s="250"/>
      <c r="L101" s="250"/>
    </row>
    <row r="102" spans="1:12" s="41" customFormat="1" ht="15" customHeight="1">
      <c r="A102" s="60" t="s">
        <v>481</v>
      </c>
      <c r="B102" s="68" t="s">
        <v>526</v>
      </c>
      <c r="C102" s="68"/>
      <c r="D102" s="68"/>
      <c r="E102" s="68"/>
      <c r="F102" s="250"/>
      <c r="G102" s="250"/>
      <c r="H102" s="250"/>
      <c r="I102" s="250"/>
      <c r="J102" s="250"/>
      <c r="K102" s="250"/>
      <c r="L102" s="250"/>
    </row>
    <row r="103" spans="1:12" s="41" customFormat="1" ht="15" customHeight="1">
      <c r="A103" s="60"/>
      <c r="B103" s="68" t="s">
        <v>527</v>
      </c>
      <c r="C103" s="68"/>
      <c r="D103" s="68"/>
      <c r="E103" s="68"/>
      <c r="F103" s="250"/>
      <c r="G103" s="250"/>
      <c r="H103" s="250"/>
      <c r="I103" s="250"/>
      <c r="J103" s="250"/>
      <c r="K103" s="250"/>
      <c r="L103" s="250"/>
    </row>
    <row r="104" spans="1:12" s="41" customFormat="1" ht="15" customHeight="1">
      <c r="A104" s="60" t="s">
        <v>482</v>
      </c>
      <c r="B104" s="70" t="s">
        <v>402</v>
      </c>
      <c r="C104" s="70"/>
      <c r="D104" s="70"/>
      <c r="E104" s="70"/>
      <c r="F104" s="250"/>
      <c r="G104" s="250"/>
      <c r="H104" s="250"/>
      <c r="I104" s="250"/>
      <c r="J104" s="250"/>
      <c r="K104" s="250"/>
      <c r="L104" s="250"/>
    </row>
    <row r="105" spans="1:12" s="41" customFormat="1" ht="15" customHeight="1">
      <c r="A105" s="60" t="s">
        <v>483</v>
      </c>
      <c r="B105" s="70" t="s">
        <v>404</v>
      </c>
      <c r="C105" s="70"/>
      <c r="D105" s="70"/>
      <c r="E105" s="70"/>
      <c r="F105" s="250"/>
      <c r="G105" s="250"/>
      <c r="H105" s="250"/>
      <c r="I105" s="250"/>
      <c r="J105" s="250"/>
      <c r="K105" s="250"/>
      <c r="L105" s="250"/>
    </row>
    <row r="106" spans="1:12" s="41" customFormat="1" ht="15" customHeight="1">
      <c r="A106" s="60" t="s">
        <v>528</v>
      </c>
      <c r="B106" s="70" t="s">
        <v>406</v>
      </c>
      <c r="C106" s="70"/>
      <c r="D106" s="70"/>
      <c r="E106" s="70"/>
      <c r="F106" s="250"/>
      <c r="G106" s="250"/>
      <c r="H106" s="250"/>
      <c r="I106" s="250"/>
      <c r="J106" s="250"/>
      <c r="K106" s="250"/>
      <c r="L106" s="250"/>
    </row>
    <row r="107" spans="1:12" s="41" customFormat="1" ht="15" customHeight="1">
      <c r="A107" s="60" t="s">
        <v>529</v>
      </c>
      <c r="B107" s="70" t="s">
        <v>408</v>
      </c>
      <c r="C107" s="70"/>
      <c r="D107" s="70"/>
      <c r="E107" s="70"/>
      <c r="F107" s="250"/>
      <c r="G107" s="250"/>
      <c r="H107" s="250"/>
      <c r="I107" s="250"/>
      <c r="J107" s="250"/>
      <c r="K107" s="250"/>
      <c r="L107" s="250"/>
    </row>
    <row r="109" spans="1:12" s="5" customFormat="1" ht="18" customHeight="1">
      <c r="A109" s="74" t="s">
        <v>1860</v>
      </c>
      <c r="I109" s="6"/>
      <c r="J109" s="6" t="s">
        <v>946</v>
      </c>
    </row>
    <row r="110" spans="1:12" ht="12.75" customHeight="1">
      <c r="A110" s="1644" t="str">
        <f>'4.1_котельные'!A2</f>
        <v>ПКГО - выработка котельными</v>
      </c>
    </row>
    <row r="111" spans="1:12" ht="18.75">
      <c r="A111" s="1877" t="s">
        <v>508</v>
      </c>
      <c r="B111" s="1877"/>
      <c r="C111" s="1877"/>
      <c r="D111" s="1877"/>
      <c r="E111" s="1877"/>
      <c r="F111" s="1877"/>
      <c r="G111" s="1877"/>
      <c r="H111" s="1877"/>
      <c r="I111" s="1877"/>
    </row>
    <row r="112" spans="1:12" ht="12.75" customHeight="1">
      <c r="B112" s="535"/>
      <c r="C112" s="769"/>
      <c r="D112" s="769"/>
      <c r="E112" s="769"/>
      <c r="F112" s="535"/>
      <c r="G112" s="1283"/>
      <c r="H112" s="1583"/>
      <c r="I112" s="535"/>
    </row>
    <row r="113" spans="1:12" ht="14.25" customHeight="1">
      <c r="I113" s="23"/>
      <c r="J113" s="23" t="s">
        <v>360</v>
      </c>
    </row>
    <row r="114" spans="1:12" s="3" customFormat="1" ht="60">
      <c r="A114" s="540" t="s">
        <v>0</v>
      </c>
      <c r="B114" s="540" t="s">
        <v>509</v>
      </c>
      <c r="C114" s="772"/>
      <c r="D114" s="1284" t="s">
        <v>1130</v>
      </c>
      <c r="E114" s="1284" t="s">
        <v>1131</v>
      </c>
      <c r="F114" s="1284" t="s">
        <v>1695</v>
      </c>
      <c r="G114" s="1586" t="s">
        <v>1828</v>
      </c>
      <c r="H114" s="1641" t="s">
        <v>1861</v>
      </c>
      <c r="I114" s="1641" t="s">
        <v>1862</v>
      </c>
      <c r="J114" s="1641" t="s">
        <v>1863</v>
      </c>
      <c r="K114" s="1641" t="s">
        <v>763</v>
      </c>
      <c r="L114" s="1641" t="s">
        <v>764</v>
      </c>
    </row>
    <row r="115" spans="1:12" s="2" customFormat="1">
      <c r="A115" s="13">
        <v>1</v>
      </c>
      <c r="B115" s="13">
        <v>2</v>
      </c>
      <c r="C115" s="13"/>
      <c r="D115" s="13">
        <v>3</v>
      </c>
      <c r="E115" s="13"/>
      <c r="F115" s="13">
        <v>3</v>
      </c>
      <c r="G115" s="13">
        <v>4</v>
      </c>
      <c r="H115" s="13">
        <v>5</v>
      </c>
      <c r="I115" s="13">
        <v>6</v>
      </c>
      <c r="J115" s="13">
        <v>7</v>
      </c>
      <c r="K115" s="13">
        <v>5</v>
      </c>
      <c r="L115" s="13">
        <v>6</v>
      </c>
    </row>
    <row r="116" spans="1:12" s="41" customFormat="1" ht="15" customHeight="1">
      <c r="A116" s="60">
        <v>1</v>
      </c>
      <c r="B116" s="68" t="s">
        <v>510</v>
      </c>
      <c r="C116" s="68"/>
      <c r="D116" s="250">
        <f>D118+D119+D121+D122+D123</f>
        <v>0</v>
      </c>
      <c r="E116" s="250">
        <f t="shared" ref="E116:I116" si="100">E118+E119+E121+E122+E123</f>
        <v>0</v>
      </c>
      <c r="F116" s="250">
        <f t="shared" si="100"/>
        <v>0</v>
      </c>
      <c r="G116" s="250">
        <f t="shared" ref="G116:H116" si="101">G118+G119+G121+G122+G123</f>
        <v>0</v>
      </c>
      <c r="H116" s="250">
        <f t="shared" si="101"/>
        <v>0</v>
      </c>
      <c r="I116" s="250">
        <f t="shared" si="100"/>
        <v>0</v>
      </c>
      <c r="J116" s="250">
        <f t="shared" ref="J116" si="102">J118+J119+J121+J122+J123</f>
        <v>0</v>
      </c>
      <c r="K116" s="250"/>
      <c r="L116" s="250"/>
    </row>
    <row r="117" spans="1:12" s="41" customFormat="1" ht="15" customHeight="1">
      <c r="A117" s="60"/>
      <c r="B117" s="68" t="s">
        <v>70</v>
      </c>
      <c r="C117" s="68"/>
      <c r="D117" s="68"/>
      <c r="E117" s="68"/>
      <c r="F117" s="250"/>
      <c r="G117" s="250"/>
      <c r="H117" s="250"/>
      <c r="I117" s="250"/>
      <c r="J117" s="250"/>
      <c r="K117" s="250"/>
      <c r="L117" s="250"/>
    </row>
    <row r="118" spans="1:12" s="41" customFormat="1" ht="15" customHeight="1">
      <c r="A118" s="60" t="s">
        <v>5</v>
      </c>
      <c r="B118" s="70" t="s">
        <v>511</v>
      </c>
      <c r="C118" s="70"/>
      <c r="D118" s="250"/>
      <c r="E118" s="250"/>
      <c r="F118" s="250"/>
      <c r="G118" s="250"/>
      <c r="H118" s="250"/>
      <c r="I118" s="250"/>
      <c r="J118" s="250"/>
      <c r="K118" s="250"/>
      <c r="L118" s="250"/>
    </row>
    <row r="119" spans="1:12" s="41" customFormat="1" ht="15" customHeight="1">
      <c r="A119" s="60" t="s">
        <v>11</v>
      </c>
      <c r="B119" s="70" t="s">
        <v>512</v>
      </c>
      <c r="C119" s="70"/>
      <c r="D119" s="70"/>
      <c r="E119" s="70"/>
      <c r="F119" s="250"/>
      <c r="G119" s="250"/>
      <c r="H119" s="250"/>
      <c r="I119" s="250"/>
      <c r="J119" s="250"/>
      <c r="K119" s="250"/>
      <c r="L119" s="250"/>
    </row>
    <row r="120" spans="1:12" s="41" customFormat="1" ht="15" customHeight="1">
      <c r="A120" s="60"/>
      <c r="B120" s="68" t="s">
        <v>513</v>
      </c>
      <c r="C120" s="68"/>
      <c r="D120" s="68"/>
      <c r="E120" s="68"/>
      <c r="F120" s="250"/>
      <c r="G120" s="250"/>
      <c r="H120" s="250"/>
      <c r="I120" s="250"/>
      <c r="J120" s="250"/>
      <c r="K120" s="250"/>
      <c r="L120" s="250"/>
    </row>
    <row r="121" spans="1:12" s="41" customFormat="1" ht="15" customHeight="1">
      <c r="A121" s="60" t="s">
        <v>445</v>
      </c>
      <c r="B121" s="70" t="s">
        <v>402</v>
      </c>
      <c r="C121" s="70"/>
      <c r="D121" s="70"/>
      <c r="E121" s="70"/>
      <c r="F121" s="250"/>
      <c r="G121" s="250"/>
      <c r="H121" s="250"/>
      <c r="I121" s="250"/>
      <c r="J121" s="250"/>
      <c r="K121" s="250"/>
      <c r="L121" s="250"/>
    </row>
    <row r="122" spans="1:12" s="41" customFormat="1" ht="15" customHeight="1">
      <c r="A122" s="60" t="s">
        <v>446</v>
      </c>
      <c r="B122" s="70" t="s">
        <v>404</v>
      </c>
      <c r="C122" s="70"/>
      <c r="D122" s="70"/>
      <c r="E122" s="70"/>
      <c r="F122" s="250"/>
      <c r="G122" s="250"/>
      <c r="H122" s="250"/>
      <c r="I122" s="250"/>
      <c r="J122" s="250"/>
      <c r="K122" s="250"/>
      <c r="L122" s="250"/>
    </row>
    <row r="123" spans="1:12" s="41" customFormat="1" ht="15" customHeight="1">
      <c r="A123" s="60" t="s">
        <v>461</v>
      </c>
      <c r="B123" s="70" t="s">
        <v>406</v>
      </c>
      <c r="C123" s="70"/>
      <c r="D123" s="70"/>
      <c r="E123" s="70"/>
      <c r="F123" s="250"/>
      <c r="G123" s="250"/>
      <c r="H123" s="250"/>
      <c r="I123" s="250"/>
      <c r="J123" s="250"/>
      <c r="K123" s="250"/>
      <c r="L123" s="250"/>
    </row>
    <row r="124" spans="1:12" s="41" customFormat="1" ht="15" customHeight="1">
      <c r="A124" s="60" t="s">
        <v>514</v>
      </c>
      <c r="B124" s="70" t="s">
        <v>408</v>
      </c>
      <c r="C124" s="70"/>
      <c r="D124" s="70"/>
      <c r="E124" s="70"/>
      <c r="F124" s="250"/>
      <c r="G124" s="250"/>
      <c r="H124" s="250"/>
      <c r="I124" s="250"/>
      <c r="J124" s="250"/>
      <c r="K124" s="250"/>
      <c r="L124" s="250"/>
    </row>
    <row r="125" spans="1:12" s="41" customFormat="1" ht="15" customHeight="1">
      <c r="A125" s="60" t="s">
        <v>23</v>
      </c>
      <c r="B125" s="68" t="s">
        <v>515</v>
      </c>
      <c r="C125" s="68"/>
      <c r="D125" s="68">
        <f>D127+D129+D130+D131+D132+D133+D134+D135</f>
        <v>0</v>
      </c>
      <c r="E125" s="68">
        <f t="shared" ref="E125:I125" si="103">E127+E129+E130+E131+E132+E133+E134+E135</f>
        <v>0</v>
      </c>
      <c r="F125" s="68">
        <f t="shared" si="103"/>
        <v>0</v>
      </c>
      <c r="G125" s="68">
        <f t="shared" ref="G125:H125" si="104">G127+G129+G130+G131+G132+G133+G134+G135</f>
        <v>0</v>
      </c>
      <c r="H125" s="68">
        <f t="shared" si="104"/>
        <v>0</v>
      </c>
      <c r="I125" s="68">
        <f t="shared" si="103"/>
        <v>0</v>
      </c>
      <c r="J125" s="68">
        <f t="shared" ref="J125" si="105">J127+J129+J130+J131+J132+J133+J134+J135</f>
        <v>0</v>
      </c>
      <c r="K125" s="250"/>
      <c r="L125" s="250"/>
    </row>
    <row r="126" spans="1:12" s="41" customFormat="1" ht="15" customHeight="1">
      <c r="A126" s="60"/>
      <c r="B126" s="68" t="s">
        <v>516</v>
      </c>
      <c r="C126" s="68"/>
      <c r="D126" s="68"/>
      <c r="E126" s="68"/>
      <c r="F126" s="250"/>
      <c r="G126" s="250"/>
      <c r="H126" s="250"/>
      <c r="I126" s="250"/>
      <c r="J126" s="250"/>
      <c r="K126" s="250"/>
      <c r="L126" s="250"/>
    </row>
    <row r="127" spans="1:12" s="41" customFormat="1" ht="30" customHeight="1">
      <c r="A127" s="60" t="s">
        <v>24</v>
      </c>
      <c r="B127" s="68" t="s">
        <v>517</v>
      </c>
      <c r="C127" s="68"/>
      <c r="D127" s="68"/>
      <c r="E127" s="68"/>
      <c r="F127" s="250"/>
      <c r="G127" s="250"/>
      <c r="H127" s="250"/>
      <c r="I127" s="250"/>
      <c r="J127" s="250"/>
      <c r="K127" s="250"/>
      <c r="L127" s="250"/>
    </row>
    <row r="128" spans="1:12" s="41" customFormat="1" ht="30" customHeight="1">
      <c r="A128" s="60" t="s">
        <v>25</v>
      </c>
      <c r="B128" s="68" t="s">
        <v>518</v>
      </c>
      <c r="C128" s="68"/>
      <c r="D128" s="68"/>
      <c r="E128" s="68"/>
      <c r="F128" s="250"/>
      <c r="G128" s="250"/>
      <c r="H128" s="250"/>
      <c r="I128" s="250"/>
      <c r="J128" s="250"/>
      <c r="K128" s="250"/>
      <c r="L128" s="250"/>
    </row>
    <row r="129" spans="1:12" s="41" customFormat="1" ht="15" customHeight="1">
      <c r="A129" s="60" t="s">
        <v>139</v>
      </c>
      <c r="B129" s="68" t="s">
        <v>519</v>
      </c>
      <c r="C129" s="68"/>
      <c r="D129" s="68"/>
      <c r="E129" s="68"/>
      <c r="F129" s="250"/>
      <c r="G129" s="250"/>
      <c r="H129" s="250"/>
      <c r="I129" s="250"/>
      <c r="J129" s="250"/>
      <c r="K129" s="250"/>
      <c r="L129" s="250"/>
    </row>
    <row r="130" spans="1:12" s="41" customFormat="1" ht="15" customHeight="1">
      <c r="A130" s="60" t="s">
        <v>433</v>
      </c>
      <c r="B130" s="68" t="s">
        <v>520</v>
      </c>
      <c r="C130" s="68"/>
      <c r="D130" s="68"/>
      <c r="E130" s="68"/>
      <c r="F130" s="250"/>
      <c r="G130" s="250"/>
      <c r="H130" s="250"/>
      <c r="I130" s="250"/>
      <c r="J130" s="250"/>
      <c r="K130" s="250"/>
      <c r="L130" s="250"/>
    </row>
    <row r="131" spans="1:12" s="41" customFormat="1" ht="15" customHeight="1">
      <c r="A131" s="60" t="s">
        <v>521</v>
      </c>
      <c r="B131" s="68" t="s">
        <v>522</v>
      </c>
      <c r="C131" s="68"/>
      <c r="D131" s="68"/>
      <c r="E131" s="68"/>
      <c r="F131" s="250"/>
      <c r="G131" s="250"/>
      <c r="H131" s="250"/>
      <c r="I131" s="250"/>
      <c r="J131" s="250"/>
      <c r="K131" s="250"/>
      <c r="L131" s="250"/>
    </row>
    <row r="132" spans="1:12" s="41" customFormat="1" ht="30" customHeight="1">
      <c r="A132" s="60" t="s">
        <v>523</v>
      </c>
      <c r="B132" s="68" t="s">
        <v>524</v>
      </c>
      <c r="C132" s="68"/>
      <c r="D132" s="68"/>
      <c r="E132" s="68"/>
      <c r="F132" s="250"/>
      <c r="G132" s="250"/>
      <c r="H132" s="250"/>
      <c r="I132" s="250"/>
      <c r="J132" s="250"/>
      <c r="K132" s="250"/>
      <c r="L132" s="250"/>
    </row>
    <row r="133" spans="1:12" s="41" customFormat="1" ht="15" customHeight="1">
      <c r="A133" s="60" t="s">
        <v>471</v>
      </c>
      <c r="B133" s="68" t="s">
        <v>1738</v>
      </c>
      <c r="C133" s="68"/>
      <c r="D133" s="68"/>
      <c r="E133" s="68"/>
      <c r="F133" s="250"/>
      <c r="G133" s="250"/>
      <c r="H133" s="250"/>
      <c r="I133" s="250"/>
      <c r="J133" s="250"/>
      <c r="K133" s="250"/>
      <c r="L133" s="250"/>
    </row>
    <row r="134" spans="1:12" s="41" customFormat="1" ht="15" customHeight="1">
      <c r="A134" s="60" t="s">
        <v>475</v>
      </c>
      <c r="B134" s="68" t="s">
        <v>1739</v>
      </c>
      <c r="C134" s="68"/>
      <c r="D134" s="68"/>
      <c r="E134" s="68"/>
      <c r="F134" s="250"/>
      <c r="G134" s="250"/>
      <c r="H134" s="250"/>
      <c r="I134" s="250"/>
      <c r="J134" s="250"/>
      <c r="K134" s="250"/>
      <c r="L134" s="250"/>
    </row>
    <row r="135" spans="1:12" s="41" customFormat="1" ht="15" customHeight="1">
      <c r="A135" s="60" t="s">
        <v>477</v>
      </c>
      <c r="B135" s="68" t="s">
        <v>1740</v>
      </c>
      <c r="C135" s="68"/>
      <c r="D135" s="68"/>
      <c r="E135" s="68"/>
      <c r="F135" s="250"/>
      <c r="G135" s="250"/>
      <c r="H135" s="250"/>
      <c r="I135" s="250"/>
      <c r="J135" s="250"/>
      <c r="K135" s="250"/>
      <c r="L135" s="250"/>
    </row>
    <row r="136" spans="1:12" s="41" customFormat="1" ht="15" customHeight="1">
      <c r="A136" s="60"/>
      <c r="B136" s="338" t="s">
        <v>958</v>
      </c>
      <c r="C136" s="338"/>
      <c r="D136" s="338"/>
      <c r="E136" s="338"/>
      <c r="F136" s="250"/>
      <c r="G136" s="250"/>
      <c r="H136" s="250"/>
      <c r="I136" s="250"/>
      <c r="J136" s="250"/>
      <c r="K136" s="250"/>
      <c r="L136" s="250"/>
    </row>
    <row r="137" spans="1:12" s="41" customFormat="1" ht="15" customHeight="1">
      <c r="A137" s="60" t="s">
        <v>479</v>
      </c>
      <c r="B137" s="68" t="s">
        <v>525</v>
      </c>
      <c r="C137" s="68"/>
      <c r="D137" s="250">
        <f t="shared" ref="D137:E137" si="106">D127+SUM(D129:D136)</f>
        <v>0</v>
      </c>
      <c r="E137" s="250">
        <f t="shared" si="106"/>
        <v>0</v>
      </c>
      <c r="F137" s="250">
        <f>F127+SUM(F129:F136)</f>
        <v>0</v>
      </c>
      <c r="G137" s="250">
        <f>G127+SUM(G129:G136)</f>
        <v>0</v>
      </c>
      <c r="H137" s="250">
        <f>H127+SUM(H129:H136)</f>
        <v>0</v>
      </c>
      <c r="I137" s="250">
        <f>I127+SUM(I129:I136)</f>
        <v>0</v>
      </c>
      <c r="J137" s="250">
        <f>J127+SUM(J129:J136)</f>
        <v>0</v>
      </c>
      <c r="K137" s="250"/>
      <c r="L137" s="250"/>
    </row>
    <row r="138" spans="1:12" s="41" customFormat="1" ht="15" customHeight="1">
      <c r="A138" s="60" t="s">
        <v>481</v>
      </c>
      <c r="B138" s="68" t="s">
        <v>526</v>
      </c>
      <c r="C138" s="68"/>
      <c r="D138" s="68"/>
      <c r="E138" s="68"/>
      <c r="F138" s="250"/>
      <c r="G138" s="250"/>
      <c r="H138" s="250"/>
      <c r="I138" s="250"/>
      <c r="J138" s="250"/>
      <c r="K138" s="250"/>
      <c r="L138" s="250"/>
    </row>
    <row r="139" spans="1:12" s="41" customFormat="1" ht="15" customHeight="1">
      <c r="A139" s="60"/>
      <c r="B139" s="68" t="s">
        <v>527</v>
      </c>
      <c r="C139" s="68"/>
      <c r="D139" s="68"/>
      <c r="E139" s="68"/>
      <c r="F139" s="250"/>
      <c r="G139" s="250"/>
      <c r="H139" s="250"/>
      <c r="I139" s="250"/>
      <c r="J139" s="250"/>
      <c r="K139" s="250"/>
      <c r="L139" s="250"/>
    </row>
    <row r="140" spans="1:12" s="41" customFormat="1" ht="15" customHeight="1">
      <c r="A140" s="60" t="s">
        <v>482</v>
      </c>
      <c r="B140" s="70" t="s">
        <v>402</v>
      </c>
      <c r="C140" s="70"/>
      <c r="D140" s="70"/>
      <c r="E140" s="70"/>
      <c r="F140" s="250"/>
      <c r="G140" s="250"/>
      <c r="H140" s="250"/>
      <c r="I140" s="250"/>
      <c r="J140" s="250"/>
      <c r="K140" s="250"/>
      <c r="L140" s="250"/>
    </row>
    <row r="141" spans="1:12" s="41" customFormat="1" ht="15" customHeight="1">
      <c r="A141" s="60" t="s">
        <v>483</v>
      </c>
      <c r="B141" s="70" t="s">
        <v>404</v>
      </c>
      <c r="C141" s="70"/>
      <c r="D141" s="70"/>
      <c r="E141" s="70"/>
      <c r="F141" s="250"/>
      <c r="G141" s="250"/>
      <c r="H141" s="250"/>
      <c r="I141" s="250"/>
      <c r="J141" s="250"/>
      <c r="K141" s="250"/>
      <c r="L141" s="250"/>
    </row>
    <row r="142" spans="1:12" s="41" customFormat="1" ht="15" customHeight="1">
      <c r="A142" s="60" t="s">
        <v>528</v>
      </c>
      <c r="B142" s="70" t="s">
        <v>406</v>
      </c>
      <c r="C142" s="70"/>
      <c r="D142" s="70"/>
      <c r="E142" s="70"/>
      <c r="F142" s="250"/>
      <c r="G142" s="250"/>
      <c r="H142" s="250"/>
      <c r="I142" s="250"/>
      <c r="J142" s="250"/>
      <c r="K142" s="250"/>
      <c r="L142" s="250"/>
    </row>
    <row r="143" spans="1:12" s="41" customFormat="1" ht="15" customHeight="1">
      <c r="A143" s="60" t="s">
        <v>529</v>
      </c>
      <c r="B143" s="70" t="s">
        <v>408</v>
      </c>
      <c r="C143" s="70"/>
      <c r="D143" s="70"/>
      <c r="E143" s="70"/>
      <c r="F143" s="250"/>
      <c r="G143" s="250"/>
      <c r="H143" s="250"/>
      <c r="I143" s="250"/>
      <c r="J143" s="250"/>
      <c r="K143" s="250"/>
      <c r="L143" s="250"/>
    </row>
    <row r="146" spans="1:9" s="26" customFormat="1">
      <c r="A146" s="26" t="s">
        <v>88</v>
      </c>
    </row>
    <row r="147" spans="1:9" s="541" customFormat="1" ht="30" customHeight="1">
      <c r="A147" s="541" t="s">
        <v>89</v>
      </c>
      <c r="B147" s="1842" t="s">
        <v>530</v>
      </c>
      <c r="C147" s="1842"/>
      <c r="D147" s="1842"/>
      <c r="E147" s="1842"/>
      <c r="F147" s="1842"/>
      <c r="G147" s="1842"/>
      <c r="H147" s="1842"/>
      <c r="I147" s="1842"/>
    </row>
    <row r="148" spans="1:9" s="541" customFormat="1" ht="75" customHeight="1">
      <c r="A148" s="541" t="s">
        <v>91</v>
      </c>
      <c r="B148" s="1842" t="s">
        <v>531</v>
      </c>
      <c r="C148" s="1842"/>
      <c r="D148" s="1842"/>
      <c r="E148" s="1842"/>
      <c r="F148" s="1842"/>
      <c r="G148" s="1842"/>
      <c r="H148" s="1842"/>
      <c r="I148" s="1842"/>
    </row>
    <row r="149" spans="1:9" ht="15.75" customHeight="1"/>
  </sheetData>
  <mergeCells count="6">
    <mergeCell ref="A3:L3"/>
    <mergeCell ref="B147:I147"/>
    <mergeCell ref="B148:I148"/>
    <mergeCell ref="A39:I39"/>
    <mergeCell ref="A75:I75"/>
    <mergeCell ref="A111:I111"/>
  </mergeCells>
  <pageMargins left="0.78740157480314965" right="0.51181102362204722" top="0.59055118110236227" bottom="0.39370078740157483" header="0.19685039370078741" footer="0.19685039370078741"/>
  <pageSetup paperSize="9" scale="76" orientation="portrait" r:id="rId1"/>
  <headerFooter alignWithMargins="0"/>
  <rowBreaks count="3" manualBreakCount="3">
    <brk id="36" max="11" man="1"/>
    <brk id="72" max="11" man="1"/>
    <brk id="108" max="11" man="1"/>
  </rowBreak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K291"/>
  <sheetViews>
    <sheetView view="pageBreakPreview" zoomScaleNormal="100" workbookViewId="0">
      <pane xSplit="1" ySplit="6" topLeftCell="B259" activePane="bottomRight" state="frozen"/>
      <selection activeCell="I24" sqref="I24"/>
      <selection pane="topRight" activeCell="I24" sqref="I24"/>
      <selection pane="bottomLeft" activeCell="I24" sqref="I24"/>
      <selection pane="bottomRight" activeCell="O3" sqref="O3"/>
    </sheetView>
  </sheetViews>
  <sheetFormatPr defaultColWidth="0.85546875" defaultRowHeight="15"/>
  <cols>
    <col min="1" max="1" width="41.42578125" style="1" customWidth="1"/>
    <col min="2" max="4" width="13.28515625" style="1" customWidth="1"/>
    <col min="5" max="5" width="13.5703125" style="1" customWidth="1"/>
    <col min="6" max="6" width="13.42578125" style="1" customWidth="1"/>
    <col min="7" max="7" width="15.28515625" style="1" customWidth="1"/>
    <col min="8" max="8" width="13.85546875" style="1" customWidth="1"/>
    <col min="9" max="9" width="15.7109375" style="1" customWidth="1"/>
    <col min="10" max="10" width="14.140625" style="1" customWidth="1"/>
    <col min="11" max="11" width="15.42578125" style="1" customWidth="1"/>
    <col min="12" max="260" width="4.5703125" style="1" customWidth="1"/>
    <col min="261" max="16384" width="0.85546875" style="1"/>
  </cols>
  <sheetData>
    <row r="1" spans="1:11" s="5" customFormat="1" ht="20.25" customHeight="1">
      <c r="A1" s="74" t="s">
        <v>1860</v>
      </c>
      <c r="B1" s="74"/>
      <c r="C1" s="74"/>
      <c r="D1" s="74"/>
      <c r="I1" s="6" t="s">
        <v>781</v>
      </c>
      <c r="J1" s="6"/>
      <c r="K1" s="6" t="s">
        <v>781</v>
      </c>
    </row>
    <row r="2" spans="1:11" ht="15" customHeight="1">
      <c r="A2" s="105" t="str">
        <f>'4.11 (свод)'!A2</f>
        <v>КТЭЦ + котельные СВОД</v>
      </c>
      <c r="B2" s="1433"/>
      <c r="C2" s="1433"/>
      <c r="D2" s="1433"/>
    </row>
    <row r="3" spans="1:11" ht="18.75">
      <c r="A3" s="1877" t="s">
        <v>532</v>
      </c>
      <c r="B3" s="1877"/>
      <c r="C3" s="1877"/>
      <c r="D3" s="1877"/>
      <c r="E3" s="1877"/>
      <c r="F3" s="1877"/>
      <c r="G3" s="1877"/>
      <c r="H3" s="1877"/>
      <c r="I3" s="1877"/>
      <c r="J3" s="1643"/>
      <c r="K3" s="1309"/>
    </row>
    <row r="4" spans="1:11" ht="25.5" customHeight="1">
      <c r="A4" s="1877" t="s">
        <v>1186</v>
      </c>
      <c r="B4" s="1877"/>
      <c r="C4" s="1877"/>
      <c r="D4" s="1877"/>
      <c r="E4" s="1877"/>
      <c r="F4" s="1877"/>
      <c r="G4" s="1877"/>
      <c r="H4" s="1877"/>
      <c r="I4" s="1877"/>
      <c r="J4" s="1643"/>
    </row>
    <row r="5" spans="1:11" ht="14.25" customHeight="1">
      <c r="I5" s="23" t="s">
        <v>360</v>
      </c>
      <c r="J5" s="23"/>
      <c r="K5" s="23" t="s">
        <v>360</v>
      </c>
    </row>
    <row r="6" spans="1:11" s="3" customFormat="1" ht="81" customHeight="1">
      <c r="A6" s="540" t="s">
        <v>533</v>
      </c>
      <c r="B6" s="1586" t="s">
        <v>1735</v>
      </c>
      <c r="C6" s="1586" t="s">
        <v>1736</v>
      </c>
      <c r="D6" s="1586" t="s">
        <v>1737</v>
      </c>
      <c r="E6" s="1586" t="s">
        <v>1843</v>
      </c>
      <c r="F6" s="1586" t="s">
        <v>1844</v>
      </c>
      <c r="G6" s="1586" t="s">
        <v>1845</v>
      </c>
      <c r="H6" s="1586" t="s">
        <v>1846</v>
      </c>
      <c r="I6" s="1586" t="s">
        <v>1847</v>
      </c>
      <c r="J6" s="1641" t="s">
        <v>1878</v>
      </c>
      <c r="K6" s="1641" t="s">
        <v>1877</v>
      </c>
    </row>
    <row r="7" spans="1:11" s="21" customFormat="1">
      <c r="A7" s="40">
        <v>1</v>
      </c>
      <c r="B7" s="40">
        <v>2</v>
      </c>
      <c r="C7" s="40">
        <v>3</v>
      </c>
      <c r="D7" s="40">
        <v>4</v>
      </c>
      <c r="E7" s="40">
        <v>5</v>
      </c>
      <c r="F7" s="40">
        <v>6</v>
      </c>
      <c r="G7" s="40">
        <v>7</v>
      </c>
      <c r="H7" s="40">
        <v>8</v>
      </c>
      <c r="I7" s="40">
        <v>9</v>
      </c>
      <c r="J7" s="40">
        <v>10</v>
      </c>
      <c r="K7" s="40">
        <v>11</v>
      </c>
    </row>
    <row r="8" spans="1:11" s="88" customFormat="1" ht="14.25">
      <c r="A8" s="86" t="s">
        <v>349</v>
      </c>
      <c r="B8" s="87">
        <f t="shared" ref="B8:I8" si="0">SUM(B10:B109)</f>
        <v>0</v>
      </c>
      <c r="C8" s="87">
        <f t="shared" si="0"/>
        <v>237242.08900000001</v>
      </c>
      <c r="D8" s="87">
        <f t="shared" si="0"/>
        <v>0</v>
      </c>
      <c r="E8" s="87">
        <f t="shared" si="0"/>
        <v>0</v>
      </c>
      <c r="F8" s="87">
        <f t="shared" si="0"/>
        <v>270454.77779598918</v>
      </c>
      <c r="G8" s="87">
        <f t="shared" si="0"/>
        <v>0</v>
      </c>
      <c r="H8" s="87">
        <f t="shared" si="0"/>
        <v>85454.212431455991</v>
      </c>
      <c r="I8" s="87">
        <f t="shared" si="0"/>
        <v>0</v>
      </c>
      <c r="J8" s="87">
        <f t="shared" ref="J8" si="1">SUM(J10:J109)</f>
        <v>226166.50947940053</v>
      </c>
      <c r="K8" s="87">
        <f t="shared" ref="K8" si="2">SUM(K10:K109)</f>
        <v>0</v>
      </c>
    </row>
    <row r="9" spans="1:11" s="42" customFormat="1">
      <c r="A9" s="55" t="s">
        <v>534</v>
      </c>
      <c r="B9" s="55"/>
      <c r="C9" s="55"/>
      <c r="D9" s="55"/>
      <c r="E9" s="55"/>
      <c r="F9" s="50"/>
      <c r="G9" s="50"/>
      <c r="H9" s="50"/>
      <c r="I9" s="72"/>
      <c r="J9" s="50"/>
      <c r="K9" s="72"/>
    </row>
    <row r="10" spans="1:11" s="42" customFormat="1">
      <c r="A10" s="345" t="s">
        <v>1724</v>
      </c>
      <c r="B10" s="1387"/>
      <c r="C10" s="1614">
        <v>1048.4199999999998</v>
      </c>
      <c r="D10" s="1091" t="s">
        <v>1564</v>
      </c>
      <c r="E10" s="1387"/>
      <c r="F10" s="308"/>
      <c r="G10" s="308"/>
      <c r="H10" s="308"/>
      <c r="I10" s="1387"/>
      <c r="J10" s="308"/>
      <c r="K10" s="1387"/>
    </row>
    <row r="11" spans="1:11" s="42" customFormat="1">
      <c r="A11" s="345" t="s">
        <v>970</v>
      </c>
      <c r="B11" s="1387"/>
      <c r="C11" s="1614">
        <v>12767.56</v>
      </c>
      <c r="D11" s="1091" t="s">
        <v>1564</v>
      </c>
      <c r="E11" s="1387"/>
      <c r="F11" s="308"/>
      <c r="G11" s="308"/>
      <c r="H11" s="308"/>
      <c r="I11" s="1387"/>
      <c r="J11" s="308"/>
      <c r="K11" s="1387"/>
    </row>
    <row r="12" spans="1:11" ht="25.5">
      <c r="A12" s="345" t="s">
        <v>978</v>
      </c>
      <c r="B12" s="1387"/>
      <c r="C12" s="258">
        <v>7692.0919999999996</v>
      </c>
      <c r="D12" s="1091" t="s">
        <v>1564</v>
      </c>
      <c r="E12" s="1387"/>
      <c r="F12" s="308"/>
      <c r="G12" s="308"/>
      <c r="H12" s="308"/>
      <c r="I12" s="1387"/>
      <c r="J12" s="308"/>
      <c r="K12" s="1387"/>
    </row>
    <row r="13" spans="1:11" ht="51">
      <c r="A13" s="345" t="s">
        <v>1894</v>
      </c>
      <c r="B13" s="1387"/>
      <c r="C13" s="258">
        <v>3011</v>
      </c>
      <c r="D13" s="1091" t="s">
        <v>1564</v>
      </c>
      <c r="E13" s="1387"/>
      <c r="F13" s="308"/>
      <c r="G13" s="308"/>
      <c r="H13" s="308"/>
      <c r="I13" s="1387"/>
      <c r="J13" s="308"/>
      <c r="K13" s="1387"/>
    </row>
    <row r="14" spans="1:11" ht="25.5">
      <c r="A14" s="345" t="s">
        <v>1727</v>
      </c>
      <c r="B14" s="1387"/>
      <c r="C14" s="258">
        <v>2074</v>
      </c>
      <c r="D14" s="1091" t="s">
        <v>1954</v>
      </c>
      <c r="E14" s="1387"/>
      <c r="F14" s="308"/>
      <c r="G14" s="308"/>
      <c r="H14" s="308"/>
      <c r="I14" s="1387"/>
      <c r="J14" s="308"/>
      <c r="K14" s="1387"/>
    </row>
    <row r="15" spans="1:11" ht="25.5">
      <c r="A15" s="345" t="s">
        <v>1895</v>
      </c>
      <c r="B15" s="1437"/>
      <c r="C15" s="1615">
        <v>384</v>
      </c>
      <c r="D15" s="1091" t="s">
        <v>1954</v>
      </c>
      <c r="E15" s="1437"/>
      <c r="F15" s="308"/>
      <c r="G15" s="308"/>
      <c r="H15" s="308"/>
      <c r="I15" s="1437"/>
      <c r="J15" s="308"/>
      <c r="K15" s="1437"/>
    </row>
    <row r="16" spans="1:11" ht="25.5">
      <c r="A16" s="345" t="s">
        <v>1896</v>
      </c>
      <c r="B16" s="1437"/>
      <c r="C16" s="1615">
        <v>224.99999999999997</v>
      </c>
      <c r="D16" s="1091" t="s">
        <v>1954</v>
      </c>
      <c r="E16" s="1437"/>
      <c r="F16" s="308"/>
      <c r="G16" s="308"/>
      <c r="H16" s="308"/>
      <c r="I16" s="1437"/>
      <c r="J16" s="308"/>
      <c r="K16" s="1437"/>
    </row>
    <row r="17" spans="1:11" ht="26.25">
      <c r="A17" s="346" t="s">
        <v>1897</v>
      </c>
      <c r="B17" s="1437"/>
      <c r="C17" s="1615">
        <v>255</v>
      </c>
      <c r="D17" s="1091" t="s">
        <v>1954</v>
      </c>
      <c r="E17" s="1437"/>
      <c r="F17" s="308"/>
      <c r="G17" s="308"/>
      <c r="H17" s="308"/>
      <c r="I17" s="1437"/>
      <c r="J17" s="308"/>
      <c r="K17" s="1437"/>
    </row>
    <row r="18" spans="1:11" ht="38.25">
      <c r="A18" s="345" t="s">
        <v>1898</v>
      </c>
      <c r="B18" s="1437"/>
      <c r="C18" s="1615">
        <v>5730</v>
      </c>
      <c r="D18" s="1091" t="s">
        <v>1729</v>
      </c>
      <c r="E18" s="1437"/>
      <c r="F18" s="308"/>
      <c r="G18" s="308"/>
      <c r="H18" s="308"/>
      <c r="I18" s="1437"/>
      <c r="J18" s="308"/>
      <c r="K18" s="1437"/>
    </row>
    <row r="19" spans="1:11" ht="26.25">
      <c r="A19" s="346" t="s">
        <v>1899</v>
      </c>
      <c r="B19" s="1437"/>
      <c r="C19" s="258">
        <v>2550.0000000000005</v>
      </c>
      <c r="D19" s="1091" t="s">
        <v>1729</v>
      </c>
      <c r="E19" s="1437"/>
      <c r="F19" s="308"/>
      <c r="G19" s="308"/>
      <c r="H19" s="308"/>
      <c r="I19" s="1437"/>
      <c r="J19" s="308"/>
      <c r="K19" s="1437"/>
    </row>
    <row r="20" spans="1:11" ht="25.5">
      <c r="A20" s="345" t="s">
        <v>1900</v>
      </c>
      <c r="B20" s="1437"/>
      <c r="C20" s="1614">
        <v>433</v>
      </c>
      <c r="D20" s="1091" t="s">
        <v>1729</v>
      </c>
      <c r="E20" s="1437"/>
      <c r="F20" s="308"/>
      <c r="G20" s="308"/>
      <c r="H20" s="308"/>
      <c r="I20" s="1437"/>
      <c r="J20" s="308"/>
      <c r="K20" s="1437"/>
    </row>
    <row r="21" spans="1:11" ht="25.5">
      <c r="A21" s="345" t="s">
        <v>1901</v>
      </c>
      <c r="B21" s="1440"/>
      <c r="C21" s="1725">
        <v>71</v>
      </c>
      <c r="D21" s="1091" t="s">
        <v>1729</v>
      </c>
      <c r="E21" s="1437"/>
      <c r="F21" s="308"/>
      <c r="G21" s="1091"/>
      <c r="H21" s="308"/>
      <c r="I21" s="1437"/>
      <c r="J21" s="308"/>
      <c r="K21" s="1437"/>
    </row>
    <row r="22" spans="1:11" ht="25.5">
      <c r="A22" s="345" t="s">
        <v>1902</v>
      </c>
      <c r="B22" s="1438"/>
      <c r="C22" s="1725">
        <v>762</v>
      </c>
      <c r="D22" s="1727" t="s">
        <v>1729</v>
      </c>
      <c r="E22" s="1387"/>
      <c r="F22" s="308"/>
      <c r="G22" s="1091"/>
      <c r="H22" s="308"/>
      <c r="I22" s="1091"/>
      <c r="J22" s="308"/>
      <c r="K22" s="1091"/>
    </row>
    <row r="23" spans="1:11" ht="25.5">
      <c r="A23" s="345" t="s">
        <v>1730</v>
      </c>
      <c r="B23" s="1438"/>
      <c r="C23" s="1725">
        <v>27625</v>
      </c>
      <c r="D23" s="1727" t="s">
        <v>1729</v>
      </c>
      <c r="E23" s="1387"/>
      <c r="F23" s="308"/>
      <c r="G23" s="1091"/>
      <c r="H23" s="308"/>
      <c r="I23" s="1091"/>
      <c r="J23" s="308"/>
      <c r="K23" s="1091"/>
    </row>
    <row r="24" spans="1:11" ht="51">
      <c r="A24" s="345" t="s">
        <v>1903</v>
      </c>
      <c r="B24" s="1438"/>
      <c r="C24" s="1616">
        <v>62031</v>
      </c>
      <c r="D24" s="1727" t="s">
        <v>1955</v>
      </c>
      <c r="E24" s="1387"/>
      <c r="F24" s="308"/>
      <c r="G24" s="1091"/>
      <c r="H24" s="308"/>
      <c r="I24" s="1091"/>
      <c r="J24" s="308"/>
      <c r="K24" s="1091"/>
    </row>
    <row r="25" spans="1:11" ht="38.25">
      <c r="A25" s="345" t="s">
        <v>1904</v>
      </c>
      <c r="B25" s="1438"/>
      <c r="C25" s="1616">
        <v>33614</v>
      </c>
      <c r="D25" s="1727" t="s">
        <v>1564</v>
      </c>
      <c r="E25" s="1387"/>
      <c r="F25" s="308"/>
      <c r="G25" s="1091"/>
      <c r="H25" s="308"/>
      <c r="I25" s="1091"/>
      <c r="J25" s="308"/>
      <c r="K25" s="1091"/>
    </row>
    <row r="26" spans="1:11" ht="38.25">
      <c r="A26" s="345" t="s">
        <v>1905</v>
      </c>
      <c r="B26" s="1438"/>
      <c r="C26" s="1616">
        <v>301.88799999999998</v>
      </c>
      <c r="D26" s="1727" t="s">
        <v>1564</v>
      </c>
      <c r="E26" s="1387"/>
      <c r="F26" s="308"/>
      <c r="G26" s="1091"/>
      <c r="H26" s="308"/>
      <c r="I26" s="1091"/>
      <c r="J26" s="308"/>
      <c r="K26" s="1091"/>
    </row>
    <row r="27" spans="1:11" ht="25.5">
      <c r="A27" s="345" t="s">
        <v>1906</v>
      </c>
      <c r="B27" s="1438"/>
      <c r="C27" s="1616">
        <v>925</v>
      </c>
      <c r="D27" s="1727" t="s">
        <v>1729</v>
      </c>
      <c r="E27" s="1387"/>
      <c r="F27" s="308"/>
      <c r="G27" s="1091"/>
      <c r="H27" s="308"/>
      <c r="I27" s="1091"/>
      <c r="J27" s="308"/>
      <c r="K27" s="1091"/>
    </row>
    <row r="28" spans="1:11" ht="51">
      <c r="A28" s="345" t="s">
        <v>1907</v>
      </c>
      <c r="B28" s="1387"/>
      <c r="C28" s="1614">
        <v>27580</v>
      </c>
      <c r="D28" s="1727" t="s">
        <v>1564</v>
      </c>
      <c r="E28" s="1387"/>
      <c r="F28" s="308"/>
      <c r="G28" s="1091"/>
      <c r="H28" s="308"/>
      <c r="I28" s="1091"/>
      <c r="J28" s="308"/>
      <c r="K28" s="1091"/>
    </row>
    <row r="29" spans="1:11">
      <c r="A29" s="345" t="s">
        <v>1566</v>
      </c>
      <c r="B29" s="1387"/>
      <c r="C29" s="1614">
        <v>13650</v>
      </c>
      <c r="D29" s="1727" t="s">
        <v>1729</v>
      </c>
      <c r="E29" s="1387"/>
      <c r="F29" s="308"/>
      <c r="G29" s="1091"/>
      <c r="H29" s="308"/>
      <c r="I29" s="1091"/>
      <c r="J29" s="308"/>
      <c r="K29" s="1091"/>
    </row>
    <row r="30" spans="1:11" ht="25.5">
      <c r="A30" s="345" t="s">
        <v>1732</v>
      </c>
      <c r="B30" s="1387"/>
      <c r="C30" s="1614">
        <v>6701</v>
      </c>
      <c r="D30" s="1728" t="s">
        <v>1564</v>
      </c>
      <c r="E30" s="1387"/>
      <c r="F30" s="308"/>
      <c r="G30" s="1091"/>
      <c r="H30" s="308"/>
      <c r="I30" s="1091"/>
      <c r="J30" s="308"/>
      <c r="K30" s="1091"/>
    </row>
    <row r="31" spans="1:11" ht="38.25">
      <c r="A31" s="345" t="s">
        <v>1733</v>
      </c>
      <c r="B31" s="1387"/>
      <c r="C31" s="1614">
        <v>42.475999999999999</v>
      </c>
      <c r="D31" s="1728" t="s">
        <v>1564</v>
      </c>
      <c r="E31" s="1387"/>
      <c r="F31" s="308"/>
      <c r="G31" s="1091"/>
      <c r="H31" s="308"/>
      <c r="I31" s="1091"/>
      <c r="J31" s="308"/>
      <c r="K31" s="1091"/>
    </row>
    <row r="32" spans="1:11" ht="38.25">
      <c r="A32" s="345" t="s">
        <v>1734</v>
      </c>
      <c r="B32" s="1387"/>
      <c r="C32" s="1614">
        <v>74.591999999999985</v>
      </c>
      <c r="D32" s="1728" t="s">
        <v>1564</v>
      </c>
      <c r="E32" s="1387"/>
      <c r="F32" s="308"/>
      <c r="G32" s="1091"/>
      <c r="H32" s="308"/>
      <c r="I32" s="1091"/>
      <c r="J32" s="308"/>
      <c r="K32" s="1091"/>
    </row>
    <row r="33" spans="1:11" ht="38.25">
      <c r="A33" s="345" t="s">
        <v>1908</v>
      </c>
      <c r="B33" s="1387"/>
      <c r="C33" s="1614">
        <v>42.217000000000006</v>
      </c>
      <c r="D33" s="1729" t="s">
        <v>1564</v>
      </c>
      <c r="E33" s="1387"/>
      <c r="F33" s="308"/>
      <c r="G33" s="1091"/>
      <c r="H33" s="308"/>
      <c r="I33" s="1091"/>
      <c r="J33" s="308"/>
      <c r="K33" s="1091"/>
    </row>
    <row r="34" spans="1:11" ht="38.25">
      <c r="A34" s="345" t="s">
        <v>1909</v>
      </c>
      <c r="B34" s="1439"/>
      <c r="C34" s="1726">
        <v>19084</v>
      </c>
      <c r="D34" s="1729" t="s">
        <v>1564</v>
      </c>
      <c r="E34" s="1437"/>
      <c r="F34" s="308"/>
      <c r="G34" s="1091"/>
      <c r="H34" s="308"/>
      <c r="I34" s="1091"/>
      <c r="J34" s="308"/>
      <c r="K34" s="1091"/>
    </row>
    <row r="35" spans="1:11" ht="26.25">
      <c r="A35" s="346" t="s">
        <v>1910</v>
      </c>
      <c r="B35" s="1439"/>
      <c r="C35" s="1726">
        <v>724</v>
      </c>
      <c r="D35" s="1729" t="s">
        <v>1564</v>
      </c>
      <c r="E35" s="1437"/>
      <c r="F35" s="308"/>
      <c r="G35" s="1091"/>
      <c r="H35" s="308"/>
      <c r="I35" s="1091"/>
      <c r="J35" s="308"/>
      <c r="K35" s="1091"/>
    </row>
    <row r="36" spans="1:11" ht="26.25">
      <c r="A36" s="346" t="s">
        <v>1723</v>
      </c>
      <c r="B36" s="1439"/>
      <c r="C36" s="1726">
        <v>53.695599999999992</v>
      </c>
      <c r="D36" s="1729" t="s">
        <v>1564</v>
      </c>
      <c r="E36" s="1437"/>
      <c r="F36" s="308"/>
      <c r="G36" s="1091"/>
      <c r="H36" s="308"/>
      <c r="I36" s="1091"/>
      <c r="J36" s="308"/>
      <c r="K36" s="1091"/>
    </row>
    <row r="37" spans="1:11">
      <c r="A37" s="346" t="s">
        <v>976</v>
      </c>
      <c r="B37" s="1439"/>
      <c r="C37" s="1726">
        <v>2765.9239999999995</v>
      </c>
      <c r="D37" s="1729" t="s">
        <v>1564</v>
      </c>
      <c r="E37" s="1439"/>
      <c r="F37" s="308"/>
      <c r="G37" s="1091"/>
      <c r="H37" s="308"/>
      <c r="I37" s="1091"/>
      <c r="J37" s="308"/>
      <c r="K37" s="1091"/>
    </row>
    <row r="38" spans="1:11">
      <c r="A38" s="346" t="s">
        <v>998</v>
      </c>
      <c r="B38" s="1439"/>
      <c r="C38" s="1726">
        <v>121.212</v>
      </c>
      <c r="D38" s="1729" t="s">
        <v>1564</v>
      </c>
      <c r="E38" s="1439"/>
      <c r="F38" s="308"/>
      <c r="G38" s="1091"/>
      <c r="H38" s="308"/>
      <c r="I38" s="1091"/>
      <c r="J38" s="308"/>
      <c r="K38" s="1091"/>
    </row>
    <row r="39" spans="1:11">
      <c r="A39" s="346" t="s">
        <v>977</v>
      </c>
      <c r="B39" s="1439"/>
      <c r="C39" s="1726">
        <v>996.74680000000001</v>
      </c>
      <c r="D39" s="1729" t="s">
        <v>1564</v>
      </c>
      <c r="E39" s="1439"/>
      <c r="F39" s="308"/>
      <c r="G39" s="1091"/>
      <c r="H39" s="308"/>
      <c r="I39" s="1091"/>
      <c r="J39" s="308"/>
      <c r="K39" s="1091"/>
    </row>
    <row r="40" spans="1:11">
      <c r="A40" s="346" t="s">
        <v>1567</v>
      </c>
      <c r="B40" s="1439"/>
      <c r="C40" s="1726">
        <v>169.26560000000001</v>
      </c>
      <c r="D40" s="1724" t="s">
        <v>1564</v>
      </c>
      <c r="E40" s="1439"/>
      <c r="F40" s="308"/>
      <c r="G40" s="1091"/>
      <c r="H40" s="308"/>
      <c r="I40" s="1091"/>
      <c r="J40" s="308"/>
      <c r="K40" s="1091"/>
    </row>
    <row r="41" spans="1:11">
      <c r="A41" s="346" t="s">
        <v>1911</v>
      </c>
      <c r="B41" s="1439"/>
      <c r="C41" s="1726">
        <v>3737</v>
      </c>
      <c r="D41" s="1724" t="s">
        <v>1564</v>
      </c>
      <c r="E41" s="1439"/>
      <c r="F41" s="308"/>
      <c r="G41" s="1091"/>
      <c r="H41" s="308"/>
      <c r="I41" s="1091"/>
      <c r="J41" s="308"/>
      <c r="K41" s="1091"/>
    </row>
    <row r="42" spans="1:11" ht="26.25">
      <c r="A42" s="346" t="s">
        <v>1912</v>
      </c>
      <c r="B42" s="1439"/>
      <c r="C42" s="1439"/>
      <c r="D42" s="1439"/>
      <c r="E42" s="1439"/>
      <c r="F42" s="258">
        <v>905.64479579920442</v>
      </c>
      <c r="G42" s="1091" t="s">
        <v>1564</v>
      </c>
      <c r="H42" s="308"/>
      <c r="I42" s="1091"/>
      <c r="J42" s="308"/>
      <c r="K42" s="1091"/>
    </row>
    <row r="43" spans="1:11" ht="39">
      <c r="A43" s="346" t="s">
        <v>1913</v>
      </c>
      <c r="B43" s="1439"/>
      <c r="C43" s="1439"/>
      <c r="D43" s="1439"/>
      <c r="E43" s="1439"/>
      <c r="F43" s="258">
        <v>1800.4866715689948</v>
      </c>
      <c r="G43" s="1091" t="s">
        <v>1564</v>
      </c>
      <c r="H43" s="308"/>
      <c r="I43" s="1091"/>
      <c r="J43" s="308"/>
      <c r="K43" s="1091"/>
    </row>
    <row r="44" spans="1:11" ht="26.25">
      <c r="A44" s="346" t="s">
        <v>978</v>
      </c>
      <c r="B44" s="1439"/>
      <c r="C44" s="1439"/>
      <c r="D44" s="1439"/>
      <c r="E44" s="1439"/>
      <c r="F44" s="258">
        <v>0</v>
      </c>
      <c r="G44" s="1091" t="s">
        <v>1564</v>
      </c>
      <c r="H44" s="308"/>
      <c r="I44" s="1091"/>
      <c r="J44" s="308"/>
      <c r="K44" s="1091"/>
    </row>
    <row r="45" spans="1:11" ht="26.25">
      <c r="A45" s="346" t="s">
        <v>1726</v>
      </c>
      <c r="B45" s="1437"/>
      <c r="C45" s="1437"/>
      <c r="D45" s="1437"/>
      <c r="E45" s="1437"/>
      <c r="F45" s="258">
        <v>3001.1482890703414</v>
      </c>
      <c r="G45" s="1091" t="s">
        <v>1564</v>
      </c>
      <c r="H45" s="308"/>
      <c r="I45" s="1091"/>
      <c r="J45" s="258"/>
      <c r="K45" s="1091" t="s">
        <v>1564</v>
      </c>
    </row>
    <row r="46" spans="1:11" ht="39">
      <c r="A46" s="346" t="s">
        <v>1914</v>
      </c>
      <c r="B46" s="1437"/>
      <c r="C46" s="1437"/>
      <c r="D46" s="1437"/>
      <c r="E46" s="1437"/>
      <c r="F46" s="258">
        <v>41998.880387761928</v>
      </c>
      <c r="G46" s="1091" t="s">
        <v>1564</v>
      </c>
      <c r="H46" s="308"/>
      <c r="I46" s="1091"/>
      <c r="J46" s="258"/>
      <c r="K46" s="1091" t="s">
        <v>1564</v>
      </c>
    </row>
    <row r="47" spans="1:11" ht="25.5">
      <c r="A47" s="345" t="s">
        <v>1915</v>
      </c>
      <c r="B47" s="1437"/>
      <c r="C47" s="1437"/>
      <c r="D47" s="1437"/>
      <c r="E47" s="1437"/>
      <c r="F47" s="258">
        <v>6018.480727997483</v>
      </c>
      <c r="G47" s="1091" t="s">
        <v>1564</v>
      </c>
      <c r="H47" s="308"/>
      <c r="I47" s="1091"/>
      <c r="J47" s="258"/>
      <c r="K47" s="1091" t="s">
        <v>1564</v>
      </c>
    </row>
    <row r="48" spans="1:11" ht="51">
      <c r="A48" s="345" t="s">
        <v>1916</v>
      </c>
      <c r="B48" s="1437"/>
      <c r="C48" s="1437"/>
      <c r="D48" s="1437"/>
      <c r="E48" s="1437"/>
      <c r="F48" s="258">
        <v>5057.5468302499858</v>
      </c>
      <c r="G48" s="1091" t="s">
        <v>1564</v>
      </c>
      <c r="H48" s="308"/>
      <c r="I48" s="1091"/>
      <c r="J48" s="258"/>
      <c r="K48" s="1091" t="s">
        <v>1564</v>
      </c>
    </row>
    <row r="49" spans="1:11">
      <c r="A49" s="345" t="s">
        <v>970</v>
      </c>
      <c r="B49" s="1437"/>
      <c r="C49" s="1437"/>
      <c r="D49" s="1437"/>
      <c r="E49" s="1437"/>
      <c r="F49" s="258">
        <v>7283.1810034634545</v>
      </c>
      <c r="G49" s="1091" t="s">
        <v>1564</v>
      </c>
      <c r="H49" s="308"/>
      <c r="I49" s="1091"/>
      <c r="J49" s="258"/>
      <c r="K49" s="1091" t="s">
        <v>1728</v>
      </c>
    </row>
    <row r="50" spans="1:11" ht="18" customHeight="1">
      <c r="A50" s="345" t="s">
        <v>1725</v>
      </c>
      <c r="B50" s="1437"/>
      <c r="C50" s="1437"/>
      <c r="D50" s="1437"/>
      <c r="E50" s="1437"/>
      <c r="F50" s="258">
        <v>4141.1193446086882</v>
      </c>
      <c r="G50" s="1091" t="s">
        <v>1564</v>
      </c>
      <c r="H50" s="308"/>
      <c r="I50" s="1091"/>
      <c r="J50" s="258"/>
      <c r="K50" s="1091" t="s">
        <v>1729</v>
      </c>
    </row>
    <row r="51" spans="1:11" ht="38.25">
      <c r="A51" s="345" t="s">
        <v>1917</v>
      </c>
      <c r="B51" s="1437"/>
      <c r="C51" s="1437"/>
      <c r="D51" s="1437"/>
      <c r="E51" s="1437"/>
      <c r="F51" s="258">
        <v>1800.4866715689948</v>
      </c>
      <c r="G51" s="1091" t="s">
        <v>1564</v>
      </c>
      <c r="H51" s="308"/>
      <c r="I51" s="1091"/>
      <c r="J51" s="258"/>
      <c r="K51" s="1091" t="s">
        <v>1729</v>
      </c>
    </row>
    <row r="52" spans="1:11" ht="38.25">
      <c r="A52" s="345" t="s">
        <v>1918</v>
      </c>
      <c r="B52" s="1387"/>
      <c r="C52" s="1387"/>
      <c r="D52" s="1387"/>
      <c r="E52" s="1387"/>
      <c r="F52" s="258">
        <v>577.57184801454844</v>
      </c>
      <c r="G52" s="1091" t="s">
        <v>1564</v>
      </c>
      <c r="H52" s="308"/>
      <c r="I52" s="1091"/>
      <c r="J52" s="258"/>
      <c r="K52" s="1091" t="s">
        <v>1729</v>
      </c>
    </row>
    <row r="53" spans="1:11" ht="38.25">
      <c r="A53" s="345" t="s">
        <v>1919</v>
      </c>
      <c r="B53" s="1387"/>
      <c r="C53" s="1387"/>
      <c r="D53" s="1387"/>
      <c r="E53" s="1387"/>
      <c r="F53" s="258">
        <v>1472.8082124370983</v>
      </c>
      <c r="G53" s="1091" t="s">
        <v>1564</v>
      </c>
      <c r="H53" s="308"/>
      <c r="I53" s="1091"/>
      <c r="J53" s="258"/>
      <c r="K53" s="1091" t="s">
        <v>1564</v>
      </c>
    </row>
    <row r="54" spans="1:11" ht="89.25">
      <c r="A54" s="345" t="s">
        <v>1920</v>
      </c>
      <c r="B54" s="1387"/>
      <c r="C54" s="1387"/>
      <c r="D54" s="1387"/>
      <c r="E54" s="1387"/>
      <c r="F54" s="258">
        <v>693.08621761745803</v>
      </c>
      <c r="G54" s="1091" t="s">
        <v>1564</v>
      </c>
      <c r="H54" s="308"/>
      <c r="I54" s="1091"/>
      <c r="J54" s="258"/>
      <c r="K54" s="1091" t="s">
        <v>1564</v>
      </c>
    </row>
    <row r="55" spans="1:11" ht="25.5">
      <c r="A55" s="345" t="s">
        <v>1921</v>
      </c>
      <c r="B55" s="1387"/>
      <c r="C55" s="1387"/>
      <c r="D55" s="1387"/>
      <c r="E55" s="1387"/>
      <c r="F55" s="258">
        <v>259.90733160654679</v>
      </c>
      <c r="G55" s="1091" t="s">
        <v>1564</v>
      </c>
      <c r="H55" s="308"/>
      <c r="I55" s="1091"/>
      <c r="J55" s="258"/>
      <c r="K55" s="1091" t="s">
        <v>1564</v>
      </c>
    </row>
    <row r="56" spans="1:11" ht="25.5">
      <c r="A56" s="345" t="s">
        <v>1731</v>
      </c>
      <c r="B56" s="1387"/>
      <c r="C56" s="1387"/>
      <c r="D56" s="1387"/>
      <c r="E56" s="1387"/>
      <c r="F56" s="258">
        <v>31934</v>
      </c>
      <c r="G56" s="1091" t="s">
        <v>1954</v>
      </c>
      <c r="H56" s="308"/>
      <c r="I56" s="1091"/>
      <c r="J56" s="258"/>
      <c r="K56" s="1091" t="s">
        <v>1564</v>
      </c>
    </row>
    <row r="57" spans="1:11" ht="25.5">
      <c r="A57" s="345" t="s">
        <v>1922</v>
      </c>
      <c r="B57" s="1387"/>
      <c r="C57" s="1387"/>
      <c r="D57" s="1387"/>
      <c r="E57" s="1387"/>
      <c r="F57" s="258">
        <v>12249.378422865464</v>
      </c>
      <c r="G57" s="1091" t="s">
        <v>1729</v>
      </c>
      <c r="H57" s="308"/>
      <c r="I57" s="1091"/>
      <c r="J57" s="258"/>
      <c r="K57" s="1091" t="s">
        <v>1564</v>
      </c>
    </row>
    <row r="58" spans="1:11" ht="25.5">
      <c r="A58" s="345" t="s">
        <v>1730</v>
      </c>
      <c r="B58" s="1387"/>
      <c r="C58" s="1387"/>
      <c r="D58" s="1387"/>
      <c r="E58" s="1387"/>
      <c r="F58" s="258">
        <v>113005.82637510567</v>
      </c>
      <c r="G58" s="1091" t="s">
        <v>1729</v>
      </c>
      <c r="H58" s="308"/>
      <c r="I58" s="1091"/>
      <c r="J58" s="308"/>
      <c r="K58" s="1091"/>
    </row>
    <row r="59" spans="1:11">
      <c r="A59" s="345" t="s">
        <v>976</v>
      </c>
      <c r="B59" s="1387"/>
      <c r="C59" s="1387"/>
      <c r="D59" s="1387"/>
      <c r="E59" s="1387"/>
      <c r="F59" s="258">
        <v>6353.5847457627115</v>
      </c>
      <c r="G59" s="1091" t="s">
        <v>1564</v>
      </c>
      <c r="H59" s="308"/>
      <c r="I59" s="1091"/>
      <c r="J59" s="308"/>
      <c r="K59" s="1091"/>
    </row>
    <row r="60" spans="1:11" ht="25.5">
      <c r="A60" s="345" t="s">
        <v>1732</v>
      </c>
      <c r="B60" s="1387"/>
      <c r="C60" s="1387"/>
      <c r="D60" s="1387"/>
      <c r="E60" s="1387"/>
      <c r="F60" s="258">
        <v>8235.7092583790763</v>
      </c>
      <c r="G60" s="1091" t="s">
        <v>1564</v>
      </c>
      <c r="H60" s="308"/>
      <c r="I60" s="1091"/>
      <c r="J60" s="308"/>
      <c r="K60" s="1091"/>
    </row>
    <row r="61" spans="1:11" ht="51">
      <c r="A61" s="345" t="s">
        <v>1923</v>
      </c>
      <c r="B61" s="1387"/>
      <c r="C61" s="1387"/>
      <c r="D61" s="1387"/>
      <c r="E61" s="1387"/>
      <c r="F61" s="258">
        <v>81.214087000154265</v>
      </c>
      <c r="G61" s="1091" t="s">
        <v>1564</v>
      </c>
      <c r="H61" s="308"/>
      <c r="I61" s="1091"/>
      <c r="J61" s="308"/>
      <c r="K61" s="1091"/>
    </row>
    <row r="62" spans="1:11" ht="51">
      <c r="A62" s="345" t="s">
        <v>1924</v>
      </c>
      <c r="B62" s="1387"/>
      <c r="C62" s="1387"/>
      <c r="D62" s="1387"/>
      <c r="E62" s="1387"/>
      <c r="F62" s="1614">
        <v>65.495231451737311</v>
      </c>
      <c r="G62" s="1091" t="s">
        <v>1564</v>
      </c>
      <c r="H62" s="308"/>
      <c r="I62" s="1091"/>
      <c r="J62" s="308"/>
      <c r="K62" s="1091"/>
    </row>
    <row r="63" spans="1:11" ht="51">
      <c r="A63" s="345" t="s">
        <v>1925</v>
      </c>
      <c r="B63" s="1387"/>
      <c r="C63" s="1387"/>
      <c r="D63" s="1387"/>
      <c r="E63" s="1387"/>
      <c r="F63" s="1614">
        <v>91.69332403243223</v>
      </c>
      <c r="G63" s="1091" t="s">
        <v>1564</v>
      </c>
      <c r="H63" s="308"/>
      <c r="I63" s="1091"/>
      <c r="J63" s="308"/>
      <c r="K63" s="1091"/>
    </row>
    <row r="64" spans="1:11" ht="38.25">
      <c r="A64" s="345" t="s">
        <v>1926</v>
      </c>
      <c r="B64" s="72"/>
      <c r="C64" s="72"/>
      <c r="D64" s="72"/>
      <c r="E64" s="72"/>
      <c r="F64" s="1614">
        <v>65.495231451737311</v>
      </c>
      <c r="G64" s="1091" t="s">
        <v>1564</v>
      </c>
      <c r="H64" s="50"/>
      <c r="I64" s="72"/>
      <c r="J64" s="50"/>
      <c r="K64" s="72"/>
    </row>
    <row r="65" spans="1:11" ht="38.25">
      <c r="A65" s="345" t="s">
        <v>1927</v>
      </c>
      <c r="B65" s="72"/>
      <c r="C65" s="72"/>
      <c r="D65" s="72"/>
      <c r="E65" s="72"/>
      <c r="F65" s="1614">
        <v>20.95847406455594</v>
      </c>
      <c r="G65" s="1091" t="s">
        <v>1564</v>
      </c>
      <c r="H65" s="50"/>
      <c r="I65" s="72"/>
      <c r="J65" s="50"/>
      <c r="K65" s="72"/>
    </row>
    <row r="66" spans="1:11" ht="38.25">
      <c r="A66" s="345" t="s">
        <v>1928</v>
      </c>
      <c r="B66" s="72"/>
      <c r="C66" s="72"/>
      <c r="D66" s="72"/>
      <c r="E66" s="72"/>
      <c r="F66" s="1614">
        <v>65.495231451737311</v>
      </c>
      <c r="G66" s="1091" t="s">
        <v>1564</v>
      </c>
      <c r="H66" s="50"/>
      <c r="I66" s="72"/>
      <c r="J66" s="50"/>
      <c r="K66" s="72"/>
    </row>
    <row r="67" spans="1:11" ht="38.25">
      <c r="A67" s="345" t="s">
        <v>1929</v>
      </c>
      <c r="B67" s="72"/>
      <c r="C67" s="72"/>
      <c r="D67" s="72"/>
      <c r="E67" s="72"/>
      <c r="F67" s="1614">
        <v>147.4952612293124</v>
      </c>
      <c r="G67" s="1091" t="s">
        <v>1564</v>
      </c>
      <c r="H67" s="50"/>
      <c r="I67" s="72"/>
      <c r="J67" s="50"/>
      <c r="K67" s="72"/>
    </row>
    <row r="68" spans="1:11">
      <c r="A68" s="345" t="s">
        <v>1930</v>
      </c>
      <c r="B68" s="72"/>
      <c r="C68" s="72"/>
      <c r="D68" s="72"/>
      <c r="E68" s="72"/>
      <c r="F68" s="1614">
        <v>0.25900000000000001</v>
      </c>
      <c r="G68" s="1091" t="s">
        <v>1564</v>
      </c>
      <c r="H68" s="50"/>
      <c r="I68" s="72"/>
      <c r="J68" s="50"/>
      <c r="K68" s="72"/>
    </row>
    <row r="69" spans="1:11">
      <c r="A69" s="345" t="s">
        <v>1931</v>
      </c>
      <c r="B69" s="72"/>
      <c r="C69" s="72"/>
      <c r="D69" s="72"/>
      <c r="E69" s="72"/>
      <c r="F69" s="1614">
        <v>410.66864406779655</v>
      </c>
      <c r="G69" s="1091" t="s">
        <v>1564</v>
      </c>
      <c r="H69" s="50"/>
      <c r="I69" s="72"/>
      <c r="J69" s="50"/>
      <c r="K69" s="72"/>
    </row>
    <row r="70" spans="1:11" ht="25.5">
      <c r="A70" s="345" t="s">
        <v>1932</v>
      </c>
      <c r="B70" s="72"/>
      <c r="C70" s="72"/>
      <c r="D70" s="72"/>
      <c r="E70" s="72"/>
      <c r="F70" s="1614">
        <v>1798.4636528368951</v>
      </c>
      <c r="G70" s="1091" t="s">
        <v>1564</v>
      </c>
      <c r="H70" s="50"/>
      <c r="I70" s="72"/>
      <c r="J70" s="50"/>
      <c r="K70" s="72"/>
    </row>
    <row r="71" spans="1:11" ht="38.25">
      <c r="A71" s="345" t="s">
        <v>1933</v>
      </c>
      <c r="B71" s="72"/>
      <c r="C71" s="72"/>
      <c r="D71" s="72"/>
      <c r="E71" s="72"/>
      <c r="F71" s="1614">
        <v>90.282875372412121</v>
      </c>
      <c r="G71" s="1091" t="s">
        <v>1564</v>
      </c>
      <c r="H71" s="50"/>
      <c r="I71" s="72"/>
      <c r="J71" s="50"/>
      <c r="K71" s="72"/>
    </row>
    <row r="72" spans="1:11">
      <c r="A72" s="345" t="s">
        <v>1567</v>
      </c>
      <c r="B72" s="72"/>
      <c r="C72" s="72"/>
      <c r="D72" s="72"/>
      <c r="E72" s="72"/>
      <c r="F72" s="1614">
        <v>649.12067796610177</v>
      </c>
      <c r="G72" s="1091" t="s">
        <v>1564</v>
      </c>
      <c r="H72" s="50"/>
      <c r="I72" s="72"/>
      <c r="J72" s="50"/>
      <c r="K72" s="72"/>
    </row>
    <row r="73" spans="1:11" ht="25.5">
      <c r="A73" s="345" t="s">
        <v>1934</v>
      </c>
      <c r="B73" s="72"/>
      <c r="C73" s="72"/>
      <c r="D73" s="72"/>
      <c r="E73" s="72"/>
      <c r="F73" s="1614">
        <v>1011.5093660499972</v>
      </c>
      <c r="G73" s="1091" t="s">
        <v>1954</v>
      </c>
      <c r="H73" s="50"/>
      <c r="I73" s="72"/>
      <c r="J73" s="50"/>
      <c r="K73" s="72"/>
    </row>
    <row r="74" spans="1:11" ht="38.25">
      <c r="A74" s="345" t="s">
        <v>1935</v>
      </c>
      <c r="B74" s="72"/>
      <c r="C74" s="72"/>
      <c r="D74" s="72"/>
      <c r="E74" s="72"/>
      <c r="F74" s="1614">
        <v>13442.95947480446</v>
      </c>
      <c r="G74" s="1091" t="s">
        <v>1956</v>
      </c>
      <c r="H74" s="50"/>
      <c r="I74" s="72"/>
      <c r="J74" s="50"/>
      <c r="K74" s="72"/>
    </row>
    <row r="75" spans="1:11" ht="63.75">
      <c r="A75" s="345" t="s">
        <v>1936</v>
      </c>
      <c r="B75" s="72"/>
      <c r="C75" s="72"/>
      <c r="D75" s="72"/>
      <c r="E75" s="72"/>
      <c r="F75" s="1614">
        <v>2917.1930116881913</v>
      </c>
      <c r="G75" s="1091" t="s">
        <v>1729</v>
      </c>
      <c r="H75" s="50"/>
      <c r="I75" s="72"/>
      <c r="J75" s="50"/>
      <c r="K75" s="72"/>
    </row>
    <row r="76" spans="1:11">
      <c r="A76" s="345" t="s">
        <v>1937</v>
      </c>
      <c r="B76" s="72"/>
      <c r="C76" s="72"/>
      <c r="D76" s="72"/>
      <c r="E76" s="72"/>
      <c r="F76" s="1614">
        <v>2807.6271186440677</v>
      </c>
      <c r="G76" s="1091" t="s">
        <v>1564</v>
      </c>
      <c r="H76" s="50"/>
      <c r="I76" s="72"/>
      <c r="J76" s="50"/>
      <c r="K76" s="72"/>
    </row>
    <row r="77" spans="1:11" ht="25.5">
      <c r="A77" s="345" t="s">
        <v>1938</v>
      </c>
      <c r="B77" s="72"/>
      <c r="C77" s="72"/>
      <c r="D77" s="72"/>
      <c r="E77" s="72"/>
      <c r="F77" s="50"/>
      <c r="G77" s="50"/>
      <c r="H77" s="50"/>
      <c r="I77" s="72"/>
      <c r="J77" s="1614">
        <v>724.49947966535024</v>
      </c>
      <c r="K77" s="1091" t="s">
        <v>1564</v>
      </c>
    </row>
    <row r="78" spans="1:11" ht="51">
      <c r="A78" s="345" t="s">
        <v>985</v>
      </c>
      <c r="B78" s="72"/>
      <c r="C78" s="72"/>
      <c r="D78" s="72"/>
      <c r="E78" s="72"/>
      <c r="F78" s="50"/>
      <c r="G78" s="50"/>
      <c r="H78" s="1614">
        <v>1600.1490702081562</v>
      </c>
      <c r="I78" s="1091" t="s">
        <v>1564</v>
      </c>
      <c r="J78" s="1614"/>
      <c r="K78" s="1091"/>
    </row>
    <row r="79" spans="1:11" ht="25.5">
      <c r="A79" s="345" t="s">
        <v>1912</v>
      </c>
      <c r="B79" s="72"/>
      <c r="C79" s="72"/>
      <c r="D79" s="72"/>
      <c r="E79" s="72"/>
      <c r="F79" s="50"/>
      <c r="G79" s="50"/>
      <c r="H79" s="1614">
        <v>4283.2453362698816</v>
      </c>
      <c r="I79" s="1091" t="s">
        <v>1564</v>
      </c>
      <c r="J79" s="1614">
        <v>4419.4468259586356</v>
      </c>
      <c r="K79" s="1091" t="s">
        <v>1564</v>
      </c>
    </row>
    <row r="80" spans="1:11" ht="38.25">
      <c r="A80" s="345" t="s">
        <v>1939</v>
      </c>
      <c r="B80" s="72"/>
      <c r="C80" s="72"/>
      <c r="D80" s="72"/>
      <c r="E80" s="72"/>
      <c r="F80" s="50"/>
      <c r="G80" s="50"/>
      <c r="H80" s="1614"/>
      <c r="I80" s="1091"/>
      <c r="J80" s="1614">
        <v>6614.110418293224</v>
      </c>
      <c r="K80" s="1091" t="s">
        <v>1564</v>
      </c>
    </row>
    <row r="81" spans="1:11" ht="25.5">
      <c r="A81" s="345" t="s">
        <v>1940</v>
      </c>
      <c r="B81" s="72"/>
      <c r="C81" s="72"/>
      <c r="D81" s="72"/>
      <c r="E81" s="72"/>
      <c r="F81" s="50"/>
      <c r="G81" s="50"/>
      <c r="H81" s="1614"/>
      <c r="I81" s="1091"/>
      <c r="J81" s="1614">
        <v>2066.2725160055784</v>
      </c>
      <c r="K81" s="1091" t="s">
        <v>1564</v>
      </c>
    </row>
    <row r="82" spans="1:11">
      <c r="A82" s="345" t="s">
        <v>1941</v>
      </c>
      <c r="B82" s="72"/>
      <c r="C82" s="72"/>
      <c r="D82" s="72"/>
      <c r="E82" s="72"/>
      <c r="F82" s="50"/>
      <c r="G82" s="50"/>
      <c r="H82" s="1614">
        <v>1427.7484454232936</v>
      </c>
      <c r="I82" s="1091" t="s">
        <v>1564</v>
      </c>
      <c r="J82" s="1614"/>
      <c r="K82" s="1091"/>
    </row>
    <row r="83" spans="1:11" ht="38.25">
      <c r="A83" s="345" t="s">
        <v>1913</v>
      </c>
      <c r="B83" s="72"/>
      <c r="C83" s="72"/>
      <c r="D83" s="72"/>
      <c r="E83" s="72"/>
      <c r="F83" s="50"/>
      <c r="G83" s="50"/>
      <c r="H83" s="1614">
        <v>10708.113340674701</v>
      </c>
      <c r="I83" s="1091" t="s">
        <v>1564</v>
      </c>
      <c r="J83" s="1614">
        <v>43469.968779921001</v>
      </c>
      <c r="K83" s="1091" t="s">
        <v>1564</v>
      </c>
    </row>
    <row r="84" spans="1:11" ht="38.25">
      <c r="A84" s="345" t="s">
        <v>1942</v>
      </c>
      <c r="B84" s="72"/>
      <c r="C84" s="72"/>
      <c r="D84" s="72"/>
      <c r="E84" s="72"/>
      <c r="F84" s="50"/>
      <c r="G84" s="50"/>
      <c r="H84" s="1614"/>
      <c r="I84" s="1091"/>
      <c r="J84" s="1614">
        <v>1159.1991674645601</v>
      </c>
      <c r="K84" s="1091" t="s">
        <v>1564</v>
      </c>
    </row>
    <row r="85" spans="1:11" ht="25.5">
      <c r="A85" s="345" t="s">
        <v>1915</v>
      </c>
      <c r="B85" s="72"/>
      <c r="C85" s="72"/>
      <c r="D85" s="72"/>
      <c r="E85" s="72"/>
      <c r="F85" s="50"/>
      <c r="G85" s="50"/>
      <c r="H85" s="1614">
        <v>2005.2646705383336</v>
      </c>
      <c r="I85" s="1091" t="s">
        <v>1564</v>
      </c>
      <c r="J85" s="1614"/>
      <c r="K85" s="1091"/>
    </row>
    <row r="86" spans="1:11" ht="25.5">
      <c r="A86" s="345" t="s">
        <v>1943</v>
      </c>
      <c r="B86" s="72"/>
      <c r="C86" s="72"/>
      <c r="D86" s="72"/>
      <c r="E86" s="72"/>
      <c r="F86" s="50"/>
      <c r="G86" s="50"/>
      <c r="H86" s="1614"/>
      <c r="I86" s="1091"/>
      <c r="J86" s="1614">
        <v>122106.65387618259</v>
      </c>
      <c r="K86" s="1091" t="s">
        <v>1564</v>
      </c>
    </row>
    <row r="87" spans="1:11">
      <c r="A87" s="345" t="s">
        <v>994</v>
      </c>
      <c r="B87" s="72"/>
      <c r="C87" s="72"/>
      <c r="D87" s="72"/>
      <c r="E87" s="72"/>
      <c r="F87" s="50"/>
      <c r="G87" s="50"/>
      <c r="H87" s="1614"/>
      <c r="I87" s="1091"/>
      <c r="J87" s="1614">
        <v>3561.4440713886593</v>
      </c>
      <c r="K87" s="1091" t="s">
        <v>1564</v>
      </c>
    </row>
    <row r="88" spans="1:11" ht="51">
      <c r="A88" s="345" t="s">
        <v>1916</v>
      </c>
      <c r="B88" s="72"/>
      <c r="C88" s="72"/>
      <c r="D88" s="72"/>
      <c r="E88" s="72"/>
      <c r="F88" s="50"/>
      <c r="G88" s="50"/>
      <c r="H88" s="1614">
        <v>5013.1616763458342</v>
      </c>
      <c r="I88" s="1091" t="s">
        <v>1564</v>
      </c>
      <c r="J88" s="1614"/>
      <c r="K88" s="1091"/>
    </row>
    <row r="89" spans="1:11">
      <c r="A89" s="345" t="s">
        <v>970</v>
      </c>
      <c r="B89" s="72"/>
      <c r="C89" s="72"/>
      <c r="D89" s="72"/>
      <c r="E89" s="72"/>
      <c r="F89" s="50"/>
      <c r="G89" s="50"/>
      <c r="H89" s="1614">
        <v>4775.8205552055879</v>
      </c>
      <c r="I89" s="1091" t="s">
        <v>1564</v>
      </c>
      <c r="J89" s="1614">
        <v>12102.733281146204</v>
      </c>
      <c r="K89" s="1091" t="s">
        <v>1564</v>
      </c>
    </row>
    <row r="90" spans="1:11" ht="25.5">
      <c r="A90" s="345" t="s">
        <v>1725</v>
      </c>
      <c r="B90" s="72"/>
      <c r="C90" s="72"/>
      <c r="D90" s="72"/>
      <c r="E90" s="72"/>
      <c r="F90" s="50"/>
      <c r="G90" s="50"/>
      <c r="H90" s="1614">
        <v>3532.9635281999394</v>
      </c>
      <c r="I90" s="1091" t="s">
        <v>1564</v>
      </c>
      <c r="J90" s="1614"/>
      <c r="K90" s="1091"/>
    </row>
    <row r="91" spans="1:11" ht="38.25">
      <c r="A91" s="345" t="s">
        <v>1918</v>
      </c>
      <c r="B91" s="72"/>
      <c r="C91" s="72"/>
      <c r="D91" s="72"/>
      <c r="E91" s="72"/>
      <c r="F91" s="50"/>
      <c r="G91" s="50"/>
      <c r="H91" s="1614">
        <v>2633.5140918179932</v>
      </c>
      <c r="I91" s="1091" t="s">
        <v>1564</v>
      </c>
      <c r="J91" s="1614">
        <v>2672.7111422598437</v>
      </c>
      <c r="K91" s="1091" t="s">
        <v>1564</v>
      </c>
    </row>
    <row r="92" spans="1:11" ht="38.25">
      <c r="A92" s="345" t="s">
        <v>1944</v>
      </c>
      <c r="B92" s="72"/>
      <c r="C92" s="72"/>
      <c r="D92" s="72"/>
      <c r="E92" s="72"/>
      <c r="F92" s="50"/>
      <c r="G92" s="50"/>
      <c r="H92" s="1614">
        <v>869.63215336337657</v>
      </c>
      <c r="I92" s="1091" t="s">
        <v>1564</v>
      </c>
      <c r="J92" s="1614"/>
      <c r="K92" s="1091"/>
    </row>
    <row r="93" spans="1:11" ht="38.25">
      <c r="A93" s="345" t="s">
        <v>1919</v>
      </c>
      <c r="B93" s="72"/>
      <c r="C93" s="72"/>
      <c r="D93" s="72"/>
      <c r="E93" s="72"/>
      <c r="F93" s="50"/>
      <c r="G93" s="50"/>
      <c r="H93" s="1614">
        <v>1459.8828117686703</v>
      </c>
      <c r="I93" s="1091" t="s">
        <v>1564</v>
      </c>
      <c r="J93" s="1614"/>
      <c r="K93" s="1091"/>
    </row>
    <row r="94" spans="1:11" ht="76.5">
      <c r="A94" s="345" t="s">
        <v>1945</v>
      </c>
      <c r="B94" s="72"/>
      <c r="C94" s="72"/>
      <c r="D94" s="72"/>
      <c r="E94" s="72"/>
      <c r="F94" s="50"/>
      <c r="G94" s="50"/>
      <c r="H94" s="1614">
        <v>8301.2944198610676</v>
      </c>
      <c r="I94" s="1091" t="s">
        <v>1564</v>
      </c>
      <c r="J94" s="1614"/>
      <c r="K94" s="1091"/>
    </row>
    <row r="95" spans="1:11">
      <c r="A95" s="345" t="s">
        <v>1946</v>
      </c>
      <c r="B95" s="72"/>
      <c r="C95" s="72"/>
      <c r="D95" s="72"/>
      <c r="E95" s="72"/>
      <c r="F95" s="50"/>
      <c r="G95" s="50"/>
      <c r="H95" s="1614">
        <v>642.48680044048217</v>
      </c>
      <c r="I95" s="1091" t="s">
        <v>1564</v>
      </c>
      <c r="J95" s="1614"/>
      <c r="K95" s="1091"/>
    </row>
    <row r="96" spans="1:11" ht="25.5">
      <c r="A96" s="345" t="s">
        <v>1731</v>
      </c>
      <c r="B96" s="72"/>
      <c r="C96" s="72"/>
      <c r="D96" s="72"/>
      <c r="E96" s="72"/>
      <c r="F96" s="50"/>
      <c r="G96" s="50"/>
      <c r="H96" s="1614">
        <v>10465.8989</v>
      </c>
      <c r="I96" s="1091" t="s">
        <v>1954</v>
      </c>
      <c r="J96" s="1614">
        <v>10733.7279461</v>
      </c>
      <c r="K96" s="1091" t="s">
        <v>1954</v>
      </c>
    </row>
    <row r="97" spans="1:11" ht="25.5">
      <c r="A97" s="345" t="s">
        <v>1730</v>
      </c>
      <c r="B97" s="72"/>
      <c r="C97" s="72"/>
      <c r="D97" s="72"/>
      <c r="E97" s="72"/>
      <c r="F97" s="50"/>
      <c r="G97" s="50"/>
      <c r="H97" s="1614">
        <v>10026.323352691668</v>
      </c>
      <c r="I97" s="1091" t="s">
        <v>1729</v>
      </c>
      <c r="J97" s="1614"/>
      <c r="K97" s="1091"/>
    </row>
    <row r="98" spans="1:11">
      <c r="A98" s="345" t="s">
        <v>976</v>
      </c>
      <c r="B98" s="72"/>
      <c r="C98" s="72"/>
      <c r="D98" s="72"/>
      <c r="E98" s="72"/>
      <c r="F98" s="50"/>
      <c r="G98" s="50"/>
      <c r="H98" s="1614">
        <v>7928.9059999999999</v>
      </c>
      <c r="I98" s="1091" t="s">
        <v>1564</v>
      </c>
      <c r="J98" s="1614">
        <v>6428.3180000000011</v>
      </c>
      <c r="K98" s="1091" t="s">
        <v>1564</v>
      </c>
    </row>
    <row r="99" spans="1:11" ht="38.25">
      <c r="A99" s="345" t="s">
        <v>1947</v>
      </c>
      <c r="B99" s="72"/>
      <c r="C99" s="72"/>
      <c r="D99" s="72"/>
      <c r="E99" s="72"/>
      <c r="F99" s="50"/>
      <c r="G99" s="50"/>
      <c r="H99" s="1614">
        <v>1163.3159228601814</v>
      </c>
      <c r="I99" s="1091" t="s">
        <v>1564</v>
      </c>
      <c r="J99" s="1614">
        <v>331.28354379622527</v>
      </c>
      <c r="K99" s="1091" t="s">
        <v>1564</v>
      </c>
    </row>
    <row r="100" spans="1:11" ht="38.25">
      <c r="A100" s="345" t="s">
        <v>1948</v>
      </c>
      <c r="B100" s="72"/>
      <c r="C100" s="72"/>
      <c r="D100" s="72"/>
      <c r="E100" s="72"/>
      <c r="F100" s="50"/>
      <c r="G100" s="50"/>
      <c r="H100" s="1614">
        <v>27.863854439764836</v>
      </c>
      <c r="I100" s="1091" t="s">
        <v>1564</v>
      </c>
      <c r="J100" s="1614"/>
      <c r="K100" s="1091"/>
    </row>
    <row r="101" spans="1:11" ht="51">
      <c r="A101" s="345" t="s">
        <v>1949</v>
      </c>
      <c r="B101" s="72"/>
      <c r="C101" s="72"/>
      <c r="D101" s="72"/>
      <c r="E101" s="72"/>
      <c r="F101" s="50"/>
      <c r="G101" s="50"/>
      <c r="H101" s="1614"/>
      <c r="I101" s="1091"/>
      <c r="J101" s="1614">
        <v>33.128354379622522</v>
      </c>
      <c r="K101" s="1091" t="s">
        <v>1564</v>
      </c>
    </row>
    <row r="102" spans="1:11" ht="51">
      <c r="A102" s="345" t="s">
        <v>1950</v>
      </c>
      <c r="B102" s="72"/>
      <c r="C102" s="72"/>
      <c r="D102" s="72"/>
      <c r="E102" s="72"/>
      <c r="F102" s="50"/>
      <c r="G102" s="50"/>
      <c r="H102" s="1614"/>
      <c r="I102" s="1091"/>
      <c r="J102" s="1614">
        <v>45.17502869948526</v>
      </c>
      <c r="K102" s="1091" t="s">
        <v>1564</v>
      </c>
    </row>
    <row r="103" spans="1:11" ht="38.25">
      <c r="A103" s="345" t="s">
        <v>1951</v>
      </c>
      <c r="B103" s="72"/>
      <c r="C103" s="72"/>
      <c r="D103" s="72"/>
      <c r="E103" s="72"/>
      <c r="F103" s="50"/>
      <c r="G103" s="50"/>
      <c r="H103" s="1614"/>
      <c r="I103" s="1091"/>
      <c r="J103" s="1614">
        <v>54.210034439382305</v>
      </c>
      <c r="K103" s="1091" t="s">
        <v>1564</v>
      </c>
    </row>
    <row r="104" spans="1:11" ht="38.25">
      <c r="A104" s="345" t="s">
        <v>1952</v>
      </c>
      <c r="B104" s="72"/>
      <c r="C104" s="72"/>
      <c r="D104" s="72"/>
      <c r="E104" s="72"/>
      <c r="F104" s="50"/>
      <c r="G104" s="50"/>
      <c r="H104" s="1614"/>
      <c r="I104" s="1091"/>
      <c r="J104" s="1614">
        <v>12.046674319862735</v>
      </c>
      <c r="K104" s="1091" t="s">
        <v>1564</v>
      </c>
    </row>
    <row r="105" spans="1:11">
      <c r="A105" s="1724" t="s">
        <v>1953</v>
      </c>
      <c r="B105" s="72"/>
      <c r="C105" s="72"/>
      <c r="D105" s="72"/>
      <c r="E105" s="72"/>
      <c r="F105" s="50"/>
      <c r="G105" s="50"/>
      <c r="H105" s="1614">
        <v>517.48199999999986</v>
      </c>
      <c r="I105" s="1724" t="s">
        <v>1564</v>
      </c>
      <c r="J105" s="1614">
        <v>191.142</v>
      </c>
      <c r="K105" s="1724" t="s">
        <v>1564</v>
      </c>
    </row>
    <row r="106" spans="1:11">
      <c r="A106" s="1724" t="s">
        <v>1567</v>
      </c>
      <c r="B106" s="72"/>
      <c r="C106" s="72"/>
      <c r="D106" s="72"/>
      <c r="E106" s="72"/>
      <c r="F106" s="50"/>
      <c r="G106" s="50"/>
      <c r="H106" s="1614">
        <v>1379.7280000000001</v>
      </c>
      <c r="I106" s="1724" t="s">
        <v>1564</v>
      </c>
      <c r="J106" s="1614">
        <v>2721.8467796610171</v>
      </c>
      <c r="K106" s="1724" t="s">
        <v>1564</v>
      </c>
    </row>
    <row r="107" spans="1:11" ht="26.25">
      <c r="A107" s="1724" t="s">
        <v>1932</v>
      </c>
      <c r="B107" s="72"/>
      <c r="C107" s="72"/>
      <c r="D107" s="72"/>
      <c r="E107" s="72"/>
      <c r="F107" s="50"/>
      <c r="G107" s="50"/>
      <c r="H107" s="1614">
        <v>3021.4648270948301</v>
      </c>
      <c r="I107" s="1724" t="s">
        <v>1564</v>
      </c>
      <c r="J107" s="1614">
        <v>3066.4361107510931</v>
      </c>
      <c r="K107" s="1724" t="s">
        <v>1564</v>
      </c>
    </row>
    <row r="108" spans="1:11" ht="25.5">
      <c r="A108" s="1724" t="s">
        <v>1934</v>
      </c>
      <c r="B108" s="72"/>
      <c r="C108" s="72"/>
      <c r="D108" s="72"/>
      <c r="E108" s="72"/>
      <c r="F108" s="50"/>
      <c r="G108" s="50"/>
      <c r="H108" s="1614">
        <v>1002.6323352691668</v>
      </c>
      <c r="I108" s="1091" t="s">
        <v>1954</v>
      </c>
      <c r="J108" s="1614">
        <v>1017.5554489681884</v>
      </c>
      <c r="K108" s="1091" t="s">
        <v>1954</v>
      </c>
    </row>
    <row r="109" spans="1:11">
      <c r="A109" s="1724" t="s">
        <v>1937</v>
      </c>
      <c r="B109" s="72"/>
      <c r="C109" s="72"/>
      <c r="D109" s="72"/>
      <c r="E109" s="72"/>
      <c r="F109" s="50"/>
      <c r="G109" s="50"/>
      <c r="H109" s="1614">
        <v>2667.320338983051</v>
      </c>
      <c r="I109" s="1730" t="s">
        <v>1564</v>
      </c>
      <c r="J109" s="1614">
        <v>2634.6000000000004</v>
      </c>
      <c r="K109" s="1730" t="s">
        <v>1564</v>
      </c>
    </row>
    <row r="110" spans="1:11" s="94" customFormat="1">
      <c r="A110" s="93" t="s">
        <v>785</v>
      </c>
      <c r="B110" s="95">
        <f>B118+B175+B255-B8</f>
        <v>0</v>
      </c>
      <c r="C110" s="95">
        <f t="shared" ref="C110:K110" si="3">C118+C175+C255-C8</f>
        <v>0</v>
      </c>
      <c r="D110" s="95">
        <f t="shared" si="3"/>
        <v>0</v>
      </c>
      <c r="E110" s="95">
        <f t="shared" si="3"/>
        <v>0</v>
      </c>
      <c r="F110" s="95">
        <f t="shared" si="3"/>
        <v>0</v>
      </c>
      <c r="G110" s="95">
        <f t="shared" si="3"/>
        <v>0</v>
      </c>
      <c r="H110" s="95">
        <f t="shared" si="3"/>
        <v>0</v>
      </c>
      <c r="I110" s="95">
        <f t="shared" si="3"/>
        <v>0</v>
      </c>
      <c r="J110" s="95">
        <f t="shared" si="3"/>
        <v>0</v>
      </c>
      <c r="K110" s="95">
        <f t="shared" si="3"/>
        <v>0</v>
      </c>
    </row>
    <row r="111" spans="1:11" s="5" customFormat="1" ht="20.25" customHeight="1">
      <c r="A111" s="74" t="s">
        <v>1860</v>
      </c>
      <c r="B111" s="74"/>
      <c r="C111" s="74"/>
      <c r="D111" s="74"/>
      <c r="I111" s="6" t="s">
        <v>782</v>
      </c>
      <c r="J111" s="6"/>
      <c r="K111" s="6" t="s">
        <v>782</v>
      </c>
    </row>
    <row r="112" spans="1:11" ht="12.75" customHeight="1">
      <c r="A112" s="1644" t="str">
        <f>'4.11 (свод)'!A2</f>
        <v>КТЭЦ + котельные СВОД</v>
      </c>
    </row>
    <row r="113" spans="1:11" ht="18.75">
      <c r="A113" s="1877" t="s">
        <v>532</v>
      </c>
      <c r="B113" s="1877"/>
      <c r="C113" s="1877"/>
      <c r="D113" s="1877"/>
      <c r="E113" s="1877"/>
      <c r="F113" s="1877"/>
      <c r="G113" s="1877"/>
      <c r="H113" s="1877"/>
      <c r="I113" s="1877"/>
      <c r="J113" s="1643"/>
    </row>
    <row r="114" spans="1:11" ht="25.5" customHeight="1">
      <c r="A114" s="1877" t="s">
        <v>1195</v>
      </c>
      <c r="B114" s="1877"/>
      <c r="C114" s="1877"/>
      <c r="D114" s="1877"/>
      <c r="E114" s="1877"/>
      <c r="F114" s="1877"/>
      <c r="G114" s="1877"/>
      <c r="H114" s="1877"/>
      <c r="I114" s="1877"/>
      <c r="J114" s="1643"/>
    </row>
    <row r="115" spans="1:11" ht="14.25" customHeight="1">
      <c r="I115" s="23" t="s">
        <v>360</v>
      </c>
      <c r="J115" s="23"/>
      <c r="K115" s="23" t="s">
        <v>360</v>
      </c>
    </row>
    <row r="116" spans="1:11" s="3" customFormat="1" ht="81" customHeight="1">
      <c r="A116" s="540" t="s">
        <v>533</v>
      </c>
      <c r="B116" s="1586" t="s">
        <v>1735</v>
      </c>
      <c r="C116" s="1586" t="s">
        <v>1736</v>
      </c>
      <c r="D116" s="1586" t="s">
        <v>1737</v>
      </c>
      <c r="E116" s="1586" t="s">
        <v>1843</v>
      </c>
      <c r="F116" s="1586" t="s">
        <v>1844</v>
      </c>
      <c r="G116" s="1586" t="s">
        <v>1845</v>
      </c>
      <c r="H116" s="1586" t="s">
        <v>1846</v>
      </c>
      <c r="I116" s="1586" t="s">
        <v>1847</v>
      </c>
      <c r="J116" s="1641" t="s">
        <v>1878</v>
      </c>
      <c r="K116" s="1641" t="s">
        <v>1877</v>
      </c>
    </row>
    <row r="117" spans="1:11" s="21" customFormat="1">
      <c r="A117" s="40">
        <v>1</v>
      </c>
      <c r="B117" s="40">
        <v>2</v>
      </c>
      <c r="C117" s="40">
        <v>3</v>
      </c>
      <c r="D117" s="40">
        <v>4</v>
      </c>
      <c r="E117" s="40">
        <v>5</v>
      </c>
      <c r="F117" s="40">
        <v>6</v>
      </c>
      <c r="G117" s="40">
        <v>7</v>
      </c>
      <c r="H117" s="40">
        <v>8</v>
      </c>
      <c r="I117" s="40">
        <v>9</v>
      </c>
      <c r="J117" s="40">
        <v>10</v>
      </c>
      <c r="K117" s="40">
        <v>11</v>
      </c>
    </row>
    <row r="118" spans="1:11" s="88" customFormat="1" ht="14.25">
      <c r="A118" s="86" t="s">
        <v>349</v>
      </c>
      <c r="B118" s="87">
        <f t="shared" ref="B118:J118" si="4">SUM(B120:B166)</f>
        <v>0</v>
      </c>
      <c r="C118" s="87">
        <f t="shared" si="4"/>
        <v>15013.67</v>
      </c>
      <c r="D118" s="87">
        <f t="shared" si="4"/>
        <v>0</v>
      </c>
      <c r="E118" s="87">
        <f t="shared" si="4"/>
        <v>0</v>
      </c>
      <c r="F118" s="87">
        <f t="shared" si="4"/>
        <v>15442.606908639962</v>
      </c>
      <c r="G118" s="87">
        <f t="shared" si="4"/>
        <v>0</v>
      </c>
      <c r="H118" s="87">
        <f t="shared" si="4"/>
        <v>32941.428650535563</v>
      </c>
      <c r="I118" s="87">
        <f t="shared" si="4"/>
        <v>0</v>
      </c>
      <c r="J118" s="87">
        <f t="shared" si="4"/>
        <v>61323.859715951527</v>
      </c>
      <c r="K118" s="87">
        <f t="shared" ref="K118" si="5">SUM(K120:K166)</f>
        <v>0</v>
      </c>
    </row>
    <row r="119" spans="1:11" s="42" customFormat="1">
      <c r="A119" s="55" t="s">
        <v>534</v>
      </c>
      <c r="B119" s="347"/>
      <c r="C119" s="347"/>
      <c r="D119" s="347"/>
      <c r="E119" s="347"/>
      <c r="F119" s="347"/>
      <c r="G119" s="347"/>
      <c r="H119" s="347"/>
      <c r="I119" s="347"/>
      <c r="J119" s="347"/>
      <c r="K119" s="347"/>
    </row>
    <row r="120" spans="1:11" s="42" customFormat="1">
      <c r="A120" s="345" t="s">
        <v>1724</v>
      </c>
      <c r="B120" s="1387"/>
      <c r="C120" s="1733">
        <v>1048.4199999999998</v>
      </c>
      <c r="D120" s="1091" t="s">
        <v>1564</v>
      </c>
      <c r="E120" s="1731"/>
      <c r="F120" s="750"/>
      <c r="G120" s="1731"/>
      <c r="H120" s="1731"/>
      <c r="I120" s="1731"/>
      <c r="J120" s="1731"/>
      <c r="K120" s="1731"/>
    </row>
    <row r="121" spans="1:11" s="42" customFormat="1">
      <c r="A121" s="345" t="s">
        <v>970</v>
      </c>
      <c r="B121" s="1387"/>
      <c r="C121" s="1733">
        <v>4583.8</v>
      </c>
      <c r="D121" s="1091" t="s">
        <v>1564</v>
      </c>
      <c r="E121" s="1731"/>
      <c r="F121" s="750"/>
      <c r="G121" s="1731"/>
      <c r="H121" s="1731"/>
      <c r="I121" s="1731"/>
      <c r="J121" s="1731"/>
      <c r="K121" s="1731"/>
    </row>
    <row r="122" spans="1:11" ht="25.5">
      <c r="A122" s="345" t="s">
        <v>978</v>
      </c>
      <c r="B122" s="1387"/>
      <c r="C122" s="1733">
        <v>7692.0919999999996</v>
      </c>
      <c r="D122" s="1091" t="s">
        <v>1564</v>
      </c>
      <c r="E122" s="1731"/>
      <c r="F122" s="750"/>
      <c r="G122" s="1731"/>
      <c r="H122" s="1731"/>
      <c r="I122" s="1731"/>
      <c r="J122" s="1731"/>
      <c r="K122" s="1731"/>
    </row>
    <row r="123" spans="1:11" ht="38.25">
      <c r="A123" s="345" t="s">
        <v>1904</v>
      </c>
      <c r="B123" s="1387"/>
      <c r="C123" s="1733">
        <v>0</v>
      </c>
      <c r="D123" s="1091" t="s">
        <v>1564</v>
      </c>
      <c r="E123" s="1731"/>
      <c r="F123" s="750"/>
      <c r="G123" s="1731"/>
      <c r="H123" s="1731"/>
      <c r="I123" s="1731"/>
      <c r="J123" s="1731"/>
      <c r="K123" s="1731"/>
    </row>
    <row r="124" spans="1:11" ht="38.25">
      <c r="A124" s="345" t="s">
        <v>1905</v>
      </c>
      <c r="B124" s="1387"/>
      <c r="C124" s="1733">
        <v>301.88799999999998</v>
      </c>
      <c r="D124" s="1091" t="s">
        <v>1564</v>
      </c>
      <c r="E124" s="1731"/>
      <c r="F124" s="750"/>
      <c r="G124" s="1731"/>
      <c r="H124" s="1731"/>
      <c r="I124" s="1731"/>
      <c r="J124" s="1731"/>
      <c r="K124" s="1731"/>
    </row>
    <row r="125" spans="1:11" ht="25.5">
      <c r="A125" s="345" t="s">
        <v>1723</v>
      </c>
      <c r="B125" s="1387"/>
      <c r="C125" s="1733">
        <v>17.364999999999998</v>
      </c>
      <c r="D125" s="1091" t="s">
        <v>1564</v>
      </c>
      <c r="E125" s="1731"/>
      <c r="F125" s="750"/>
      <c r="G125" s="1731"/>
      <c r="H125" s="1731"/>
      <c r="I125" s="1731"/>
      <c r="J125" s="1731"/>
      <c r="K125" s="1731"/>
    </row>
    <row r="126" spans="1:11">
      <c r="A126" s="345" t="s">
        <v>976</v>
      </c>
      <c r="B126" s="1387"/>
      <c r="C126" s="1733">
        <v>993.01999999999987</v>
      </c>
      <c r="D126" s="1091" t="s">
        <v>1564</v>
      </c>
      <c r="E126" s="1731"/>
      <c r="F126" s="750"/>
      <c r="G126" s="1731"/>
      <c r="H126" s="1731"/>
      <c r="I126" s="1731"/>
      <c r="J126" s="1731"/>
      <c r="K126" s="1731"/>
    </row>
    <row r="127" spans="1:11">
      <c r="A127" s="345" t="s">
        <v>977</v>
      </c>
      <c r="B127" s="1387"/>
      <c r="C127" s="1733">
        <v>322.34499999999997</v>
      </c>
      <c r="D127" s="1091" t="s">
        <v>1564</v>
      </c>
      <c r="E127" s="1731"/>
      <c r="F127" s="750"/>
      <c r="G127" s="1731"/>
      <c r="H127" s="1731"/>
      <c r="I127" s="1731"/>
      <c r="J127" s="1731"/>
      <c r="K127" s="1731"/>
    </row>
    <row r="128" spans="1:11">
      <c r="A128" s="345" t="s">
        <v>1567</v>
      </c>
      <c r="B128" s="1387"/>
      <c r="C128" s="1733">
        <v>54.74</v>
      </c>
      <c r="D128" s="1091" t="s">
        <v>1564</v>
      </c>
      <c r="E128" s="1731"/>
      <c r="F128" s="750"/>
      <c r="G128" s="1731"/>
      <c r="H128" s="1731"/>
      <c r="I128" s="1731"/>
      <c r="J128" s="1731"/>
      <c r="K128" s="1731"/>
    </row>
    <row r="129" spans="1:11" ht="25.5">
      <c r="A129" s="345" t="s">
        <v>1912</v>
      </c>
      <c r="B129" s="1387"/>
      <c r="C129" s="1731"/>
      <c r="D129" s="1091"/>
      <c r="E129" s="1731"/>
      <c r="F129" s="1734">
        <v>905.64479579920442</v>
      </c>
      <c r="G129" s="1731" t="s">
        <v>1564</v>
      </c>
      <c r="H129" s="1731"/>
      <c r="I129" s="1731"/>
      <c r="J129" s="1731"/>
      <c r="K129" s="1731"/>
    </row>
    <row r="130" spans="1:11" ht="38.25">
      <c r="A130" s="345" t="s">
        <v>1913</v>
      </c>
      <c r="B130" s="1387"/>
      <c r="C130" s="1731"/>
      <c r="D130" s="1091"/>
      <c r="E130" s="1731"/>
      <c r="F130" s="1733">
        <v>1800.4866715689948</v>
      </c>
      <c r="G130" s="1731" t="s">
        <v>1564</v>
      </c>
      <c r="H130" s="750"/>
      <c r="I130" s="1091"/>
      <c r="J130" s="750"/>
      <c r="K130" s="1091"/>
    </row>
    <row r="131" spans="1:11" ht="25.5">
      <c r="A131" s="345" t="s">
        <v>978</v>
      </c>
      <c r="B131" s="1387"/>
      <c r="C131" s="1731"/>
      <c r="D131" s="1731"/>
      <c r="E131" s="1731"/>
      <c r="F131" s="1733">
        <v>0</v>
      </c>
      <c r="G131" s="1091" t="s">
        <v>1564</v>
      </c>
      <c r="H131" s="750"/>
      <c r="I131" s="1091"/>
      <c r="J131" s="750"/>
      <c r="K131" s="1091"/>
    </row>
    <row r="132" spans="1:11">
      <c r="A132" s="345" t="s">
        <v>970</v>
      </c>
      <c r="B132" s="1387"/>
      <c r="C132" s="1731"/>
      <c r="D132" s="1731"/>
      <c r="E132" s="1731"/>
      <c r="F132" s="1733">
        <v>2614.8022867075451</v>
      </c>
      <c r="G132" s="1091" t="s">
        <v>1564</v>
      </c>
      <c r="H132" s="750"/>
      <c r="I132" s="1091"/>
      <c r="J132" s="750"/>
      <c r="K132" s="1091"/>
    </row>
    <row r="133" spans="1:11" ht="25.5">
      <c r="A133" s="345" t="s">
        <v>1725</v>
      </c>
      <c r="B133" s="1387"/>
      <c r="C133" s="1731"/>
      <c r="D133" s="1731"/>
      <c r="E133" s="1731"/>
      <c r="F133" s="1733">
        <v>4141.1193446086882</v>
      </c>
      <c r="G133" s="1091" t="s">
        <v>1564</v>
      </c>
      <c r="H133" s="750"/>
      <c r="I133" s="1091"/>
      <c r="J133" s="750"/>
      <c r="K133" s="1091"/>
    </row>
    <row r="134" spans="1:11" ht="38.25">
      <c r="A134" s="345" t="s">
        <v>1917</v>
      </c>
      <c r="B134" s="1387"/>
      <c r="C134" s="1731"/>
      <c r="D134" s="1731"/>
      <c r="E134" s="1731"/>
      <c r="F134" s="1733">
        <v>1800.4866715689948</v>
      </c>
      <c r="G134" s="1091" t="s">
        <v>1564</v>
      </c>
      <c r="H134" s="750"/>
      <c r="I134" s="1091"/>
      <c r="J134" s="750"/>
      <c r="K134" s="1091"/>
    </row>
    <row r="135" spans="1:11" ht="38.25">
      <c r="A135" s="345" t="s">
        <v>1918</v>
      </c>
      <c r="B135" s="1387"/>
      <c r="C135" s="1731"/>
      <c r="D135" s="1731"/>
      <c r="E135" s="1731"/>
      <c r="F135" s="1733">
        <v>207.35942004024943</v>
      </c>
      <c r="G135" s="1091" t="s">
        <v>1564</v>
      </c>
      <c r="H135" s="750"/>
      <c r="I135" s="1091"/>
      <c r="J135" s="750"/>
      <c r="K135" s="1091"/>
    </row>
    <row r="136" spans="1:11" ht="38.25">
      <c r="A136" s="345" t="s">
        <v>1919</v>
      </c>
      <c r="B136" s="1387"/>
      <c r="C136" s="1731"/>
      <c r="D136" s="1731"/>
      <c r="E136" s="1731"/>
      <c r="F136" s="1733">
        <v>528.76652110263592</v>
      </c>
      <c r="G136" s="1091" t="s">
        <v>1564</v>
      </c>
      <c r="H136" s="750"/>
      <c r="I136" s="1091"/>
      <c r="J136" s="750"/>
      <c r="K136" s="1091"/>
    </row>
    <row r="137" spans="1:11" ht="89.25">
      <c r="A137" s="345" t="s">
        <v>1920</v>
      </c>
      <c r="B137" s="1387"/>
      <c r="C137" s="1731"/>
      <c r="D137" s="1731"/>
      <c r="E137" s="1731"/>
      <c r="F137" s="1733">
        <v>248.83130404829927</v>
      </c>
      <c r="G137" s="1091" t="s">
        <v>1564</v>
      </c>
      <c r="H137" s="750"/>
      <c r="I137" s="1091"/>
      <c r="J137" s="750"/>
      <c r="K137" s="1091"/>
    </row>
    <row r="138" spans="1:11" ht="25.5">
      <c r="A138" s="345" t="s">
        <v>1921</v>
      </c>
      <c r="B138" s="1387"/>
      <c r="C138" s="1731"/>
      <c r="D138" s="1731"/>
      <c r="E138" s="1731"/>
      <c r="F138" s="1733">
        <v>93.311739018112235</v>
      </c>
      <c r="G138" s="1091" t="s">
        <v>1564</v>
      </c>
      <c r="H138" s="750"/>
      <c r="I138" s="1091"/>
      <c r="J138" s="750"/>
      <c r="K138" s="1091"/>
    </row>
    <row r="139" spans="1:11">
      <c r="A139" s="345" t="s">
        <v>976</v>
      </c>
      <c r="B139" s="1387"/>
      <c r="C139" s="1731"/>
      <c r="D139" s="1731"/>
      <c r="E139" s="1731"/>
      <c r="F139" s="1733">
        <v>2281.0593220338983</v>
      </c>
      <c r="G139" s="1091" t="s">
        <v>1564</v>
      </c>
      <c r="H139" s="750"/>
      <c r="I139" s="1091"/>
      <c r="J139" s="750"/>
      <c r="K139" s="1091"/>
    </row>
    <row r="140" spans="1:11" ht="25.5">
      <c r="A140" s="345" t="s">
        <v>1932</v>
      </c>
      <c r="B140" s="1387"/>
      <c r="C140" s="1731"/>
      <c r="D140" s="1731"/>
      <c r="E140" s="1731"/>
      <c r="F140" s="1733">
        <v>581.61788547874835</v>
      </c>
      <c r="G140" s="1091" t="s">
        <v>1564</v>
      </c>
      <c r="H140" s="750"/>
      <c r="I140" s="1091"/>
      <c r="J140" s="750"/>
      <c r="K140" s="1091"/>
    </row>
    <row r="141" spans="1:11" ht="38.25">
      <c r="A141" s="345" t="s">
        <v>1933</v>
      </c>
      <c r="B141" s="1387"/>
      <c r="C141" s="1731"/>
      <c r="D141" s="1731"/>
      <c r="E141" s="1731"/>
      <c r="F141" s="1733">
        <v>29.197217851033166</v>
      </c>
      <c r="G141" s="1091" t="s">
        <v>1564</v>
      </c>
      <c r="H141" s="750"/>
      <c r="I141" s="1091"/>
      <c r="J141" s="750"/>
      <c r="K141" s="1091"/>
    </row>
    <row r="142" spans="1:11">
      <c r="A142" s="345" t="s">
        <v>1567</v>
      </c>
      <c r="B142" s="1387"/>
      <c r="C142" s="1731"/>
      <c r="D142" s="1731"/>
      <c r="E142" s="1731"/>
      <c r="F142" s="1733">
        <v>209.92372881355934</v>
      </c>
      <c r="G142" s="1091" t="s">
        <v>1564</v>
      </c>
      <c r="H142" s="750"/>
      <c r="I142" s="1091"/>
      <c r="J142" s="750"/>
      <c r="K142" s="1091"/>
    </row>
    <row r="143" spans="1:11" ht="51">
      <c r="A143" s="345" t="s">
        <v>985</v>
      </c>
      <c r="B143" s="1387"/>
      <c r="C143" s="1731"/>
      <c r="D143" s="1731"/>
      <c r="E143" s="1731"/>
      <c r="F143" s="1731"/>
      <c r="G143" s="1091"/>
      <c r="H143" s="1734">
        <v>1600.1490702081562</v>
      </c>
      <c r="I143" s="1091" t="s">
        <v>1564</v>
      </c>
      <c r="J143" s="750"/>
      <c r="K143" s="1091"/>
    </row>
    <row r="144" spans="1:11" ht="25.5">
      <c r="A144" s="345" t="s">
        <v>1912</v>
      </c>
      <c r="B144" s="1387"/>
      <c r="C144" s="1731"/>
      <c r="D144" s="1731"/>
      <c r="E144" s="1731"/>
      <c r="F144" s="1731"/>
      <c r="G144" s="1091"/>
      <c r="H144" s="1734">
        <v>4283.2453362698816</v>
      </c>
      <c r="I144" s="1091" t="s">
        <v>1564</v>
      </c>
      <c r="J144" s="750"/>
      <c r="K144" s="1091"/>
    </row>
    <row r="145" spans="1:11">
      <c r="A145" s="345" t="s">
        <v>1941</v>
      </c>
      <c r="B145" s="1387"/>
      <c r="C145" s="1731"/>
      <c r="D145" s="1731"/>
      <c r="E145" s="1731"/>
      <c r="F145" s="1731"/>
      <c r="G145" s="1091"/>
      <c r="H145" s="1734">
        <v>1427.7484454232936</v>
      </c>
      <c r="I145" s="1091" t="s">
        <v>1564</v>
      </c>
      <c r="J145" s="750"/>
      <c r="K145" s="1091"/>
    </row>
    <row r="146" spans="1:11" ht="38.25">
      <c r="A146" s="345" t="s">
        <v>1913</v>
      </c>
      <c r="B146" s="1387"/>
      <c r="C146" s="1731"/>
      <c r="D146" s="1731"/>
      <c r="E146" s="1731"/>
      <c r="F146" s="1731"/>
      <c r="G146" s="1091"/>
      <c r="H146" s="1734">
        <v>10708.113340674701</v>
      </c>
      <c r="I146" s="1091" t="s">
        <v>1564</v>
      </c>
      <c r="J146" s="750"/>
      <c r="K146" s="1091"/>
    </row>
    <row r="147" spans="1:11">
      <c r="A147" s="345" t="s">
        <v>970</v>
      </c>
      <c r="B147" s="1387"/>
      <c r="C147" s="1731"/>
      <c r="D147" s="1731"/>
      <c r="E147" s="1731"/>
      <c r="F147" s="1731"/>
      <c r="G147" s="1091"/>
      <c r="H147" s="1734">
        <v>1714.6115828671548</v>
      </c>
      <c r="I147" s="1091" t="s">
        <v>1564</v>
      </c>
      <c r="J147" s="750"/>
      <c r="K147" s="1091"/>
    </row>
    <row r="148" spans="1:11" ht="25.5">
      <c r="A148" s="345" t="s">
        <v>1725</v>
      </c>
      <c r="B148" s="1387"/>
      <c r="C148" s="1731"/>
      <c r="D148" s="1731"/>
      <c r="E148" s="1731"/>
      <c r="F148" s="1731"/>
      <c r="G148" s="1091"/>
      <c r="H148" s="1734">
        <v>3532.9635281999394</v>
      </c>
      <c r="I148" s="1091" t="s">
        <v>1564</v>
      </c>
      <c r="J148" s="750"/>
      <c r="K148" s="1091"/>
    </row>
    <row r="149" spans="1:11" ht="38.25">
      <c r="A149" s="345" t="s">
        <v>1918</v>
      </c>
      <c r="B149" s="1387"/>
      <c r="C149" s="1731"/>
      <c r="D149" s="1731"/>
      <c r="E149" s="1731"/>
      <c r="F149" s="1731"/>
      <c r="G149" s="1091"/>
      <c r="H149" s="1734">
        <v>945.48229215882429</v>
      </c>
      <c r="I149" s="1091" t="s">
        <v>1564</v>
      </c>
      <c r="J149" s="750"/>
      <c r="K149" s="1091"/>
    </row>
    <row r="150" spans="1:11" ht="38.25">
      <c r="A150" s="345" t="s">
        <v>1944</v>
      </c>
      <c r="B150" s="1387"/>
      <c r="C150" s="1731"/>
      <c r="D150" s="1731"/>
      <c r="E150" s="1731"/>
      <c r="F150" s="1731"/>
      <c r="G150" s="1091"/>
      <c r="H150" s="1734">
        <v>312.21469604114219</v>
      </c>
      <c r="I150" s="1091" t="s">
        <v>1564</v>
      </c>
      <c r="J150" s="750"/>
      <c r="K150" s="1091"/>
    </row>
    <row r="151" spans="1:11" ht="38.25">
      <c r="A151" s="345" t="s">
        <v>1919</v>
      </c>
      <c r="B151" s="1387"/>
      <c r="C151" s="1731"/>
      <c r="D151" s="1731"/>
      <c r="E151" s="1731"/>
      <c r="F151" s="1731"/>
      <c r="G151" s="1091"/>
      <c r="H151" s="1734">
        <v>524.12605326195694</v>
      </c>
      <c r="I151" s="1091" t="s">
        <v>1564</v>
      </c>
      <c r="J151" s="750"/>
      <c r="K151" s="1091"/>
    </row>
    <row r="152" spans="1:11" ht="77.25">
      <c r="A152" s="346" t="s">
        <v>1945</v>
      </c>
      <c r="B152" s="1387"/>
      <c r="C152" s="1731"/>
      <c r="D152" s="1731"/>
      <c r="E152" s="1731"/>
      <c r="F152" s="1731"/>
      <c r="G152" s="1091"/>
      <c r="H152" s="1734">
        <v>2980.3246165875989</v>
      </c>
      <c r="I152" s="1091" t="s">
        <v>1564</v>
      </c>
      <c r="J152" s="750"/>
      <c r="K152" s="1091"/>
    </row>
    <row r="153" spans="1:11">
      <c r="A153" s="346" t="s">
        <v>1946</v>
      </c>
      <c r="B153" s="1387"/>
      <c r="C153" s="1731"/>
      <c r="D153" s="1731"/>
      <c r="E153" s="1731"/>
      <c r="F153" s="1731"/>
      <c r="G153" s="1091"/>
      <c r="H153" s="1734">
        <v>642.48680044048217</v>
      </c>
      <c r="I153" s="1091" t="s">
        <v>1564</v>
      </c>
      <c r="J153" s="750"/>
      <c r="K153" s="1091"/>
    </row>
    <row r="154" spans="1:11">
      <c r="A154" s="346" t="s">
        <v>976</v>
      </c>
      <c r="B154" s="1387"/>
      <c r="C154" s="1731"/>
      <c r="D154" s="1731"/>
      <c r="E154" s="1731"/>
      <c r="F154" s="1731"/>
      <c r="G154" s="1091"/>
      <c r="H154" s="1734">
        <v>2846.63</v>
      </c>
      <c r="I154" s="1091" t="s">
        <v>1564</v>
      </c>
      <c r="J154" s="750"/>
      <c r="K154" s="1091"/>
    </row>
    <row r="155" spans="1:11">
      <c r="A155" s="346" t="s">
        <v>1567</v>
      </c>
      <c r="B155" s="1387"/>
      <c r="C155" s="1731"/>
      <c r="D155" s="1731"/>
      <c r="E155" s="1731"/>
      <c r="F155" s="1731"/>
      <c r="G155" s="1091"/>
      <c r="H155" s="1734">
        <v>446.2</v>
      </c>
      <c r="I155" s="1091" t="s">
        <v>1564</v>
      </c>
      <c r="J155" s="750"/>
      <c r="K155" s="1091"/>
    </row>
    <row r="156" spans="1:11" ht="26.25">
      <c r="A156" s="346" t="s">
        <v>1932</v>
      </c>
      <c r="B156" s="1387"/>
      <c r="C156" s="1731"/>
      <c r="D156" s="1731"/>
      <c r="E156" s="1731"/>
      <c r="F156" s="1731"/>
      <c r="G156" s="1091"/>
      <c r="H156" s="1734">
        <v>977.13288840243365</v>
      </c>
      <c r="I156" s="1091" t="s">
        <v>1564</v>
      </c>
      <c r="J156" s="750"/>
      <c r="K156" s="1091"/>
    </row>
    <row r="157" spans="1:11" ht="26.25">
      <c r="A157" s="346" t="s">
        <v>1938</v>
      </c>
      <c r="B157" s="1387"/>
      <c r="C157" s="1731"/>
      <c r="D157" s="1731"/>
      <c r="E157" s="1731"/>
      <c r="F157" s="1731"/>
      <c r="G157" s="1091"/>
      <c r="H157" s="750"/>
      <c r="I157" s="1091"/>
      <c r="J157" s="1735">
        <v>724.49947966535024</v>
      </c>
      <c r="K157" s="1732" t="s">
        <v>1564</v>
      </c>
    </row>
    <row r="158" spans="1:11" ht="26.25">
      <c r="A158" s="346" t="s">
        <v>1912</v>
      </c>
      <c r="B158" s="1387"/>
      <c r="C158" s="1731"/>
      <c r="D158" s="1731"/>
      <c r="E158" s="1731"/>
      <c r="F158" s="1731"/>
      <c r="G158" s="1091"/>
      <c r="H158" s="750"/>
      <c r="I158" s="1091"/>
      <c r="J158" s="1735">
        <v>4419.4468259586356</v>
      </c>
      <c r="K158" s="1732" t="s">
        <v>1564</v>
      </c>
    </row>
    <row r="159" spans="1:11" ht="26.25">
      <c r="A159" s="346" t="s">
        <v>1940</v>
      </c>
      <c r="B159" s="1387"/>
      <c r="C159" s="1731"/>
      <c r="D159" s="1731"/>
      <c r="E159" s="1731"/>
      <c r="F159" s="1731"/>
      <c r="G159" s="1091"/>
      <c r="H159" s="750"/>
      <c r="I159" s="1091"/>
      <c r="J159" s="1735">
        <v>2066.2725160055784</v>
      </c>
      <c r="K159" s="1732" t="s">
        <v>1564</v>
      </c>
    </row>
    <row r="160" spans="1:11" ht="39">
      <c r="A160" s="346" t="s">
        <v>1913</v>
      </c>
      <c r="B160" s="1387"/>
      <c r="C160" s="1731"/>
      <c r="D160" s="1731"/>
      <c r="E160" s="1731"/>
      <c r="F160" s="1731"/>
      <c r="G160" s="1091"/>
      <c r="H160" s="750"/>
      <c r="I160" s="1091"/>
      <c r="J160" s="1735">
        <v>43469.968779921001</v>
      </c>
      <c r="K160" s="1732" t="s">
        <v>1564</v>
      </c>
    </row>
    <row r="161" spans="1:11" ht="39">
      <c r="A161" s="346" t="s">
        <v>1942</v>
      </c>
      <c r="B161" s="1387"/>
      <c r="C161" s="1731"/>
      <c r="D161" s="1731"/>
      <c r="E161" s="1731"/>
      <c r="F161" s="1731"/>
      <c r="G161" s="1091"/>
      <c r="H161" s="750"/>
      <c r="I161" s="1091"/>
      <c r="J161" s="1735">
        <v>1159.1991674645601</v>
      </c>
      <c r="K161" s="1732" t="s">
        <v>1564</v>
      </c>
    </row>
    <row r="162" spans="1:11">
      <c r="A162" s="346" t="s">
        <v>970</v>
      </c>
      <c r="B162" s="1387"/>
      <c r="C162" s="1731"/>
      <c r="D162" s="1731"/>
      <c r="E162" s="1731"/>
      <c r="F162" s="1731"/>
      <c r="G162" s="1091"/>
      <c r="H162" s="750"/>
      <c r="I162" s="1091"/>
      <c r="J162" s="1735">
        <v>4345.1144004115085</v>
      </c>
      <c r="K162" s="1732" t="s">
        <v>1564</v>
      </c>
    </row>
    <row r="163" spans="1:11" ht="39">
      <c r="A163" s="346" t="s">
        <v>1918</v>
      </c>
      <c r="B163" s="1387"/>
      <c r="C163" s="1731"/>
      <c r="D163" s="1731"/>
      <c r="E163" s="1731"/>
      <c r="F163" s="1731"/>
      <c r="G163" s="1091"/>
      <c r="H163" s="750"/>
      <c r="I163" s="1091"/>
      <c r="J163" s="1735">
        <v>959.55478837700161</v>
      </c>
      <c r="K163" s="1732" t="s">
        <v>1564</v>
      </c>
    </row>
    <row r="164" spans="1:11">
      <c r="A164" s="346" t="s">
        <v>976</v>
      </c>
      <c r="B164" s="347"/>
      <c r="C164" s="1731"/>
      <c r="D164" s="1731"/>
      <c r="E164" s="1731"/>
      <c r="F164" s="1731"/>
      <c r="G164" s="1091"/>
      <c r="H164" s="750"/>
      <c r="I164" s="1091"/>
      <c r="J164" s="1735">
        <v>2307.89</v>
      </c>
      <c r="K164" s="1732" t="s">
        <v>1564</v>
      </c>
    </row>
    <row r="165" spans="1:11">
      <c r="A165" s="346" t="s">
        <v>1567</v>
      </c>
      <c r="B165" s="347"/>
      <c r="C165" s="1731"/>
      <c r="D165" s="1731"/>
      <c r="E165" s="1731"/>
      <c r="F165" s="1731"/>
      <c r="G165" s="1091"/>
      <c r="H165" s="750"/>
      <c r="I165" s="1091"/>
      <c r="J165" s="1735">
        <v>880.2372881355933</v>
      </c>
      <c r="K165" s="1732" t="s">
        <v>1564</v>
      </c>
    </row>
    <row r="166" spans="1:11" ht="25.5">
      <c r="A166" s="345" t="s">
        <v>1932</v>
      </c>
      <c r="B166" s="347"/>
      <c r="C166" s="1731"/>
      <c r="D166" s="1731"/>
      <c r="E166" s="1731"/>
      <c r="F166" s="750"/>
      <c r="G166" s="1091"/>
      <c r="H166" s="750"/>
      <c r="I166" s="1091"/>
      <c r="J166" s="1735">
        <v>991.67647001230512</v>
      </c>
      <c r="K166" s="1732" t="s">
        <v>1564</v>
      </c>
    </row>
    <row r="167" spans="1:11" s="94" customFormat="1">
      <c r="A167" s="93"/>
      <c r="B167" s="93"/>
      <c r="C167" s="93"/>
      <c r="D167" s="93"/>
      <c r="E167" s="95"/>
      <c r="F167" s="95"/>
      <c r="G167" s="95"/>
      <c r="H167" s="95"/>
      <c r="I167" s="95"/>
      <c r="J167" s="95"/>
      <c r="K167" s="95"/>
    </row>
    <row r="168" spans="1:11" s="5" customFormat="1" ht="20.25" customHeight="1">
      <c r="A168" s="74" t="s">
        <v>1860</v>
      </c>
      <c r="B168" s="74"/>
      <c r="C168" s="74"/>
      <c r="D168" s="74"/>
      <c r="I168" s="6" t="s">
        <v>784</v>
      </c>
      <c r="J168" s="6"/>
      <c r="K168" s="6" t="s">
        <v>784</v>
      </c>
    </row>
    <row r="169" spans="1:11" ht="12.75" customHeight="1">
      <c r="A169" s="1644" t="str">
        <f>'4.11 (свод)'!A2</f>
        <v>КТЭЦ + котельные СВОД</v>
      </c>
    </row>
    <row r="170" spans="1:11" ht="18.75">
      <c r="A170" s="1877" t="s">
        <v>532</v>
      </c>
      <c r="B170" s="1877"/>
      <c r="C170" s="1877"/>
      <c r="D170" s="1877"/>
      <c r="E170" s="1877"/>
      <c r="F170" s="1877"/>
      <c r="G170" s="1877"/>
      <c r="H170" s="1877"/>
      <c r="I170" s="1877"/>
      <c r="J170" s="1643"/>
    </row>
    <row r="171" spans="1:11" ht="25.5" customHeight="1">
      <c r="A171" s="1877" t="s">
        <v>1196</v>
      </c>
      <c r="B171" s="1877"/>
      <c r="C171" s="1877"/>
      <c r="D171" s="1877"/>
      <c r="E171" s="1877"/>
      <c r="F171" s="1877"/>
      <c r="G171" s="1877"/>
      <c r="H171" s="1877"/>
      <c r="I171" s="1877"/>
      <c r="J171" s="1643"/>
    </row>
    <row r="172" spans="1:11" ht="14.25" customHeight="1">
      <c r="I172" s="23" t="s">
        <v>360</v>
      </c>
      <c r="J172" s="23"/>
      <c r="K172" s="23" t="s">
        <v>360</v>
      </c>
    </row>
    <row r="173" spans="1:11" s="3" customFormat="1" ht="81" customHeight="1">
      <c r="A173" s="540" t="s">
        <v>533</v>
      </c>
      <c r="B173" s="1586" t="s">
        <v>1735</v>
      </c>
      <c r="C173" s="1586" t="s">
        <v>1736</v>
      </c>
      <c r="D173" s="1586" t="s">
        <v>1737</v>
      </c>
      <c r="E173" s="1586" t="s">
        <v>1843</v>
      </c>
      <c r="F173" s="1586" t="s">
        <v>1844</v>
      </c>
      <c r="G173" s="1586" t="s">
        <v>1845</v>
      </c>
      <c r="H173" s="1586" t="s">
        <v>1846</v>
      </c>
      <c r="I173" s="1586" t="s">
        <v>1847</v>
      </c>
      <c r="J173" s="1641" t="s">
        <v>1878</v>
      </c>
      <c r="K173" s="1641" t="s">
        <v>1877</v>
      </c>
    </row>
    <row r="174" spans="1:11" s="21" customFormat="1">
      <c r="A174" s="40">
        <v>1</v>
      </c>
      <c r="B174" s="40">
        <v>2</v>
      </c>
      <c r="C174" s="40">
        <v>3</v>
      </c>
      <c r="D174" s="40">
        <v>4</v>
      </c>
      <c r="E174" s="40">
        <v>5</v>
      </c>
      <c r="F174" s="40">
        <v>6</v>
      </c>
      <c r="G174" s="40">
        <v>7</v>
      </c>
      <c r="H174" s="40">
        <v>8</v>
      </c>
      <c r="I174" s="40">
        <v>9</v>
      </c>
      <c r="J174" s="40">
        <v>10</v>
      </c>
      <c r="K174" s="40">
        <v>11</v>
      </c>
    </row>
    <row r="175" spans="1:11" s="88" customFormat="1" ht="14.25">
      <c r="A175" s="86" t="s">
        <v>349</v>
      </c>
      <c r="B175" s="87">
        <f t="shared" ref="B175:J175" si="6">SUM(B177:B246)</f>
        <v>0</v>
      </c>
      <c r="C175" s="87">
        <f t="shared" si="6"/>
        <v>215123.44200000001</v>
      </c>
      <c r="D175" s="87">
        <f t="shared" si="6"/>
        <v>0</v>
      </c>
      <c r="E175" s="87">
        <f t="shared" si="6"/>
        <v>0</v>
      </c>
      <c r="F175" s="87">
        <f t="shared" si="6"/>
        <v>245570.76020546275</v>
      </c>
      <c r="G175" s="87">
        <f t="shared" si="6"/>
        <v>0</v>
      </c>
      <c r="H175" s="87">
        <f t="shared" si="6"/>
        <v>50358.556925511883</v>
      </c>
      <c r="I175" s="87">
        <f t="shared" si="6"/>
        <v>0</v>
      </c>
      <c r="J175" s="87">
        <f t="shared" si="6"/>
        <v>163589.67373395944</v>
      </c>
      <c r="K175" s="87">
        <f t="shared" ref="K175" si="7">SUM(K177:K246)</f>
        <v>0</v>
      </c>
    </row>
    <row r="176" spans="1:11" s="42" customFormat="1">
      <c r="A176" s="55" t="s">
        <v>534</v>
      </c>
      <c r="B176" s="55"/>
      <c r="C176" s="55"/>
      <c r="D176" s="55"/>
      <c r="E176" s="55"/>
      <c r="F176" s="50"/>
      <c r="G176" s="50"/>
      <c r="H176" s="50"/>
      <c r="I176" s="72"/>
      <c r="J176" s="72"/>
      <c r="K176" s="72"/>
    </row>
    <row r="177" spans="1:11" s="42" customFormat="1">
      <c r="A177" s="345" t="s">
        <v>970</v>
      </c>
      <c r="B177" s="1724"/>
      <c r="C177" s="1733">
        <v>8183.7599999999993</v>
      </c>
      <c r="D177" s="1091" t="s">
        <v>1564</v>
      </c>
      <c r="E177" s="1724"/>
      <c r="F177" s="750"/>
      <c r="G177" s="750"/>
      <c r="H177" s="750"/>
      <c r="I177" s="1724"/>
      <c r="J177" s="750"/>
      <c r="K177" s="1724"/>
    </row>
    <row r="178" spans="1:11" s="42" customFormat="1" ht="51">
      <c r="A178" s="345" t="s">
        <v>1894</v>
      </c>
      <c r="B178" s="1724"/>
      <c r="C178" s="1733">
        <v>3011</v>
      </c>
      <c r="D178" s="1091" t="s">
        <v>1564</v>
      </c>
      <c r="E178" s="1724"/>
      <c r="F178" s="750"/>
      <c r="G178" s="750"/>
      <c r="H178" s="750"/>
      <c r="I178" s="1724"/>
      <c r="J178" s="750"/>
      <c r="K178" s="1724"/>
    </row>
    <row r="179" spans="1:11" ht="25.5">
      <c r="A179" s="345" t="s">
        <v>1727</v>
      </c>
      <c r="B179" s="1724"/>
      <c r="C179" s="1733">
        <v>2074</v>
      </c>
      <c r="D179" s="1091" t="s">
        <v>1954</v>
      </c>
      <c r="E179" s="1724"/>
      <c r="F179" s="750"/>
      <c r="G179" s="750"/>
      <c r="H179" s="750"/>
      <c r="I179" s="1724"/>
      <c r="J179" s="750"/>
      <c r="K179" s="1724"/>
    </row>
    <row r="180" spans="1:11" ht="25.5">
      <c r="A180" s="345" t="s">
        <v>1895</v>
      </c>
      <c r="B180" s="1724"/>
      <c r="C180" s="1733">
        <v>384</v>
      </c>
      <c r="D180" s="1091" t="s">
        <v>1954</v>
      </c>
      <c r="E180" s="1724"/>
      <c r="F180" s="750"/>
      <c r="G180" s="750"/>
      <c r="H180" s="750"/>
      <c r="I180" s="1724"/>
      <c r="J180" s="750"/>
      <c r="K180" s="1724"/>
    </row>
    <row r="181" spans="1:11" ht="25.5">
      <c r="A181" s="345" t="s">
        <v>1896</v>
      </c>
      <c r="B181" s="1724"/>
      <c r="C181" s="1733">
        <v>224.99999999999997</v>
      </c>
      <c r="D181" s="1091" t="s">
        <v>1954</v>
      </c>
      <c r="E181" s="1724"/>
      <c r="F181" s="750"/>
      <c r="G181" s="750"/>
      <c r="H181" s="750"/>
      <c r="I181" s="1724"/>
      <c r="J181" s="750"/>
      <c r="K181" s="1724"/>
    </row>
    <row r="182" spans="1:11" ht="25.5">
      <c r="A182" s="345" t="s">
        <v>1897</v>
      </c>
      <c r="B182" s="1724"/>
      <c r="C182" s="1733">
        <v>255</v>
      </c>
      <c r="D182" s="1091" t="s">
        <v>1954</v>
      </c>
      <c r="E182" s="1724"/>
      <c r="F182" s="750"/>
      <c r="G182" s="750"/>
      <c r="H182" s="750"/>
      <c r="I182" s="1724"/>
      <c r="J182" s="750"/>
      <c r="K182" s="1724"/>
    </row>
    <row r="183" spans="1:11" ht="38.25">
      <c r="A183" s="345" t="s">
        <v>1898</v>
      </c>
      <c r="B183" s="1724"/>
      <c r="C183" s="1733">
        <v>5730</v>
      </c>
      <c r="D183" s="1091" t="s">
        <v>1729</v>
      </c>
      <c r="E183" s="1724"/>
      <c r="F183" s="750"/>
      <c r="G183" s="750"/>
      <c r="H183" s="750"/>
      <c r="I183" s="1724"/>
      <c r="J183" s="750"/>
      <c r="K183" s="1724"/>
    </row>
    <row r="184" spans="1:11" ht="25.5">
      <c r="A184" s="345" t="s">
        <v>1899</v>
      </c>
      <c r="B184" s="1724"/>
      <c r="C184" s="1733">
        <v>2550.0000000000005</v>
      </c>
      <c r="D184" s="1091" t="s">
        <v>1729</v>
      </c>
      <c r="E184" s="1724"/>
      <c r="F184" s="750"/>
      <c r="G184" s="750"/>
      <c r="H184" s="750"/>
      <c r="I184" s="1724"/>
      <c r="J184" s="750"/>
      <c r="K184" s="1724"/>
    </row>
    <row r="185" spans="1:11" ht="25.5">
      <c r="A185" s="345" t="s">
        <v>1900</v>
      </c>
      <c r="B185" s="1724"/>
      <c r="C185" s="1733">
        <v>433</v>
      </c>
      <c r="D185" s="1091" t="s">
        <v>1729</v>
      </c>
      <c r="E185" s="1724"/>
      <c r="F185" s="750"/>
      <c r="G185" s="750"/>
      <c r="H185" s="750"/>
      <c r="I185" s="1724"/>
      <c r="J185" s="750"/>
      <c r="K185" s="1724"/>
    </row>
    <row r="186" spans="1:11" ht="25.5">
      <c r="A186" s="345" t="s">
        <v>1901</v>
      </c>
      <c r="B186" s="1724"/>
      <c r="C186" s="1733">
        <v>71</v>
      </c>
      <c r="D186" s="1091" t="s">
        <v>1729</v>
      </c>
      <c r="E186" s="1724"/>
      <c r="F186" s="750"/>
      <c r="G186" s="750"/>
      <c r="H186" s="750"/>
      <c r="I186" s="1724"/>
      <c r="J186" s="750"/>
      <c r="K186" s="1724"/>
    </row>
    <row r="187" spans="1:11" ht="25.5">
      <c r="A187" s="345" t="s">
        <v>1902</v>
      </c>
      <c r="B187" s="1724"/>
      <c r="C187" s="1733">
        <v>762</v>
      </c>
      <c r="D187" s="1091" t="s">
        <v>1729</v>
      </c>
      <c r="E187" s="1724"/>
      <c r="F187" s="750"/>
      <c r="G187" s="750"/>
      <c r="H187" s="750"/>
      <c r="I187" s="1724"/>
      <c r="J187" s="750"/>
      <c r="K187" s="1724"/>
    </row>
    <row r="188" spans="1:11" ht="25.5">
      <c r="A188" s="345" t="s">
        <v>1730</v>
      </c>
      <c r="B188" s="1724"/>
      <c r="C188" s="1733">
        <v>27625</v>
      </c>
      <c r="D188" s="1091" t="s">
        <v>1729</v>
      </c>
      <c r="E188" s="1724"/>
      <c r="F188" s="750"/>
      <c r="G188" s="750"/>
      <c r="H188" s="750"/>
      <c r="I188" s="1724"/>
      <c r="J188" s="750"/>
      <c r="K188" s="1724"/>
    </row>
    <row r="189" spans="1:11" ht="51">
      <c r="A189" s="345" t="s">
        <v>1903</v>
      </c>
      <c r="B189" s="1724"/>
      <c r="C189" s="1733">
        <v>62031</v>
      </c>
      <c r="D189" s="1091" t="s">
        <v>1955</v>
      </c>
      <c r="E189" s="1724"/>
      <c r="F189" s="750"/>
      <c r="G189" s="750"/>
      <c r="H189" s="750"/>
      <c r="I189" s="1724"/>
      <c r="J189" s="750"/>
      <c r="K189" s="1724"/>
    </row>
    <row r="190" spans="1:11" ht="38.25">
      <c r="A190" s="345" t="s">
        <v>1904</v>
      </c>
      <c r="B190" s="1724"/>
      <c r="C190" s="1733">
        <v>33614</v>
      </c>
      <c r="D190" s="1091" t="s">
        <v>1564</v>
      </c>
      <c r="E190" s="1724"/>
      <c r="F190" s="750"/>
      <c r="G190" s="750"/>
      <c r="H190" s="750"/>
      <c r="I190" s="1724"/>
      <c r="J190" s="750"/>
      <c r="K190" s="1724"/>
    </row>
    <row r="191" spans="1:11" ht="38.25">
      <c r="A191" s="345" t="s">
        <v>1905</v>
      </c>
      <c r="B191" s="1724"/>
      <c r="C191" s="1733"/>
      <c r="D191" s="1091" t="s">
        <v>1564</v>
      </c>
      <c r="E191" s="1724"/>
      <c r="F191" s="750"/>
      <c r="G191" s="750"/>
      <c r="H191" s="750"/>
      <c r="I191" s="1724"/>
      <c r="J191" s="750"/>
      <c r="K191" s="1724"/>
    </row>
    <row r="192" spans="1:11" ht="25.5">
      <c r="A192" s="345" t="s">
        <v>1906</v>
      </c>
      <c r="B192" s="1724"/>
      <c r="C192" s="1733">
        <v>925</v>
      </c>
      <c r="D192" s="1091" t="s">
        <v>1729</v>
      </c>
      <c r="E192" s="1724"/>
      <c r="F192" s="750"/>
      <c r="G192" s="750"/>
      <c r="H192" s="750"/>
      <c r="I192" s="1724"/>
      <c r="J192" s="750"/>
      <c r="K192" s="1724"/>
    </row>
    <row r="193" spans="1:11" ht="51">
      <c r="A193" s="345" t="s">
        <v>1907</v>
      </c>
      <c r="B193" s="1724"/>
      <c r="C193" s="1733">
        <v>27580</v>
      </c>
      <c r="D193" s="1091" t="s">
        <v>1564</v>
      </c>
      <c r="E193" s="1724"/>
      <c r="F193" s="750"/>
      <c r="G193" s="750"/>
      <c r="H193" s="750"/>
      <c r="I193" s="1724"/>
      <c r="J193" s="750"/>
      <c r="K193" s="1724"/>
    </row>
    <row r="194" spans="1:11">
      <c r="A194" s="345" t="s">
        <v>1566</v>
      </c>
      <c r="B194" s="1724"/>
      <c r="C194" s="1733">
        <v>13650</v>
      </c>
      <c r="D194" s="1091" t="s">
        <v>1729</v>
      </c>
      <c r="E194" s="1724"/>
      <c r="F194" s="750"/>
      <c r="G194" s="750"/>
      <c r="H194" s="750"/>
      <c r="I194" s="1724"/>
      <c r="J194" s="750"/>
      <c r="K194" s="1724"/>
    </row>
    <row r="195" spans="1:11" ht="38.25">
      <c r="A195" s="345" t="s">
        <v>1909</v>
      </c>
      <c r="B195" s="1724"/>
      <c r="C195" s="1733">
        <v>19084</v>
      </c>
      <c r="D195" s="1091" t="s">
        <v>1564</v>
      </c>
      <c r="E195" s="1724"/>
      <c r="F195" s="750"/>
      <c r="G195" s="750"/>
      <c r="H195" s="750"/>
      <c r="I195" s="1724"/>
      <c r="J195" s="750"/>
      <c r="K195" s="1724"/>
    </row>
    <row r="196" spans="1:11" ht="25.5">
      <c r="A196" s="345" t="s">
        <v>1910</v>
      </c>
      <c r="B196" s="1724"/>
      <c r="C196" s="1733">
        <v>724</v>
      </c>
      <c r="D196" s="1091" t="s">
        <v>1564</v>
      </c>
      <c r="E196" s="1724"/>
      <c r="F196" s="750"/>
      <c r="G196" s="750"/>
      <c r="H196" s="750"/>
      <c r="I196" s="1724"/>
      <c r="J196" s="750"/>
      <c r="K196" s="1724"/>
    </row>
    <row r="197" spans="1:11" ht="25.5">
      <c r="A197" s="345" t="s">
        <v>1723</v>
      </c>
      <c r="B197" s="1724"/>
      <c r="C197" s="1733">
        <v>30.894599999999997</v>
      </c>
      <c r="D197" s="1091" t="s">
        <v>1564</v>
      </c>
      <c r="E197" s="1724"/>
      <c r="F197" s="750"/>
      <c r="G197" s="750"/>
      <c r="H197" s="750"/>
      <c r="I197" s="1724"/>
      <c r="J197" s="750"/>
      <c r="K197" s="1724"/>
    </row>
    <row r="198" spans="1:11">
      <c r="A198" s="345" t="s">
        <v>976</v>
      </c>
      <c r="B198" s="1724"/>
      <c r="C198" s="1733">
        <v>1772.9039999999998</v>
      </c>
      <c r="D198" s="1091" t="s">
        <v>1564</v>
      </c>
      <c r="E198" s="1724"/>
      <c r="F198" s="750"/>
      <c r="G198" s="750"/>
      <c r="H198" s="750"/>
      <c r="I198" s="1724"/>
      <c r="J198" s="750"/>
      <c r="K198" s="1724"/>
    </row>
    <row r="199" spans="1:11">
      <c r="A199" s="345" t="s">
        <v>977</v>
      </c>
      <c r="B199" s="1724"/>
      <c r="C199" s="1733">
        <v>573.49380000000008</v>
      </c>
      <c r="D199" s="1091" t="s">
        <v>1564</v>
      </c>
      <c r="E199" s="1724"/>
      <c r="F199" s="750"/>
      <c r="G199" s="750"/>
      <c r="H199" s="750"/>
      <c r="I199" s="1724"/>
      <c r="J199" s="750"/>
      <c r="K199" s="1724"/>
    </row>
    <row r="200" spans="1:11">
      <c r="A200" s="345" t="s">
        <v>1567</v>
      </c>
      <c r="B200" s="1724"/>
      <c r="C200" s="1733">
        <v>97.389600000000002</v>
      </c>
      <c r="D200" s="1091" t="s">
        <v>1564</v>
      </c>
      <c r="E200" s="1724"/>
      <c r="F200" s="750"/>
      <c r="G200" s="750"/>
      <c r="H200" s="750"/>
      <c r="I200" s="1724"/>
      <c r="J200" s="750"/>
      <c r="K200" s="1724"/>
    </row>
    <row r="201" spans="1:11">
      <c r="A201" s="345" t="s">
        <v>1911</v>
      </c>
      <c r="B201" s="1724"/>
      <c r="C201" s="1733">
        <v>3737</v>
      </c>
      <c r="D201" s="1091" t="s">
        <v>1564</v>
      </c>
      <c r="E201" s="1724"/>
      <c r="F201" s="750"/>
      <c r="G201" s="750"/>
      <c r="H201" s="750"/>
      <c r="I201" s="1724"/>
      <c r="J201" s="750"/>
      <c r="K201" s="1724"/>
    </row>
    <row r="202" spans="1:11" ht="25.5">
      <c r="A202" s="345" t="s">
        <v>1726</v>
      </c>
      <c r="B202" s="1724"/>
      <c r="C202" s="1731"/>
      <c r="D202" s="1091"/>
      <c r="E202" s="1724"/>
      <c r="F202" s="1734">
        <v>3001.1482890703414</v>
      </c>
      <c r="G202" s="750" t="s">
        <v>1564</v>
      </c>
      <c r="H202" s="750"/>
      <c r="I202" s="1724"/>
      <c r="J202" s="750"/>
      <c r="K202" s="1724"/>
    </row>
    <row r="203" spans="1:11" ht="38.25">
      <c r="A203" s="345" t="s">
        <v>1914</v>
      </c>
      <c r="B203" s="1724"/>
      <c r="C203" s="1731"/>
      <c r="D203" s="1091"/>
      <c r="E203" s="1724"/>
      <c r="F203" s="1734">
        <v>41998.880387761928</v>
      </c>
      <c r="G203" s="750" t="s">
        <v>1564</v>
      </c>
      <c r="H203" s="750"/>
      <c r="I203" s="1724"/>
      <c r="J203" s="750"/>
      <c r="K203" s="1724"/>
    </row>
    <row r="204" spans="1:11" ht="25.5">
      <c r="A204" s="345" t="s">
        <v>1915</v>
      </c>
      <c r="B204" s="1724"/>
      <c r="C204" s="1731"/>
      <c r="D204" s="1091"/>
      <c r="E204" s="1724"/>
      <c r="F204" s="1734">
        <v>6018.480727997483</v>
      </c>
      <c r="G204" s="750" t="s">
        <v>1564</v>
      </c>
      <c r="H204" s="750"/>
      <c r="I204" s="1724"/>
      <c r="J204" s="750"/>
      <c r="K204" s="1724"/>
    </row>
    <row r="205" spans="1:11" ht="51">
      <c r="A205" s="345" t="s">
        <v>1916</v>
      </c>
      <c r="B205" s="1724"/>
      <c r="C205" s="1731"/>
      <c r="D205" s="1091"/>
      <c r="E205" s="1724"/>
      <c r="F205" s="1734">
        <v>5057.5468302499858</v>
      </c>
      <c r="G205" s="750" t="s">
        <v>1564</v>
      </c>
      <c r="H205" s="750"/>
      <c r="I205" s="1724"/>
      <c r="J205" s="750"/>
      <c r="K205" s="1724"/>
    </row>
    <row r="206" spans="1:11">
      <c r="A206" s="345" t="s">
        <v>970</v>
      </c>
      <c r="B206" s="1724"/>
      <c r="C206" s="1731"/>
      <c r="D206" s="1091"/>
      <c r="E206" s="1724"/>
      <c r="F206" s="1734">
        <v>4668.3787167559094</v>
      </c>
      <c r="G206" s="750" t="s">
        <v>1564</v>
      </c>
      <c r="H206" s="750"/>
      <c r="I206" s="1724"/>
      <c r="J206" s="750"/>
      <c r="K206" s="1724"/>
    </row>
    <row r="207" spans="1:11" ht="38.25">
      <c r="A207" s="345" t="s">
        <v>1918</v>
      </c>
      <c r="B207" s="1724"/>
      <c r="C207" s="1731"/>
      <c r="D207" s="1091"/>
      <c r="E207" s="1724"/>
      <c r="F207" s="1734">
        <v>370.21242797429898</v>
      </c>
      <c r="G207" s="750" t="s">
        <v>1564</v>
      </c>
      <c r="H207" s="750"/>
      <c r="I207" s="1724"/>
      <c r="J207" s="750"/>
      <c r="K207" s="1724"/>
    </row>
    <row r="208" spans="1:11" ht="38.25">
      <c r="A208" s="345" t="s">
        <v>1919</v>
      </c>
      <c r="B208" s="1724"/>
      <c r="C208" s="1731"/>
      <c r="D208" s="1091"/>
      <c r="E208" s="1724"/>
      <c r="F208" s="1734">
        <v>944.04169133446237</v>
      </c>
      <c r="G208" s="750" t="s">
        <v>1564</v>
      </c>
      <c r="H208" s="750"/>
      <c r="I208" s="1724"/>
      <c r="J208" s="750"/>
      <c r="K208" s="1724"/>
    </row>
    <row r="209" spans="1:11" ht="89.25">
      <c r="A209" s="345" t="s">
        <v>1920</v>
      </c>
      <c r="B209" s="1724"/>
      <c r="C209" s="1731"/>
      <c r="D209" s="1091"/>
      <c r="E209" s="1724"/>
      <c r="F209" s="1734">
        <v>444.2549135691587</v>
      </c>
      <c r="G209" s="750" t="s">
        <v>1564</v>
      </c>
      <c r="H209" s="750"/>
      <c r="I209" s="1724"/>
      <c r="J209" s="750"/>
      <c r="K209" s="1724"/>
    </row>
    <row r="210" spans="1:11" ht="25.5">
      <c r="A210" s="345" t="s">
        <v>1921</v>
      </c>
      <c r="B210" s="1724"/>
      <c r="C210" s="1731"/>
      <c r="D210" s="1091"/>
      <c r="E210" s="1724"/>
      <c r="F210" s="1734">
        <v>166.59559258843453</v>
      </c>
      <c r="G210" s="750" t="s">
        <v>1564</v>
      </c>
      <c r="H210" s="750"/>
      <c r="I210" s="1724"/>
      <c r="J210" s="750"/>
      <c r="K210" s="1724"/>
    </row>
    <row r="211" spans="1:11" ht="25.5">
      <c r="A211" s="345" t="s">
        <v>1731</v>
      </c>
      <c r="B211" s="1724"/>
      <c r="C211" s="1731"/>
      <c r="D211" s="1091"/>
      <c r="E211" s="1724"/>
      <c r="F211" s="1734">
        <v>31934</v>
      </c>
      <c r="G211" s="1091" t="s">
        <v>1954</v>
      </c>
      <c r="H211" s="750"/>
      <c r="I211" s="1724"/>
      <c r="J211" s="750"/>
      <c r="K211" s="1724"/>
    </row>
    <row r="212" spans="1:11" ht="25.5">
      <c r="A212" s="345" t="s">
        <v>1922</v>
      </c>
      <c r="B212" s="1724"/>
      <c r="C212" s="1731"/>
      <c r="D212" s="1091"/>
      <c r="E212" s="1724"/>
      <c r="F212" s="1734">
        <v>12249.378422865464</v>
      </c>
      <c r="G212" s="750" t="s">
        <v>1729</v>
      </c>
      <c r="H212" s="750"/>
      <c r="I212" s="1724"/>
      <c r="J212" s="750"/>
      <c r="K212" s="1724"/>
    </row>
    <row r="213" spans="1:11" ht="25.5">
      <c r="A213" s="345" t="s">
        <v>1730</v>
      </c>
      <c r="B213" s="1724"/>
      <c r="C213" s="1731"/>
      <c r="D213" s="1091"/>
      <c r="E213" s="1724"/>
      <c r="F213" s="1734">
        <v>113005.82637510567</v>
      </c>
      <c r="G213" s="750" t="s">
        <v>1729</v>
      </c>
      <c r="H213" s="750"/>
      <c r="I213" s="1724"/>
      <c r="J213" s="750"/>
      <c r="K213" s="1724"/>
    </row>
    <row r="214" spans="1:11">
      <c r="A214" s="345" t="s">
        <v>976</v>
      </c>
      <c r="B214" s="1724"/>
      <c r="C214" s="1731"/>
      <c r="D214" s="1091"/>
      <c r="E214" s="1724"/>
      <c r="F214" s="1734">
        <v>4072.5254237288136</v>
      </c>
      <c r="G214" s="750" t="s">
        <v>1564</v>
      </c>
      <c r="H214" s="750"/>
      <c r="I214" s="1724"/>
      <c r="J214" s="750"/>
      <c r="K214" s="1724"/>
    </row>
    <row r="215" spans="1:11" ht="25.5">
      <c r="A215" s="345" t="s">
        <v>1932</v>
      </c>
      <c r="B215" s="1724"/>
      <c r="C215" s="1731"/>
      <c r="D215" s="1091"/>
      <c r="E215" s="1724"/>
      <c r="F215" s="1734">
        <v>1034.7740814691472</v>
      </c>
      <c r="G215" s="1091" t="s">
        <v>1564</v>
      </c>
      <c r="H215" s="750"/>
      <c r="I215" s="1724"/>
      <c r="J215" s="750"/>
      <c r="K215" s="1724"/>
    </row>
    <row r="216" spans="1:11" ht="38.25">
      <c r="A216" s="345" t="s">
        <v>1933</v>
      </c>
      <c r="B216" s="1724"/>
      <c r="C216" s="1731"/>
      <c r="D216" s="1091"/>
      <c r="E216" s="1724"/>
      <c r="F216" s="1734">
        <v>51.945658889751179</v>
      </c>
      <c r="G216" s="750" t="s">
        <v>1564</v>
      </c>
      <c r="H216" s="750"/>
      <c r="I216" s="1724"/>
      <c r="J216" s="750"/>
      <c r="K216" s="1724"/>
    </row>
    <row r="217" spans="1:11">
      <c r="A217" s="345" t="s">
        <v>1567</v>
      </c>
      <c r="B217" s="1724"/>
      <c r="C217" s="1731"/>
      <c r="D217" s="1091"/>
      <c r="E217" s="1724"/>
      <c r="F217" s="1734">
        <v>373.48169491525425</v>
      </c>
      <c r="G217" s="750" t="s">
        <v>1564</v>
      </c>
      <c r="H217" s="750"/>
      <c r="I217" s="1724"/>
      <c r="J217" s="750"/>
      <c r="K217" s="1724"/>
    </row>
    <row r="218" spans="1:11" ht="25.5">
      <c r="A218" s="345" t="s">
        <v>1934</v>
      </c>
      <c r="B218" s="1724"/>
      <c r="C218" s="1731"/>
      <c r="D218" s="1091"/>
      <c r="E218" s="1724"/>
      <c r="F218" s="1734">
        <v>1011.5093660499972</v>
      </c>
      <c r="G218" s="1091" t="s">
        <v>1954</v>
      </c>
      <c r="H218" s="750"/>
      <c r="I218" s="1724"/>
      <c r="J218" s="750"/>
      <c r="K218" s="1724"/>
    </row>
    <row r="219" spans="1:11" ht="38.25">
      <c r="A219" s="345" t="s">
        <v>1935</v>
      </c>
      <c r="B219" s="1724"/>
      <c r="C219" s="1731"/>
      <c r="D219" s="1091"/>
      <c r="E219" s="1724"/>
      <c r="F219" s="1734">
        <v>13442.95947480446</v>
      </c>
      <c r="G219" s="1091" t="s">
        <v>1956</v>
      </c>
      <c r="H219" s="750"/>
      <c r="I219" s="1724"/>
      <c r="J219" s="750"/>
      <c r="K219" s="1724"/>
    </row>
    <row r="220" spans="1:11" ht="63.75">
      <c r="A220" s="345" t="s">
        <v>1936</v>
      </c>
      <c r="B220" s="1724"/>
      <c r="C220" s="1731"/>
      <c r="D220" s="1091"/>
      <c r="E220" s="1724"/>
      <c r="F220" s="1734">
        <v>2917.1930116881913</v>
      </c>
      <c r="G220" s="750" t="s">
        <v>1729</v>
      </c>
      <c r="H220" s="750"/>
      <c r="I220" s="1724"/>
      <c r="J220" s="750"/>
      <c r="K220" s="1724"/>
    </row>
    <row r="221" spans="1:11">
      <c r="A221" s="345" t="s">
        <v>1937</v>
      </c>
      <c r="B221" s="1724"/>
      <c r="C221" s="1731"/>
      <c r="D221" s="1091"/>
      <c r="E221" s="1724"/>
      <c r="F221" s="1734">
        <v>2807.6271186440677</v>
      </c>
      <c r="G221" s="750" t="s">
        <v>1564</v>
      </c>
      <c r="H221" s="750"/>
      <c r="I221" s="1724"/>
      <c r="J221" s="750"/>
      <c r="K221" s="1724"/>
    </row>
    <row r="222" spans="1:11" ht="25.5">
      <c r="A222" s="345" t="s">
        <v>1915</v>
      </c>
      <c r="B222" s="1724"/>
      <c r="C222" s="1731"/>
      <c r="D222" s="1091"/>
      <c r="E222" s="1724"/>
      <c r="F222" s="750"/>
      <c r="G222" s="750"/>
      <c r="H222" s="1734">
        <v>2005.2646705383336</v>
      </c>
      <c r="I222" s="1724" t="s">
        <v>1564</v>
      </c>
      <c r="J222" s="750"/>
      <c r="K222" s="1724"/>
    </row>
    <row r="223" spans="1:11" ht="51">
      <c r="A223" s="345" t="s">
        <v>1916</v>
      </c>
      <c r="B223" s="1724"/>
      <c r="C223" s="1731"/>
      <c r="D223" s="1091"/>
      <c r="E223" s="1724"/>
      <c r="F223" s="750"/>
      <c r="G223" s="750"/>
      <c r="H223" s="1734">
        <v>5013.1616763458342</v>
      </c>
      <c r="I223" s="1724" t="s">
        <v>1564</v>
      </c>
      <c r="J223" s="750"/>
      <c r="K223" s="1724"/>
    </row>
    <row r="224" spans="1:11">
      <c r="A224" s="345" t="s">
        <v>970</v>
      </c>
      <c r="B224" s="1724"/>
      <c r="C224" s="1731"/>
      <c r="D224" s="1091"/>
      <c r="E224" s="1724"/>
      <c r="F224" s="750"/>
      <c r="G224" s="750"/>
      <c r="H224" s="1734">
        <v>3061.2089723384329</v>
      </c>
      <c r="I224" s="1724" t="s">
        <v>1564</v>
      </c>
      <c r="J224" s="750"/>
      <c r="K224" s="1724"/>
    </row>
    <row r="225" spans="1:11" ht="38.25">
      <c r="A225" s="345" t="s">
        <v>1918</v>
      </c>
      <c r="B225" s="1724"/>
      <c r="C225" s="1731"/>
      <c r="D225" s="1091"/>
      <c r="E225" s="1724"/>
      <c r="F225" s="750"/>
      <c r="G225" s="750"/>
      <c r="H225" s="1734">
        <v>1688.0317996591691</v>
      </c>
      <c r="I225" s="1724" t="s">
        <v>1564</v>
      </c>
      <c r="J225" s="750"/>
      <c r="K225" s="1724"/>
    </row>
    <row r="226" spans="1:11" ht="38.25">
      <c r="A226" s="345" t="s">
        <v>1944</v>
      </c>
      <c r="B226" s="1724"/>
      <c r="C226" s="1731"/>
      <c r="D226" s="1091"/>
      <c r="E226" s="1724"/>
      <c r="F226" s="750"/>
      <c r="G226" s="750"/>
      <c r="H226" s="1734">
        <v>557.41745732223433</v>
      </c>
      <c r="I226" s="1724" t="s">
        <v>1564</v>
      </c>
      <c r="J226" s="750"/>
      <c r="K226" s="1724"/>
    </row>
    <row r="227" spans="1:11" ht="38.25">
      <c r="A227" s="345" t="s">
        <v>1919</v>
      </c>
      <c r="B227" s="1724"/>
      <c r="C227" s="1731"/>
      <c r="D227" s="1091"/>
      <c r="E227" s="1724"/>
      <c r="F227" s="750"/>
      <c r="G227" s="750"/>
      <c r="H227" s="1734">
        <v>935.75675850671348</v>
      </c>
      <c r="I227" s="1724" t="s">
        <v>1564</v>
      </c>
      <c r="J227" s="750"/>
      <c r="K227" s="1724"/>
    </row>
    <row r="228" spans="1:11" ht="76.5">
      <c r="A228" s="345" t="s">
        <v>1945</v>
      </c>
      <c r="B228" s="1724"/>
      <c r="C228" s="1731"/>
      <c r="D228" s="1091"/>
      <c r="E228" s="1724"/>
      <c r="F228" s="750"/>
      <c r="G228" s="750"/>
      <c r="H228" s="1734">
        <v>5320.9698032734677</v>
      </c>
      <c r="I228" s="1724" t="s">
        <v>1564</v>
      </c>
      <c r="J228" s="750"/>
      <c r="K228" s="1724"/>
    </row>
    <row r="229" spans="1:11" ht="26.25">
      <c r="A229" s="345" t="s">
        <v>1731</v>
      </c>
      <c r="B229" s="1724"/>
      <c r="C229" s="1731"/>
      <c r="D229" s="1091"/>
      <c r="E229" s="1724"/>
      <c r="F229" s="750"/>
      <c r="G229" s="750"/>
      <c r="H229" s="1734">
        <v>10465.8989</v>
      </c>
      <c r="I229" s="1724" t="s">
        <v>1954</v>
      </c>
      <c r="J229" s="750"/>
      <c r="K229" s="1724"/>
    </row>
    <row r="230" spans="1:11" ht="25.5">
      <c r="A230" s="345" t="s">
        <v>1730</v>
      </c>
      <c r="B230" s="1724"/>
      <c r="C230" s="1731"/>
      <c r="D230" s="1091"/>
      <c r="E230" s="1724"/>
      <c r="F230" s="750"/>
      <c r="G230" s="750"/>
      <c r="H230" s="1734">
        <v>10026.323352691668</v>
      </c>
      <c r="I230" s="1724" t="s">
        <v>1729</v>
      </c>
      <c r="J230" s="750"/>
      <c r="K230" s="1724"/>
    </row>
    <row r="231" spans="1:11">
      <c r="A231" s="345" t="s">
        <v>976</v>
      </c>
      <c r="B231" s="1724"/>
      <c r="C231" s="1731"/>
      <c r="D231" s="1091"/>
      <c r="E231" s="1724"/>
      <c r="F231" s="750"/>
      <c r="G231" s="750"/>
      <c r="H231" s="1734">
        <v>5082.2759999999998</v>
      </c>
      <c r="I231" s="1724" t="s">
        <v>1564</v>
      </c>
      <c r="J231" s="750"/>
      <c r="K231" s="1724"/>
    </row>
    <row r="232" spans="1:11">
      <c r="A232" s="345" t="s">
        <v>1567</v>
      </c>
      <c r="B232" s="1724"/>
      <c r="C232" s="750"/>
      <c r="D232" s="1091"/>
      <c r="E232" s="1724"/>
      <c r="F232" s="750"/>
      <c r="G232" s="750"/>
      <c r="H232" s="1734">
        <v>793.84799999999996</v>
      </c>
      <c r="I232" s="1724" t="s">
        <v>1564</v>
      </c>
      <c r="J232" s="750"/>
      <c r="K232" s="1724"/>
    </row>
    <row r="233" spans="1:11" ht="26.25">
      <c r="A233" s="346" t="s">
        <v>1932</v>
      </c>
      <c r="B233" s="1724"/>
      <c r="C233" s="1724"/>
      <c r="D233" s="1724"/>
      <c r="E233" s="1724"/>
      <c r="F233" s="750"/>
      <c r="G233" s="1091"/>
      <c r="H233" s="1734">
        <v>1738.4468605838083</v>
      </c>
      <c r="I233" s="1091" t="s">
        <v>1564</v>
      </c>
      <c r="J233" s="750"/>
      <c r="K233" s="1091"/>
    </row>
    <row r="234" spans="1:11" ht="25.5">
      <c r="A234" s="346" t="s">
        <v>1934</v>
      </c>
      <c r="B234" s="1724"/>
      <c r="C234" s="1724"/>
      <c r="D234" s="1724"/>
      <c r="E234" s="1724"/>
      <c r="F234" s="750"/>
      <c r="G234" s="1091"/>
      <c r="H234" s="1734">
        <v>1002.6323352691668</v>
      </c>
      <c r="I234" s="1091" t="s">
        <v>1954</v>
      </c>
      <c r="J234" s="750"/>
      <c r="K234" s="1091"/>
    </row>
    <row r="235" spans="1:11">
      <c r="A235" s="346" t="s">
        <v>1937</v>
      </c>
      <c r="B235" s="1724"/>
      <c r="C235" s="1724"/>
      <c r="D235" s="1724"/>
      <c r="E235" s="1724"/>
      <c r="F235" s="750"/>
      <c r="G235" s="1091"/>
      <c r="H235" s="1734">
        <v>2667.320338983051</v>
      </c>
      <c r="I235" s="1091" t="s">
        <v>1564</v>
      </c>
      <c r="J235" s="750"/>
      <c r="K235" s="1091"/>
    </row>
    <row r="236" spans="1:11" ht="39">
      <c r="A236" s="346" t="s">
        <v>1939</v>
      </c>
      <c r="B236" s="1724"/>
      <c r="C236" s="1724"/>
      <c r="D236" s="1724"/>
      <c r="E236" s="1724"/>
      <c r="F236" s="750"/>
      <c r="G236" s="1091"/>
      <c r="H236" s="1736"/>
      <c r="I236" s="1091"/>
      <c r="J236" s="1733">
        <v>6614.110418293224</v>
      </c>
      <c r="K236" s="1091" t="s">
        <v>1564</v>
      </c>
    </row>
    <row r="237" spans="1:11" ht="26.25">
      <c r="A237" s="346" t="s">
        <v>1943</v>
      </c>
      <c r="B237" s="1724"/>
      <c r="C237" s="1724"/>
      <c r="D237" s="1724"/>
      <c r="E237" s="1724"/>
      <c r="F237" s="750"/>
      <c r="G237" s="1091"/>
      <c r="H237" s="1736"/>
      <c r="I237" s="1091"/>
      <c r="J237" s="1733">
        <v>122106.65387618259</v>
      </c>
      <c r="K237" s="1091" t="s">
        <v>1564</v>
      </c>
    </row>
    <row r="238" spans="1:11">
      <c r="A238" s="346" t="s">
        <v>994</v>
      </c>
      <c r="B238" s="1724"/>
      <c r="C238" s="1724"/>
      <c r="D238" s="1724"/>
      <c r="E238" s="1724"/>
      <c r="F238" s="750"/>
      <c r="G238" s="1091"/>
      <c r="H238" s="1736"/>
      <c r="I238" s="1091"/>
      <c r="J238" s="1733">
        <v>3561.4440713886593</v>
      </c>
      <c r="K238" s="1091" t="s">
        <v>1564</v>
      </c>
    </row>
    <row r="239" spans="1:11">
      <c r="A239" s="346" t="s">
        <v>970</v>
      </c>
      <c r="B239" s="1724"/>
      <c r="C239" s="1724"/>
      <c r="D239" s="1724"/>
      <c r="E239" s="1724"/>
      <c r="F239" s="750"/>
      <c r="G239" s="1091"/>
      <c r="H239" s="1736"/>
      <c r="I239" s="1091"/>
      <c r="J239" s="1733">
        <v>7757.6188807346944</v>
      </c>
      <c r="K239" s="1091" t="s">
        <v>1564</v>
      </c>
    </row>
    <row r="240" spans="1:11" ht="39">
      <c r="A240" s="346" t="s">
        <v>1918</v>
      </c>
      <c r="B240" s="1724"/>
      <c r="C240" s="1724"/>
      <c r="D240" s="1724"/>
      <c r="E240" s="1724"/>
      <c r="F240" s="750"/>
      <c r="G240" s="1091"/>
      <c r="H240" s="1736"/>
      <c r="I240" s="1091"/>
      <c r="J240" s="1733">
        <v>1713.1563538828418</v>
      </c>
      <c r="K240" s="1091" t="s">
        <v>1564</v>
      </c>
    </row>
    <row r="241" spans="1:11" ht="25.5">
      <c r="A241" s="346" t="s">
        <v>1731</v>
      </c>
      <c r="B241" s="1724"/>
      <c r="C241" s="1724"/>
      <c r="D241" s="1724"/>
      <c r="E241" s="1724"/>
      <c r="F241" s="750"/>
      <c r="G241" s="1091"/>
      <c r="H241" s="1736"/>
      <c r="I241" s="1091"/>
      <c r="J241" s="1733">
        <v>10733.7279461</v>
      </c>
      <c r="K241" s="1091" t="s">
        <v>1954</v>
      </c>
    </row>
    <row r="242" spans="1:11">
      <c r="A242" s="346" t="s">
        <v>976</v>
      </c>
      <c r="B242" s="1724"/>
      <c r="C242" s="1724"/>
      <c r="D242" s="1724"/>
      <c r="E242" s="1724"/>
      <c r="F242" s="750"/>
      <c r="G242" s="1091"/>
      <c r="H242" s="1736"/>
      <c r="I242" s="1091"/>
      <c r="J242" s="1733">
        <v>4120.4280000000008</v>
      </c>
      <c r="K242" s="1091" t="s">
        <v>1564</v>
      </c>
    </row>
    <row r="243" spans="1:11">
      <c r="A243" s="346" t="s">
        <v>1567</v>
      </c>
      <c r="B243" s="1724"/>
      <c r="C243" s="1724"/>
      <c r="D243" s="1724"/>
      <c r="E243" s="1724"/>
      <c r="F243" s="750"/>
      <c r="G243" s="1091"/>
      <c r="H243" s="1736"/>
      <c r="I243" s="1091"/>
      <c r="J243" s="1733">
        <v>1566.0569491525425</v>
      </c>
      <c r="K243" s="1091" t="s">
        <v>1564</v>
      </c>
    </row>
    <row r="244" spans="1:11" ht="26.25">
      <c r="A244" s="346" t="s">
        <v>1932</v>
      </c>
      <c r="B244" s="1724"/>
      <c r="C244" s="1724"/>
      <c r="D244" s="1724"/>
      <c r="E244" s="1724"/>
      <c r="F244" s="1737"/>
      <c r="G244" s="1737"/>
      <c r="H244" s="1738"/>
      <c r="I244" s="1091"/>
      <c r="J244" s="1734">
        <v>1764.3217892566749</v>
      </c>
      <c r="K244" s="1091" t="s">
        <v>1564</v>
      </c>
    </row>
    <row r="245" spans="1:11" ht="25.5">
      <c r="A245" s="346" t="s">
        <v>1934</v>
      </c>
      <c r="B245" s="1724"/>
      <c r="C245" s="1724"/>
      <c r="D245" s="1724"/>
      <c r="E245" s="1724"/>
      <c r="F245" s="1737"/>
      <c r="G245" s="1737"/>
      <c r="H245" s="1738"/>
      <c r="I245" s="1091"/>
      <c r="J245" s="1734">
        <v>1017.5554489681884</v>
      </c>
      <c r="K245" s="1091" t="s">
        <v>1954</v>
      </c>
    </row>
    <row r="246" spans="1:11">
      <c r="A246" s="346" t="s">
        <v>1937</v>
      </c>
      <c r="B246" s="1724"/>
      <c r="C246" s="1724"/>
      <c r="D246" s="1724"/>
      <c r="E246" s="1724"/>
      <c r="F246" s="1737"/>
      <c r="G246" s="1737"/>
      <c r="H246" s="1738"/>
      <c r="I246" s="1091"/>
      <c r="J246" s="1734">
        <v>2634.6000000000004</v>
      </c>
      <c r="K246" s="1091" t="s">
        <v>1564</v>
      </c>
    </row>
    <row r="247" spans="1:11" s="94" customFormat="1">
      <c r="A247" s="93"/>
      <c r="B247" s="93"/>
      <c r="C247" s="93"/>
      <c r="D247" s="93"/>
      <c r="E247" s="95"/>
      <c r="F247" s="95"/>
      <c r="G247" s="95"/>
      <c r="H247" s="95"/>
      <c r="I247" s="95"/>
      <c r="J247" s="95"/>
      <c r="K247" s="95"/>
    </row>
    <row r="248" spans="1:11" s="5" customFormat="1" ht="20.25" customHeight="1">
      <c r="A248" s="74" t="s">
        <v>1860</v>
      </c>
      <c r="B248" s="74"/>
      <c r="C248" s="74"/>
      <c r="D248" s="74"/>
      <c r="I248" s="6" t="s">
        <v>783</v>
      </c>
      <c r="J248" s="6"/>
      <c r="K248" s="6" t="s">
        <v>783</v>
      </c>
    </row>
    <row r="249" spans="1:11" ht="12.75" customHeight="1">
      <c r="A249" s="1644" t="str">
        <f>'4.11 (свод)'!A2</f>
        <v>КТЭЦ + котельные СВОД</v>
      </c>
    </row>
    <row r="250" spans="1:11" ht="18.75">
      <c r="A250" s="1877" t="s">
        <v>532</v>
      </c>
      <c r="B250" s="1877"/>
      <c r="C250" s="1877"/>
      <c r="D250" s="1877"/>
      <c r="E250" s="1877"/>
      <c r="F250" s="1877"/>
      <c r="G250" s="1877"/>
      <c r="H250" s="1877"/>
      <c r="I250" s="1877"/>
      <c r="J250" s="1643"/>
    </row>
    <row r="251" spans="1:11" ht="25.5" customHeight="1">
      <c r="A251" s="1877" t="s">
        <v>1197</v>
      </c>
      <c r="B251" s="1877"/>
      <c r="C251" s="1877"/>
      <c r="D251" s="1877"/>
      <c r="E251" s="1877"/>
      <c r="F251" s="1877"/>
      <c r="G251" s="1877"/>
      <c r="H251" s="1877"/>
      <c r="I251" s="1877"/>
      <c r="J251" s="1643"/>
    </row>
    <row r="252" spans="1:11" ht="14.25" customHeight="1">
      <c r="I252" s="23" t="s">
        <v>360</v>
      </c>
      <c r="J252" s="23"/>
      <c r="K252" s="23" t="s">
        <v>360</v>
      </c>
    </row>
    <row r="253" spans="1:11" s="3" customFormat="1" ht="81" customHeight="1">
      <c r="A253" s="540" t="s">
        <v>533</v>
      </c>
      <c r="B253" s="1586" t="s">
        <v>1735</v>
      </c>
      <c r="C253" s="1586" t="s">
        <v>1736</v>
      </c>
      <c r="D253" s="1586" t="s">
        <v>1737</v>
      </c>
      <c r="E253" s="1586" t="s">
        <v>1843</v>
      </c>
      <c r="F253" s="1586" t="s">
        <v>1844</v>
      </c>
      <c r="G253" s="1586" t="s">
        <v>1845</v>
      </c>
      <c r="H253" s="1586" t="s">
        <v>1846</v>
      </c>
      <c r="I253" s="1586" t="s">
        <v>1847</v>
      </c>
      <c r="J253" s="1641" t="s">
        <v>1878</v>
      </c>
      <c r="K253" s="1641" t="s">
        <v>1877</v>
      </c>
    </row>
    <row r="254" spans="1:11" s="21" customFormat="1">
      <c r="A254" s="40">
        <v>1</v>
      </c>
      <c r="B254" s="40">
        <v>2</v>
      </c>
      <c r="C254" s="40">
        <v>3</v>
      </c>
      <c r="D254" s="40">
        <v>4</v>
      </c>
      <c r="E254" s="40">
        <v>5</v>
      </c>
      <c r="F254" s="40">
        <v>6</v>
      </c>
      <c r="G254" s="40">
        <v>7</v>
      </c>
      <c r="H254" s="40">
        <v>8</v>
      </c>
      <c r="I254" s="40">
        <v>9</v>
      </c>
      <c r="J254" s="40">
        <v>10</v>
      </c>
      <c r="K254" s="40">
        <v>11</v>
      </c>
    </row>
    <row r="255" spans="1:11" s="88" customFormat="1" ht="14.25">
      <c r="A255" s="86" t="s">
        <v>349</v>
      </c>
      <c r="B255" s="87">
        <f t="shared" ref="B255:J255" si="8">SUM(B257:B290)</f>
        <v>0</v>
      </c>
      <c r="C255" s="87">
        <f t="shared" si="8"/>
        <v>7104.9769999999999</v>
      </c>
      <c r="D255" s="87">
        <f t="shared" si="8"/>
        <v>0</v>
      </c>
      <c r="E255" s="87">
        <f t="shared" si="8"/>
        <v>0</v>
      </c>
      <c r="F255" s="87">
        <f t="shared" si="8"/>
        <v>9441.4106818864566</v>
      </c>
      <c r="G255" s="87">
        <f t="shared" si="8"/>
        <v>0</v>
      </c>
      <c r="H255" s="87">
        <f t="shared" si="8"/>
        <v>2154.226855408534</v>
      </c>
      <c r="I255" s="87">
        <f t="shared" si="8"/>
        <v>0</v>
      </c>
      <c r="J255" s="87">
        <f t="shared" si="8"/>
        <v>1252.9760294895723</v>
      </c>
      <c r="K255" s="87">
        <f t="shared" ref="K255" si="9">SUM(K257:K290)</f>
        <v>0</v>
      </c>
    </row>
    <row r="256" spans="1:11" s="42" customFormat="1">
      <c r="A256" s="55" t="s">
        <v>534</v>
      </c>
      <c r="B256" s="55"/>
      <c r="C256" s="55"/>
      <c r="D256" s="55"/>
      <c r="E256" s="55"/>
      <c r="F256" s="50"/>
      <c r="G256" s="50"/>
      <c r="H256" s="50"/>
      <c r="I256" s="72"/>
      <c r="J256" s="72"/>
      <c r="K256" s="72"/>
    </row>
    <row r="257" spans="1:11" s="42" customFormat="1" ht="27" customHeight="1">
      <c r="A257" s="346" t="s">
        <v>1732</v>
      </c>
      <c r="B257" s="1724"/>
      <c r="C257" s="1733">
        <v>6701</v>
      </c>
      <c r="D257" s="1091" t="s">
        <v>1564</v>
      </c>
      <c r="E257" s="1724"/>
      <c r="F257" s="750"/>
      <c r="G257" s="750"/>
      <c r="H257" s="750"/>
      <c r="I257" s="1724"/>
      <c r="J257" s="750"/>
      <c r="K257" s="1724"/>
    </row>
    <row r="258" spans="1:11" s="42" customFormat="1" ht="39">
      <c r="A258" s="346" t="s">
        <v>1733</v>
      </c>
      <c r="B258" s="1724"/>
      <c r="C258" s="1733">
        <v>42.475999999999999</v>
      </c>
      <c r="D258" s="1091" t="s">
        <v>1564</v>
      </c>
      <c r="E258" s="1724"/>
      <c r="F258" s="750"/>
      <c r="G258" s="750"/>
      <c r="H258" s="750"/>
      <c r="I258" s="1724"/>
      <c r="J258" s="750"/>
      <c r="K258" s="1724"/>
    </row>
    <row r="259" spans="1:11" s="42" customFormat="1" ht="38.25">
      <c r="A259" s="345" t="s">
        <v>1734</v>
      </c>
      <c r="B259" s="1724"/>
      <c r="C259" s="1733">
        <v>74.591999999999985</v>
      </c>
      <c r="D259" s="1091" t="s">
        <v>1564</v>
      </c>
      <c r="E259" s="1724"/>
      <c r="F259" s="750"/>
      <c r="G259" s="750"/>
      <c r="H259" s="750"/>
      <c r="I259" s="1724"/>
      <c r="J259" s="750"/>
      <c r="K259" s="1724"/>
    </row>
    <row r="260" spans="1:11" s="42" customFormat="1" ht="38.25">
      <c r="A260" s="345" t="s">
        <v>1908</v>
      </c>
      <c r="B260" s="1724"/>
      <c r="C260" s="1733">
        <v>42.217000000000006</v>
      </c>
      <c r="D260" s="1091" t="s">
        <v>1564</v>
      </c>
      <c r="E260" s="1724"/>
      <c r="F260" s="750"/>
      <c r="G260" s="750"/>
      <c r="H260" s="750"/>
      <c r="I260" s="1724"/>
      <c r="J260" s="750"/>
      <c r="K260" s="1724"/>
    </row>
    <row r="261" spans="1:11" ht="25.5">
      <c r="A261" s="345" t="s">
        <v>1723</v>
      </c>
      <c r="B261" s="1724"/>
      <c r="C261" s="1733">
        <v>5.4359999999999999</v>
      </c>
      <c r="D261" s="1091" t="s">
        <v>1564</v>
      </c>
      <c r="E261" s="1724"/>
      <c r="F261" s="750"/>
      <c r="G261" s="750"/>
      <c r="H261" s="750"/>
      <c r="I261" s="1724"/>
      <c r="J261" s="750"/>
      <c r="K261" s="1724"/>
    </row>
    <row r="262" spans="1:11">
      <c r="A262" s="346" t="s">
        <v>998</v>
      </c>
      <c r="B262" s="1724"/>
      <c r="C262" s="1733">
        <v>121.212</v>
      </c>
      <c r="D262" s="1091" t="s">
        <v>1564</v>
      </c>
      <c r="E262" s="1724"/>
      <c r="F262" s="750"/>
      <c r="G262" s="750"/>
      <c r="H262" s="750"/>
      <c r="I262" s="1724"/>
      <c r="J262" s="750"/>
      <c r="K262" s="1724"/>
    </row>
    <row r="263" spans="1:11">
      <c r="A263" s="346" t="s">
        <v>977</v>
      </c>
      <c r="B263" s="1724"/>
      <c r="C263" s="1733">
        <v>100.908</v>
      </c>
      <c r="D263" s="1091" t="s">
        <v>1564</v>
      </c>
      <c r="E263" s="1724"/>
      <c r="F263" s="750"/>
      <c r="G263" s="750"/>
      <c r="H263" s="750"/>
      <c r="I263" s="1724"/>
      <c r="J263" s="750"/>
      <c r="K263" s="1724"/>
    </row>
    <row r="264" spans="1:11">
      <c r="A264" s="346" t="s">
        <v>1567</v>
      </c>
      <c r="B264" s="1724"/>
      <c r="C264" s="1733">
        <v>17.136000000000003</v>
      </c>
      <c r="D264" s="1091" t="s">
        <v>1564</v>
      </c>
      <c r="E264" s="1724"/>
      <c r="F264" s="750"/>
      <c r="G264" s="750"/>
      <c r="H264" s="750"/>
      <c r="I264" s="1724"/>
      <c r="J264" s="750"/>
      <c r="K264" s="1724"/>
    </row>
    <row r="265" spans="1:11" ht="25.5">
      <c r="A265" s="345" t="s">
        <v>1732</v>
      </c>
      <c r="B265" s="1724"/>
      <c r="C265" s="1731"/>
      <c r="D265" s="1091"/>
      <c r="E265" s="1724"/>
      <c r="F265" s="1734">
        <v>8235.7092583790763</v>
      </c>
      <c r="G265" s="750" t="s">
        <v>1564</v>
      </c>
      <c r="H265" s="750"/>
      <c r="I265" s="1724"/>
      <c r="J265" s="750"/>
      <c r="K265" s="1724"/>
    </row>
    <row r="266" spans="1:11" ht="51">
      <c r="A266" s="345" t="s">
        <v>1923</v>
      </c>
      <c r="B266" s="1724"/>
      <c r="C266" s="1731"/>
      <c r="D266" s="1091"/>
      <c r="E266" s="1724"/>
      <c r="F266" s="1734">
        <v>81.214087000154265</v>
      </c>
      <c r="G266" s="750" t="s">
        <v>1564</v>
      </c>
      <c r="H266" s="750"/>
      <c r="I266" s="1724"/>
      <c r="J266" s="750"/>
      <c r="K266" s="1724"/>
    </row>
    <row r="267" spans="1:11" ht="15.75" customHeight="1">
      <c r="A267" s="346" t="s">
        <v>1924</v>
      </c>
      <c r="B267" s="1724"/>
      <c r="C267" s="1724"/>
      <c r="D267" s="1724"/>
      <c r="E267" s="1724"/>
      <c r="F267" s="1734">
        <v>65.495231451737311</v>
      </c>
      <c r="G267" s="1091" t="s">
        <v>1564</v>
      </c>
      <c r="H267" s="750"/>
      <c r="I267" s="1091"/>
      <c r="J267" s="750"/>
      <c r="K267" s="1091"/>
    </row>
    <row r="268" spans="1:11" ht="51.75">
      <c r="A268" s="346" t="s">
        <v>1925</v>
      </c>
      <c r="B268" s="1724"/>
      <c r="C268" s="1724"/>
      <c r="D268" s="1724"/>
      <c r="E268" s="1724"/>
      <c r="F268" s="1734">
        <v>91.69332403243223</v>
      </c>
      <c r="G268" s="1091" t="s">
        <v>1564</v>
      </c>
      <c r="H268" s="750"/>
      <c r="I268" s="1091"/>
      <c r="J268" s="750"/>
      <c r="K268" s="1091"/>
    </row>
    <row r="269" spans="1:11" ht="39">
      <c r="A269" s="346" t="s">
        <v>1926</v>
      </c>
      <c r="B269" s="1724"/>
      <c r="C269" s="1724"/>
      <c r="D269" s="1724"/>
      <c r="E269" s="1724"/>
      <c r="F269" s="1734">
        <v>65.495231451737311</v>
      </c>
      <c r="G269" s="1091" t="s">
        <v>1564</v>
      </c>
      <c r="H269" s="750"/>
      <c r="I269" s="1091"/>
      <c r="J269" s="750"/>
      <c r="K269" s="1091"/>
    </row>
    <row r="270" spans="1:11" ht="39">
      <c r="A270" s="346" t="s">
        <v>1927</v>
      </c>
      <c r="B270" s="1724"/>
      <c r="C270" s="1724"/>
      <c r="D270" s="1724"/>
      <c r="E270" s="1724"/>
      <c r="F270" s="1734">
        <v>20.95847406455594</v>
      </c>
      <c r="G270" s="1091" t="s">
        <v>1564</v>
      </c>
      <c r="H270" s="750"/>
      <c r="I270" s="1091"/>
      <c r="J270" s="750"/>
      <c r="K270" s="1091"/>
    </row>
    <row r="271" spans="1:11" ht="39">
      <c r="A271" s="346" t="s">
        <v>1928</v>
      </c>
      <c r="B271" s="1724"/>
      <c r="C271" s="1724"/>
      <c r="D271" s="1724"/>
      <c r="E271" s="1724"/>
      <c r="F271" s="1734">
        <v>65.495231451737311</v>
      </c>
      <c r="G271" s="1091" t="s">
        <v>1564</v>
      </c>
      <c r="H271" s="750"/>
      <c r="I271" s="1091"/>
      <c r="J271" s="750"/>
      <c r="K271" s="1091"/>
    </row>
    <row r="272" spans="1:11" ht="39">
      <c r="A272" s="346" t="s">
        <v>1929</v>
      </c>
      <c r="B272" s="1724"/>
      <c r="C272" s="1724"/>
      <c r="D272" s="1724"/>
      <c r="E272" s="1724"/>
      <c r="F272" s="1734">
        <v>147.4952612293124</v>
      </c>
      <c r="G272" s="1091" t="s">
        <v>1564</v>
      </c>
      <c r="H272" s="750"/>
      <c r="I272" s="1091"/>
      <c r="J272" s="750"/>
      <c r="K272" s="1091"/>
    </row>
    <row r="273" spans="1:11">
      <c r="A273" s="346" t="s">
        <v>1930</v>
      </c>
      <c r="B273" s="1724"/>
      <c r="C273" s="1724"/>
      <c r="D273" s="1724"/>
      <c r="E273" s="1724"/>
      <c r="F273" s="1739">
        <v>0.25900000000000001</v>
      </c>
      <c r="G273" s="1091" t="s">
        <v>1564</v>
      </c>
      <c r="H273" s="750"/>
      <c r="I273" s="1091"/>
      <c r="J273" s="750"/>
      <c r="K273" s="1091"/>
    </row>
    <row r="274" spans="1:11">
      <c r="A274" s="346" t="s">
        <v>1931</v>
      </c>
      <c r="B274" s="1724"/>
      <c r="C274" s="1724"/>
      <c r="D274" s="1724"/>
      <c r="E274" s="1724"/>
      <c r="F274" s="1734">
        <v>410.66864406779655</v>
      </c>
      <c r="G274" s="1091" t="s">
        <v>1564</v>
      </c>
      <c r="H274" s="750"/>
      <c r="I274" s="1091"/>
      <c r="J274" s="750"/>
      <c r="K274" s="1091"/>
    </row>
    <row r="275" spans="1:11" ht="26.25">
      <c r="A275" s="346" t="s">
        <v>1932</v>
      </c>
      <c r="B275" s="1724"/>
      <c r="C275" s="1724"/>
      <c r="D275" s="1724"/>
      <c r="E275" s="1724"/>
      <c r="F275" s="1734">
        <v>182.07168588899947</v>
      </c>
      <c r="G275" s="1091" t="s">
        <v>1564</v>
      </c>
      <c r="H275" s="750"/>
      <c r="I275" s="1091"/>
      <c r="J275" s="750"/>
      <c r="K275" s="1091"/>
    </row>
    <row r="276" spans="1:11" ht="39">
      <c r="A276" s="346" t="s">
        <v>1933</v>
      </c>
      <c r="B276" s="1724"/>
      <c r="C276" s="1724"/>
      <c r="D276" s="1724"/>
      <c r="E276" s="1724"/>
      <c r="F276" s="1734">
        <v>9.1399986316277744</v>
      </c>
      <c r="G276" s="1091" t="s">
        <v>1564</v>
      </c>
      <c r="H276" s="750"/>
      <c r="I276" s="1091"/>
      <c r="J276" s="750"/>
      <c r="K276" s="1091"/>
    </row>
    <row r="277" spans="1:11">
      <c r="A277" s="346" t="s">
        <v>1567</v>
      </c>
      <c r="B277" s="1724"/>
      <c r="C277" s="1724"/>
      <c r="D277" s="1724"/>
      <c r="E277" s="1724"/>
      <c r="F277" s="1734">
        <v>65.715254237288136</v>
      </c>
      <c r="G277" s="1091" t="s">
        <v>1564</v>
      </c>
      <c r="H277" s="750"/>
      <c r="I277" s="1091"/>
      <c r="J277" s="750"/>
      <c r="K277" s="1091"/>
    </row>
    <row r="278" spans="1:11" ht="39">
      <c r="A278" s="346" t="s">
        <v>1947</v>
      </c>
      <c r="B278" s="1724"/>
      <c r="C278" s="1724"/>
      <c r="D278" s="1724"/>
      <c r="E278" s="1724"/>
      <c r="F278" s="750"/>
      <c r="G278" s="1091"/>
      <c r="H278" s="1734">
        <v>1163.3159228601814</v>
      </c>
      <c r="I278" s="1091" t="s">
        <v>1564</v>
      </c>
      <c r="J278" s="750"/>
      <c r="K278" s="1091"/>
    </row>
    <row r="279" spans="1:11" ht="39">
      <c r="A279" s="346" t="s">
        <v>1948</v>
      </c>
      <c r="B279" s="1724"/>
      <c r="C279" s="1724"/>
      <c r="D279" s="1724"/>
      <c r="E279" s="1724"/>
      <c r="F279" s="750"/>
      <c r="G279" s="1091"/>
      <c r="H279" s="1734">
        <v>27.863854439764836</v>
      </c>
      <c r="I279" s="1091" t="s">
        <v>1564</v>
      </c>
      <c r="J279" s="750"/>
      <c r="K279" s="1091"/>
    </row>
    <row r="280" spans="1:11">
      <c r="A280" s="346" t="s">
        <v>1953</v>
      </c>
      <c r="B280" s="1724"/>
      <c r="C280" s="1724"/>
      <c r="D280" s="1724"/>
      <c r="E280" s="1724"/>
      <c r="F280" s="750"/>
      <c r="G280" s="1091"/>
      <c r="H280" s="1734">
        <v>517.48199999999986</v>
      </c>
      <c r="I280" s="1091" t="s">
        <v>1564</v>
      </c>
      <c r="J280" s="750"/>
      <c r="K280" s="1091"/>
    </row>
    <row r="281" spans="1:11">
      <c r="A281" s="346" t="s">
        <v>1567</v>
      </c>
      <c r="B281" s="1724"/>
      <c r="C281" s="1724"/>
      <c r="D281" s="1724"/>
      <c r="E281" s="1724"/>
      <c r="F281" s="750"/>
      <c r="G281" s="1091"/>
      <c r="H281" s="1734">
        <v>139.68</v>
      </c>
      <c r="I281" s="1091" t="s">
        <v>1564</v>
      </c>
      <c r="J281" s="750"/>
      <c r="K281" s="1091"/>
    </row>
    <row r="282" spans="1:11" ht="26.25">
      <c r="A282" s="346" t="s">
        <v>1932</v>
      </c>
      <c r="B282" s="1724"/>
      <c r="C282" s="1724"/>
      <c r="D282" s="1724"/>
      <c r="E282" s="1724"/>
      <c r="F282" s="750"/>
      <c r="G282" s="1091"/>
      <c r="H282" s="1734">
        <v>305.88507810858795</v>
      </c>
      <c r="I282" s="1091" t="s">
        <v>1564</v>
      </c>
      <c r="J282" s="750"/>
      <c r="K282" s="1091"/>
    </row>
    <row r="283" spans="1:11" ht="39">
      <c r="A283" s="346" t="s">
        <v>1947</v>
      </c>
      <c r="B283" s="1724"/>
      <c r="C283" s="1724"/>
      <c r="D283" s="1724"/>
      <c r="E283" s="1724"/>
      <c r="F283" s="750"/>
      <c r="G283" s="1091"/>
      <c r="H283" s="750"/>
      <c r="I283" s="1091"/>
      <c r="J283" s="1734">
        <v>331.28354379622527</v>
      </c>
      <c r="K283" s="1091" t="s">
        <v>1564</v>
      </c>
    </row>
    <row r="284" spans="1:11" ht="51.75">
      <c r="A284" s="346" t="s">
        <v>1949</v>
      </c>
      <c r="B284" s="1724"/>
      <c r="C284" s="1724"/>
      <c r="D284" s="1724"/>
      <c r="E284" s="1724"/>
      <c r="F284" s="750"/>
      <c r="G284" s="1091"/>
      <c r="H284" s="750"/>
      <c r="I284" s="1091"/>
      <c r="J284" s="1734">
        <v>33.128354379622522</v>
      </c>
      <c r="K284" s="1091" t="s">
        <v>1564</v>
      </c>
    </row>
    <row r="285" spans="1:11" ht="51.75">
      <c r="A285" s="346" t="s">
        <v>1950</v>
      </c>
      <c r="B285" s="1724"/>
      <c r="C285" s="1724"/>
      <c r="D285" s="1724"/>
      <c r="E285" s="1724"/>
      <c r="F285" s="750"/>
      <c r="G285" s="1091"/>
      <c r="H285" s="750"/>
      <c r="I285" s="1091"/>
      <c r="J285" s="1734">
        <v>45.17502869948526</v>
      </c>
      <c r="K285" s="1091" t="s">
        <v>1564</v>
      </c>
    </row>
    <row r="286" spans="1:11" ht="39">
      <c r="A286" s="346" t="s">
        <v>1951</v>
      </c>
      <c r="B286" s="1724"/>
      <c r="C286" s="1724"/>
      <c r="D286" s="1724"/>
      <c r="E286" s="1724"/>
      <c r="F286" s="750"/>
      <c r="G286" s="1091"/>
      <c r="H286" s="750"/>
      <c r="I286" s="1091"/>
      <c r="J286" s="1734">
        <v>54.210034439382305</v>
      </c>
      <c r="K286" s="1091" t="s">
        <v>1564</v>
      </c>
    </row>
    <row r="287" spans="1:11" ht="38.25">
      <c r="A287" s="345" t="s">
        <v>1952</v>
      </c>
      <c r="B287" s="1724"/>
      <c r="C287" s="1724"/>
      <c r="D287" s="1724"/>
      <c r="E287" s="1724"/>
      <c r="F287" s="750"/>
      <c r="G287" s="1091"/>
      <c r="H287" s="750"/>
      <c r="I287" s="1091"/>
      <c r="J287" s="1734">
        <v>12.046674319862735</v>
      </c>
      <c r="K287" s="1091" t="s">
        <v>1564</v>
      </c>
    </row>
    <row r="288" spans="1:11">
      <c r="A288" s="345" t="s">
        <v>1953</v>
      </c>
      <c r="B288" s="1724"/>
      <c r="C288" s="1724"/>
      <c r="D288" s="1724"/>
      <c r="E288" s="1724"/>
      <c r="F288" s="750"/>
      <c r="G288" s="1091"/>
      <c r="H288" s="750"/>
      <c r="I288" s="1091"/>
      <c r="J288" s="1734">
        <v>191.142</v>
      </c>
      <c r="K288" s="1091" t="s">
        <v>1564</v>
      </c>
    </row>
    <row r="289" spans="1:11">
      <c r="A289" s="345" t="s">
        <v>1567</v>
      </c>
      <c r="B289" s="1724"/>
      <c r="C289" s="1724"/>
      <c r="D289" s="1724"/>
      <c r="E289" s="1724"/>
      <c r="F289" s="750"/>
      <c r="G289" s="1091"/>
      <c r="H289" s="750"/>
      <c r="I289" s="1091"/>
      <c r="J289" s="1734">
        <v>275.55254237288142</v>
      </c>
      <c r="K289" s="1091" t="s">
        <v>1564</v>
      </c>
    </row>
    <row r="290" spans="1:11" ht="26.25">
      <c r="A290" s="346" t="s">
        <v>1932</v>
      </c>
      <c r="B290" s="1724"/>
      <c r="C290" s="1724"/>
      <c r="D290" s="1724"/>
      <c r="E290" s="1724"/>
      <c r="F290" s="750"/>
      <c r="G290" s="750"/>
      <c r="H290" s="750"/>
      <c r="I290" s="1091"/>
      <c r="J290" s="1734">
        <v>310.43785148211288</v>
      </c>
      <c r="K290" s="1091" t="s">
        <v>1564</v>
      </c>
    </row>
    <row r="291" spans="1:11" s="90" customFormat="1">
      <c r="A291" s="93"/>
      <c r="B291" s="93"/>
      <c r="C291" s="93"/>
      <c r="D291" s="93"/>
      <c r="E291" s="95"/>
      <c r="F291" s="95"/>
      <c r="G291" s="95"/>
      <c r="H291" s="95"/>
      <c r="I291" s="95"/>
      <c r="J291" s="95"/>
      <c r="K291" s="95"/>
    </row>
  </sheetData>
  <mergeCells count="8">
    <mergeCell ref="A250:I250"/>
    <mergeCell ref="A251:I251"/>
    <mergeCell ref="A3:I3"/>
    <mergeCell ref="A4:I4"/>
    <mergeCell ref="A113:I113"/>
    <mergeCell ref="A114:I114"/>
    <mergeCell ref="A170:I170"/>
    <mergeCell ref="A171:I171"/>
  </mergeCells>
  <pageMargins left="0.78740157480314965" right="0.51181102362204722" top="0.3" bottom="0.39370078740157483" header="0.19685039370078741" footer="0.19685039370078741"/>
  <pageSetup paperSize="9" scale="45" orientation="portrait" r:id="rId1"/>
  <headerFooter alignWithMargins="0"/>
  <rowBreaks count="4" manualBreakCount="4">
    <brk id="55" max="8" man="1"/>
    <brk id="110" max="8" man="1"/>
    <brk id="167" max="8" man="1"/>
    <brk id="247" max="8" man="1"/>
  </rowBreak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K291"/>
  <sheetViews>
    <sheetView view="pageBreakPreview" zoomScaleNormal="100" zoomScaleSheetLayoutView="100" workbookViewId="0">
      <pane xSplit="1" ySplit="6" topLeftCell="B7" activePane="bottomRight" state="frozen"/>
      <selection activeCell="J217" sqref="J217"/>
      <selection pane="topRight" activeCell="J217" sqref="J217"/>
      <selection pane="bottomLeft" activeCell="J217" sqref="J217"/>
      <selection pane="bottomRight" activeCell="I252" sqref="I252"/>
    </sheetView>
  </sheetViews>
  <sheetFormatPr defaultColWidth="0.85546875" defaultRowHeight="15"/>
  <cols>
    <col min="1" max="1" width="41.42578125" style="1" customWidth="1"/>
    <col min="2" max="5" width="13.5703125" style="1" customWidth="1"/>
    <col min="6" max="6" width="13.42578125" style="1" customWidth="1"/>
    <col min="7" max="7" width="15.28515625" style="1" customWidth="1"/>
    <col min="8" max="8" width="13.85546875" style="1" customWidth="1"/>
    <col min="9" max="9" width="15.7109375" style="1" customWidth="1"/>
    <col min="10" max="10" width="13.5703125" style="1" customWidth="1"/>
    <col min="11" max="11" width="15.42578125" style="1" customWidth="1"/>
    <col min="12" max="260" width="4.5703125" style="1" customWidth="1"/>
    <col min="261" max="16384" width="0.85546875" style="1"/>
  </cols>
  <sheetData>
    <row r="1" spans="1:11" s="5" customFormat="1" ht="20.25" customHeight="1">
      <c r="A1" s="74" t="s">
        <v>1860</v>
      </c>
      <c r="I1" s="6" t="s">
        <v>781</v>
      </c>
      <c r="J1" s="6"/>
      <c r="K1" s="6" t="s">
        <v>781</v>
      </c>
    </row>
    <row r="2" spans="1:11" ht="12.75" customHeight="1">
      <c r="A2" s="105" t="str">
        <f>'4.11_КТЭЦ'!A2</f>
        <v>ПКГО - Комбинированная выработка КТЭЦ</v>
      </c>
    </row>
    <row r="3" spans="1:11" ht="18.75">
      <c r="A3" s="1877" t="s">
        <v>532</v>
      </c>
      <c r="B3" s="1877"/>
      <c r="C3" s="1877"/>
      <c r="D3" s="1877"/>
      <c r="E3" s="1877"/>
      <c r="F3" s="1877"/>
      <c r="G3" s="1877"/>
      <c r="H3" s="1877"/>
      <c r="I3" s="1877"/>
      <c r="J3" s="1643"/>
      <c r="K3" s="1309"/>
    </row>
    <row r="4" spans="1:11" ht="25.5" customHeight="1">
      <c r="A4" s="1877" t="s">
        <v>1187</v>
      </c>
      <c r="B4" s="1877"/>
      <c r="C4" s="1877"/>
      <c r="D4" s="1877"/>
      <c r="E4" s="1877"/>
      <c r="F4" s="1877"/>
      <c r="G4" s="1877"/>
      <c r="H4" s="1877"/>
      <c r="I4" s="1877"/>
      <c r="J4" s="1643"/>
    </row>
    <row r="5" spans="1:11" ht="14.25" customHeight="1">
      <c r="I5" s="23" t="s">
        <v>360</v>
      </c>
      <c r="J5" s="23"/>
      <c r="K5" s="23" t="s">
        <v>360</v>
      </c>
    </row>
    <row r="6" spans="1:11" s="3" customFormat="1" ht="81" customHeight="1">
      <c r="A6" s="12" t="s">
        <v>533</v>
      </c>
      <c r="B6" s="1432" t="s">
        <v>1735</v>
      </c>
      <c r="C6" s="1432" t="s">
        <v>1736</v>
      </c>
      <c r="D6" s="1432" t="s">
        <v>1737</v>
      </c>
      <c r="E6" s="1432" t="s">
        <v>1843</v>
      </c>
      <c r="F6" s="1432" t="s">
        <v>1844</v>
      </c>
      <c r="G6" s="1432" t="s">
        <v>1845</v>
      </c>
      <c r="H6" s="1432" t="s">
        <v>1846</v>
      </c>
      <c r="I6" s="1432" t="s">
        <v>1847</v>
      </c>
      <c r="J6" s="1641" t="s">
        <v>1878</v>
      </c>
      <c r="K6" s="1641" t="s">
        <v>1877</v>
      </c>
    </row>
    <row r="7" spans="1:11" s="21" customFormat="1">
      <c r="A7" s="40">
        <v>1</v>
      </c>
      <c r="B7" s="40">
        <v>2</v>
      </c>
      <c r="C7" s="40">
        <v>3</v>
      </c>
      <c r="D7" s="40">
        <v>4</v>
      </c>
      <c r="E7" s="40">
        <v>5</v>
      </c>
      <c r="F7" s="40">
        <v>6</v>
      </c>
      <c r="G7" s="40">
        <v>7</v>
      </c>
      <c r="H7" s="40">
        <v>8</v>
      </c>
      <c r="I7" s="40">
        <v>9</v>
      </c>
      <c r="J7" s="40">
        <v>10</v>
      </c>
      <c r="K7" s="40">
        <v>11</v>
      </c>
    </row>
    <row r="8" spans="1:11" s="88" customFormat="1" ht="14.25">
      <c r="A8" s="86" t="s">
        <v>349</v>
      </c>
      <c r="B8" s="87">
        <f t="shared" ref="B8:K8" si="0">SUM(B10:B109)</f>
        <v>0</v>
      </c>
      <c r="C8" s="87">
        <f t="shared" si="0"/>
        <v>237242.08900000001</v>
      </c>
      <c r="D8" s="87">
        <f t="shared" si="0"/>
        <v>0</v>
      </c>
      <c r="E8" s="87">
        <f t="shared" si="0"/>
        <v>0</v>
      </c>
      <c r="F8" s="87">
        <f t="shared" si="0"/>
        <v>270454.77779598918</v>
      </c>
      <c r="G8" s="87">
        <f t="shared" si="0"/>
        <v>0</v>
      </c>
      <c r="H8" s="87">
        <f t="shared" si="0"/>
        <v>85454.212431455991</v>
      </c>
      <c r="I8" s="87">
        <f t="shared" si="0"/>
        <v>0</v>
      </c>
      <c r="J8" s="87">
        <f t="shared" si="0"/>
        <v>226166.50947940053</v>
      </c>
      <c r="K8" s="87">
        <f t="shared" si="0"/>
        <v>0</v>
      </c>
    </row>
    <row r="9" spans="1:11" s="42" customFormat="1">
      <c r="A9" s="55" t="s">
        <v>534</v>
      </c>
      <c r="B9" s="55"/>
      <c r="C9" s="55"/>
      <c r="D9" s="55"/>
      <c r="E9" s="55"/>
      <c r="F9" s="50"/>
      <c r="G9" s="50"/>
      <c r="H9" s="50"/>
      <c r="I9" s="72"/>
      <c r="J9" s="50"/>
      <c r="K9" s="72"/>
    </row>
    <row r="10" spans="1:11" s="42" customFormat="1">
      <c r="A10" s="345" t="s">
        <v>1724</v>
      </c>
      <c r="B10" s="1387"/>
      <c r="C10" s="1614">
        <v>1048.4199999999998</v>
      </c>
      <c r="D10" s="1091" t="s">
        <v>1564</v>
      </c>
      <c r="E10" s="1387"/>
      <c r="F10" s="308"/>
      <c r="G10" s="308"/>
      <c r="H10" s="308"/>
      <c r="I10" s="1387"/>
      <c r="J10" s="308"/>
      <c r="K10" s="1387"/>
    </row>
    <row r="11" spans="1:11" s="42" customFormat="1">
      <c r="A11" s="345" t="s">
        <v>970</v>
      </c>
      <c r="B11" s="1387"/>
      <c r="C11" s="1614">
        <v>12767.56</v>
      </c>
      <c r="D11" s="1091" t="s">
        <v>1564</v>
      </c>
      <c r="E11" s="1387"/>
      <c r="F11" s="308"/>
      <c r="G11" s="308"/>
      <c r="H11" s="308"/>
      <c r="I11" s="1387"/>
      <c r="J11" s="308"/>
      <c r="K11" s="1387"/>
    </row>
    <row r="12" spans="1:11" ht="25.5">
      <c r="A12" s="345" t="s">
        <v>978</v>
      </c>
      <c r="B12" s="1387"/>
      <c r="C12" s="258">
        <v>7692.0919999999996</v>
      </c>
      <c r="D12" s="1091" t="s">
        <v>1564</v>
      </c>
      <c r="E12" s="1387"/>
      <c r="F12" s="308"/>
      <c r="G12" s="308"/>
      <c r="H12" s="308"/>
      <c r="I12" s="1387"/>
      <c r="J12" s="308"/>
      <c r="K12" s="1387"/>
    </row>
    <row r="13" spans="1:11" ht="51">
      <c r="A13" s="345" t="s">
        <v>1894</v>
      </c>
      <c r="B13" s="1387"/>
      <c r="C13" s="258">
        <v>3011</v>
      </c>
      <c r="D13" s="1091" t="s">
        <v>1564</v>
      </c>
      <c r="E13" s="1387"/>
      <c r="F13" s="308"/>
      <c r="G13" s="308"/>
      <c r="H13" s="308"/>
      <c r="I13" s="1387"/>
      <c r="J13" s="308"/>
      <c r="K13" s="1387"/>
    </row>
    <row r="14" spans="1:11" ht="25.5">
      <c r="A14" s="345" t="s">
        <v>1727</v>
      </c>
      <c r="B14" s="1387"/>
      <c r="C14" s="258">
        <v>2074</v>
      </c>
      <c r="D14" s="1091" t="s">
        <v>1954</v>
      </c>
      <c r="E14" s="1387"/>
      <c r="F14" s="308"/>
      <c r="G14" s="308"/>
      <c r="H14" s="308"/>
      <c r="I14" s="1387"/>
      <c r="J14" s="308"/>
      <c r="K14" s="1387"/>
    </row>
    <row r="15" spans="1:11" ht="25.5">
      <c r="A15" s="345" t="s">
        <v>1895</v>
      </c>
      <c r="B15" s="1437"/>
      <c r="C15" s="1615">
        <v>384</v>
      </c>
      <c r="D15" s="1091" t="s">
        <v>1954</v>
      </c>
      <c r="E15" s="1437"/>
      <c r="F15" s="308"/>
      <c r="G15" s="308"/>
      <c r="H15" s="308"/>
      <c r="I15" s="1437"/>
      <c r="J15" s="308"/>
      <c r="K15" s="1437"/>
    </row>
    <row r="16" spans="1:11" ht="25.5">
      <c r="A16" s="345" t="s">
        <v>1896</v>
      </c>
      <c r="B16" s="1437"/>
      <c r="C16" s="1615">
        <v>224.99999999999997</v>
      </c>
      <c r="D16" s="1091" t="s">
        <v>1954</v>
      </c>
      <c r="E16" s="1437"/>
      <c r="F16" s="308"/>
      <c r="G16" s="308"/>
      <c r="H16" s="308"/>
      <c r="I16" s="1437"/>
      <c r="J16" s="308"/>
      <c r="K16" s="1437"/>
    </row>
    <row r="17" spans="1:11" ht="26.25">
      <c r="A17" s="346" t="s">
        <v>1897</v>
      </c>
      <c r="B17" s="1437"/>
      <c r="C17" s="1615">
        <v>255</v>
      </c>
      <c r="D17" s="1091" t="s">
        <v>1954</v>
      </c>
      <c r="E17" s="1437"/>
      <c r="F17" s="308"/>
      <c r="G17" s="308"/>
      <c r="H17" s="308"/>
      <c r="I17" s="1437"/>
      <c r="J17" s="308"/>
      <c r="K17" s="1437"/>
    </row>
    <row r="18" spans="1:11" ht="38.25">
      <c r="A18" s="345" t="s">
        <v>1898</v>
      </c>
      <c r="B18" s="1437"/>
      <c r="C18" s="1615">
        <v>5730</v>
      </c>
      <c r="D18" s="1091" t="s">
        <v>1729</v>
      </c>
      <c r="E18" s="1437"/>
      <c r="F18" s="308"/>
      <c r="G18" s="308"/>
      <c r="H18" s="308"/>
      <c r="I18" s="1437"/>
      <c r="J18" s="308"/>
      <c r="K18" s="1437"/>
    </row>
    <row r="19" spans="1:11" ht="26.25">
      <c r="A19" s="346" t="s">
        <v>1899</v>
      </c>
      <c r="B19" s="1437"/>
      <c r="C19" s="258">
        <v>2550.0000000000005</v>
      </c>
      <c r="D19" s="1091" t="s">
        <v>1729</v>
      </c>
      <c r="E19" s="1437"/>
      <c r="F19" s="308"/>
      <c r="G19" s="308"/>
      <c r="H19" s="308"/>
      <c r="I19" s="1437"/>
      <c r="J19" s="308"/>
      <c r="K19" s="1437"/>
    </row>
    <row r="20" spans="1:11" ht="25.5">
      <c r="A20" s="345" t="s">
        <v>1900</v>
      </c>
      <c r="B20" s="1437"/>
      <c r="C20" s="1614">
        <v>433</v>
      </c>
      <c r="D20" s="1091" t="s">
        <v>1729</v>
      </c>
      <c r="E20" s="1437"/>
      <c r="F20" s="308"/>
      <c r="G20" s="308"/>
      <c r="H20" s="308"/>
      <c r="I20" s="1437"/>
      <c r="J20" s="308"/>
      <c r="K20" s="1437"/>
    </row>
    <row r="21" spans="1:11" ht="25.5">
      <c r="A21" s="345" t="s">
        <v>1901</v>
      </c>
      <c r="B21" s="1440"/>
      <c r="C21" s="1725">
        <v>71</v>
      </c>
      <c r="D21" s="1091" t="s">
        <v>1729</v>
      </c>
      <c r="E21" s="1437"/>
      <c r="F21" s="308"/>
      <c r="G21" s="1091"/>
      <c r="H21" s="308"/>
      <c r="I21" s="1437"/>
      <c r="J21" s="308"/>
      <c r="K21" s="1437"/>
    </row>
    <row r="22" spans="1:11" ht="25.5">
      <c r="A22" s="345" t="s">
        <v>1902</v>
      </c>
      <c r="B22" s="1438"/>
      <c r="C22" s="1725">
        <v>762</v>
      </c>
      <c r="D22" s="1727" t="s">
        <v>1729</v>
      </c>
      <c r="E22" s="1387"/>
      <c r="F22" s="308"/>
      <c r="G22" s="1091"/>
      <c r="H22" s="308"/>
      <c r="I22" s="1091"/>
      <c r="J22" s="308"/>
      <c r="K22" s="1091"/>
    </row>
    <row r="23" spans="1:11" ht="25.5">
      <c r="A23" s="345" t="s">
        <v>1730</v>
      </c>
      <c r="B23" s="1438"/>
      <c r="C23" s="1725">
        <v>27625</v>
      </c>
      <c r="D23" s="1727" t="s">
        <v>1729</v>
      </c>
      <c r="E23" s="1387"/>
      <c r="F23" s="308"/>
      <c r="G23" s="1091"/>
      <c r="H23" s="308"/>
      <c r="I23" s="1091"/>
      <c r="J23" s="308"/>
      <c r="K23" s="1091"/>
    </row>
    <row r="24" spans="1:11" ht="51">
      <c r="A24" s="345" t="s">
        <v>1903</v>
      </c>
      <c r="B24" s="1438"/>
      <c r="C24" s="1616">
        <v>62031</v>
      </c>
      <c r="D24" s="1727" t="s">
        <v>1955</v>
      </c>
      <c r="E24" s="1387"/>
      <c r="F24" s="308"/>
      <c r="G24" s="1091"/>
      <c r="H24" s="308"/>
      <c r="I24" s="1091"/>
      <c r="J24" s="308"/>
      <c r="K24" s="1091"/>
    </row>
    <row r="25" spans="1:11" ht="38.25">
      <c r="A25" s="345" t="s">
        <v>1904</v>
      </c>
      <c r="B25" s="1438"/>
      <c r="C25" s="1616">
        <v>33614</v>
      </c>
      <c r="D25" s="1727" t="s">
        <v>1564</v>
      </c>
      <c r="E25" s="1387"/>
      <c r="F25" s="308"/>
      <c r="G25" s="1091"/>
      <c r="H25" s="308"/>
      <c r="I25" s="1091"/>
      <c r="J25" s="308"/>
      <c r="K25" s="1091"/>
    </row>
    <row r="26" spans="1:11" ht="38.25">
      <c r="A26" s="345" t="s">
        <v>1905</v>
      </c>
      <c r="B26" s="1438"/>
      <c r="C26" s="1616">
        <v>301.88799999999998</v>
      </c>
      <c r="D26" s="1727" t="s">
        <v>1564</v>
      </c>
      <c r="E26" s="1387"/>
      <c r="F26" s="308"/>
      <c r="G26" s="1091"/>
      <c r="H26" s="308"/>
      <c r="I26" s="1091"/>
      <c r="J26" s="308"/>
      <c r="K26" s="1091"/>
    </row>
    <row r="27" spans="1:11" ht="25.5">
      <c r="A27" s="345" t="s">
        <v>1906</v>
      </c>
      <c r="B27" s="1438"/>
      <c r="C27" s="1616">
        <v>925</v>
      </c>
      <c r="D27" s="1727" t="s">
        <v>1729</v>
      </c>
      <c r="E27" s="1387"/>
      <c r="F27" s="308"/>
      <c r="G27" s="1091"/>
      <c r="H27" s="308"/>
      <c r="I27" s="1091"/>
      <c r="J27" s="308"/>
      <c r="K27" s="1091"/>
    </row>
    <row r="28" spans="1:11" ht="51">
      <c r="A28" s="345" t="s">
        <v>1907</v>
      </c>
      <c r="B28" s="1387"/>
      <c r="C28" s="1614">
        <v>27580</v>
      </c>
      <c r="D28" s="1727" t="s">
        <v>1564</v>
      </c>
      <c r="E28" s="1387"/>
      <c r="F28" s="308"/>
      <c r="G28" s="1091"/>
      <c r="H28" s="308"/>
      <c r="I28" s="1091"/>
      <c r="J28" s="308"/>
      <c r="K28" s="1091"/>
    </row>
    <row r="29" spans="1:11">
      <c r="A29" s="345" t="s">
        <v>1566</v>
      </c>
      <c r="B29" s="1387"/>
      <c r="C29" s="1614">
        <v>13650</v>
      </c>
      <c r="D29" s="1727" t="s">
        <v>1729</v>
      </c>
      <c r="E29" s="1387"/>
      <c r="F29" s="308"/>
      <c r="G29" s="1091"/>
      <c r="H29" s="308"/>
      <c r="I29" s="1091"/>
      <c r="J29" s="308"/>
      <c r="K29" s="1091"/>
    </row>
    <row r="30" spans="1:11" ht="25.5">
      <c r="A30" s="345" t="s">
        <v>1732</v>
      </c>
      <c r="B30" s="1387"/>
      <c r="C30" s="1614">
        <v>6701</v>
      </c>
      <c r="D30" s="1728" t="s">
        <v>1564</v>
      </c>
      <c r="E30" s="1387"/>
      <c r="F30" s="308"/>
      <c r="G30" s="1091"/>
      <c r="H30" s="308"/>
      <c r="I30" s="1091"/>
      <c r="J30" s="308"/>
      <c r="K30" s="1091"/>
    </row>
    <row r="31" spans="1:11" ht="38.25">
      <c r="A31" s="345" t="s">
        <v>1733</v>
      </c>
      <c r="B31" s="1387"/>
      <c r="C31" s="1614">
        <v>42.475999999999999</v>
      </c>
      <c r="D31" s="1728" t="s">
        <v>1564</v>
      </c>
      <c r="E31" s="1387"/>
      <c r="F31" s="308"/>
      <c r="G31" s="1091"/>
      <c r="H31" s="308"/>
      <c r="I31" s="1091"/>
      <c r="J31" s="308"/>
      <c r="K31" s="1091"/>
    </row>
    <row r="32" spans="1:11" ht="38.25">
      <c r="A32" s="345" t="s">
        <v>1734</v>
      </c>
      <c r="B32" s="1387"/>
      <c r="C32" s="1614">
        <v>74.591999999999985</v>
      </c>
      <c r="D32" s="1728" t="s">
        <v>1564</v>
      </c>
      <c r="E32" s="1387"/>
      <c r="F32" s="308"/>
      <c r="G32" s="1091"/>
      <c r="H32" s="308"/>
      <c r="I32" s="1091"/>
      <c r="J32" s="308"/>
      <c r="K32" s="1091"/>
    </row>
    <row r="33" spans="1:11" ht="38.25">
      <c r="A33" s="345" t="s">
        <v>1908</v>
      </c>
      <c r="B33" s="1387"/>
      <c r="C33" s="1614">
        <v>42.217000000000006</v>
      </c>
      <c r="D33" s="1729" t="s">
        <v>1564</v>
      </c>
      <c r="E33" s="1387"/>
      <c r="F33" s="308"/>
      <c r="G33" s="1091"/>
      <c r="H33" s="308"/>
      <c r="I33" s="1091"/>
      <c r="J33" s="308"/>
      <c r="K33" s="1091"/>
    </row>
    <row r="34" spans="1:11" ht="38.25">
      <c r="A34" s="345" t="s">
        <v>1909</v>
      </c>
      <c r="B34" s="1439"/>
      <c r="C34" s="1726">
        <v>19084</v>
      </c>
      <c r="D34" s="1729" t="s">
        <v>1564</v>
      </c>
      <c r="E34" s="1437"/>
      <c r="F34" s="308"/>
      <c r="G34" s="1091"/>
      <c r="H34" s="308"/>
      <c r="I34" s="1091"/>
      <c r="J34" s="308"/>
      <c r="K34" s="1091"/>
    </row>
    <row r="35" spans="1:11" ht="26.25">
      <c r="A35" s="346" t="s">
        <v>1910</v>
      </c>
      <c r="B35" s="1439"/>
      <c r="C35" s="1726">
        <v>724</v>
      </c>
      <c r="D35" s="1729" t="s">
        <v>1564</v>
      </c>
      <c r="E35" s="1437"/>
      <c r="F35" s="308"/>
      <c r="G35" s="1091"/>
      <c r="H35" s="308"/>
      <c r="I35" s="1091"/>
      <c r="J35" s="308"/>
      <c r="K35" s="1091"/>
    </row>
    <row r="36" spans="1:11" ht="21.75" customHeight="1">
      <c r="A36" s="346" t="s">
        <v>1723</v>
      </c>
      <c r="B36" s="1439"/>
      <c r="C36" s="1726">
        <v>53.695599999999992</v>
      </c>
      <c r="D36" s="1729" t="s">
        <v>1564</v>
      </c>
      <c r="E36" s="1437"/>
      <c r="F36" s="308"/>
      <c r="G36" s="1091"/>
      <c r="H36" s="308"/>
      <c r="I36" s="1091"/>
      <c r="J36" s="308"/>
      <c r="K36" s="1091"/>
    </row>
    <row r="37" spans="1:11">
      <c r="A37" s="346" t="s">
        <v>976</v>
      </c>
      <c r="B37" s="1439"/>
      <c r="C37" s="1726">
        <v>2765.9239999999995</v>
      </c>
      <c r="D37" s="1729" t="s">
        <v>1564</v>
      </c>
      <c r="E37" s="1439"/>
      <c r="F37" s="308"/>
      <c r="G37" s="1091"/>
      <c r="H37" s="308"/>
      <c r="I37" s="1091"/>
      <c r="J37" s="308"/>
      <c r="K37" s="1091"/>
    </row>
    <row r="38" spans="1:11">
      <c r="A38" s="346" t="s">
        <v>998</v>
      </c>
      <c r="B38" s="1439"/>
      <c r="C38" s="1726">
        <v>121.212</v>
      </c>
      <c r="D38" s="1729" t="s">
        <v>1564</v>
      </c>
      <c r="E38" s="1439"/>
      <c r="F38" s="308"/>
      <c r="G38" s="1091"/>
      <c r="H38" s="308"/>
      <c r="I38" s="1091"/>
      <c r="J38" s="308"/>
      <c r="K38" s="1091"/>
    </row>
    <row r="39" spans="1:11">
      <c r="A39" s="346" t="s">
        <v>977</v>
      </c>
      <c r="B39" s="1439"/>
      <c r="C39" s="1726">
        <v>996.74680000000001</v>
      </c>
      <c r="D39" s="1729" t="s">
        <v>1564</v>
      </c>
      <c r="E39" s="1439"/>
      <c r="F39" s="308"/>
      <c r="G39" s="1091"/>
      <c r="H39" s="308"/>
      <c r="I39" s="1091"/>
      <c r="J39" s="308"/>
      <c r="K39" s="1091"/>
    </row>
    <row r="40" spans="1:11">
      <c r="A40" s="346" t="s">
        <v>1567</v>
      </c>
      <c r="B40" s="1439"/>
      <c r="C40" s="1726">
        <v>169.26560000000001</v>
      </c>
      <c r="D40" s="1724" t="s">
        <v>1564</v>
      </c>
      <c r="E40" s="1439"/>
      <c r="F40" s="308"/>
      <c r="G40" s="1091"/>
      <c r="H40" s="308"/>
      <c r="I40" s="1091"/>
      <c r="J40" s="308"/>
      <c r="K40" s="1091"/>
    </row>
    <row r="41" spans="1:11">
      <c r="A41" s="346" t="s">
        <v>1911</v>
      </c>
      <c r="B41" s="1439"/>
      <c r="C41" s="1726">
        <v>3737</v>
      </c>
      <c r="D41" s="1724" t="s">
        <v>1564</v>
      </c>
      <c r="E41" s="1439"/>
      <c r="F41" s="308"/>
      <c r="G41" s="1091"/>
      <c r="H41" s="308"/>
      <c r="I41" s="1091"/>
      <c r="J41" s="308"/>
      <c r="K41" s="1091"/>
    </row>
    <row r="42" spans="1:11" ht="26.25">
      <c r="A42" s="346" t="s">
        <v>1912</v>
      </c>
      <c r="B42" s="1439"/>
      <c r="C42" s="1439"/>
      <c r="D42" s="1439"/>
      <c r="E42" s="1439"/>
      <c r="F42" s="258">
        <v>905.64479579920442</v>
      </c>
      <c r="G42" s="1091" t="s">
        <v>1564</v>
      </c>
      <c r="H42" s="308"/>
      <c r="I42" s="1091"/>
      <c r="J42" s="308"/>
      <c r="K42" s="1091"/>
    </row>
    <row r="43" spans="1:11" ht="39">
      <c r="A43" s="346" t="s">
        <v>1913</v>
      </c>
      <c r="B43" s="1439"/>
      <c r="C43" s="1439"/>
      <c r="D43" s="1439"/>
      <c r="E43" s="1439"/>
      <c r="F43" s="258">
        <v>1800.4866715689948</v>
      </c>
      <c r="G43" s="1091" t="s">
        <v>1564</v>
      </c>
      <c r="H43" s="308"/>
      <c r="I43" s="1091"/>
      <c r="J43" s="308"/>
      <c r="K43" s="1091"/>
    </row>
    <row r="44" spans="1:11" ht="26.25">
      <c r="A44" s="346" t="s">
        <v>978</v>
      </c>
      <c r="B44" s="1439"/>
      <c r="C44" s="1439"/>
      <c r="D44" s="1439"/>
      <c r="E44" s="1439"/>
      <c r="F44" s="258">
        <v>0</v>
      </c>
      <c r="G44" s="1091" t="s">
        <v>1564</v>
      </c>
      <c r="H44" s="308"/>
      <c r="I44" s="1091"/>
      <c r="J44" s="308"/>
      <c r="K44" s="1091"/>
    </row>
    <row r="45" spans="1:11" ht="26.25">
      <c r="A45" s="346" t="s">
        <v>1726</v>
      </c>
      <c r="B45" s="1437"/>
      <c r="C45" s="1437"/>
      <c r="D45" s="1437"/>
      <c r="E45" s="1437"/>
      <c r="F45" s="258">
        <v>3001.1482890703414</v>
      </c>
      <c r="G45" s="1091" t="s">
        <v>1564</v>
      </c>
      <c r="H45" s="308"/>
      <c r="I45" s="1091"/>
      <c r="J45" s="258"/>
      <c r="K45" s="1091" t="s">
        <v>1564</v>
      </c>
    </row>
    <row r="46" spans="1:11" ht="39">
      <c r="A46" s="346" t="s">
        <v>1914</v>
      </c>
      <c r="B46" s="1437"/>
      <c r="C46" s="1437"/>
      <c r="D46" s="1437"/>
      <c r="E46" s="1437"/>
      <c r="F46" s="258">
        <v>41998.880387761928</v>
      </c>
      <c r="G46" s="1091" t="s">
        <v>1564</v>
      </c>
      <c r="H46" s="308"/>
      <c r="I46" s="1091"/>
      <c r="J46" s="258"/>
      <c r="K46" s="1091" t="s">
        <v>1564</v>
      </c>
    </row>
    <row r="47" spans="1:11" ht="25.5">
      <c r="A47" s="345" t="s">
        <v>1915</v>
      </c>
      <c r="B47" s="1437"/>
      <c r="C47" s="1437"/>
      <c r="D47" s="1437"/>
      <c r="E47" s="1437"/>
      <c r="F47" s="258">
        <v>6018.480727997483</v>
      </c>
      <c r="G47" s="1091" t="s">
        <v>1564</v>
      </c>
      <c r="H47" s="308"/>
      <c r="I47" s="1091"/>
      <c r="J47" s="258"/>
      <c r="K47" s="1091" t="s">
        <v>1564</v>
      </c>
    </row>
    <row r="48" spans="1:11" ht="51">
      <c r="A48" s="345" t="s">
        <v>1916</v>
      </c>
      <c r="B48" s="1437"/>
      <c r="C48" s="1437"/>
      <c r="D48" s="1437"/>
      <c r="E48" s="1437"/>
      <c r="F48" s="258">
        <v>5057.5468302499858</v>
      </c>
      <c r="G48" s="1091" t="s">
        <v>1564</v>
      </c>
      <c r="H48" s="308"/>
      <c r="I48" s="1091"/>
      <c r="J48" s="258"/>
      <c r="K48" s="1091" t="s">
        <v>1564</v>
      </c>
    </row>
    <row r="49" spans="1:11">
      <c r="A49" s="345" t="s">
        <v>970</v>
      </c>
      <c r="B49" s="1437"/>
      <c r="C49" s="1437"/>
      <c r="D49" s="1437"/>
      <c r="E49" s="1437"/>
      <c r="F49" s="258">
        <v>7283.1810034634545</v>
      </c>
      <c r="G49" s="1091" t="s">
        <v>1564</v>
      </c>
      <c r="H49" s="308"/>
      <c r="I49" s="1091"/>
      <c r="J49" s="258"/>
      <c r="K49" s="1091" t="s">
        <v>1728</v>
      </c>
    </row>
    <row r="50" spans="1:11" ht="25.5">
      <c r="A50" s="345" t="s">
        <v>1725</v>
      </c>
      <c r="B50" s="1437"/>
      <c r="C50" s="1437"/>
      <c r="D50" s="1437"/>
      <c r="E50" s="1437"/>
      <c r="F50" s="258">
        <v>4141.1193446086882</v>
      </c>
      <c r="G50" s="1091" t="s">
        <v>1564</v>
      </c>
      <c r="H50" s="308"/>
      <c r="I50" s="1091"/>
      <c r="J50" s="258"/>
      <c r="K50" s="1091" t="s">
        <v>1729</v>
      </c>
    </row>
    <row r="51" spans="1:11" ht="38.25">
      <c r="A51" s="345" t="s">
        <v>1917</v>
      </c>
      <c r="B51" s="1437"/>
      <c r="C51" s="1437"/>
      <c r="D51" s="1437"/>
      <c r="E51" s="1437"/>
      <c r="F51" s="258">
        <v>1800.4866715689948</v>
      </c>
      <c r="G51" s="1091" t="s">
        <v>1564</v>
      </c>
      <c r="H51" s="308"/>
      <c r="I51" s="1091"/>
      <c r="J51" s="258"/>
      <c r="K51" s="1091" t="s">
        <v>1729</v>
      </c>
    </row>
    <row r="52" spans="1:11" ht="38.25">
      <c r="A52" s="345" t="s">
        <v>1918</v>
      </c>
      <c r="B52" s="1387"/>
      <c r="C52" s="1387"/>
      <c r="D52" s="1387"/>
      <c r="E52" s="1387"/>
      <c r="F52" s="258">
        <v>577.57184801454844</v>
      </c>
      <c r="G52" s="1091" t="s">
        <v>1564</v>
      </c>
      <c r="H52" s="308"/>
      <c r="I52" s="1091"/>
      <c r="J52" s="258"/>
      <c r="K52" s="1091" t="s">
        <v>1729</v>
      </c>
    </row>
    <row r="53" spans="1:11" ht="38.25">
      <c r="A53" s="345" t="s">
        <v>1919</v>
      </c>
      <c r="B53" s="1387"/>
      <c r="C53" s="1387"/>
      <c r="D53" s="1387"/>
      <c r="E53" s="1387"/>
      <c r="F53" s="258">
        <v>1472.8082124370983</v>
      </c>
      <c r="G53" s="1091" t="s">
        <v>1564</v>
      </c>
      <c r="H53" s="308"/>
      <c r="I53" s="1091"/>
      <c r="J53" s="258"/>
      <c r="K53" s="1091" t="s">
        <v>1564</v>
      </c>
    </row>
    <row r="54" spans="1:11" ht="89.25">
      <c r="A54" s="345" t="s">
        <v>1920</v>
      </c>
      <c r="B54" s="1387"/>
      <c r="C54" s="1387"/>
      <c r="D54" s="1387"/>
      <c r="E54" s="1387"/>
      <c r="F54" s="258">
        <v>693.08621761745803</v>
      </c>
      <c r="G54" s="1091" t="s">
        <v>1564</v>
      </c>
      <c r="H54" s="308"/>
      <c r="I54" s="1091"/>
      <c r="J54" s="258"/>
      <c r="K54" s="1091" t="s">
        <v>1564</v>
      </c>
    </row>
    <row r="55" spans="1:11" ht="25.5">
      <c r="A55" s="345" t="s">
        <v>1921</v>
      </c>
      <c r="B55" s="1387"/>
      <c r="C55" s="1387"/>
      <c r="D55" s="1387"/>
      <c r="E55" s="1387"/>
      <c r="F55" s="258">
        <v>259.90733160654679</v>
      </c>
      <c r="G55" s="1091" t="s">
        <v>1564</v>
      </c>
      <c r="H55" s="308"/>
      <c r="I55" s="1091"/>
      <c r="J55" s="258"/>
      <c r="K55" s="1091" t="s">
        <v>1564</v>
      </c>
    </row>
    <row r="56" spans="1:11" ht="25.5">
      <c r="A56" s="345" t="s">
        <v>1731</v>
      </c>
      <c r="B56" s="1387"/>
      <c r="C56" s="1387"/>
      <c r="D56" s="1387"/>
      <c r="E56" s="1387"/>
      <c r="F56" s="258">
        <v>31934</v>
      </c>
      <c r="G56" s="1091" t="s">
        <v>1954</v>
      </c>
      <c r="H56" s="308"/>
      <c r="I56" s="1091"/>
      <c r="J56" s="258"/>
      <c r="K56" s="1091" t="s">
        <v>1564</v>
      </c>
    </row>
    <row r="57" spans="1:11" ht="25.5">
      <c r="A57" s="345" t="s">
        <v>1922</v>
      </c>
      <c r="B57" s="1387"/>
      <c r="C57" s="1387"/>
      <c r="D57" s="1387"/>
      <c r="E57" s="1387"/>
      <c r="F57" s="258">
        <v>12249.378422865464</v>
      </c>
      <c r="G57" s="1091" t="s">
        <v>1729</v>
      </c>
      <c r="H57" s="308"/>
      <c r="I57" s="1091"/>
      <c r="J57" s="258"/>
      <c r="K57" s="1091" t="s">
        <v>1564</v>
      </c>
    </row>
    <row r="58" spans="1:11" ht="25.5">
      <c r="A58" s="345" t="s">
        <v>1730</v>
      </c>
      <c r="B58" s="1387"/>
      <c r="C58" s="1387"/>
      <c r="D58" s="1387"/>
      <c r="E58" s="1387"/>
      <c r="F58" s="258">
        <v>113005.82637510567</v>
      </c>
      <c r="G58" s="1091" t="s">
        <v>1729</v>
      </c>
      <c r="H58" s="308"/>
      <c r="I58" s="1091"/>
      <c r="J58" s="308"/>
      <c r="K58" s="1091"/>
    </row>
    <row r="59" spans="1:11">
      <c r="A59" s="345" t="s">
        <v>976</v>
      </c>
      <c r="B59" s="1387"/>
      <c r="C59" s="1387"/>
      <c r="D59" s="1387"/>
      <c r="E59" s="1387"/>
      <c r="F59" s="258">
        <v>6353.5847457627115</v>
      </c>
      <c r="G59" s="1091" t="s">
        <v>1564</v>
      </c>
      <c r="H59" s="308"/>
      <c r="I59" s="1091"/>
      <c r="J59" s="308"/>
      <c r="K59" s="1091"/>
    </row>
    <row r="60" spans="1:11" ht="25.5">
      <c r="A60" s="345" t="s">
        <v>1732</v>
      </c>
      <c r="B60" s="1387"/>
      <c r="C60" s="1387"/>
      <c r="D60" s="1387"/>
      <c r="E60" s="1387"/>
      <c r="F60" s="258">
        <v>8235.7092583790763</v>
      </c>
      <c r="G60" s="1091" t="s">
        <v>1564</v>
      </c>
      <c r="H60" s="308"/>
      <c r="I60" s="1091"/>
      <c r="J60" s="308"/>
      <c r="K60" s="1091"/>
    </row>
    <row r="61" spans="1:11" ht="51">
      <c r="A61" s="345" t="s">
        <v>1923</v>
      </c>
      <c r="B61" s="1387"/>
      <c r="C61" s="1387"/>
      <c r="D61" s="1387"/>
      <c r="E61" s="1387"/>
      <c r="F61" s="258">
        <v>81.214087000154265</v>
      </c>
      <c r="G61" s="1091" t="s">
        <v>1564</v>
      </c>
      <c r="H61" s="308"/>
      <c r="I61" s="1091"/>
      <c r="J61" s="308"/>
      <c r="K61" s="1091"/>
    </row>
    <row r="62" spans="1:11" ht="51">
      <c r="A62" s="345" t="s">
        <v>1924</v>
      </c>
      <c r="B62" s="1387"/>
      <c r="C62" s="1387"/>
      <c r="D62" s="1387"/>
      <c r="E62" s="1387"/>
      <c r="F62" s="1614">
        <v>65.495231451737311</v>
      </c>
      <c r="G62" s="1091" t="s">
        <v>1564</v>
      </c>
      <c r="H62" s="308"/>
      <c r="I62" s="1091"/>
      <c r="J62" s="308"/>
      <c r="K62" s="1091"/>
    </row>
    <row r="63" spans="1:11" ht="51">
      <c r="A63" s="345" t="s">
        <v>1925</v>
      </c>
      <c r="B63" s="1387"/>
      <c r="C63" s="1387"/>
      <c r="D63" s="1387"/>
      <c r="E63" s="1387"/>
      <c r="F63" s="1614">
        <v>91.69332403243223</v>
      </c>
      <c r="G63" s="1091" t="s">
        <v>1564</v>
      </c>
      <c r="H63" s="308"/>
      <c r="I63" s="1091"/>
      <c r="J63" s="308"/>
      <c r="K63" s="1091"/>
    </row>
    <row r="64" spans="1:11" ht="38.25">
      <c r="A64" s="345" t="s">
        <v>1926</v>
      </c>
      <c r="B64" s="72"/>
      <c r="C64" s="72"/>
      <c r="D64" s="72"/>
      <c r="E64" s="72"/>
      <c r="F64" s="1614">
        <v>65.495231451737311</v>
      </c>
      <c r="G64" s="1091" t="s">
        <v>1564</v>
      </c>
      <c r="H64" s="50"/>
      <c r="I64" s="72"/>
      <c r="J64" s="50"/>
      <c r="K64" s="72"/>
    </row>
    <row r="65" spans="1:11" ht="38.25">
      <c r="A65" s="345" t="s">
        <v>1927</v>
      </c>
      <c r="B65" s="72"/>
      <c r="C65" s="72"/>
      <c r="D65" s="72"/>
      <c r="E65" s="72"/>
      <c r="F65" s="1614">
        <v>20.95847406455594</v>
      </c>
      <c r="G65" s="1091" t="s">
        <v>1564</v>
      </c>
      <c r="H65" s="50"/>
      <c r="I65" s="72"/>
      <c r="J65" s="50"/>
      <c r="K65" s="72"/>
    </row>
    <row r="66" spans="1:11" ht="38.25">
      <c r="A66" s="345" t="s">
        <v>1928</v>
      </c>
      <c r="B66" s="72"/>
      <c r="C66" s="72"/>
      <c r="D66" s="72"/>
      <c r="E66" s="72"/>
      <c r="F66" s="1614">
        <v>65.495231451737311</v>
      </c>
      <c r="G66" s="1091" t="s">
        <v>1564</v>
      </c>
      <c r="H66" s="50"/>
      <c r="I66" s="72"/>
      <c r="J66" s="50"/>
      <c r="K66" s="72"/>
    </row>
    <row r="67" spans="1:11" ht="38.25">
      <c r="A67" s="345" t="s">
        <v>1929</v>
      </c>
      <c r="B67" s="72"/>
      <c r="C67" s="72"/>
      <c r="D67" s="72"/>
      <c r="E67" s="72"/>
      <c r="F67" s="1614">
        <v>147.4952612293124</v>
      </c>
      <c r="G67" s="1091" t="s">
        <v>1564</v>
      </c>
      <c r="H67" s="50"/>
      <c r="I67" s="72"/>
      <c r="J67" s="50"/>
      <c r="K67" s="72"/>
    </row>
    <row r="68" spans="1:11">
      <c r="A68" s="345" t="s">
        <v>1930</v>
      </c>
      <c r="B68" s="72"/>
      <c r="C68" s="72"/>
      <c r="D68" s="72"/>
      <c r="E68" s="72"/>
      <c r="F68" s="1614">
        <v>0.25900000000000001</v>
      </c>
      <c r="G68" s="1091" t="s">
        <v>1564</v>
      </c>
      <c r="H68" s="50"/>
      <c r="I68" s="72"/>
      <c r="J68" s="50"/>
      <c r="K68" s="72"/>
    </row>
    <row r="69" spans="1:11">
      <c r="A69" s="345" t="s">
        <v>1931</v>
      </c>
      <c r="B69" s="72"/>
      <c r="C69" s="72"/>
      <c r="D69" s="72"/>
      <c r="E69" s="72"/>
      <c r="F69" s="1614">
        <v>410.66864406779655</v>
      </c>
      <c r="G69" s="1091" t="s">
        <v>1564</v>
      </c>
      <c r="H69" s="50"/>
      <c r="I69" s="72"/>
      <c r="J69" s="50"/>
      <c r="K69" s="72"/>
    </row>
    <row r="70" spans="1:11" ht="25.5">
      <c r="A70" s="345" t="s">
        <v>1932</v>
      </c>
      <c r="B70" s="72"/>
      <c r="C70" s="72"/>
      <c r="D70" s="72"/>
      <c r="E70" s="72"/>
      <c r="F70" s="1614">
        <v>1798.4636528368951</v>
      </c>
      <c r="G70" s="1091" t="s">
        <v>1564</v>
      </c>
      <c r="H70" s="50"/>
      <c r="I70" s="72"/>
      <c r="J70" s="50"/>
      <c r="K70" s="72"/>
    </row>
    <row r="71" spans="1:11" ht="38.25">
      <c r="A71" s="345" t="s">
        <v>1933</v>
      </c>
      <c r="B71" s="72"/>
      <c r="C71" s="72"/>
      <c r="D71" s="72"/>
      <c r="E71" s="72"/>
      <c r="F71" s="1614">
        <v>90.282875372412121</v>
      </c>
      <c r="G71" s="1091" t="s">
        <v>1564</v>
      </c>
      <c r="H71" s="50"/>
      <c r="I71" s="72"/>
      <c r="J71" s="50"/>
      <c r="K71" s="72"/>
    </row>
    <row r="72" spans="1:11">
      <c r="A72" s="345" t="s">
        <v>1567</v>
      </c>
      <c r="B72" s="72"/>
      <c r="C72" s="72"/>
      <c r="D72" s="72"/>
      <c r="E72" s="72"/>
      <c r="F72" s="1614">
        <v>649.12067796610177</v>
      </c>
      <c r="G72" s="1091" t="s">
        <v>1564</v>
      </c>
      <c r="H72" s="50"/>
      <c r="I72" s="72"/>
      <c r="J72" s="50"/>
      <c r="K72" s="72"/>
    </row>
    <row r="73" spans="1:11" ht="25.5">
      <c r="A73" s="345" t="s">
        <v>1934</v>
      </c>
      <c r="B73" s="72"/>
      <c r="C73" s="72"/>
      <c r="D73" s="72"/>
      <c r="E73" s="72"/>
      <c r="F73" s="1614">
        <v>1011.5093660499972</v>
      </c>
      <c r="G73" s="1091" t="s">
        <v>1954</v>
      </c>
      <c r="H73" s="50"/>
      <c r="I73" s="72"/>
      <c r="J73" s="50"/>
      <c r="K73" s="72"/>
    </row>
    <row r="74" spans="1:11" ht="38.25">
      <c r="A74" s="345" t="s">
        <v>1935</v>
      </c>
      <c r="B74" s="72"/>
      <c r="C74" s="72"/>
      <c r="D74" s="72"/>
      <c r="E74" s="72"/>
      <c r="F74" s="1614">
        <v>13442.95947480446</v>
      </c>
      <c r="G74" s="1091" t="s">
        <v>1956</v>
      </c>
      <c r="H74" s="50"/>
      <c r="I74" s="72"/>
      <c r="J74" s="50"/>
      <c r="K74" s="72"/>
    </row>
    <row r="75" spans="1:11" ht="63.75">
      <c r="A75" s="345" t="s">
        <v>1936</v>
      </c>
      <c r="B75" s="72"/>
      <c r="C75" s="72"/>
      <c r="D75" s="72"/>
      <c r="E75" s="72"/>
      <c r="F75" s="1614">
        <v>2917.1930116881913</v>
      </c>
      <c r="G75" s="1091" t="s">
        <v>1729</v>
      </c>
      <c r="H75" s="50"/>
      <c r="I75" s="72"/>
      <c r="J75" s="50"/>
      <c r="K75" s="72"/>
    </row>
    <row r="76" spans="1:11">
      <c r="A76" s="345" t="s">
        <v>1937</v>
      </c>
      <c r="B76" s="72"/>
      <c r="C76" s="72"/>
      <c r="D76" s="72"/>
      <c r="E76" s="72"/>
      <c r="F76" s="1614">
        <v>2807.6271186440677</v>
      </c>
      <c r="G76" s="1091" t="s">
        <v>1564</v>
      </c>
      <c r="H76" s="50"/>
      <c r="I76" s="72"/>
      <c r="J76" s="50"/>
      <c r="K76" s="72"/>
    </row>
    <row r="77" spans="1:11" ht="25.5">
      <c r="A77" s="345" t="s">
        <v>1938</v>
      </c>
      <c r="B77" s="72"/>
      <c r="C77" s="72"/>
      <c r="D77" s="72"/>
      <c r="E77" s="72"/>
      <c r="F77" s="50"/>
      <c r="G77" s="50"/>
      <c r="H77" s="50"/>
      <c r="I77" s="72"/>
      <c r="J77" s="1614">
        <v>724.49947966535024</v>
      </c>
      <c r="K77" s="1091" t="s">
        <v>1564</v>
      </c>
    </row>
    <row r="78" spans="1:11" ht="51">
      <c r="A78" s="345" t="s">
        <v>985</v>
      </c>
      <c r="B78" s="72"/>
      <c r="C78" s="72"/>
      <c r="D78" s="72"/>
      <c r="E78" s="72"/>
      <c r="F78" s="50"/>
      <c r="G78" s="50"/>
      <c r="H78" s="1614">
        <v>1600.1490702081562</v>
      </c>
      <c r="I78" s="1091" t="s">
        <v>1564</v>
      </c>
      <c r="J78" s="1614"/>
      <c r="K78" s="1091"/>
    </row>
    <row r="79" spans="1:11" ht="25.5">
      <c r="A79" s="345" t="s">
        <v>1912</v>
      </c>
      <c r="B79" s="72"/>
      <c r="C79" s="72"/>
      <c r="D79" s="72"/>
      <c r="E79" s="72"/>
      <c r="F79" s="50"/>
      <c r="G79" s="50"/>
      <c r="H79" s="1614">
        <v>4283.2453362698816</v>
      </c>
      <c r="I79" s="1091" t="s">
        <v>1564</v>
      </c>
      <c r="J79" s="1614">
        <v>4419.4468259586356</v>
      </c>
      <c r="K79" s="1091" t="s">
        <v>1564</v>
      </c>
    </row>
    <row r="80" spans="1:11" ht="38.25">
      <c r="A80" s="345" t="s">
        <v>1939</v>
      </c>
      <c r="B80" s="72"/>
      <c r="C80" s="72"/>
      <c r="D80" s="72"/>
      <c r="E80" s="72"/>
      <c r="F80" s="50"/>
      <c r="G80" s="50"/>
      <c r="H80" s="1614"/>
      <c r="I80" s="1091"/>
      <c r="J80" s="1614">
        <v>6614.110418293224</v>
      </c>
      <c r="K80" s="1091" t="s">
        <v>1564</v>
      </c>
    </row>
    <row r="81" spans="1:11" ht="25.5">
      <c r="A81" s="345" t="s">
        <v>1940</v>
      </c>
      <c r="B81" s="72"/>
      <c r="C81" s="72"/>
      <c r="D81" s="72"/>
      <c r="E81" s="72"/>
      <c r="F81" s="50"/>
      <c r="G81" s="50"/>
      <c r="H81" s="1614"/>
      <c r="I81" s="1091"/>
      <c r="J81" s="1614">
        <v>2066.2725160055784</v>
      </c>
      <c r="K81" s="1091" t="s">
        <v>1564</v>
      </c>
    </row>
    <row r="82" spans="1:11">
      <c r="A82" s="345" t="s">
        <v>1941</v>
      </c>
      <c r="B82" s="72"/>
      <c r="C82" s="72"/>
      <c r="D82" s="72"/>
      <c r="E82" s="72"/>
      <c r="F82" s="50"/>
      <c r="G82" s="50"/>
      <c r="H82" s="1614">
        <v>1427.7484454232936</v>
      </c>
      <c r="I82" s="1091" t="s">
        <v>1564</v>
      </c>
      <c r="J82" s="1614"/>
      <c r="K82" s="1091"/>
    </row>
    <row r="83" spans="1:11" ht="38.25">
      <c r="A83" s="345" t="s">
        <v>1913</v>
      </c>
      <c r="B83" s="72"/>
      <c r="C83" s="72"/>
      <c r="D83" s="72"/>
      <c r="E83" s="72"/>
      <c r="F83" s="50"/>
      <c r="G83" s="50"/>
      <c r="H83" s="1614">
        <v>10708.113340674701</v>
      </c>
      <c r="I83" s="1091" t="s">
        <v>1564</v>
      </c>
      <c r="J83" s="1614">
        <v>43469.968779921001</v>
      </c>
      <c r="K83" s="1091" t="s">
        <v>1564</v>
      </c>
    </row>
    <row r="84" spans="1:11" ht="38.25">
      <c r="A84" s="345" t="s">
        <v>1942</v>
      </c>
      <c r="B84" s="72"/>
      <c r="C84" s="72"/>
      <c r="D84" s="72"/>
      <c r="E84" s="72"/>
      <c r="F84" s="50"/>
      <c r="G84" s="50"/>
      <c r="H84" s="1614"/>
      <c r="I84" s="1091"/>
      <c r="J84" s="1614">
        <v>1159.1991674645601</v>
      </c>
      <c r="K84" s="1091" t="s">
        <v>1564</v>
      </c>
    </row>
    <row r="85" spans="1:11" ht="25.5">
      <c r="A85" s="345" t="s">
        <v>1915</v>
      </c>
      <c r="B85" s="72"/>
      <c r="C85" s="72"/>
      <c r="D85" s="72"/>
      <c r="E85" s="72"/>
      <c r="F85" s="50"/>
      <c r="G85" s="50"/>
      <c r="H85" s="1614">
        <v>2005.2646705383336</v>
      </c>
      <c r="I85" s="1091" t="s">
        <v>1564</v>
      </c>
      <c r="J85" s="1614"/>
      <c r="K85" s="1091"/>
    </row>
    <row r="86" spans="1:11" ht="25.5">
      <c r="A86" s="345" t="s">
        <v>1943</v>
      </c>
      <c r="B86" s="72"/>
      <c r="C86" s="72"/>
      <c r="D86" s="72"/>
      <c r="E86" s="72"/>
      <c r="F86" s="50"/>
      <c r="G86" s="50"/>
      <c r="H86" s="1614"/>
      <c r="I86" s="1091"/>
      <c r="J86" s="1614">
        <v>122106.65387618259</v>
      </c>
      <c r="K86" s="1091" t="s">
        <v>1564</v>
      </c>
    </row>
    <row r="87" spans="1:11">
      <c r="A87" s="345" t="s">
        <v>994</v>
      </c>
      <c r="B87" s="72"/>
      <c r="C87" s="72"/>
      <c r="D87" s="72"/>
      <c r="E87" s="72"/>
      <c r="F87" s="50"/>
      <c r="G87" s="50"/>
      <c r="H87" s="1614"/>
      <c r="I87" s="1091"/>
      <c r="J87" s="1614">
        <v>3561.4440713886593</v>
      </c>
      <c r="K87" s="1091" t="s">
        <v>1564</v>
      </c>
    </row>
    <row r="88" spans="1:11" ht="51">
      <c r="A88" s="345" t="s">
        <v>1916</v>
      </c>
      <c r="B88" s="72"/>
      <c r="C88" s="72"/>
      <c r="D88" s="72"/>
      <c r="E88" s="72"/>
      <c r="F88" s="50"/>
      <c r="G88" s="50"/>
      <c r="H88" s="1614">
        <v>5013.1616763458342</v>
      </c>
      <c r="I88" s="1091" t="s">
        <v>1564</v>
      </c>
      <c r="J88" s="1614"/>
      <c r="K88" s="1091"/>
    </row>
    <row r="89" spans="1:11">
      <c r="A89" s="345" t="s">
        <v>970</v>
      </c>
      <c r="B89" s="72"/>
      <c r="C89" s="72"/>
      <c r="D89" s="72"/>
      <c r="E89" s="72"/>
      <c r="F89" s="50"/>
      <c r="G89" s="50"/>
      <c r="H89" s="1614">
        <v>4775.8205552055879</v>
      </c>
      <c r="I89" s="1091" t="s">
        <v>1564</v>
      </c>
      <c r="J89" s="1614">
        <v>12102.733281146204</v>
      </c>
      <c r="K89" s="1091" t="s">
        <v>1564</v>
      </c>
    </row>
    <row r="90" spans="1:11" ht="25.5">
      <c r="A90" s="345" t="s">
        <v>1725</v>
      </c>
      <c r="B90" s="72"/>
      <c r="C90" s="72"/>
      <c r="D90" s="72"/>
      <c r="E90" s="72"/>
      <c r="F90" s="50"/>
      <c r="G90" s="50"/>
      <c r="H90" s="1614">
        <v>3532.9635281999394</v>
      </c>
      <c r="I90" s="1091" t="s">
        <v>1564</v>
      </c>
      <c r="J90" s="1614"/>
      <c r="K90" s="1091"/>
    </row>
    <row r="91" spans="1:11" ht="38.25">
      <c r="A91" s="345" t="s">
        <v>1918</v>
      </c>
      <c r="B91" s="72"/>
      <c r="C91" s="72"/>
      <c r="D91" s="72"/>
      <c r="E91" s="72"/>
      <c r="F91" s="50"/>
      <c r="G91" s="50"/>
      <c r="H91" s="1614">
        <v>2633.5140918179932</v>
      </c>
      <c r="I91" s="1091" t="s">
        <v>1564</v>
      </c>
      <c r="J91" s="1614">
        <v>2672.7111422598437</v>
      </c>
      <c r="K91" s="1091" t="s">
        <v>1564</v>
      </c>
    </row>
    <row r="92" spans="1:11" ht="38.25">
      <c r="A92" s="345" t="s">
        <v>1944</v>
      </c>
      <c r="B92" s="72"/>
      <c r="C92" s="72"/>
      <c r="D92" s="72"/>
      <c r="E92" s="72"/>
      <c r="F92" s="50"/>
      <c r="G92" s="50"/>
      <c r="H92" s="1614">
        <v>869.63215336337657</v>
      </c>
      <c r="I92" s="1091" t="s">
        <v>1564</v>
      </c>
      <c r="J92" s="1614"/>
      <c r="K92" s="1091"/>
    </row>
    <row r="93" spans="1:11" ht="38.25">
      <c r="A93" s="345" t="s">
        <v>1919</v>
      </c>
      <c r="B93" s="72"/>
      <c r="C93" s="72"/>
      <c r="D93" s="72"/>
      <c r="E93" s="72"/>
      <c r="F93" s="50"/>
      <c r="G93" s="50"/>
      <c r="H93" s="1614">
        <v>1459.8828117686703</v>
      </c>
      <c r="I93" s="1091" t="s">
        <v>1564</v>
      </c>
      <c r="J93" s="1614"/>
      <c r="K93" s="1091"/>
    </row>
    <row r="94" spans="1:11" ht="76.5">
      <c r="A94" s="345" t="s">
        <v>1945</v>
      </c>
      <c r="B94" s="72"/>
      <c r="C94" s="72"/>
      <c r="D94" s="72"/>
      <c r="E94" s="72"/>
      <c r="F94" s="50"/>
      <c r="G94" s="50"/>
      <c r="H94" s="1614">
        <v>8301.2944198610676</v>
      </c>
      <c r="I94" s="1091" t="s">
        <v>1564</v>
      </c>
      <c r="J94" s="1614"/>
      <c r="K94" s="1091"/>
    </row>
    <row r="95" spans="1:11">
      <c r="A95" s="345" t="s">
        <v>1946</v>
      </c>
      <c r="B95" s="72"/>
      <c r="C95" s="72"/>
      <c r="D95" s="72"/>
      <c r="E95" s="72"/>
      <c r="F95" s="50"/>
      <c r="G95" s="50"/>
      <c r="H95" s="1614">
        <v>642.48680044048217</v>
      </c>
      <c r="I95" s="1091" t="s">
        <v>1564</v>
      </c>
      <c r="J95" s="1614"/>
      <c r="K95" s="1091"/>
    </row>
    <row r="96" spans="1:11" ht="25.5">
      <c r="A96" s="345" t="s">
        <v>1731</v>
      </c>
      <c r="B96" s="72"/>
      <c r="C96" s="72"/>
      <c r="D96" s="72"/>
      <c r="E96" s="72"/>
      <c r="F96" s="50"/>
      <c r="G96" s="50"/>
      <c r="H96" s="1614">
        <v>10465.8989</v>
      </c>
      <c r="I96" s="1091" t="s">
        <v>1954</v>
      </c>
      <c r="J96" s="1614">
        <v>10733.7279461</v>
      </c>
      <c r="K96" s="1091" t="s">
        <v>1954</v>
      </c>
    </row>
    <row r="97" spans="1:11" ht="25.5">
      <c r="A97" s="345" t="s">
        <v>1730</v>
      </c>
      <c r="B97" s="72"/>
      <c r="C97" s="72"/>
      <c r="D97" s="72"/>
      <c r="E97" s="72"/>
      <c r="F97" s="50"/>
      <c r="G97" s="50"/>
      <c r="H97" s="1614">
        <v>10026.323352691668</v>
      </c>
      <c r="I97" s="1091" t="s">
        <v>1729</v>
      </c>
      <c r="J97" s="1614"/>
      <c r="K97" s="1091"/>
    </row>
    <row r="98" spans="1:11">
      <c r="A98" s="345" t="s">
        <v>976</v>
      </c>
      <c r="B98" s="72"/>
      <c r="C98" s="72"/>
      <c r="D98" s="72"/>
      <c r="E98" s="72"/>
      <c r="F98" s="50"/>
      <c r="G98" s="50"/>
      <c r="H98" s="1614">
        <v>7928.9059999999999</v>
      </c>
      <c r="I98" s="1091" t="s">
        <v>1564</v>
      </c>
      <c r="J98" s="1614">
        <v>6428.3180000000011</v>
      </c>
      <c r="K98" s="1091" t="s">
        <v>1564</v>
      </c>
    </row>
    <row r="99" spans="1:11" ht="38.25">
      <c r="A99" s="345" t="s">
        <v>1947</v>
      </c>
      <c r="B99" s="72"/>
      <c r="C99" s="72"/>
      <c r="D99" s="72"/>
      <c r="E99" s="72"/>
      <c r="F99" s="50"/>
      <c r="G99" s="50"/>
      <c r="H99" s="1614">
        <v>1163.3159228601814</v>
      </c>
      <c r="I99" s="1091" t="s">
        <v>1564</v>
      </c>
      <c r="J99" s="1614">
        <v>331.28354379622527</v>
      </c>
      <c r="K99" s="1091" t="s">
        <v>1564</v>
      </c>
    </row>
    <row r="100" spans="1:11" ht="38.25">
      <c r="A100" s="345" t="s">
        <v>1948</v>
      </c>
      <c r="B100" s="72"/>
      <c r="C100" s="72"/>
      <c r="D100" s="72"/>
      <c r="E100" s="72"/>
      <c r="F100" s="50"/>
      <c r="G100" s="50"/>
      <c r="H100" s="1614">
        <v>27.863854439764836</v>
      </c>
      <c r="I100" s="1091" t="s">
        <v>1564</v>
      </c>
      <c r="J100" s="1614"/>
      <c r="K100" s="1091"/>
    </row>
    <row r="101" spans="1:11" ht="51">
      <c r="A101" s="345" t="s">
        <v>1949</v>
      </c>
      <c r="B101" s="72"/>
      <c r="C101" s="72"/>
      <c r="D101" s="72"/>
      <c r="E101" s="72"/>
      <c r="F101" s="50"/>
      <c r="G101" s="50"/>
      <c r="H101" s="1614"/>
      <c r="I101" s="1091"/>
      <c r="J101" s="1614">
        <v>33.128354379622522</v>
      </c>
      <c r="K101" s="1091" t="s">
        <v>1564</v>
      </c>
    </row>
    <row r="102" spans="1:11" ht="51">
      <c r="A102" s="345" t="s">
        <v>1950</v>
      </c>
      <c r="B102" s="72"/>
      <c r="C102" s="72"/>
      <c r="D102" s="72"/>
      <c r="E102" s="72"/>
      <c r="F102" s="50"/>
      <c r="G102" s="50"/>
      <c r="H102" s="1614"/>
      <c r="I102" s="1091"/>
      <c r="J102" s="1614">
        <v>45.17502869948526</v>
      </c>
      <c r="K102" s="1091" t="s">
        <v>1564</v>
      </c>
    </row>
    <row r="103" spans="1:11" ht="38.25">
      <c r="A103" s="345" t="s">
        <v>1951</v>
      </c>
      <c r="B103" s="72"/>
      <c r="C103" s="72"/>
      <c r="D103" s="72"/>
      <c r="E103" s="72"/>
      <c r="F103" s="50"/>
      <c r="G103" s="50"/>
      <c r="H103" s="1614"/>
      <c r="I103" s="1091"/>
      <c r="J103" s="1614">
        <v>54.210034439382305</v>
      </c>
      <c r="K103" s="1091" t="s">
        <v>1564</v>
      </c>
    </row>
    <row r="104" spans="1:11" ht="38.25">
      <c r="A104" s="345" t="s">
        <v>1952</v>
      </c>
      <c r="B104" s="72"/>
      <c r="C104" s="72"/>
      <c r="D104" s="72"/>
      <c r="E104" s="72"/>
      <c r="F104" s="50"/>
      <c r="G104" s="50"/>
      <c r="H104" s="1614"/>
      <c r="I104" s="1091"/>
      <c r="J104" s="1614">
        <v>12.046674319862735</v>
      </c>
      <c r="K104" s="1091" t="s">
        <v>1564</v>
      </c>
    </row>
    <row r="105" spans="1:11">
      <c r="A105" s="1724" t="s">
        <v>1953</v>
      </c>
      <c r="B105" s="72"/>
      <c r="C105" s="72"/>
      <c r="D105" s="72"/>
      <c r="E105" s="72"/>
      <c r="F105" s="50"/>
      <c r="G105" s="50"/>
      <c r="H105" s="1614">
        <v>517.48199999999986</v>
      </c>
      <c r="I105" s="1724" t="s">
        <v>1564</v>
      </c>
      <c r="J105" s="1614">
        <v>191.142</v>
      </c>
      <c r="K105" s="1724" t="s">
        <v>1564</v>
      </c>
    </row>
    <row r="106" spans="1:11">
      <c r="A106" s="1724" t="s">
        <v>1567</v>
      </c>
      <c r="B106" s="72"/>
      <c r="C106" s="72"/>
      <c r="D106" s="72"/>
      <c r="E106" s="72"/>
      <c r="F106" s="50"/>
      <c r="G106" s="50"/>
      <c r="H106" s="1614">
        <v>1379.7280000000001</v>
      </c>
      <c r="I106" s="1724" t="s">
        <v>1564</v>
      </c>
      <c r="J106" s="1614">
        <v>2721.8467796610171</v>
      </c>
      <c r="K106" s="1724" t="s">
        <v>1564</v>
      </c>
    </row>
    <row r="107" spans="1:11" ht="26.25">
      <c r="A107" s="1724" t="s">
        <v>1932</v>
      </c>
      <c r="B107" s="72"/>
      <c r="C107" s="72"/>
      <c r="D107" s="72"/>
      <c r="E107" s="72"/>
      <c r="F107" s="50"/>
      <c r="G107" s="50"/>
      <c r="H107" s="1614">
        <v>3021.4648270948301</v>
      </c>
      <c r="I107" s="1724" t="s">
        <v>1564</v>
      </c>
      <c r="J107" s="1614">
        <v>3066.4361107510931</v>
      </c>
      <c r="K107" s="1724" t="s">
        <v>1564</v>
      </c>
    </row>
    <row r="108" spans="1:11" ht="25.5">
      <c r="A108" s="1724" t="s">
        <v>1934</v>
      </c>
      <c r="B108" s="72"/>
      <c r="C108" s="72"/>
      <c r="D108" s="72"/>
      <c r="E108" s="72"/>
      <c r="F108" s="50"/>
      <c r="G108" s="50"/>
      <c r="H108" s="1614">
        <v>1002.6323352691668</v>
      </c>
      <c r="I108" s="1091" t="s">
        <v>1954</v>
      </c>
      <c r="J108" s="1614">
        <v>1017.5554489681884</v>
      </c>
      <c r="K108" s="1091" t="s">
        <v>1954</v>
      </c>
    </row>
    <row r="109" spans="1:11">
      <c r="A109" s="1724" t="s">
        <v>1937</v>
      </c>
      <c r="B109" s="72"/>
      <c r="C109" s="72"/>
      <c r="D109" s="72"/>
      <c r="E109" s="72"/>
      <c r="F109" s="50"/>
      <c r="G109" s="50"/>
      <c r="H109" s="1614">
        <v>2667.320338983051</v>
      </c>
      <c r="I109" s="1730" t="s">
        <v>1564</v>
      </c>
      <c r="J109" s="1614">
        <v>2634.6000000000004</v>
      </c>
      <c r="K109" s="1730" t="s">
        <v>1564</v>
      </c>
    </row>
    <row r="110" spans="1:11" s="94" customFormat="1">
      <c r="A110" s="93" t="s">
        <v>785</v>
      </c>
      <c r="B110" s="95">
        <f t="shared" ref="B110:K110" si="1">B118+B175+B255-B8</f>
        <v>0</v>
      </c>
      <c r="C110" s="95">
        <f t="shared" si="1"/>
        <v>0</v>
      </c>
      <c r="D110" s="95">
        <f t="shared" si="1"/>
        <v>0</v>
      </c>
      <c r="E110" s="95">
        <f t="shared" si="1"/>
        <v>0</v>
      </c>
      <c r="F110" s="95">
        <f t="shared" si="1"/>
        <v>0</v>
      </c>
      <c r="G110" s="95">
        <f t="shared" si="1"/>
        <v>0</v>
      </c>
      <c r="H110" s="95">
        <f t="shared" si="1"/>
        <v>0</v>
      </c>
      <c r="I110" s="95">
        <f t="shared" si="1"/>
        <v>0</v>
      </c>
      <c r="J110" s="95">
        <f t="shared" si="1"/>
        <v>0</v>
      </c>
      <c r="K110" s="95">
        <f t="shared" si="1"/>
        <v>0</v>
      </c>
    </row>
    <row r="111" spans="1:11" s="5" customFormat="1" ht="20.25" customHeight="1">
      <c r="A111" s="74" t="s">
        <v>1860</v>
      </c>
      <c r="I111" s="6" t="s">
        <v>782</v>
      </c>
      <c r="J111" s="6"/>
      <c r="K111" s="6" t="s">
        <v>782</v>
      </c>
    </row>
    <row r="112" spans="1:11" ht="12.75" customHeight="1">
      <c r="A112" s="1644" t="str">
        <f>'4.11_КТЭЦ'!A2</f>
        <v>ПКГО - Комбинированная выработка КТЭЦ</v>
      </c>
    </row>
    <row r="113" spans="1:11" ht="18.75">
      <c r="A113" s="1877" t="s">
        <v>532</v>
      </c>
      <c r="B113" s="1877"/>
      <c r="C113" s="1877"/>
      <c r="D113" s="1877"/>
      <c r="E113" s="1877"/>
      <c r="F113" s="1877"/>
      <c r="G113" s="1877"/>
      <c r="H113" s="1877"/>
      <c r="I113" s="1877"/>
      <c r="J113" s="1643"/>
    </row>
    <row r="114" spans="1:11" ht="25.5" customHeight="1">
      <c r="A114" s="1877" t="s">
        <v>1192</v>
      </c>
      <c r="B114" s="1877"/>
      <c r="C114" s="1877"/>
      <c r="D114" s="1877"/>
      <c r="E114" s="1877"/>
      <c r="F114" s="1877"/>
      <c r="G114" s="1877"/>
      <c r="H114" s="1877"/>
      <c r="I114" s="1877"/>
      <c r="J114" s="1643"/>
    </row>
    <row r="115" spans="1:11" ht="14.25" customHeight="1">
      <c r="I115" s="23" t="s">
        <v>360</v>
      </c>
      <c r="J115" s="23"/>
      <c r="K115" s="23" t="s">
        <v>360</v>
      </c>
    </row>
    <row r="116" spans="1:11" s="3" customFormat="1" ht="81" customHeight="1">
      <c r="A116" s="12" t="s">
        <v>533</v>
      </c>
      <c r="B116" s="1586" t="s">
        <v>1735</v>
      </c>
      <c r="C116" s="1586" t="s">
        <v>1736</v>
      </c>
      <c r="D116" s="1586" t="s">
        <v>1737</v>
      </c>
      <c r="E116" s="1586" t="s">
        <v>1843</v>
      </c>
      <c r="F116" s="1586" t="s">
        <v>1844</v>
      </c>
      <c r="G116" s="1586" t="s">
        <v>1845</v>
      </c>
      <c r="H116" s="1586" t="s">
        <v>1846</v>
      </c>
      <c r="I116" s="1586" t="s">
        <v>1847</v>
      </c>
      <c r="J116" s="1641" t="s">
        <v>1878</v>
      </c>
      <c r="K116" s="1641" t="s">
        <v>1877</v>
      </c>
    </row>
    <row r="117" spans="1:11" s="21" customFormat="1">
      <c r="A117" s="40">
        <v>1</v>
      </c>
      <c r="B117" s="40">
        <v>2</v>
      </c>
      <c r="C117" s="40">
        <v>3</v>
      </c>
      <c r="D117" s="40">
        <v>4</v>
      </c>
      <c r="E117" s="40">
        <v>5</v>
      </c>
      <c r="F117" s="40">
        <v>6</v>
      </c>
      <c r="G117" s="40">
        <v>7</v>
      </c>
      <c r="H117" s="40">
        <v>8</v>
      </c>
      <c r="I117" s="40">
        <v>9</v>
      </c>
      <c r="J117" s="40">
        <v>10</v>
      </c>
      <c r="K117" s="40">
        <v>11</v>
      </c>
    </row>
    <row r="118" spans="1:11" s="88" customFormat="1" ht="14.25">
      <c r="A118" s="86" t="s">
        <v>349</v>
      </c>
      <c r="B118" s="87">
        <f t="shared" ref="B118:J118" si="2">SUM(B120:B166)</f>
        <v>0</v>
      </c>
      <c r="C118" s="87">
        <f t="shared" si="2"/>
        <v>15013.67</v>
      </c>
      <c r="D118" s="87">
        <f t="shared" si="2"/>
        <v>0</v>
      </c>
      <c r="E118" s="87">
        <f t="shared" si="2"/>
        <v>0</v>
      </c>
      <c r="F118" s="87">
        <f t="shared" si="2"/>
        <v>15442.606908639962</v>
      </c>
      <c r="G118" s="87">
        <f t="shared" si="2"/>
        <v>0</v>
      </c>
      <c r="H118" s="87">
        <f t="shared" si="2"/>
        <v>32941.428650535563</v>
      </c>
      <c r="I118" s="87">
        <f t="shared" si="2"/>
        <v>0</v>
      </c>
      <c r="J118" s="87">
        <f t="shared" si="2"/>
        <v>61323.859715951527</v>
      </c>
      <c r="K118" s="87">
        <f t="shared" ref="K118" si="3">SUM(K120:K166)</f>
        <v>0</v>
      </c>
    </row>
    <row r="119" spans="1:11" s="42" customFormat="1">
      <c r="A119" s="55" t="s">
        <v>534</v>
      </c>
      <c r="B119" s="347"/>
      <c r="C119" s="347"/>
      <c r="D119" s="347"/>
      <c r="E119" s="347"/>
      <c r="F119" s="347"/>
      <c r="G119" s="347"/>
      <c r="H119" s="347"/>
      <c r="I119" s="347"/>
      <c r="J119" s="347"/>
      <c r="K119" s="347"/>
    </row>
    <row r="120" spans="1:11" s="42" customFormat="1">
      <c r="A120" s="345" t="s">
        <v>1724</v>
      </c>
      <c r="B120" s="1387"/>
      <c r="C120" s="1733">
        <v>1048.4199999999998</v>
      </c>
      <c r="D120" s="1091" t="s">
        <v>1564</v>
      </c>
      <c r="E120" s="1731"/>
      <c r="F120" s="750"/>
      <c r="G120" s="1731"/>
      <c r="H120" s="1731"/>
      <c r="I120" s="1731"/>
      <c r="J120" s="1731"/>
      <c r="K120" s="1731"/>
    </row>
    <row r="121" spans="1:11" s="42" customFormat="1">
      <c r="A121" s="345" t="s">
        <v>970</v>
      </c>
      <c r="B121" s="1387"/>
      <c r="C121" s="1733">
        <v>4583.8</v>
      </c>
      <c r="D121" s="1091" t="s">
        <v>1564</v>
      </c>
      <c r="E121" s="1731"/>
      <c r="F121" s="750"/>
      <c r="G121" s="1731"/>
      <c r="H121" s="1731"/>
      <c r="I121" s="1731"/>
      <c r="J121" s="1731"/>
      <c r="K121" s="1731"/>
    </row>
    <row r="122" spans="1:11" ht="25.5">
      <c r="A122" s="345" t="s">
        <v>978</v>
      </c>
      <c r="B122" s="1387"/>
      <c r="C122" s="1733">
        <v>7692.0919999999996</v>
      </c>
      <c r="D122" s="1091" t="s">
        <v>1564</v>
      </c>
      <c r="E122" s="1731"/>
      <c r="F122" s="750"/>
      <c r="G122" s="1731"/>
      <c r="H122" s="1731"/>
      <c r="I122" s="1731"/>
      <c r="J122" s="1731"/>
      <c r="K122" s="1731"/>
    </row>
    <row r="123" spans="1:11" ht="38.25">
      <c r="A123" s="345" t="s">
        <v>1904</v>
      </c>
      <c r="B123" s="1387"/>
      <c r="C123" s="1733">
        <v>0</v>
      </c>
      <c r="D123" s="1091" t="s">
        <v>1564</v>
      </c>
      <c r="E123" s="1731"/>
      <c r="F123" s="750"/>
      <c r="G123" s="1731"/>
      <c r="H123" s="1731"/>
      <c r="I123" s="1731"/>
      <c r="J123" s="1731"/>
      <c r="K123" s="1731"/>
    </row>
    <row r="124" spans="1:11" ht="38.25">
      <c r="A124" s="345" t="s">
        <v>1905</v>
      </c>
      <c r="B124" s="1387"/>
      <c r="C124" s="1733">
        <v>301.88799999999998</v>
      </c>
      <c r="D124" s="1091" t="s">
        <v>1564</v>
      </c>
      <c r="E124" s="1731"/>
      <c r="F124" s="750"/>
      <c r="G124" s="1731"/>
      <c r="H124" s="1731"/>
      <c r="I124" s="1731"/>
      <c r="J124" s="1731"/>
      <c r="K124" s="1731"/>
    </row>
    <row r="125" spans="1:11" ht="25.5">
      <c r="A125" s="345" t="s">
        <v>1723</v>
      </c>
      <c r="B125" s="1387"/>
      <c r="C125" s="1733">
        <v>17.364999999999998</v>
      </c>
      <c r="D125" s="1091" t="s">
        <v>1564</v>
      </c>
      <c r="E125" s="1731"/>
      <c r="F125" s="750"/>
      <c r="G125" s="1731"/>
      <c r="H125" s="1731"/>
      <c r="I125" s="1731"/>
      <c r="J125" s="1731"/>
      <c r="K125" s="1731"/>
    </row>
    <row r="126" spans="1:11">
      <c r="A126" s="345" t="s">
        <v>976</v>
      </c>
      <c r="B126" s="1387"/>
      <c r="C126" s="1733">
        <v>993.01999999999987</v>
      </c>
      <c r="D126" s="1091" t="s">
        <v>1564</v>
      </c>
      <c r="E126" s="1731"/>
      <c r="F126" s="750"/>
      <c r="G126" s="1731"/>
      <c r="H126" s="1731"/>
      <c r="I126" s="1731"/>
      <c r="J126" s="1731"/>
      <c r="K126" s="1731"/>
    </row>
    <row r="127" spans="1:11">
      <c r="A127" s="345" t="s">
        <v>977</v>
      </c>
      <c r="B127" s="1387"/>
      <c r="C127" s="1733">
        <v>322.34499999999997</v>
      </c>
      <c r="D127" s="1091" t="s">
        <v>1564</v>
      </c>
      <c r="E127" s="1731"/>
      <c r="F127" s="750"/>
      <c r="G127" s="1731"/>
      <c r="H127" s="1731"/>
      <c r="I127" s="1731"/>
      <c r="J127" s="1731"/>
      <c r="K127" s="1731"/>
    </row>
    <row r="128" spans="1:11">
      <c r="A128" s="345" t="s">
        <v>1567</v>
      </c>
      <c r="B128" s="1387"/>
      <c r="C128" s="1733">
        <v>54.74</v>
      </c>
      <c r="D128" s="1091" t="s">
        <v>1564</v>
      </c>
      <c r="E128" s="1731"/>
      <c r="F128" s="750"/>
      <c r="G128" s="1731"/>
      <c r="H128" s="1731"/>
      <c r="I128" s="1731"/>
      <c r="J128" s="1731"/>
      <c r="K128" s="1731"/>
    </row>
    <row r="129" spans="1:11" ht="25.5">
      <c r="A129" s="345" t="s">
        <v>1912</v>
      </c>
      <c r="B129" s="1387"/>
      <c r="C129" s="1731"/>
      <c r="D129" s="1091"/>
      <c r="E129" s="1731"/>
      <c r="F129" s="1734">
        <v>905.64479579920442</v>
      </c>
      <c r="G129" s="1731" t="s">
        <v>1564</v>
      </c>
      <c r="H129" s="1731"/>
      <c r="I129" s="1731"/>
      <c r="J129" s="1731"/>
      <c r="K129" s="1731"/>
    </row>
    <row r="130" spans="1:11" ht="38.25">
      <c r="A130" s="345" t="s">
        <v>1913</v>
      </c>
      <c r="B130" s="1387"/>
      <c r="C130" s="1731"/>
      <c r="D130" s="1091"/>
      <c r="E130" s="1731"/>
      <c r="F130" s="1733">
        <v>1800.4866715689948</v>
      </c>
      <c r="G130" s="1731" t="s">
        <v>1564</v>
      </c>
      <c r="H130" s="750"/>
      <c r="I130" s="1091"/>
      <c r="J130" s="750"/>
      <c r="K130" s="1091"/>
    </row>
    <row r="131" spans="1:11" ht="25.5">
      <c r="A131" s="345" t="s">
        <v>978</v>
      </c>
      <c r="B131" s="1387"/>
      <c r="C131" s="1731"/>
      <c r="D131" s="1731"/>
      <c r="E131" s="1731"/>
      <c r="F131" s="1733">
        <v>0</v>
      </c>
      <c r="G131" s="1091" t="s">
        <v>1564</v>
      </c>
      <c r="H131" s="750"/>
      <c r="I131" s="1091"/>
      <c r="J131" s="750"/>
      <c r="K131" s="1091"/>
    </row>
    <row r="132" spans="1:11">
      <c r="A132" s="345" t="s">
        <v>970</v>
      </c>
      <c r="B132" s="1387"/>
      <c r="C132" s="1731"/>
      <c r="D132" s="1731"/>
      <c r="E132" s="1731"/>
      <c r="F132" s="1733">
        <v>2614.8022867075451</v>
      </c>
      <c r="G132" s="1091" t="s">
        <v>1564</v>
      </c>
      <c r="H132" s="750"/>
      <c r="I132" s="1091"/>
      <c r="J132" s="750"/>
      <c r="K132" s="1091"/>
    </row>
    <row r="133" spans="1:11" ht="25.5">
      <c r="A133" s="345" t="s">
        <v>1725</v>
      </c>
      <c r="B133" s="1387"/>
      <c r="C133" s="1731"/>
      <c r="D133" s="1731"/>
      <c r="E133" s="1731"/>
      <c r="F133" s="1733">
        <v>4141.1193446086882</v>
      </c>
      <c r="G133" s="1091" t="s">
        <v>1564</v>
      </c>
      <c r="H133" s="750"/>
      <c r="I133" s="1091"/>
      <c r="J133" s="750"/>
      <c r="K133" s="1091"/>
    </row>
    <row r="134" spans="1:11" ht="38.25">
      <c r="A134" s="345" t="s">
        <v>1917</v>
      </c>
      <c r="B134" s="1387"/>
      <c r="C134" s="1731"/>
      <c r="D134" s="1731"/>
      <c r="E134" s="1731"/>
      <c r="F134" s="1733">
        <v>1800.4866715689948</v>
      </c>
      <c r="G134" s="1091" t="s">
        <v>1564</v>
      </c>
      <c r="H134" s="750"/>
      <c r="I134" s="1091"/>
      <c r="J134" s="750"/>
      <c r="K134" s="1091"/>
    </row>
    <row r="135" spans="1:11" ht="38.25">
      <c r="A135" s="345" t="s">
        <v>1918</v>
      </c>
      <c r="B135" s="1387"/>
      <c r="C135" s="1731"/>
      <c r="D135" s="1731"/>
      <c r="E135" s="1731"/>
      <c r="F135" s="1733">
        <v>207.35942004024943</v>
      </c>
      <c r="G135" s="1091" t="s">
        <v>1564</v>
      </c>
      <c r="H135" s="750"/>
      <c r="I135" s="1091"/>
      <c r="J135" s="750"/>
      <c r="K135" s="1091"/>
    </row>
    <row r="136" spans="1:11" ht="38.25">
      <c r="A136" s="345" t="s">
        <v>1919</v>
      </c>
      <c r="B136" s="1387"/>
      <c r="C136" s="1731"/>
      <c r="D136" s="1731"/>
      <c r="E136" s="1731"/>
      <c r="F136" s="1733">
        <v>528.76652110263592</v>
      </c>
      <c r="G136" s="1091" t="s">
        <v>1564</v>
      </c>
      <c r="H136" s="750"/>
      <c r="I136" s="1091"/>
      <c r="J136" s="750"/>
      <c r="K136" s="1091"/>
    </row>
    <row r="137" spans="1:11" ht="89.25">
      <c r="A137" s="345" t="s">
        <v>1920</v>
      </c>
      <c r="B137" s="1387"/>
      <c r="C137" s="1731"/>
      <c r="D137" s="1731"/>
      <c r="E137" s="1731"/>
      <c r="F137" s="1733">
        <v>248.83130404829927</v>
      </c>
      <c r="G137" s="1091" t="s">
        <v>1564</v>
      </c>
      <c r="H137" s="750"/>
      <c r="I137" s="1091"/>
      <c r="J137" s="750"/>
      <c r="K137" s="1091"/>
    </row>
    <row r="138" spans="1:11" ht="25.5">
      <c r="A138" s="345" t="s">
        <v>1921</v>
      </c>
      <c r="B138" s="1387"/>
      <c r="C138" s="1731"/>
      <c r="D138" s="1731"/>
      <c r="E138" s="1731"/>
      <c r="F138" s="1733">
        <v>93.311739018112235</v>
      </c>
      <c r="G138" s="1091" t="s">
        <v>1564</v>
      </c>
      <c r="H138" s="750"/>
      <c r="I138" s="1091"/>
      <c r="J138" s="750"/>
      <c r="K138" s="1091"/>
    </row>
    <row r="139" spans="1:11">
      <c r="A139" s="345" t="s">
        <v>976</v>
      </c>
      <c r="B139" s="1387"/>
      <c r="C139" s="1731"/>
      <c r="D139" s="1731"/>
      <c r="E139" s="1731"/>
      <c r="F139" s="1733">
        <v>2281.0593220338983</v>
      </c>
      <c r="G139" s="1091" t="s">
        <v>1564</v>
      </c>
      <c r="H139" s="750"/>
      <c r="I139" s="1091"/>
      <c r="J139" s="750"/>
      <c r="K139" s="1091"/>
    </row>
    <row r="140" spans="1:11" ht="25.5">
      <c r="A140" s="345" t="s">
        <v>1932</v>
      </c>
      <c r="B140" s="1387"/>
      <c r="C140" s="1731"/>
      <c r="D140" s="1731"/>
      <c r="E140" s="1731"/>
      <c r="F140" s="1733">
        <v>581.61788547874835</v>
      </c>
      <c r="G140" s="1091" t="s">
        <v>1564</v>
      </c>
      <c r="H140" s="750"/>
      <c r="I140" s="1091"/>
      <c r="J140" s="750"/>
      <c r="K140" s="1091"/>
    </row>
    <row r="141" spans="1:11" ht="38.25">
      <c r="A141" s="345" t="s">
        <v>1933</v>
      </c>
      <c r="B141" s="1387"/>
      <c r="C141" s="1731"/>
      <c r="D141" s="1731"/>
      <c r="E141" s="1731"/>
      <c r="F141" s="1733">
        <v>29.197217851033166</v>
      </c>
      <c r="G141" s="1091" t="s">
        <v>1564</v>
      </c>
      <c r="H141" s="750"/>
      <c r="I141" s="1091"/>
      <c r="J141" s="750"/>
      <c r="K141" s="1091"/>
    </row>
    <row r="142" spans="1:11">
      <c r="A142" s="345" t="s">
        <v>1567</v>
      </c>
      <c r="B142" s="1387"/>
      <c r="C142" s="1731"/>
      <c r="D142" s="1731"/>
      <c r="E142" s="1731"/>
      <c r="F142" s="1733">
        <v>209.92372881355934</v>
      </c>
      <c r="G142" s="1091" t="s">
        <v>1564</v>
      </c>
      <c r="H142" s="750"/>
      <c r="I142" s="1091"/>
      <c r="J142" s="750"/>
      <c r="K142" s="1091"/>
    </row>
    <row r="143" spans="1:11" ht="51">
      <c r="A143" s="345" t="s">
        <v>985</v>
      </c>
      <c r="B143" s="1387"/>
      <c r="C143" s="1731"/>
      <c r="D143" s="1731"/>
      <c r="E143" s="1731"/>
      <c r="F143" s="1731"/>
      <c r="G143" s="1091"/>
      <c r="H143" s="1734">
        <v>1600.1490702081562</v>
      </c>
      <c r="I143" s="1091" t="s">
        <v>1564</v>
      </c>
      <c r="J143" s="750"/>
      <c r="K143" s="1091"/>
    </row>
    <row r="144" spans="1:11" ht="25.5">
      <c r="A144" s="345" t="s">
        <v>1912</v>
      </c>
      <c r="B144" s="1387"/>
      <c r="C144" s="1731"/>
      <c r="D144" s="1731"/>
      <c r="E144" s="1731"/>
      <c r="F144" s="1731"/>
      <c r="G144" s="1091"/>
      <c r="H144" s="1734">
        <v>4283.2453362698816</v>
      </c>
      <c r="I144" s="1091" t="s">
        <v>1564</v>
      </c>
      <c r="J144" s="750"/>
      <c r="K144" s="1091"/>
    </row>
    <row r="145" spans="1:11">
      <c r="A145" s="345" t="s">
        <v>1941</v>
      </c>
      <c r="B145" s="1387"/>
      <c r="C145" s="1731"/>
      <c r="D145" s="1731"/>
      <c r="E145" s="1731"/>
      <c r="F145" s="1731"/>
      <c r="G145" s="1091"/>
      <c r="H145" s="1734">
        <v>1427.7484454232936</v>
      </c>
      <c r="I145" s="1091" t="s">
        <v>1564</v>
      </c>
      <c r="J145" s="750"/>
      <c r="K145" s="1091"/>
    </row>
    <row r="146" spans="1:11" ht="38.25">
      <c r="A146" s="345" t="s">
        <v>1913</v>
      </c>
      <c r="B146" s="1387"/>
      <c r="C146" s="1731"/>
      <c r="D146" s="1731"/>
      <c r="E146" s="1731"/>
      <c r="F146" s="1731"/>
      <c r="G146" s="1091"/>
      <c r="H146" s="1734">
        <v>10708.113340674701</v>
      </c>
      <c r="I146" s="1091" t="s">
        <v>1564</v>
      </c>
      <c r="J146" s="750"/>
      <c r="K146" s="1091"/>
    </row>
    <row r="147" spans="1:11">
      <c r="A147" s="345" t="s">
        <v>970</v>
      </c>
      <c r="B147" s="1387"/>
      <c r="C147" s="1731"/>
      <c r="D147" s="1731"/>
      <c r="E147" s="1731"/>
      <c r="F147" s="1731"/>
      <c r="G147" s="1091"/>
      <c r="H147" s="1734">
        <v>1714.6115828671548</v>
      </c>
      <c r="I147" s="1091" t="s">
        <v>1564</v>
      </c>
      <c r="J147" s="750"/>
      <c r="K147" s="1091"/>
    </row>
    <row r="148" spans="1:11" ht="25.5">
      <c r="A148" s="345" t="s">
        <v>1725</v>
      </c>
      <c r="B148" s="1387"/>
      <c r="C148" s="1731"/>
      <c r="D148" s="1731"/>
      <c r="E148" s="1731"/>
      <c r="F148" s="1731"/>
      <c r="G148" s="1091"/>
      <c r="H148" s="1734">
        <v>3532.9635281999394</v>
      </c>
      <c r="I148" s="1091" t="s">
        <v>1564</v>
      </c>
      <c r="J148" s="750"/>
      <c r="K148" s="1091"/>
    </row>
    <row r="149" spans="1:11" ht="38.25">
      <c r="A149" s="345" t="s">
        <v>1918</v>
      </c>
      <c r="B149" s="1387"/>
      <c r="C149" s="1731"/>
      <c r="D149" s="1731"/>
      <c r="E149" s="1731"/>
      <c r="F149" s="1731"/>
      <c r="G149" s="1091"/>
      <c r="H149" s="1734">
        <v>945.48229215882429</v>
      </c>
      <c r="I149" s="1091" t="s">
        <v>1564</v>
      </c>
      <c r="J149" s="750"/>
      <c r="K149" s="1091"/>
    </row>
    <row r="150" spans="1:11" ht="38.25">
      <c r="A150" s="345" t="s">
        <v>1944</v>
      </c>
      <c r="B150" s="1387"/>
      <c r="C150" s="1731"/>
      <c r="D150" s="1731"/>
      <c r="E150" s="1731"/>
      <c r="F150" s="1731"/>
      <c r="G150" s="1091"/>
      <c r="H150" s="1734">
        <v>312.21469604114219</v>
      </c>
      <c r="I150" s="1091" t="s">
        <v>1564</v>
      </c>
      <c r="J150" s="750"/>
      <c r="K150" s="1091"/>
    </row>
    <row r="151" spans="1:11" ht="38.25">
      <c r="A151" s="345" t="s">
        <v>1919</v>
      </c>
      <c r="B151" s="1387"/>
      <c r="C151" s="1731"/>
      <c r="D151" s="1731"/>
      <c r="E151" s="1731"/>
      <c r="F151" s="1731"/>
      <c r="G151" s="1091"/>
      <c r="H151" s="1734">
        <v>524.12605326195694</v>
      </c>
      <c r="I151" s="1091" t="s">
        <v>1564</v>
      </c>
      <c r="J151" s="750"/>
      <c r="K151" s="1091"/>
    </row>
    <row r="152" spans="1:11" ht="77.25">
      <c r="A152" s="346" t="s">
        <v>1945</v>
      </c>
      <c r="B152" s="1387"/>
      <c r="C152" s="1731"/>
      <c r="D152" s="1731"/>
      <c r="E152" s="1731"/>
      <c r="F152" s="1731"/>
      <c r="G152" s="1091"/>
      <c r="H152" s="1734">
        <v>2980.3246165875989</v>
      </c>
      <c r="I152" s="1091" t="s">
        <v>1564</v>
      </c>
      <c r="J152" s="750"/>
      <c r="K152" s="1091"/>
    </row>
    <row r="153" spans="1:11">
      <c r="A153" s="346" t="s">
        <v>1946</v>
      </c>
      <c r="B153" s="1387"/>
      <c r="C153" s="1731"/>
      <c r="D153" s="1731"/>
      <c r="E153" s="1731"/>
      <c r="F153" s="1731"/>
      <c r="G153" s="1091"/>
      <c r="H153" s="1734">
        <v>642.48680044048217</v>
      </c>
      <c r="I153" s="1091" t="s">
        <v>1564</v>
      </c>
      <c r="J153" s="750"/>
      <c r="K153" s="1091"/>
    </row>
    <row r="154" spans="1:11">
      <c r="A154" s="346" t="s">
        <v>976</v>
      </c>
      <c r="B154" s="1387"/>
      <c r="C154" s="1731"/>
      <c r="D154" s="1731"/>
      <c r="E154" s="1731"/>
      <c r="F154" s="1731"/>
      <c r="G154" s="1091"/>
      <c r="H154" s="1734">
        <v>2846.63</v>
      </c>
      <c r="I154" s="1091" t="s">
        <v>1564</v>
      </c>
      <c r="J154" s="750"/>
      <c r="K154" s="1091"/>
    </row>
    <row r="155" spans="1:11">
      <c r="A155" s="346" t="s">
        <v>1567</v>
      </c>
      <c r="B155" s="1387"/>
      <c r="C155" s="1731"/>
      <c r="D155" s="1731"/>
      <c r="E155" s="1731"/>
      <c r="F155" s="1731"/>
      <c r="G155" s="1091"/>
      <c r="H155" s="1734">
        <v>446.2</v>
      </c>
      <c r="I155" s="1091" t="s">
        <v>1564</v>
      </c>
      <c r="J155" s="750"/>
      <c r="K155" s="1091"/>
    </row>
    <row r="156" spans="1:11" ht="26.25">
      <c r="A156" s="346" t="s">
        <v>1932</v>
      </c>
      <c r="B156" s="1387"/>
      <c r="C156" s="1731"/>
      <c r="D156" s="1731"/>
      <c r="E156" s="1731"/>
      <c r="F156" s="1731"/>
      <c r="G156" s="1091"/>
      <c r="H156" s="1734">
        <v>977.13288840243365</v>
      </c>
      <c r="I156" s="1091" t="s">
        <v>1564</v>
      </c>
      <c r="J156" s="750"/>
      <c r="K156" s="1091"/>
    </row>
    <row r="157" spans="1:11" ht="26.25">
      <c r="A157" s="346" t="s">
        <v>1938</v>
      </c>
      <c r="B157" s="1387"/>
      <c r="C157" s="1731"/>
      <c r="D157" s="1731"/>
      <c r="E157" s="1731"/>
      <c r="F157" s="1731"/>
      <c r="G157" s="1091"/>
      <c r="H157" s="750"/>
      <c r="I157" s="1091"/>
      <c r="J157" s="1735">
        <v>724.49947966535024</v>
      </c>
      <c r="K157" s="1732" t="s">
        <v>1564</v>
      </c>
    </row>
    <row r="158" spans="1:11" ht="26.25">
      <c r="A158" s="346" t="s">
        <v>1912</v>
      </c>
      <c r="B158" s="1387"/>
      <c r="C158" s="1731"/>
      <c r="D158" s="1731"/>
      <c r="E158" s="1731"/>
      <c r="F158" s="1731"/>
      <c r="G158" s="1091"/>
      <c r="H158" s="750"/>
      <c r="I158" s="1091"/>
      <c r="J158" s="1735">
        <v>4419.4468259586356</v>
      </c>
      <c r="K158" s="1732" t="s">
        <v>1564</v>
      </c>
    </row>
    <row r="159" spans="1:11" ht="26.25">
      <c r="A159" s="346" t="s">
        <v>1940</v>
      </c>
      <c r="B159" s="1387"/>
      <c r="C159" s="1731"/>
      <c r="D159" s="1731"/>
      <c r="E159" s="1731"/>
      <c r="F159" s="1731"/>
      <c r="G159" s="1091"/>
      <c r="H159" s="750"/>
      <c r="I159" s="1091"/>
      <c r="J159" s="1735">
        <v>2066.2725160055784</v>
      </c>
      <c r="K159" s="1732" t="s">
        <v>1564</v>
      </c>
    </row>
    <row r="160" spans="1:11" ht="39">
      <c r="A160" s="346" t="s">
        <v>1913</v>
      </c>
      <c r="B160" s="1387"/>
      <c r="C160" s="1731"/>
      <c r="D160" s="1731"/>
      <c r="E160" s="1731"/>
      <c r="F160" s="1731"/>
      <c r="G160" s="1091"/>
      <c r="H160" s="750"/>
      <c r="I160" s="1091"/>
      <c r="J160" s="1735">
        <v>43469.968779921001</v>
      </c>
      <c r="K160" s="1732" t="s">
        <v>1564</v>
      </c>
    </row>
    <row r="161" spans="1:11" ht="39">
      <c r="A161" s="346" t="s">
        <v>1942</v>
      </c>
      <c r="B161" s="1387"/>
      <c r="C161" s="1731"/>
      <c r="D161" s="1731"/>
      <c r="E161" s="1731"/>
      <c r="F161" s="1731"/>
      <c r="G161" s="1091"/>
      <c r="H161" s="750"/>
      <c r="I161" s="1091"/>
      <c r="J161" s="1735">
        <v>1159.1991674645601</v>
      </c>
      <c r="K161" s="1732" t="s">
        <v>1564</v>
      </c>
    </row>
    <row r="162" spans="1:11">
      <c r="A162" s="346" t="s">
        <v>970</v>
      </c>
      <c r="B162" s="1387"/>
      <c r="C162" s="1731"/>
      <c r="D162" s="1731"/>
      <c r="E162" s="1731"/>
      <c r="F162" s="1731"/>
      <c r="G162" s="1091"/>
      <c r="H162" s="750"/>
      <c r="I162" s="1091"/>
      <c r="J162" s="1735">
        <v>4345.1144004115085</v>
      </c>
      <c r="K162" s="1732" t="s">
        <v>1564</v>
      </c>
    </row>
    <row r="163" spans="1:11" ht="39">
      <c r="A163" s="346" t="s">
        <v>1918</v>
      </c>
      <c r="B163" s="1387"/>
      <c r="C163" s="1731"/>
      <c r="D163" s="1731"/>
      <c r="E163" s="1731"/>
      <c r="F163" s="1731"/>
      <c r="G163" s="1091"/>
      <c r="H163" s="750"/>
      <c r="I163" s="1091"/>
      <c r="J163" s="1735">
        <v>959.55478837700161</v>
      </c>
      <c r="K163" s="1732" t="s">
        <v>1564</v>
      </c>
    </row>
    <row r="164" spans="1:11">
      <c r="A164" s="346" t="s">
        <v>976</v>
      </c>
      <c r="B164" s="347"/>
      <c r="C164" s="1731"/>
      <c r="D164" s="1731"/>
      <c r="E164" s="1731"/>
      <c r="F164" s="1731"/>
      <c r="G164" s="1091"/>
      <c r="H164" s="750"/>
      <c r="I164" s="1091"/>
      <c r="J164" s="1735">
        <v>2307.89</v>
      </c>
      <c r="K164" s="1732" t="s">
        <v>1564</v>
      </c>
    </row>
    <row r="165" spans="1:11">
      <c r="A165" s="346" t="s">
        <v>1567</v>
      </c>
      <c r="B165" s="347"/>
      <c r="C165" s="1731"/>
      <c r="D165" s="1731"/>
      <c r="E165" s="1731"/>
      <c r="F165" s="1731"/>
      <c r="G165" s="1091"/>
      <c r="H165" s="750"/>
      <c r="I165" s="1091"/>
      <c r="J165" s="1735">
        <v>880.2372881355933</v>
      </c>
      <c r="K165" s="1732" t="s">
        <v>1564</v>
      </c>
    </row>
    <row r="166" spans="1:11" ht="25.5">
      <c r="A166" s="345" t="s">
        <v>1932</v>
      </c>
      <c r="B166" s="347"/>
      <c r="C166" s="1731"/>
      <c r="D166" s="1731"/>
      <c r="E166" s="1731"/>
      <c r="F166" s="750"/>
      <c r="G166" s="1091"/>
      <c r="H166" s="750"/>
      <c r="I166" s="1091"/>
      <c r="J166" s="1735">
        <v>991.67647001230512</v>
      </c>
      <c r="K166" s="1732" t="s">
        <v>1564</v>
      </c>
    </row>
    <row r="167" spans="1:11" s="94" customFormat="1">
      <c r="A167" s="93"/>
      <c r="B167" s="95"/>
      <c r="C167" s="95"/>
      <c r="D167" s="95"/>
      <c r="E167" s="95"/>
      <c r="F167" s="95"/>
      <c r="G167" s="95"/>
      <c r="H167" s="95"/>
      <c r="I167" s="95"/>
      <c r="J167" s="95"/>
      <c r="K167" s="95"/>
    </row>
    <row r="168" spans="1:11" s="5" customFormat="1" ht="20.25" customHeight="1">
      <c r="A168" s="74" t="s">
        <v>1860</v>
      </c>
      <c r="I168" s="6" t="s">
        <v>784</v>
      </c>
      <c r="J168" s="6"/>
      <c r="K168" s="6" t="s">
        <v>784</v>
      </c>
    </row>
    <row r="169" spans="1:11" ht="12.75" customHeight="1">
      <c r="A169" s="1644" t="str">
        <f>'4.11_КТЭЦ'!A2</f>
        <v>ПКГО - Комбинированная выработка КТЭЦ</v>
      </c>
    </row>
    <row r="170" spans="1:11" ht="18.75">
      <c r="A170" s="1877" t="s">
        <v>532</v>
      </c>
      <c r="B170" s="1877"/>
      <c r="C170" s="1877"/>
      <c r="D170" s="1877"/>
      <c r="E170" s="1877"/>
      <c r="F170" s="1877"/>
      <c r="G170" s="1877"/>
      <c r="H170" s="1877"/>
      <c r="I170" s="1877"/>
      <c r="J170" s="1643"/>
    </row>
    <row r="171" spans="1:11" ht="25.5" customHeight="1">
      <c r="A171" s="1877" t="s">
        <v>1193</v>
      </c>
      <c r="B171" s="1877"/>
      <c r="C171" s="1877"/>
      <c r="D171" s="1877"/>
      <c r="E171" s="1877"/>
      <c r="F171" s="1877"/>
      <c r="G171" s="1877"/>
      <c r="H171" s="1877"/>
      <c r="I171" s="1877"/>
      <c r="J171" s="1643"/>
    </row>
    <row r="172" spans="1:11" ht="14.25" customHeight="1">
      <c r="I172" s="23" t="s">
        <v>360</v>
      </c>
      <c r="J172" s="23"/>
      <c r="K172" s="23" t="s">
        <v>360</v>
      </c>
    </row>
    <row r="173" spans="1:11" s="3" customFormat="1" ht="81" customHeight="1">
      <c r="A173" s="12" t="s">
        <v>533</v>
      </c>
      <c r="B173" s="1586" t="s">
        <v>1735</v>
      </c>
      <c r="C173" s="1586" t="s">
        <v>1736</v>
      </c>
      <c r="D173" s="1586" t="s">
        <v>1737</v>
      </c>
      <c r="E173" s="1586" t="s">
        <v>1843</v>
      </c>
      <c r="F173" s="1586" t="s">
        <v>1844</v>
      </c>
      <c r="G173" s="1586" t="s">
        <v>1845</v>
      </c>
      <c r="H173" s="1586" t="s">
        <v>1846</v>
      </c>
      <c r="I173" s="1586" t="s">
        <v>1847</v>
      </c>
      <c r="J173" s="1641" t="s">
        <v>1878</v>
      </c>
      <c r="K173" s="1641" t="s">
        <v>1877</v>
      </c>
    </row>
    <row r="174" spans="1:11" s="21" customFormat="1">
      <c r="A174" s="40">
        <v>1</v>
      </c>
      <c r="B174" s="40">
        <v>2</v>
      </c>
      <c r="C174" s="40">
        <v>3</v>
      </c>
      <c r="D174" s="40">
        <v>4</v>
      </c>
      <c r="E174" s="40">
        <v>5</v>
      </c>
      <c r="F174" s="40">
        <v>6</v>
      </c>
      <c r="G174" s="40">
        <v>7</v>
      </c>
      <c r="H174" s="40">
        <v>8</v>
      </c>
      <c r="I174" s="40">
        <v>9</v>
      </c>
      <c r="J174" s="40">
        <v>10</v>
      </c>
      <c r="K174" s="40">
        <v>11</v>
      </c>
    </row>
    <row r="175" spans="1:11" s="88" customFormat="1" ht="14.25">
      <c r="A175" s="86" t="s">
        <v>349</v>
      </c>
      <c r="B175" s="87">
        <f t="shared" ref="B175:J175" si="4">SUM(B177:B246)</f>
        <v>0</v>
      </c>
      <c r="C175" s="87">
        <f t="shared" si="4"/>
        <v>215123.44200000001</v>
      </c>
      <c r="D175" s="87">
        <f t="shared" si="4"/>
        <v>0</v>
      </c>
      <c r="E175" s="87">
        <f t="shared" si="4"/>
        <v>0</v>
      </c>
      <c r="F175" s="87">
        <f t="shared" si="4"/>
        <v>245570.76020546275</v>
      </c>
      <c r="G175" s="87">
        <f t="shared" si="4"/>
        <v>0</v>
      </c>
      <c r="H175" s="87">
        <f t="shared" si="4"/>
        <v>50358.556925511883</v>
      </c>
      <c r="I175" s="87">
        <f t="shared" si="4"/>
        <v>0</v>
      </c>
      <c r="J175" s="87">
        <f t="shared" si="4"/>
        <v>163589.67373395944</v>
      </c>
      <c r="K175" s="87">
        <f t="shared" ref="K175" si="5">SUM(K177:K246)</f>
        <v>0</v>
      </c>
    </row>
    <row r="176" spans="1:11" s="42" customFormat="1">
      <c r="A176" s="55" t="s">
        <v>534</v>
      </c>
      <c r="B176" s="55"/>
      <c r="C176" s="55"/>
      <c r="D176" s="55"/>
      <c r="E176" s="55"/>
      <c r="F176" s="50"/>
      <c r="G176" s="50"/>
      <c r="H176" s="50"/>
      <c r="I176" s="72"/>
      <c r="J176" s="72"/>
      <c r="K176" s="72"/>
    </row>
    <row r="177" spans="1:11" s="42" customFormat="1">
      <c r="A177" s="345" t="s">
        <v>970</v>
      </c>
      <c r="B177" s="1724"/>
      <c r="C177" s="1733">
        <v>8183.7599999999993</v>
      </c>
      <c r="D177" s="1091" t="s">
        <v>1564</v>
      </c>
      <c r="E177" s="1724"/>
      <c r="F177" s="750"/>
      <c r="G177" s="750"/>
      <c r="H177" s="750"/>
      <c r="I177" s="1724"/>
      <c r="J177" s="750"/>
      <c r="K177" s="1724"/>
    </row>
    <row r="178" spans="1:11" s="42" customFormat="1" ht="51">
      <c r="A178" s="345" t="s">
        <v>1894</v>
      </c>
      <c r="B178" s="1724"/>
      <c r="C178" s="1733">
        <v>3011</v>
      </c>
      <c r="D178" s="1091" t="s">
        <v>1564</v>
      </c>
      <c r="E178" s="1724"/>
      <c r="F178" s="750"/>
      <c r="G178" s="750"/>
      <c r="H178" s="750"/>
      <c r="I178" s="1724"/>
      <c r="J178" s="750"/>
      <c r="K178" s="1724"/>
    </row>
    <row r="179" spans="1:11" ht="25.5">
      <c r="A179" s="345" t="s">
        <v>1727</v>
      </c>
      <c r="B179" s="1724"/>
      <c r="C179" s="1733">
        <v>2074</v>
      </c>
      <c r="D179" s="1091" t="s">
        <v>1954</v>
      </c>
      <c r="E179" s="1724"/>
      <c r="F179" s="750"/>
      <c r="G179" s="750"/>
      <c r="H179" s="750"/>
      <c r="I179" s="1724"/>
      <c r="J179" s="750"/>
      <c r="K179" s="1724"/>
    </row>
    <row r="180" spans="1:11" ht="25.5">
      <c r="A180" s="345" t="s">
        <v>1895</v>
      </c>
      <c r="B180" s="1724"/>
      <c r="C180" s="1733">
        <v>384</v>
      </c>
      <c r="D180" s="1091" t="s">
        <v>1954</v>
      </c>
      <c r="E180" s="1724"/>
      <c r="F180" s="750"/>
      <c r="G180" s="750"/>
      <c r="H180" s="750"/>
      <c r="I180" s="1724"/>
      <c r="J180" s="750"/>
      <c r="K180" s="1724"/>
    </row>
    <row r="181" spans="1:11" ht="25.5">
      <c r="A181" s="345" t="s">
        <v>1896</v>
      </c>
      <c r="B181" s="1724"/>
      <c r="C181" s="1733">
        <v>224.99999999999997</v>
      </c>
      <c r="D181" s="1091" t="s">
        <v>1954</v>
      </c>
      <c r="E181" s="1724"/>
      <c r="F181" s="750"/>
      <c r="G181" s="750"/>
      <c r="H181" s="750"/>
      <c r="I181" s="1724"/>
      <c r="J181" s="750"/>
      <c r="K181" s="1724"/>
    </row>
    <row r="182" spans="1:11" ht="25.5">
      <c r="A182" s="345" t="s">
        <v>1897</v>
      </c>
      <c r="B182" s="1724"/>
      <c r="C182" s="1733">
        <v>255</v>
      </c>
      <c r="D182" s="1091" t="s">
        <v>1954</v>
      </c>
      <c r="E182" s="1724"/>
      <c r="F182" s="750"/>
      <c r="G182" s="750"/>
      <c r="H182" s="750"/>
      <c r="I182" s="1724"/>
      <c r="J182" s="750"/>
      <c r="K182" s="1724"/>
    </row>
    <row r="183" spans="1:11" ht="38.25">
      <c r="A183" s="345" t="s">
        <v>1898</v>
      </c>
      <c r="B183" s="1724"/>
      <c r="C183" s="1733">
        <v>5730</v>
      </c>
      <c r="D183" s="1091" t="s">
        <v>1729</v>
      </c>
      <c r="E183" s="1724"/>
      <c r="F183" s="750"/>
      <c r="G183" s="750"/>
      <c r="H183" s="750"/>
      <c r="I183" s="1724"/>
      <c r="J183" s="750"/>
      <c r="K183" s="1724"/>
    </row>
    <row r="184" spans="1:11" ht="25.5">
      <c r="A184" s="345" t="s">
        <v>1899</v>
      </c>
      <c r="B184" s="1724"/>
      <c r="C184" s="1733">
        <v>2550.0000000000005</v>
      </c>
      <c r="D184" s="1091" t="s">
        <v>1729</v>
      </c>
      <c r="E184" s="1724"/>
      <c r="F184" s="750"/>
      <c r="G184" s="750"/>
      <c r="H184" s="750"/>
      <c r="I184" s="1724"/>
      <c r="J184" s="750"/>
      <c r="K184" s="1724"/>
    </row>
    <row r="185" spans="1:11" ht="25.5">
      <c r="A185" s="345" t="s">
        <v>1900</v>
      </c>
      <c r="B185" s="1724"/>
      <c r="C185" s="1733">
        <v>433</v>
      </c>
      <c r="D185" s="1091" t="s">
        <v>1729</v>
      </c>
      <c r="E185" s="1724"/>
      <c r="F185" s="750"/>
      <c r="G185" s="750"/>
      <c r="H185" s="750"/>
      <c r="I185" s="1724"/>
      <c r="J185" s="750"/>
      <c r="K185" s="1724"/>
    </row>
    <row r="186" spans="1:11" ht="25.5">
      <c r="A186" s="345" t="s">
        <v>1901</v>
      </c>
      <c r="B186" s="1724"/>
      <c r="C186" s="1733">
        <v>71</v>
      </c>
      <c r="D186" s="1091" t="s">
        <v>1729</v>
      </c>
      <c r="E186" s="1724"/>
      <c r="F186" s="750"/>
      <c r="G186" s="750"/>
      <c r="H186" s="750"/>
      <c r="I186" s="1724"/>
      <c r="J186" s="750"/>
      <c r="K186" s="1724"/>
    </row>
    <row r="187" spans="1:11" ht="25.5">
      <c r="A187" s="345" t="s">
        <v>1902</v>
      </c>
      <c r="B187" s="1724"/>
      <c r="C187" s="1733">
        <v>762</v>
      </c>
      <c r="D187" s="1091" t="s">
        <v>1729</v>
      </c>
      <c r="E187" s="1724"/>
      <c r="F187" s="750"/>
      <c r="G187" s="750"/>
      <c r="H187" s="750"/>
      <c r="I187" s="1724"/>
      <c r="J187" s="750"/>
      <c r="K187" s="1724"/>
    </row>
    <row r="188" spans="1:11" ht="25.5">
      <c r="A188" s="345" t="s">
        <v>1730</v>
      </c>
      <c r="B188" s="1724"/>
      <c r="C188" s="1733">
        <v>27625</v>
      </c>
      <c r="D188" s="1091" t="s">
        <v>1729</v>
      </c>
      <c r="E188" s="1724"/>
      <c r="F188" s="750"/>
      <c r="G188" s="750"/>
      <c r="H188" s="750"/>
      <c r="I188" s="1724"/>
      <c r="J188" s="750"/>
      <c r="K188" s="1724"/>
    </row>
    <row r="189" spans="1:11" ht="51">
      <c r="A189" s="345" t="s">
        <v>1903</v>
      </c>
      <c r="B189" s="1724"/>
      <c r="C189" s="1733">
        <v>62031</v>
      </c>
      <c r="D189" s="1091" t="s">
        <v>1955</v>
      </c>
      <c r="E189" s="1724"/>
      <c r="F189" s="750"/>
      <c r="G189" s="750"/>
      <c r="H189" s="750"/>
      <c r="I189" s="1724"/>
      <c r="J189" s="750"/>
      <c r="K189" s="1724"/>
    </row>
    <row r="190" spans="1:11" ht="38.25">
      <c r="A190" s="345" t="s">
        <v>1904</v>
      </c>
      <c r="B190" s="1724"/>
      <c r="C190" s="1733">
        <v>33614</v>
      </c>
      <c r="D190" s="1091" t="s">
        <v>1564</v>
      </c>
      <c r="E190" s="1724"/>
      <c r="F190" s="750"/>
      <c r="G190" s="750"/>
      <c r="H190" s="750"/>
      <c r="I190" s="1724"/>
      <c r="J190" s="750"/>
      <c r="K190" s="1724"/>
    </row>
    <row r="191" spans="1:11" ht="38.25">
      <c r="A191" s="345" t="s">
        <v>1905</v>
      </c>
      <c r="B191" s="1724"/>
      <c r="C191" s="1733"/>
      <c r="D191" s="1091" t="s">
        <v>1564</v>
      </c>
      <c r="E191" s="1724"/>
      <c r="F191" s="750"/>
      <c r="G191" s="750"/>
      <c r="H191" s="750"/>
      <c r="I191" s="1724"/>
      <c r="J191" s="750"/>
      <c r="K191" s="1724"/>
    </row>
    <row r="192" spans="1:11" ht="25.5">
      <c r="A192" s="345" t="s">
        <v>1906</v>
      </c>
      <c r="B192" s="1724"/>
      <c r="C192" s="1733">
        <v>925</v>
      </c>
      <c r="D192" s="1091" t="s">
        <v>1729</v>
      </c>
      <c r="E192" s="1724"/>
      <c r="F192" s="750"/>
      <c r="G192" s="750"/>
      <c r="H192" s="750"/>
      <c r="I192" s="1724"/>
      <c r="J192" s="750"/>
      <c r="K192" s="1724"/>
    </row>
    <row r="193" spans="1:11" ht="51">
      <c r="A193" s="345" t="s">
        <v>1907</v>
      </c>
      <c r="B193" s="1724"/>
      <c r="C193" s="1733">
        <v>27580</v>
      </c>
      <c r="D193" s="1091" t="s">
        <v>1564</v>
      </c>
      <c r="E193" s="1724"/>
      <c r="F193" s="750"/>
      <c r="G193" s="750"/>
      <c r="H193" s="750"/>
      <c r="I193" s="1724"/>
      <c r="J193" s="750"/>
      <c r="K193" s="1724"/>
    </row>
    <row r="194" spans="1:11">
      <c r="A194" s="345" t="s">
        <v>1566</v>
      </c>
      <c r="B194" s="1724"/>
      <c r="C194" s="1733">
        <v>13650</v>
      </c>
      <c r="D194" s="1091" t="s">
        <v>1729</v>
      </c>
      <c r="E194" s="1724"/>
      <c r="F194" s="750"/>
      <c r="G194" s="750"/>
      <c r="H194" s="750"/>
      <c r="I194" s="1724"/>
      <c r="J194" s="750"/>
      <c r="K194" s="1724"/>
    </row>
    <row r="195" spans="1:11" ht="38.25">
      <c r="A195" s="345" t="s">
        <v>1909</v>
      </c>
      <c r="B195" s="1724"/>
      <c r="C195" s="1733">
        <v>19084</v>
      </c>
      <c r="D195" s="1091" t="s">
        <v>1564</v>
      </c>
      <c r="E195" s="1724"/>
      <c r="F195" s="750"/>
      <c r="G195" s="750"/>
      <c r="H195" s="750"/>
      <c r="I195" s="1724"/>
      <c r="J195" s="750"/>
      <c r="K195" s="1724"/>
    </row>
    <row r="196" spans="1:11" ht="25.5">
      <c r="A196" s="345" t="s">
        <v>1910</v>
      </c>
      <c r="B196" s="1724"/>
      <c r="C196" s="1733">
        <v>724</v>
      </c>
      <c r="D196" s="1091" t="s">
        <v>1564</v>
      </c>
      <c r="E196" s="1724"/>
      <c r="F196" s="750"/>
      <c r="G196" s="750"/>
      <c r="H196" s="750"/>
      <c r="I196" s="1724"/>
      <c r="J196" s="750"/>
      <c r="K196" s="1724"/>
    </row>
    <row r="197" spans="1:11" ht="25.5">
      <c r="A197" s="345" t="s">
        <v>1723</v>
      </c>
      <c r="B197" s="1724"/>
      <c r="C197" s="1733">
        <v>30.894599999999997</v>
      </c>
      <c r="D197" s="1091" t="s">
        <v>1564</v>
      </c>
      <c r="E197" s="1724"/>
      <c r="F197" s="750"/>
      <c r="G197" s="750"/>
      <c r="H197" s="750"/>
      <c r="I197" s="1724"/>
      <c r="J197" s="750"/>
      <c r="K197" s="1724"/>
    </row>
    <row r="198" spans="1:11">
      <c r="A198" s="345" t="s">
        <v>976</v>
      </c>
      <c r="B198" s="1724"/>
      <c r="C198" s="1733">
        <v>1772.9039999999998</v>
      </c>
      <c r="D198" s="1091" t="s">
        <v>1564</v>
      </c>
      <c r="E198" s="1724"/>
      <c r="F198" s="750"/>
      <c r="G198" s="750"/>
      <c r="H198" s="750"/>
      <c r="I198" s="1724"/>
      <c r="J198" s="750"/>
      <c r="K198" s="1724"/>
    </row>
    <row r="199" spans="1:11">
      <c r="A199" s="345" t="s">
        <v>977</v>
      </c>
      <c r="B199" s="1724"/>
      <c r="C199" s="1733">
        <v>573.49380000000008</v>
      </c>
      <c r="D199" s="1091" t="s">
        <v>1564</v>
      </c>
      <c r="E199" s="1724"/>
      <c r="F199" s="750"/>
      <c r="G199" s="750"/>
      <c r="H199" s="750"/>
      <c r="I199" s="1724"/>
      <c r="J199" s="750"/>
      <c r="K199" s="1724"/>
    </row>
    <row r="200" spans="1:11">
      <c r="A200" s="345" t="s">
        <v>1567</v>
      </c>
      <c r="B200" s="1724"/>
      <c r="C200" s="1733">
        <v>97.389600000000002</v>
      </c>
      <c r="D200" s="1091" t="s">
        <v>1564</v>
      </c>
      <c r="E200" s="1724"/>
      <c r="F200" s="750"/>
      <c r="G200" s="750"/>
      <c r="H200" s="750"/>
      <c r="I200" s="1724"/>
      <c r="J200" s="750"/>
      <c r="K200" s="1724"/>
    </row>
    <row r="201" spans="1:11">
      <c r="A201" s="345" t="s">
        <v>1911</v>
      </c>
      <c r="B201" s="1724"/>
      <c r="C201" s="1733">
        <v>3737</v>
      </c>
      <c r="D201" s="1091" t="s">
        <v>1564</v>
      </c>
      <c r="E201" s="1724"/>
      <c r="F201" s="750"/>
      <c r="G201" s="750"/>
      <c r="H201" s="750"/>
      <c r="I201" s="1724"/>
      <c r="J201" s="750"/>
      <c r="K201" s="1724"/>
    </row>
    <row r="202" spans="1:11" ht="25.5">
      <c r="A202" s="345" t="s">
        <v>1726</v>
      </c>
      <c r="B202" s="1724"/>
      <c r="C202" s="1731"/>
      <c r="D202" s="1091"/>
      <c r="E202" s="1724"/>
      <c r="F202" s="1734">
        <v>3001.1482890703414</v>
      </c>
      <c r="G202" s="750" t="s">
        <v>1564</v>
      </c>
      <c r="H202" s="750"/>
      <c r="I202" s="1724"/>
      <c r="J202" s="750"/>
      <c r="K202" s="1724"/>
    </row>
    <row r="203" spans="1:11" ht="38.25">
      <c r="A203" s="345" t="s">
        <v>1914</v>
      </c>
      <c r="B203" s="1724"/>
      <c r="C203" s="1731"/>
      <c r="D203" s="1091"/>
      <c r="E203" s="1724"/>
      <c r="F203" s="1734">
        <v>41998.880387761928</v>
      </c>
      <c r="G203" s="750" t="s">
        <v>1564</v>
      </c>
      <c r="H203" s="750"/>
      <c r="I203" s="1724"/>
      <c r="J203" s="750"/>
      <c r="K203" s="1724"/>
    </row>
    <row r="204" spans="1:11" ht="25.5">
      <c r="A204" s="345" t="s">
        <v>1915</v>
      </c>
      <c r="B204" s="1724"/>
      <c r="C204" s="1731"/>
      <c r="D204" s="1091"/>
      <c r="E204" s="1724"/>
      <c r="F204" s="1734">
        <v>6018.480727997483</v>
      </c>
      <c r="G204" s="750" t="s">
        <v>1564</v>
      </c>
      <c r="H204" s="750"/>
      <c r="I204" s="1724"/>
      <c r="J204" s="750"/>
      <c r="K204" s="1724"/>
    </row>
    <row r="205" spans="1:11" ht="16.5" customHeight="1">
      <c r="A205" s="345" t="s">
        <v>1916</v>
      </c>
      <c r="B205" s="1724"/>
      <c r="C205" s="1731"/>
      <c r="D205" s="1091"/>
      <c r="E205" s="1724"/>
      <c r="F205" s="1734">
        <v>5057.5468302499858</v>
      </c>
      <c r="G205" s="750" t="s">
        <v>1564</v>
      </c>
      <c r="H205" s="750"/>
      <c r="I205" s="1724"/>
      <c r="J205" s="750"/>
      <c r="K205" s="1724"/>
    </row>
    <row r="206" spans="1:11">
      <c r="A206" s="345" t="s">
        <v>970</v>
      </c>
      <c r="B206" s="1724"/>
      <c r="C206" s="1731"/>
      <c r="D206" s="1091"/>
      <c r="E206" s="1724"/>
      <c r="F206" s="1734">
        <v>4668.3787167559094</v>
      </c>
      <c r="G206" s="750" t="s">
        <v>1564</v>
      </c>
      <c r="H206" s="750"/>
      <c r="I206" s="1724"/>
      <c r="J206" s="750"/>
      <c r="K206" s="1724"/>
    </row>
    <row r="207" spans="1:11" ht="38.25">
      <c r="A207" s="345" t="s">
        <v>1918</v>
      </c>
      <c r="B207" s="1724"/>
      <c r="C207" s="1731"/>
      <c r="D207" s="1091"/>
      <c r="E207" s="1724"/>
      <c r="F207" s="1734">
        <v>370.21242797429898</v>
      </c>
      <c r="G207" s="750" t="s">
        <v>1564</v>
      </c>
      <c r="H207" s="750"/>
      <c r="I207" s="1724"/>
      <c r="J207" s="750"/>
      <c r="K207" s="1724"/>
    </row>
    <row r="208" spans="1:11" ht="38.25">
      <c r="A208" s="345" t="s">
        <v>1919</v>
      </c>
      <c r="B208" s="1724"/>
      <c r="C208" s="1731"/>
      <c r="D208" s="1091"/>
      <c r="E208" s="1724"/>
      <c r="F208" s="1734">
        <v>944.04169133446237</v>
      </c>
      <c r="G208" s="750" t="s">
        <v>1564</v>
      </c>
      <c r="H208" s="750"/>
      <c r="I208" s="1724"/>
      <c r="J208" s="750"/>
      <c r="K208" s="1724"/>
    </row>
    <row r="209" spans="1:11" ht="89.25">
      <c r="A209" s="345" t="s">
        <v>1920</v>
      </c>
      <c r="B209" s="1724"/>
      <c r="C209" s="1731"/>
      <c r="D209" s="1091"/>
      <c r="E209" s="1724"/>
      <c r="F209" s="1734">
        <v>444.2549135691587</v>
      </c>
      <c r="G209" s="750" t="s">
        <v>1564</v>
      </c>
      <c r="H209" s="750"/>
      <c r="I209" s="1724"/>
      <c r="J209" s="750"/>
      <c r="K209" s="1724"/>
    </row>
    <row r="210" spans="1:11" ht="25.5">
      <c r="A210" s="345" t="s">
        <v>1921</v>
      </c>
      <c r="B210" s="1724"/>
      <c r="C210" s="1731"/>
      <c r="D210" s="1091"/>
      <c r="E210" s="1724"/>
      <c r="F210" s="1734">
        <v>166.59559258843453</v>
      </c>
      <c r="G210" s="750" t="s">
        <v>1564</v>
      </c>
      <c r="H210" s="750"/>
      <c r="I210" s="1724"/>
      <c r="J210" s="750"/>
      <c r="K210" s="1724"/>
    </row>
    <row r="211" spans="1:11" ht="25.5">
      <c r="A211" s="345" t="s">
        <v>1731</v>
      </c>
      <c r="B211" s="1724"/>
      <c r="C211" s="1731"/>
      <c r="D211" s="1091"/>
      <c r="E211" s="1724"/>
      <c r="F211" s="1734">
        <v>31934</v>
      </c>
      <c r="G211" s="1091" t="s">
        <v>1954</v>
      </c>
      <c r="H211" s="750"/>
      <c r="I211" s="1724"/>
      <c r="J211" s="750"/>
      <c r="K211" s="1724"/>
    </row>
    <row r="212" spans="1:11" ht="25.5">
      <c r="A212" s="345" t="s">
        <v>1922</v>
      </c>
      <c r="B212" s="1724"/>
      <c r="C212" s="1731"/>
      <c r="D212" s="1091"/>
      <c r="E212" s="1724"/>
      <c r="F212" s="1734">
        <v>12249.378422865464</v>
      </c>
      <c r="G212" s="750" t="s">
        <v>1729</v>
      </c>
      <c r="H212" s="750"/>
      <c r="I212" s="1724"/>
      <c r="J212" s="750"/>
      <c r="K212" s="1724"/>
    </row>
    <row r="213" spans="1:11" ht="25.5">
      <c r="A213" s="345" t="s">
        <v>1730</v>
      </c>
      <c r="B213" s="1724"/>
      <c r="C213" s="1731"/>
      <c r="D213" s="1091"/>
      <c r="E213" s="1724"/>
      <c r="F213" s="1734">
        <v>113005.82637510567</v>
      </c>
      <c r="G213" s="750" t="s">
        <v>1729</v>
      </c>
      <c r="H213" s="750"/>
      <c r="I213" s="1724"/>
      <c r="J213" s="750"/>
      <c r="K213" s="1724"/>
    </row>
    <row r="214" spans="1:11">
      <c r="A214" s="345" t="s">
        <v>976</v>
      </c>
      <c r="B214" s="1724"/>
      <c r="C214" s="1731"/>
      <c r="D214" s="1091"/>
      <c r="E214" s="1724"/>
      <c r="F214" s="1734">
        <v>4072.5254237288136</v>
      </c>
      <c r="G214" s="750" t="s">
        <v>1564</v>
      </c>
      <c r="H214" s="750"/>
      <c r="I214" s="1724"/>
      <c r="J214" s="750"/>
      <c r="K214" s="1724"/>
    </row>
    <row r="215" spans="1:11" ht="25.5">
      <c r="A215" s="345" t="s">
        <v>1932</v>
      </c>
      <c r="B215" s="1724"/>
      <c r="C215" s="1731"/>
      <c r="D215" s="1091"/>
      <c r="E215" s="1724"/>
      <c r="F215" s="1734">
        <v>1034.7740814691472</v>
      </c>
      <c r="G215" s="1091" t="s">
        <v>1564</v>
      </c>
      <c r="H215" s="750"/>
      <c r="I215" s="1724"/>
      <c r="J215" s="750"/>
      <c r="K215" s="1724"/>
    </row>
    <row r="216" spans="1:11" ht="38.25">
      <c r="A216" s="345" t="s">
        <v>1933</v>
      </c>
      <c r="B216" s="1724"/>
      <c r="C216" s="1731"/>
      <c r="D216" s="1091"/>
      <c r="E216" s="1724"/>
      <c r="F216" s="1734">
        <v>51.945658889751179</v>
      </c>
      <c r="G216" s="750" t="s">
        <v>1564</v>
      </c>
      <c r="H216" s="750"/>
      <c r="I216" s="1724"/>
      <c r="J216" s="750"/>
      <c r="K216" s="1724"/>
    </row>
    <row r="217" spans="1:11">
      <c r="A217" s="345" t="s">
        <v>1567</v>
      </c>
      <c r="B217" s="1724"/>
      <c r="C217" s="1731"/>
      <c r="D217" s="1091"/>
      <c r="E217" s="1724"/>
      <c r="F217" s="1734">
        <v>373.48169491525425</v>
      </c>
      <c r="G217" s="750" t="s">
        <v>1564</v>
      </c>
      <c r="H217" s="750"/>
      <c r="I217" s="1724"/>
      <c r="J217" s="750"/>
      <c r="K217" s="1724"/>
    </row>
    <row r="218" spans="1:11" ht="25.5">
      <c r="A218" s="345" t="s">
        <v>1934</v>
      </c>
      <c r="B218" s="1724"/>
      <c r="C218" s="1731"/>
      <c r="D218" s="1091"/>
      <c r="E218" s="1724"/>
      <c r="F218" s="1734">
        <v>1011.5093660499972</v>
      </c>
      <c r="G218" s="1091" t="s">
        <v>1954</v>
      </c>
      <c r="H218" s="750"/>
      <c r="I218" s="1724"/>
      <c r="J218" s="750"/>
      <c r="K218" s="1724"/>
    </row>
    <row r="219" spans="1:11" ht="38.25">
      <c r="A219" s="345" t="s">
        <v>1935</v>
      </c>
      <c r="B219" s="1724"/>
      <c r="C219" s="1731"/>
      <c r="D219" s="1091"/>
      <c r="E219" s="1724"/>
      <c r="F219" s="1734">
        <v>13442.95947480446</v>
      </c>
      <c r="G219" s="1091" t="s">
        <v>1956</v>
      </c>
      <c r="H219" s="750"/>
      <c r="I219" s="1724"/>
      <c r="J219" s="750"/>
      <c r="K219" s="1724"/>
    </row>
    <row r="220" spans="1:11" ht="63.75">
      <c r="A220" s="345" t="s">
        <v>1936</v>
      </c>
      <c r="B220" s="1724"/>
      <c r="C220" s="1731"/>
      <c r="D220" s="1091"/>
      <c r="E220" s="1724"/>
      <c r="F220" s="1734">
        <v>2917.1930116881913</v>
      </c>
      <c r="G220" s="750" t="s">
        <v>1729</v>
      </c>
      <c r="H220" s="750"/>
      <c r="I220" s="1724"/>
      <c r="J220" s="750"/>
      <c r="K220" s="1724"/>
    </row>
    <row r="221" spans="1:11">
      <c r="A221" s="345" t="s">
        <v>1937</v>
      </c>
      <c r="B221" s="1724"/>
      <c r="C221" s="1731"/>
      <c r="D221" s="1091"/>
      <c r="E221" s="1724"/>
      <c r="F221" s="1734">
        <v>2807.6271186440677</v>
      </c>
      <c r="G221" s="750" t="s">
        <v>1564</v>
      </c>
      <c r="H221" s="750"/>
      <c r="I221" s="1724"/>
      <c r="J221" s="750"/>
      <c r="K221" s="1724"/>
    </row>
    <row r="222" spans="1:11" ht="25.5">
      <c r="A222" s="345" t="s">
        <v>1915</v>
      </c>
      <c r="B222" s="1724"/>
      <c r="C222" s="1731"/>
      <c r="D222" s="1091"/>
      <c r="E222" s="1724"/>
      <c r="F222" s="750"/>
      <c r="G222" s="750"/>
      <c r="H222" s="1734">
        <v>2005.2646705383336</v>
      </c>
      <c r="I222" s="1724" t="s">
        <v>1564</v>
      </c>
      <c r="J222" s="750"/>
      <c r="K222" s="1724"/>
    </row>
    <row r="223" spans="1:11" ht="51">
      <c r="A223" s="345" t="s">
        <v>1916</v>
      </c>
      <c r="B223" s="1724"/>
      <c r="C223" s="1731"/>
      <c r="D223" s="1091"/>
      <c r="E223" s="1724"/>
      <c r="F223" s="750"/>
      <c r="G223" s="750"/>
      <c r="H223" s="1734">
        <v>5013.1616763458342</v>
      </c>
      <c r="I223" s="1724" t="s">
        <v>1564</v>
      </c>
      <c r="J223" s="750"/>
      <c r="K223" s="1724"/>
    </row>
    <row r="224" spans="1:11">
      <c r="A224" s="345" t="s">
        <v>970</v>
      </c>
      <c r="B224" s="1724"/>
      <c r="C224" s="1731"/>
      <c r="D224" s="1091"/>
      <c r="E224" s="1724"/>
      <c r="F224" s="750"/>
      <c r="G224" s="750"/>
      <c r="H224" s="1734">
        <v>3061.2089723384329</v>
      </c>
      <c r="I224" s="1724" t="s">
        <v>1564</v>
      </c>
      <c r="J224" s="750"/>
      <c r="K224" s="1724"/>
    </row>
    <row r="225" spans="1:11" ht="38.25">
      <c r="A225" s="345" t="s">
        <v>1918</v>
      </c>
      <c r="B225" s="1724"/>
      <c r="C225" s="1731"/>
      <c r="D225" s="1091"/>
      <c r="E225" s="1724"/>
      <c r="F225" s="750"/>
      <c r="G225" s="750"/>
      <c r="H225" s="1734">
        <v>1688.0317996591691</v>
      </c>
      <c r="I225" s="1724" t="s">
        <v>1564</v>
      </c>
      <c r="J225" s="750"/>
      <c r="K225" s="1724"/>
    </row>
    <row r="226" spans="1:11" ht="38.25">
      <c r="A226" s="345" t="s">
        <v>1944</v>
      </c>
      <c r="B226" s="1724"/>
      <c r="C226" s="1731"/>
      <c r="D226" s="1091"/>
      <c r="E226" s="1724"/>
      <c r="F226" s="750"/>
      <c r="G226" s="750"/>
      <c r="H226" s="1734">
        <v>557.41745732223433</v>
      </c>
      <c r="I226" s="1724" t="s">
        <v>1564</v>
      </c>
      <c r="J226" s="750"/>
      <c r="K226" s="1724"/>
    </row>
    <row r="227" spans="1:11" ht="38.25">
      <c r="A227" s="345" t="s">
        <v>1919</v>
      </c>
      <c r="B227" s="1724"/>
      <c r="C227" s="1731"/>
      <c r="D227" s="1091"/>
      <c r="E227" s="1724"/>
      <c r="F227" s="750"/>
      <c r="G227" s="750"/>
      <c r="H227" s="1734">
        <v>935.75675850671348</v>
      </c>
      <c r="I227" s="1724" t="s">
        <v>1564</v>
      </c>
      <c r="J227" s="750"/>
      <c r="K227" s="1724"/>
    </row>
    <row r="228" spans="1:11" ht="76.5">
      <c r="A228" s="345" t="s">
        <v>1945</v>
      </c>
      <c r="B228" s="1724"/>
      <c r="C228" s="1731"/>
      <c r="D228" s="1091"/>
      <c r="E228" s="1724"/>
      <c r="F228" s="750"/>
      <c r="G228" s="750"/>
      <c r="H228" s="1734">
        <v>5320.9698032734677</v>
      </c>
      <c r="I228" s="1724" t="s">
        <v>1564</v>
      </c>
      <c r="J228" s="750"/>
      <c r="K228" s="1724"/>
    </row>
    <row r="229" spans="1:11" ht="26.25">
      <c r="A229" s="345" t="s">
        <v>1731</v>
      </c>
      <c r="B229" s="1724"/>
      <c r="C229" s="1731"/>
      <c r="D229" s="1091"/>
      <c r="E229" s="1724"/>
      <c r="F229" s="750"/>
      <c r="G229" s="750"/>
      <c r="H229" s="1734">
        <v>10465.8989</v>
      </c>
      <c r="I229" s="1724" t="s">
        <v>1954</v>
      </c>
      <c r="J229" s="750"/>
      <c r="K229" s="1724"/>
    </row>
    <row r="230" spans="1:11" ht="25.5">
      <c r="A230" s="345" t="s">
        <v>1730</v>
      </c>
      <c r="B230" s="1724"/>
      <c r="C230" s="1731"/>
      <c r="D230" s="1091"/>
      <c r="E230" s="1724"/>
      <c r="F230" s="750"/>
      <c r="G230" s="750"/>
      <c r="H230" s="1734">
        <v>10026.323352691668</v>
      </c>
      <c r="I230" s="1724" t="s">
        <v>1729</v>
      </c>
      <c r="J230" s="750"/>
      <c r="K230" s="1724"/>
    </row>
    <row r="231" spans="1:11">
      <c r="A231" s="345" t="s">
        <v>976</v>
      </c>
      <c r="B231" s="1724"/>
      <c r="C231" s="1731"/>
      <c r="D231" s="1091"/>
      <c r="E231" s="1724"/>
      <c r="F231" s="750"/>
      <c r="G231" s="750"/>
      <c r="H231" s="1734">
        <v>5082.2759999999998</v>
      </c>
      <c r="I231" s="1724" t="s">
        <v>1564</v>
      </c>
      <c r="J231" s="750"/>
      <c r="K231" s="1724"/>
    </row>
    <row r="232" spans="1:11">
      <c r="A232" s="345" t="s">
        <v>1567</v>
      </c>
      <c r="B232" s="1724"/>
      <c r="C232" s="750"/>
      <c r="D232" s="1091"/>
      <c r="E232" s="1724"/>
      <c r="F232" s="750"/>
      <c r="G232" s="750"/>
      <c r="H232" s="1734">
        <v>793.84799999999996</v>
      </c>
      <c r="I232" s="1724" t="s">
        <v>1564</v>
      </c>
      <c r="J232" s="750"/>
      <c r="K232" s="1724"/>
    </row>
    <row r="233" spans="1:11" ht="26.25">
      <c r="A233" s="346" t="s">
        <v>1932</v>
      </c>
      <c r="B233" s="1724"/>
      <c r="C233" s="1724"/>
      <c r="D233" s="1724"/>
      <c r="E233" s="1724"/>
      <c r="F233" s="750"/>
      <c r="G233" s="1091"/>
      <c r="H233" s="1734">
        <v>1738.4468605838083</v>
      </c>
      <c r="I233" s="1091" t="s">
        <v>1564</v>
      </c>
      <c r="J233" s="750"/>
      <c r="K233" s="1091"/>
    </row>
    <row r="234" spans="1:11" ht="25.5">
      <c r="A234" s="346" t="s">
        <v>1934</v>
      </c>
      <c r="B234" s="1724"/>
      <c r="C234" s="1724"/>
      <c r="D234" s="1724"/>
      <c r="E234" s="1724"/>
      <c r="F234" s="750"/>
      <c r="G234" s="1091"/>
      <c r="H234" s="1734">
        <v>1002.6323352691668</v>
      </c>
      <c r="I234" s="1091" t="s">
        <v>1954</v>
      </c>
      <c r="J234" s="750"/>
      <c r="K234" s="1091"/>
    </row>
    <row r="235" spans="1:11">
      <c r="A235" s="346" t="s">
        <v>1937</v>
      </c>
      <c r="B235" s="1724"/>
      <c r="C235" s="1724"/>
      <c r="D235" s="1724"/>
      <c r="E235" s="1724"/>
      <c r="F235" s="750"/>
      <c r="G235" s="1091"/>
      <c r="H235" s="1734">
        <v>2667.320338983051</v>
      </c>
      <c r="I235" s="1091" t="s">
        <v>1564</v>
      </c>
      <c r="J235" s="750"/>
      <c r="K235" s="1091"/>
    </row>
    <row r="236" spans="1:11" ht="39">
      <c r="A236" s="346" t="s">
        <v>1939</v>
      </c>
      <c r="B236" s="1724"/>
      <c r="C236" s="1724"/>
      <c r="D236" s="1724"/>
      <c r="E236" s="1724"/>
      <c r="F236" s="750"/>
      <c r="G236" s="1091"/>
      <c r="H236" s="1736"/>
      <c r="I236" s="1091"/>
      <c r="J236" s="1733">
        <v>6614.110418293224</v>
      </c>
      <c r="K236" s="1091" t="s">
        <v>1564</v>
      </c>
    </row>
    <row r="237" spans="1:11" ht="26.25">
      <c r="A237" s="346" t="s">
        <v>1943</v>
      </c>
      <c r="B237" s="1724"/>
      <c r="C237" s="1724"/>
      <c r="D237" s="1724"/>
      <c r="E237" s="1724"/>
      <c r="F237" s="750"/>
      <c r="G237" s="1091"/>
      <c r="H237" s="1736"/>
      <c r="I237" s="1091"/>
      <c r="J237" s="1733">
        <v>122106.65387618259</v>
      </c>
      <c r="K237" s="1091" t="s">
        <v>1564</v>
      </c>
    </row>
    <row r="238" spans="1:11">
      <c r="A238" s="346" t="s">
        <v>994</v>
      </c>
      <c r="B238" s="1724"/>
      <c r="C238" s="1724"/>
      <c r="D238" s="1724"/>
      <c r="E238" s="1724"/>
      <c r="F238" s="750"/>
      <c r="G238" s="1091"/>
      <c r="H238" s="1736"/>
      <c r="I238" s="1091"/>
      <c r="J238" s="1733">
        <v>3561.4440713886593</v>
      </c>
      <c r="K238" s="1091" t="s">
        <v>1564</v>
      </c>
    </row>
    <row r="239" spans="1:11">
      <c r="A239" s="346" t="s">
        <v>970</v>
      </c>
      <c r="B239" s="1724"/>
      <c r="C239" s="1724"/>
      <c r="D239" s="1724"/>
      <c r="E239" s="1724"/>
      <c r="F239" s="750"/>
      <c r="G239" s="1091"/>
      <c r="H239" s="1736"/>
      <c r="I239" s="1091"/>
      <c r="J239" s="1733">
        <v>7757.6188807346944</v>
      </c>
      <c r="K239" s="1091" t="s">
        <v>1564</v>
      </c>
    </row>
    <row r="240" spans="1:11" ht="39">
      <c r="A240" s="346" t="s">
        <v>1918</v>
      </c>
      <c r="B240" s="1724"/>
      <c r="C240" s="1724"/>
      <c r="D240" s="1724"/>
      <c r="E240" s="1724"/>
      <c r="F240" s="750"/>
      <c r="G240" s="1091"/>
      <c r="H240" s="1736"/>
      <c r="I240" s="1091"/>
      <c r="J240" s="1733">
        <v>1713.1563538828418</v>
      </c>
      <c r="K240" s="1091" t="s">
        <v>1564</v>
      </c>
    </row>
    <row r="241" spans="1:11" ht="25.5">
      <c r="A241" s="346" t="s">
        <v>1731</v>
      </c>
      <c r="B241" s="1724"/>
      <c r="C241" s="1724"/>
      <c r="D241" s="1724"/>
      <c r="E241" s="1724"/>
      <c r="F241" s="750"/>
      <c r="G241" s="1091"/>
      <c r="H241" s="1736"/>
      <c r="I241" s="1091"/>
      <c r="J241" s="1733">
        <v>10733.7279461</v>
      </c>
      <c r="K241" s="1091" t="s">
        <v>1954</v>
      </c>
    </row>
    <row r="242" spans="1:11">
      <c r="A242" s="346" t="s">
        <v>976</v>
      </c>
      <c r="B242" s="1724"/>
      <c r="C242" s="1724"/>
      <c r="D242" s="1724"/>
      <c r="E242" s="1724"/>
      <c r="F242" s="750"/>
      <c r="G242" s="1091"/>
      <c r="H242" s="1736"/>
      <c r="I242" s="1091"/>
      <c r="J242" s="1733">
        <v>4120.4280000000008</v>
      </c>
      <c r="K242" s="1091" t="s">
        <v>1564</v>
      </c>
    </row>
    <row r="243" spans="1:11">
      <c r="A243" s="346" t="s">
        <v>1567</v>
      </c>
      <c r="B243" s="1724"/>
      <c r="C243" s="1724"/>
      <c r="D243" s="1724"/>
      <c r="E243" s="1724"/>
      <c r="F243" s="750"/>
      <c r="G243" s="1091"/>
      <c r="H243" s="1736"/>
      <c r="I243" s="1091"/>
      <c r="J243" s="1733">
        <v>1566.0569491525425</v>
      </c>
      <c r="K243" s="1091" t="s">
        <v>1564</v>
      </c>
    </row>
    <row r="244" spans="1:11" ht="26.25">
      <c r="A244" s="346" t="s">
        <v>1932</v>
      </c>
      <c r="B244" s="1724"/>
      <c r="C244" s="1724"/>
      <c r="D244" s="1724"/>
      <c r="E244" s="1724"/>
      <c r="F244" s="1737"/>
      <c r="G244" s="1737"/>
      <c r="H244" s="1738"/>
      <c r="I244" s="1091"/>
      <c r="J244" s="1734">
        <v>1764.3217892566749</v>
      </c>
      <c r="K244" s="1091" t="s">
        <v>1564</v>
      </c>
    </row>
    <row r="245" spans="1:11" ht="25.5">
      <c r="A245" s="346" t="s">
        <v>1934</v>
      </c>
      <c r="B245" s="1724"/>
      <c r="C245" s="1724"/>
      <c r="D245" s="1724"/>
      <c r="E245" s="1724"/>
      <c r="F245" s="1737"/>
      <c r="G245" s="1737"/>
      <c r="H245" s="1738"/>
      <c r="I245" s="1091"/>
      <c r="J245" s="1734">
        <v>1017.5554489681884</v>
      </c>
      <c r="K245" s="1091" t="s">
        <v>1954</v>
      </c>
    </row>
    <row r="246" spans="1:11">
      <c r="A246" s="346" t="s">
        <v>1937</v>
      </c>
      <c r="B246" s="1724"/>
      <c r="C246" s="1724"/>
      <c r="D246" s="1724"/>
      <c r="E246" s="1724"/>
      <c r="F246" s="1737"/>
      <c r="G246" s="1737"/>
      <c r="H246" s="1738"/>
      <c r="I246" s="1091"/>
      <c r="J246" s="1734">
        <v>2634.6000000000004</v>
      </c>
      <c r="K246" s="1091" t="s">
        <v>1564</v>
      </c>
    </row>
    <row r="247" spans="1:11" s="94" customFormat="1">
      <c r="A247" s="93"/>
      <c r="B247" s="95"/>
      <c r="C247" s="95"/>
      <c r="D247" s="95"/>
      <c r="E247" s="95"/>
      <c r="F247" s="95"/>
      <c r="G247" s="95"/>
      <c r="H247" s="95"/>
      <c r="I247" s="95"/>
      <c r="J247" s="95"/>
      <c r="K247" s="95"/>
    </row>
    <row r="248" spans="1:11" s="5" customFormat="1" ht="20.25" customHeight="1">
      <c r="A248" s="74" t="s">
        <v>1860</v>
      </c>
      <c r="I248" s="6" t="s">
        <v>783</v>
      </c>
      <c r="J248" s="6"/>
      <c r="K248" s="6" t="s">
        <v>783</v>
      </c>
    </row>
    <row r="249" spans="1:11" ht="12.75" customHeight="1">
      <c r="A249" s="1644" t="str">
        <f>'4.11_КТЭЦ'!A2</f>
        <v>ПКГО - Комбинированная выработка КТЭЦ</v>
      </c>
    </row>
    <row r="250" spans="1:11" ht="18.75">
      <c r="A250" s="1877" t="s">
        <v>532</v>
      </c>
      <c r="B250" s="1877"/>
      <c r="C250" s="1877"/>
      <c r="D250" s="1877"/>
      <c r="E250" s="1877"/>
      <c r="F250" s="1877"/>
      <c r="G250" s="1877"/>
      <c r="H250" s="1877"/>
      <c r="I250" s="1877"/>
      <c r="J250" s="1643"/>
    </row>
    <row r="251" spans="1:11" ht="25.5" customHeight="1">
      <c r="A251" s="1877" t="s">
        <v>1194</v>
      </c>
      <c r="B251" s="1877"/>
      <c r="C251" s="1877"/>
      <c r="D251" s="1877"/>
      <c r="E251" s="1877"/>
      <c r="F251" s="1877"/>
      <c r="G251" s="1877"/>
      <c r="H251" s="1877"/>
      <c r="I251" s="1877"/>
      <c r="J251" s="1643"/>
    </row>
    <row r="252" spans="1:11" ht="14.25" customHeight="1">
      <c r="I252" s="23" t="s">
        <v>360</v>
      </c>
      <c r="J252" s="23"/>
      <c r="K252" s="23" t="s">
        <v>360</v>
      </c>
    </row>
    <row r="253" spans="1:11" s="3" customFormat="1" ht="81" customHeight="1">
      <c r="A253" s="12" t="s">
        <v>533</v>
      </c>
      <c r="B253" s="1586" t="s">
        <v>1735</v>
      </c>
      <c r="C253" s="1586" t="s">
        <v>1736</v>
      </c>
      <c r="D253" s="1586" t="s">
        <v>1737</v>
      </c>
      <c r="E253" s="1586" t="s">
        <v>1843</v>
      </c>
      <c r="F253" s="1586" t="s">
        <v>1844</v>
      </c>
      <c r="G253" s="1586" t="s">
        <v>1845</v>
      </c>
      <c r="H253" s="1586" t="s">
        <v>1846</v>
      </c>
      <c r="I253" s="1586" t="s">
        <v>1847</v>
      </c>
      <c r="J253" s="1641" t="s">
        <v>1878</v>
      </c>
      <c r="K253" s="1641" t="s">
        <v>1877</v>
      </c>
    </row>
    <row r="254" spans="1:11" s="21" customFormat="1">
      <c r="A254" s="40">
        <v>1</v>
      </c>
      <c r="B254" s="40">
        <v>2</v>
      </c>
      <c r="C254" s="40">
        <v>3</v>
      </c>
      <c r="D254" s="40">
        <v>4</v>
      </c>
      <c r="E254" s="40">
        <v>5</v>
      </c>
      <c r="F254" s="40">
        <v>6</v>
      </c>
      <c r="G254" s="40">
        <v>7</v>
      </c>
      <c r="H254" s="40">
        <v>8</v>
      </c>
      <c r="I254" s="40">
        <v>9</v>
      </c>
      <c r="J254" s="40">
        <v>10</v>
      </c>
      <c r="K254" s="40">
        <v>11</v>
      </c>
    </row>
    <row r="255" spans="1:11" s="88" customFormat="1" ht="14.25">
      <c r="A255" s="86" t="s">
        <v>349</v>
      </c>
      <c r="B255" s="87">
        <f t="shared" ref="B255:J255" si="6">SUM(B257:B290)</f>
        <v>0</v>
      </c>
      <c r="C255" s="87">
        <f t="shared" si="6"/>
        <v>7104.9769999999999</v>
      </c>
      <c r="D255" s="87">
        <f t="shared" si="6"/>
        <v>0</v>
      </c>
      <c r="E255" s="87">
        <f t="shared" si="6"/>
        <v>0</v>
      </c>
      <c r="F255" s="87">
        <f t="shared" si="6"/>
        <v>9441.4106818864566</v>
      </c>
      <c r="G255" s="87">
        <f t="shared" si="6"/>
        <v>0</v>
      </c>
      <c r="H255" s="87">
        <f t="shared" si="6"/>
        <v>2154.226855408534</v>
      </c>
      <c r="I255" s="87">
        <f t="shared" si="6"/>
        <v>0</v>
      </c>
      <c r="J255" s="87">
        <f t="shared" si="6"/>
        <v>1252.9760294895723</v>
      </c>
      <c r="K255" s="87">
        <f t="shared" ref="K255" si="7">SUM(K257:K290)</f>
        <v>0</v>
      </c>
    </row>
    <row r="256" spans="1:11" s="42" customFormat="1">
      <c r="A256" s="55" t="s">
        <v>534</v>
      </c>
      <c r="B256" s="55"/>
      <c r="C256" s="55"/>
      <c r="D256" s="55"/>
      <c r="E256" s="55"/>
      <c r="F256" s="50"/>
      <c r="G256" s="50"/>
      <c r="H256" s="50"/>
      <c r="I256" s="72"/>
      <c r="J256" s="72"/>
      <c r="K256" s="72"/>
    </row>
    <row r="257" spans="1:11" s="42" customFormat="1" ht="24.75" customHeight="1">
      <c r="A257" s="346" t="s">
        <v>1732</v>
      </c>
      <c r="B257" s="1724"/>
      <c r="C257" s="1733">
        <v>6701</v>
      </c>
      <c r="D257" s="1091" t="s">
        <v>1564</v>
      </c>
      <c r="E257" s="1724"/>
      <c r="F257" s="750"/>
      <c r="G257" s="750"/>
      <c r="H257" s="750"/>
      <c r="I257" s="1724"/>
      <c r="J257" s="750"/>
      <c r="K257" s="1724"/>
    </row>
    <row r="258" spans="1:11" s="42" customFormat="1" ht="39">
      <c r="A258" s="346" t="s">
        <v>1733</v>
      </c>
      <c r="B258" s="1724"/>
      <c r="C258" s="1733">
        <v>42.475999999999999</v>
      </c>
      <c r="D258" s="1091" t="s">
        <v>1564</v>
      </c>
      <c r="E258" s="1724"/>
      <c r="F258" s="750"/>
      <c r="G258" s="750"/>
      <c r="H258" s="750"/>
      <c r="I258" s="1724"/>
      <c r="J258" s="750"/>
      <c r="K258" s="1724"/>
    </row>
    <row r="259" spans="1:11" s="42" customFormat="1" ht="38.25">
      <c r="A259" s="345" t="s">
        <v>1734</v>
      </c>
      <c r="B259" s="1724"/>
      <c r="C259" s="1733">
        <v>74.591999999999985</v>
      </c>
      <c r="D259" s="1091" t="s">
        <v>1564</v>
      </c>
      <c r="E259" s="1724"/>
      <c r="F259" s="750"/>
      <c r="G259" s="750"/>
      <c r="H259" s="750"/>
      <c r="I259" s="1724"/>
      <c r="J259" s="750"/>
      <c r="K259" s="1724"/>
    </row>
    <row r="260" spans="1:11" s="42" customFormat="1" ht="38.25">
      <c r="A260" s="345" t="s">
        <v>1908</v>
      </c>
      <c r="B260" s="1724"/>
      <c r="C260" s="1733">
        <v>42.217000000000006</v>
      </c>
      <c r="D260" s="1091" t="s">
        <v>1564</v>
      </c>
      <c r="E260" s="1724"/>
      <c r="F260" s="750"/>
      <c r="G260" s="750"/>
      <c r="H260" s="750"/>
      <c r="I260" s="1724"/>
      <c r="J260" s="750"/>
      <c r="K260" s="1724"/>
    </row>
    <row r="261" spans="1:11" ht="25.5">
      <c r="A261" s="345" t="s">
        <v>1723</v>
      </c>
      <c r="B261" s="1724"/>
      <c r="C261" s="1733">
        <v>5.4359999999999999</v>
      </c>
      <c r="D261" s="1091" t="s">
        <v>1564</v>
      </c>
      <c r="E261" s="1724"/>
      <c r="F261" s="750"/>
      <c r="G261" s="750"/>
      <c r="H261" s="750"/>
      <c r="I261" s="1724"/>
      <c r="J261" s="750"/>
      <c r="K261" s="1724"/>
    </row>
    <row r="262" spans="1:11">
      <c r="A262" s="346" t="s">
        <v>998</v>
      </c>
      <c r="B262" s="1724"/>
      <c r="C262" s="1733">
        <v>121.212</v>
      </c>
      <c r="D262" s="1091" t="s">
        <v>1564</v>
      </c>
      <c r="E262" s="1724"/>
      <c r="F262" s="750"/>
      <c r="G262" s="750"/>
      <c r="H262" s="750"/>
      <c r="I262" s="1724"/>
      <c r="J262" s="750"/>
      <c r="K262" s="1724"/>
    </row>
    <row r="263" spans="1:11">
      <c r="A263" s="346" t="s">
        <v>977</v>
      </c>
      <c r="B263" s="1724"/>
      <c r="C263" s="1733">
        <v>100.908</v>
      </c>
      <c r="D263" s="1091" t="s">
        <v>1564</v>
      </c>
      <c r="E263" s="1724"/>
      <c r="F263" s="750"/>
      <c r="G263" s="750"/>
      <c r="H263" s="750"/>
      <c r="I263" s="1724"/>
      <c r="J263" s="750"/>
      <c r="K263" s="1724"/>
    </row>
    <row r="264" spans="1:11">
      <c r="A264" s="346" t="s">
        <v>1567</v>
      </c>
      <c r="B264" s="1724"/>
      <c r="C264" s="1733">
        <v>17.136000000000003</v>
      </c>
      <c r="D264" s="1091" t="s">
        <v>1564</v>
      </c>
      <c r="E264" s="1724"/>
      <c r="F264" s="750"/>
      <c r="G264" s="750"/>
      <c r="H264" s="750"/>
      <c r="I264" s="1724"/>
      <c r="J264" s="750"/>
      <c r="K264" s="1724"/>
    </row>
    <row r="265" spans="1:11" ht="25.5">
      <c r="A265" s="345" t="s">
        <v>1732</v>
      </c>
      <c r="B265" s="1724"/>
      <c r="C265" s="1731"/>
      <c r="D265" s="1091"/>
      <c r="E265" s="1724"/>
      <c r="F265" s="1734">
        <v>8235.7092583790763</v>
      </c>
      <c r="G265" s="750" t="s">
        <v>1564</v>
      </c>
      <c r="H265" s="750"/>
      <c r="I265" s="1724"/>
      <c r="J265" s="750"/>
      <c r="K265" s="1724"/>
    </row>
    <row r="266" spans="1:11" ht="51">
      <c r="A266" s="345" t="s">
        <v>1923</v>
      </c>
      <c r="B266" s="1724"/>
      <c r="C266" s="1731"/>
      <c r="D266" s="1091"/>
      <c r="E266" s="1724"/>
      <c r="F266" s="1734">
        <v>81.214087000154265</v>
      </c>
      <c r="G266" s="750" t="s">
        <v>1564</v>
      </c>
      <c r="H266" s="750"/>
      <c r="I266" s="1724"/>
      <c r="J266" s="750"/>
      <c r="K266" s="1724"/>
    </row>
    <row r="267" spans="1:11" ht="51.75">
      <c r="A267" s="346" t="s">
        <v>1924</v>
      </c>
      <c r="B267" s="1724"/>
      <c r="C267" s="1724"/>
      <c r="D267" s="1724"/>
      <c r="E267" s="1724"/>
      <c r="F267" s="1734">
        <v>65.495231451737311</v>
      </c>
      <c r="G267" s="1091" t="s">
        <v>1564</v>
      </c>
      <c r="H267" s="750"/>
      <c r="I267" s="1091"/>
      <c r="J267" s="750"/>
      <c r="K267" s="1091"/>
    </row>
    <row r="268" spans="1:11" ht="51.75">
      <c r="A268" s="346" t="s">
        <v>1925</v>
      </c>
      <c r="B268" s="1724"/>
      <c r="C268" s="1724"/>
      <c r="D268" s="1724"/>
      <c r="E268" s="1724"/>
      <c r="F268" s="1734">
        <v>91.69332403243223</v>
      </c>
      <c r="G268" s="1091" t="s">
        <v>1564</v>
      </c>
      <c r="H268" s="750"/>
      <c r="I268" s="1091"/>
      <c r="J268" s="750"/>
      <c r="K268" s="1091"/>
    </row>
    <row r="269" spans="1:11" ht="39">
      <c r="A269" s="346" t="s">
        <v>1926</v>
      </c>
      <c r="B269" s="1724"/>
      <c r="C269" s="1724"/>
      <c r="D269" s="1724"/>
      <c r="E269" s="1724"/>
      <c r="F269" s="1734">
        <v>65.495231451737311</v>
      </c>
      <c r="G269" s="1091" t="s">
        <v>1564</v>
      </c>
      <c r="H269" s="750"/>
      <c r="I269" s="1091"/>
      <c r="J269" s="750"/>
      <c r="K269" s="1091"/>
    </row>
    <row r="270" spans="1:11" ht="39">
      <c r="A270" s="346" t="s">
        <v>1927</v>
      </c>
      <c r="B270" s="1724"/>
      <c r="C270" s="1724"/>
      <c r="D270" s="1724"/>
      <c r="E270" s="1724"/>
      <c r="F270" s="1734">
        <v>20.95847406455594</v>
      </c>
      <c r="G270" s="1091" t="s">
        <v>1564</v>
      </c>
      <c r="H270" s="750"/>
      <c r="I270" s="1091"/>
      <c r="J270" s="750"/>
      <c r="K270" s="1091"/>
    </row>
    <row r="271" spans="1:11" ht="39">
      <c r="A271" s="346" t="s">
        <v>1928</v>
      </c>
      <c r="B271" s="1724"/>
      <c r="C271" s="1724"/>
      <c r="D271" s="1724"/>
      <c r="E271" s="1724"/>
      <c r="F271" s="1734">
        <v>65.495231451737311</v>
      </c>
      <c r="G271" s="1091" t="s">
        <v>1564</v>
      </c>
      <c r="H271" s="750"/>
      <c r="I271" s="1091"/>
      <c r="J271" s="750"/>
      <c r="K271" s="1091"/>
    </row>
    <row r="272" spans="1:11" ht="39">
      <c r="A272" s="346" t="s">
        <v>1929</v>
      </c>
      <c r="B272" s="1724"/>
      <c r="C272" s="1724"/>
      <c r="D272" s="1724"/>
      <c r="E272" s="1724"/>
      <c r="F272" s="1734">
        <v>147.4952612293124</v>
      </c>
      <c r="G272" s="1091" t="s">
        <v>1564</v>
      </c>
      <c r="H272" s="750"/>
      <c r="I272" s="1091"/>
      <c r="J272" s="750"/>
      <c r="K272" s="1091"/>
    </row>
    <row r="273" spans="1:11">
      <c r="A273" s="346" t="s">
        <v>1930</v>
      </c>
      <c r="B273" s="1724"/>
      <c r="C273" s="1724"/>
      <c r="D273" s="1724"/>
      <c r="E273" s="1724"/>
      <c r="F273" s="1739">
        <v>0.25900000000000001</v>
      </c>
      <c r="G273" s="1091" t="s">
        <v>1564</v>
      </c>
      <c r="H273" s="750"/>
      <c r="I273" s="1091"/>
      <c r="J273" s="750"/>
      <c r="K273" s="1091"/>
    </row>
    <row r="274" spans="1:11">
      <c r="A274" s="346" t="s">
        <v>1931</v>
      </c>
      <c r="B274" s="1724"/>
      <c r="C274" s="1724"/>
      <c r="D274" s="1724"/>
      <c r="E274" s="1724"/>
      <c r="F274" s="1734">
        <v>410.66864406779655</v>
      </c>
      <c r="G274" s="1091" t="s">
        <v>1564</v>
      </c>
      <c r="H274" s="750"/>
      <c r="I274" s="1091"/>
      <c r="J274" s="750"/>
      <c r="K274" s="1091"/>
    </row>
    <row r="275" spans="1:11" ht="26.25">
      <c r="A275" s="346" t="s">
        <v>1932</v>
      </c>
      <c r="B275" s="1724"/>
      <c r="C275" s="1724"/>
      <c r="D275" s="1724"/>
      <c r="E275" s="1724"/>
      <c r="F275" s="1734">
        <v>182.07168588899947</v>
      </c>
      <c r="G275" s="1091" t="s">
        <v>1564</v>
      </c>
      <c r="H275" s="750"/>
      <c r="I275" s="1091"/>
      <c r="J275" s="750"/>
      <c r="K275" s="1091"/>
    </row>
    <row r="276" spans="1:11" ht="39">
      <c r="A276" s="346" t="s">
        <v>1933</v>
      </c>
      <c r="B276" s="1724"/>
      <c r="C276" s="1724"/>
      <c r="D276" s="1724"/>
      <c r="E276" s="1724"/>
      <c r="F276" s="1734">
        <v>9.1399986316277744</v>
      </c>
      <c r="G276" s="1091" t="s">
        <v>1564</v>
      </c>
      <c r="H276" s="750"/>
      <c r="I276" s="1091"/>
      <c r="J276" s="750"/>
      <c r="K276" s="1091"/>
    </row>
    <row r="277" spans="1:11">
      <c r="A277" s="346" t="s">
        <v>1567</v>
      </c>
      <c r="B277" s="1724"/>
      <c r="C277" s="1724"/>
      <c r="D277" s="1724"/>
      <c r="E277" s="1724"/>
      <c r="F277" s="1734">
        <v>65.715254237288136</v>
      </c>
      <c r="G277" s="1091" t="s">
        <v>1564</v>
      </c>
      <c r="H277" s="750"/>
      <c r="I277" s="1091"/>
      <c r="J277" s="750"/>
      <c r="K277" s="1091"/>
    </row>
    <row r="278" spans="1:11" ht="39">
      <c r="A278" s="346" t="s">
        <v>1947</v>
      </c>
      <c r="B278" s="1724"/>
      <c r="C278" s="1724"/>
      <c r="D278" s="1724"/>
      <c r="E278" s="1724"/>
      <c r="F278" s="750"/>
      <c r="G278" s="1091"/>
      <c r="H278" s="1734">
        <v>1163.3159228601814</v>
      </c>
      <c r="I278" s="1091" t="s">
        <v>1564</v>
      </c>
      <c r="J278" s="750"/>
      <c r="K278" s="1091"/>
    </row>
    <row r="279" spans="1:11" ht="39">
      <c r="A279" s="346" t="s">
        <v>1948</v>
      </c>
      <c r="B279" s="1724"/>
      <c r="C279" s="1724"/>
      <c r="D279" s="1724"/>
      <c r="E279" s="1724"/>
      <c r="F279" s="750"/>
      <c r="G279" s="1091"/>
      <c r="H279" s="1734">
        <v>27.863854439764836</v>
      </c>
      <c r="I279" s="1091" t="s">
        <v>1564</v>
      </c>
      <c r="J279" s="750"/>
      <c r="K279" s="1091"/>
    </row>
    <row r="280" spans="1:11">
      <c r="A280" s="346" t="s">
        <v>1953</v>
      </c>
      <c r="B280" s="1724"/>
      <c r="C280" s="1724"/>
      <c r="D280" s="1724"/>
      <c r="E280" s="1724"/>
      <c r="F280" s="750"/>
      <c r="G280" s="1091"/>
      <c r="H280" s="1734">
        <v>517.48199999999986</v>
      </c>
      <c r="I280" s="1091" t="s">
        <v>1564</v>
      </c>
      <c r="J280" s="750"/>
      <c r="K280" s="1091"/>
    </row>
    <row r="281" spans="1:11">
      <c r="A281" s="346" t="s">
        <v>1567</v>
      </c>
      <c r="B281" s="1724"/>
      <c r="C281" s="1724"/>
      <c r="D281" s="1724"/>
      <c r="E281" s="1724"/>
      <c r="F281" s="750"/>
      <c r="G281" s="1091"/>
      <c r="H281" s="1734">
        <v>139.68</v>
      </c>
      <c r="I281" s="1091" t="s">
        <v>1564</v>
      </c>
      <c r="J281" s="750"/>
      <c r="K281" s="1091"/>
    </row>
    <row r="282" spans="1:11" ht="26.25">
      <c r="A282" s="346" t="s">
        <v>1932</v>
      </c>
      <c r="B282" s="1724"/>
      <c r="C282" s="1724"/>
      <c r="D282" s="1724"/>
      <c r="E282" s="1724"/>
      <c r="F282" s="750"/>
      <c r="G282" s="1091"/>
      <c r="H282" s="1734">
        <v>305.88507810858795</v>
      </c>
      <c r="I282" s="1091" t="s">
        <v>1564</v>
      </c>
      <c r="J282" s="750"/>
      <c r="K282" s="1091"/>
    </row>
    <row r="283" spans="1:11" ht="39">
      <c r="A283" s="346" t="s">
        <v>1947</v>
      </c>
      <c r="B283" s="1724"/>
      <c r="C283" s="1724"/>
      <c r="D283" s="1724"/>
      <c r="E283" s="1724"/>
      <c r="F283" s="750"/>
      <c r="G283" s="1091"/>
      <c r="H283" s="750"/>
      <c r="I283" s="1091"/>
      <c r="J283" s="1734">
        <v>331.28354379622527</v>
      </c>
      <c r="K283" s="1091" t="s">
        <v>1564</v>
      </c>
    </row>
    <row r="284" spans="1:11" ht="51.75">
      <c r="A284" s="346" t="s">
        <v>1949</v>
      </c>
      <c r="B284" s="1724"/>
      <c r="C284" s="1724"/>
      <c r="D284" s="1724"/>
      <c r="E284" s="1724"/>
      <c r="F284" s="750"/>
      <c r="G284" s="1091"/>
      <c r="H284" s="750"/>
      <c r="I284" s="1091"/>
      <c r="J284" s="1734">
        <v>33.128354379622522</v>
      </c>
      <c r="K284" s="1091" t="s">
        <v>1564</v>
      </c>
    </row>
    <row r="285" spans="1:11" ht="51.75">
      <c r="A285" s="346" t="s">
        <v>1950</v>
      </c>
      <c r="B285" s="1724"/>
      <c r="C285" s="1724"/>
      <c r="D285" s="1724"/>
      <c r="E285" s="1724"/>
      <c r="F285" s="750"/>
      <c r="G285" s="1091"/>
      <c r="H285" s="750"/>
      <c r="I285" s="1091"/>
      <c r="J285" s="1734">
        <v>45.17502869948526</v>
      </c>
      <c r="K285" s="1091" t="s">
        <v>1564</v>
      </c>
    </row>
    <row r="286" spans="1:11" ht="39">
      <c r="A286" s="346" t="s">
        <v>1951</v>
      </c>
      <c r="B286" s="1724"/>
      <c r="C286" s="1724"/>
      <c r="D286" s="1724"/>
      <c r="E286" s="1724"/>
      <c r="F286" s="750"/>
      <c r="G286" s="1091"/>
      <c r="H286" s="750"/>
      <c r="I286" s="1091"/>
      <c r="J286" s="1734">
        <v>54.210034439382305</v>
      </c>
      <c r="K286" s="1091" t="s">
        <v>1564</v>
      </c>
    </row>
    <row r="287" spans="1:11" ht="38.25">
      <c r="A287" s="345" t="s">
        <v>1952</v>
      </c>
      <c r="B287" s="1724"/>
      <c r="C287" s="1724"/>
      <c r="D287" s="1724"/>
      <c r="E287" s="1724"/>
      <c r="F287" s="750"/>
      <c r="G287" s="1091"/>
      <c r="H287" s="750"/>
      <c r="I287" s="1091"/>
      <c r="J287" s="1734">
        <v>12.046674319862735</v>
      </c>
      <c r="K287" s="1091" t="s">
        <v>1564</v>
      </c>
    </row>
    <row r="288" spans="1:11">
      <c r="A288" s="345" t="s">
        <v>1953</v>
      </c>
      <c r="B288" s="1724"/>
      <c r="C288" s="1724"/>
      <c r="D288" s="1724"/>
      <c r="E288" s="1724"/>
      <c r="F288" s="750"/>
      <c r="G288" s="1091"/>
      <c r="H288" s="750"/>
      <c r="I288" s="1091"/>
      <c r="J288" s="1734">
        <v>191.142</v>
      </c>
      <c r="K288" s="1091" t="s">
        <v>1564</v>
      </c>
    </row>
    <row r="289" spans="1:11">
      <c r="A289" s="345" t="s">
        <v>1567</v>
      </c>
      <c r="B289" s="1724"/>
      <c r="C289" s="1724"/>
      <c r="D289" s="1724"/>
      <c r="E289" s="1724"/>
      <c r="F289" s="750"/>
      <c r="G289" s="1091"/>
      <c r="H289" s="750"/>
      <c r="I289" s="1091"/>
      <c r="J289" s="1734">
        <v>275.55254237288142</v>
      </c>
      <c r="K289" s="1091" t="s">
        <v>1564</v>
      </c>
    </row>
    <row r="290" spans="1:11" ht="26.25">
      <c r="A290" s="346" t="s">
        <v>1932</v>
      </c>
      <c r="B290" s="1724"/>
      <c r="C290" s="1724"/>
      <c r="D290" s="1724"/>
      <c r="E290" s="1724"/>
      <c r="F290" s="750"/>
      <c r="G290" s="750"/>
      <c r="H290" s="750"/>
      <c r="I290" s="1091"/>
      <c r="J290" s="1734">
        <v>310.43785148211288</v>
      </c>
      <c r="K290" s="1091" t="s">
        <v>1564</v>
      </c>
    </row>
    <row r="291" spans="1:11" s="90" customFormat="1">
      <c r="A291" s="93"/>
      <c r="B291" s="95"/>
      <c r="C291" s="95"/>
      <c r="D291" s="95"/>
      <c r="E291" s="95"/>
      <c r="F291" s="95"/>
      <c r="G291" s="95"/>
      <c r="H291" s="95"/>
      <c r="I291" s="95"/>
      <c r="J291" s="95"/>
      <c r="K291" s="95"/>
    </row>
  </sheetData>
  <mergeCells count="8">
    <mergeCell ref="A171:I171"/>
    <mergeCell ref="A250:I250"/>
    <mergeCell ref="A251:I251"/>
    <mergeCell ref="A3:I3"/>
    <mergeCell ref="A113:I113"/>
    <mergeCell ref="A4:I4"/>
    <mergeCell ref="A114:I114"/>
    <mergeCell ref="A170:I170"/>
  </mergeCells>
  <pageMargins left="0.78740157480314965" right="0.51181102362204722" top="0.59055118110236227" bottom="0.39370078740157483" header="0.19685039370078741" footer="0.19685039370078741"/>
  <pageSetup paperSize="9" scale="46" orientation="portrait" r:id="rId1"/>
  <headerFooter alignWithMargins="0"/>
  <rowBreaks count="4" manualBreakCount="4">
    <brk id="56" max="8" man="1"/>
    <brk id="110" max="8" man="1"/>
    <brk id="167" max="8" man="1"/>
    <brk id="247" max="8" man="1"/>
  </rowBreak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K284"/>
  <sheetViews>
    <sheetView view="pageBreakPreview" zoomScaleNormal="100" workbookViewId="0">
      <pane xSplit="1" ySplit="6" topLeftCell="B7" activePane="bottomRight" state="frozen"/>
      <selection activeCell="F4" sqref="F4"/>
      <selection pane="topRight" activeCell="F4" sqref="F4"/>
      <selection pane="bottomLeft" activeCell="F4" sqref="F4"/>
      <selection pane="bottomRight" activeCell="F4" sqref="F4"/>
    </sheetView>
  </sheetViews>
  <sheetFormatPr defaultColWidth="0.85546875" defaultRowHeight="15" outlineLevelRow="1"/>
  <cols>
    <col min="1" max="1" width="41.42578125" style="1" customWidth="1"/>
    <col min="2" max="5" width="13.5703125" style="1" customWidth="1"/>
    <col min="6" max="6" width="13.42578125" style="1" customWidth="1"/>
    <col min="7" max="7" width="15.28515625" style="1" customWidth="1"/>
    <col min="8" max="8" width="13.85546875" style="1" customWidth="1"/>
    <col min="9" max="9" width="15.7109375" style="1" customWidth="1"/>
    <col min="10" max="10" width="13.85546875" style="1" customWidth="1"/>
    <col min="11" max="11" width="14.85546875" style="1" customWidth="1"/>
    <col min="12" max="260" width="4.5703125" style="1" customWidth="1"/>
    <col min="261" max="16384" width="0.85546875" style="1"/>
  </cols>
  <sheetData>
    <row r="1" spans="1:11" s="5" customFormat="1" ht="20.25" customHeight="1">
      <c r="A1" s="74" t="s">
        <v>1860</v>
      </c>
      <c r="I1" s="6"/>
      <c r="J1" s="6"/>
      <c r="K1" s="6" t="s">
        <v>781</v>
      </c>
    </row>
    <row r="2" spans="1:11" ht="12.75" customHeight="1">
      <c r="A2" s="105" t="str">
        <f>'4.11_котельные'!A2</f>
        <v>ПКГО - выработка котельными</v>
      </c>
    </row>
    <row r="3" spans="1:11" ht="18.75">
      <c r="A3" s="1877" t="s">
        <v>532</v>
      </c>
      <c r="B3" s="1877"/>
      <c r="C3" s="1877"/>
      <c r="D3" s="1877"/>
      <c r="E3" s="1877"/>
      <c r="F3" s="1877"/>
      <c r="G3" s="1877"/>
      <c r="H3" s="1877"/>
      <c r="I3" s="1877"/>
      <c r="J3" s="1643"/>
      <c r="K3" s="1309"/>
    </row>
    <row r="4" spans="1:11" ht="25.5" customHeight="1">
      <c r="A4" s="1877" t="s">
        <v>1188</v>
      </c>
      <c r="B4" s="1877"/>
      <c r="C4" s="1877"/>
      <c r="D4" s="1877"/>
      <c r="E4" s="1877"/>
      <c r="F4" s="1877"/>
      <c r="G4" s="1877"/>
      <c r="H4" s="1877"/>
      <c r="I4" s="1877"/>
      <c r="J4" s="1643"/>
    </row>
    <row r="5" spans="1:11" ht="14.25" customHeight="1">
      <c r="I5" s="23"/>
      <c r="J5" s="23"/>
      <c r="K5" s="23" t="s">
        <v>360</v>
      </c>
    </row>
    <row r="6" spans="1:11" s="3" customFormat="1" ht="81" customHeight="1">
      <c r="A6" s="540" t="s">
        <v>533</v>
      </c>
      <c r="B6" s="1586" t="s">
        <v>1735</v>
      </c>
      <c r="C6" s="1586" t="s">
        <v>1736</v>
      </c>
      <c r="D6" s="1586" t="s">
        <v>1737</v>
      </c>
      <c r="E6" s="1586" t="s">
        <v>1843</v>
      </c>
      <c r="F6" s="1586" t="s">
        <v>1844</v>
      </c>
      <c r="G6" s="1586" t="s">
        <v>1845</v>
      </c>
      <c r="H6" s="1586" t="s">
        <v>1846</v>
      </c>
      <c r="I6" s="1586" t="s">
        <v>1847</v>
      </c>
      <c r="J6" s="1641" t="s">
        <v>1878</v>
      </c>
      <c r="K6" s="1641" t="s">
        <v>1877</v>
      </c>
    </row>
    <row r="7" spans="1:11" s="21" customFormat="1">
      <c r="A7" s="40">
        <v>1</v>
      </c>
      <c r="B7" s="40">
        <v>2</v>
      </c>
      <c r="C7" s="40">
        <v>3</v>
      </c>
      <c r="D7" s="40">
        <v>4</v>
      </c>
      <c r="E7" s="40">
        <v>5</v>
      </c>
      <c r="F7" s="40">
        <v>6</v>
      </c>
      <c r="G7" s="40">
        <v>7</v>
      </c>
      <c r="H7" s="40">
        <v>8</v>
      </c>
      <c r="I7" s="40">
        <v>9</v>
      </c>
      <c r="J7" s="40">
        <v>10</v>
      </c>
      <c r="K7" s="40">
        <v>11</v>
      </c>
    </row>
    <row r="8" spans="1:11" s="88" customFormat="1" ht="14.25">
      <c r="A8" s="86" t="s">
        <v>349</v>
      </c>
      <c r="B8" s="87">
        <f>SUM(B10:B53)</f>
        <v>0</v>
      </c>
      <c r="C8" s="87"/>
      <c r="D8" s="87"/>
      <c r="E8" s="87"/>
      <c r="F8" s="87">
        <f t="shared" ref="F8:J8" si="0">SUM(F10:F53)</f>
        <v>0</v>
      </c>
      <c r="G8" s="87">
        <f t="shared" si="0"/>
        <v>0</v>
      </c>
      <c r="H8" s="87">
        <f t="shared" si="0"/>
        <v>0</v>
      </c>
      <c r="I8" s="87">
        <f t="shared" si="0"/>
        <v>0</v>
      </c>
      <c r="J8" s="87">
        <f t="shared" si="0"/>
        <v>0</v>
      </c>
      <c r="K8" s="87">
        <f t="shared" ref="K8" si="1">SUM(K10:K53)</f>
        <v>0</v>
      </c>
    </row>
    <row r="9" spans="1:11" s="42" customFormat="1">
      <c r="A9" s="55" t="s">
        <v>534</v>
      </c>
      <c r="B9" s="55"/>
      <c r="C9" s="55"/>
      <c r="D9" s="55"/>
      <c r="E9" s="55"/>
      <c r="F9" s="50"/>
      <c r="G9" s="50"/>
      <c r="H9" s="50"/>
      <c r="I9" s="72"/>
      <c r="J9" s="72"/>
      <c r="K9" s="72"/>
    </row>
    <row r="10" spans="1:11" s="42" customFormat="1" hidden="1" outlineLevel="1">
      <c r="A10" s="72"/>
      <c r="B10" s="72"/>
      <c r="C10" s="72"/>
      <c r="D10" s="72"/>
      <c r="E10" s="72"/>
      <c r="F10" s="50"/>
      <c r="G10" s="50"/>
      <c r="H10" s="50"/>
      <c r="I10" s="72"/>
      <c r="J10" s="72"/>
      <c r="K10" s="72"/>
    </row>
    <row r="11" spans="1:11" s="42" customFormat="1" hidden="1" outlineLevel="1">
      <c r="A11" s="72"/>
      <c r="B11" s="72"/>
      <c r="C11" s="72"/>
      <c r="D11" s="72"/>
      <c r="E11" s="72"/>
      <c r="F11" s="50"/>
      <c r="G11" s="50"/>
      <c r="H11" s="50"/>
      <c r="I11" s="72"/>
      <c r="J11" s="72"/>
      <c r="K11" s="72"/>
    </row>
    <row r="12" spans="1:11" s="42" customFormat="1" hidden="1" outlineLevel="1">
      <c r="A12" s="72"/>
      <c r="B12" s="72"/>
      <c r="C12" s="72"/>
      <c r="D12" s="72"/>
      <c r="E12" s="72"/>
      <c r="F12" s="50"/>
      <c r="G12" s="50"/>
      <c r="H12" s="50"/>
      <c r="I12" s="72"/>
      <c r="J12" s="72"/>
      <c r="K12" s="72"/>
    </row>
    <row r="13" spans="1:11" s="42" customFormat="1" hidden="1" outlineLevel="1">
      <c r="A13" s="72"/>
      <c r="B13" s="72"/>
      <c r="C13" s="72"/>
      <c r="D13" s="72"/>
      <c r="E13" s="72"/>
      <c r="F13" s="50"/>
      <c r="G13" s="50"/>
      <c r="H13" s="50"/>
      <c r="I13" s="72"/>
      <c r="J13" s="72"/>
      <c r="K13" s="72"/>
    </row>
    <row r="14" spans="1:11" hidden="1" outlineLevel="1">
      <c r="A14" s="72"/>
      <c r="B14" s="72"/>
      <c r="C14" s="72"/>
      <c r="D14" s="72"/>
      <c r="E14" s="72"/>
      <c r="F14" s="50"/>
      <c r="G14" s="50"/>
      <c r="H14" s="50"/>
      <c r="I14" s="72"/>
      <c r="J14" s="72"/>
      <c r="K14" s="72"/>
    </row>
    <row r="15" spans="1:11" hidden="1" outlineLevel="1">
      <c r="A15" s="72"/>
      <c r="B15" s="72"/>
      <c r="C15" s="72"/>
      <c r="D15" s="72"/>
      <c r="E15" s="72"/>
      <c r="F15" s="50"/>
      <c r="G15" s="50"/>
      <c r="H15" s="50"/>
      <c r="I15" s="72"/>
      <c r="J15" s="72"/>
      <c r="K15" s="72"/>
    </row>
    <row r="16" spans="1:11" hidden="1" outlineLevel="1">
      <c r="A16" s="72"/>
      <c r="B16" s="72"/>
      <c r="C16" s="72"/>
      <c r="D16" s="72"/>
      <c r="E16" s="72"/>
      <c r="F16" s="50"/>
      <c r="G16" s="50"/>
      <c r="H16" s="50"/>
      <c r="I16" s="72"/>
      <c r="J16" s="72"/>
      <c r="K16" s="72"/>
    </row>
    <row r="17" spans="1:11" hidden="1" outlineLevel="1">
      <c r="A17" s="72"/>
      <c r="B17" s="72"/>
      <c r="C17" s="72"/>
      <c r="D17" s="72"/>
      <c r="E17" s="72"/>
      <c r="F17" s="50"/>
      <c r="G17" s="50"/>
      <c r="H17" s="50"/>
      <c r="I17" s="72"/>
      <c r="J17" s="72"/>
      <c r="K17" s="72"/>
    </row>
    <row r="18" spans="1:11" hidden="1" outlineLevel="1">
      <c r="A18" s="72"/>
      <c r="B18" s="72"/>
      <c r="C18" s="72"/>
      <c r="D18" s="72"/>
      <c r="E18" s="72"/>
      <c r="F18" s="50"/>
      <c r="G18" s="50"/>
      <c r="H18" s="50"/>
      <c r="I18" s="72"/>
      <c r="J18" s="72"/>
      <c r="K18" s="72"/>
    </row>
    <row r="19" spans="1:11" hidden="1" outlineLevel="1">
      <c r="A19" s="72"/>
      <c r="B19" s="72"/>
      <c r="C19" s="72"/>
      <c r="D19" s="72"/>
      <c r="E19" s="72"/>
      <c r="F19" s="50"/>
      <c r="G19" s="50"/>
      <c r="H19" s="50"/>
      <c r="I19" s="72"/>
      <c r="J19" s="72"/>
      <c r="K19" s="72"/>
    </row>
    <row r="20" spans="1:11" hidden="1" outlineLevel="1">
      <c r="A20" s="72"/>
      <c r="B20" s="72"/>
      <c r="C20" s="72"/>
      <c r="D20" s="72"/>
      <c r="E20" s="72"/>
      <c r="F20" s="50"/>
      <c r="G20" s="50"/>
      <c r="H20" s="50"/>
      <c r="I20" s="72"/>
      <c r="J20" s="72"/>
      <c r="K20" s="72"/>
    </row>
    <row r="21" spans="1:11" hidden="1" outlineLevel="1">
      <c r="A21" s="72"/>
      <c r="B21" s="72"/>
      <c r="C21" s="72"/>
      <c r="D21" s="72"/>
      <c r="E21" s="72"/>
      <c r="F21" s="50"/>
      <c r="G21" s="50"/>
      <c r="H21" s="50"/>
      <c r="I21" s="72"/>
      <c r="J21" s="72"/>
      <c r="K21" s="72"/>
    </row>
    <row r="22" spans="1:11" hidden="1" outlineLevel="1">
      <c r="A22" s="72"/>
      <c r="B22" s="72"/>
      <c r="C22" s="72"/>
      <c r="D22" s="72"/>
      <c r="E22" s="72"/>
      <c r="F22" s="50"/>
      <c r="G22" s="50"/>
      <c r="H22" s="50"/>
      <c r="I22" s="72"/>
      <c r="J22" s="72"/>
      <c r="K22" s="72"/>
    </row>
    <row r="23" spans="1:11" hidden="1" outlineLevel="1">
      <c r="A23" s="72"/>
      <c r="B23" s="72"/>
      <c r="C23" s="72"/>
      <c r="D23" s="72"/>
      <c r="E23" s="72"/>
      <c r="F23" s="50"/>
      <c r="G23" s="50"/>
      <c r="H23" s="50"/>
      <c r="I23" s="72"/>
      <c r="J23" s="72"/>
      <c r="K23" s="72"/>
    </row>
    <row r="24" spans="1:11" hidden="1" outlineLevel="1">
      <c r="A24" s="72"/>
      <c r="B24" s="72"/>
      <c r="C24" s="72"/>
      <c r="D24" s="72"/>
      <c r="E24" s="72"/>
      <c r="F24" s="50"/>
      <c r="G24" s="50"/>
      <c r="H24" s="50"/>
      <c r="I24" s="72"/>
      <c r="J24" s="72"/>
      <c r="K24" s="72"/>
    </row>
    <row r="25" spans="1:11" hidden="1" outlineLevel="1">
      <c r="A25" s="72"/>
      <c r="B25" s="72"/>
      <c r="C25" s="72"/>
      <c r="D25" s="72"/>
      <c r="E25" s="72"/>
      <c r="F25" s="50"/>
      <c r="G25" s="50"/>
      <c r="H25" s="50"/>
      <c r="I25" s="72"/>
      <c r="J25" s="72"/>
      <c r="K25" s="72"/>
    </row>
    <row r="26" spans="1:11" hidden="1" outlineLevel="1">
      <c r="A26" s="72"/>
      <c r="B26" s="72"/>
      <c r="C26" s="72"/>
      <c r="D26" s="72"/>
      <c r="E26" s="72"/>
      <c r="F26" s="50"/>
      <c r="G26" s="50"/>
      <c r="H26" s="50"/>
      <c r="I26" s="72"/>
      <c r="J26" s="72"/>
      <c r="K26" s="72"/>
    </row>
    <row r="27" spans="1:11" hidden="1" outlineLevel="1">
      <c r="A27" s="72"/>
      <c r="B27" s="72"/>
      <c r="C27" s="72"/>
      <c r="D27" s="72"/>
      <c r="E27" s="72"/>
      <c r="F27" s="50"/>
      <c r="G27" s="50"/>
      <c r="H27" s="50"/>
      <c r="I27" s="72"/>
      <c r="J27" s="72"/>
      <c r="K27" s="72"/>
    </row>
    <row r="28" spans="1:11" hidden="1" outlineLevel="1">
      <c r="A28" s="72"/>
      <c r="B28" s="72"/>
      <c r="C28" s="72"/>
      <c r="D28" s="72"/>
      <c r="E28" s="72"/>
      <c r="F28" s="50"/>
      <c r="G28" s="50"/>
      <c r="H28" s="50"/>
      <c r="I28" s="72"/>
      <c r="J28" s="72"/>
      <c r="K28" s="72"/>
    </row>
    <row r="29" spans="1:11" hidden="1" outlineLevel="1">
      <c r="A29" s="72"/>
      <c r="B29" s="72"/>
      <c r="C29" s="72"/>
      <c r="D29" s="72"/>
      <c r="E29" s="72"/>
      <c r="F29" s="50"/>
      <c r="G29" s="50"/>
      <c r="H29" s="50"/>
      <c r="I29" s="72"/>
      <c r="J29" s="72"/>
      <c r="K29" s="72"/>
    </row>
    <row r="30" spans="1:11" hidden="1" outlineLevel="1">
      <c r="A30" s="72"/>
      <c r="B30" s="72"/>
      <c r="C30" s="72"/>
      <c r="D30" s="72"/>
      <c r="E30" s="72"/>
      <c r="F30" s="50"/>
      <c r="G30" s="50"/>
      <c r="H30" s="50"/>
      <c r="I30" s="72"/>
      <c r="J30" s="72"/>
      <c r="K30" s="72"/>
    </row>
    <row r="31" spans="1:11" hidden="1" outlineLevel="1">
      <c r="A31" s="72"/>
      <c r="B31" s="72"/>
      <c r="C31" s="72"/>
      <c r="D31" s="72"/>
      <c r="E31" s="72"/>
      <c r="F31" s="50"/>
      <c r="G31" s="50"/>
      <c r="H31" s="50"/>
      <c r="I31" s="72"/>
      <c r="J31" s="72"/>
      <c r="K31" s="72"/>
    </row>
    <row r="32" spans="1:11" hidden="1" outlineLevel="1">
      <c r="A32" s="72"/>
      <c r="B32" s="72"/>
      <c r="C32" s="72"/>
      <c r="D32" s="72"/>
      <c r="E32" s="72"/>
      <c r="F32" s="50"/>
      <c r="G32" s="50"/>
      <c r="H32" s="50"/>
      <c r="I32" s="72"/>
      <c r="J32" s="72"/>
      <c r="K32" s="72"/>
    </row>
    <row r="33" spans="1:11" hidden="1" outlineLevel="1">
      <c r="A33" s="72"/>
      <c r="B33" s="72"/>
      <c r="C33" s="72"/>
      <c r="D33" s="72"/>
      <c r="E33" s="72"/>
      <c r="F33" s="50"/>
      <c r="G33" s="50"/>
      <c r="H33" s="50"/>
      <c r="I33" s="72"/>
      <c r="J33" s="72"/>
      <c r="K33" s="72"/>
    </row>
    <row r="34" spans="1:11" hidden="1" outlineLevel="1">
      <c r="A34" s="72"/>
      <c r="B34" s="72"/>
      <c r="C34" s="72"/>
      <c r="D34" s="72"/>
      <c r="E34" s="72"/>
      <c r="F34" s="50"/>
      <c r="G34" s="50"/>
      <c r="H34" s="50"/>
      <c r="I34" s="72"/>
      <c r="J34" s="72"/>
      <c r="K34" s="72"/>
    </row>
    <row r="35" spans="1:11" hidden="1" outlineLevel="1">
      <c r="A35" s="72"/>
      <c r="B35" s="72"/>
      <c r="C35" s="72"/>
      <c r="D35" s="72"/>
      <c r="E35" s="72"/>
      <c r="F35" s="50"/>
      <c r="G35" s="50"/>
      <c r="H35" s="50"/>
      <c r="I35" s="72"/>
      <c r="J35" s="72"/>
      <c r="K35" s="72"/>
    </row>
    <row r="36" spans="1:11" hidden="1" outlineLevel="1">
      <c r="A36" s="72"/>
      <c r="B36" s="72"/>
      <c r="C36" s="72"/>
      <c r="D36" s="72"/>
      <c r="E36" s="72"/>
      <c r="F36" s="50"/>
      <c r="G36" s="50"/>
      <c r="H36" s="50"/>
      <c r="I36" s="72"/>
      <c r="J36" s="72"/>
      <c r="K36" s="72"/>
    </row>
    <row r="37" spans="1:11" hidden="1" outlineLevel="1">
      <c r="A37" s="72"/>
      <c r="B37" s="72"/>
      <c r="C37" s="72"/>
      <c r="D37" s="72"/>
      <c r="E37" s="72"/>
      <c r="F37" s="50"/>
      <c r="G37" s="50"/>
      <c r="H37" s="50"/>
      <c r="I37" s="72"/>
      <c r="J37" s="72"/>
      <c r="K37" s="72"/>
    </row>
    <row r="38" spans="1:11" hidden="1" outlineLevel="1">
      <c r="A38" s="72"/>
      <c r="B38" s="72"/>
      <c r="C38" s="72"/>
      <c r="D38" s="72"/>
      <c r="E38" s="72"/>
      <c r="F38" s="50"/>
      <c r="G38" s="50"/>
      <c r="H38" s="50"/>
      <c r="I38" s="72"/>
      <c r="J38" s="72"/>
      <c r="K38" s="72"/>
    </row>
    <row r="39" spans="1:11" hidden="1" outlineLevel="1">
      <c r="A39" s="72"/>
      <c r="B39" s="72"/>
      <c r="C39" s="72"/>
      <c r="D39" s="72"/>
      <c r="E39" s="72"/>
      <c r="F39" s="50"/>
      <c r="G39" s="50"/>
      <c r="H39" s="50"/>
      <c r="I39" s="72"/>
      <c r="J39" s="72"/>
      <c r="K39" s="72"/>
    </row>
    <row r="40" spans="1:11" hidden="1" outlineLevel="1">
      <c r="A40" s="72"/>
      <c r="B40" s="72"/>
      <c r="C40" s="72"/>
      <c r="D40" s="72"/>
      <c r="E40" s="72"/>
      <c r="F40" s="50"/>
      <c r="G40" s="50"/>
      <c r="H40" s="50"/>
      <c r="I40" s="72"/>
      <c r="J40" s="72"/>
      <c r="K40" s="72"/>
    </row>
    <row r="41" spans="1:11" hidden="1" outlineLevel="1">
      <c r="A41" s="72"/>
      <c r="B41" s="72"/>
      <c r="C41" s="72"/>
      <c r="D41" s="72"/>
      <c r="E41" s="72"/>
      <c r="F41" s="50"/>
      <c r="G41" s="50"/>
      <c r="H41" s="50"/>
      <c r="I41" s="72"/>
      <c r="J41" s="72"/>
      <c r="K41" s="72"/>
    </row>
    <row r="42" spans="1:11" hidden="1" outlineLevel="1">
      <c r="A42" s="72"/>
      <c r="B42" s="72"/>
      <c r="C42" s="72"/>
      <c r="D42" s="72"/>
      <c r="E42" s="72"/>
      <c r="F42" s="50"/>
      <c r="G42" s="50"/>
      <c r="H42" s="50"/>
      <c r="I42" s="72"/>
      <c r="J42" s="72"/>
      <c r="K42" s="72"/>
    </row>
    <row r="43" spans="1:11" hidden="1" outlineLevel="1">
      <c r="A43" s="72"/>
      <c r="B43" s="72"/>
      <c r="C43" s="72"/>
      <c r="D43" s="72"/>
      <c r="E43" s="72"/>
      <c r="F43" s="50"/>
      <c r="G43" s="50"/>
      <c r="H43" s="50"/>
      <c r="I43" s="72"/>
      <c r="J43" s="72"/>
      <c r="K43" s="72"/>
    </row>
    <row r="44" spans="1:11" hidden="1" outlineLevel="1">
      <c r="A44" s="72"/>
      <c r="B44" s="72"/>
      <c r="C44" s="72"/>
      <c r="D44" s="72"/>
      <c r="E44" s="72"/>
      <c r="F44" s="50"/>
      <c r="G44" s="50"/>
      <c r="H44" s="50"/>
      <c r="I44" s="72"/>
      <c r="J44" s="72"/>
      <c r="K44" s="72"/>
    </row>
    <row r="45" spans="1:11" hidden="1" outlineLevel="1">
      <c r="A45" s="72"/>
      <c r="B45" s="72"/>
      <c r="C45" s="72"/>
      <c r="D45" s="72"/>
      <c r="E45" s="72"/>
      <c r="F45" s="50"/>
      <c r="G45" s="50"/>
      <c r="H45" s="50"/>
      <c r="I45" s="72"/>
      <c r="J45" s="72"/>
      <c r="K45" s="72"/>
    </row>
    <row r="46" spans="1:11" hidden="1" outlineLevel="1">
      <c r="A46" s="72"/>
      <c r="B46" s="72"/>
      <c r="C46" s="72"/>
      <c r="D46" s="72"/>
      <c r="E46" s="72"/>
      <c r="F46" s="50"/>
      <c r="G46" s="50"/>
      <c r="H46" s="50"/>
      <c r="I46" s="72"/>
      <c r="J46" s="72"/>
      <c r="K46" s="72"/>
    </row>
    <row r="47" spans="1:11" hidden="1" outlineLevel="1">
      <c r="A47" s="72"/>
      <c r="B47" s="72"/>
      <c r="C47" s="72"/>
      <c r="D47" s="72"/>
      <c r="E47" s="72"/>
      <c r="F47" s="50"/>
      <c r="G47" s="50"/>
      <c r="H47" s="50"/>
      <c r="I47" s="72"/>
      <c r="J47" s="72"/>
      <c r="K47" s="72"/>
    </row>
    <row r="48" spans="1:11" hidden="1" outlineLevel="1">
      <c r="A48" s="72"/>
      <c r="B48" s="72"/>
      <c r="C48" s="72"/>
      <c r="D48" s="72"/>
      <c r="E48" s="72"/>
      <c r="F48" s="50"/>
      <c r="G48" s="50"/>
      <c r="H48" s="50"/>
      <c r="I48" s="72"/>
      <c r="J48" s="72"/>
      <c r="K48" s="72"/>
    </row>
    <row r="49" spans="1:11" hidden="1" outlineLevel="1">
      <c r="A49" s="72"/>
      <c r="B49" s="72"/>
      <c r="C49" s="72"/>
      <c r="D49" s="72"/>
      <c r="E49" s="72"/>
      <c r="F49" s="50"/>
      <c r="G49" s="50"/>
      <c r="H49" s="50"/>
      <c r="I49" s="72"/>
      <c r="J49" s="72"/>
      <c r="K49" s="72"/>
    </row>
    <row r="50" spans="1:11" hidden="1" outlineLevel="1">
      <c r="A50" s="72"/>
      <c r="B50" s="72"/>
      <c r="C50" s="72"/>
      <c r="D50" s="72"/>
      <c r="E50" s="72"/>
      <c r="F50" s="50"/>
      <c r="G50" s="50"/>
      <c r="H50" s="50"/>
      <c r="I50" s="72"/>
      <c r="J50" s="72"/>
      <c r="K50" s="72"/>
    </row>
    <row r="51" spans="1:11" hidden="1" outlineLevel="1">
      <c r="A51" s="72"/>
      <c r="B51" s="72"/>
      <c r="C51" s="72"/>
      <c r="D51" s="72"/>
      <c r="E51" s="72"/>
      <c r="F51" s="50"/>
      <c r="G51" s="50"/>
      <c r="H51" s="50"/>
      <c r="I51" s="72"/>
      <c r="J51" s="72"/>
      <c r="K51" s="72"/>
    </row>
    <row r="52" spans="1:11" hidden="1" outlineLevel="1">
      <c r="A52" s="72"/>
      <c r="B52" s="72"/>
      <c r="C52" s="72"/>
      <c r="D52" s="72"/>
      <c r="E52" s="72"/>
      <c r="F52" s="50"/>
      <c r="G52" s="50"/>
      <c r="H52" s="50"/>
      <c r="I52" s="72"/>
      <c r="J52" s="72"/>
      <c r="K52" s="72"/>
    </row>
    <row r="53" spans="1:11" hidden="1" outlineLevel="1">
      <c r="A53" s="72"/>
      <c r="B53" s="72"/>
      <c r="C53" s="72"/>
      <c r="D53" s="72"/>
      <c r="E53" s="72"/>
      <c r="F53" s="50"/>
      <c r="G53" s="50"/>
      <c r="H53" s="50"/>
      <c r="I53" s="72"/>
      <c r="J53" s="72"/>
      <c r="K53" s="72"/>
    </row>
    <row r="54" spans="1:11" s="94" customFormat="1" collapsed="1">
      <c r="A54" s="93" t="s">
        <v>785</v>
      </c>
      <c r="B54" s="95">
        <f>B176+B230+B284-B8</f>
        <v>0</v>
      </c>
      <c r="C54" s="95">
        <f t="shared" ref="C54:E54" si="2">C176+C230+C284-C8</f>
        <v>0</v>
      </c>
      <c r="D54" s="95">
        <f t="shared" si="2"/>
        <v>0</v>
      </c>
      <c r="E54" s="95">
        <f t="shared" si="2"/>
        <v>0</v>
      </c>
      <c r="F54" s="95">
        <f t="shared" ref="F54:J54" si="3">F176+F230+F284-F8</f>
        <v>0</v>
      </c>
      <c r="G54" s="95">
        <f t="shared" si="3"/>
        <v>0</v>
      </c>
      <c r="H54" s="95">
        <f t="shared" si="3"/>
        <v>0</v>
      </c>
      <c r="I54" s="95">
        <f t="shared" si="3"/>
        <v>0</v>
      </c>
      <c r="J54" s="95">
        <f t="shared" si="3"/>
        <v>0</v>
      </c>
      <c r="K54" s="95">
        <f t="shared" ref="K54" si="4">K176+K230+K284-K8</f>
        <v>0</v>
      </c>
    </row>
    <row r="55" spans="1:11" s="5" customFormat="1" ht="20.25" customHeight="1">
      <c r="A55" s="74" t="s">
        <v>1860</v>
      </c>
      <c r="I55" s="6"/>
      <c r="J55" s="6"/>
      <c r="K55" s="6" t="s">
        <v>782</v>
      </c>
    </row>
    <row r="56" spans="1:11" ht="12.75" customHeight="1">
      <c r="A56" s="1644" t="str">
        <f>'4.11_котельные'!A2</f>
        <v>ПКГО - выработка котельными</v>
      </c>
    </row>
    <row r="57" spans="1:11" ht="18.75">
      <c r="A57" s="1877" t="s">
        <v>532</v>
      </c>
      <c r="B57" s="1877"/>
      <c r="C57" s="1877"/>
      <c r="D57" s="1877"/>
      <c r="E57" s="1877"/>
      <c r="F57" s="1877"/>
      <c r="G57" s="1877"/>
      <c r="H57" s="1877"/>
      <c r="I57" s="1877"/>
      <c r="J57" s="1643"/>
      <c r="K57" s="1643"/>
    </row>
    <row r="58" spans="1:11" ht="25.5" customHeight="1">
      <c r="A58" s="1877" t="s">
        <v>1189</v>
      </c>
      <c r="B58" s="1877"/>
      <c r="C58" s="1877"/>
      <c r="D58" s="1877"/>
      <c r="E58" s="1877"/>
      <c r="F58" s="1877"/>
      <c r="G58" s="1877"/>
      <c r="H58" s="1877"/>
      <c r="I58" s="1877"/>
      <c r="J58" s="1643"/>
      <c r="K58" s="1643"/>
    </row>
    <row r="59" spans="1:11" ht="14.25" customHeight="1">
      <c r="I59" s="23"/>
      <c r="J59" s="23"/>
      <c r="K59" s="23" t="s">
        <v>360</v>
      </c>
    </row>
    <row r="60" spans="1:11" s="3" customFormat="1" ht="81" customHeight="1">
      <c r="A60" s="540" t="s">
        <v>533</v>
      </c>
      <c r="B60" s="1586" t="s">
        <v>1735</v>
      </c>
      <c r="C60" s="1586" t="s">
        <v>1736</v>
      </c>
      <c r="D60" s="1586" t="s">
        <v>1737</v>
      </c>
      <c r="E60" s="1586" t="s">
        <v>1843</v>
      </c>
      <c r="F60" s="1586" t="s">
        <v>1844</v>
      </c>
      <c r="G60" s="1586" t="s">
        <v>1845</v>
      </c>
      <c r="H60" s="1586" t="s">
        <v>1846</v>
      </c>
      <c r="I60" s="1586" t="s">
        <v>1847</v>
      </c>
      <c r="J60" s="1641" t="s">
        <v>1878</v>
      </c>
      <c r="K60" s="1641" t="s">
        <v>1877</v>
      </c>
    </row>
    <row r="61" spans="1:11" s="21" customFormat="1">
      <c r="A61" s="40">
        <v>1</v>
      </c>
      <c r="B61" s="40">
        <v>2</v>
      </c>
      <c r="C61" s="40">
        <v>3</v>
      </c>
      <c r="D61" s="40">
        <v>4</v>
      </c>
      <c r="E61" s="40">
        <v>5</v>
      </c>
      <c r="F61" s="40">
        <v>6</v>
      </c>
      <c r="G61" s="40">
        <v>7</v>
      </c>
      <c r="H61" s="40">
        <v>8</v>
      </c>
      <c r="I61" s="40">
        <v>9</v>
      </c>
      <c r="J61" s="40">
        <v>10</v>
      </c>
      <c r="K61" s="40">
        <v>11</v>
      </c>
    </row>
    <row r="62" spans="1:11" s="88" customFormat="1" ht="14.25">
      <c r="A62" s="86" t="s">
        <v>349</v>
      </c>
      <c r="B62" s="87">
        <f>SUM(B64:B175)</f>
        <v>0</v>
      </c>
      <c r="C62" s="87"/>
      <c r="D62" s="87"/>
      <c r="E62" s="87"/>
      <c r="F62" s="87">
        <f>SUM(F64:F175)</f>
        <v>0</v>
      </c>
      <c r="G62" s="87">
        <f t="shared" ref="G62:J62" si="5">SUM(G64:G175)</f>
        <v>0</v>
      </c>
      <c r="H62" s="87">
        <f t="shared" si="5"/>
        <v>0</v>
      </c>
      <c r="I62" s="87">
        <f t="shared" si="5"/>
        <v>0</v>
      </c>
      <c r="J62" s="87">
        <f t="shared" si="5"/>
        <v>0</v>
      </c>
      <c r="K62" s="87">
        <f t="shared" ref="K62" si="6">SUM(K64:K175)</f>
        <v>7</v>
      </c>
    </row>
    <row r="63" spans="1:11" s="42" customFormat="1">
      <c r="A63" s="55" t="s">
        <v>534</v>
      </c>
      <c r="B63" s="347"/>
      <c r="C63" s="347"/>
      <c r="D63" s="347"/>
      <c r="E63" s="347"/>
      <c r="F63" s="347"/>
      <c r="G63" s="347"/>
      <c r="H63" s="347"/>
      <c r="I63" s="347"/>
      <c r="J63" s="347"/>
      <c r="K63" s="347"/>
    </row>
    <row r="64" spans="1:11" s="42" customFormat="1" ht="38.25" hidden="1">
      <c r="A64" s="343" t="s">
        <v>966</v>
      </c>
      <c r="B64" s="347"/>
      <c r="C64" s="347"/>
      <c r="D64" s="347"/>
      <c r="E64" s="347"/>
      <c r="F64" s="347"/>
      <c r="G64" s="347"/>
      <c r="H64" s="347"/>
      <c r="I64" s="347"/>
      <c r="J64" s="347"/>
      <c r="K64" s="347"/>
    </row>
    <row r="65" spans="1:11" s="42" customFormat="1" ht="25.5" hidden="1">
      <c r="A65" s="344" t="s">
        <v>967</v>
      </c>
      <c r="B65" s="347"/>
      <c r="C65" s="347"/>
      <c r="D65" s="347"/>
      <c r="E65" s="347"/>
      <c r="F65" s="347"/>
      <c r="G65" s="347"/>
      <c r="H65" s="347"/>
      <c r="I65" s="347"/>
      <c r="J65" s="347"/>
      <c r="K65" s="347"/>
    </row>
    <row r="66" spans="1:11" s="42" customFormat="1" ht="25.5" hidden="1">
      <c r="A66" s="345" t="s">
        <v>968</v>
      </c>
      <c r="B66" s="347"/>
      <c r="C66" s="347"/>
      <c r="D66" s="347"/>
      <c r="E66" s="347"/>
      <c r="F66" s="347"/>
      <c r="G66" s="347"/>
      <c r="H66" s="347"/>
      <c r="I66" s="347"/>
      <c r="J66" s="347"/>
      <c r="K66" s="347"/>
    </row>
    <row r="67" spans="1:11" s="42" customFormat="1" ht="25.5" hidden="1">
      <c r="A67" s="345" t="s">
        <v>969</v>
      </c>
      <c r="B67" s="347"/>
      <c r="C67" s="347"/>
      <c r="D67" s="347"/>
      <c r="E67" s="347"/>
      <c r="F67" s="347"/>
      <c r="G67" s="347"/>
      <c r="H67" s="347"/>
      <c r="I67" s="347"/>
      <c r="J67" s="347"/>
      <c r="K67" s="347"/>
    </row>
    <row r="68" spans="1:11" hidden="1">
      <c r="A68" s="343" t="s">
        <v>970</v>
      </c>
      <c r="B68" s="347"/>
      <c r="C68" s="347"/>
      <c r="D68" s="347"/>
      <c r="E68" s="347"/>
      <c r="F68" s="347"/>
      <c r="G68" s="347"/>
      <c r="H68" s="347"/>
      <c r="I68" s="347"/>
      <c r="J68" s="347"/>
      <c r="K68" s="347"/>
    </row>
    <row r="69" spans="1:11" ht="25.5" hidden="1">
      <c r="A69" s="345" t="s">
        <v>971</v>
      </c>
      <c r="B69" s="347"/>
      <c r="C69" s="347"/>
      <c r="D69" s="347"/>
      <c r="E69" s="347"/>
      <c r="F69" s="347"/>
      <c r="G69" s="347"/>
      <c r="H69" s="347"/>
      <c r="I69" s="347"/>
      <c r="J69" s="347"/>
      <c r="K69" s="347"/>
    </row>
    <row r="70" spans="1:11" ht="25.5" hidden="1">
      <c r="A70" s="345" t="s">
        <v>972</v>
      </c>
      <c r="B70" s="347"/>
      <c r="C70" s="347"/>
      <c r="D70" s="347"/>
      <c r="E70" s="347"/>
      <c r="F70" s="347"/>
      <c r="G70" s="347"/>
      <c r="H70" s="347"/>
      <c r="I70" s="347"/>
      <c r="J70" s="347"/>
      <c r="K70" s="347"/>
    </row>
    <row r="71" spans="1:11" ht="39" hidden="1">
      <c r="A71" s="346" t="s">
        <v>973</v>
      </c>
      <c r="B71" s="347"/>
      <c r="C71" s="347"/>
      <c r="D71" s="347"/>
      <c r="E71" s="347"/>
      <c r="F71" s="347"/>
      <c r="G71" s="347"/>
      <c r="H71" s="347"/>
      <c r="I71" s="347"/>
      <c r="J71" s="347"/>
      <c r="K71" s="347"/>
    </row>
    <row r="72" spans="1:11" ht="26.25" hidden="1">
      <c r="A72" s="346" t="s">
        <v>974</v>
      </c>
      <c r="B72" s="347"/>
      <c r="C72" s="347"/>
      <c r="D72" s="347"/>
      <c r="E72" s="347"/>
      <c r="F72" s="347"/>
      <c r="G72" s="347"/>
      <c r="H72" s="347"/>
      <c r="I72" s="347"/>
      <c r="J72" s="347"/>
      <c r="K72" s="347"/>
    </row>
    <row r="73" spans="1:11" ht="51.75" hidden="1">
      <c r="A73" s="346" t="s">
        <v>975</v>
      </c>
      <c r="B73" s="347"/>
      <c r="C73" s="347"/>
      <c r="D73" s="347"/>
      <c r="E73" s="347"/>
      <c r="F73" s="347"/>
      <c r="G73" s="347"/>
      <c r="H73" s="347"/>
      <c r="I73" s="347"/>
      <c r="J73" s="347"/>
      <c r="K73" s="347"/>
    </row>
    <row r="74" spans="1:11" hidden="1">
      <c r="A74" s="345" t="s">
        <v>976</v>
      </c>
      <c r="B74" s="347"/>
      <c r="C74" s="347"/>
      <c r="D74" s="347"/>
      <c r="E74" s="347"/>
      <c r="F74" s="347"/>
      <c r="G74" s="347"/>
      <c r="H74" s="347"/>
      <c r="I74" s="347"/>
      <c r="J74" s="347"/>
      <c r="K74" s="347"/>
    </row>
    <row r="75" spans="1:11" hidden="1">
      <c r="A75" s="345" t="s">
        <v>977</v>
      </c>
      <c r="B75" s="347"/>
      <c r="C75" s="347"/>
      <c r="D75" s="347"/>
      <c r="E75" s="347"/>
      <c r="F75" s="347"/>
      <c r="G75" s="347"/>
      <c r="H75" s="347"/>
      <c r="I75" s="347"/>
      <c r="J75" s="347"/>
      <c r="K75" s="347"/>
    </row>
    <row r="76" spans="1:11" ht="25.5" hidden="1">
      <c r="A76" s="345" t="s">
        <v>978</v>
      </c>
      <c r="B76" s="347"/>
      <c r="C76" s="347"/>
      <c r="D76" s="347"/>
      <c r="E76" s="347"/>
      <c r="F76" s="347"/>
      <c r="G76" s="347"/>
      <c r="H76" s="610"/>
      <c r="I76" s="348"/>
      <c r="J76" s="348"/>
      <c r="K76" s="348"/>
    </row>
    <row r="77" spans="1:11" hidden="1">
      <c r="A77" s="345" t="s">
        <v>970</v>
      </c>
      <c r="B77" s="347"/>
      <c r="C77" s="347"/>
      <c r="D77" s="347"/>
      <c r="E77" s="347"/>
      <c r="F77" s="347"/>
      <c r="G77" s="347"/>
      <c r="H77" s="611"/>
      <c r="I77" s="348"/>
      <c r="J77" s="348"/>
      <c r="K77" s="348"/>
    </row>
    <row r="78" spans="1:11" hidden="1">
      <c r="A78" s="343" t="s">
        <v>979</v>
      </c>
      <c r="B78" s="347"/>
      <c r="C78" s="347"/>
      <c r="D78" s="347"/>
      <c r="E78" s="347"/>
      <c r="F78" s="347"/>
      <c r="G78" s="347"/>
      <c r="H78" s="610"/>
      <c r="I78" s="348"/>
      <c r="J78" s="348"/>
      <c r="K78" s="348"/>
    </row>
    <row r="79" spans="1:11" hidden="1">
      <c r="A79" s="345" t="s">
        <v>980</v>
      </c>
      <c r="B79" s="347"/>
      <c r="C79" s="347"/>
      <c r="D79" s="347"/>
      <c r="E79" s="347"/>
      <c r="F79" s="347"/>
      <c r="G79" s="347"/>
      <c r="H79" s="610"/>
      <c r="I79" s="348"/>
      <c r="J79" s="348"/>
      <c r="K79" s="348"/>
    </row>
    <row r="80" spans="1:11" ht="25.5" hidden="1">
      <c r="A80" s="345" t="s">
        <v>981</v>
      </c>
      <c r="B80" s="347"/>
      <c r="C80" s="347"/>
      <c r="D80" s="347"/>
      <c r="E80" s="347"/>
      <c r="F80" s="347"/>
      <c r="G80" s="347"/>
      <c r="H80" s="610"/>
      <c r="I80" s="348"/>
      <c r="J80" s="348"/>
      <c r="K80" s="348"/>
    </row>
    <row r="81" spans="1:11" ht="25.5" hidden="1">
      <c r="A81" s="345" t="s">
        <v>982</v>
      </c>
      <c r="B81" s="347"/>
      <c r="C81" s="347"/>
      <c r="D81" s="347"/>
      <c r="E81" s="347"/>
      <c r="F81" s="347"/>
      <c r="G81" s="347"/>
      <c r="H81" s="610"/>
      <c r="I81" s="348"/>
      <c r="J81" s="348"/>
      <c r="K81" s="348"/>
    </row>
    <row r="82" spans="1:11" ht="25.5" hidden="1">
      <c r="A82" s="345" t="s">
        <v>983</v>
      </c>
      <c r="B82" s="347"/>
      <c r="C82" s="347"/>
      <c r="D82" s="347"/>
      <c r="E82" s="347"/>
      <c r="F82" s="347"/>
      <c r="G82" s="347"/>
      <c r="H82" s="610"/>
      <c r="I82" s="348"/>
      <c r="J82" s="1663"/>
    </row>
    <row r="83" spans="1:11" ht="38.25" hidden="1">
      <c r="A83" s="345" t="s">
        <v>984</v>
      </c>
      <c r="B83" s="347"/>
      <c r="C83" s="347"/>
      <c r="D83" s="347"/>
      <c r="E83" s="347"/>
      <c r="F83" s="347"/>
      <c r="G83" s="347"/>
      <c r="H83" s="610"/>
      <c r="I83" s="348"/>
      <c r="J83" s="1663"/>
    </row>
    <row r="84" spans="1:11" ht="51" hidden="1">
      <c r="A84" s="345" t="s">
        <v>985</v>
      </c>
      <c r="B84" s="347"/>
      <c r="C84" s="347"/>
      <c r="D84" s="347"/>
      <c r="E84" s="347"/>
      <c r="F84" s="347"/>
      <c r="G84" s="347"/>
      <c r="H84" s="610"/>
      <c r="I84" s="348"/>
      <c r="J84" s="1663"/>
    </row>
    <row r="85" spans="1:11" ht="25.5" hidden="1">
      <c r="A85" s="345" t="s">
        <v>986</v>
      </c>
      <c r="B85" s="347"/>
      <c r="C85" s="347"/>
      <c r="D85" s="347"/>
      <c r="E85" s="347"/>
      <c r="F85" s="347"/>
      <c r="G85" s="347"/>
      <c r="H85" s="610"/>
      <c r="I85" s="348"/>
      <c r="J85" s="348"/>
      <c r="K85" s="348"/>
    </row>
    <row r="86" spans="1:11" ht="25.5" hidden="1">
      <c r="A86" s="345" t="s">
        <v>987</v>
      </c>
      <c r="B86" s="347"/>
      <c r="C86" s="347"/>
      <c r="D86" s="347"/>
      <c r="E86" s="347"/>
      <c r="F86" s="347"/>
      <c r="G86" s="347"/>
      <c r="H86" s="610"/>
      <c r="I86" s="348"/>
      <c r="J86" s="348"/>
      <c r="K86" s="348"/>
    </row>
    <row r="87" spans="1:11" ht="38.25" hidden="1">
      <c r="A87" s="345" t="s">
        <v>988</v>
      </c>
      <c r="B87" s="347"/>
      <c r="C87" s="347"/>
      <c r="D87" s="347"/>
      <c r="E87" s="347"/>
      <c r="F87" s="347"/>
      <c r="G87" s="347"/>
      <c r="H87" s="610"/>
      <c r="I87" s="348"/>
      <c r="J87" s="348"/>
      <c r="K87" s="348"/>
    </row>
    <row r="88" spans="1:11" ht="25.5" hidden="1">
      <c r="A88" s="345" t="s">
        <v>989</v>
      </c>
      <c r="B88" s="347"/>
      <c r="C88" s="347"/>
      <c r="D88" s="347"/>
      <c r="E88" s="347"/>
      <c r="F88" s="347"/>
      <c r="G88" s="347"/>
      <c r="H88" s="610"/>
      <c r="I88" s="348"/>
      <c r="J88" s="348"/>
      <c r="K88" s="348"/>
    </row>
    <row r="89" spans="1:11" ht="25.5" hidden="1">
      <c r="A89" s="345" t="s">
        <v>990</v>
      </c>
      <c r="B89" s="347"/>
      <c r="C89" s="347"/>
      <c r="D89" s="347"/>
      <c r="E89" s="347"/>
      <c r="F89" s="347"/>
      <c r="G89" s="347"/>
      <c r="H89" s="610"/>
      <c r="I89" s="348"/>
      <c r="J89" s="348"/>
      <c r="K89" s="348"/>
    </row>
    <row r="90" spans="1:11" hidden="1">
      <c r="A90" s="343" t="s">
        <v>991</v>
      </c>
      <c r="B90" s="347"/>
      <c r="C90" s="347"/>
      <c r="D90" s="347"/>
      <c r="E90" s="347"/>
      <c r="F90" s="347"/>
      <c r="G90" s="347"/>
      <c r="H90" s="610"/>
      <c r="I90" s="348"/>
      <c r="J90" s="348"/>
      <c r="K90" s="348"/>
    </row>
    <row r="91" spans="1:11" hidden="1" outlineLevel="1">
      <c r="A91" s="345"/>
      <c r="B91" s="347"/>
      <c r="C91" s="347"/>
      <c r="D91" s="347"/>
      <c r="E91" s="347"/>
      <c r="F91" s="347"/>
      <c r="G91" s="347"/>
      <c r="H91" s="347"/>
      <c r="I91" s="347"/>
      <c r="J91" s="347"/>
      <c r="K91" s="347"/>
    </row>
    <row r="92" spans="1:11" hidden="1" outlineLevel="1">
      <c r="A92" s="345"/>
      <c r="B92" s="347"/>
      <c r="C92" s="347"/>
      <c r="D92" s="347"/>
      <c r="E92" s="347"/>
      <c r="F92" s="347"/>
      <c r="G92" s="347"/>
      <c r="H92" s="347"/>
      <c r="I92" s="347"/>
      <c r="J92" s="347"/>
      <c r="K92" s="347"/>
    </row>
    <row r="93" spans="1:11" hidden="1" outlineLevel="1">
      <c r="A93" s="345"/>
      <c r="B93" s="347"/>
      <c r="C93" s="347"/>
      <c r="D93" s="347"/>
      <c r="E93" s="347"/>
      <c r="F93" s="347"/>
      <c r="G93" s="347"/>
      <c r="H93" s="347"/>
      <c r="I93" s="347"/>
      <c r="J93" s="347"/>
      <c r="K93" s="347"/>
    </row>
    <row r="94" spans="1:11" hidden="1" outlineLevel="1">
      <c r="A94" s="345"/>
      <c r="B94" s="347"/>
      <c r="C94" s="347"/>
      <c r="D94" s="347"/>
      <c r="E94" s="347"/>
      <c r="F94" s="347"/>
      <c r="G94" s="347"/>
      <c r="H94" s="347"/>
      <c r="I94" s="347"/>
      <c r="J94" s="347"/>
      <c r="K94" s="347"/>
    </row>
    <row r="95" spans="1:11" hidden="1" outlineLevel="1">
      <c r="A95" s="345"/>
      <c r="B95" s="347"/>
      <c r="C95" s="347"/>
      <c r="D95" s="347"/>
      <c r="E95" s="347"/>
      <c r="F95" s="347"/>
      <c r="G95" s="347"/>
      <c r="H95" s="347"/>
      <c r="I95" s="347"/>
      <c r="J95" s="347"/>
      <c r="K95" s="347"/>
    </row>
    <row r="96" spans="1:11" hidden="1" outlineLevel="1">
      <c r="A96" s="345"/>
      <c r="B96" s="347"/>
      <c r="C96" s="347"/>
      <c r="D96" s="347"/>
      <c r="E96" s="347"/>
      <c r="F96" s="347"/>
      <c r="G96" s="347"/>
      <c r="H96" s="347"/>
      <c r="I96" s="347"/>
      <c r="J96" s="347"/>
      <c r="K96" s="347"/>
    </row>
    <row r="97" spans="1:11" hidden="1" outlineLevel="1">
      <c r="A97" s="345"/>
      <c r="B97" s="347"/>
      <c r="C97" s="347"/>
      <c r="D97" s="347"/>
      <c r="E97" s="347"/>
      <c r="F97" s="347"/>
      <c r="G97" s="347"/>
      <c r="H97" s="347"/>
      <c r="I97" s="347"/>
      <c r="J97" s="347"/>
      <c r="K97" s="347"/>
    </row>
    <row r="98" spans="1:11" hidden="1" outlineLevel="1">
      <c r="A98" s="345"/>
      <c r="B98" s="347"/>
      <c r="C98" s="347"/>
      <c r="D98" s="347"/>
      <c r="E98" s="347"/>
      <c r="F98" s="347"/>
      <c r="G98" s="347"/>
      <c r="H98" s="347"/>
      <c r="I98" s="347"/>
      <c r="J98" s="347"/>
      <c r="K98" s="347"/>
    </row>
    <row r="99" spans="1:11" hidden="1" outlineLevel="1">
      <c r="A99" s="345"/>
      <c r="B99" s="347"/>
      <c r="C99" s="347"/>
      <c r="D99" s="347"/>
      <c r="E99" s="347"/>
      <c r="F99" s="347"/>
      <c r="G99" s="347"/>
      <c r="H99" s="347"/>
      <c r="I99" s="347"/>
      <c r="J99" s="347"/>
      <c r="K99" s="347"/>
    </row>
    <row r="100" spans="1:11" hidden="1" outlineLevel="1">
      <c r="A100" s="345"/>
      <c r="B100" s="347"/>
      <c r="C100" s="347"/>
      <c r="D100" s="347"/>
      <c r="E100" s="347"/>
      <c r="F100" s="347"/>
      <c r="G100" s="347"/>
      <c r="H100" s="347"/>
      <c r="I100" s="347"/>
      <c r="J100" s="347"/>
      <c r="K100" s="347"/>
    </row>
    <row r="101" spans="1:11" hidden="1" outlineLevel="1">
      <c r="A101" s="345"/>
      <c r="B101" s="347"/>
      <c r="C101" s="347"/>
      <c r="D101" s="347"/>
      <c r="E101" s="347"/>
      <c r="F101" s="347"/>
      <c r="G101" s="347"/>
      <c r="H101" s="347"/>
      <c r="I101" s="347"/>
      <c r="J101" s="347"/>
      <c r="K101" s="347"/>
    </row>
    <row r="102" spans="1:11" hidden="1" outlineLevel="1">
      <c r="A102" s="345"/>
      <c r="B102" s="347"/>
      <c r="C102" s="347"/>
      <c r="D102" s="347"/>
      <c r="E102" s="347"/>
      <c r="F102" s="347"/>
      <c r="G102" s="347"/>
      <c r="H102" s="347"/>
      <c r="I102" s="347"/>
      <c r="J102" s="347"/>
      <c r="K102" s="347"/>
    </row>
    <row r="103" spans="1:11" hidden="1" outlineLevel="1">
      <c r="A103" s="345"/>
      <c r="B103" s="347"/>
      <c r="C103" s="347"/>
      <c r="D103" s="347"/>
      <c r="E103" s="347"/>
      <c r="F103" s="347"/>
      <c r="G103" s="347"/>
      <c r="H103" s="347"/>
      <c r="I103" s="347"/>
      <c r="J103" s="347"/>
      <c r="K103" s="347"/>
    </row>
    <row r="104" spans="1:11" hidden="1" outlineLevel="1">
      <c r="A104" s="345"/>
      <c r="B104" s="347"/>
      <c r="C104" s="347"/>
      <c r="D104" s="347"/>
      <c r="E104" s="347"/>
      <c r="F104" s="347"/>
      <c r="G104" s="347"/>
      <c r="H104" s="347"/>
      <c r="I104" s="347"/>
      <c r="J104" s="347"/>
      <c r="K104" s="347"/>
    </row>
    <row r="105" spans="1:11" hidden="1" outlineLevel="1">
      <c r="A105" s="345"/>
      <c r="B105" s="347"/>
      <c r="C105" s="347"/>
      <c r="D105" s="347"/>
      <c r="E105" s="347"/>
      <c r="F105" s="347"/>
      <c r="G105" s="347"/>
      <c r="H105" s="347"/>
      <c r="I105" s="347"/>
      <c r="J105" s="347"/>
      <c r="K105" s="347"/>
    </row>
    <row r="106" spans="1:11" hidden="1" outlineLevel="1">
      <c r="A106" s="345"/>
      <c r="B106" s="347"/>
      <c r="C106" s="347"/>
      <c r="D106" s="347"/>
      <c r="E106" s="347"/>
      <c r="F106" s="347"/>
      <c r="G106" s="347"/>
      <c r="H106" s="347"/>
      <c r="I106" s="347"/>
      <c r="J106" s="347"/>
      <c r="K106" s="347"/>
    </row>
    <row r="107" spans="1:11" hidden="1" outlineLevel="1">
      <c r="A107" s="345"/>
      <c r="B107" s="347"/>
      <c r="C107" s="347"/>
      <c r="D107" s="347"/>
      <c r="E107" s="347"/>
      <c r="F107" s="347"/>
      <c r="G107" s="347"/>
      <c r="H107" s="347"/>
      <c r="I107" s="347"/>
      <c r="J107" s="347"/>
      <c r="K107" s="347"/>
    </row>
    <row r="108" spans="1:11" hidden="1" outlineLevel="1">
      <c r="A108" s="345"/>
      <c r="B108" s="347"/>
      <c r="C108" s="347"/>
      <c r="D108" s="347"/>
      <c r="E108" s="347"/>
      <c r="F108" s="347"/>
      <c r="G108" s="347"/>
      <c r="H108" s="347"/>
      <c r="I108" s="347"/>
      <c r="J108" s="347"/>
      <c r="K108" s="347"/>
    </row>
    <row r="109" spans="1:11" hidden="1" outlineLevel="1">
      <c r="A109" s="345"/>
      <c r="B109" s="347"/>
      <c r="C109" s="347"/>
      <c r="D109" s="347"/>
      <c r="E109" s="347"/>
      <c r="F109" s="347"/>
      <c r="G109" s="347"/>
      <c r="H109" s="347"/>
      <c r="I109" s="347"/>
      <c r="J109" s="347"/>
      <c r="K109" s="347"/>
    </row>
    <row r="110" spans="1:11" hidden="1" outlineLevel="1">
      <c r="A110" s="345"/>
      <c r="B110" s="347"/>
      <c r="C110" s="347"/>
      <c r="D110" s="347"/>
      <c r="E110" s="347"/>
      <c r="F110" s="347"/>
      <c r="G110" s="347"/>
      <c r="H110" s="347"/>
      <c r="I110" s="347"/>
      <c r="J110" s="347"/>
      <c r="K110" s="347"/>
    </row>
    <row r="111" spans="1:11" hidden="1" outlineLevel="1">
      <c r="A111" s="345"/>
      <c r="B111" s="347"/>
      <c r="C111" s="347"/>
      <c r="D111" s="347"/>
      <c r="E111" s="347"/>
      <c r="F111" s="347"/>
      <c r="G111" s="347"/>
      <c r="H111" s="347"/>
      <c r="I111" s="347"/>
      <c r="J111" s="347"/>
      <c r="K111" s="347"/>
    </row>
    <row r="112" spans="1:11" hidden="1" outlineLevel="1">
      <c r="A112" s="345"/>
      <c r="B112" s="347"/>
      <c r="C112" s="347"/>
      <c r="D112" s="347"/>
      <c r="E112" s="347"/>
      <c r="F112" s="347"/>
      <c r="G112" s="347"/>
      <c r="H112" s="347"/>
      <c r="I112" s="347"/>
      <c r="J112" s="347"/>
      <c r="K112" s="347"/>
    </row>
    <row r="113" spans="1:11" hidden="1" outlineLevel="1">
      <c r="A113" s="345"/>
      <c r="B113" s="347"/>
      <c r="C113" s="347"/>
      <c r="D113" s="347"/>
      <c r="E113" s="347"/>
      <c r="F113" s="347"/>
      <c r="G113" s="347"/>
      <c r="H113" s="347"/>
      <c r="I113" s="347"/>
      <c r="J113" s="347"/>
      <c r="K113" s="347"/>
    </row>
    <row r="114" spans="1:11" hidden="1" outlineLevel="1">
      <c r="A114" s="345"/>
      <c r="B114" s="347"/>
      <c r="C114" s="347"/>
      <c r="D114" s="347"/>
      <c r="E114" s="347"/>
      <c r="F114" s="347"/>
      <c r="G114" s="347"/>
      <c r="H114" s="347"/>
      <c r="I114" s="347"/>
      <c r="J114" s="347"/>
      <c r="K114" s="347"/>
    </row>
    <row r="115" spans="1:11" hidden="1" outlineLevel="1">
      <c r="A115" s="345"/>
      <c r="B115" s="347"/>
      <c r="C115" s="347"/>
      <c r="D115" s="347"/>
      <c r="E115" s="347"/>
      <c r="F115" s="347"/>
      <c r="G115" s="347"/>
      <c r="H115" s="347"/>
      <c r="I115" s="347"/>
      <c r="J115" s="347"/>
      <c r="K115" s="347"/>
    </row>
    <row r="116" spans="1:11" hidden="1" outlineLevel="1">
      <c r="A116" s="345"/>
      <c r="B116" s="347"/>
      <c r="C116" s="347"/>
      <c r="D116" s="347"/>
      <c r="E116" s="347"/>
      <c r="F116" s="347"/>
      <c r="G116" s="347"/>
      <c r="H116" s="347"/>
      <c r="I116" s="347"/>
      <c r="J116" s="347"/>
      <c r="K116" s="347"/>
    </row>
    <row r="117" spans="1:11" hidden="1" outlineLevel="1">
      <c r="A117" s="345"/>
      <c r="B117" s="347"/>
      <c r="C117" s="347"/>
      <c r="D117" s="347"/>
      <c r="E117" s="347"/>
      <c r="F117" s="347"/>
      <c r="G117" s="347"/>
      <c r="H117" s="347"/>
      <c r="I117" s="347"/>
      <c r="J117" s="347"/>
      <c r="K117" s="347"/>
    </row>
    <row r="118" spans="1:11" hidden="1" outlineLevel="1">
      <c r="A118" s="345"/>
      <c r="B118" s="347"/>
      <c r="C118" s="347"/>
      <c r="D118" s="347"/>
      <c r="E118" s="347"/>
      <c r="F118" s="347"/>
      <c r="G118" s="347"/>
      <c r="H118" s="347"/>
      <c r="I118" s="347"/>
      <c r="J118" s="347"/>
      <c r="K118" s="347"/>
    </row>
    <row r="119" spans="1:11" hidden="1" outlineLevel="1">
      <c r="A119" s="345"/>
      <c r="B119" s="347"/>
      <c r="C119" s="347"/>
      <c r="D119" s="347"/>
      <c r="E119" s="347"/>
      <c r="F119" s="347"/>
      <c r="G119" s="347"/>
      <c r="H119" s="347"/>
      <c r="I119" s="347"/>
      <c r="J119" s="347"/>
      <c r="K119" s="347"/>
    </row>
    <row r="120" spans="1:11" hidden="1" outlineLevel="1">
      <c r="A120" s="345"/>
      <c r="B120" s="347"/>
      <c r="C120" s="347"/>
      <c r="D120" s="347"/>
      <c r="E120" s="347"/>
      <c r="F120" s="347"/>
      <c r="G120" s="347"/>
      <c r="H120" s="347"/>
      <c r="I120" s="347"/>
      <c r="J120" s="347"/>
      <c r="K120" s="347"/>
    </row>
    <row r="121" spans="1:11" hidden="1" outlineLevel="1">
      <c r="A121" s="345"/>
      <c r="B121" s="347"/>
      <c r="C121" s="347"/>
      <c r="D121" s="347"/>
      <c r="E121" s="347"/>
      <c r="F121" s="347"/>
      <c r="G121" s="347"/>
      <c r="H121" s="347"/>
      <c r="I121" s="347"/>
      <c r="J121" s="347"/>
      <c r="K121" s="347"/>
    </row>
    <row r="122" spans="1:11" hidden="1" outlineLevel="1">
      <c r="A122" s="345"/>
      <c r="B122" s="347"/>
      <c r="C122" s="347"/>
      <c r="D122" s="347"/>
      <c r="E122" s="347"/>
      <c r="F122" s="347"/>
      <c r="G122" s="347"/>
      <c r="H122" s="347"/>
      <c r="I122" s="347"/>
      <c r="J122" s="347"/>
      <c r="K122" s="347"/>
    </row>
    <row r="123" spans="1:11" hidden="1" outlineLevel="1">
      <c r="A123" s="345"/>
      <c r="B123" s="347"/>
      <c r="C123" s="347"/>
      <c r="D123" s="347"/>
      <c r="E123" s="347"/>
      <c r="F123" s="347"/>
      <c r="G123" s="347"/>
      <c r="H123" s="347"/>
      <c r="I123" s="347"/>
      <c r="J123" s="347"/>
      <c r="K123" s="347"/>
    </row>
    <row r="124" spans="1:11" hidden="1" outlineLevel="1">
      <c r="A124" s="345"/>
      <c r="B124" s="347"/>
      <c r="C124" s="347"/>
      <c r="D124" s="347"/>
      <c r="E124" s="347"/>
      <c r="F124" s="347"/>
      <c r="G124" s="347"/>
      <c r="H124" s="347"/>
      <c r="I124" s="347"/>
      <c r="J124" s="347"/>
      <c r="K124" s="347"/>
    </row>
    <row r="125" spans="1:11" hidden="1" outlineLevel="1">
      <c r="A125" s="345"/>
      <c r="B125" s="347"/>
      <c r="C125" s="347"/>
      <c r="D125" s="347"/>
      <c r="E125" s="347"/>
      <c r="F125" s="347"/>
      <c r="G125" s="347"/>
      <c r="H125" s="347"/>
      <c r="I125" s="347"/>
      <c r="J125" s="347"/>
      <c r="K125" s="347"/>
    </row>
    <row r="126" spans="1:11" hidden="1" outlineLevel="1">
      <c r="A126" s="345"/>
      <c r="B126" s="347"/>
      <c r="C126" s="347"/>
      <c r="D126" s="347"/>
      <c r="E126" s="347"/>
      <c r="F126" s="347"/>
      <c r="G126" s="347"/>
      <c r="H126" s="347"/>
      <c r="I126" s="347"/>
      <c r="J126" s="347"/>
      <c r="K126" s="347"/>
    </row>
    <row r="127" spans="1:11" hidden="1" outlineLevel="1">
      <c r="A127" s="345"/>
      <c r="B127" s="347"/>
      <c r="C127" s="347"/>
      <c r="D127" s="347"/>
      <c r="E127" s="347"/>
      <c r="F127" s="347"/>
      <c r="G127" s="347"/>
      <c r="H127" s="347"/>
      <c r="I127" s="347"/>
      <c r="J127" s="347"/>
      <c r="K127" s="347"/>
    </row>
    <row r="128" spans="1:11" hidden="1" outlineLevel="1">
      <c r="A128" s="345"/>
      <c r="B128" s="347"/>
      <c r="C128" s="347"/>
      <c r="D128" s="347"/>
      <c r="E128" s="347"/>
      <c r="F128" s="347"/>
      <c r="G128" s="347"/>
      <c r="H128" s="347"/>
      <c r="I128" s="347"/>
      <c r="J128" s="347"/>
      <c r="K128" s="347"/>
    </row>
    <row r="129" spans="1:11" hidden="1" outlineLevel="1">
      <c r="A129" s="345"/>
      <c r="B129" s="347"/>
      <c r="C129" s="347"/>
      <c r="D129" s="347"/>
      <c r="E129" s="347"/>
      <c r="F129" s="347"/>
      <c r="G129" s="347"/>
      <c r="H129" s="347"/>
      <c r="I129" s="347"/>
      <c r="J129" s="347"/>
      <c r="K129" s="347"/>
    </row>
    <row r="130" spans="1:11" hidden="1" outlineLevel="1">
      <c r="A130" s="345"/>
      <c r="B130" s="347"/>
      <c r="C130" s="347"/>
      <c r="D130" s="347"/>
      <c r="E130" s="347"/>
      <c r="F130" s="347"/>
      <c r="G130" s="347"/>
      <c r="H130" s="347"/>
      <c r="I130" s="347"/>
      <c r="J130" s="347"/>
      <c r="K130" s="347"/>
    </row>
    <row r="131" spans="1:11" hidden="1" outlineLevel="1">
      <c r="A131" s="345"/>
      <c r="B131" s="347"/>
      <c r="C131" s="347"/>
      <c r="D131" s="347"/>
      <c r="E131" s="347"/>
      <c r="F131" s="347"/>
      <c r="G131" s="347"/>
      <c r="H131" s="347"/>
      <c r="I131" s="347"/>
      <c r="J131" s="347"/>
      <c r="K131" s="347"/>
    </row>
    <row r="132" spans="1:11" hidden="1" outlineLevel="1">
      <c r="A132" s="345"/>
      <c r="B132" s="347"/>
      <c r="C132" s="347"/>
      <c r="D132" s="347"/>
      <c r="E132" s="347"/>
      <c r="F132" s="347"/>
      <c r="G132" s="347"/>
      <c r="H132" s="347"/>
      <c r="I132" s="347"/>
      <c r="J132" s="347"/>
      <c r="K132" s="347"/>
    </row>
    <row r="133" spans="1:11" hidden="1" outlineLevel="1">
      <c r="A133" s="345"/>
      <c r="B133" s="347"/>
      <c r="C133" s="347"/>
      <c r="D133" s="347"/>
      <c r="E133" s="347"/>
      <c r="F133" s="347"/>
      <c r="G133" s="347"/>
      <c r="H133" s="347"/>
      <c r="I133" s="347"/>
      <c r="J133" s="347"/>
      <c r="K133" s="347"/>
    </row>
    <row r="134" spans="1:11" hidden="1" outlineLevel="1">
      <c r="A134" s="345"/>
      <c r="B134" s="347"/>
      <c r="C134" s="347"/>
      <c r="D134" s="347"/>
      <c r="E134" s="347"/>
      <c r="F134" s="347"/>
      <c r="G134" s="347"/>
      <c r="H134" s="347"/>
      <c r="I134" s="347"/>
      <c r="J134" s="347"/>
      <c r="K134" s="347"/>
    </row>
    <row r="135" spans="1:11" hidden="1" outlineLevel="1">
      <c r="A135" s="345"/>
      <c r="B135" s="347"/>
      <c r="C135" s="347"/>
      <c r="D135" s="347"/>
      <c r="E135" s="347"/>
      <c r="F135" s="347"/>
      <c r="G135" s="347"/>
      <c r="H135" s="347"/>
      <c r="I135" s="347"/>
      <c r="J135" s="347"/>
      <c r="K135" s="347"/>
    </row>
    <row r="136" spans="1:11" hidden="1" outlineLevel="1">
      <c r="A136" s="345"/>
      <c r="B136" s="347"/>
      <c r="C136" s="347"/>
      <c r="D136" s="347"/>
      <c r="E136" s="347"/>
      <c r="F136" s="347"/>
      <c r="G136" s="347"/>
      <c r="H136" s="347"/>
      <c r="I136" s="347"/>
      <c r="J136" s="1664"/>
    </row>
    <row r="137" spans="1:11" hidden="1" outlineLevel="1">
      <c r="A137" s="345"/>
      <c r="B137" s="347"/>
      <c r="C137" s="347"/>
      <c r="D137" s="347"/>
      <c r="E137" s="347"/>
      <c r="F137" s="347"/>
      <c r="G137" s="347"/>
      <c r="H137" s="347"/>
      <c r="I137" s="347"/>
      <c r="J137" s="1664"/>
    </row>
    <row r="138" spans="1:11" hidden="1" outlineLevel="1">
      <c r="A138" s="345"/>
      <c r="B138" s="347"/>
      <c r="C138" s="347"/>
      <c r="D138" s="347"/>
      <c r="E138" s="347"/>
      <c r="F138" s="347"/>
      <c r="G138" s="347"/>
      <c r="H138" s="347"/>
      <c r="I138" s="347"/>
      <c r="J138" s="1664"/>
    </row>
    <row r="139" spans="1:11" hidden="1" outlineLevel="1">
      <c r="A139" s="345"/>
      <c r="B139" s="347"/>
      <c r="C139" s="347"/>
      <c r="D139" s="347"/>
      <c r="E139" s="347"/>
      <c r="F139" s="347"/>
      <c r="G139" s="347"/>
      <c r="H139" s="347"/>
      <c r="I139" s="347"/>
      <c r="J139" s="347"/>
      <c r="K139" s="347"/>
    </row>
    <row r="140" spans="1:11" hidden="1" outlineLevel="1">
      <c r="A140" s="345"/>
      <c r="B140" s="347"/>
      <c r="C140" s="347"/>
      <c r="D140" s="347"/>
      <c r="E140" s="347"/>
      <c r="F140" s="347"/>
      <c r="G140" s="347"/>
      <c r="H140" s="347"/>
      <c r="I140" s="347"/>
      <c r="J140" s="347"/>
      <c r="K140" s="347" t="s">
        <v>1877</v>
      </c>
    </row>
    <row r="141" spans="1:11" hidden="1" outlineLevel="1">
      <c r="A141" s="345"/>
      <c r="B141" s="347"/>
      <c r="C141" s="347"/>
      <c r="D141" s="347"/>
      <c r="E141" s="347"/>
      <c r="F141" s="347"/>
      <c r="G141" s="347"/>
      <c r="H141" s="347"/>
      <c r="I141" s="347"/>
      <c r="J141" s="347"/>
      <c r="K141" s="347">
        <v>7</v>
      </c>
    </row>
    <row r="142" spans="1:11" hidden="1" outlineLevel="1">
      <c r="A142" s="345"/>
      <c r="B142" s="347"/>
      <c r="C142" s="347"/>
      <c r="D142" s="347"/>
      <c r="E142" s="347"/>
      <c r="F142" s="347"/>
      <c r="G142" s="347"/>
      <c r="H142" s="347"/>
      <c r="I142" s="347"/>
      <c r="J142" s="347"/>
      <c r="K142" s="347"/>
    </row>
    <row r="143" spans="1:11" hidden="1" outlineLevel="1">
      <c r="A143" s="345"/>
      <c r="B143" s="347"/>
      <c r="C143" s="347"/>
      <c r="D143" s="347"/>
      <c r="E143" s="347"/>
      <c r="F143" s="347"/>
      <c r="G143" s="347"/>
      <c r="H143" s="347"/>
      <c r="I143" s="347"/>
      <c r="J143" s="347"/>
      <c r="K143" s="347"/>
    </row>
    <row r="144" spans="1:11" hidden="1" outlineLevel="1">
      <c r="A144" s="345"/>
      <c r="B144" s="347"/>
      <c r="C144" s="347"/>
      <c r="D144" s="347"/>
      <c r="E144" s="347"/>
      <c r="F144" s="347"/>
      <c r="G144" s="347"/>
      <c r="H144" s="347"/>
      <c r="I144" s="347"/>
      <c r="J144" s="347"/>
      <c r="K144" s="347"/>
    </row>
    <row r="145" spans="1:11" hidden="1" outlineLevel="1">
      <c r="A145" s="345"/>
      <c r="B145" s="347"/>
      <c r="C145" s="347"/>
      <c r="D145" s="347"/>
      <c r="E145" s="347"/>
      <c r="F145" s="347"/>
      <c r="G145" s="347"/>
      <c r="H145" s="347"/>
      <c r="I145" s="347"/>
      <c r="J145" s="347"/>
      <c r="K145" s="347"/>
    </row>
    <row r="146" spans="1:11" hidden="1" outlineLevel="1">
      <c r="A146" s="345"/>
      <c r="B146" s="347"/>
      <c r="C146" s="347"/>
      <c r="D146" s="347"/>
      <c r="E146" s="347"/>
      <c r="F146" s="347"/>
      <c r="G146" s="347"/>
      <c r="H146" s="347"/>
      <c r="I146" s="347"/>
      <c r="J146" s="347"/>
      <c r="K146" s="347"/>
    </row>
    <row r="147" spans="1:11" hidden="1" outlineLevel="1">
      <c r="A147" s="345"/>
      <c r="B147" s="347"/>
      <c r="C147" s="347"/>
      <c r="D147" s="347"/>
      <c r="E147" s="347"/>
      <c r="F147" s="347"/>
      <c r="G147" s="347"/>
      <c r="H147" s="347"/>
      <c r="I147" s="347"/>
      <c r="J147" s="347"/>
      <c r="K147" s="347"/>
    </row>
    <row r="148" spans="1:11" hidden="1" outlineLevel="1">
      <c r="A148" s="345"/>
      <c r="B148" s="347"/>
      <c r="C148" s="347"/>
      <c r="D148" s="347"/>
      <c r="E148" s="347"/>
      <c r="F148" s="347"/>
      <c r="G148" s="347"/>
      <c r="H148" s="347"/>
      <c r="I148" s="347"/>
      <c r="J148" s="347"/>
      <c r="K148" s="347"/>
    </row>
    <row r="149" spans="1:11" hidden="1" outlineLevel="1">
      <c r="A149" s="345"/>
      <c r="B149" s="347"/>
      <c r="C149" s="347"/>
      <c r="D149" s="347"/>
      <c r="E149" s="347"/>
      <c r="F149" s="347"/>
      <c r="G149" s="347"/>
      <c r="H149" s="347"/>
      <c r="I149" s="347"/>
      <c r="J149" s="347"/>
      <c r="K149" s="347"/>
    </row>
    <row r="150" spans="1:11" hidden="1" outlineLevel="1">
      <c r="A150" s="345"/>
      <c r="B150" s="347"/>
      <c r="C150" s="347"/>
      <c r="D150" s="347"/>
      <c r="E150" s="347"/>
      <c r="F150" s="347"/>
      <c r="G150" s="347"/>
      <c r="H150" s="347"/>
      <c r="I150" s="347"/>
      <c r="J150" s="347"/>
      <c r="K150" s="347"/>
    </row>
    <row r="151" spans="1:11" hidden="1" outlineLevel="1">
      <c r="A151" s="345"/>
      <c r="B151" s="347"/>
      <c r="C151" s="347"/>
      <c r="D151" s="347"/>
      <c r="E151" s="347"/>
      <c r="F151" s="347"/>
      <c r="G151" s="347"/>
      <c r="H151" s="347"/>
      <c r="I151" s="347"/>
      <c r="J151" s="347"/>
      <c r="K151" s="347"/>
    </row>
    <row r="152" spans="1:11" hidden="1" outlineLevel="1">
      <c r="A152" s="345"/>
      <c r="B152" s="347"/>
      <c r="C152" s="347"/>
      <c r="D152" s="347"/>
      <c r="E152" s="347"/>
      <c r="F152" s="347"/>
      <c r="G152" s="347"/>
      <c r="H152" s="347"/>
      <c r="I152" s="347"/>
      <c r="J152" s="347"/>
      <c r="K152" s="347"/>
    </row>
    <row r="153" spans="1:11" hidden="1" outlineLevel="1">
      <c r="A153" s="72"/>
      <c r="B153" s="347"/>
      <c r="C153" s="347"/>
      <c r="D153" s="347"/>
      <c r="E153" s="347"/>
      <c r="F153" s="347"/>
      <c r="G153" s="347"/>
      <c r="H153" s="347"/>
      <c r="I153" s="347"/>
      <c r="J153" s="347"/>
      <c r="K153" s="347"/>
    </row>
    <row r="154" spans="1:11" hidden="1" outlineLevel="1">
      <c r="A154" s="72"/>
      <c r="B154" s="347"/>
      <c r="C154" s="347"/>
      <c r="D154" s="347"/>
      <c r="E154" s="347"/>
      <c r="F154" s="347"/>
      <c r="G154" s="347"/>
      <c r="H154" s="347"/>
      <c r="I154" s="347"/>
      <c r="J154" s="347"/>
      <c r="K154" s="347"/>
    </row>
    <row r="155" spans="1:11" hidden="1" outlineLevel="1">
      <c r="A155" s="72"/>
      <c r="B155" s="347"/>
      <c r="C155" s="347"/>
      <c r="D155" s="347"/>
      <c r="E155" s="347"/>
      <c r="F155" s="347"/>
      <c r="G155" s="347"/>
      <c r="H155" s="347"/>
      <c r="I155" s="347"/>
      <c r="J155" s="347"/>
      <c r="K155" s="347"/>
    </row>
    <row r="156" spans="1:11" hidden="1" outlineLevel="1">
      <c r="A156" s="72"/>
      <c r="B156" s="347"/>
      <c r="C156" s="347"/>
      <c r="D156" s="347"/>
      <c r="E156" s="347"/>
      <c r="F156" s="347"/>
      <c r="G156" s="347"/>
      <c r="H156" s="347"/>
      <c r="I156" s="347"/>
      <c r="J156" s="347"/>
      <c r="K156" s="347"/>
    </row>
    <row r="157" spans="1:11" hidden="1" outlineLevel="1">
      <c r="A157" s="72"/>
      <c r="B157" s="347"/>
      <c r="C157" s="347"/>
      <c r="D157" s="347"/>
      <c r="E157" s="347"/>
      <c r="F157" s="347"/>
      <c r="G157" s="347"/>
      <c r="H157" s="347"/>
      <c r="I157" s="347"/>
      <c r="J157" s="347"/>
      <c r="K157" s="347"/>
    </row>
    <row r="158" spans="1:11" hidden="1" outlineLevel="1">
      <c r="A158" s="72"/>
      <c r="B158" s="347"/>
      <c r="C158" s="347"/>
      <c r="D158" s="347"/>
      <c r="E158" s="347"/>
      <c r="F158" s="347"/>
      <c r="G158" s="347"/>
      <c r="H158" s="347"/>
      <c r="I158" s="347"/>
      <c r="J158" s="347"/>
      <c r="K158" s="347"/>
    </row>
    <row r="159" spans="1:11" hidden="1" outlineLevel="1">
      <c r="A159" s="72"/>
      <c r="B159" s="347"/>
      <c r="C159" s="347"/>
      <c r="D159" s="347"/>
      <c r="E159" s="347"/>
      <c r="F159" s="347"/>
      <c r="G159" s="347"/>
      <c r="H159" s="347"/>
      <c r="I159" s="347"/>
      <c r="J159" s="347"/>
      <c r="K159" s="347"/>
    </row>
    <row r="160" spans="1:11" hidden="1" outlineLevel="1">
      <c r="A160" s="72"/>
      <c r="B160" s="347"/>
      <c r="C160" s="347"/>
      <c r="D160" s="347"/>
      <c r="E160" s="347"/>
      <c r="F160" s="347"/>
      <c r="G160" s="347"/>
      <c r="H160" s="347"/>
      <c r="I160" s="347"/>
      <c r="J160" s="347"/>
      <c r="K160" s="347"/>
    </row>
    <row r="161" spans="1:11" hidden="1" outlineLevel="1">
      <c r="A161" s="72"/>
      <c r="B161" s="347"/>
      <c r="C161" s="347"/>
      <c r="D161" s="347"/>
      <c r="E161" s="347"/>
      <c r="F161" s="347"/>
      <c r="G161" s="347"/>
      <c r="H161" s="347"/>
      <c r="I161" s="347"/>
      <c r="J161" s="347"/>
      <c r="K161" s="347"/>
    </row>
    <row r="162" spans="1:11" hidden="1" outlineLevel="1">
      <c r="A162" s="72"/>
      <c r="B162" s="347"/>
      <c r="C162" s="347"/>
      <c r="D162" s="347"/>
      <c r="E162" s="347"/>
      <c r="F162" s="347"/>
      <c r="G162" s="347"/>
      <c r="H162" s="347"/>
      <c r="I162" s="347"/>
      <c r="J162" s="347"/>
      <c r="K162" s="347"/>
    </row>
    <row r="163" spans="1:11" hidden="1" outlineLevel="1">
      <c r="A163" s="72"/>
      <c r="B163" s="347"/>
      <c r="C163" s="347"/>
      <c r="D163" s="347"/>
      <c r="E163" s="347"/>
      <c r="F163" s="347"/>
      <c r="G163" s="347"/>
      <c r="H163" s="347"/>
      <c r="I163" s="347"/>
      <c r="J163" s="347"/>
      <c r="K163" s="347"/>
    </row>
    <row r="164" spans="1:11" hidden="1" outlineLevel="1">
      <c r="A164" s="72"/>
      <c r="B164" s="347"/>
      <c r="C164" s="347"/>
      <c r="D164" s="347"/>
      <c r="E164" s="347"/>
      <c r="F164" s="347"/>
      <c r="G164" s="347"/>
      <c r="H164" s="347"/>
      <c r="I164" s="347"/>
      <c r="J164" s="347"/>
      <c r="K164" s="347"/>
    </row>
    <row r="165" spans="1:11" hidden="1" outlineLevel="1">
      <c r="A165" s="72"/>
      <c r="B165" s="347"/>
      <c r="C165" s="347"/>
      <c r="D165" s="347"/>
      <c r="E165" s="347"/>
      <c r="F165" s="347"/>
      <c r="G165" s="347"/>
      <c r="H165" s="347"/>
      <c r="I165" s="347"/>
      <c r="J165" s="347"/>
      <c r="K165" s="347"/>
    </row>
    <row r="166" spans="1:11" hidden="1" outlineLevel="1">
      <c r="A166" s="72"/>
      <c r="B166" s="347"/>
      <c r="C166" s="347"/>
      <c r="D166" s="347"/>
      <c r="E166" s="347"/>
      <c r="F166" s="347"/>
      <c r="G166" s="347"/>
      <c r="H166" s="347"/>
      <c r="I166" s="347"/>
      <c r="J166" s="347"/>
      <c r="K166" s="347"/>
    </row>
    <row r="167" spans="1:11" hidden="1" outlineLevel="1">
      <c r="A167" s="72"/>
      <c r="B167" s="347"/>
      <c r="C167" s="347"/>
      <c r="D167" s="347"/>
      <c r="E167" s="347"/>
      <c r="F167" s="347"/>
      <c r="G167" s="347"/>
      <c r="H167" s="347"/>
      <c r="I167" s="347"/>
      <c r="J167" s="347"/>
      <c r="K167" s="347"/>
    </row>
    <row r="168" spans="1:11" hidden="1" outlineLevel="1">
      <c r="A168" s="72"/>
      <c r="B168" s="347"/>
      <c r="C168" s="347"/>
      <c r="D168" s="347"/>
      <c r="E168" s="347"/>
      <c r="F168" s="347"/>
      <c r="G168" s="347"/>
      <c r="H168" s="347"/>
      <c r="I168" s="347"/>
      <c r="J168" s="347"/>
      <c r="K168" s="347"/>
    </row>
    <row r="169" spans="1:11" hidden="1" outlineLevel="1">
      <c r="A169" s="72"/>
      <c r="B169" s="347"/>
      <c r="C169" s="347"/>
      <c r="D169" s="347"/>
      <c r="E169" s="347"/>
      <c r="F169" s="347"/>
      <c r="G169" s="347"/>
      <c r="H169" s="347"/>
      <c r="I169" s="347"/>
      <c r="J169" s="347"/>
      <c r="K169" s="347"/>
    </row>
    <row r="170" spans="1:11" hidden="1" outlineLevel="1">
      <c r="A170" s="72"/>
      <c r="B170" s="347"/>
      <c r="C170" s="347"/>
      <c r="D170" s="347"/>
      <c r="E170" s="347"/>
      <c r="F170" s="347"/>
      <c r="G170" s="347"/>
      <c r="H170" s="347"/>
      <c r="I170" s="347"/>
      <c r="J170" s="347"/>
      <c r="K170" s="347"/>
    </row>
    <row r="171" spans="1:11" hidden="1" outlineLevel="1">
      <c r="A171" s="72"/>
      <c r="B171" s="347"/>
      <c r="C171" s="347"/>
      <c r="D171" s="347"/>
      <c r="E171" s="347"/>
      <c r="F171" s="347"/>
      <c r="G171" s="347"/>
      <c r="H171" s="347"/>
      <c r="I171" s="347"/>
      <c r="J171" s="347"/>
      <c r="K171" s="347"/>
    </row>
    <row r="172" spans="1:11" hidden="1" outlineLevel="1">
      <c r="A172" s="72"/>
      <c r="B172" s="347"/>
      <c r="C172" s="347"/>
      <c r="D172" s="347"/>
      <c r="E172" s="347"/>
      <c r="F172" s="347"/>
      <c r="G172" s="347"/>
      <c r="H172" s="347"/>
      <c r="I172" s="347"/>
      <c r="J172" s="347"/>
      <c r="K172" s="347"/>
    </row>
    <row r="173" spans="1:11" hidden="1" outlineLevel="1">
      <c r="A173" s="72"/>
      <c r="B173" s="347"/>
      <c r="C173" s="347"/>
      <c r="D173" s="347"/>
      <c r="E173" s="347"/>
      <c r="F173" s="347"/>
      <c r="G173" s="347"/>
      <c r="H173" s="347"/>
      <c r="I173" s="347"/>
      <c r="J173" s="347"/>
      <c r="K173" s="347"/>
    </row>
    <row r="174" spans="1:11" hidden="1" outlineLevel="1">
      <c r="A174" s="72"/>
      <c r="B174" s="347"/>
      <c r="C174" s="347"/>
      <c r="D174" s="347"/>
      <c r="E174" s="347"/>
      <c r="F174" s="347"/>
      <c r="G174" s="347"/>
      <c r="H174" s="347"/>
      <c r="I174" s="347"/>
      <c r="J174" s="347"/>
      <c r="K174" s="347"/>
    </row>
    <row r="175" spans="1:11" hidden="1" outlineLevel="1">
      <c r="A175" s="72"/>
      <c r="B175" s="347"/>
      <c r="C175" s="347"/>
      <c r="D175" s="347"/>
      <c r="E175" s="347"/>
      <c r="F175" s="347"/>
      <c r="G175" s="347"/>
      <c r="H175" s="347"/>
      <c r="I175" s="347"/>
      <c r="J175" s="347"/>
      <c r="K175" s="347"/>
    </row>
    <row r="176" spans="1:11" s="94" customFormat="1" collapsed="1">
      <c r="A176" s="93"/>
      <c r="B176" s="95"/>
      <c r="C176" s="95"/>
      <c r="D176" s="95"/>
      <c r="E176" s="95"/>
      <c r="F176" s="95"/>
      <c r="G176" s="95"/>
      <c r="H176" s="95"/>
      <c r="I176" s="95"/>
      <c r="J176" s="95"/>
      <c r="K176" s="95"/>
    </row>
    <row r="177" spans="1:11" s="5" customFormat="1" ht="20.25" customHeight="1">
      <c r="A177" s="74" t="s">
        <v>1860</v>
      </c>
      <c r="I177" s="6"/>
      <c r="J177" s="6"/>
      <c r="K177" s="6" t="s">
        <v>784</v>
      </c>
    </row>
    <row r="178" spans="1:11" ht="12.75" customHeight="1">
      <c r="A178" s="1644" t="str">
        <f>'4.11_котельные'!A2</f>
        <v>ПКГО - выработка котельными</v>
      </c>
    </row>
    <row r="179" spans="1:11" ht="18.75">
      <c r="A179" s="1877" t="s">
        <v>532</v>
      </c>
      <c r="B179" s="1877"/>
      <c r="C179" s="1877"/>
      <c r="D179" s="1877"/>
      <c r="E179" s="1877"/>
      <c r="F179" s="1877"/>
      <c r="G179" s="1877"/>
      <c r="H179" s="1877"/>
      <c r="I179" s="1877"/>
      <c r="J179" s="1643"/>
      <c r="K179" s="1643"/>
    </row>
    <row r="180" spans="1:11" ht="25.5" customHeight="1">
      <c r="A180" s="1877" t="s">
        <v>1190</v>
      </c>
      <c r="B180" s="1877"/>
      <c r="C180" s="1877"/>
      <c r="D180" s="1877"/>
      <c r="E180" s="1877"/>
      <c r="F180" s="1877"/>
      <c r="G180" s="1877"/>
      <c r="H180" s="1877"/>
      <c r="I180" s="1877"/>
      <c r="J180" s="1643"/>
      <c r="K180" s="1643"/>
    </row>
    <row r="181" spans="1:11" ht="14.25" customHeight="1">
      <c r="I181" s="23"/>
      <c r="J181" s="23"/>
      <c r="K181" s="23" t="s">
        <v>360</v>
      </c>
    </row>
    <row r="182" spans="1:11" s="3" customFormat="1" ht="81" customHeight="1">
      <c r="A182" s="540" t="s">
        <v>533</v>
      </c>
      <c r="B182" s="1586" t="s">
        <v>1735</v>
      </c>
      <c r="C182" s="1586" t="s">
        <v>1736</v>
      </c>
      <c r="D182" s="1586" t="s">
        <v>1737</v>
      </c>
      <c r="E182" s="1586" t="s">
        <v>1843</v>
      </c>
      <c r="F182" s="1586" t="s">
        <v>1844</v>
      </c>
      <c r="G182" s="1586" t="s">
        <v>1845</v>
      </c>
      <c r="H182" s="1586" t="s">
        <v>1846</v>
      </c>
      <c r="I182" s="1586" t="s">
        <v>1847</v>
      </c>
      <c r="J182" s="1641" t="s">
        <v>1878</v>
      </c>
      <c r="K182" s="1641" t="s">
        <v>1877</v>
      </c>
    </row>
    <row r="183" spans="1:11" s="21" customFormat="1">
      <c r="A183" s="40">
        <v>1</v>
      </c>
      <c r="B183" s="40">
        <v>2</v>
      </c>
      <c r="C183" s="40">
        <v>3</v>
      </c>
      <c r="D183" s="40">
        <v>4</v>
      </c>
      <c r="E183" s="40">
        <v>5</v>
      </c>
      <c r="F183" s="40">
        <v>6</v>
      </c>
      <c r="G183" s="40">
        <v>7</v>
      </c>
      <c r="H183" s="40">
        <v>8</v>
      </c>
      <c r="I183" s="40">
        <v>9</v>
      </c>
      <c r="J183" s="40">
        <v>10</v>
      </c>
      <c r="K183" s="40">
        <v>11</v>
      </c>
    </row>
    <row r="184" spans="1:11" s="88" customFormat="1" ht="14.25">
      <c r="A184" s="86" t="s">
        <v>349</v>
      </c>
      <c r="B184" s="87">
        <f>SUM(B186:B229)</f>
        <v>0</v>
      </c>
      <c r="C184" s="87"/>
      <c r="D184" s="87"/>
      <c r="E184" s="87"/>
      <c r="F184" s="87">
        <f t="shared" ref="F184:J184" si="7">SUM(F186:F229)</f>
        <v>0</v>
      </c>
      <c r="G184" s="87">
        <f t="shared" si="7"/>
        <v>0</v>
      </c>
      <c r="H184" s="87">
        <f t="shared" si="7"/>
        <v>0</v>
      </c>
      <c r="I184" s="87">
        <f t="shared" si="7"/>
        <v>0</v>
      </c>
      <c r="J184" s="87">
        <f t="shared" si="7"/>
        <v>0</v>
      </c>
      <c r="K184" s="87">
        <f t="shared" ref="K184" si="8">SUM(K186:K229)</f>
        <v>0</v>
      </c>
    </row>
    <row r="185" spans="1:11" s="42" customFormat="1">
      <c r="A185" s="55" t="s">
        <v>534</v>
      </c>
      <c r="B185" s="55"/>
      <c r="C185" s="55"/>
      <c r="D185" s="55"/>
      <c r="E185" s="55"/>
      <c r="F185" s="50"/>
      <c r="G185" s="50"/>
      <c r="H185" s="50"/>
      <c r="I185" s="72"/>
      <c r="J185" s="72"/>
      <c r="K185" s="72"/>
    </row>
    <row r="186" spans="1:11" s="42" customFormat="1" hidden="1">
      <c r="A186" s="346" t="s">
        <v>992</v>
      </c>
      <c r="B186" s="72"/>
      <c r="C186" s="72"/>
      <c r="D186" s="72"/>
      <c r="E186" s="72"/>
      <c r="F186" s="50"/>
      <c r="G186" s="50"/>
      <c r="H186" s="50"/>
      <c r="I186" s="72"/>
      <c r="J186" s="72"/>
      <c r="K186" s="72"/>
    </row>
    <row r="187" spans="1:11" s="42" customFormat="1" hidden="1">
      <c r="A187" s="346" t="s">
        <v>993</v>
      </c>
      <c r="B187" s="72"/>
      <c r="C187" s="72"/>
      <c r="D187" s="72"/>
      <c r="E187" s="72"/>
      <c r="F187" s="50"/>
      <c r="G187" s="50"/>
      <c r="H187" s="50"/>
      <c r="I187" s="72"/>
      <c r="J187" s="72"/>
      <c r="K187" s="72"/>
    </row>
    <row r="188" spans="1:11" s="42" customFormat="1" ht="51.75" hidden="1">
      <c r="A188" s="346" t="s">
        <v>975</v>
      </c>
      <c r="B188" s="72"/>
      <c r="C188" s="72"/>
      <c r="D188" s="72"/>
      <c r="E188" s="72"/>
      <c r="F188" s="50"/>
      <c r="G188" s="50"/>
      <c r="H188" s="50"/>
      <c r="I188" s="72"/>
      <c r="J188" s="72"/>
      <c r="K188" s="72"/>
    </row>
    <row r="189" spans="1:11" s="42" customFormat="1" ht="25.5" hidden="1">
      <c r="A189" s="345" t="s">
        <v>972</v>
      </c>
      <c r="B189" s="72"/>
      <c r="C189" s="72"/>
      <c r="D189" s="72"/>
      <c r="E189" s="72"/>
      <c r="F189" s="50"/>
      <c r="G189" s="50"/>
      <c r="H189" s="50"/>
      <c r="I189" s="72"/>
      <c r="J189" s="72"/>
      <c r="K189" s="72"/>
    </row>
    <row r="190" spans="1:11" hidden="1">
      <c r="A190" s="346" t="s">
        <v>976</v>
      </c>
      <c r="B190" s="72"/>
      <c r="C190" s="72"/>
      <c r="D190" s="72"/>
      <c r="E190" s="72"/>
      <c r="F190" s="50"/>
      <c r="G190" s="50"/>
      <c r="H190" s="50"/>
      <c r="I190" s="72"/>
      <c r="J190" s="72"/>
      <c r="K190" s="72"/>
    </row>
    <row r="191" spans="1:11" hidden="1">
      <c r="A191" s="346" t="s">
        <v>977</v>
      </c>
      <c r="B191" s="72"/>
      <c r="C191" s="72"/>
      <c r="D191" s="72"/>
      <c r="E191" s="72"/>
      <c r="F191" s="50"/>
      <c r="G191" s="50"/>
      <c r="H191" s="50"/>
      <c r="I191" s="72"/>
      <c r="J191" s="72"/>
      <c r="K191" s="72"/>
    </row>
    <row r="192" spans="1:11" hidden="1">
      <c r="A192" s="346" t="s">
        <v>970</v>
      </c>
      <c r="B192" s="72"/>
      <c r="C192" s="72"/>
      <c r="D192" s="72"/>
      <c r="E192" s="72"/>
      <c r="F192" s="50"/>
      <c r="G192" s="50"/>
      <c r="H192" s="50"/>
      <c r="I192" s="348"/>
      <c r="J192" s="348"/>
      <c r="K192" s="348"/>
    </row>
    <row r="193" spans="1:11" ht="39" hidden="1">
      <c r="A193" s="346" t="s">
        <v>984</v>
      </c>
      <c r="B193" s="72"/>
      <c r="C193" s="72"/>
      <c r="D193" s="72"/>
      <c r="E193" s="72"/>
      <c r="F193" s="50"/>
      <c r="G193" s="50"/>
      <c r="H193" s="50"/>
      <c r="I193" s="348"/>
      <c r="J193" s="1663"/>
    </row>
    <row r="194" spans="1:11" hidden="1">
      <c r="A194" s="346" t="s">
        <v>994</v>
      </c>
      <c r="B194" s="72"/>
      <c r="C194" s="72"/>
      <c r="D194" s="72"/>
      <c r="E194" s="72"/>
      <c r="F194" s="50"/>
      <c r="G194" s="50"/>
      <c r="H194" s="50"/>
      <c r="I194" s="348"/>
      <c r="J194" s="1663"/>
    </row>
    <row r="195" spans="1:11" ht="26.25" hidden="1">
      <c r="A195" s="346" t="s">
        <v>972</v>
      </c>
      <c r="B195" s="72"/>
      <c r="C195" s="72"/>
      <c r="D195" s="72"/>
      <c r="E195" s="72"/>
      <c r="F195" s="50"/>
      <c r="G195" s="50"/>
      <c r="H195" s="50"/>
      <c r="I195" s="348"/>
      <c r="J195" s="1663"/>
    </row>
    <row r="196" spans="1:11" ht="26.25" hidden="1">
      <c r="A196" s="346" t="s">
        <v>989</v>
      </c>
      <c r="B196" s="72"/>
      <c r="C196" s="72"/>
      <c r="D196" s="72"/>
      <c r="E196" s="72"/>
      <c r="F196" s="50"/>
      <c r="G196" s="50"/>
      <c r="H196" s="50"/>
      <c r="I196" s="348"/>
      <c r="J196" s="348"/>
      <c r="K196" s="348"/>
    </row>
    <row r="197" spans="1:11" ht="26.25" hidden="1">
      <c r="A197" s="346" t="s">
        <v>990</v>
      </c>
      <c r="B197" s="72"/>
      <c r="C197" s="72"/>
      <c r="D197" s="72"/>
      <c r="E197" s="72"/>
      <c r="F197" s="50"/>
      <c r="G197" s="50"/>
      <c r="H197" s="50"/>
      <c r="I197" s="348"/>
      <c r="J197" s="348"/>
      <c r="K197" s="348"/>
    </row>
    <row r="198" spans="1:11" hidden="1">
      <c r="A198" s="349" t="s">
        <v>991</v>
      </c>
      <c r="B198" s="72"/>
      <c r="C198" s="72"/>
      <c r="D198" s="72"/>
      <c r="E198" s="72"/>
      <c r="F198" s="50"/>
      <c r="G198" s="50"/>
      <c r="H198" s="50"/>
      <c r="I198" s="348"/>
      <c r="J198" s="348"/>
      <c r="K198" s="348"/>
    </row>
    <row r="199" spans="1:11" hidden="1" outlineLevel="1">
      <c r="A199" s="72"/>
      <c r="B199" s="72"/>
      <c r="C199" s="72"/>
      <c r="D199" s="72"/>
      <c r="E199" s="72"/>
      <c r="F199" s="50"/>
      <c r="G199" s="50"/>
      <c r="H199" s="50"/>
      <c r="I199" s="348"/>
      <c r="J199" s="348"/>
      <c r="K199" s="348"/>
    </row>
    <row r="200" spans="1:11" hidden="1" outlineLevel="1">
      <c r="A200" s="72"/>
      <c r="B200" s="72"/>
      <c r="C200" s="72"/>
      <c r="D200" s="72"/>
      <c r="E200" s="72"/>
      <c r="F200" s="50"/>
      <c r="G200" s="50"/>
      <c r="H200" s="50"/>
      <c r="I200" s="348"/>
      <c r="J200" s="348"/>
      <c r="K200" s="348"/>
    </row>
    <row r="201" spans="1:11" hidden="1" outlineLevel="1">
      <c r="A201" s="72"/>
      <c r="B201" s="72"/>
      <c r="C201" s="72"/>
      <c r="D201" s="72"/>
      <c r="E201" s="72"/>
      <c r="F201" s="50"/>
      <c r="G201" s="50"/>
      <c r="H201" s="50"/>
      <c r="I201" s="72"/>
      <c r="J201" s="72"/>
      <c r="K201" s="72"/>
    </row>
    <row r="202" spans="1:11" hidden="1" outlineLevel="1">
      <c r="A202" s="72"/>
      <c r="B202" s="72"/>
      <c r="C202" s="72"/>
      <c r="D202" s="72"/>
      <c r="E202" s="72"/>
      <c r="F202" s="50"/>
      <c r="G202" s="50"/>
      <c r="H202" s="50"/>
      <c r="I202" s="72"/>
      <c r="J202" s="72"/>
      <c r="K202" s="72"/>
    </row>
    <row r="203" spans="1:11" hidden="1" outlineLevel="1">
      <c r="A203" s="72"/>
      <c r="B203" s="72"/>
      <c r="C203" s="72"/>
      <c r="D203" s="72"/>
      <c r="E203" s="72"/>
      <c r="F203" s="50"/>
      <c r="G203" s="50"/>
      <c r="H203" s="50"/>
      <c r="I203" s="72"/>
      <c r="J203" s="72"/>
      <c r="K203" s="72"/>
    </row>
    <row r="204" spans="1:11" hidden="1" outlineLevel="1">
      <c r="A204" s="72"/>
      <c r="B204" s="72"/>
      <c r="C204" s="72"/>
      <c r="D204" s="72"/>
      <c r="E204" s="72"/>
      <c r="F204" s="50"/>
      <c r="G204" s="50"/>
      <c r="H204" s="50"/>
      <c r="I204" s="72"/>
      <c r="J204" s="72"/>
      <c r="K204" s="72"/>
    </row>
    <row r="205" spans="1:11" hidden="1" outlineLevel="1">
      <c r="A205" s="72"/>
      <c r="B205" s="72"/>
      <c r="C205" s="72"/>
      <c r="D205" s="72"/>
      <c r="E205" s="72"/>
      <c r="F205" s="50"/>
      <c r="G205" s="50"/>
      <c r="H205" s="50"/>
      <c r="I205" s="72"/>
      <c r="J205" s="72"/>
      <c r="K205" s="72"/>
    </row>
    <row r="206" spans="1:11" hidden="1" outlineLevel="1">
      <c r="A206" s="72"/>
      <c r="B206" s="72"/>
      <c r="C206" s="72"/>
      <c r="D206" s="72"/>
      <c r="E206" s="72"/>
      <c r="F206" s="50"/>
      <c r="G206" s="50"/>
      <c r="H206" s="50"/>
      <c r="I206" s="72"/>
      <c r="J206" s="72"/>
      <c r="K206" s="72"/>
    </row>
    <row r="207" spans="1:11" hidden="1" outlineLevel="1">
      <c r="A207" s="72"/>
      <c r="B207" s="72"/>
      <c r="C207" s="72"/>
      <c r="D207" s="72"/>
      <c r="E207" s="72"/>
      <c r="F207" s="50"/>
      <c r="G207" s="50"/>
      <c r="H207" s="50"/>
      <c r="I207" s="72"/>
      <c r="J207" s="72"/>
      <c r="K207" s="72"/>
    </row>
    <row r="208" spans="1:11" hidden="1" outlineLevel="1">
      <c r="A208" s="72"/>
      <c r="B208" s="72"/>
      <c r="C208" s="72"/>
      <c r="D208" s="72"/>
      <c r="E208" s="72"/>
      <c r="F208" s="50"/>
      <c r="G208" s="50"/>
      <c r="H208" s="50"/>
      <c r="I208" s="72"/>
      <c r="J208" s="72"/>
      <c r="K208" s="72"/>
    </row>
    <row r="209" spans="1:11" hidden="1" outlineLevel="1">
      <c r="A209" s="72"/>
      <c r="B209" s="72"/>
      <c r="C209" s="72"/>
      <c r="D209" s="72"/>
      <c r="E209" s="72"/>
      <c r="F209" s="50"/>
      <c r="G209" s="50"/>
      <c r="H209" s="50"/>
      <c r="I209" s="72"/>
      <c r="J209" s="72"/>
      <c r="K209" s="72"/>
    </row>
    <row r="210" spans="1:11" hidden="1" outlineLevel="1">
      <c r="A210" s="72"/>
      <c r="B210" s="72"/>
      <c r="C210" s="72"/>
      <c r="D210" s="72"/>
      <c r="E210" s="72"/>
      <c r="F210" s="50"/>
      <c r="G210" s="50"/>
      <c r="H210" s="50"/>
      <c r="I210" s="72"/>
      <c r="J210" s="72"/>
      <c r="K210" s="72"/>
    </row>
    <row r="211" spans="1:11" hidden="1" outlineLevel="1">
      <c r="A211" s="72"/>
      <c r="B211" s="72"/>
      <c r="C211" s="72"/>
      <c r="D211" s="72"/>
      <c r="E211" s="72"/>
      <c r="F211" s="50"/>
      <c r="G211" s="50"/>
      <c r="H211" s="50"/>
      <c r="I211" s="72"/>
      <c r="J211" s="72"/>
      <c r="K211" s="72"/>
    </row>
    <row r="212" spans="1:11" hidden="1" outlineLevel="1">
      <c r="A212" s="72"/>
      <c r="B212" s="72"/>
      <c r="C212" s="72"/>
      <c r="D212" s="72"/>
      <c r="E212" s="72"/>
      <c r="F212" s="50"/>
      <c r="G212" s="50"/>
      <c r="H212" s="50"/>
      <c r="I212" s="72"/>
      <c r="J212" s="72"/>
      <c r="K212" s="72"/>
    </row>
    <row r="213" spans="1:11" hidden="1" outlineLevel="1">
      <c r="A213" s="72"/>
      <c r="B213" s="72"/>
      <c r="C213" s="72"/>
      <c r="D213" s="72"/>
      <c r="E213" s="72"/>
      <c r="F213" s="50"/>
      <c r="G213" s="50"/>
      <c r="H213" s="50"/>
      <c r="I213" s="72"/>
      <c r="J213" s="72"/>
      <c r="K213" s="72"/>
    </row>
    <row r="214" spans="1:11" hidden="1" outlineLevel="1">
      <c r="A214" s="72"/>
      <c r="B214" s="72"/>
      <c r="C214" s="72"/>
      <c r="D214" s="72"/>
      <c r="E214" s="72"/>
      <c r="F214" s="50"/>
      <c r="G214" s="50"/>
      <c r="H214" s="50"/>
      <c r="I214" s="72"/>
      <c r="J214" s="72"/>
      <c r="K214" s="72"/>
    </row>
    <row r="215" spans="1:11" hidden="1" outlineLevel="1">
      <c r="A215" s="72"/>
      <c r="B215" s="72"/>
      <c r="C215" s="72"/>
      <c r="D215" s="72"/>
      <c r="E215" s="72"/>
      <c r="F215" s="50"/>
      <c r="G215" s="50"/>
      <c r="H215" s="50"/>
      <c r="I215" s="72"/>
      <c r="J215" s="72"/>
      <c r="K215" s="72"/>
    </row>
    <row r="216" spans="1:11" hidden="1" outlineLevel="1">
      <c r="A216" s="72"/>
      <c r="B216" s="72"/>
      <c r="C216" s="72"/>
      <c r="D216" s="72"/>
      <c r="E216" s="72"/>
      <c r="F216" s="50"/>
      <c r="G216" s="50"/>
      <c r="H216" s="50"/>
      <c r="I216" s="72"/>
      <c r="J216" s="72"/>
      <c r="K216" s="72"/>
    </row>
    <row r="217" spans="1:11" hidden="1" outlineLevel="1">
      <c r="A217" s="72"/>
      <c r="B217" s="72"/>
      <c r="C217" s="72"/>
      <c r="D217" s="72"/>
      <c r="E217" s="72"/>
      <c r="F217" s="50"/>
      <c r="G217" s="50"/>
      <c r="H217" s="50"/>
      <c r="I217" s="72"/>
      <c r="J217" s="72"/>
      <c r="K217" s="72"/>
    </row>
    <row r="218" spans="1:11" hidden="1" outlineLevel="1">
      <c r="A218" s="72"/>
      <c r="B218" s="72"/>
      <c r="C218" s="72"/>
      <c r="D218" s="72"/>
      <c r="E218" s="72"/>
      <c r="F218" s="50"/>
      <c r="G218" s="50"/>
      <c r="H218" s="50"/>
      <c r="I218" s="72"/>
      <c r="J218" s="72"/>
      <c r="K218" s="72"/>
    </row>
    <row r="219" spans="1:11" hidden="1" outlineLevel="1">
      <c r="A219" s="72"/>
      <c r="B219" s="72"/>
      <c r="C219" s="72"/>
      <c r="D219" s="72"/>
      <c r="E219" s="72"/>
      <c r="F219" s="50"/>
      <c r="G219" s="50"/>
      <c r="H219" s="50"/>
      <c r="I219" s="72"/>
      <c r="J219" s="72"/>
      <c r="K219" s="72"/>
    </row>
    <row r="220" spans="1:11" hidden="1" outlineLevel="1">
      <c r="A220" s="72"/>
      <c r="B220" s="72"/>
      <c r="C220" s="72"/>
      <c r="D220" s="72"/>
      <c r="E220" s="72"/>
      <c r="F220" s="50"/>
      <c r="G220" s="50"/>
      <c r="H220" s="50"/>
      <c r="I220" s="72"/>
      <c r="J220" s="72"/>
      <c r="K220" s="72"/>
    </row>
    <row r="221" spans="1:11" hidden="1" outlineLevel="1">
      <c r="A221" s="72"/>
      <c r="B221" s="72"/>
      <c r="C221" s="72"/>
      <c r="D221" s="72"/>
      <c r="E221" s="72"/>
      <c r="F221" s="50"/>
      <c r="G221" s="50"/>
      <c r="H221" s="50"/>
      <c r="I221" s="72"/>
      <c r="J221" s="72"/>
      <c r="K221" s="72"/>
    </row>
    <row r="222" spans="1:11" hidden="1" outlineLevel="1">
      <c r="A222" s="72"/>
      <c r="B222" s="72"/>
      <c r="C222" s="72"/>
      <c r="D222" s="72"/>
      <c r="E222" s="72"/>
      <c r="F222" s="50"/>
      <c r="G222" s="50"/>
      <c r="H222" s="50"/>
      <c r="I222" s="72"/>
      <c r="J222" s="72"/>
      <c r="K222" s="72"/>
    </row>
    <row r="223" spans="1:11" hidden="1" outlineLevel="1">
      <c r="A223" s="72"/>
      <c r="B223" s="72"/>
      <c r="C223" s="72"/>
      <c r="D223" s="72"/>
      <c r="E223" s="72"/>
      <c r="F223" s="50"/>
      <c r="G223" s="50"/>
      <c r="H223" s="50"/>
      <c r="I223" s="72"/>
      <c r="J223" s="72"/>
      <c r="K223" s="72"/>
    </row>
    <row r="224" spans="1:11" hidden="1" outlineLevel="1">
      <c r="A224" s="72"/>
      <c r="B224" s="72"/>
      <c r="C224" s="72"/>
      <c r="D224" s="72"/>
      <c r="E224" s="72"/>
      <c r="F224" s="50"/>
      <c r="G224" s="50"/>
      <c r="H224" s="50"/>
      <c r="I224" s="72"/>
      <c r="J224" s="72"/>
      <c r="K224" s="72"/>
    </row>
    <row r="225" spans="1:11" hidden="1" outlineLevel="1">
      <c r="A225" s="72"/>
      <c r="B225" s="72"/>
      <c r="C225" s="72"/>
      <c r="D225" s="72"/>
      <c r="E225" s="72"/>
      <c r="F225" s="50"/>
      <c r="G225" s="50"/>
      <c r="H225" s="50"/>
      <c r="I225" s="72"/>
      <c r="J225" s="1665"/>
    </row>
    <row r="226" spans="1:11" hidden="1" outlineLevel="1">
      <c r="A226" s="72"/>
      <c r="B226" s="72"/>
      <c r="C226" s="72"/>
      <c r="D226" s="72"/>
      <c r="E226" s="72"/>
      <c r="F226" s="50"/>
      <c r="G226" s="50"/>
      <c r="H226" s="50"/>
      <c r="I226" s="72"/>
      <c r="J226" s="1665"/>
    </row>
    <row r="227" spans="1:11" hidden="1" outlineLevel="1">
      <c r="A227" s="72"/>
      <c r="B227" s="72"/>
      <c r="C227" s="72"/>
      <c r="D227" s="72"/>
      <c r="E227" s="72"/>
      <c r="F227" s="50"/>
      <c r="G227" s="50"/>
      <c r="H227" s="50"/>
      <c r="I227" s="72"/>
      <c r="J227" s="1665"/>
    </row>
    <row r="228" spans="1:11" hidden="1" outlineLevel="1">
      <c r="A228" s="72"/>
      <c r="B228" s="72"/>
      <c r="C228" s="72"/>
      <c r="D228" s="72"/>
      <c r="E228" s="72"/>
      <c r="F228" s="50"/>
      <c r="G228" s="50"/>
      <c r="H228" s="50"/>
      <c r="I228" s="72"/>
      <c r="J228" s="1665"/>
    </row>
    <row r="229" spans="1:11" hidden="1" outlineLevel="1">
      <c r="A229" s="72"/>
      <c r="B229" s="72"/>
      <c r="C229" s="72"/>
      <c r="D229" s="72"/>
      <c r="E229" s="72"/>
      <c r="F229" s="50"/>
      <c r="G229" s="50"/>
      <c r="H229" s="50"/>
      <c r="I229" s="72"/>
      <c r="J229" s="1665"/>
    </row>
    <row r="230" spans="1:11" s="94" customFormat="1" collapsed="1">
      <c r="A230" s="93"/>
      <c r="B230" s="95"/>
      <c r="C230" s="95"/>
      <c r="D230" s="95"/>
      <c r="E230" s="95"/>
      <c r="F230" s="95"/>
      <c r="G230" s="95"/>
      <c r="H230" s="95"/>
      <c r="I230" s="95"/>
      <c r="J230" s="1666"/>
    </row>
    <row r="231" spans="1:11" s="5" customFormat="1" ht="20.25" customHeight="1">
      <c r="A231" s="74" t="s">
        <v>1860</v>
      </c>
      <c r="I231" s="6"/>
      <c r="J231" s="6"/>
      <c r="K231" s="6" t="s">
        <v>783</v>
      </c>
    </row>
    <row r="232" spans="1:11" ht="12.75" customHeight="1">
      <c r="A232" s="1644" t="str">
        <f>'4.11_котельные'!A2</f>
        <v>ПКГО - выработка котельными</v>
      </c>
    </row>
    <row r="233" spans="1:11" ht="18.75">
      <c r="A233" s="1877" t="s">
        <v>532</v>
      </c>
      <c r="B233" s="1877"/>
      <c r="C233" s="1877"/>
      <c r="D233" s="1877"/>
      <c r="E233" s="1877"/>
      <c r="F233" s="1877"/>
      <c r="G233" s="1877"/>
      <c r="H233" s="1877"/>
      <c r="I233" s="1877"/>
      <c r="J233" s="1643"/>
    </row>
    <row r="234" spans="1:11" ht="25.5" customHeight="1">
      <c r="A234" s="1877" t="s">
        <v>1191</v>
      </c>
      <c r="B234" s="1877"/>
      <c r="C234" s="1877"/>
      <c r="D234" s="1877"/>
      <c r="E234" s="1877"/>
      <c r="F234" s="1877"/>
      <c r="G234" s="1877"/>
      <c r="H234" s="1877"/>
      <c r="I234" s="1877"/>
      <c r="J234" s="1643"/>
    </row>
    <row r="235" spans="1:11" ht="14.25" customHeight="1">
      <c r="I235" s="23"/>
      <c r="J235" s="23"/>
      <c r="K235" s="23" t="s">
        <v>360</v>
      </c>
    </row>
    <row r="236" spans="1:11" s="3" customFormat="1" ht="81" customHeight="1">
      <c r="A236" s="540" t="s">
        <v>533</v>
      </c>
      <c r="B236" s="1586" t="s">
        <v>1735</v>
      </c>
      <c r="C236" s="1586" t="s">
        <v>1736</v>
      </c>
      <c r="D236" s="1586" t="s">
        <v>1737</v>
      </c>
      <c r="E236" s="1586" t="s">
        <v>1843</v>
      </c>
      <c r="F236" s="1586" t="s">
        <v>1844</v>
      </c>
      <c r="G236" s="1586" t="s">
        <v>1845</v>
      </c>
      <c r="H236" s="1586" t="s">
        <v>1846</v>
      </c>
      <c r="I236" s="1586" t="s">
        <v>1847</v>
      </c>
      <c r="J236" s="1641" t="s">
        <v>1878</v>
      </c>
      <c r="K236" s="1641" t="s">
        <v>1877</v>
      </c>
    </row>
    <row r="237" spans="1:11" s="21" customFormat="1">
      <c r="A237" s="40">
        <v>1</v>
      </c>
      <c r="B237" s="40">
        <v>2</v>
      </c>
      <c r="C237" s="40">
        <v>3</v>
      </c>
      <c r="D237" s="40">
        <v>4</v>
      </c>
      <c r="E237" s="40">
        <v>5</v>
      </c>
      <c r="F237" s="40">
        <v>6</v>
      </c>
      <c r="G237" s="40">
        <v>7</v>
      </c>
      <c r="H237" s="40">
        <v>8</v>
      </c>
      <c r="I237" s="40">
        <v>9</v>
      </c>
      <c r="J237" s="40">
        <v>10</v>
      </c>
      <c r="K237" s="40">
        <v>11</v>
      </c>
    </row>
    <row r="238" spans="1:11" s="88" customFormat="1" ht="14.25">
      <c r="A238" s="86" t="s">
        <v>349</v>
      </c>
      <c r="B238" s="87">
        <f>SUM(B240:B283)</f>
        <v>0</v>
      </c>
      <c r="C238" s="87"/>
      <c r="D238" s="87"/>
      <c r="E238" s="87"/>
      <c r="F238" s="87">
        <f t="shared" ref="F238:I238" si="9">SUM(F240:F283)</f>
        <v>0</v>
      </c>
      <c r="G238" s="87">
        <f t="shared" si="9"/>
        <v>0</v>
      </c>
      <c r="H238" s="87">
        <f t="shared" si="9"/>
        <v>0</v>
      </c>
      <c r="I238" s="87">
        <f t="shared" si="9"/>
        <v>0</v>
      </c>
      <c r="J238" s="87">
        <f t="shared" ref="J238:K238" si="10">SUM(J240:J283)</f>
        <v>0</v>
      </c>
      <c r="K238" s="87">
        <f t="shared" si="10"/>
        <v>0</v>
      </c>
    </row>
    <row r="239" spans="1:11" s="42" customFormat="1">
      <c r="A239" s="55" t="s">
        <v>534</v>
      </c>
      <c r="B239" s="55"/>
      <c r="C239" s="55"/>
      <c r="D239" s="55"/>
      <c r="E239" s="55"/>
      <c r="F239" s="50"/>
      <c r="G239" s="50"/>
      <c r="H239" s="50"/>
      <c r="I239" s="72"/>
      <c r="J239" s="50"/>
      <c r="K239" s="72"/>
    </row>
    <row r="240" spans="1:11" s="42" customFormat="1" ht="51.75" hidden="1">
      <c r="A240" s="346" t="s">
        <v>975</v>
      </c>
      <c r="B240" s="72"/>
      <c r="C240" s="72"/>
      <c r="D240" s="72"/>
      <c r="E240" s="72"/>
      <c r="F240" s="50"/>
      <c r="G240" s="50"/>
      <c r="H240" s="50"/>
      <c r="I240" s="72"/>
      <c r="J240" s="50"/>
      <c r="K240" s="72"/>
    </row>
    <row r="241" spans="1:11" s="42" customFormat="1" ht="26.25" hidden="1">
      <c r="A241" s="346" t="s">
        <v>995</v>
      </c>
      <c r="B241" s="72"/>
      <c r="C241" s="72"/>
      <c r="D241" s="72"/>
      <c r="E241" s="72"/>
      <c r="F241" s="50"/>
      <c r="G241" s="50"/>
      <c r="H241" s="50"/>
      <c r="I241" s="72"/>
      <c r="J241" s="50"/>
      <c r="K241" s="72"/>
    </row>
    <row r="242" spans="1:11" s="42" customFormat="1" ht="51.75" hidden="1">
      <c r="A242" s="346" t="s">
        <v>996</v>
      </c>
      <c r="B242" s="72"/>
      <c r="C242" s="72"/>
      <c r="D242" s="72"/>
      <c r="E242" s="72"/>
      <c r="F242" s="50"/>
      <c r="G242" s="50"/>
      <c r="H242" s="50"/>
      <c r="I242" s="72"/>
      <c r="J242" s="50"/>
      <c r="K242" s="72"/>
    </row>
    <row r="243" spans="1:11" s="42" customFormat="1" ht="26.25" hidden="1">
      <c r="A243" s="346" t="s">
        <v>997</v>
      </c>
      <c r="B243" s="72"/>
      <c r="C243" s="72"/>
      <c r="D243" s="72"/>
      <c r="E243" s="72"/>
      <c r="F243" s="50"/>
      <c r="G243" s="50"/>
      <c r="H243" s="50"/>
      <c r="I243" s="72"/>
      <c r="J243" s="50"/>
      <c r="K243" s="72"/>
    </row>
    <row r="244" spans="1:11" ht="25.5" hidden="1">
      <c r="A244" s="345" t="s">
        <v>972</v>
      </c>
      <c r="B244" s="72"/>
      <c r="C244" s="72"/>
      <c r="D244" s="72"/>
      <c r="E244" s="72"/>
      <c r="F244" s="50"/>
      <c r="G244" s="50"/>
      <c r="H244" s="50"/>
      <c r="I244" s="72"/>
      <c r="J244" s="50"/>
      <c r="K244" s="72"/>
    </row>
    <row r="245" spans="1:11" hidden="1">
      <c r="A245" s="346" t="s">
        <v>977</v>
      </c>
      <c r="B245" s="72"/>
      <c r="C245" s="72"/>
      <c r="D245" s="72"/>
      <c r="E245" s="72"/>
      <c r="F245" s="50"/>
      <c r="G245" s="50"/>
      <c r="H245" s="50"/>
      <c r="I245" s="72"/>
      <c r="J245" s="50"/>
      <c r="K245" s="72"/>
    </row>
    <row r="246" spans="1:11" hidden="1">
      <c r="A246" s="346" t="s">
        <v>998</v>
      </c>
      <c r="B246" s="72"/>
      <c r="C246" s="72"/>
      <c r="D246" s="72"/>
      <c r="E246" s="72"/>
      <c r="F246" s="50"/>
      <c r="G246" s="50"/>
      <c r="H246" s="50"/>
      <c r="I246" s="72"/>
      <c r="J246" s="50"/>
      <c r="K246" s="72"/>
    </row>
    <row r="247" spans="1:11" ht="26.25" hidden="1">
      <c r="A247" s="346" t="s">
        <v>999</v>
      </c>
      <c r="B247" s="72"/>
      <c r="C247" s="72"/>
      <c r="D247" s="72"/>
      <c r="E247" s="72"/>
      <c r="F247" s="50"/>
      <c r="G247" s="50"/>
      <c r="H247" s="50"/>
      <c r="I247" s="348"/>
      <c r="J247" s="50"/>
      <c r="K247" s="348"/>
    </row>
    <row r="248" spans="1:11" ht="26.25" hidden="1">
      <c r="A248" s="346" t="s">
        <v>1000</v>
      </c>
      <c r="B248" s="72"/>
      <c r="C248" s="72"/>
      <c r="D248" s="72"/>
      <c r="E248" s="72"/>
      <c r="F248" s="50"/>
      <c r="G248" s="50"/>
      <c r="H248" s="50"/>
      <c r="I248" s="348"/>
      <c r="J248" s="50"/>
      <c r="K248" s="348"/>
    </row>
    <row r="249" spans="1:11" ht="26.25" hidden="1">
      <c r="A249" s="346" t="s">
        <v>1001</v>
      </c>
      <c r="B249" s="72"/>
      <c r="C249" s="72"/>
      <c r="D249" s="72"/>
      <c r="E249" s="72"/>
      <c r="F249" s="50"/>
      <c r="G249" s="50"/>
      <c r="H249" s="50"/>
      <c r="I249" s="348"/>
      <c r="J249" s="50"/>
      <c r="K249" s="348"/>
    </row>
    <row r="250" spans="1:11" ht="26.25" hidden="1">
      <c r="A250" s="346" t="s">
        <v>1002</v>
      </c>
      <c r="B250" s="72"/>
      <c r="C250" s="72"/>
      <c r="D250" s="72"/>
      <c r="E250" s="72"/>
      <c r="F250" s="50"/>
      <c r="G250" s="50"/>
      <c r="H250" s="50"/>
      <c r="I250" s="348"/>
      <c r="J250" s="50"/>
      <c r="K250" s="348"/>
    </row>
    <row r="251" spans="1:11" ht="26.25" hidden="1">
      <c r="A251" s="346" t="s">
        <v>989</v>
      </c>
      <c r="B251" s="72"/>
      <c r="C251" s="72"/>
      <c r="D251" s="72"/>
      <c r="E251" s="72"/>
      <c r="F251" s="50"/>
      <c r="G251" s="50"/>
      <c r="H251" s="50"/>
      <c r="I251" s="348"/>
      <c r="J251" s="50"/>
      <c r="K251" s="348"/>
    </row>
    <row r="252" spans="1:11" ht="26.25" hidden="1">
      <c r="A252" s="346" t="s">
        <v>990</v>
      </c>
      <c r="B252" s="72"/>
      <c r="C252" s="72"/>
      <c r="D252" s="72"/>
      <c r="E252" s="72"/>
      <c r="F252" s="50"/>
      <c r="G252" s="50"/>
      <c r="H252" s="50"/>
      <c r="I252" s="348"/>
      <c r="J252" s="50"/>
      <c r="K252" s="348"/>
    </row>
    <row r="253" spans="1:11" hidden="1">
      <c r="A253" s="346" t="s">
        <v>991</v>
      </c>
      <c r="B253" s="72"/>
      <c r="C253" s="72"/>
      <c r="D253" s="72"/>
      <c r="E253" s="72"/>
      <c r="F253" s="50"/>
      <c r="G253" s="50"/>
      <c r="H253" s="50"/>
      <c r="I253" s="348"/>
      <c r="J253" s="50"/>
      <c r="K253" s="348"/>
    </row>
    <row r="254" spans="1:11" hidden="1" outlineLevel="1">
      <c r="A254" s="72"/>
      <c r="B254" s="72"/>
      <c r="C254" s="72"/>
      <c r="D254" s="72"/>
      <c r="E254" s="72"/>
      <c r="F254" s="50"/>
      <c r="G254" s="50"/>
      <c r="H254" s="50"/>
      <c r="I254" s="72"/>
      <c r="J254" s="50"/>
      <c r="K254" s="72"/>
    </row>
    <row r="255" spans="1:11" hidden="1" outlineLevel="1">
      <c r="A255" s="72"/>
      <c r="B255" s="72"/>
      <c r="C255" s="72"/>
      <c r="D255" s="72"/>
      <c r="E255" s="72"/>
      <c r="F255" s="50"/>
      <c r="G255" s="50"/>
      <c r="H255" s="50"/>
      <c r="I255" s="72"/>
      <c r="J255" s="50"/>
      <c r="K255" s="72"/>
    </row>
    <row r="256" spans="1:11" hidden="1" outlineLevel="1">
      <c r="A256" s="72"/>
      <c r="B256" s="72"/>
      <c r="C256" s="72"/>
      <c r="D256" s="72"/>
      <c r="E256" s="72"/>
      <c r="F256" s="50"/>
      <c r="G256" s="50"/>
      <c r="H256" s="50"/>
      <c r="I256" s="72"/>
      <c r="J256" s="50"/>
      <c r="K256" s="72"/>
    </row>
    <row r="257" spans="1:11" hidden="1" outlineLevel="1">
      <c r="A257" s="72"/>
      <c r="B257" s="72"/>
      <c r="C257" s="72"/>
      <c r="D257" s="72"/>
      <c r="E257" s="72"/>
      <c r="F257" s="50"/>
      <c r="G257" s="50"/>
      <c r="H257" s="50"/>
      <c r="I257" s="72"/>
      <c r="J257" s="50"/>
      <c r="K257" s="72"/>
    </row>
    <row r="258" spans="1:11" hidden="1" outlineLevel="1">
      <c r="A258" s="72"/>
      <c r="B258" s="72"/>
      <c r="C258" s="72"/>
      <c r="D258" s="72"/>
      <c r="E258" s="72"/>
      <c r="F258" s="50"/>
      <c r="G258" s="50"/>
      <c r="H258" s="50"/>
      <c r="I258" s="72"/>
      <c r="J258" s="50"/>
      <c r="K258" s="72"/>
    </row>
    <row r="259" spans="1:11" hidden="1" outlineLevel="1">
      <c r="A259" s="72"/>
      <c r="B259" s="72"/>
      <c r="C259" s="72"/>
      <c r="D259" s="72"/>
      <c r="E259" s="72"/>
      <c r="F259" s="50"/>
      <c r="G259" s="50"/>
      <c r="H259" s="50"/>
      <c r="I259" s="72"/>
      <c r="J259" s="50"/>
      <c r="K259" s="72"/>
    </row>
    <row r="260" spans="1:11" hidden="1" outlineLevel="1">
      <c r="A260" s="72"/>
      <c r="B260" s="72"/>
      <c r="C260" s="72"/>
      <c r="D260" s="72"/>
      <c r="E260" s="72"/>
      <c r="F260" s="50"/>
      <c r="G260" s="50"/>
      <c r="H260" s="50"/>
      <c r="I260" s="72"/>
      <c r="J260" s="50"/>
      <c r="K260" s="72"/>
    </row>
    <row r="261" spans="1:11" hidden="1" outlineLevel="1">
      <c r="A261" s="72"/>
      <c r="B261" s="72"/>
      <c r="C261" s="72"/>
      <c r="D261" s="72"/>
      <c r="E261" s="72"/>
      <c r="F261" s="50"/>
      <c r="G261" s="50"/>
      <c r="H261" s="50"/>
      <c r="I261" s="72"/>
      <c r="J261" s="50"/>
      <c r="K261" s="72"/>
    </row>
    <row r="262" spans="1:11" hidden="1" outlineLevel="1">
      <c r="A262" s="72"/>
      <c r="B262" s="72"/>
      <c r="C262" s="72"/>
      <c r="D262" s="72"/>
      <c r="E262" s="72"/>
      <c r="F262" s="50"/>
      <c r="G262" s="50"/>
      <c r="H262" s="50"/>
      <c r="I262" s="72"/>
      <c r="J262" s="50"/>
      <c r="K262" s="72"/>
    </row>
    <row r="263" spans="1:11" hidden="1" outlineLevel="1">
      <c r="A263" s="72"/>
      <c r="B263" s="72"/>
      <c r="C263" s="72"/>
      <c r="D263" s="72"/>
      <c r="E263" s="72"/>
      <c r="F263" s="50"/>
      <c r="G263" s="50"/>
      <c r="H263" s="50"/>
      <c r="I263" s="72"/>
      <c r="J263" s="50"/>
      <c r="K263" s="72"/>
    </row>
    <row r="264" spans="1:11" hidden="1" outlineLevel="1">
      <c r="A264" s="72"/>
      <c r="B264" s="72"/>
      <c r="C264" s="72"/>
      <c r="D264" s="72"/>
      <c r="E264" s="72"/>
      <c r="F264" s="50"/>
      <c r="G264" s="50"/>
      <c r="H264" s="50"/>
      <c r="I264" s="72"/>
      <c r="J264" s="50"/>
      <c r="K264" s="72"/>
    </row>
    <row r="265" spans="1:11" hidden="1" outlineLevel="1">
      <c r="A265" s="72"/>
      <c r="B265" s="72"/>
      <c r="C265" s="72"/>
      <c r="D265" s="72"/>
      <c r="E265" s="72"/>
      <c r="F265" s="50"/>
      <c r="G265" s="50"/>
      <c r="H265" s="50"/>
      <c r="I265" s="72"/>
      <c r="J265" s="50"/>
      <c r="K265" s="72"/>
    </row>
    <row r="266" spans="1:11" hidden="1" outlineLevel="1">
      <c r="A266" s="72"/>
      <c r="B266" s="72"/>
      <c r="C266" s="72"/>
      <c r="D266" s="72"/>
      <c r="E266" s="72"/>
      <c r="F266" s="50"/>
      <c r="G266" s="50"/>
      <c r="H266" s="50"/>
      <c r="I266" s="72"/>
      <c r="J266" s="50"/>
      <c r="K266" s="72"/>
    </row>
    <row r="267" spans="1:11" hidden="1" outlineLevel="1">
      <c r="A267" s="72"/>
      <c r="B267" s="72"/>
      <c r="C267" s="72"/>
      <c r="D267" s="72"/>
      <c r="E267" s="72"/>
      <c r="F267" s="50"/>
      <c r="G267" s="50"/>
      <c r="H267" s="50"/>
      <c r="I267" s="72"/>
      <c r="J267" s="50"/>
      <c r="K267" s="72"/>
    </row>
    <row r="268" spans="1:11" hidden="1" outlineLevel="1">
      <c r="A268" s="72"/>
      <c r="B268" s="72"/>
      <c r="C268" s="72"/>
      <c r="D268" s="72"/>
      <c r="E268" s="72"/>
      <c r="F268" s="50"/>
      <c r="G268" s="50"/>
      <c r="H268" s="50"/>
      <c r="I268" s="72"/>
      <c r="J268" s="50"/>
      <c r="K268" s="72"/>
    </row>
    <row r="269" spans="1:11" hidden="1" outlineLevel="1">
      <c r="A269" s="72"/>
      <c r="B269" s="72"/>
      <c r="C269" s="72"/>
      <c r="D269" s="72"/>
      <c r="E269" s="72"/>
      <c r="F269" s="50"/>
      <c r="G269" s="50"/>
      <c r="H269" s="50"/>
      <c r="I269" s="72"/>
      <c r="J269" s="50"/>
      <c r="K269" s="72"/>
    </row>
    <row r="270" spans="1:11" hidden="1" outlineLevel="1">
      <c r="A270" s="72"/>
      <c r="B270" s="72"/>
      <c r="C270" s="72"/>
      <c r="D270" s="72"/>
      <c r="E270" s="72"/>
      <c r="F270" s="50"/>
      <c r="G270" s="50"/>
      <c r="H270" s="50"/>
      <c r="I270" s="72"/>
      <c r="J270" s="50"/>
      <c r="K270" s="72"/>
    </row>
    <row r="271" spans="1:11" hidden="1" outlineLevel="1">
      <c r="A271" s="72"/>
      <c r="B271" s="72"/>
      <c r="C271" s="72"/>
      <c r="D271" s="72"/>
      <c r="E271" s="72"/>
      <c r="F271" s="50"/>
      <c r="G271" s="50"/>
      <c r="H271" s="50"/>
      <c r="I271" s="72"/>
      <c r="J271" s="50"/>
      <c r="K271" s="72"/>
    </row>
    <row r="272" spans="1:11" hidden="1" outlineLevel="1">
      <c r="A272" s="72"/>
      <c r="B272" s="72"/>
      <c r="C272" s="72"/>
      <c r="D272" s="72"/>
      <c r="E272" s="72"/>
      <c r="F272" s="50"/>
      <c r="G272" s="50"/>
      <c r="H272" s="50"/>
      <c r="I272" s="72"/>
      <c r="J272" s="50"/>
      <c r="K272" s="72"/>
    </row>
    <row r="273" spans="1:11" hidden="1" outlineLevel="1">
      <c r="A273" s="72"/>
      <c r="B273" s="72"/>
      <c r="C273" s="72"/>
      <c r="D273" s="72"/>
      <c r="E273" s="72"/>
      <c r="F273" s="50"/>
      <c r="G273" s="50"/>
      <c r="H273" s="50"/>
      <c r="I273" s="72"/>
      <c r="J273" s="50"/>
      <c r="K273" s="72"/>
    </row>
    <row r="274" spans="1:11" hidden="1" outlineLevel="1">
      <c r="A274" s="72"/>
      <c r="B274" s="72"/>
      <c r="C274" s="72"/>
      <c r="D274" s="72"/>
      <c r="E274" s="72"/>
      <c r="F274" s="50"/>
      <c r="G274" s="50"/>
      <c r="H274" s="50"/>
      <c r="I274" s="72"/>
      <c r="J274" s="50"/>
      <c r="K274" s="72"/>
    </row>
    <row r="275" spans="1:11" hidden="1" outlineLevel="1">
      <c r="A275" s="72"/>
      <c r="B275" s="72"/>
      <c r="C275" s="72"/>
      <c r="D275" s="72"/>
      <c r="E275" s="72"/>
      <c r="F275" s="50"/>
      <c r="G275" s="50"/>
      <c r="H275" s="50"/>
      <c r="I275" s="72"/>
      <c r="J275" s="50"/>
      <c r="K275" s="72"/>
    </row>
    <row r="276" spans="1:11" hidden="1" outlineLevel="1">
      <c r="A276" s="72"/>
      <c r="B276" s="72"/>
      <c r="C276" s="72"/>
      <c r="D276" s="72"/>
      <c r="E276" s="72"/>
      <c r="F276" s="50"/>
      <c r="G276" s="50"/>
      <c r="H276" s="50"/>
      <c r="I276" s="72"/>
      <c r="J276" s="50"/>
      <c r="K276" s="72"/>
    </row>
    <row r="277" spans="1:11" hidden="1" outlineLevel="1">
      <c r="A277" s="72"/>
      <c r="B277" s="72"/>
      <c r="C277" s="72"/>
      <c r="D277" s="72"/>
      <c r="E277" s="72"/>
      <c r="F277" s="50"/>
      <c r="G277" s="50"/>
      <c r="H277" s="50"/>
      <c r="I277" s="72"/>
      <c r="J277" s="50"/>
      <c r="K277" s="72"/>
    </row>
    <row r="278" spans="1:11" hidden="1" outlineLevel="1">
      <c r="A278" s="72"/>
      <c r="B278" s="72"/>
      <c r="C278" s="72"/>
      <c r="D278" s="72"/>
      <c r="E278" s="72"/>
      <c r="F278" s="50"/>
      <c r="G278" s="50"/>
      <c r="H278" s="50"/>
      <c r="I278" s="72"/>
      <c r="J278" s="50"/>
      <c r="K278" s="72"/>
    </row>
    <row r="279" spans="1:11" hidden="1" outlineLevel="1">
      <c r="A279" s="72"/>
      <c r="B279" s="72"/>
      <c r="C279" s="72"/>
      <c r="D279" s="72"/>
      <c r="E279" s="72"/>
      <c r="F279" s="50"/>
      <c r="G279" s="50"/>
      <c r="H279" s="50"/>
      <c r="I279" s="72"/>
      <c r="J279" s="50"/>
      <c r="K279" s="72"/>
    </row>
    <row r="280" spans="1:11" hidden="1" outlineLevel="1">
      <c r="A280" s="72"/>
      <c r="B280" s="72"/>
      <c r="C280" s="72"/>
      <c r="D280" s="72"/>
      <c r="E280" s="72"/>
      <c r="F280" s="50"/>
      <c r="G280" s="50"/>
      <c r="H280" s="50"/>
      <c r="I280" s="72"/>
      <c r="J280" s="50"/>
      <c r="K280" s="72"/>
    </row>
    <row r="281" spans="1:11" hidden="1" outlineLevel="1">
      <c r="A281" s="72"/>
      <c r="B281" s="72"/>
      <c r="C281" s="72"/>
      <c r="D281" s="72"/>
      <c r="E281" s="72"/>
      <c r="F281" s="50"/>
      <c r="G281" s="50"/>
      <c r="H281" s="50"/>
      <c r="I281" s="72"/>
      <c r="J281" s="50"/>
      <c r="K281" s="72"/>
    </row>
    <row r="282" spans="1:11" hidden="1" outlineLevel="1">
      <c r="A282" s="72"/>
      <c r="B282" s="72"/>
      <c r="C282" s="72"/>
      <c r="D282" s="72"/>
      <c r="E282" s="72"/>
      <c r="F282" s="50"/>
      <c r="G282" s="50"/>
      <c r="H282" s="50"/>
      <c r="I282" s="72"/>
      <c r="J282" s="50"/>
      <c r="K282" s="72"/>
    </row>
    <row r="283" spans="1:11" hidden="1" outlineLevel="1">
      <c r="A283" s="72"/>
      <c r="B283" s="72"/>
      <c r="C283" s="72"/>
      <c r="D283" s="72"/>
      <c r="E283" s="72"/>
      <c r="F283" s="50"/>
      <c r="G283" s="50"/>
      <c r="H283" s="50"/>
      <c r="I283" s="72"/>
      <c r="J283" s="50"/>
      <c r="K283" s="72"/>
    </row>
    <row r="284" spans="1:11" s="90" customFormat="1" collapsed="1">
      <c r="A284" s="93"/>
      <c r="B284" s="95"/>
      <c r="C284" s="95"/>
      <c r="D284" s="95"/>
      <c r="E284" s="95"/>
      <c r="F284" s="95"/>
      <c r="G284" s="95"/>
      <c r="H284" s="95"/>
      <c r="I284" s="95"/>
      <c r="J284" s="95"/>
      <c r="K284" s="95"/>
    </row>
  </sheetData>
  <mergeCells count="8">
    <mergeCell ref="A233:I233"/>
    <mergeCell ref="A234:I234"/>
    <mergeCell ref="A3:I3"/>
    <mergeCell ref="A4:I4"/>
    <mergeCell ref="A57:I57"/>
    <mergeCell ref="A58:I58"/>
    <mergeCell ref="A179:I179"/>
    <mergeCell ref="A180:I180"/>
  </mergeCells>
  <pageMargins left="0.78740157480314965" right="0.51181102362204722" top="0.59055118110236227" bottom="0.39370078740157483" header="0.19685039370078741" footer="0.19685039370078741"/>
  <pageSetup paperSize="9" scale="49" orientation="portrait" r:id="rId1"/>
  <headerFooter alignWithMargins="0"/>
  <rowBreaks count="3" manualBreakCount="3">
    <brk id="54" max="10" man="1"/>
    <brk id="176" max="10" man="1"/>
    <brk id="230" max="10" man="1"/>
  </rowBreak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G17"/>
  <sheetViews>
    <sheetView view="pageBreakPreview" zoomScaleNormal="100" zoomScaleSheetLayoutView="100" workbookViewId="0">
      <selection activeCell="J15" sqref="J15"/>
    </sheetView>
  </sheetViews>
  <sheetFormatPr defaultColWidth="0.85546875" defaultRowHeight="12" customHeight="1"/>
  <cols>
    <col min="1" max="1" width="5.28515625" style="26" customWidth="1"/>
    <col min="2" max="2" width="36" style="26" customWidth="1"/>
    <col min="3" max="3" width="12.7109375" style="48" customWidth="1"/>
    <col min="4" max="4" width="10.5703125" style="26" customWidth="1"/>
    <col min="5" max="5" width="10.85546875" style="26" customWidth="1"/>
    <col min="6" max="6" width="11.140625" style="26" customWidth="1"/>
    <col min="7" max="7" width="11.28515625" style="26" customWidth="1"/>
    <col min="8" max="46" width="13" style="26" customWidth="1"/>
    <col min="47" max="256" width="3" style="26" customWidth="1"/>
    <col min="257" max="16384" width="0.85546875" style="26"/>
  </cols>
  <sheetData>
    <row r="1" spans="1:7" s="24" customFormat="1" ht="14.25">
      <c r="A1" s="74" t="s">
        <v>765</v>
      </c>
      <c r="C1" s="63"/>
      <c r="G1" s="25" t="s">
        <v>535</v>
      </c>
    </row>
    <row r="2" spans="1:7" s="24" customFormat="1" ht="12.75" customHeight="1">
      <c r="A2" s="105" t="str">
        <f>'3.1'!$A$2</f>
        <v>ПКГО - Комбинированная выработка КТЭЦ</v>
      </c>
      <c r="C2" s="63"/>
    </row>
    <row r="3" spans="1:7" ht="18.75">
      <c r="A3" s="1876" t="s">
        <v>536</v>
      </c>
      <c r="B3" s="1876"/>
      <c r="C3" s="1876"/>
      <c r="D3" s="1876"/>
      <c r="E3" s="1876"/>
      <c r="F3" s="1876"/>
      <c r="G3" s="1876"/>
    </row>
    <row r="4" spans="1:7" ht="12.75" customHeight="1">
      <c r="A4" s="27"/>
      <c r="B4" s="27"/>
      <c r="C4" s="27"/>
      <c r="D4" s="27"/>
      <c r="E4" s="27"/>
      <c r="F4" s="27"/>
      <c r="G4" s="27"/>
    </row>
    <row r="5" spans="1:7" s="31" customFormat="1" ht="83.25" customHeight="1">
      <c r="A5" s="12" t="s">
        <v>537</v>
      </c>
      <c r="B5" s="12" t="s">
        <v>1</v>
      </c>
      <c r="C5" s="30" t="s">
        <v>2</v>
      </c>
      <c r="D5" s="30" t="s">
        <v>538</v>
      </c>
      <c r="E5" s="30" t="s">
        <v>539</v>
      </c>
      <c r="F5" s="30" t="s">
        <v>540</v>
      </c>
      <c r="G5" s="30" t="s">
        <v>541</v>
      </c>
    </row>
    <row r="6" spans="1:7" s="48" customFormat="1" ht="15">
      <c r="A6" s="40">
        <v>1</v>
      </c>
      <c r="B6" s="13">
        <v>2</v>
      </c>
      <c r="C6" s="33">
        <v>3</v>
      </c>
      <c r="D6" s="33">
        <v>4</v>
      </c>
      <c r="E6" s="33">
        <v>5</v>
      </c>
      <c r="F6" s="33">
        <v>6</v>
      </c>
      <c r="G6" s="33">
        <v>7</v>
      </c>
    </row>
    <row r="7" spans="1:7" s="28" customFormat="1" ht="30">
      <c r="A7" s="35" t="s">
        <v>4</v>
      </c>
      <c r="B7" s="75" t="s">
        <v>542</v>
      </c>
      <c r="C7" s="54" t="s">
        <v>543</v>
      </c>
      <c r="D7" s="67"/>
      <c r="E7" s="67"/>
      <c r="F7" s="67"/>
      <c r="G7" s="67"/>
    </row>
    <row r="8" spans="1:7" s="28" customFormat="1" ht="30">
      <c r="A8" s="35" t="s">
        <v>23</v>
      </c>
      <c r="B8" s="76" t="s">
        <v>544</v>
      </c>
      <c r="C8" s="54" t="s">
        <v>543</v>
      </c>
      <c r="D8" s="67"/>
      <c r="E8" s="67"/>
      <c r="F8" s="67"/>
      <c r="G8" s="67"/>
    </row>
    <row r="9" spans="1:7" s="28" customFormat="1" ht="45">
      <c r="A9" s="35" t="s">
        <v>27</v>
      </c>
      <c r="B9" s="76" t="s">
        <v>545</v>
      </c>
      <c r="C9" s="54" t="s">
        <v>150</v>
      </c>
      <c r="D9" s="67"/>
      <c r="E9" s="67"/>
      <c r="F9" s="67"/>
      <c r="G9" s="67"/>
    </row>
    <row r="10" spans="1:7" s="28" customFormat="1" ht="30">
      <c r="A10" s="35" t="s">
        <v>30</v>
      </c>
      <c r="B10" s="76" t="s">
        <v>546</v>
      </c>
      <c r="C10" s="54" t="s">
        <v>547</v>
      </c>
      <c r="D10" s="67"/>
      <c r="E10" s="67"/>
      <c r="F10" s="67"/>
      <c r="G10" s="67"/>
    </row>
    <row r="11" spans="1:7" s="28" customFormat="1" ht="30">
      <c r="A11" s="35" t="s">
        <v>78</v>
      </c>
      <c r="B11" s="76" t="s">
        <v>548</v>
      </c>
      <c r="C11" s="54" t="s">
        <v>549</v>
      </c>
      <c r="D11" s="67"/>
      <c r="E11" s="67"/>
      <c r="F11" s="67"/>
      <c r="G11" s="67"/>
    </row>
    <row r="12" spans="1:7" ht="15"/>
    <row r="13" spans="1:7" ht="15">
      <c r="A13" s="26" t="s">
        <v>88</v>
      </c>
    </row>
    <row r="14" spans="1:7" s="28" customFormat="1" ht="52.5" customHeight="1">
      <c r="A14" s="45" t="s">
        <v>89</v>
      </c>
      <c r="B14" s="1842" t="s">
        <v>550</v>
      </c>
      <c r="C14" s="1842"/>
      <c r="D14" s="1842"/>
      <c r="E14" s="1842"/>
      <c r="F14" s="1842"/>
      <c r="G14" s="1842"/>
    </row>
    <row r="15" spans="1:7" s="28" customFormat="1" ht="65.25" customHeight="1">
      <c r="A15" s="45" t="s">
        <v>91</v>
      </c>
      <c r="B15" s="1842" t="s">
        <v>551</v>
      </c>
      <c r="C15" s="1842"/>
      <c r="D15" s="1842"/>
      <c r="E15" s="1842"/>
      <c r="F15" s="1842"/>
      <c r="G15" s="1842"/>
    </row>
    <row r="16" spans="1:7" s="28" customFormat="1" ht="15" customHeight="1">
      <c r="A16" s="45" t="s">
        <v>93</v>
      </c>
      <c r="B16" s="1967" t="s">
        <v>552</v>
      </c>
      <c r="C16" s="1967"/>
      <c r="D16" s="1967"/>
      <c r="E16" s="1967"/>
      <c r="F16" s="1967"/>
      <c r="G16" s="1967"/>
    </row>
    <row r="17" spans="1:3" s="28" customFormat="1" ht="15" customHeight="1">
      <c r="A17" s="45" t="s">
        <v>95</v>
      </c>
      <c r="B17" s="28" t="s">
        <v>553</v>
      </c>
      <c r="C17" s="64"/>
    </row>
  </sheetData>
  <mergeCells count="4">
    <mergeCell ref="A3:G3"/>
    <mergeCell ref="B14:G14"/>
    <mergeCell ref="B15:G15"/>
    <mergeCell ref="B16:G16"/>
  </mergeCells>
  <pageMargins left="0.78740157480314965" right="0.70866141732283472" top="0.78740157480314965" bottom="0.39370078740157483" header="0.19685039370078741" footer="0.19685039370078741"/>
  <pageSetup paperSize="9" scale="89" orientation="portrait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G20"/>
  <sheetViews>
    <sheetView view="pageBreakPreview" zoomScaleNormal="100" zoomScaleSheetLayoutView="100" workbookViewId="0">
      <pane xSplit="2" ySplit="5" topLeftCell="C6" activePane="bottomRight" state="frozen"/>
      <selection activeCell="J15" sqref="J15"/>
      <selection pane="topRight" activeCell="J15" sqref="J15"/>
      <selection pane="bottomLeft" activeCell="J15" sqref="J15"/>
      <selection pane="bottomRight" activeCell="J15" sqref="J15"/>
    </sheetView>
  </sheetViews>
  <sheetFormatPr defaultColWidth="0.85546875" defaultRowHeight="12" customHeight="1"/>
  <cols>
    <col min="1" max="1" width="4.85546875" style="26" customWidth="1"/>
    <col min="2" max="2" width="33.85546875" style="26" customWidth="1"/>
    <col min="3" max="3" width="12.28515625" style="26" customWidth="1"/>
    <col min="4" max="7" width="9.140625" style="26" customWidth="1"/>
    <col min="8" max="256" width="3.42578125" style="26" customWidth="1"/>
    <col min="257" max="16384" width="0.85546875" style="26"/>
  </cols>
  <sheetData>
    <row r="1" spans="1:7" s="24" customFormat="1" ht="14.25">
      <c r="A1" s="74" t="s">
        <v>765</v>
      </c>
      <c r="G1" s="25" t="s">
        <v>554</v>
      </c>
    </row>
    <row r="2" spans="1:7" s="24" customFormat="1" ht="12.75" customHeight="1">
      <c r="A2" s="105" t="str">
        <f>'3.1'!$A$2</f>
        <v>ПКГО - Комбинированная выработка КТЭЦ</v>
      </c>
    </row>
    <row r="3" spans="1:7" ht="18.75">
      <c r="A3" s="1876" t="s">
        <v>555</v>
      </c>
      <c r="B3" s="1876"/>
      <c r="C3" s="1876"/>
      <c r="D3" s="1876"/>
      <c r="E3" s="1876"/>
      <c r="F3" s="1876"/>
      <c r="G3" s="1876"/>
    </row>
    <row r="4" spans="1:7" ht="12.75" customHeight="1">
      <c r="A4" s="27"/>
      <c r="B4" s="27"/>
      <c r="C4" s="27"/>
      <c r="D4" s="27"/>
      <c r="E4" s="27"/>
      <c r="F4" s="27"/>
      <c r="G4" s="27"/>
    </row>
    <row r="5" spans="1:7" s="39" customFormat="1" ht="75">
      <c r="A5" s="10" t="s">
        <v>451</v>
      </c>
      <c r="B5" s="10" t="s">
        <v>1</v>
      </c>
      <c r="C5" s="32" t="s">
        <v>2</v>
      </c>
      <c r="D5" s="32" t="s">
        <v>538</v>
      </c>
      <c r="E5" s="32" t="s">
        <v>539</v>
      </c>
      <c r="F5" s="32" t="s">
        <v>540</v>
      </c>
      <c r="G5" s="32" t="s">
        <v>541</v>
      </c>
    </row>
    <row r="6" spans="1:7" s="48" customFormat="1" ht="15">
      <c r="A6" s="91">
        <v>1</v>
      </c>
      <c r="B6" s="11">
        <v>2</v>
      </c>
      <c r="C6" s="47">
        <v>3</v>
      </c>
      <c r="D6" s="47">
        <v>4</v>
      </c>
      <c r="E6" s="47">
        <v>5</v>
      </c>
      <c r="F6" s="47">
        <v>6</v>
      </c>
      <c r="G6" s="47">
        <v>7</v>
      </c>
    </row>
    <row r="7" spans="1:7" s="28" customFormat="1" ht="30">
      <c r="A7" s="92" t="s">
        <v>4</v>
      </c>
      <c r="B7" s="59" t="s">
        <v>556</v>
      </c>
      <c r="C7" s="73"/>
      <c r="D7" s="62"/>
      <c r="E7" s="62"/>
      <c r="F7" s="62"/>
      <c r="G7" s="62"/>
    </row>
    <row r="8" spans="1:7" s="28" customFormat="1" ht="45">
      <c r="A8" s="92" t="s">
        <v>23</v>
      </c>
      <c r="B8" s="69" t="s">
        <v>557</v>
      </c>
      <c r="C8" s="73"/>
      <c r="D8" s="62"/>
      <c r="E8" s="62"/>
      <c r="F8" s="62"/>
      <c r="G8" s="62"/>
    </row>
    <row r="9" spans="1:7" s="28" customFormat="1" ht="45">
      <c r="A9" s="92" t="s">
        <v>27</v>
      </c>
      <c r="B9" s="69" t="s">
        <v>558</v>
      </c>
      <c r="C9" s="73"/>
      <c r="D9" s="62"/>
      <c r="E9" s="62"/>
      <c r="F9" s="62"/>
      <c r="G9" s="62"/>
    </row>
    <row r="10" spans="1:7" s="28" customFormat="1" ht="30">
      <c r="A10" s="92" t="s">
        <v>30</v>
      </c>
      <c r="B10" s="69" t="s">
        <v>559</v>
      </c>
      <c r="C10" s="73"/>
      <c r="D10" s="62"/>
      <c r="E10" s="62"/>
      <c r="F10" s="62"/>
      <c r="G10" s="62"/>
    </row>
    <row r="11" spans="1:7" s="28" customFormat="1" ht="45">
      <c r="A11" s="92" t="s">
        <v>78</v>
      </c>
      <c r="B11" s="69" t="s">
        <v>560</v>
      </c>
      <c r="C11" s="73"/>
      <c r="D11" s="62"/>
      <c r="E11" s="62"/>
      <c r="F11" s="62"/>
      <c r="G11" s="62"/>
    </row>
    <row r="12" spans="1:7" s="28" customFormat="1" ht="31.5" customHeight="1">
      <c r="A12" s="92" t="s">
        <v>86</v>
      </c>
      <c r="B12" s="69" t="s">
        <v>561</v>
      </c>
      <c r="C12" s="73"/>
      <c r="D12" s="62"/>
      <c r="E12" s="62"/>
      <c r="F12" s="62"/>
      <c r="G12" s="62"/>
    </row>
    <row r="13" spans="1:7" ht="15"/>
    <row r="14" spans="1:7" ht="15">
      <c r="A14" s="26" t="s">
        <v>88</v>
      </c>
    </row>
    <row r="15" spans="1:7" s="28" customFormat="1" ht="15" customHeight="1">
      <c r="A15" s="45" t="s">
        <v>89</v>
      </c>
      <c r="B15" s="28" t="s">
        <v>562</v>
      </c>
    </row>
    <row r="16" spans="1:7" s="28" customFormat="1" ht="63" customHeight="1">
      <c r="A16" s="45" t="s">
        <v>91</v>
      </c>
      <c r="B16" s="1842" t="s">
        <v>563</v>
      </c>
      <c r="C16" s="1842"/>
      <c r="D16" s="1842"/>
      <c r="E16" s="1842"/>
      <c r="F16" s="1842"/>
      <c r="G16" s="1842"/>
    </row>
    <row r="17" spans="1:7" s="28" customFormat="1" ht="81.75" customHeight="1">
      <c r="A17" s="45" t="s">
        <v>93</v>
      </c>
      <c r="B17" s="1842" t="s">
        <v>551</v>
      </c>
      <c r="C17" s="1842"/>
      <c r="D17" s="1842"/>
      <c r="E17" s="1842"/>
      <c r="F17" s="1842"/>
      <c r="G17" s="1842"/>
    </row>
    <row r="18" spans="1:7" s="28" customFormat="1" ht="33" customHeight="1">
      <c r="A18" s="45" t="s">
        <v>95</v>
      </c>
      <c r="B18" s="1842" t="s">
        <v>564</v>
      </c>
      <c r="C18" s="1842"/>
      <c r="D18" s="1842"/>
      <c r="E18" s="1842"/>
      <c r="F18" s="1842"/>
      <c r="G18" s="1842"/>
    </row>
    <row r="19" spans="1:7" s="28" customFormat="1" ht="29.25" customHeight="1">
      <c r="A19" s="45" t="s">
        <v>97</v>
      </c>
      <c r="B19" s="1842" t="s">
        <v>565</v>
      </c>
      <c r="C19" s="1842"/>
      <c r="D19" s="1842"/>
      <c r="E19" s="1842"/>
      <c r="F19" s="1842"/>
      <c r="G19" s="1842"/>
    </row>
    <row r="20" spans="1:7" ht="15" customHeight="1"/>
  </sheetData>
  <mergeCells count="5">
    <mergeCell ref="B16:G16"/>
    <mergeCell ref="B17:G17"/>
    <mergeCell ref="B19:G19"/>
    <mergeCell ref="B18:G18"/>
    <mergeCell ref="A3:G3"/>
  </mergeCells>
  <pageMargins left="0.78740157480314965" right="0.70866141732283472" top="0.78740157480314965" bottom="0.39370078740157483" header="0.19685039370078741" footer="0.19685039370078741"/>
  <pageSetup paperSize="9" orientation="portrait" r:id="rId1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H22"/>
  <sheetViews>
    <sheetView view="pageBreakPreview" zoomScaleNormal="100" zoomScaleSheetLayoutView="100" workbookViewId="0">
      <pane xSplit="2" ySplit="5" topLeftCell="C6" activePane="bottomRight" state="frozen"/>
      <selection activeCell="J15" sqref="J15"/>
      <selection pane="topRight" activeCell="J15" sqref="J15"/>
      <selection pane="bottomLeft" activeCell="J15" sqref="J15"/>
      <selection pane="bottomRight" activeCell="J15" sqref="J15"/>
    </sheetView>
  </sheetViews>
  <sheetFormatPr defaultColWidth="0.85546875" defaultRowHeight="12" customHeight="1"/>
  <cols>
    <col min="1" max="1" width="4.5703125" style="26" customWidth="1"/>
    <col min="2" max="2" width="37.7109375" style="26" customWidth="1"/>
    <col min="3" max="3" width="10.140625" style="26" customWidth="1"/>
    <col min="4" max="8" width="10.28515625" style="26" customWidth="1"/>
    <col min="9" max="256" width="4.5703125" style="26" customWidth="1"/>
    <col min="257" max="16384" width="0.85546875" style="26"/>
  </cols>
  <sheetData>
    <row r="1" spans="1:8" s="24" customFormat="1" ht="14.25">
      <c r="A1" s="74" t="s">
        <v>765</v>
      </c>
      <c r="H1" s="25" t="s">
        <v>566</v>
      </c>
    </row>
    <row r="2" spans="1:8" s="24" customFormat="1" ht="12.75" customHeight="1">
      <c r="A2" s="105" t="str">
        <f>'3.1'!$A$2</f>
        <v>ПКГО - Комбинированная выработка КТЭЦ</v>
      </c>
    </row>
    <row r="3" spans="1:8" ht="75" customHeight="1">
      <c r="A3" s="1968" t="s">
        <v>567</v>
      </c>
      <c r="B3" s="1968"/>
      <c r="C3" s="1968"/>
      <c r="D3" s="1968"/>
      <c r="E3" s="1968"/>
      <c r="F3" s="1968"/>
      <c r="G3" s="1968"/>
      <c r="H3" s="1968"/>
    </row>
    <row r="4" spans="1:8" ht="12.75" customHeight="1">
      <c r="A4" s="27"/>
      <c r="B4" s="27"/>
      <c r="C4" s="27"/>
      <c r="D4" s="27"/>
      <c r="E4" s="27"/>
      <c r="F4" s="27"/>
      <c r="G4" s="27"/>
      <c r="H4" s="27"/>
    </row>
    <row r="5" spans="1:8" s="31" customFormat="1" ht="81" customHeight="1">
      <c r="A5" s="12" t="s">
        <v>451</v>
      </c>
      <c r="B5" s="12" t="s">
        <v>1</v>
      </c>
      <c r="C5" s="30" t="s">
        <v>2</v>
      </c>
      <c r="D5" s="30" t="s">
        <v>538</v>
      </c>
      <c r="E5" s="30" t="s">
        <v>539</v>
      </c>
      <c r="F5" s="30" t="s">
        <v>540</v>
      </c>
      <c r="G5" s="30" t="s">
        <v>541</v>
      </c>
      <c r="H5" s="30" t="s">
        <v>568</v>
      </c>
    </row>
    <row r="6" spans="1:8" s="48" customFormat="1" ht="15">
      <c r="A6" s="13">
        <v>1</v>
      </c>
      <c r="B6" s="13">
        <v>2</v>
      </c>
      <c r="C6" s="33">
        <v>3</v>
      </c>
      <c r="D6" s="33">
        <v>4</v>
      </c>
      <c r="E6" s="33">
        <v>5</v>
      </c>
      <c r="F6" s="33">
        <v>6</v>
      </c>
      <c r="G6" s="33">
        <v>7</v>
      </c>
      <c r="H6" s="33">
        <v>8</v>
      </c>
    </row>
    <row r="7" spans="1:8" s="28" customFormat="1" ht="30" customHeight="1">
      <c r="A7" s="9" t="s">
        <v>4</v>
      </c>
      <c r="B7" s="75" t="s">
        <v>569</v>
      </c>
      <c r="C7" s="54" t="s">
        <v>240</v>
      </c>
      <c r="D7" s="67"/>
      <c r="E7" s="67"/>
      <c r="F7" s="67"/>
      <c r="G7" s="67"/>
      <c r="H7" s="67" t="s">
        <v>570</v>
      </c>
    </row>
    <row r="8" spans="1:8" s="28" customFormat="1" ht="20.25" customHeight="1">
      <c r="A8" s="9" t="s">
        <v>23</v>
      </c>
      <c r="B8" s="76" t="s">
        <v>571</v>
      </c>
      <c r="C8" s="30"/>
      <c r="D8" s="67"/>
      <c r="E8" s="67"/>
      <c r="F8" s="67"/>
      <c r="G8" s="67"/>
      <c r="H8" s="67"/>
    </row>
    <row r="9" spans="1:8" s="28" customFormat="1" ht="30" customHeight="1">
      <c r="A9" s="9" t="s">
        <v>27</v>
      </c>
      <c r="B9" s="76" t="s">
        <v>572</v>
      </c>
      <c r="C9" s="30"/>
      <c r="D9" s="67"/>
      <c r="E9" s="67"/>
      <c r="F9" s="67"/>
      <c r="G9" s="67"/>
      <c r="H9" s="67" t="s">
        <v>570</v>
      </c>
    </row>
    <row r="10" spans="1:8" s="28" customFormat="1" ht="44.25" customHeight="1">
      <c r="A10" s="9" t="s">
        <v>30</v>
      </c>
      <c r="B10" s="76" t="s">
        <v>573</v>
      </c>
      <c r="C10" s="54" t="s">
        <v>240</v>
      </c>
      <c r="D10" s="67"/>
      <c r="E10" s="67"/>
      <c r="F10" s="67"/>
      <c r="G10" s="67"/>
      <c r="H10" s="67" t="s">
        <v>570</v>
      </c>
    </row>
    <row r="11" spans="1:8" s="28" customFormat="1" ht="15" customHeight="1">
      <c r="A11" s="9" t="s">
        <v>78</v>
      </c>
      <c r="B11" s="76" t="s">
        <v>435</v>
      </c>
      <c r="C11" s="54" t="s">
        <v>240</v>
      </c>
      <c r="D11" s="67" t="s">
        <v>570</v>
      </c>
      <c r="E11" s="67" t="s">
        <v>570</v>
      </c>
      <c r="F11" s="67" t="s">
        <v>570</v>
      </c>
      <c r="G11" s="67" t="s">
        <v>570</v>
      </c>
      <c r="H11" s="67"/>
    </row>
    <row r="12" spans="1:8" ht="15"/>
    <row r="13" spans="1:8" ht="15">
      <c r="A13" s="26" t="s">
        <v>88</v>
      </c>
    </row>
    <row r="14" spans="1:8" s="28" customFormat="1" ht="29.25" customHeight="1">
      <c r="A14" s="45" t="s">
        <v>89</v>
      </c>
      <c r="B14" s="1842" t="s">
        <v>574</v>
      </c>
      <c r="C14" s="1842"/>
      <c r="D14" s="1842"/>
      <c r="E14" s="1842"/>
      <c r="F14" s="1842"/>
      <c r="G14" s="1842"/>
      <c r="H14" s="1842"/>
    </row>
    <row r="15" spans="1:8" s="28" customFormat="1" ht="45" customHeight="1">
      <c r="A15" s="45" t="s">
        <v>91</v>
      </c>
      <c r="B15" s="1842" t="s">
        <v>575</v>
      </c>
      <c r="C15" s="1842"/>
      <c r="D15" s="1842"/>
      <c r="E15" s="1842"/>
      <c r="F15" s="1842"/>
      <c r="G15" s="1842"/>
      <c r="H15" s="1842"/>
    </row>
    <row r="16" spans="1:8" s="28" customFormat="1" ht="28.5" customHeight="1">
      <c r="A16" s="45" t="s">
        <v>93</v>
      </c>
      <c r="B16" s="1842" t="s">
        <v>576</v>
      </c>
      <c r="C16" s="1842"/>
      <c r="D16" s="1842"/>
      <c r="E16" s="1842"/>
      <c r="F16" s="1842"/>
      <c r="G16" s="1842"/>
      <c r="H16" s="1842"/>
    </row>
    <row r="17" spans="1:2" s="28" customFormat="1" ht="15" customHeight="1">
      <c r="A17" s="45" t="s">
        <v>95</v>
      </c>
      <c r="B17" s="28" t="s">
        <v>577</v>
      </c>
    </row>
    <row r="18" spans="1:2" s="28" customFormat="1" ht="15" customHeight="1">
      <c r="B18" s="28" t="s">
        <v>578</v>
      </c>
    </row>
    <row r="19" spans="1:2" s="28" customFormat="1" ht="15" customHeight="1">
      <c r="B19" s="28" t="s">
        <v>579</v>
      </c>
    </row>
    <row r="20" spans="1:2" s="28" customFormat="1" ht="15" customHeight="1">
      <c r="B20" s="28" t="s">
        <v>580</v>
      </c>
    </row>
    <row r="21" spans="1:2" s="28" customFormat="1" ht="15" customHeight="1">
      <c r="A21" s="45" t="s">
        <v>97</v>
      </c>
      <c r="B21" s="28" t="s">
        <v>581</v>
      </c>
    </row>
    <row r="22" spans="1:2" s="28" customFormat="1" ht="15" customHeight="1">
      <c r="A22" s="45" t="s">
        <v>582</v>
      </c>
      <c r="B22" s="28" t="s">
        <v>583</v>
      </c>
    </row>
  </sheetData>
  <mergeCells count="4">
    <mergeCell ref="B15:H15"/>
    <mergeCell ref="B16:H16"/>
    <mergeCell ref="A3:H3"/>
    <mergeCell ref="B14:H14"/>
  </mergeCells>
  <pageMargins left="0.78740157480314965" right="0.70866141732283472" top="0.78740157480314965" bottom="0.39370078740157483" header="0.19685039370078741" footer="0.19685039370078741"/>
  <pageSetup paperSize="9" scale="84" orientation="portrait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</sheetPr>
  <dimension ref="A1:O57"/>
  <sheetViews>
    <sheetView view="pageBreakPreview" zoomScale="85" zoomScaleNormal="100" zoomScaleSheetLayoutView="85" workbookViewId="0">
      <pane xSplit="3" ySplit="3" topLeftCell="D25" activePane="bottomRight" state="frozen"/>
      <selection activeCell="B42" sqref="B42"/>
      <selection pane="topRight" activeCell="B42" sqref="B42"/>
      <selection pane="bottomLeft" activeCell="B42" sqref="B42"/>
      <selection pane="bottomRight" activeCell="E37" sqref="E37"/>
    </sheetView>
  </sheetViews>
  <sheetFormatPr defaultRowHeight="15.75"/>
  <cols>
    <col min="1" max="1" width="8.140625" style="1143" bestFit="1" customWidth="1"/>
    <col min="2" max="2" width="38.140625" style="1143" customWidth="1"/>
    <col min="3" max="3" width="12.140625" style="1143" bestFit="1" customWidth="1"/>
    <col min="4" max="4" width="14" style="1143" customWidth="1"/>
    <col min="5" max="5" width="13" style="1143" bestFit="1" customWidth="1"/>
    <col min="6" max="6" width="13" style="1143" customWidth="1"/>
    <col min="7" max="7" width="13" style="1143" hidden="1" customWidth="1"/>
    <col min="8" max="8" width="14.42578125" style="1143" customWidth="1"/>
    <col min="9" max="9" width="13" style="1143" hidden="1" customWidth="1"/>
    <col min="10" max="10" width="13" style="1143" customWidth="1"/>
    <col min="11" max="11" width="10.7109375" style="1143" customWidth="1"/>
    <col min="12" max="12" width="16.5703125" style="1143" bestFit="1" customWidth="1"/>
    <col min="13" max="14" width="9.140625" style="1143"/>
    <col min="15" max="15" width="12.7109375" style="1143" bestFit="1" customWidth="1"/>
    <col min="16" max="16384" width="9.140625" style="1143"/>
  </cols>
  <sheetData>
    <row r="1" spans="1:15">
      <c r="A1" s="1969" t="s">
        <v>1605</v>
      </c>
      <c r="B1" s="1969"/>
      <c r="C1" s="1969"/>
      <c r="D1" s="1969"/>
      <c r="E1" s="1969"/>
      <c r="F1" s="1969"/>
      <c r="G1" s="1969"/>
      <c r="H1" s="1969"/>
      <c r="I1" s="1969"/>
    </row>
    <row r="2" spans="1:15">
      <c r="A2" s="1144" t="s">
        <v>1606</v>
      </c>
      <c r="B2" s="1144" t="s">
        <v>1607</v>
      </c>
      <c r="C2" s="1144" t="s">
        <v>1608</v>
      </c>
      <c r="D2" s="1145" t="s">
        <v>1711</v>
      </c>
      <c r="E2" s="1146">
        <v>2016</v>
      </c>
      <c r="F2" s="1146">
        <v>2017</v>
      </c>
      <c r="G2" s="1146">
        <v>2017</v>
      </c>
      <c r="H2" s="1146">
        <v>2018</v>
      </c>
      <c r="I2" s="1147">
        <v>2017</v>
      </c>
      <c r="J2" s="1148"/>
    </row>
    <row r="3" spans="1:15" ht="16.5" thickBot="1">
      <c r="A3" s="1149">
        <v>1</v>
      </c>
      <c r="B3" s="1149">
        <v>2</v>
      </c>
      <c r="C3" s="1149">
        <v>3</v>
      </c>
      <c r="D3" s="1150">
        <v>4</v>
      </c>
      <c r="E3" s="1150">
        <v>5</v>
      </c>
      <c r="F3" s="1150">
        <v>6</v>
      </c>
      <c r="G3" s="1150">
        <v>6</v>
      </c>
      <c r="H3" s="1150">
        <v>7</v>
      </c>
      <c r="I3" s="1150">
        <v>7</v>
      </c>
      <c r="J3" s="1148"/>
    </row>
    <row r="4" spans="1:15" ht="16.5" thickTop="1">
      <c r="A4" s="1151">
        <v>1</v>
      </c>
      <c r="B4" s="1152" t="s">
        <v>1609</v>
      </c>
      <c r="C4" s="1153" t="s">
        <v>1610</v>
      </c>
      <c r="D4" s="1154">
        <f>D5+D6</f>
        <v>1184578</v>
      </c>
      <c r="E4" s="1154">
        <f>E5+E6</f>
        <v>1135200</v>
      </c>
      <c r="F4" s="1154">
        <f t="shared" ref="F4:H4" si="0">F5+F6</f>
        <v>1135200</v>
      </c>
      <c r="G4" s="1154">
        <f t="shared" si="0"/>
        <v>0</v>
      </c>
      <c r="H4" s="1154" t="e">
        <f t="shared" si="0"/>
        <v>#REF!</v>
      </c>
      <c r="I4" s="1154">
        <f>I5+I6</f>
        <v>0</v>
      </c>
      <c r="J4" s="1155"/>
      <c r="O4" s="1156"/>
    </row>
    <row r="5" spans="1:15">
      <c r="A5" s="1157" t="s">
        <v>1611</v>
      </c>
      <c r="B5" s="1144" t="s">
        <v>1672</v>
      </c>
      <c r="C5" s="1144" t="s">
        <v>1610</v>
      </c>
      <c r="D5" s="1158">
        <f>('4.1_КТЭЦ'!AU12+'4.1_КТЭЦ'!AU14+'4.1_КТЭЦ'!AU15)*1000</f>
        <v>1184578</v>
      </c>
      <c r="E5" s="1158">
        <f>('4.1_КТЭЦ'!CM12+'4.1_КТЭЦ'!CM14+'4.1_КТЭЦ'!CM15)*1000</f>
        <v>1135200</v>
      </c>
      <c r="F5" s="1158">
        <f>'4.1_КТЭЦ'!DT10*1000</f>
        <v>1135200</v>
      </c>
      <c r="G5" s="1158"/>
      <c r="H5" s="1158" t="e">
        <f>'4.1_КТЭЦ'!#REF!*1000</f>
        <v>#REF!</v>
      </c>
      <c r="I5" s="1158"/>
      <c r="J5" s="1160"/>
      <c r="O5" s="1156"/>
    </row>
    <row r="6" spans="1:15" ht="16.5" thickBot="1">
      <c r="A6" s="1161" t="s">
        <v>1612</v>
      </c>
      <c r="B6" s="1162" t="s">
        <v>1613</v>
      </c>
      <c r="C6" s="1162" t="s">
        <v>1610</v>
      </c>
      <c r="D6" s="1163">
        <f>'4.1_КТЭЦ'!AU16*1000</f>
        <v>0</v>
      </c>
      <c r="E6" s="1163">
        <f>'4.1_КТЭЦ'!CM16*1000</f>
        <v>0</v>
      </c>
      <c r="F6" s="1163"/>
      <c r="G6" s="1163"/>
      <c r="H6" s="1163"/>
      <c r="I6" s="1163"/>
      <c r="J6" s="1160"/>
      <c r="O6" s="1156"/>
    </row>
    <row r="7" spans="1:15" ht="16.5" thickTop="1">
      <c r="A7" s="1164">
        <f>A4+1</f>
        <v>2</v>
      </c>
      <c r="B7" s="1165" t="s">
        <v>1614</v>
      </c>
      <c r="C7" s="1165" t="s">
        <v>1615</v>
      </c>
      <c r="D7" s="1158">
        <f>' 4.4-КТЭЦ_комбинир.'!F193</f>
        <v>827083.22594859719</v>
      </c>
      <c r="E7" s="1166">
        <f>' 4.4-КТЭЦ_комбинир.'!L193</f>
        <v>940898.01732465264</v>
      </c>
      <c r="F7" s="1166">
        <v>1014211.1522309713</v>
      </c>
      <c r="G7" s="1166"/>
      <c r="H7" s="1166">
        <v>1082606.5048694084</v>
      </c>
      <c r="I7" s="1166" t="e">
        <f>ROUND(I42/I43*I5*I44/1000/1000,0)+ROUND(I45/I46*#REF!*I47/1000/1000,0)</f>
        <v>#DIV/0!</v>
      </c>
      <c r="J7" s="1167" t="s">
        <v>1616</v>
      </c>
      <c r="O7" s="1156"/>
    </row>
    <row r="8" spans="1:15">
      <c r="A8" s="1146">
        <f>A7+1</f>
        <v>3</v>
      </c>
      <c r="B8" s="1168" t="s">
        <v>1617</v>
      </c>
      <c r="C8" s="1168" t="s">
        <v>1615</v>
      </c>
      <c r="D8" s="1158">
        <f>ROUND(D48*D6/1000,0)</f>
        <v>0</v>
      </c>
      <c r="E8" s="1158">
        <f>ROUND(E48*E6/1000,0)</f>
        <v>0</v>
      </c>
      <c r="F8" s="1158"/>
      <c r="G8" s="1158">
        <f>ROUND(G48*G6/1000,0)</f>
        <v>0</v>
      </c>
      <c r="H8" s="1158"/>
      <c r="I8" s="1158">
        <f>ROUND(I48*I6/1000,0)</f>
        <v>0</v>
      </c>
      <c r="J8" s="1167" t="s">
        <v>1616</v>
      </c>
      <c r="O8" s="1156"/>
    </row>
    <row r="9" spans="1:15">
      <c r="A9" s="1146">
        <f t="shared" ref="A9:A18" si="1">A8+1</f>
        <v>4</v>
      </c>
      <c r="B9" s="1144" t="s">
        <v>1618</v>
      </c>
      <c r="C9" s="1144" t="s">
        <v>1615</v>
      </c>
      <c r="D9" s="1158">
        <f>ROUND(D51*D52,0)</f>
        <v>0</v>
      </c>
      <c r="E9" s="1158">
        <f t="shared" ref="E9:I9" si="2">ROUND(E51*E52,0)</f>
        <v>0</v>
      </c>
      <c r="F9" s="1158"/>
      <c r="G9" s="1158">
        <f t="shared" si="2"/>
        <v>0</v>
      </c>
      <c r="H9" s="1158"/>
      <c r="I9" s="1158">
        <f t="shared" si="2"/>
        <v>0</v>
      </c>
      <c r="J9" s="1167" t="s">
        <v>1616</v>
      </c>
      <c r="O9" s="1156"/>
    </row>
    <row r="10" spans="1:15">
      <c r="A10" s="1146">
        <f t="shared" si="1"/>
        <v>5</v>
      </c>
      <c r="B10" s="1168" t="s">
        <v>1619</v>
      </c>
      <c r="C10" s="1168" t="s">
        <v>1615</v>
      </c>
      <c r="D10" s="1270"/>
      <c r="E10" s="1169">
        <f>'4.6_КТЭЦ свод с косв.'!K12-'4.6_КТЭЦ свод с косв.'!K94-'4.6_КТЭЦ свод с косв.'!K95</f>
        <v>-97071.458424199998</v>
      </c>
      <c r="F10" s="1227">
        <f>6863+3742+7251+905</f>
        <v>18761</v>
      </c>
      <c r="G10" s="1227"/>
      <c r="H10" s="1227">
        <f>7172+3911+7577+946</f>
        <v>19606</v>
      </c>
      <c r="I10" s="1169">
        <f t="shared" ref="I10" si="3">ROUND(I54*I53,0)</f>
        <v>0</v>
      </c>
      <c r="J10" s="1167" t="s">
        <v>1616</v>
      </c>
      <c r="O10" s="1156"/>
    </row>
    <row r="11" spans="1:15">
      <c r="A11" s="1146">
        <f t="shared" si="1"/>
        <v>6</v>
      </c>
      <c r="B11" s="1168" t="s">
        <v>1620</v>
      </c>
      <c r="C11" s="1168" t="s">
        <v>1615</v>
      </c>
      <c r="D11" s="1270"/>
      <c r="E11" s="1169">
        <f>'4.6_КТЭЦ свод с косв.'!K11</f>
        <v>137662.18967315598</v>
      </c>
      <c r="F11" s="1453">
        <f>('4. 7_КТЭЦ'!AK217*'4. 7_КТЭЦ'!AL217*1.043)+('4. 7_КТЭЦ'!AK218*'4. 7_КТЭЦ'!AL218*1.043)+('4. 7_КТЭЦ'!AK219*'4. 7_КТЭЦ'!AL219*1.043)+(20455*'4. 7_КТЭЦ'!AL216*1.043)</f>
        <v>145703.93885842303</v>
      </c>
      <c r="G11" s="1453"/>
      <c r="H11" s="1453">
        <f>('4. 7_КТЭЦ'!AK217*'4. 7_КТЭЦ'!AL217*1.043*1.045)+('4. 7_КТЭЦ'!AK218*'4. 7_КТЭЦ'!AL218*1.043*1.045)+('4. 7_КТЭЦ'!AK219*'4. 7_КТЭЦ'!AL219*1.043*1.045)+(20470*'4. 7_КТЭЦ'!AL216*1.043*1.045)</f>
        <v>152362.34901556768</v>
      </c>
      <c r="I11" s="1169">
        <f>ROUND(I49*I50,0)</f>
        <v>0</v>
      </c>
      <c r="J11" s="1167" t="s">
        <v>1616</v>
      </c>
      <c r="O11" s="1156"/>
    </row>
    <row r="12" spans="1:15">
      <c r="A12" s="1146">
        <f t="shared" si="1"/>
        <v>7</v>
      </c>
      <c r="B12" s="1168" t="s">
        <v>1621</v>
      </c>
      <c r="C12" s="1168" t="s">
        <v>1615</v>
      </c>
      <c r="D12" s="1270"/>
      <c r="E12" s="1158">
        <f>'4.6_КТЭЦ свод с косв.'!K15</f>
        <v>1067585.9417574399</v>
      </c>
      <c r="F12" s="1159">
        <f>('5.1_пр-во КТЭЦ'!E11*'5.2_пр-во КТЭЦ'!H17)+('5.1_передача КТЭЦ'!E11*'5.2_передача КТЭЦ'!H17)</f>
        <v>1071289.3022515469</v>
      </c>
      <c r="G12" s="1159"/>
      <c r="H12" s="1159">
        <f>('4.6_генерация_КТЭЦ с косв.'!K15*'5.2_пр-во КТЭЦ'!H17*'5.2_пр-во КТЭЦ'!I17)+('4.6_транзит+сбыт_КТЭЦ с косв.'!K15*'5.2_передача КТЭЦ'!H17*'5.2_передача КТЭЦ'!I17)</f>
        <v>1263355.8277799627</v>
      </c>
      <c r="I12" s="1147"/>
      <c r="J12" s="1171" t="s">
        <v>1622</v>
      </c>
      <c r="K12" s="1143" t="s">
        <v>1624</v>
      </c>
      <c r="L12" s="1156"/>
    </row>
    <row r="13" spans="1:15">
      <c r="A13" s="1146">
        <f t="shared" si="1"/>
        <v>8</v>
      </c>
      <c r="B13" s="1168" t="s">
        <v>1623</v>
      </c>
      <c r="C13" s="1168" t="s">
        <v>1615</v>
      </c>
      <c r="D13" s="1158">
        <f>'4.6_КТЭЦ свод с косв.'!G9+'4.6_КТЭЦ свод с косв.'!G22</f>
        <v>192413.97476899999</v>
      </c>
      <c r="E13" s="1169">
        <f>'4.6_КТЭЦ свод с косв.'!K9+'4.6_КТЭЦ свод с косв.'!K22</f>
        <v>283953</v>
      </c>
      <c r="F13" s="1170">
        <f>('5.1_пр-во КТЭЦ'!E10*'5.2_пр-во КТЭЦ'!H17)+('5.1_передача КТЭЦ'!E10*'5.2_передача КТЭЦ'!H17)</f>
        <v>260538.99991380496</v>
      </c>
      <c r="G13" s="1172"/>
      <c r="H13" s="1170">
        <f>('5.1_пр-во КТЭЦ'!E10*'5.2_пр-во КТЭЦ'!H17*'5.2_пр-во КТЭЦ'!I17)+('5.1_передача КТЭЦ'!E10*'5.2_передача КТЭЦ'!H17*'5.2_передача КТЭЦ'!I17)</f>
        <v>274413.75268827588</v>
      </c>
      <c r="I13" s="1144"/>
      <c r="J13" s="1171" t="s">
        <v>1622</v>
      </c>
      <c r="K13" s="1143" t="s">
        <v>1624</v>
      </c>
      <c r="L13" s="1156"/>
    </row>
    <row r="14" spans="1:15">
      <c r="A14" s="1146">
        <f t="shared" si="1"/>
        <v>9</v>
      </c>
      <c r="B14" s="1168" t="s">
        <v>1625</v>
      </c>
      <c r="C14" s="1168" t="s">
        <v>1615</v>
      </c>
      <c r="D14" s="1158">
        <f>'4.6_КТЭЦ свод с косв.'!G8-'4.6_КТЭЦ свод с косв.'!G9</f>
        <v>26262.844043370431</v>
      </c>
      <c r="E14" s="1169">
        <f>'4.6_КТЭЦ свод с косв.'!K8-'4.6_КТЭЦ свод с косв.'!K9</f>
        <v>67070.03688</v>
      </c>
      <c r="F14" s="1170">
        <f>('5.1_пр-во КТЭЦ'!E9*'5.2_пр-во КТЭЦ'!H17)+('5.1_передача КТЭЦ'!E9*'5.2_передача КТЭЦ'!H17)</f>
        <v>76771.978051590297</v>
      </c>
      <c r="G14" s="1159"/>
      <c r="H14" s="1170">
        <f>('5.1_пр-во КТЭЦ'!E9*'5.2_пр-во КТЭЦ'!H17*'5.2_пр-во КТЭЦ'!I17)+('5.1_передача КТЭЦ'!E9*'5.2_передача КТЭЦ'!H17*'5.2_передача КТЭЦ'!I17)</f>
        <v>80867.141862769524</v>
      </c>
      <c r="I14" s="1147"/>
      <c r="J14" s="1171" t="s">
        <v>1622</v>
      </c>
      <c r="K14" s="1143" t="s">
        <v>1624</v>
      </c>
      <c r="L14" s="1173"/>
    </row>
    <row r="15" spans="1:15">
      <c r="A15" s="1146">
        <f t="shared" si="1"/>
        <v>10</v>
      </c>
      <c r="B15" s="1168" t="s">
        <v>1626</v>
      </c>
      <c r="C15" s="1168" t="s">
        <v>1615</v>
      </c>
      <c r="D15" s="1158">
        <f>'4.6_КТЭЦ свод с косв.'!G24</f>
        <v>52352.455269271668</v>
      </c>
      <c r="E15" s="1169">
        <f>'4.6_КТЭЦ свод с косв.'!K24</f>
        <v>64707.984000000004</v>
      </c>
      <c r="F15" s="1170">
        <f>('5.1_пр-во КТЭЦ'!E12*'5.2_пр-во КТЭЦ'!H17)+('5.1_передача КТЭЦ'!E12*'5.2_передача КТЭЦ'!H17)</f>
        <v>69555.076100835489</v>
      </c>
      <c r="G15" s="1159"/>
      <c r="H15" s="1170">
        <f>('5.1_пр-во КТЭЦ'!E12*'5.2_пр-во КТЭЦ'!H17*'5.2_пр-во КТЭЦ'!I17)+('5.1_передача КТЭЦ'!E12*'5.2_передача КТЭЦ'!H17*'5.2_передача КТЭЦ'!I17)</f>
        <v>73255.858129800064</v>
      </c>
      <c r="I15" s="1144"/>
      <c r="J15" s="1171" t="s">
        <v>1622</v>
      </c>
      <c r="K15" s="1143" t="s">
        <v>1624</v>
      </c>
      <c r="L15" s="1156"/>
    </row>
    <row r="16" spans="1:15">
      <c r="A16" s="1146">
        <f t="shared" si="1"/>
        <v>11</v>
      </c>
      <c r="B16" s="1168" t="s">
        <v>1627</v>
      </c>
      <c r="C16" s="1168" t="s">
        <v>1615</v>
      </c>
      <c r="D16" s="1158">
        <f>'4.6_КТЭЦ свод с косв.'!G20</f>
        <v>233271.05849473839</v>
      </c>
      <c r="E16" s="1158">
        <f>'4.6_КТЭЦ свод с косв.'!K20</f>
        <v>284871</v>
      </c>
      <c r="F16" s="1158">
        <f>71676+2835+141039+18482+24094+5396+24920</f>
        <v>288442</v>
      </c>
      <c r="G16" s="1158"/>
      <c r="H16" s="1158">
        <f>74901+3002+147386+19575+25518+5713+26400</f>
        <v>302495</v>
      </c>
      <c r="I16" s="1144"/>
      <c r="J16" s="1175" t="s">
        <v>1628</v>
      </c>
      <c r="K16" s="1143" t="s">
        <v>1716</v>
      </c>
      <c r="L16" s="1156"/>
    </row>
    <row r="17" spans="1:14">
      <c r="A17" s="1146">
        <f t="shared" si="1"/>
        <v>12</v>
      </c>
      <c r="B17" s="1168" t="s">
        <v>1564</v>
      </c>
      <c r="C17" s="1168" t="s">
        <v>1615</v>
      </c>
      <c r="D17" s="1158">
        <f>'4.6_КТЭЦ свод с косв.'!G14</f>
        <v>122308.74972266165</v>
      </c>
      <c r="E17" s="1169">
        <f>'4.6_КТЭЦ свод с косв.'!K14</f>
        <v>138098</v>
      </c>
      <c r="F17" s="1227">
        <v>129088</v>
      </c>
      <c r="G17" s="1452"/>
      <c r="H17" s="1227">
        <v>132975</v>
      </c>
      <c r="I17" s="1144"/>
      <c r="J17" s="1175" t="s">
        <v>1628</v>
      </c>
      <c r="L17" s="1156"/>
    </row>
    <row r="18" spans="1:14">
      <c r="A18" s="1146">
        <f t="shared" si="1"/>
        <v>13</v>
      </c>
      <c r="B18" s="1168" t="s">
        <v>1629</v>
      </c>
      <c r="C18" s="1168" t="s">
        <v>1615</v>
      </c>
      <c r="D18" s="1158">
        <f>'4.6_КТЭЦ свод с косв.'!G57</f>
        <v>88768.948368928803</v>
      </c>
      <c r="E18" s="1169">
        <f>'4.6_КТЭЦ свод с косв.'!K57</f>
        <v>120688</v>
      </c>
      <c r="F18" s="1453">
        <f>E18*1.043</f>
        <v>125877.58399999999</v>
      </c>
      <c r="G18" s="1454"/>
      <c r="H18" s="1453">
        <f>F18*1.045</f>
        <v>131542.07527999999</v>
      </c>
      <c r="I18" s="1144"/>
      <c r="J18" s="1175" t="s">
        <v>1628</v>
      </c>
      <c r="K18" s="1143" t="s">
        <v>1624</v>
      </c>
      <c r="L18" s="1156"/>
    </row>
    <row r="19" spans="1:14">
      <c r="A19" s="1146">
        <v>14</v>
      </c>
      <c r="B19" s="1168" t="s">
        <v>1630</v>
      </c>
      <c r="C19" s="1168" t="s">
        <v>1615</v>
      </c>
      <c r="D19" s="1158">
        <f>SUM(D20:D26)</f>
        <v>207519.8683023504</v>
      </c>
      <c r="E19" s="1169">
        <f>SUM(E20:E26)</f>
        <v>262775.76616</v>
      </c>
      <c r="F19" s="1169">
        <f>SUM(F20:F26)</f>
        <v>276832.17883233342</v>
      </c>
      <c r="G19" s="1169">
        <f>SUM(G20:G26)</f>
        <v>0</v>
      </c>
      <c r="H19" s="1169">
        <f>SUM(H20:H26)</f>
        <v>289847.18957933725</v>
      </c>
      <c r="I19" s="1144"/>
      <c r="J19" s="1176"/>
      <c r="L19" s="1156"/>
    </row>
    <row r="20" spans="1:14" ht="63">
      <c r="A20" s="1157" t="s">
        <v>1631</v>
      </c>
      <c r="B20" s="1206" t="s">
        <v>1673</v>
      </c>
      <c r="C20" s="1168" t="s">
        <v>1615</v>
      </c>
      <c r="D20" s="1158">
        <f>'4.6_КТЭЦ свод с косв.'!G23</f>
        <v>108310</v>
      </c>
      <c r="E20" s="1453">
        <f>'4.6_КТЭЦ свод с косв.'!K23</f>
        <v>123132</v>
      </c>
      <c r="F20" s="1227">
        <v>119801</v>
      </c>
      <c r="G20" s="1452"/>
      <c r="H20" s="1452">
        <v>125192</v>
      </c>
      <c r="I20" s="1144"/>
      <c r="J20" s="1177" t="s">
        <v>1628</v>
      </c>
      <c r="L20" s="1156"/>
    </row>
    <row r="21" spans="1:14">
      <c r="A21" s="1157" t="s">
        <v>1632</v>
      </c>
      <c r="B21" s="1168" t="s">
        <v>1633</v>
      </c>
      <c r="C21" s="1168" t="s">
        <v>1615</v>
      </c>
      <c r="D21" s="1158">
        <f>'4.6_КТЭЦ свод с косв.'!G56</f>
        <v>128.81211180124222</v>
      </c>
      <c r="E21" s="1169">
        <f>'4.6_КТЭЦ свод с косв.'!K56</f>
        <v>126</v>
      </c>
      <c r="F21" s="1169">
        <v>369</v>
      </c>
      <c r="G21" s="1180"/>
      <c r="H21" s="1180">
        <v>369</v>
      </c>
      <c r="I21" s="1144"/>
      <c r="J21" s="1175" t="s">
        <v>1628</v>
      </c>
      <c r="L21" s="1178"/>
    </row>
    <row r="22" spans="1:14">
      <c r="A22" s="1157" t="s">
        <v>1634</v>
      </c>
      <c r="B22" s="1168" t="s">
        <v>1635</v>
      </c>
      <c r="C22" s="1168" t="s">
        <v>1615</v>
      </c>
      <c r="D22" s="1158">
        <f>'4.6_КТЭЦ свод с косв.'!G60</f>
        <v>1222.7876465989054</v>
      </c>
      <c r="E22" s="1169">
        <f>'4.6_КТЭЦ свод с косв.'!K60</f>
        <v>10741.3</v>
      </c>
      <c r="F22" s="1453">
        <f>E22*1.043</f>
        <v>11203.175899999998</v>
      </c>
      <c r="G22" s="1454"/>
      <c r="H22" s="1453">
        <f>F22*1.045</f>
        <v>11707.318815499997</v>
      </c>
      <c r="I22" s="1144"/>
      <c r="J22" s="1175" t="s">
        <v>1628</v>
      </c>
      <c r="K22" s="1143" t="s">
        <v>1624</v>
      </c>
      <c r="L22" s="1156"/>
    </row>
    <row r="23" spans="1:14">
      <c r="A23" s="1157" t="s">
        <v>1636</v>
      </c>
      <c r="B23" s="1168" t="s">
        <v>1637</v>
      </c>
      <c r="C23" s="1168" t="s">
        <v>1615</v>
      </c>
      <c r="D23" s="1158">
        <f>'4.6_КТЭЦ свод с косв.'!G61</f>
        <v>20301.450983234514</v>
      </c>
      <c r="E23" s="1169">
        <f>'4.6_КТЭЦ свод с косв.'!K61</f>
        <v>24696</v>
      </c>
      <c r="F23" s="1227">
        <f>532+17650+238+5309+6359+178</f>
        <v>30266</v>
      </c>
      <c r="G23" s="1452"/>
      <c r="H23" s="1227">
        <f>551+18068+253+5548+6657+186</f>
        <v>31263</v>
      </c>
      <c r="I23" s="1144"/>
      <c r="J23" s="1175" t="s">
        <v>1628</v>
      </c>
      <c r="L23" s="1156"/>
    </row>
    <row r="24" spans="1:14">
      <c r="A24" s="1157" t="s">
        <v>1674</v>
      </c>
      <c r="B24" s="1168" t="s">
        <v>1638</v>
      </c>
      <c r="C24" s="1168" t="s">
        <v>1615</v>
      </c>
      <c r="D24" s="1158">
        <f>'4.6_КТЭЦ свод с косв.'!G58</f>
        <v>4458.4372738462926</v>
      </c>
      <c r="E24" s="1169">
        <f>'4.6_КТЭЦ свод с косв.'!K58</f>
        <v>3755.6006400000001</v>
      </c>
      <c r="F24" s="1170">
        <f>('5.1_пр-во КТЭЦ'!E20*'5.2_пр-во КТЭЦ'!H17)+('5.1_передача КТЭЦ'!E20*'5.2_передача КТЭЦ'!H17)</f>
        <v>3989.7765049746586</v>
      </c>
      <c r="G24" s="1174"/>
      <c r="H24" s="1174">
        <f>('5.1_пр-во КТЭЦ'!E20*'5.2_пр-во КТЭЦ'!H17*'5.2_пр-во КТЭЦ'!I17)+('5.1_передача КТЭЦ'!E20*'5.2_передача КТЭЦ'!H17*'5.2_передача КТЭЦ'!I17)</f>
        <v>4201.9537699670609</v>
      </c>
      <c r="I24" s="1144"/>
      <c r="J24" s="1171" t="s">
        <v>1622</v>
      </c>
      <c r="K24" s="1143" t="s">
        <v>1624</v>
      </c>
      <c r="L24" s="1156"/>
    </row>
    <row r="25" spans="1:14">
      <c r="A25" s="1157" t="s">
        <v>1675</v>
      </c>
      <c r="B25" s="1168" t="s">
        <v>1639</v>
      </c>
      <c r="C25" s="1168" t="s">
        <v>1615</v>
      </c>
      <c r="D25" s="1158">
        <f>'4.6_КТЭЦ свод с косв.'!G59</f>
        <v>1558.0336200156371</v>
      </c>
      <c r="E25" s="1169">
        <f>'4.6_КТЭЦ свод с косв.'!K59</f>
        <v>1598.6678400000001</v>
      </c>
      <c r="F25" s="1170">
        <f>('5.1_пр-во КТЭЦ'!E21*'5.2_пр-во КТЭЦ'!H17)+('5.1_передача КТЭЦ'!E21*'5.2_передача КТЭЦ'!H17)</f>
        <v>1744.99145500538</v>
      </c>
      <c r="G25" s="1174"/>
      <c r="H25" s="1174">
        <f>('5.1_пр-во КТЭЦ'!E21*'5.2_пр-во КТЭЦ'!H17*'5.2_пр-во КТЭЦ'!I17)+('5.1_передача КТЭЦ'!E21*'5.2_передача КТЭЦ'!H17*'5.2_передача КТЭЦ'!I17)</f>
        <v>1837.8953902951898</v>
      </c>
      <c r="I25" s="1144"/>
      <c r="J25" s="1171" t="s">
        <v>1622</v>
      </c>
      <c r="K25" s="1143" t="s">
        <v>1624</v>
      </c>
      <c r="L25" s="1156"/>
    </row>
    <row r="26" spans="1:14">
      <c r="A26" s="1157" t="s">
        <v>1676</v>
      </c>
      <c r="B26" s="1168" t="s">
        <v>1259</v>
      </c>
      <c r="C26" s="1168" t="s">
        <v>1615</v>
      </c>
      <c r="D26" s="1158">
        <f>'4.6_КТЭЦ свод с косв.'!G25</f>
        <v>71540.346666853831</v>
      </c>
      <c r="E26" s="1169">
        <f>'4.6_КТЭЦ свод с косв.'!K25</f>
        <v>98726.197679999997</v>
      </c>
      <c r="F26" s="1170">
        <f>('4.6_генерация_КТЭЦ с косв.'!K25*'5.2_пр-во КТЭЦ'!H17)+('4.6_транзит+сбыт_КТЭЦ с косв.'!K25*'5.2_передача КТЭЦ'!H17)</f>
        <v>109458.23497235338</v>
      </c>
      <c r="G26" s="1174"/>
      <c r="H26" s="1170">
        <f>('4.6_генерация_КТЭЦ с косв.'!K25*'5.2_пр-во КТЭЦ'!H17*'5.2_пр-во КТЭЦ'!I17)+('4.6_транзит+сбыт_КТЭЦ с косв.'!K25*'5.2_передача КТЭЦ'!H17*'5.2_передача КТЭЦ'!I17)</f>
        <v>115276.02160357502</v>
      </c>
      <c r="I26" s="1144"/>
      <c r="J26" s="1171" t="s">
        <v>1622</v>
      </c>
      <c r="K26" s="1143" t="s">
        <v>1624</v>
      </c>
      <c r="L26" s="1156"/>
    </row>
    <row r="27" spans="1:14">
      <c r="A27" s="1229">
        <v>18</v>
      </c>
      <c r="B27" s="1230" t="s">
        <v>1468</v>
      </c>
      <c r="C27" s="1230" t="s">
        <v>1615</v>
      </c>
      <c r="D27" s="1231">
        <f>SUM(D28:D35)</f>
        <v>106587.29033298611</v>
      </c>
      <c r="E27" s="1231">
        <f>SUM(E28:E35)</f>
        <v>619161.30429248814</v>
      </c>
      <c r="F27" s="1231">
        <f>SUM(F28:F35)</f>
        <v>868723.66380150279</v>
      </c>
      <c r="G27" s="1231">
        <f t="shared" ref="G27" si="4">SUM(G28:G35)</f>
        <v>0</v>
      </c>
      <c r="H27" s="1231">
        <f>SUM(H28:H35)</f>
        <v>905984.71891987231</v>
      </c>
      <c r="I27" s="1158"/>
      <c r="J27" s="1179"/>
    </row>
    <row r="28" spans="1:14">
      <c r="A28" s="1157" t="s">
        <v>1640</v>
      </c>
      <c r="B28" s="1168" t="s">
        <v>1641</v>
      </c>
      <c r="C28" s="1168" t="s">
        <v>1615</v>
      </c>
      <c r="D28" s="1158">
        <f>'4.6_КТЭЦ свод с косв.'!G80</f>
        <v>9452.6188600746409</v>
      </c>
      <c r="E28" s="1169">
        <f>'4.6_КТЭЦ свод с косв.'!K80</f>
        <v>12568.224</v>
      </c>
      <c r="F28" s="1169">
        <f>E28*1.043</f>
        <v>13108.657631999999</v>
      </c>
      <c r="G28" s="1180"/>
      <c r="H28" s="1180">
        <f>F28*1.045</f>
        <v>13698.547225439997</v>
      </c>
      <c r="I28" s="1180"/>
      <c r="J28" s="1171" t="s">
        <v>1565</v>
      </c>
    </row>
    <row r="29" spans="1:14">
      <c r="A29" s="1157" t="s">
        <v>1642</v>
      </c>
      <c r="B29" s="1168" t="s">
        <v>1643</v>
      </c>
      <c r="C29" s="1168" t="s">
        <v>1615</v>
      </c>
      <c r="D29" s="1158">
        <f>'4.6_КТЭЦ свод с косв.'!G79</f>
        <v>0</v>
      </c>
      <c r="E29" s="1169">
        <f>'4.6_КТЭЦ свод с косв.'!K79</f>
        <v>0</v>
      </c>
      <c r="F29" s="1227">
        <v>230000</v>
      </c>
      <c r="G29" s="1228"/>
      <c r="H29" s="1270">
        <v>260000</v>
      </c>
      <c r="I29" s="1147"/>
      <c r="J29" s="1171" t="s">
        <v>1565</v>
      </c>
      <c r="L29" s="1156"/>
      <c r="M29" s="1156"/>
      <c r="N29" s="1156"/>
    </row>
    <row r="30" spans="1:14">
      <c r="A30" s="1157" t="s">
        <v>1644</v>
      </c>
      <c r="B30" s="1168" t="s">
        <v>1645</v>
      </c>
      <c r="C30" s="1168" t="s">
        <v>1615</v>
      </c>
      <c r="D30" s="1158">
        <f>'4.6_КТЭЦ свод с косв.'!G69</f>
        <v>91217.556533430703</v>
      </c>
      <c r="E30" s="1169">
        <f>'4.6_КТЭЦ свод с косв.'!K69</f>
        <v>50529</v>
      </c>
      <c r="F30" s="1453">
        <v>64291</v>
      </c>
      <c r="G30" s="1455"/>
      <c r="H30" s="1456">
        <v>73935</v>
      </c>
      <c r="I30" s="1147"/>
      <c r="J30" s="1175" t="s">
        <v>1628</v>
      </c>
      <c r="L30" s="1156"/>
      <c r="M30" s="1156"/>
      <c r="N30" s="1156"/>
    </row>
    <row r="31" spans="1:14">
      <c r="A31" s="1157" t="s">
        <v>1646</v>
      </c>
      <c r="B31" s="1168" t="s">
        <v>1647</v>
      </c>
      <c r="C31" s="1168" t="s">
        <v>1615</v>
      </c>
      <c r="D31" s="1158">
        <f>'4.6_КТЭЦ свод с косв.'!G72</f>
        <v>1535.6684167543931</v>
      </c>
      <c r="E31" s="1169">
        <f>'4.6_КТЭЦ свод с косв.'!K72</f>
        <v>526.54536000000007</v>
      </c>
      <c r="F31" s="1170">
        <f>E31*'5.2_передача котельные'!H17</f>
        <v>577.28070491773963</v>
      </c>
      <c r="G31" s="1237"/>
      <c r="H31" s="1159">
        <f>F31*'5.2_передача котельные'!I17</f>
        <v>614.49358394085027</v>
      </c>
      <c r="I31" s="1147"/>
      <c r="J31" s="1175" t="s">
        <v>1622</v>
      </c>
      <c r="K31" s="1181" t="s">
        <v>1624</v>
      </c>
      <c r="L31" s="1181"/>
      <c r="M31" s="1156"/>
      <c r="N31" s="1156"/>
    </row>
    <row r="32" spans="1:14" ht="31.5">
      <c r="A32" s="1157" t="s">
        <v>1648</v>
      </c>
      <c r="B32" s="1168" t="s">
        <v>1649</v>
      </c>
      <c r="C32" s="1168" t="s">
        <v>1615</v>
      </c>
      <c r="D32" s="1158">
        <f>'4.6_КТЭЦ свод с косв.'!G73</f>
        <v>0</v>
      </c>
      <c r="E32" s="1169">
        <f>'4.6_КТЭЦ свод с косв.'!K73</f>
        <v>139707</v>
      </c>
      <c r="F32" s="1169">
        <v>338048</v>
      </c>
      <c r="G32" s="1147"/>
      <c r="H32" s="1169">
        <v>338048</v>
      </c>
      <c r="I32" s="1147"/>
      <c r="J32" s="1177" t="s">
        <v>1628</v>
      </c>
      <c r="L32" s="1156"/>
      <c r="M32" s="1156"/>
      <c r="N32" s="1156"/>
    </row>
    <row r="33" spans="1:14">
      <c r="A33" s="1157" t="s">
        <v>1650</v>
      </c>
      <c r="B33" s="1168" t="s">
        <v>1651</v>
      </c>
      <c r="C33" s="1168" t="s">
        <v>1615</v>
      </c>
      <c r="D33" s="1158">
        <f>'4.6_КТЭЦ свод с косв.'!G82+'4.6_КТЭЦ свод с косв.'!G74</f>
        <v>1841.3026224157193</v>
      </c>
      <c r="E33" s="1169">
        <f>'4.6_КТЭЦ свод с косв.'!K82+'4.6_КТЭЦ свод с косв.'!K74</f>
        <v>118290.24493248817</v>
      </c>
      <c r="F33" s="1169">
        <f>E33*1.043</f>
        <v>123376.72546458516</v>
      </c>
      <c r="G33" s="1180"/>
      <c r="H33" s="1180">
        <f>F33*1.045</f>
        <v>128928.67811049148</v>
      </c>
      <c r="I33" s="1147"/>
      <c r="J33" s="1175" t="s">
        <v>1565</v>
      </c>
      <c r="L33" s="1156"/>
      <c r="M33" s="1156"/>
      <c r="N33" s="1156"/>
    </row>
    <row r="34" spans="1:14">
      <c r="A34" s="1157" t="s">
        <v>1652</v>
      </c>
      <c r="B34" s="1168" t="s">
        <v>1653</v>
      </c>
      <c r="C34" s="1168" t="s">
        <v>1615</v>
      </c>
      <c r="D34" s="1158">
        <f>'4.6_КТЭЦ свод с косв.'!G81</f>
        <v>0</v>
      </c>
      <c r="E34" s="1169">
        <f>'4.6_КТЭЦ свод с косв.'!K81</f>
        <v>202017.76</v>
      </c>
      <c r="F34" s="1227">
        <f>17857+121</f>
        <v>17978</v>
      </c>
      <c r="G34" s="1228"/>
      <c r="H34" s="1227">
        <f>2948+133</f>
        <v>3081</v>
      </c>
      <c r="I34" s="1147"/>
      <c r="J34" s="1175" t="s">
        <v>1565</v>
      </c>
      <c r="L34" s="1156"/>
      <c r="M34" s="1156"/>
      <c r="N34" s="1156"/>
    </row>
    <row r="35" spans="1:14">
      <c r="A35" s="1157" t="s">
        <v>1654</v>
      </c>
      <c r="B35" s="1168" t="s">
        <v>1655</v>
      </c>
      <c r="C35" s="1168" t="s">
        <v>1615</v>
      </c>
      <c r="D35" s="1158">
        <f>'4.6_КТЭЦ свод с косв.'!G83</f>
        <v>2540.1439003106575</v>
      </c>
      <c r="E35" s="1169">
        <f>'4.6_КТЭЦ свод с косв.'!K83</f>
        <v>95522.53</v>
      </c>
      <c r="F35" s="1169">
        <f>ROUND((F28+F29+F30+F34)/0.8*0.2,0)</f>
        <v>81344</v>
      </c>
      <c r="G35" s="1169">
        <f t="shared" ref="G35:H35" si="5">ROUND((G28+G29+G30+G34)/0.8*0.2,0)</f>
        <v>0</v>
      </c>
      <c r="H35" s="1169">
        <f t="shared" si="5"/>
        <v>87679</v>
      </c>
      <c r="I35" s="1169">
        <f t="shared" ref="I35" si="6">ROUND((I28+I29+I30)/0.8*0.2,0)</f>
        <v>0</v>
      </c>
      <c r="J35" s="1177" t="s">
        <v>1628</v>
      </c>
    </row>
    <row r="36" spans="1:14" ht="16.5" thickBot="1">
      <c r="A36" s="1182">
        <f>A27+1</f>
        <v>19</v>
      </c>
      <c r="B36" s="1249" t="s">
        <v>1682</v>
      </c>
      <c r="C36" s="1249" t="s">
        <v>1615</v>
      </c>
      <c r="D36" s="1158">
        <f t="shared" ref="D36:I36" si="7">D12+D13+D14+D15+D16+D17+D18+D7+D8+D9+D10+D11+D27+D19</f>
        <v>1856568.4152519046</v>
      </c>
      <c r="E36" s="1250">
        <f>E12+E13+E14+E15+E16+E17+E18+E7+E8+E9+E10+E11+E27+E19</f>
        <v>3890399.781663537</v>
      </c>
      <c r="F36" s="1250">
        <f>F12+F13+F14+F15+F16+F17+F18+F7+F8+F9+F10+F11+F27+F19</f>
        <v>4345794.8740410078</v>
      </c>
      <c r="G36" s="1250">
        <f t="shared" si="7"/>
        <v>0</v>
      </c>
      <c r="H36" s="1250">
        <f>H12+H13+H14+H15+H16+H17+H18+H7+H8+H9+H10+H11+H27+H19</f>
        <v>4709311.4181249933</v>
      </c>
      <c r="I36" s="1184" t="e">
        <f t="shared" si="7"/>
        <v>#DIV/0!</v>
      </c>
      <c r="J36" s="1185"/>
      <c r="L36" s="1186"/>
    </row>
    <row r="37" spans="1:14" ht="32.25" thickTop="1">
      <c r="A37" s="1251"/>
      <c r="B37" s="1252" t="s">
        <v>1686</v>
      </c>
      <c r="C37" s="1253" t="s">
        <v>1615</v>
      </c>
      <c r="D37" s="1374"/>
      <c r="E37" s="1254">
        <f>'4.6_КТЭЦ свод с косв.'!K84</f>
        <v>1696697</v>
      </c>
      <c r="F37" s="1254"/>
      <c r="G37" s="1254"/>
      <c r="H37" s="1254"/>
      <c r="I37" s="1247"/>
      <c r="J37" s="1185"/>
      <c r="L37" s="1186"/>
    </row>
    <row r="38" spans="1:14">
      <c r="A38" s="1251"/>
      <c r="B38" s="1255" t="s">
        <v>1683</v>
      </c>
      <c r="C38" s="1256" t="s">
        <v>1615</v>
      </c>
      <c r="D38" s="1257">
        <f>D36+D37</f>
        <v>1856568.4152519046</v>
      </c>
      <c r="E38" s="1257">
        <f t="shared" ref="E38:H38" si="8">E36+E37</f>
        <v>5587096.781663537</v>
      </c>
      <c r="F38" s="1257">
        <f t="shared" si="8"/>
        <v>4345794.8740410078</v>
      </c>
      <c r="G38" s="1257">
        <f t="shared" si="8"/>
        <v>0</v>
      </c>
      <c r="H38" s="1257">
        <f t="shared" si="8"/>
        <v>4709311.4181249933</v>
      </c>
      <c r="I38" s="1247"/>
      <c r="J38" s="1185"/>
      <c r="L38" s="1186"/>
    </row>
    <row r="39" spans="1:14">
      <c r="A39" s="1251"/>
      <c r="B39" s="1255" t="s">
        <v>1684</v>
      </c>
      <c r="C39" s="1258" t="s">
        <v>804</v>
      </c>
      <c r="D39" s="1261"/>
      <c r="E39" s="1261">
        <f>'4.6_КТЭЦ свод с косв.'!K97</f>
        <v>860.72499999999991</v>
      </c>
      <c r="F39" s="1261">
        <f>'4.1_КТЭЦ'!DT28</f>
        <v>860.72499999999991</v>
      </c>
      <c r="G39" s="1261">
        <f t="shared" ref="G39:I39" si="9">F39</f>
        <v>860.72499999999991</v>
      </c>
      <c r="H39" s="1261" t="e">
        <f>'4.1_КТЭЦ'!#REF!</f>
        <v>#REF!</v>
      </c>
      <c r="I39" s="1261" t="e">
        <f t="shared" si="9"/>
        <v>#REF!</v>
      </c>
      <c r="J39" s="1185"/>
      <c r="L39" s="1186">
        <f>93-75</f>
        <v>18</v>
      </c>
    </row>
    <row r="40" spans="1:14">
      <c r="A40" s="1251"/>
      <c r="B40" s="1255" t="s">
        <v>417</v>
      </c>
      <c r="C40" s="1255" t="s">
        <v>1685</v>
      </c>
      <c r="D40" s="1260" t="e">
        <f>D38/D39</f>
        <v>#DIV/0!</v>
      </c>
      <c r="E40" s="1260">
        <f t="shared" ref="E40:H40" si="10">E38/E39</f>
        <v>6491.1519726550732</v>
      </c>
      <c r="F40" s="1260">
        <f t="shared" si="10"/>
        <v>5048.9934346521923</v>
      </c>
      <c r="G40" s="1260">
        <f t="shared" si="10"/>
        <v>0</v>
      </c>
      <c r="H40" s="1260" t="e">
        <f t="shared" si="10"/>
        <v>#REF!</v>
      </c>
      <c r="I40" s="1247"/>
      <c r="J40" s="1185"/>
      <c r="L40" s="1186">
        <f>35-27</f>
        <v>8</v>
      </c>
    </row>
    <row r="41" spans="1:14" ht="16.5" thickBot="1">
      <c r="A41" s="1196"/>
      <c r="B41" s="1262" t="s">
        <v>1687</v>
      </c>
      <c r="C41" s="1263"/>
      <c r="D41" s="1264"/>
      <c r="E41" s="1264" t="e">
        <f>E40/D40*100</f>
        <v>#DIV/0!</v>
      </c>
      <c r="F41" s="1266">
        <f>F40/E40*100</f>
        <v>77.782702606899605</v>
      </c>
      <c r="G41" s="1264"/>
      <c r="H41" s="1266" t="e">
        <f>H40/F40*100</f>
        <v>#REF!</v>
      </c>
      <c r="I41" s="1247"/>
      <c r="J41" s="1185"/>
      <c r="L41" s="1186"/>
    </row>
    <row r="42" spans="1:14" ht="16.5" thickTop="1">
      <c r="A42" s="1146">
        <f>A36+1</f>
        <v>20</v>
      </c>
      <c r="B42" s="1200" t="s">
        <v>1656</v>
      </c>
      <c r="C42" s="1200" t="s">
        <v>1657</v>
      </c>
      <c r="D42" s="1248">
        <f>'[13] 4.4.'!F33</f>
        <v>262.7</v>
      </c>
      <c r="E42" s="1248">
        <v>224.71049861230739</v>
      </c>
      <c r="F42" s="1248"/>
      <c r="G42" s="1248"/>
      <c r="H42" s="1248"/>
      <c r="I42" s="1187"/>
      <c r="J42" s="1188"/>
      <c r="L42" s="1156"/>
      <c r="M42" s="1156"/>
      <c r="N42" s="1156"/>
    </row>
    <row r="43" spans="1:14">
      <c r="A43" s="1150">
        <f t="shared" ref="A43:A54" si="11">A42+1</f>
        <v>21</v>
      </c>
      <c r="B43" s="1189" t="s">
        <v>1658</v>
      </c>
      <c r="C43" s="1189"/>
      <c r="D43" s="1190">
        <f>'[13] 4.4.'!F61</f>
        <v>0.71</v>
      </c>
      <c r="E43" s="1190">
        <f>'[13] 4.4.'!H61</f>
        <v>0.71</v>
      </c>
      <c r="F43" s="1190"/>
      <c r="G43" s="1190"/>
      <c r="H43" s="1190"/>
      <c r="I43" s="1190"/>
      <c r="J43" s="1188"/>
      <c r="L43" s="1156"/>
      <c r="M43" s="1156"/>
      <c r="N43" s="1156"/>
    </row>
    <row r="44" spans="1:14" ht="16.5" thickBot="1">
      <c r="A44" s="1182">
        <f t="shared" si="11"/>
        <v>22</v>
      </c>
      <c r="B44" s="1162" t="s">
        <v>1659</v>
      </c>
      <c r="C44" s="1162" t="s">
        <v>231</v>
      </c>
      <c r="D44" s="1191">
        <f>'[13]4. 5'!N64</f>
        <v>4654.68</v>
      </c>
      <c r="E44" s="1191">
        <f>'[13]4. 5'!N82</f>
        <v>4830.6499999999996</v>
      </c>
      <c r="F44" s="1191"/>
      <c r="G44" s="1191"/>
      <c r="H44" s="1191"/>
      <c r="I44" s="1191"/>
      <c r="J44" s="1192"/>
      <c r="K44" s="1186"/>
      <c r="L44" s="1156"/>
      <c r="M44" s="1156"/>
      <c r="N44" s="1156"/>
    </row>
    <row r="45" spans="1:14" ht="16.5" thickTop="1">
      <c r="A45" s="1146">
        <f>A44+1</f>
        <v>23</v>
      </c>
      <c r="B45" s="1153" t="s">
        <v>1660</v>
      </c>
      <c r="C45" s="1153" t="s">
        <v>1661</v>
      </c>
      <c r="D45" s="1187">
        <f>'[13] 4.4.'!F36</f>
        <v>170.7</v>
      </c>
      <c r="E45" s="1187">
        <v>173.7</v>
      </c>
      <c r="F45" s="1187"/>
      <c r="G45" s="1187"/>
      <c r="H45" s="1187"/>
      <c r="I45" s="1187"/>
      <c r="J45" s="1192"/>
      <c r="L45" s="1156"/>
      <c r="M45" s="1156"/>
      <c r="N45" s="1156"/>
    </row>
    <row r="46" spans="1:14">
      <c r="A46" s="1150">
        <f t="shared" si="11"/>
        <v>24</v>
      </c>
      <c r="B46" s="1189" t="s">
        <v>1658</v>
      </c>
      <c r="C46" s="1189"/>
      <c r="D46" s="1190">
        <f>'[13] 4.4.'!H61</f>
        <v>0.71</v>
      </c>
      <c r="E46" s="1190">
        <f>'[13] 4.4.'!H64</f>
        <v>1.129</v>
      </c>
      <c r="F46" s="1190"/>
      <c r="G46" s="1190"/>
      <c r="H46" s="1190"/>
      <c r="I46" s="1190"/>
      <c r="J46" s="1192"/>
      <c r="L46" s="1156"/>
      <c r="M46" s="1156"/>
      <c r="N46" s="1156"/>
    </row>
    <row r="47" spans="1:14" ht="16.5" thickBot="1">
      <c r="A47" s="1182">
        <f t="shared" si="11"/>
        <v>25</v>
      </c>
      <c r="B47" s="1162" t="s">
        <v>1662</v>
      </c>
      <c r="C47" s="1162" t="s">
        <v>231</v>
      </c>
      <c r="D47" s="1191">
        <f>'[14]4. 5'!N67</f>
        <v>0</v>
      </c>
      <c r="E47" s="1191">
        <f>'[13]4. 5'!N85</f>
        <v>5904.3200000000006</v>
      </c>
      <c r="F47" s="1191"/>
      <c r="G47" s="1191"/>
      <c r="H47" s="1191"/>
      <c r="I47" s="1191"/>
      <c r="J47" s="1192"/>
      <c r="K47" s="1186">
        <f>E36+'[13]4.6_свод'!G108</f>
        <v>4331139.781663537</v>
      </c>
      <c r="L47" s="1156"/>
      <c r="M47" s="1156"/>
      <c r="N47" s="1156"/>
    </row>
    <row r="48" spans="1:14" ht="17.25" thickTop="1" thickBot="1">
      <c r="A48" s="1182">
        <f>A47+1</f>
        <v>26</v>
      </c>
      <c r="B48" s="1189" t="s">
        <v>1663</v>
      </c>
      <c r="C48" s="1189" t="s">
        <v>326</v>
      </c>
      <c r="D48" s="1193"/>
      <c r="E48" s="1193"/>
      <c r="F48" s="1193"/>
      <c r="G48" s="1193"/>
      <c r="H48" s="1193"/>
      <c r="I48" s="1193"/>
      <c r="J48" s="1192"/>
      <c r="K48" s="1186">
        <f>'[13]4.6_свод'!G110</f>
        <v>1738834.2786218845</v>
      </c>
      <c r="L48" s="1156"/>
      <c r="M48" s="1156"/>
      <c r="N48" s="1156"/>
    </row>
    <row r="49" spans="1:15" ht="16.5" thickTop="1">
      <c r="A49" s="1164">
        <f t="shared" si="11"/>
        <v>27</v>
      </c>
      <c r="B49" s="1153" t="s">
        <v>1053</v>
      </c>
      <c r="C49" s="1153" t="s">
        <v>1664</v>
      </c>
      <c r="D49" s="1194">
        <f>'[13]4. 7'!F111</f>
        <v>7715.3895142135198</v>
      </c>
      <c r="E49" s="1194">
        <f>'[13]4. 7'!F143</f>
        <v>10396</v>
      </c>
      <c r="F49" s="1194"/>
      <c r="G49" s="1194"/>
      <c r="H49" s="1194"/>
      <c r="I49" s="1194"/>
      <c r="J49" s="1192"/>
      <c r="K49" s="1186">
        <f>K47-K48</f>
        <v>2592305.5030416525</v>
      </c>
      <c r="L49" s="1195"/>
      <c r="M49" s="1195"/>
      <c r="N49" s="1195"/>
    </row>
    <row r="50" spans="1:15" ht="16.5" thickBot="1">
      <c r="A50" s="1196">
        <f t="shared" si="11"/>
        <v>28</v>
      </c>
      <c r="B50" s="1183" t="s">
        <v>1665</v>
      </c>
      <c r="C50" s="1162" t="s">
        <v>1666</v>
      </c>
      <c r="D50" s="1197">
        <f>'[13]4. 7'!J111</f>
        <v>5.577015353547635</v>
      </c>
      <c r="E50" s="1197">
        <f>'[13]4. 7'!J143</f>
        <v>6.0560280477106581</v>
      </c>
      <c r="F50" s="1197"/>
      <c r="G50" s="1198"/>
      <c r="H50" s="1198"/>
      <c r="I50" s="1198"/>
      <c r="J50" s="1188"/>
      <c r="L50" s="1156"/>
      <c r="M50" s="1156"/>
      <c r="N50" s="1156"/>
    </row>
    <row r="51" spans="1:15" ht="16.5" thickTop="1">
      <c r="A51" s="1199">
        <f t="shared" si="11"/>
        <v>29</v>
      </c>
      <c r="B51" s="1153" t="s">
        <v>1667</v>
      </c>
      <c r="C51" s="1200" t="s">
        <v>1668</v>
      </c>
      <c r="D51" s="1201"/>
      <c r="E51" s="1201"/>
      <c r="F51" s="1201"/>
      <c r="G51" s="1201"/>
      <c r="H51" s="1201"/>
      <c r="I51" s="1201"/>
      <c r="J51" s="1192"/>
      <c r="L51" s="1156"/>
      <c r="M51" s="1156"/>
      <c r="N51" s="1156"/>
      <c r="O51" s="1156"/>
    </row>
    <row r="52" spans="1:15" ht="16.5" thickBot="1">
      <c r="A52" s="1146">
        <f t="shared" si="11"/>
        <v>30</v>
      </c>
      <c r="B52" s="1202" t="s">
        <v>740</v>
      </c>
      <c r="C52" s="1202" t="s">
        <v>1669</v>
      </c>
      <c r="D52" s="1203"/>
      <c r="E52" s="1203"/>
      <c r="F52" s="1203"/>
      <c r="G52" s="1203"/>
      <c r="H52" s="1203"/>
      <c r="I52" s="1203"/>
      <c r="J52" s="1188"/>
      <c r="L52" s="1156"/>
      <c r="M52" s="1156"/>
      <c r="N52" s="1156"/>
    </row>
    <row r="53" spans="1:15" ht="16.5" thickTop="1">
      <c r="A53" s="1199">
        <f t="shared" si="11"/>
        <v>31</v>
      </c>
      <c r="B53" s="1153" t="s">
        <v>1670</v>
      </c>
      <c r="C53" s="1153" t="s">
        <v>1668</v>
      </c>
      <c r="D53" s="1204">
        <f>'[13]4. 8 '!U8/1000</f>
        <v>991.66234999999995</v>
      </c>
      <c r="E53" s="1204">
        <f>'[13]4. 8 '!AA8/1000</f>
        <v>992</v>
      </c>
      <c r="F53" s="1204"/>
      <c r="G53" s="1194"/>
      <c r="H53" s="1194"/>
      <c r="I53" s="1194"/>
      <c r="J53" s="1192"/>
    </row>
    <row r="54" spans="1:15">
      <c r="A54" s="1146">
        <f t="shared" si="11"/>
        <v>32</v>
      </c>
      <c r="B54" s="1144" t="s">
        <v>1671</v>
      </c>
      <c r="C54" s="1144" t="s">
        <v>1669</v>
      </c>
      <c r="D54" s="1205">
        <f>'[13]4. 8 '!V8*1000</f>
        <v>8.0596088189796298</v>
      </c>
      <c r="E54" s="1205">
        <f>'[13]4. 8 '!AB8*1000</f>
        <v>8.3552206296612894</v>
      </c>
      <c r="F54" s="1205"/>
      <c r="G54" s="1205"/>
      <c r="H54" s="1205"/>
      <c r="I54" s="1205"/>
      <c r="J54" s="1188"/>
      <c r="L54" s="1156"/>
      <c r="M54" s="1156"/>
      <c r="N54" s="1156"/>
    </row>
    <row r="56" spans="1:15">
      <c r="L56" s="1156"/>
      <c r="M56" s="1156"/>
      <c r="N56" s="1156"/>
    </row>
    <row r="57" spans="1:15">
      <c r="E57" s="1186">
        <f>E36-'[13]5.9'!D18</f>
        <v>2716297.4179030764</v>
      </c>
    </row>
  </sheetData>
  <mergeCells count="1">
    <mergeCell ref="A1:I1"/>
  </mergeCells>
  <pageMargins left="0.7" right="0.7" top="0.75" bottom="0.75" header="0.3" footer="0.3"/>
  <pageSetup paperSize="9" scale="79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AR34"/>
  <sheetViews>
    <sheetView view="pageBreakPreview" zoomScaleNormal="100" zoomScaleSheetLayoutView="100" workbookViewId="0">
      <pane xSplit="2" ySplit="8" topLeftCell="AC15" activePane="bottomRight" state="frozen"/>
      <selection activeCell="F28" sqref="F28"/>
      <selection pane="topRight" activeCell="F28" sqref="F28"/>
      <selection pane="bottomLeft" activeCell="F28" sqref="F28"/>
      <selection pane="bottomRight" activeCell="AS2" sqref="AS2"/>
    </sheetView>
  </sheetViews>
  <sheetFormatPr defaultColWidth="5.5703125" defaultRowHeight="12" customHeight="1"/>
  <cols>
    <col min="1" max="1" width="5.5703125" style="26" customWidth="1"/>
    <col min="2" max="2" width="46.42578125" style="26" customWidth="1"/>
    <col min="3" max="8" width="10.42578125" style="26" hidden="1" customWidth="1"/>
    <col min="9" max="35" width="10.42578125" style="26" customWidth="1"/>
    <col min="36" max="36" width="10.28515625" style="26" customWidth="1"/>
    <col min="37" max="37" width="10.7109375" style="26" customWidth="1"/>
    <col min="38" max="38" width="9" style="26" customWidth="1"/>
    <col min="39" max="39" width="9.140625" style="26" customWidth="1"/>
    <col min="40" max="40" width="9.42578125" style="26" customWidth="1"/>
    <col min="41" max="41" width="7.42578125" style="26" customWidth="1"/>
    <col min="42" max="42" width="8.85546875" style="26" customWidth="1"/>
    <col min="43" max="43" width="9.42578125" style="26" customWidth="1"/>
    <col min="44" max="44" width="7.85546875" style="26" customWidth="1"/>
    <col min="45" max="16384" width="5.5703125" style="26"/>
  </cols>
  <sheetData>
    <row r="1" spans="1:44" s="24" customFormat="1" ht="14.25">
      <c r="A1" s="74" t="s">
        <v>1860</v>
      </c>
      <c r="Z1" s="25" t="s">
        <v>99</v>
      </c>
      <c r="AC1" s="25"/>
      <c r="AF1" s="25"/>
      <c r="AI1" s="25"/>
      <c r="AR1" s="25" t="s">
        <v>99</v>
      </c>
    </row>
    <row r="2" spans="1:44" s="24" customFormat="1" ht="23.25" customHeight="1">
      <c r="A2" s="105" t="str">
        <f>'3.1'!$A$2</f>
        <v>ПКГО - Комбинированная выработка КТЭЦ</v>
      </c>
      <c r="Z2" s="25"/>
      <c r="AC2" s="25"/>
      <c r="AF2" s="25"/>
      <c r="AI2" s="25"/>
    </row>
    <row r="3" spans="1:44" ht="18.75">
      <c r="A3" s="1622"/>
      <c r="B3" s="1622"/>
      <c r="C3" s="1622"/>
      <c r="D3" s="1622"/>
      <c r="E3" s="1622"/>
      <c r="F3" s="1622"/>
      <c r="G3" s="1622"/>
      <c r="H3" s="1622"/>
      <c r="I3" s="1622"/>
      <c r="J3" s="1622"/>
      <c r="K3" s="1622" t="s">
        <v>100</v>
      </c>
      <c r="L3" s="1622"/>
      <c r="M3" s="1622"/>
      <c r="N3" s="1622"/>
      <c r="O3" s="1622"/>
      <c r="P3" s="1622"/>
      <c r="Q3" s="1622"/>
      <c r="R3" s="1622"/>
      <c r="S3" s="1622"/>
      <c r="T3" s="1622"/>
      <c r="U3" s="1622"/>
      <c r="V3" s="1622"/>
      <c r="W3" s="1622"/>
      <c r="X3" s="1622"/>
      <c r="Y3" s="1622"/>
      <c r="Z3" s="1788"/>
      <c r="AA3" s="1622"/>
      <c r="AB3" s="1622"/>
      <c r="AC3" s="1788"/>
      <c r="AD3" s="1622"/>
      <c r="AE3" s="1788" t="s">
        <v>100</v>
      </c>
      <c r="AF3" s="1622"/>
      <c r="AG3" s="1622"/>
      <c r="AH3" s="1622"/>
      <c r="AI3" s="1622"/>
    </row>
    <row r="4" spans="1:44" ht="12.75" customHeight="1">
      <c r="A4" s="27"/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27"/>
      <c r="AH4" s="27"/>
      <c r="AI4" s="27"/>
    </row>
    <row r="5" spans="1:44" ht="18">
      <c r="Z5" s="34" t="s">
        <v>101</v>
      </c>
      <c r="AC5" s="34"/>
      <c r="AF5" s="34"/>
      <c r="AI5" s="34"/>
      <c r="AR5" s="34" t="s">
        <v>101</v>
      </c>
    </row>
    <row r="6" spans="1:44" s="31" customFormat="1" ht="28.5" customHeight="1">
      <c r="A6" s="1873" t="s">
        <v>0</v>
      </c>
      <c r="B6" s="1873" t="s">
        <v>1</v>
      </c>
      <c r="C6" s="1834" t="s">
        <v>1721</v>
      </c>
      <c r="D6" s="1835"/>
      <c r="E6" s="1836"/>
      <c r="F6" s="1834" t="s">
        <v>1130</v>
      </c>
      <c r="G6" s="1835"/>
      <c r="H6" s="1836"/>
      <c r="I6" s="1834" t="s">
        <v>1718</v>
      </c>
      <c r="J6" s="1835"/>
      <c r="K6" s="1836"/>
      <c r="L6" s="1834" t="s">
        <v>1695</v>
      </c>
      <c r="M6" s="1835"/>
      <c r="N6" s="1836"/>
      <c r="O6" s="1834" t="s">
        <v>1696</v>
      </c>
      <c r="P6" s="1835"/>
      <c r="Q6" s="1836"/>
      <c r="R6" s="1834" t="s">
        <v>1828</v>
      </c>
      <c r="S6" s="1835"/>
      <c r="T6" s="1836"/>
      <c r="U6" s="1834" t="s">
        <v>1833</v>
      </c>
      <c r="V6" s="1835"/>
      <c r="W6" s="1836"/>
      <c r="X6" s="1844" t="s">
        <v>1861</v>
      </c>
      <c r="Y6" s="1845"/>
      <c r="Z6" s="1871"/>
      <c r="AA6" s="1834" t="s">
        <v>1862</v>
      </c>
      <c r="AB6" s="1835"/>
      <c r="AC6" s="1835"/>
      <c r="AD6" s="1834" t="s">
        <v>1830</v>
      </c>
      <c r="AE6" s="1835"/>
      <c r="AF6" s="1835"/>
      <c r="AG6" s="1834" t="s">
        <v>1831</v>
      </c>
      <c r="AH6" s="1835"/>
      <c r="AI6" s="1835"/>
      <c r="AJ6" s="1834" t="s">
        <v>1863</v>
      </c>
      <c r="AK6" s="1835"/>
      <c r="AL6" s="1835"/>
      <c r="AM6" s="1834" t="s">
        <v>1864</v>
      </c>
      <c r="AN6" s="1835"/>
      <c r="AO6" s="1835"/>
      <c r="AP6" s="1834" t="s">
        <v>1865</v>
      </c>
      <c r="AQ6" s="1835"/>
      <c r="AR6" s="1835"/>
    </row>
    <row r="7" spans="1:44" s="31" customFormat="1" ht="15" customHeight="1">
      <c r="A7" s="1873"/>
      <c r="B7" s="1873"/>
      <c r="C7" s="1837" t="s">
        <v>63</v>
      </c>
      <c r="D7" s="1834" t="s">
        <v>64</v>
      </c>
      <c r="E7" s="1836"/>
      <c r="F7" s="1837" t="s">
        <v>63</v>
      </c>
      <c r="G7" s="1834" t="s">
        <v>64</v>
      </c>
      <c r="H7" s="1836"/>
      <c r="I7" s="1837" t="s">
        <v>63</v>
      </c>
      <c r="J7" s="1834" t="s">
        <v>64</v>
      </c>
      <c r="K7" s="1836"/>
      <c r="L7" s="1837" t="s">
        <v>63</v>
      </c>
      <c r="M7" s="1834" t="s">
        <v>64</v>
      </c>
      <c r="N7" s="1836"/>
      <c r="O7" s="1837" t="s">
        <v>63</v>
      </c>
      <c r="P7" s="1834" t="s">
        <v>64</v>
      </c>
      <c r="Q7" s="1836"/>
      <c r="R7" s="1837" t="s">
        <v>63</v>
      </c>
      <c r="S7" s="1834" t="s">
        <v>64</v>
      </c>
      <c r="T7" s="1836"/>
      <c r="U7" s="1837" t="s">
        <v>63</v>
      </c>
      <c r="V7" s="1834" t="s">
        <v>64</v>
      </c>
      <c r="W7" s="1836"/>
      <c r="X7" s="1837" t="s">
        <v>63</v>
      </c>
      <c r="Y7" s="1834" t="s">
        <v>64</v>
      </c>
      <c r="Z7" s="1836"/>
      <c r="AA7" s="1837" t="s">
        <v>63</v>
      </c>
      <c r="AB7" s="1834" t="s">
        <v>64</v>
      </c>
      <c r="AC7" s="1835"/>
      <c r="AD7" s="1837" t="s">
        <v>63</v>
      </c>
      <c r="AE7" s="1834" t="s">
        <v>64</v>
      </c>
      <c r="AF7" s="1835"/>
      <c r="AG7" s="1846"/>
      <c r="AH7" s="1846" t="s">
        <v>64</v>
      </c>
      <c r="AI7" s="1846"/>
      <c r="AJ7" s="1837" t="s">
        <v>63</v>
      </c>
      <c r="AK7" s="1834" t="s">
        <v>64</v>
      </c>
      <c r="AL7" s="1835"/>
      <c r="AM7" s="1837" t="s">
        <v>63</v>
      </c>
      <c r="AN7" s="1834" t="s">
        <v>64</v>
      </c>
      <c r="AO7" s="1835"/>
      <c r="AP7" s="1846"/>
      <c r="AQ7" s="1846" t="s">
        <v>64</v>
      </c>
      <c r="AR7" s="1846"/>
    </row>
    <row r="8" spans="1:44" s="31" customFormat="1" ht="15">
      <c r="A8" s="1873"/>
      <c r="B8" s="1873"/>
      <c r="C8" s="1839"/>
      <c r="D8" s="538" t="s">
        <v>65</v>
      </c>
      <c r="E8" s="538" t="s">
        <v>102</v>
      </c>
      <c r="F8" s="1839"/>
      <c r="G8" s="538" t="s">
        <v>65</v>
      </c>
      <c r="H8" s="538" t="s">
        <v>102</v>
      </c>
      <c r="I8" s="1839"/>
      <c r="J8" s="538" t="s">
        <v>65</v>
      </c>
      <c r="K8" s="538" t="s">
        <v>102</v>
      </c>
      <c r="L8" s="1839"/>
      <c r="M8" s="538" t="s">
        <v>65</v>
      </c>
      <c r="N8" s="538" t="s">
        <v>102</v>
      </c>
      <c r="O8" s="1839"/>
      <c r="P8" s="1273" t="s">
        <v>65</v>
      </c>
      <c r="Q8" s="1273" t="s">
        <v>102</v>
      </c>
      <c r="R8" s="1839"/>
      <c r="S8" s="1273" t="s">
        <v>65</v>
      </c>
      <c r="T8" s="1273" t="s">
        <v>102</v>
      </c>
      <c r="U8" s="1839"/>
      <c r="V8" s="1571" t="s">
        <v>65</v>
      </c>
      <c r="W8" s="1571" t="s">
        <v>102</v>
      </c>
      <c r="X8" s="1839"/>
      <c r="Y8" s="1571" t="s">
        <v>65</v>
      </c>
      <c r="Z8" s="1571" t="s">
        <v>102</v>
      </c>
      <c r="AA8" s="1839"/>
      <c r="AB8" s="538" t="s">
        <v>65</v>
      </c>
      <c r="AC8" s="538" t="s">
        <v>102</v>
      </c>
      <c r="AD8" s="1839"/>
      <c r="AE8" s="538" t="s">
        <v>65</v>
      </c>
      <c r="AF8" s="538" t="s">
        <v>102</v>
      </c>
      <c r="AG8" s="1846"/>
      <c r="AH8" s="539" t="s">
        <v>65</v>
      </c>
      <c r="AI8" s="539" t="s">
        <v>102</v>
      </c>
      <c r="AJ8" s="1839"/>
      <c r="AK8" s="1621" t="s">
        <v>65</v>
      </c>
      <c r="AL8" s="1621" t="s">
        <v>102</v>
      </c>
      <c r="AM8" s="1839"/>
      <c r="AN8" s="1621" t="s">
        <v>65</v>
      </c>
      <c r="AO8" s="1621" t="s">
        <v>102</v>
      </c>
      <c r="AP8" s="1846"/>
      <c r="AQ8" s="1619" t="s">
        <v>65</v>
      </c>
      <c r="AR8" s="1619" t="s">
        <v>102</v>
      </c>
    </row>
    <row r="9" spans="1:44" s="48" customFormat="1" ht="15">
      <c r="A9" s="13">
        <v>1</v>
      </c>
      <c r="B9" s="13">
        <v>2</v>
      </c>
      <c r="C9" s="33">
        <v>3</v>
      </c>
      <c r="D9" s="33">
        <v>4</v>
      </c>
      <c r="E9" s="33">
        <v>5</v>
      </c>
      <c r="F9" s="33">
        <v>6</v>
      </c>
      <c r="G9" s="33">
        <v>7</v>
      </c>
      <c r="H9" s="33">
        <v>8</v>
      </c>
      <c r="I9" s="33">
        <v>3</v>
      </c>
      <c r="J9" s="33">
        <v>4</v>
      </c>
      <c r="K9" s="33">
        <v>5</v>
      </c>
      <c r="L9" s="33">
        <v>6</v>
      </c>
      <c r="M9" s="33">
        <v>7</v>
      </c>
      <c r="N9" s="33">
        <v>8</v>
      </c>
      <c r="O9" s="33">
        <v>9</v>
      </c>
      <c r="P9" s="33">
        <v>10</v>
      </c>
      <c r="Q9" s="33">
        <v>11</v>
      </c>
      <c r="R9" s="33">
        <v>12</v>
      </c>
      <c r="S9" s="33">
        <v>13</v>
      </c>
      <c r="T9" s="33">
        <v>14</v>
      </c>
      <c r="U9" s="33">
        <v>15</v>
      </c>
      <c r="V9" s="33">
        <v>16</v>
      </c>
      <c r="W9" s="33">
        <f t="shared" ref="W9:AI9" si="0">V9+1</f>
        <v>17</v>
      </c>
      <c r="X9" s="33">
        <f t="shared" si="0"/>
        <v>18</v>
      </c>
      <c r="Y9" s="33">
        <f t="shared" si="0"/>
        <v>19</v>
      </c>
      <c r="Z9" s="33">
        <f t="shared" si="0"/>
        <v>20</v>
      </c>
      <c r="AA9" s="33">
        <f t="shared" si="0"/>
        <v>21</v>
      </c>
      <c r="AB9" s="33">
        <f t="shared" si="0"/>
        <v>22</v>
      </c>
      <c r="AC9" s="33">
        <f t="shared" si="0"/>
        <v>23</v>
      </c>
      <c r="AD9" s="33">
        <f t="shared" si="0"/>
        <v>24</v>
      </c>
      <c r="AE9" s="33">
        <f t="shared" si="0"/>
        <v>25</v>
      </c>
      <c r="AF9" s="33">
        <f t="shared" si="0"/>
        <v>26</v>
      </c>
      <c r="AG9" s="33">
        <f t="shared" si="0"/>
        <v>27</v>
      </c>
      <c r="AH9" s="33">
        <f t="shared" si="0"/>
        <v>28</v>
      </c>
      <c r="AI9" s="33">
        <f t="shared" si="0"/>
        <v>29</v>
      </c>
      <c r="AJ9" s="33">
        <f t="shared" ref="AJ9" si="1">AI9+1</f>
        <v>30</v>
      </c>
      <c r="AK9" s="33">
        <f t="shared" ref="AK9" si="2">AJ9+1</f>
        <v>31</v>
      </c>
      <c r="AL9" s="33">
        <f t="shared" ref="AL9" si="3">AK9+1</f>
        <v>32</v>
      </c>
      <c r="AM9" s="33">
        <f t="shared" ref="AM9" si="4">AL9+1</f>
        <v>33</v>
      </c>
      <c r="AN9" s="33">
        <f t="shared" ref="AN9" si="5">AM9+1</f>
        <v>34</v>
      </c>
      <c r="AO9" s="33">
        <f t="shared" ref="AO9" si="6">AN9+1</f>
        <v>35</v>
      </c>
      <c r="AP9" s="33">
        <f t="shared" ref="AP9" si="7">AO9+1</f>
        <v>36</v>
      </c>
      <c r="AQ9" s="33">
        <f t="shared" ref="AQ9" si="8">AP9+1</f>
        <v>37</v>
      </c>
      <c r="AR9" s="33">
        <f t="shared" ref="AR9" si="9">AQ9+1</f>
        <v>38</v>
      </c>
    </row>
    <row r="10" spans="1:44" ht="15" customHeight="1">
      <c r="A10" s="17" t="s">
        <v>4</v>
      </c>
      <c r="B10" s="16" t="s">
        <v>103</v>
      </c>
      <c r="C10" s="308">
        <f>C12</f>
        <v>0</v>
      </c>
      <c r="D10" s="308">
        <f t="shared" ref="D10:E10" si="10">D12</f>
        <v>0</v>
      </c>
      <c r="E10" s="308">
        <f t="shared" si="10"/>
        <v>0</v>
      </c>
      <c r="F10" s="308">
        <f>F12</f>
        <v>3534.0570000000002</v>
      </c>
      <c r="G10" s="308">
        <f>G19+G21+G25</f>
        <v>3534.0570000000002</v>
      </c>
      <c r="H10" s="308">
        <f t="shared" ref="H10" si="11">H12</f>
        <v>0</v>
      </c>
      <c r="I10" s="308">
        <f>I12</f>
        <v>0</v>
      </c>
      <c r="J10" s="308">
        <f t="shared" ref="J10:K10" si="12">J12</f>
        <v>0</v>
      </c>
      <c r="K10" s="308">
        <f t="shared" si="12"/>
        <v>0</v>
      </c>
      <c r="L10" s="306">
        <v>596.19499999999994</v>
      </c>
      <c r="M10" s="306">
        <v>596.19499999999994</v>
      </c>
      <c r="N10" s="306">
        <v>0</v>
      </c>
      <c r="O10" s="306">
        <v>3476.6060000000007</v>
      </c>
      <c r="P10" s="306">
        <v>3476.6060000000007</v>
      </c>
      <c r="Q10" s="306">
        <v>0</v>
      </c>
      <c r="R10" s="306">
        <v>602.22799999999995</v>
      </c>
      <c r="S10" s="306">
        <v>602.22799999999995</v>
      </c>
      <c r="T10" s="308">
        <v>0</v>
      </c>
      <c r="U10" s="306">
        <v>3196.152</v>
      </c>
      <c r="V10" s="306">
        <v>3196.152</v>
      </c>
      <c r="W10" s="308">
        <v>0</v>
      </c>
      <c r="X10" s="306">
        <v>635.02099999999996</v>
      </c>
      <c r="Y10" s="306">
        <v>635.02099999999996</v>
      </c>
      <c r="Z10" s="308">
        <v>0</v>
      </c>
      <c r="AA10" s="306">
        <v>627.16399999999999</v>
      </c>
      <c r="AB10" s="306">
        <v>627.16399999999999</v>
      </c>
      <c r="AC10" s="308">
        <v>0</v>
      </c>
      <c r="AD10" s="306">
        <v>324.25900000000001</v>
      </c>
      <c r="AE10" s="306">
        <v>324.25900000000001</v>
      </c>
      <c r="AF10" s="308">
        <v>0</v>
      </c>
      <c r="AG10" s="306">
        <v>302.90500000000003</v>
      </c>
      <c r="AH10" s="306">
        <v>302.90500000000003</v>
      </c>
      <c r="AI10" s="308">
        <v>0</v>
      </c>
      <c r="AJ10" s="306">
        <v>627.16399999999999</v>
      </c>
      <c r="AK10" s="306">
        <v>627.16399999999999</v>
      </c>
      <c r="AL10" s="308">
        <v>0</v>
      </c>
      <c r="AM10" s="306">
        <v>324.25900000000001</v>
      </c>
      <c r="AN10" s="306">
        <v>324.25900000000001</v>
      </c>
      <c r="AO10" s="306">
        <v>0</v>
      </c>
      <c r="AP10" s="306">
        <v>302.90500000000003</v>
      </c>
      <c r="AQ10" s="306">
        <v>302.90500000000003</v>
      </c>
      <c r="AR10" s="308">
        <v>0</v>
      </c>
    </row>
    <row r="11" spans="1:44" ht="15" customHeight="1">
      <c r="A11" s="17"/>
      <c r="B11" s="16" t="s">
        <v>70</v>
      </c>
      <c r="C11" s="1387"/>
      <c r="D11" s="1387"/>
      <c r="E11" s="1387"/>
      <c r="F11" s="1387"/>
      <c r="G11" s="1387"/>
      <c r="H11" s="1387"/>
      <c r="I11" s="1387"/>
      <c r="J11" s="1387"/>
      <c r="K11" s="1387"/>
      <c r="L11" s="305"/>
      <c r="M11" s="305"/>
      <c r="N11" s="305"/>
      <c r="O11" s="305"/>
      <c r="P11" s="305"/>
      <c r="Q11" s="305"/>
      <c r="R11" s="305"/>
      <c r="S11" s="305"/>
      <c r="T11" s="1387"/>
      <c r="U11" s="305"/>
      <c r="V11" s="305"/>
      <c r="W11" s="1387"/>
      <c r="X11" s="305"/>
      <c r="Y11" s="305"/>
      <c r="Z11" s="1387"/>
      <c r="AA11" s="305"/>
      <c r="AB11" s="305"/>
      <c r="AC11" s="1387"/>
      <c r="AD11" s="305"/>
      <c r="AE11" s="305"/>
      <c r="AF11" s="1387"/>
      <c r="AG11" s="305"/>
      <c r="AH11" s="305"/>
      <c r="AI11" s="1387"/>
      <c r="AJ11" s="305"/>
      <c r="AK11" s="305"/>
      <c r="AL11" s="1387"/>
      <c r="AM11" s="305"/>
      <c r="AN11" s="305"/>
      <c r="AO11" s="305"/>
      <c r="AP11" s="305"/>
      <c r="AQ11" s="305"/>
      <c r="AR11" s="1387"/>
    </row>
    <row r="12" spans="1:44" ht="15" customHeight="1">
      <c r="A12" s="17"/>
      <c r="B12" s="51" t="s">
        <v>71</v>
      </c>
      <c r="C12" s="308">
        <f>D12+E12</f>
        <v>0</v>
      </c>
      <c r="D12" s="308"/>
      <c r="E12" s="308"/>
      <c r="F12" s="308">
        <f>G12+H12</f>
        <v>3534.0570000000002</v>
      </c>
      <c r="G12" s="308">
        <f>G20+G19</f>
        <v>3534.0570000000002</v>
      </c>
      <c r="H12" s="308"/>
      <c r="I12" s="308">
        <f>J12+K12</f>
        <v>0</v>
      </c>
      <c r="J12" s="308"/>
      <c r="K12" s="308"/>
      <c r="L12" s="306">
        <v>426.52600000000001</v>
      </c>
      <c r="M12" s="269">
        <v>426.52600000000001</v>
      </c>
      <c r="N12" s="306"/>
      <c r="O12" s="306">
        <v>3476.6060000000007</v>
      </c>
      <c r="P12" s="269">
        <v>3476.6060000000007</v>
      </c>
      <c r="Q12" s="306"/>
      <c r="R12" s="306">
        <v>448.125</v>
      </c>
      <c r="S12" s="269">
        <v>448.125</v>
      </c>
      <c r="T12" s="308"/>
      <c r="U12" s="306">
        <v>3196.152</v>
      </c>
      <c r="V12" s="306">
        <v>3196.152</v>
      </c>
      <c r="W12" s="308"/>
      <c r="X12" s="306">
        <v>475.99900000000002</v>
      </c>
      <c r="Y12" s="269">
        <v>475.99900000000002</v>
      </c>
      <c r="Z12" s="308"/>
      <c r="AA12" s="306">
        <v>468.142</v>
      </c>
      <c r="AB12" s="269">
        <v>468.142</v>
      </c>
      <c r="AC12" s="308">
        <v>0</v>
      </c>
      <c r="AD12" s="306">
        <v>245.17</v>
      </c>
      <c r="AE12" s="269">
        <v>245.17</v>
      </c>
      <c r="AF12" s="308"/>
      <c r="AG12" s="306">
        <v>222.97200000000001</v>
      </c>
      <c r="AH12" s="269">
        <v>222.97200000000001</v>
      </c>
      <c r="AI12" s="308"/>
      <c r="AJ12" s="306">
        <v>468.142</v>
      </c>
      <c r="AK12" s="269">
        <v>468.142</v>
      </c>
      <c r="AL12" s="308">
        <v>0</v>
      </c>
      <c r="AM12" s="306">
        <v>245.17</v>
      </c>
      <c r="AN12" s="269">
        <v>245.17</v>
      </c>
      <c r="AO12" s="306"/>
      <c r="AP12" s="306">
        <v>222.97200000000001</v>
      </c>
      <c r="AQ12" s="269">
        <v>222.97200000000001</v>
      </c>
      <c r="AR12" s="308"/>
    </row>
    <row r="13" spans="1:44" ht="15" customHeight="1">
      <c r="A13" s="17"/>
      <c r="B13" s="51" t="s">
        <v>72</v>
      </c>
      <c r="C13" s="308"/>
      <c r="D13" s="308"/>
      <c r="E13" s="308"/>
      <c r="F13" s="308"/>
      <c r="G13" s="308"/>
      <c r="H13" s="308"/>
      <c r="I13" s="308"/>
      <c r="J13" s="308"/>
      <c r="K13" s="308"/>
      <c r="L13" s="306"/>
      <c r="M13" s="306"/>
      <c r="N13" s="306"/>
      <c r="O13" s="306"/>
      <c r="P13" s="306"/>
      <c r="Q13" s="306"/>
      <c r="R13" s="306"/>
      <c r="S13" s="306"/>
      <c r="T13" s="308"/>
      <c r="U13" s="306"/>
      <c r="V13" s="306"/>
      <c r="W13" s="308"/>
      <c r="X13" s="306"/>
      <c r="Y13" s="306"/>
      <c r="Z13" s="308"/>
      <c r="AA13" s="306"/>
      <c r="AB13" s="306"/>
      <c r="AC13" s="308"/>
      <c r="AD13" s="306"/>
      <c r="AE13" s="306"/>
      <c r="AF13" s="308"/>
      <c r="AG13" s="306"/>
      <c r="AH13" s="306"/>
      <c r="AI13" s="308"/>
      <c r="AJ13" s="306"/>
      <c r="AK13" s="306"/>
      <c r="AL13" s="308"/>
      <c r="AM13" s="306"/>
      <c r="AN13" s="306"/>
      <c r="AO13" s="306"/>
      <c r="AP13" s="306"/>
      <c r="AQ13" s="306"/>
      <c r="AR13" s="308"/>
    </row>
    <row r="14" spans="1:44" ht="15" customHeight="1">
      <c r="A14" s="17"/>
      <c r="B14" s="51" t="s">
        <v>73</v>
      </c>
      <c r="C14" s="308"/>
      <c r="D14" s="308"/>
      <c r="E14" s="308"/>
      <c r="F14" s="308"/>
      <c r="G14" s="308"/>
      <c r="H14" s="308"/>
      <c r="I14" s="308"/>
      <c r="J14" s="308"/>
      <c r="K14" s="308"/>
      <c r="L14" s="306"/>
      <c r="M14" s="306"/>
      <c r="N14" s="306"/>
      <c r="O14" s="306"/>
      <c r="P14" s="306"/>
      <c r="Q14" s="306"/>
      <c r="R14" s="306"/>
      <c r="S14" s="306"/>
      <c r="T14" s="308"/>
      <c r="U14" s="306"/>
      <c r="V14" s="306"/>
      <c r="W14" s="308"/>
      <c r="X14" s="306"/>
      <c r="Y14" s="306"/>
      <c r="Z14" s="308"/>
      <c r="AA14" s="306"/>
      <c r="AB14" s="306"/>
      <c r="AC14" s="308"/>
      <c r="AD14" s="306"/>
      <c r="AE14" s="306"/>
      <c r="AF14" s="308"/>
      <c r="AG14" s="306"/>
      <c r="AH14" s="306"/>
      <c r="AI14" s="308"/>
      <c r="AJ14" s="306"/>
      <c r="AK14" s="306"/>
      <c r="AL14" s="308"/>
      <c r="AM14" s="306"/>
      <c r="AN14" s="306"/>
      <c r="AO14" s="306"/>
      <c r="AP14" s="306"/>
      <c r="AQ14" s="306"/>
      <c r="AR14" s="308"/>
    </row>
    <row r="15" spans="1:44" ht="15" customHeight="1">
      <c r="A15" s="17"/>
      <c r="B15" s="51" t="s">
        <v>74</v>
      </c>
      <c r="C15" s="308"/>
      <c r="D15" s="308"/>
      <c r="E15" s="308"/>
      <c r="F15" s="308"/>
      <c r="G15" s="308"/>
      <c r="H15" s="308"/>
      <c r="I15" s="308"/>
      <c r="J15" s="308"/>
      <c r="K15" s="308"/>
      <c r="L15" s="306"/>
      <c r="M15" s="306"/>
      <c r="N15" s="306"/>
      <c r="O15" s="306"/>
      <c r="P15" s="306"/>
      <c r="Q15" s="306"/>
      <c r="R15" s="306"/>
      <c r="S15" s="306"/>
      <c r="T15" s="308"/>
      <c r="U15" s="306"/>
      <c r="V15" s="306"/>
      <c r="W15" s="308"/>
      <c r="X15" s="306"/>
      <c r="Y15" s="306"/>
      <c r="Z15" s="308"/>
      <c r="AA15" s="306"/>
      <c r="AB15" s="306"/>
      <c r="AC15" s="308"/>
      <c r="AD15" s="306"/>
      <c r="AE15" s="306"/>
      <c r="AF15" s="308"/>
      <c r="AG15" s="306"/>
      <c r="AH15" s="306"/>
      <c r="AI15" s="308"/>
      <c r="AJ15" s="306"/>
      <c r="AK15" s="306"/>
      <c r="AL15" s="308"/>
      <c r="AM15" s="306"/>
      <c r="AN15" s="306"/>
      <c r="AO15" s="306"/>
      <c r="AP15" s="306"/>
      <c r="AQ15" s="306"/>
      <c r="AR15" s="308"/>
    </row>
    <row r="16" spans="1:44" ht="15" customHeight="1">
      <c r="A16" s="17" t="s">
        <v>23</v>
      </c>
      <c r="B16" s="16" t="s">
        <v>104</v>
      </c>
      <c r="C16" s="308"/>
      <c r="D16" s="308"/>
      <c r="E16" s="308"/>
      <c r="F16" s="308"/>
      <c r="G16" s="308"/>
      <c r="H16" s="308"/>
      <c r="I16" s="308"/>
      <c r="J16" s="308"/>
      <c r="K16" s="308"/>
      <c r="L16" s="306"/>
      <c r="M16" s="306"/>
      <c r="N16" s="306"/>
      <c r="O16" s="306"/>
      <c r="P16" s="306"/>
      <c r="Q16" s="306"/>
      <c r="R16" s="306"/>
      <c r="S16" s="306"/>
      <c r="T16" s="308"/>
      <c r="U16" s="306"/>
      <c r="V16" s="306"/>
      <c r="W16" s="308"/>
      <c r="X16" s="306"/>
      <c r="Y16" s="306"/>
      <c r="Z16" s="308"/>
      <c r="AA16" s="306"/>
      <c r="AB16" s="306"/>
      <c r="AC16" s="308"/>
      <c r="AD16" s="306"/>
      <c r="AE16" s="306"/>
      <c r="AF16" s="308"/>
      <c r="AG16" s="306"/>
      <c r="AH16" s="306"/>
      <c r="AI16" s="308"/>
      <c r="AJ16" s="306"/>
      <c r="AK16" s="306"/>
      <c r="AL16" s="308"/>
      <c r="AM16" s="306"/>
      <c r="AN16" s="306"/>
      <c r="AO16" s="306"/>
      <c r="AP16" s="306"/>
      <c r="AQ16" s="306"/>
      <c r="AR16" s="308"/>
    </row>
    <row r="17" spans="1:44" ht="15" customHeight="1">
      <c r="A17" s="17"/>
      <c r="B17" s="16" t="s">
        <v>70</v>
      </c>
      <c r="C17" s="308"/>
      <c r="D17" s="308"/>
      <c r="E17" s="308"/>
      <c r="F17" s="308"/>
      <c r="G17" s="308"/>
      <c r="H17" s="308"/>
      <c r="I17" s="308"/>
      <c r="J17" s="308"/>
      <c r="K17" s="308"/>
      <c r="L17" s="306"/>
      <c r="M17" s="306"/>
      <c r="N17" s="306"/>
      <c r="O17" s="306"/>
      <c r="P17" s="306"/>
      <c r="Q17" s="306"/>
      <c r="R17" s="306"/>
      <c r="S17" s="306"/>
      <c r="T17" s="308"/>
      <c r="U17" s="306"/>
      <c r="V17" s="306"/>
      <c r="W17" s="308"/>
      <c r="X17" s="306"/>
      <c r="Y17" s="306"/>
      <c r="Z17" s="308"/>
      <c r="AA17" s="306"/>
      <c r="AB17" s="306"/>
      <c r="AC17" s="308"/>
      <c r="AD17" s="306"/>
      <c r="AE17" s="306"/>
      <c r="AF17" s="308"/>
      <c r="AG17" s="306"/>
      <c r="AH17" s="306"/>
      <c r="AI17" s="308"/>
      <c r="AJ17" s="306"/>
      <c r="AK17" s="306"/>
      <c r="AL17" s="308"/>
      <c r="AM17" s="306"/>
      <c r="AN17" s="306"/>
      <c r="AO17" s="306"/>
      <c r="AP17" s="306"/>
      <c r="AQ17" s="306"/>
      <c r="AR17" s="308"/>
    </row>
    <row r="18" spans="1:44" ht="15">
      <c r="A18" s="17"/>
      <c r="B18" s="16" t="s">
        <v>26</v>
      </c>
      <c r="C18" s="308"/>
      <c r="D18" s="308"/>
      <c r="E18" s="308"/>
      <c r="F18" s="308"/>
      <c r="G18" s="308"/>
      <c r="H18" s="308"/>
      <c r="I18" s="308"/>
      <c r="J18" s="308"/>
      <c r="K18" s="308"/>
      <c r="L18" s="306"/>
      <c r="M18" s="306"/>
      <c r="N18" s="306"/>
      <c r="O18" s="306"/>
      <c r="P18" s="306"/>
      <c r="Q18" s="306"/>
      <c r="R18" s="306"/>
      <c r="S18" s="306"/>
      <c r="T18" s="308"/>
      <c r="U18" s="306"/>
      <c r="V18" s="306"/>
      <c r="W18" s="308"/>
      <c r="X18" s="306"/>
      <c r="Y18" s="306"/>
      <c r="Z18" s="308"/>
      <c r="AA18" s="306"/>
      <c r="AB18" s="306"/>
      <c r="AC18" s="308"/>
      <c r="AD18" s="306"/>
      <c r="AE18" s="306"/>
      <c r="AF18" s="308"/>
      <c r="AG18" s="306"/>
      <c r="AH18" s="306"/>
      <c r="AI18" s="308"/>
      <c r="AJ18" s="306"/>
      <c r="AK18" s="306"/>
      <c r="AL18" s="308"/>
      <c r="AM18" s="306"/>
      <c r="AN18" s="306"/>
      <c r="AO18" s="306"/>
      <c r="AP18" s="306"/>
      <c r="AQ18" s="306"/>
      <c r="AR18" s="308"/>
    </row>
    <row r="19" spans="1:44" s="300" customFormat="1" ht="15" customHeight="1">
      <c r="A19" s="339" t="s">
        <v>27</v>
      </c>
      <c r="B19" s="886" t="s">
        <v>105</v>
      </c>
      <c r="C19" s="308">
        <f t="shared" ref="C19" si="13">D19+E19</f>
        <v>0</v>
      </c>
      <c r="D19" s="308"/>
      <c r="E19" s="308"/>
      <c r="F19" s="308">
        <f t="shared" ref="F19" si="14">G19+H19</f>
        <v>5.7389999999999999</v>
      </c>
      <c r="G19" s="308">
        <v>5.7389999999999999</v>
      </c>
      <c r="H19" s="308"/>
      <c r="I19" s="308"/>
      <c r="J19" s="308"/>
      <c r="K19" s="308"/>
      <c r="L19" s="306">
        <v>74.474000000000004</v>
      </c>
      <c r="M19" s="269">
        <v>74.474000000000004</v>
      </c>
      <c r="N19" s="306"/>
      <c r="O19" s="306">
        <v>6.76</v>
      </c>
      <c r="P19" s="269">
        <v>6.76</v>
      </c>
      <c r="Q19" s="306"/>
      <c r="R19" s="306">
        <v>60.423999999999999</v>
      </c>
      <c r="S19" s="269">
        <v>60.423999999999999</v>
      </c>
      <c r="T19" s="308"/>
      <c r="U19" s="306">
        <v>5.7539999999999996</v>
      </c>
      <c r="V19" s="269">
        <v>5.7539999999999996</v>
      </c>
      <c r="W19" s="308"/>
      <c r="X19" s="306">
        <v>60.823999999999998</v>
      </c>
      <c r="Y19" s="269">
        <v>60.823999999999998</v>
      </c>
      <c r="Z19" s="308"/>
      <c r="AA19" s="306">
        <v>60.823999999999998</v>
      </c>
      <c r="AB19" s="269">
        <v>60.823999999999998</v>
      </c>
      <c r="AC19" s="308"/>
      <c r="AD19" s="306">
        <v>30.356999999999999</v>
      </c>
      <c r="AE19" s="269">
        <v>30.356999999999999</v>
      </c>
      <c r="AF19" s="308"/>
      <c r="AG19" s="306">
        <v>30.466999999999999</v>
      </c>
      <c r="AH19" s="269">
        <v>30.466999999999999</v>
      </c>
      <c r="AI19" s="308"/>
      <c r="AJ19" s="306">
        <v>60.823999999999998</v>
      </c>
      <c r="AK19" s="269">
        <v>60.823999999999998</v>
      </c>
      <c r="AL19" s="308"/>
      <c r="AM19" s="306">
        <v>30.356999999999999</v>
      </c>
      <c r="AN19" s="269">
        <v>30.356999999999999</v>
      </c>
      <c r="AO19" s="306"/>
      <c r="AP19" s="306">
        <v>30.466999999999999</v>
      </c>
      <c r="AQ19" s="269">
        <v>30.466999999999999</v>
      </c>
      <c r="AR19" s="308"/>
    </row>
    <row r="20" spans="1:44" ht="15" customHeight="1">
      <c r="A20" s="17" t="s">
        <v>30</v>
      </c>
      <c r="B20" s="16" t="s">
        <v>106</v>
      </c>
      <c r="C20" s="308">
        <f>C10-C19</f>
        <v>0</v>
      </c>
      <c r="D20" s="308">
        <f t="shared" ref="D20" si="15">D10-D19</f>
        <v>0</v>
      </c>
      <c r="E20" s="308">
        <f t="shared" ref="E20" si="16">E10-E19</f>
        <v>0</v>
      </c>
      <c r="F20" s="308">
        <f>F10-F19</f>
        <v>3528.3180000000002</v>
      </c>
      <c r="G20" s="308">
        <f>G21+G25</f>
        <v>3528.3180000000002</v>
      </c>
      <c r="H20" s="308">
        <f t="shared" ref="H20" si="17">H10-H19</f>
        <v>0</v>
      </c>
      <c r="I20" s="308">
        <f>I10-I19</f>
        <v>0</v>
      </c>
      <c r="J20" s="308">
        <f t="shared" ref="J20" si="18">J10-J19</f>
        <v>0</v>
      </c>
      <c r="K20" s="308">
        <f t="shared" ref="K20" si="19">K10-K19</f>
        <v>0</v>
      </c>
      <c r="L20" s="306">
        <v>521.72099999999989</v>
      </c>
      <c r="M20" s="306">
        <v>95.194999999999993</v>
      </c>
      <c r="N20" s="306">
        <v>0</v>
      </c>
      <c r="O20" s="306">
        <v>3469.8460000000005</v>
      </c>
      <c r="P20" s="306">
        <v>3469.8460000000005</v>
      </c>
      <c r="Q20" s="306">
        <v>0</v>
      </c>
      <c r="R20" s="306">
        <v>93.679000000000002</v>
      </c>
      <c r="S20" s="306">
        <v>93.679000000000002</v>
      </c>
      <c r="T20" s="308">
        <v>0</v>
      </c>
      <c r="U20" s="306">
        <v>3190.3980000000001</v>
      </c>
      <c r="V20" s="306">
        <v>3190.3980000000001</v>
      </c>
      <c r="W20" s="308">
        <v>0</v>
      </c>
      <c r="X20" s="306">
        <v>98.198000000000008</v>
      </c>
      <c r="Y20" s="306">
        <v>98.198000000000008</v>
      </c>
      <c r="Z20" s="308">
        <v>0</v>
      </c>
      <c r="AA20" s="306">
        <v>98.198000000000008</v>
      </c>
      <c r="AB20" s="306">
        <v>98.198000000000008</v>
      </c>
      <c r="AC20" s="308">
        <v>0</v>
      </c>
      <c r="AD20" s="306">
        <v>48.731999999999999</v>
      </c>
      <c r="AE20" s="306">
        <v>48.731999999999999</v>
      </c>
      <c r="AF20" s="308">
        <v>0</v>
      </c>
      <c r="AG20" s="306">
        <v>49.466000000000001</v>
      </c>
      <c r="AH20" s="306">
        <v>49.466000000000001</v>
      </c>
      <c r="AI20" s="308">
        <v>0</v>
      </c>
      <c r="AJ20" s="306">
        <v>98.198000000000008</v>
      </c>
      <c r="AK20" s="306">
        <v>98.198000000000008</v>
      </c>
      <c r="AL20" s="308">
        <v>0</v>
      </c>
      <c r="AM20" s="306">
        <v>48.731999999999999</v>
      </c>
      <c r="AN20" s="306">
        <v>48.731999999999999</v>
      </c>
      <c r="AO20" s="306">
        <v>0</v>
      </c>
      <c r="AP20" s="306">
        <v>49.466000000000001</v>
      </c>
      <c r="AQ20" s="306">
        <v>49.466000000000001</v>
      </c>
      <c r="AR20" s="308">
        <v>0</v>
      </c>
    </row>
    <row r="21" spans="1:44" ht="15" customHeight="1">
      <c r="A21" s="17" t="s">
        <v>78</v>
      </c>
      <c r="B21" s="16" t="s">
        <v>107</v>
      </c>
      <c r="C21" s="308">
        <f>D21+E21</f>
        <v>0</v>
      </c>
      <c r="D21" s="308"/>
      <c r="E21" s="308"/>
      <c r="F21" s="308">
        <f>G21+H21</f>
        <v>129.762</v>
      </c>
      <c r="G21" s="308">
        <f>G22+G23</f>
        <v>129.762</v>
      </c>
      <c r="H21" s="308"/>
      <c r="I21" s="308">
        <f>J21+K21</f>
        <v>0</v>
      </c>
      <c r="J21" s="308"/>
      <c r="K21" s="308"/>
      <c r="L21" s="306">
        <v>73.05</v>
      </c>
      <c r="M21" s="306">
        <v>73.05</v>
      </c>
      <c r="N21" s="306"/>
      <c r="O21" s="306">
        <v>145.542</v>
      </c>
      <c r="P21" s="306">
        <v>145.542</v>
      </c>
      <c r="Q21" s="306"/>
      <c r="R21" s="306">
        <v>73.171000000000006</v>
      </c>
      <c r="S21" s="306">
        <v>73.171000000000006</v>
      </c>
      <c r="T21" s="308"/>
      <c r="U21" s="306">
        <v>241</v>
      </c>
      <c r="V21" s="306">
        <v>241</v>
      </c>
      <c r="W21" s="308"/>
      <c r="X21" s="306">
        <v>79.158000000000001</v>
      </c>
      <c r="Y21" s="306">
        <v>79.158000000000001</v>
      </c>
      <c r="Z21" s="308"/>
      <c r="AA21" s="306">
        <v>79.158000000000001</v>
      </c>
      <c r="AB21" s="306">
        <v>79.158000000000001</v>
      </c>
      <c r="AC21" s="308">
        <v>0</v>
      </c>
      <c r="AD21" s="306">
        <v>37.292000000000002</v>
      </c>
      <c r="AE21" s="306">
        <v>37.292000000000002</v>
      </c>
      <c r="AF21" s="308"/>
      <c r="AG21" s="306">
        <v>41.866</v>
      </c>
      <c r="AH21" s="306">
        <v>41.866</v>
      </c>
      <c r="AI21" s="308"/>
      <c r="AJ21" s="306">
        <v>79.158000000000001</v>
      </c>
      <c r="AK21" s="306">
        <v>79.158000000000001</v>
      </c>
      <c r="AL21" s="308">
        <v>0</v>
      </c>
      <c r="AM21" s="306">
        <v>37.292000000000002</v>
      </c>
      <c r="AN21" s="306">
        <v>37.292000000000002</v>
      </c>
      <c r="AO21" s="306"/>
      <c r="AP21" s="306">
        <v>41.866</v>
      </c>
      <c r="AQ21" s="306">
        <v>41.866</v>
      </c>
      <c r="AR21" s="308"/>
    </row>
    <row r="22" spans="1:44" ht="15" customHeight="1">
      <c r="A22" s="17"/>
      <c r="B22" s="878" t="s">
        <v>1503</v>
      </c>
      <c r="C22" s="981">
        <f>D22+E22</f>
        <v>0</v>
      </c>
      <c r="D22" s="981"/>
      <c r="E22" s="981"/>
      <c r="F22" s="981">
        <f>G22+H22</f>
        <v>71.828999999999994</v>
      </c>
      <c r="G22" s="981">
        <f>71829/1000</f>
        <v>71.828999999999994</v>
      </c>
      <c r="H22" s="981"/>
      <c r="I22" s="981">
        <f>J22+K22</f>
        <v>0</v>
      </c>
      <c r="J22" s="981"/>
      <c r="K22" s="981"/>
      <c r="L22" s="1676">
        <v>73.05</v>
      </c>
      <c r="M22" s="1677">
        <v>73.05</v>
      </c>
      <c r="N22" s="1676"/>
      <c r="O22" s="1676">
        <v>74.864000000000004</v>
      </c>
      <c r="P22" s="1677">
        <v>74.864000000000004</v>
      </c>
      <c r="Q22" s="1676"/>
      <c r="R22" s="1676">
        <v>73.171000000000006</v>
      </c>
      <c r="S22" s="1677">
        <v>73.171000000000006</v>
      </c>
      <c r="T22" s="981"/>
      <c r="U22" s="1676">
        <v>82</v>
      </c>
      <c r="V22" s="1677">
        <v>82</v>
      </c>
      <c r="W22" s="981"/>
      <c r="X22" s="1676">
        <v>79.158000000000001</v>
      </c>
      <c r="Y22" s="1677">
        <v>79.158000000000001</v>
      </c>
      <c r="Z22" s="981"/>
      <c r="AA22" s="1676">
        <v>79.158000000000001</v>
      </c>
      <c r="AB22" s="1676">
        <v>79.158000000000001</v>
      </c>
      <c r="AC22" s="981"/>
      <c r="AD22" s="1676">
        <v>37.292000000000002</v>
      </c>
      <c r="AE22" s="1677">
        <v>37.292000000000002</v>
      </c>
      <c r="AF22" s="981"/>
      <c r="AG22" s="1676">
        <v>41.866</v>
      </c>
      <c r="AH22" s="1677">
        <v>41.866</v>
      </c>
      <c r="AI22" s="981"/>
      <c r="AJ22" s="1676">
        <v>79.158000000000001</v>
      </c>
      <c r="AK22" s="1676">
        <v>79.158000000000001</v>
      </c>
      <c r="AL22" s="981"/>
      <c r="AM22" s="1676">
        <v>37.292000000000002</v>
      </c>
      <c r="AN22" s="1677">
        <v>37.292000000000002</v>
      </c>
      <c r="AO22" s="1676"/>
      <c r="AP22" s="1676">
        <v>41.866</v>
      </c>
      <c r="AQ22" s="1677">
        <v>41.866</v>
      </c>
      <c r="AR22" s="981"/>
    </row>
    <row r="23" spans="1:44" ht="15" customHeight="1">
      <c r="A23" s="17"/>
      <c r="B23" s="878" t="s">
        <v>1504</v>
      </c>
      <c r="C23" s="981">
        <f>D23+E23</f>
        <v>0</v>
      </c>
      <c r="D23" s="981"/>
      <c r="E23" s="981"/>
      <c r="F23" s="981">
        <f>G23+H23</f>
        <v>57.933</v>
      </c>
      <c r="G23" s="981">
        <f>57933/1000</f>
        <v>57.933</v>
      </c>
      <c r="H23" s="981"/>
      <c r="I23" s="981">
        <f>J23+K23</f>
        <v>0</v>
      </c>
      <c r="J23" s="981"/>
      <c r="K23" s="981"/>
      <c r="L23" s="1676">
        <v>0</v>
      </c>
      <c r="M23" s="1677"/>
      <c r="N23" s="1676"/>
      <c r="O23" s="1676">
        <v>70.677999999999997</v>
      </c>
      <c r="P23" s="1677">
        <v>70.677999999999997</v>
      </c>
      <c r="Q23" s="1676"/>
      <c r="R23" s="1676">
        <v>0</v>
      </c>
      <c r="S23" s="1677"/>
      <c r="T23" s="981"/>
      <c r="U23" s="1676">
        <v>159</v>
      </c>
      <c r="V23" s="1677">
        <v>159</v>
      </c>
      <c r="W23" s="981"/>
      <c r="X23" s="1676">
        <v>0</v>
      </c>
      <c r="Y23" s="1677"/>
      <c r="Z23" s="981"/>
      <c r="AA23" s="1676">
        <v>0</v>
      </c>
      <c r="AB23" s="1676">
        <v>0</v>
      </c>
      <c r="AC23" s="981"/>
      <c r="AD23" s="1676">
        <v>0</v>
      </c>
      <c r="AE23" s="1677"/>
      <c r="AF23" s="981"/>
      <c r="AG23" s="1676">
        <v>0</v>
      </c>
      <c r="AH23" s="1677"/>
      <c r="AI23" s="981"/>
      <c r="AJ23" s="1676">
        <v>0</v>
      </c>
      <c r="AK23" s="1676">
        <v>0</v>
      </c>
      <c r="AL23" s="981"/>
      <c r="AM23" s="1676">
        <v>0</v>
      </c>
      <c r="AN23" s="1677"/>
      <c r="AO23" s="1676"/>
      <c r="AP23" s="1676">
        <v>0</v>
      </c>
      <c r="AQ23" s="1677"/>
      <c r="AR23" s="981"/>
    </row>
    <row r="24" spans="1:44" ht="15" customHeight="1">
      <c r="A24" s="17" t="s">
        <v>86</v>
      </c>
      <c r="B24" s="16" t="s">
        <v>108</v>
      </c>
      <c r="C24" s="308"/>
      <c r="D24" s="308"/>
      <c r="E24" s="308"/>
      <c r="F24" s="308"/>
      <c r="G24" s="308"/>
      <c r="H24" s="308"/>
      <c r="I24" s="308"/>
      <c r="J24" s="308"/>
      <c r="K24" s="308"/>
      <c r="L24" s="306"/>
      <c r="M24" s="306"/>
      <c r="N24" s="306"/>
      <c r="O24" s="306"/>
      <c r="P24" s="306"/>
      <c r="Q24" s="306"/>
      <c r="R24" s="306"/>
      <c r="S24" s="306"/>
      <c r="T24" s="308"/>
      <c r="U24" s="306"/>
      <c r="V24" s="306"/>
      <c r="W24" s="308"/>
      <c r="X24" s="306"/>
      <c r="Y24" s="306"/>
      <c r="Z24" s="308"/>
      <c r="AA24" s="306"/>
      <c r="AB24" s="306"/>
      <c r="AC24" s="308"/>
      <c r="AD24" s="306"/>
      <c r="AE24" s="306"/>
      <c r="AF24" s="308"/>
      <c r="AG24" s="306"/>
      <c r="AH24" s="306"/>
      <c r="AI24" s="308"/>
      <c r="AJ24" s="306"/>
      <c r="AK24" s="306"/>
      <c r="AL24" s="308"/>
      <c r="AM24" s="306"/>
      <c r="AN24" s="306"/>
      <c r="AO24" s="306"/>
      <c r="AP24" s="306"/>
      <c r="AQ24" s="306"/>
      <c r="AR24" s="308"/>
    </row>
    <row r="25" spans="1:44" ht="15" customHeight="1">
      <c r="A25" s="17" t="s">
        <v>109</v>
      </c>
      <c r="B25" s="16" t="s">
        <v>110</v>
      </c>
      <c r="C25" s="308">
        <f t="shared" ref="C25:AD25" si="20">C20-C21</f>
        <v>0</v>
      </c>
      <c r="D25" s="308">
        <f t="shared" si="20"/>
        <v>0</v>
      </c>
      <c r="E25" s="308">
        <f t="shared" si="20"/>
        <v>0</v>
      </c>
      <c r="F25" s="308">
        <f t="shared" si="20"/>
        <v>3398.556</v>
      </c>
      <c r="G25" s="308">
        <f>G26+G27</f>
        <v>3398.556</v>
      </c>
      <c r="H25" s="308">
        <f t="shared" si="20"/>
        <v>0</v>
      </c>
      <c r="I25" s="308">
        <f t="shared" si="20"/>
        <v>0</v>
      </c>
      <c r="J25" s="308">
        <f t="shared" si="20"/>
        <v>0</v>
      </c>
      <c r="K25" s="308">
        <f t="shared" si="20"/>
        <v>0</v>
      </c>
      <c r="L25" s="306">
        <v>448.67099999999988</v>
      </c>
      <c r="M25" s="306">
        <v>22.145</v>
      </c>
      <c r="N25" s="306">
        <v>0</v>
      </c>
      <c r="O25" s="306">
        <v>3324.3040000000005</v>
      </c>
      <c r="P25" s="306">
        <v>3324.3040000000005</v>
      </c>
      <c r="Q25" s="306">
        <v>0</v>
      </c>
      <c r="R25" s="306">
        <v>20.507999999999996</v>
      </c>
      <c r="S25" s="306">
        <v>20.507999999999999</v>
      </c>
      <c r="T25" s="308">
        <v>0</v>
      </c>
      <c r="U25" s="306">
        <v>2949.3980000000001</v>
      </c>
      <c r="V25" s="306">
        <v>2949.3980000000001</v>
      </c>
      <c r="W25" s="308">
        <v>0</v>
      </c>
      <c r="X25" s="306">
        <v>19.040000000000006</v>
      </c>
      <c r="Y25" s="306">
        <v>19.04</v>
      </c>
      <c r="Z25" s="308">
        <v>0</v>
      </c>
      <c r="AA25" s="306">
        <v>19.040000000000006</v>
      </c>
      <c r="AB25" s="306">
        <v>19.04</v>
      </c>
      <c r="AC25" s="308">
        <v>0</v>
      </c>
      <c r="AD25" s="306">
        <v>11.439999999999998</v>
      </c>
      <c r="AE25" s="306">
        <v>11.44</v>
      </c>
      <c r="AF25" s="308">
        <v>0</v>
      </c>
      <c r="AG25" s="306">
        <v>7.6000000000000014</v>
      </c>
      <c r="AH25" s="306">
        <v>7.6</v>
      </c>
      <c r="AI25" s="308">
        <v>0</v>
      </c>
      <c r="AJ25" s="306">
        <v>19.040000000000006</v>
      </c>
      <c r="AK25" s="306">
        <v>19.04</v>
      </c>
      <c r="AL25" s="308">
        <v>0</v>
      </c>
      <c r="AM25" s="306">
        <v>11.439999999999998</v>
      </c>
      <c r="AN25" s="306">
        <v>11.44</v>
      </c>
      <c r="AO25" s="306">
        <v>0</v>
      </c>
      <c r="AP25" s="306">
        <v>7.6000000000000014</v>
      </c>
      <c r="AQ25" s="306">
        <v>7.6</v>
      </c>
      <c r="AR25" s="308">
        <v>0</v>
      </c>
    </row>
    <row r="26" spans="1:44" ht="15" customHeight="1">
      <c r="A26" s="17"/>
      <c r="B26" s="16" t="s">
        <v>1505</v>
      </c>
      <c r="C26" s="308"/>
      <c r="D26" s="308"/>
      <c r="E26" s="308"/>
      <c r="F26" s="308">
        <f>G26</f>
        <v>19.763000000000002</v>
      </c>
      <c r="G26" s="308">
        <f>19763/1000</f>
        <v>19.763000000000002</v>
      </c>
      <c r="H26" s="308"/>
      <c r="I26" s="308"/>
      <c r="J26" s="308"/>
      <c r="K26" s="308"/>
      <c r="L26" s="306">
        <v>22.145</v>
      </c>
      <c r="M26" s="269">
        <v>22.145</v>
      </c>
      <c r="N26" s="306"/>
      <c r="O26" s="306">
        <v>19.763000000000002</v>
      </c>
      <c r="P26" s="269">
        <v>19.763000000000002</v>
      </c>
      <c r="Q26" s="306"/>
      <c r="R26" s="306">
        <v>20.507999999999999</v>
      </c>
      <c r="S26" s="269">
        <v>20.507999999999999</v>
      </c>
      <c r="T26" s="308"/>
      <c r="U26" s="306">
        <v>0</v>
      </c>
      <c r="V26" s="269">
        <v>0</v>
      </c>
      <c r="W26" s="306"/>
      <c r="X26" s="306">
        <v>19.04</v>
      </c>
      <c r="Y26" s="269">
        <v>19.04</v>
      </c>
      <c r="Z26" s="306"/>
      <c r="AA26" s="306">
        <v>19.04</v>
      </c>
      <c r="AB26" s="306">
        <v>19.04</v>
      </c>
      <c r="AC26" s="306"/>
      <c r="AD26" s="306">
        <v>11.44</v>
      </c>
      <c r="AE26" s="269">
        <v>11.44</v>
      </c>
      <c r="AF26" s="306"/>
      <c r="AG26" s="306">
        <v>7.6</v>
      </c>
      <c r="AH26" s="306">
        <v>7.6</v>
      </c>
      <c r="AI26" s="306"/>
      <c r="AJ26" s="306">
        <v>19.04</v>
      </c>
      <c r="AK26" s="306">
        <v>19.04</v>
      </c>
      <c r="AL26" s="306"/>
      <c r="AM26" s="306">
        <v>11.44</v>
      </c>
      <c r="AN26" s="269">
        <v>11.44</v>
      </c>
      <c r="AO26" s="306"/>
      <c r="AP26" s="306">
        <v>7.6</v>
      </c>
      <c r="AQ26" s="306">
        <v>7.6</v>
      </c>
      <c r="AR26" s="306"/>
    </row>
    <row r="27" spans="1:44" ht="15" customHeight="1">
      <c r="A27" s="17"/>
      <c r="B27" s="16" t="s">
        <v>1887</v>
      </c>
      <c r="C27" s="308"/>
      <c r="D27" s="308"/>
      <c r="E27" s="308"/>
      <c r="F27" s="308">
        <f t="shared" ref="F27:F29" si="21">G27</f>
        <v>3378.7930000000001</v>
      </c>
      <c r="G27" s="308">
        <f>3378793/1000</f>
        <v>3378.7930000000001</v>
      </c>
      <c r="H27" s="308"/>
      <c r="I27" s="308"/>
      <c r="J27" s="308"/>
      <c r="K27" s="308"/>
      <c r="L27" s="306">
        <v>3122.721</v>
      </c>
      <c r="M27" s="269">
        <v>3122.721</v>
      </c>
      <c r="N27" s="306"/>
      <c r="O27" s="306">
        <v>3304.5410000000002</v>
      </c>
      <c r="P27" s="269">
        <v>3304.5410000000002</v>
      </c>
      <c r="Q27" s="306"/>
      <c r="R27" s="306">
        <v>2793.114</v>
      </c>
      <c r="S27" s="269">
        <v>2793.114</v>
      </c>
      <c r="T27" s="308"/>
      <c r="U27" s="306">
        <v>2949.3980000000001</v>
      </c>
      <c r="V27" s="269">
        <v>2949.3980000000001</v>
      </c>
      <c r="W27" s="306"/>
      <c r="X27" s="306">
        <v>2566.078</v>
      </c>
      <c r="Y27" s="269">
        <v>2566.078</v>
      </c>
      <c r="Z27" s="306"/>
      <c r="AA27" s="306">
        <v>2566.0779999999995</v>
      </c>
      <c r="AB27" s="306">
        <v>2566.0779999999995</v>
      </c>
      <c r="AC27" s="306"/>
      <c r="AD27" s="306">
        <v>1459.2379999999998</v>
      </c>
      <c r="AE27" s="269">
        <v>1459.2379999999998</v>
      </c>
      <c r="AF27" s="306"/>
      <c r="AG27" s="306">
        <v>1106.8399999999999</v>
      </c>
      <c r="AH27" s="269">
        <v>1106.8399999999999</v>
      </c>
      <c r="AI27" s="306"/>
      <c r="AJ27" s="306">
        <v>2566.0779999999995</v>
      </c>
      <c r="AK27" s="306">
        <v>2566.0779999999995</v>
      </c>
      <c r="AL27" s="306"/>
      <c r="AM27" s="306">
        <v>1459.2379999999998</v>
      </c>
      <c r="AN27" s="269">
        <v>1459.2379999999998</v>
      </c>
      <c r="AO27" s="306"/>
      <c r="AP27" s="306">
        <v>1106.8399999999999</v>
      </c>
      <c r="AQ27" s="269">
        <v>1106.8399999999999</v>
      </c>
      <c r="AR27" s="306"/>
    </row>
    <row r="28" spans="1:44" ht="15" customHeight="1">
      <c r="A28" s="17"/>
      <c r="B28" s="878" t="s">
        <v>1290</v>
      </c>
      <c r="C28" s="981"/>
      <c r="D28" s="981"/>
      <c r="E28" s="981"/>
      <c r="F28" s="981">
        <f t="shared" si="21"/>
        <v>2161.788</v>
      </c>
      <c r="G28" s="981">
        <f>2161788/1000</f>
        <v>2161.788</v>
      </c>
      <c r="H28" s="981"/>
      <c r="I28" s="981"/>
      <c r="J28" s="981"/>
      <c r="K28" s="981"/>
      <c r="L28" s="1676">
        <v>1942.527</v>
      </c>
      <c r="M28" s="1677">
        <v>1942.527</v>
      </c>
      <c r="N28" s="1676"/>
      <c r="O28" s="1676">
        <v>2176.2150000000001</v>
      </c>
      <c r="P28" s="1677">
        <v>2176.2150000000001</v>
      </c>
      <c r="Q28" s="1676"/>
      <c r="R28" s="1676">
        <v>1879.335</v>
      </c>
      <c r="S28" s="1677">
        <v>1879.335</v>
      </c>
      <c r="T28" s="981"/>
      <c r="U28" s="1676">
        <v>1879.6880000000001</v>
      </c>
      <c r="V28" s="1677">
        <v>1879.6880000000001</v>
      </c>
      <c r="W28" s="1676"/>
      <c r="X28" s="1676">
        <v>1802.3</v>
      </c>
      <c r="Y28" s="1677">
        <v>1802.3</v>
      </c>
      <c r="Z28" s="1676"/>
      <c r="AA28" s="1676">
        <v>1802.3</v>
      </c>
      <c r="AB28" s="1676">
        <v>1802.3</v>
      </c>
      <c r="AC28" s="1676"/>
      <c r="AD28" s="1676">
        <v>952.3</v>
      </c>
      <c r="AE28" s="1677">
        <v>952.3</v>
      </c>
      <c r="AF28" s="1676"/>
      <c r="AG28" s="1676">
        <v>850</v>
      </c>
      <c r="AH28" s="1677">
        <v>850</v>
      </c>
      <c r="AI28" s="1676"/>
      <c r="AJ28" s="1676">
        <v>1802.3</v>
      </c>
      <c r="AK28" s="1676">
        <v>1802.3</v>
      </c>
      <c r="AL28" s="1676"/>
      <c r="AM28" s="1676">
        <v>952.3</v>
      </c>
      <c r="AN28" s="1677">
        <v>952.3</v>
      </c>
      <c r="AO28" s="1676"/>
      <c r="AP28" s="1676">
        <v>850</v>
      </c>
      <c r="AQ28" s="1677">
        <v>850</v>
      </c>
      <c r="AR28" s="1676"/>
    </row>
    <row r="29" spans="1:44" ht="15" customHeight="1">
      <c r="A29" s="17"/>
      <c r="B29" s="878" t="s">
        <v>1507</v>
      </c>
      <c r="C29" s="981"/>
      <c r="D29" s="981"/>
      <c r="E29" s="981"/>
      <c r="F29" s="981">
        <f t="shared" si="21"/>
        <v>1217.0050000000001</v>
      </c>
      <c r="G29" s="981">
        <f>1217005/1000</f>
        <v>1217.0050000000001</v>
      </c>
      <c r="H29" s="981"/>
      <c r="I29" s="981"/>
      <c r="J29" s="981"/>
      <c r="K29" s="981"/>
      <c r="L29" s="1676">
        <v>1180.194</v>
      </c>
      <c r="M29" s="1677">
        <v>1180.194</v>
      </c>
      <c r="N29" s="1676"/>
      <c r="O29" s="1676">
        <v>1128.326</v>
      </c>
      <c r="P29" s="1677">
        <v>1128.326</v>
      </c>
      <c r="Q29" s="1676"/>
      <c r="R29" s="1676">
        <v>913.779</v>
      </c>
      <c r="S29" s="1677">
        <v>913.779</v>
      </c>
      <c r="T29" s="981"/>
      <c r="U29" s="1676">
        <v>1069.71</v>
      </c>
      <c r="V29" s="1677">
        <v>1069.71</v>
      </c>
      <c r="W29" s="1676"/>
      <c r="X29" s="1676">
        <v>763.77800000000002</v>
      </c>
      <c r="Y29" s="1677">
        <v>763.77800000000002</v>
      </c>
      <c r="Z29" s="1676"/>
      <c r="AA29" s="1676">
        <v>763.77800000000002</v>
      </c>
      <c r="AB29" s="1676">
        <v>763.77800000000002</v>
      </c>
      <c r="AC29" s="1676"/>
      <c r="AD29" s="1676">
        <v>506.93799999999999</v>
      </c>
      <c r="AE29" s="1677">
        <v>506.93799999999999</v>
      </c>
      <c r="AF29" s="1676"/>
      <c r="AG29" s="1676">
        <v>256.83999999999997</v>
      </c>
      <c r="AH29" s="1677">
        <v>256.83999999999997</v>
      </c>
      <c r="AI29" s="1676"/>
      <c r="AJ29" s="1676">
        <v>763.77800000000002</v>
      </c>
      <c r="AK29" s="1676">
        <v>763.77800000000002</v>
      </c>
      <c r="AL29" s="1676"/>
      <c r="AM29" s="1676">
        <v>506.93799999999999</v>
      </c>
      <c r="AN29" s="1677">
        <v>506.93799999999999</v>
      </c>
      <c r="AO29" s="1676"/>
      <c r="AP29" s="1676">
        <v>256.83999999999997</v>
      </c>
      <c r="AQ29" s="1677">
        <v>256.83999999999997</v>
      </c>
      <c r="AR29" s="1676"/>
    </row>
    <row r="30" spans="1:44" ht="15"/>
    <row r="31" spans="1:44" ht="15">
      <c r="A31" s="26" t="s">
        <v>88</v>
      </c>
    </row>
    <row r="32" spans="1:44" s="28" customFormat="1" ht="30.75" customHeight="1">
      <c r="A32" s="45" t="s">
        <v>89</v>
      </c>
      <c r="B32" s="1842" t="s">
        <v>111</v>
      </c>
      <c r="C32" s="1842"/>
      <c r="D32" s="1842"/>
      <c r="E32" s="1842"/>
      <c r="F32" s="1842"/>
      <c r="G32" s="1842"/>
      <c r="H32" s="1842"/>
      <c r="I32" s="1842"/>
      <c r="J32" s="1842"/>
      <c r="K32" s="1842"/>
      <c r="L32" s="1842"/>
      <c r="M32" s="1842"/>
      <c r="N32" s="1842"/>
      <c r="O32" s="1842"/>
      <c r="P32" s="1842"/>
      <c r="Q32" s="1842"/>
      <c r="R32" s="1842"/>
      <c r="S32" s="1842"/>
      <c r="T32" s="1842"/>
      <c r="U32" s="1842"/>
      <c r="V32" s="1842"/>
      <c r="W32" s="1842"/>
      <c r="X32" s="1842"/>
      <c r="Y32" s="1842"/>
      <c r="Z32" s="1842"/>
      <c r="AA32" s="1842"/>
      <c r="AB32" s="1842"/>
      <c r="AC32" s="1842"/>
      <c r="AD32" s="1842"/>
      <c r="AE32" s="1842"/>
      <c r="AF32" s="1842"/>
      <c r="AG32" s="1842"/>
      <c r="AH32" s="1842"/>
      <c r="AI32" s="1842"/>
    </row>
    <row r="33" spans="1:26" s="28" customFormat="1" ht="15" customHeight="1">
      <c r="A33" s="45" t="s">
        <v>91</v>
      </c>
      <c r="B33" s="28" t="s">
        <v>94</v>
      </c>
      <c r="F33" s="541"/>
      <c r="G33" s="541"/>
      <c r="H33" s="541"/>
      <c r="I33" s="541"/>
      <c r="J33" s="541"/>
      <c r="K33" s="541"/>
      <c r="L33" s="541"/>
      <c r="M33" s="541"/>
      <c r="N33" s="541"/>
      <c r="O33" s="1275"/>
      <c r="P33" s="1275"/>
      <c r="Q33" s="1275"/>
      <c r="R33" s="1275"/>
      <c r="S33" s="1275"/>
      <c r="T33" s="1275"/>
      <c r="U33" s="1579"/>
      <c r="V33" s="1579"/>
      <c r="W33" s="1579"/>
      <c r="X33" s="1579"/>
      <c r="Y33" s="1579"/>
      <c r="Z33" s="1579"/>
    </row>
    <row r="34" spans="1:26" s="28" customFormat="1" ht="15" customHeight="1">
      <c r="A34" s="45" t="s">
        <v>93</v>
      </c>
      <c r="B34" s="28" t="s">
        <v>112</v>
      </c>
      <c r="F34" s="541"/>
      <c r="G34" s="541"/>
      <c r="H34" s="541"/>
      <c r="I34" s="541"/>
      <c r="J34" s="541"/>
      <c r="K34" s="541"/>
      <c r="L34" s="541"/>
      <c r="M34" s="541"/>
      <c r="N34" s="541"/>
      <c r="O34" s="1275"/>
      <c r="P34" s="1275"/>
      <c r="Q34" s="1275"/>
      <c r="R34" s="1275"/>
      <c r="S34" s="1275"/>
      <c r="T34" s="1275"/>
      <c r="U34" s="1579"/>
      <c r="V34" s="1579"/>
      <c r="W34" s="1579"/>
      <c r="X34" s="1579"/>
      <c r="Y34" s="1579"/>
      <c r="Z34" s="1579"/>
    </row>
  </sheetData>
  <mergeCells count="45">
    <mergeCell ref="AJ6:AL6"/>
    <mergeCell ref="AM6:AO6"/>
    <mergeCell ref="AP6:AR6"/>
    <mergeCell ref="AJ7:AJ8"/>
    <mergeCell ref="AK7:AL7"/>
    <mergeCell ref="AM7:AM8"/>
    <mergeCell ref="AN7:AO7"/>
    <mergeCell ref="AP7:AP8"/>
    <mergeCell ref="AQ7:AR7"/>
    <mergeCell ref="B32:AI32"/>
    <mergeCell ref="B6:B8"/>
    <mergeCell ref="J7:K7"/>
    <mergeCell ref="L7:L8"/>
    <mergeCell ref="M7:N7"/>
    <mergeCell ref="O6:Q6"/>
    <mergeCell ref="R6:T6"/>
    <mergeCell ref="O7:O8"/>
    <mergeCell ref="P7:Q7"/>
    <mergeCell ref="R7:R8"/>
    <mergeCell ref="S7:T7"/>
    <mergeCell ref="U6:W6"/>
    <mergeCell ref="U7:U8"/>
    <mergeCell ref="G7:H7"/>
    <mergeCell ref="I7:I8"/>
    <mergeCell ref="V7:W7"/>
    <mergeCell ref="AG6:AI6"/>
    <mergeCell ref="AG7:AG8"/>
    <mergeCell ref="AH7:AI7"/>
    <mergeCell ref="X7:X8"/>
    <mergeCell ref="Y7:Z7"/>
    <mergeCell ref="A6:A8"/>
    <mergeCell ref="C7:C8"/>
    <mergeCell ref="AD6:AF6"/>
    <mergeCell ref="AD7:AD8"/>
    <mergeCell ref="AE7:AF7"/>
    <mergeCell ref="AB7:AC7"/>
    <mergeCell ref="D7:E7"/>
    <mergeCell ref="AA7:AA8"/>
    <mergeCell ref="C6:E6"/>
    <mergeCell ref="AA6:AC6"/>
    <mergeCell ref="F6:H6"/>
    <mergeCell ref="I6:K6"/>
    <mergeCell ref="L6:N6"/>
    <mergeCell ref="F7:F8"/>
    <mergeCell ref="X6:Z6"/>
  </mergeCells>
  <pageMargins left="0.62992125984251968" right="0.23622047244094491" top="0.78740157480314965" bottom="0.39370078740157483" header="0.19685039370078741" footer="0.19685039370078741"/>
  <pageSetup paperSize="9" scale="55" orientation="landscape" r:id="rId1"/>
  <headerFooter alignWithMargins="0"/>
  <colBreaks count="1" manualBreakCount="1">
    <brk id="26" max="25" man="1"/>
  </colBreaks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</sheetPr>
  <dimension ref="A1:O57"/>
  <sheetViews>
    <sheetView view="pageBreakPreview" zoomScale="85" zoomScaleNormal="100" zoomScaleSheetLayoutView="85" workbookViewId="0">
      <pane xSplit="3" ySplit="3" topLeftCell="D22" activePane="bottomRight" state="frozen"/>
      <selection activeCell="E37" sqref="E37"/>
      <selection pane="topRight" activeCell="E37" sqref="E37"/>
      <selection pane="bottomLeft" activeCell="E37" sqref="E37"/>
      <selection pane="bottomRight" activeCell="E37" sqref="E37"/>
    </sheetView>
  </sheetViews>
  <sheetFormatPr defaultRowHeight="15.75"/>
  <cols>
    <col min="1" max="1" width="8.140625" style="1143" bestFit="1" customWidth="1"/>
    <col min="2" max="2" width="38.140625" style="1143" customWidth="1"/>
    <col min="3" max="3" width="12.140625" style="1143" bestFit="1" customWidth="1"/>
    <col min="4" max="4" width="14" style="1143" customWidth="1"/>
    <col min="5" max="5" width="13" style="1143" bestFit="1" customWidth="1"/>
    <col min="6" max="6" width="13" style="1143" customWidth="1"/>
    <col min="7" max="7" width="13" style="1143" hidden="1" customWidth="1"/>
    <col min="8" max="8" width="14.42578125" style="1143" customWidth="1"/>
    <col min="9" max="9" width="13" style="1143" hidden="1" customWidth="1"/>
    <col min="10" max="10" width="13" style="1143" customWidth="1"/>
    <col min="11" max="11" width="10.7109375" style="1143" customWidth="1"/>
    <col min="12" max="12" width="16.5703125" style="1143" bestFit="1" customWidth="1"/>
    <col min="13" max="14" width="9.140625" style="1143"/>
    <col min="15" max="15" width="12.7109375" style="1143" bestFit="1" customWidth="1"/>
    <col min="16" max="16384" width="9.140625" style="1143"/>
  </cols>
  <sheetData>
    <row r="1" spans="1:15">
      <c r="A1" s="1969" t="s">
        <v>1605</v>
      </c>
      <c r="B1" s="1969"/>
      <c r="C1" s="1969"/>
      <c r="D1" s="1969"/>
      <c r="E1" s="1969"/>
      <c r="F1" s="1969"/>
      <c r="G1" s="1969"/>
      <c r="H1" s="1969"/>
      <c r="I1" s="1969"/>
    </row>
    <row r="2" spans="1:15">
      <c r="A2" s="1144" t="s">
        <v>1606</v>
      </c>
      <c r="B2" s="1144" t="s">
        <v>1607</v>
      </c>
      <c r="C2" s="1144" t="s">
        <v>1608</v>
      </c>
      <c r="D2" s="1145" t="s">
        <v>1711</v>
      </c>
      <c r="E2" s="1146">
        <v>2016</v>
      </c>
      <c r="F2" s="1146">
        <v>2017</v>
      </c>
      <c r="G2" s="1146">
        <v>2017</v>
      </c>
      <c r="H2" s="1146">
        <v>2018</v>
      </c>
      <c r="I2" s="1147">
        <v>2017</v>
      </c>
      <c r="J2" s="1148"/>
    </row>
    <row r="3" spans="1:15" ht="16.5" thickBot="1">
      <c r="A3" s="1149">
        <v>1</v>
      </c>
      <c r="B3" s="1149">
        <v>2</v>
      </c>
      <c r="C3" s="1149">
        <v>3</v>
      </c>
      <c r="D3" s="1150">
        <v>4</v>
      </c>
      <c r="E3" s="1150">
        <v>5</v>
      </c>
      <c r="F3" s="1150">
        <v>6</v>
      </c>
      <c r="G3" s="1150">
        <v>6</v>
      </c>
      <c r="H3" s="1150">
        <v>7</v>
      </c>
      <c r="I3" s="1150">
        <v>7</v>
      </c>
      <c r="J3" s="1148"/>
    </row>
    <row r="4" spans="1:15" ht="16.5" thickTop="1">
      <c r="A4" s="1151">
        <v>1</v>
      </c>
      <c r="B4" s="1152" t="s">
        <v>1609</v>
      </c>
      <c r="C4" s="1153" t="s">
        <v>1610</v>
      </c>
      <c r="D4" s="1154">
        <f>D5+D6</f>
        <v>563236</v>
      </c>
      <c r="E4" s="1154">
        <f>E5+E6</f>
        <v>486148</v>
      </c>
      <c r="F4" s="1154">
        <f t="shared" ref="F4:H4" si="0">F5+F6</f>
        <v>486148</v>
      </c>
      <c r="G4" s="1154">
        <f t="shared" si="0"/>
        <v>0</v>
      </c>
      <c r="H4" s="1154" t="e">
        <f t="shared" si="0"/>
        <v>#REF!</v>
      </c>
      <c r="I4" s="1154">
        <f>I5+I6</f>
        <v>0</v>
      </c>
      <c r="J4" s="1155"/>
      <c r="O4" s="1156"/>
    </row>
    <row r="5" spans="1:15">
      <c r="A5" s="1157" t="s">
        <v>1611</v>
      </c>
      <c r="B5" s="1144" t="s">
        <v>1672</v>
      </c>
      <c r="C5" s="1144" t="s">
        <v>1610</v>
      </c>
      <c r="D5" s="1158">
        <f>('4.1_котельные'!AU14+'4.1_котельные'!AU15)*1000</f>
        <v>563236</v>
      </c>
      <c r="E5" s="1158">
        <f>('4.1_котельные'!CM14+'4.1_котельные'!CM15)*1000</f>
        <v>486148</v>
      </c>
      <c r="F5" s="1158">
        <f>'4.1_котельные'!DT10*1000</f>
        <v>486148</v>
      </c>
      <c r="G5" s="1158"/>
      <c r="H5" s="1158" t="e">
        <f>'4.1_котельные'!#REF!*1000</f>
        <v>#REF!</v>
      </c>
      <c r="I5" s="1158"/>
      <c r="J5" s="1160"/>
      <c r="O5" s="1156"/>
    </row>
    <row r="6" spans="1:15" ht="16.5" thickBot="1">
      <c r="A6" s="1161" t="s">
        <v>1612</v>
      </c>
      <c r="B6" s="1162" t="s">
        <v>1613</v>
      </c>
      <c r="C6" s="1162" t="s">
        <v>1610</v>
      </c>
      <c r="D6" s="1163">
        <f>'4.1_котельные'!AU16*1000</f>
        <v>0</v>
      </c>
      <c r="E6" s="1163">
        <f>'4.1_котельные'!CM16*1000</f>
        <v>0</v>
      </c>
      <c r="F6" s="1163"/>
      <c r="G6" s="1163"/>
      <c r="H6" s="1163"/>
      <c r="I6" s="1163"/>
      <c r="J6" s="1160"/>
      <c r="O6" s="1156"/>
    </row>
    <row r="7" spans="1:15" ht="16.5" thickTop="1">
      <c r="A7" s="1164">
        <f>A4+1</f>
        <v>2</v>
      </c>
      <c r="B7" s="1165" t="s">
        <v>1614</v>
      </c>
      <c r="C7" s="1165" t="s">
        <v>1615</v>
      </c>
      <c r="D7" s="1374">
        <f>'4.6_котельные'!G10</f>
        <v>1249077.8021018123</v>
      </c>
      <c r="E7" s="1166">
        <f>'4.6_котельные'!K10</f>
        <v>1215556.9890000001</v>
      </c>
      <c r="F7" s="1166">
        <v>1427673.3002500001</v>
      </c>
      <c r="G7" s="1166"/>
      <c r="H7" s="1166">
        <v>1536377.0518299998</v>
      </c>
      <c r="I7" s="1166" t="e">
        <f>ROUND(I42/I43*I5*I44/1000/1000,0)+ROUND(I45/I46*#REF!*I47/1000/1000,0)</f>
        <v>#DIV/0!</v>
      </c>
      <c r="J7" s="1167" t="s">
        <v>1616</v>
      </c>
      <c r="O7" s="1156"/>
    </row>
    <row r="8" spans="1:15">
      <c r="A8" s="1146">
        <f>A7+1</f>
        <v>3</v>
      </c>
      <c r="B8" s="1168" t="s">
        <v>1617</v>
      </c>
      <c r="C8" s="1168" t="s">
        <v>1615</v>
      </c>
      <c r="D8" s="1376">
        <f>ROUND(D48*D6/1000,0)</f>
        <v>0</v>
      </c>
      <c r="E8" s="1158">
        <f>ROUND(E48*E6/1000,0)</f>
        <v>0</v>
      </c>
      <c r="F8" s="1158"/>
      <c r="G8" s="1158">
        <f>ROUND(G48*G6/1000,0)</f>
        <v>0</v>
      </c>
      <c r="H8" s="1158"/>
      <c r="I8" s="1158">
        <f>ROUND(I48*I6/1000,0)</f>
        <v>0</v>
      </c>
      <c r="J8" s="1167" t="s">
        <v>1616</v>
      </c>
      <c r="O8" s="1156"/>
    </row>
    <row r="9" spans="1:15">
      <c r="A9" s="1146">
        <f t="shared" ref="A9:A18" si="1">A8+1</f>
        <v>4</v>
      </c>
      <c r="B9" s="1144" t="s">
        <v>1618</v>
      </c>
      <c r="C9" s="1144" t="s">
        <v>1615</v>
      </c>
      <c r="D9" s="1376">
        <f>ROUND(D51*D52,0)</f>
        <v>0</v>
      </c>
      <c r="E9" s="1158">
        <f t="shared" ref="E9:I9" si="2">ROUND(E51*E52,0)</f>
        <v>0</v>
      </c>
      <c r="F9" s="1158"/>
      <c r="G9" s="1158">
        <f t="shared" si="2"/>
        <v>0</v>
      </c>
      <c r="H9" s="1158"/>
      <c r="I9" s="1158">
        <f t="shared" si="2"/>
        <v>0</v>
      </c>
      <c r="J9" s="1167" t="s">
        <v>1616</v>
      </c>
      <c r="O9" s="1156"/>
    </row>
    <row r="10" spans="1:15">
      <c r="A10" s="1146">
        <f t="shared" si="1"/>
        <v>5</v>
      </c>
      <c r="B10" s="1168" t="s">
        <v>1619</v>
      </c>
      <c r="C10" s="1168" t="s">
        <v>1615</v>
      </c>
      <c r="D10" s="1375"/>
      <c r="E10" s="1169">
        <f>'4.6_котельные'!K12-'4.6_котельные'!K94-'4.6_котельные'!K95</f>
        <v>-41546.988313192203</v>
      </c>
      <c r="F10" s="1227">
        <v>100544</v>
      </c>
      <c r="G10" s="1227"/>
      <c r="H10" s="1227">
        <v>104952</v>
      </c>
      <c r="I10" s="1169">
        <f t="shared" ref="I10" si="3">ROUND(I54*I53,0)</f>
        <v>0</v>
      </c>
      <c r="J10" s="1167" t="s">
        <v>1616</v>
      </c>
      <c r="O10" s="1156"/>
    </row>
    <row r="11" spans="1:15">
      <c r="A11" s="1146">
        <f t="shared" si="1"/>
        <v>6</v>
      </c>
      <c r="B11" s="1168" t="s">
        <v>1620</v>
      </c>
      <c r="C11" s="1168" t="s">
        <v>1615</v>
      </c>
      <c r="D11" s="1375"/>
      <c r="E11" s="1169">
        <f>'4.6_котельные'!K11</f>
        <v>155650.99657199997</v>
      </c>
      <c r="F11" s="1453">
        <f>('4. 7_котельн.'!AK211*'4. 7_котельн.'!AL211*1.043)+('4. 7_котельн.'!AK212*'4. 7_котельн.'!AL212*1.043)+('4. 7_котельн.'!AK213*'4. 7_котельн.'!AL213*1.043)+('4. 7_котельн.'!AK219*'4. 7_котельн.'!AL219*1.043)</f>
        <v>162343.98942459596</v>
      </c>
      <c r="G11" s="1453"/>
      <c r="H11" s="1453">
        <f>('4. 7_котельн.'!AK211*'4. 7_котельн.'!AL211*1.043*1.045)+('4. 7_котельн.'!AK212*'4. 7_котельн.'!AL212*1.043*1.045)+('4. 7_котельн.'!AK213*'4. 7_котельн.'!AL213*1.043*1.045)+('4. 7_котельн.'!AK219*'4. 7_котельн.'!AL219*1.043*1.045)</f>
        <v>169649.46894870279</v>
      </c>
      <c r="I11" s="1169">
        <f>ROUND(I49*I50,0)</f>
        <v>0</v>
      </c>
      <c r="J11" s="1167" t="s">
        <v>1616</v>
      </c>
      <c r="O11" s="1156"/>
    </row>
    <row r="12" spans="1:15">
      <c r="A12" s="1146">
        <f t="shared" si="1"/>
        <v>7</v>
      </c>
      <c r="B12" s="1168" t="s">
        <v>1621</v>
      </c>
      <c r="C12" s="1168" t="s">
        <v>1615</v>
      </c>
      <c r="D12" s="1376">
        <f>'4.9_свод ККЭ'!F55</f>
        <v>697995.3800950282</v>
      </c>
      <c r="E12" s="1158">
        <f>'4.6_котельные'!K15</f>
        <v>1015323.36973</v>
      </c>
      <c r="F12" s="1159">
        <f>('5.1_пр-во котельные'!E11*'5.2_пр-во котельные'!H17)+('5.1_передача котельные'!E11*'5.2_передача КТЭЦ'!H17)</f>
        <v>1001303.9919110835</v>
      </c>
      <c r="G12" s="1159"/>
      <c r="H12" s="1159">
        <f>('5.1_пр-во котельные'!E11*'5.2_пр-во котельные'!H17*'5.2_пр-во котельные'!I17)+('5.1_передача котельные'!E11*'5.2_передача КТЭЦ'!H17*'5.2_передача котельные'!I17)</f>
        <v>1050508.2436872297</v>
      </c>
      <c r="I12" s="1147"/>
      <c r="J12" s="1171" t="s">
        <v>1622</v>
      </c>
      <c r="L12" s="1156"/>
    </row>
    <row r="13" spans="1:15">
      <c r="A13" s="1146">
        <f t="shared" si="1"/>
        <v>8</v>
      </c>
      <c r="B13" s="1168" t="s">
        <v>1623</v>
      </c>
      <c r="C13" s="1168" t="s">
        <v>1615</v>
      </c>
      <c r="D13" s="1375">
        <f>'4.6_котельные'!G9+'4.6_котельные'!G22</f>
        <v>23385</v>
      </c>
      <c r="E13" s="1169">
        <f>'4.6_котельные'!K9+'4.6_котельные'!K22</f>
        <v>47565</v>
      </c>
      <c r="F13" s="1172">
        <f>('5.1_пр-во котельные'!E10*'5.2_пр-во котельные'!H17)+('5.1_передача котельные'!E10*'5.2_передача котельные'!H17)</f>
        <v>43250.220480134762</v>
      </c>
      <c r="G13" s="1172"/>
      <c r="H13" s="1172">
        <f>('5.1_пр-во котельные'!E10*'5.2_пр-во котельные'!H17*'5.2_пр-во котельные'!I17)+('5.1_передача котельные'!E10*'5.2_передача котельные'!H17*'5.2_передача котельные'!I17)</f>
        <v>45647.164702568291</v>
      </c>
      <c r="I13" s="1144"/>
      <c r="J13" s="1171" t="s">
        <v>1622</v>
      </c>
      <c r="K13" s="1143" t="s">
        <v>1624</v>
      </c>
      <c r="L13" s="1156"/>
    </row>
    <row r="14" spans="1:15">
      <c r="A14" s="1146">
        <f t="shared" si="1"/>
        <v>9</v>
      </c>
      <c r="B14" s="1168" t="s">
        <v>1625</v>
      </c>
      <c r="C14" s="1168" t="s">
        <v>1615</v>
      </c>
      <c r="D14" s="1375">
        <f>'4.6_котельные'!G8-'4.6_котельные'!G9</f>
        <v>25115.291860629579</v>
      </c>
      <c r="E14" s="1169">
        <f>'4.6_котельные'!K8-'4.6_котельные'!K9</f>
        <v>9380.4792999999991</v>
      </c>
      <c r="F14" s="1170">
        <f>('5.1_пр-во котельные'!E9*'5.2_пр-во котельные'!H17)+('5.1_передача котельные'!E9*'5.2_передача котельные'!H17)</f>
        <v>4154.1143000078346</v>
      </c>
      <c r="G14" s="1159"/>
      <c r="H14" s="1170">
        <f>('5.1_пр-во котельные'!E9*'5.2_пр-во котельные'!H17*'5.2_пр-во котельные'!I17)+('5.1_передача котельные'!E9*'5.2_передача котельные'!H17*'5.2_передача котельные'!I17)</f>
        <v>4454.1127250592399</v>
      </c>
      <c r="I14" s="1147"/>
      <c r="J14" s="1171" t="s">
        <v>1622</v>
      </c>
      <c r="K14" s="1143" t="s">
        <v>1624</v>
      </c>
      <c r="L14" s="1173"/>
    </row>
    <row r="15" spans="1:15">
      <c r="A15" s="1146">
        <f t="shared" si="1"/>
        <v>10</v>
      </c>
      <c r="B15" s="1168" t="s">
        <v>1626</v>
      </c>
      <c r="C15" s="1168" t="s">
        <v>1615</v>
      </c>
      <c r="D15" s="1375">
        <f>'4.6_котельные'!G24</f>
        <v>21766.744730728344</v>
      </c>
      <c r="E15" s="1169">
        <f>'4.6_котельные'!K24</f>
        <v>35598.907080000004</v>
      </c>
      <c r="F15" s="1170">
        <f>('5.1_пр-во котельные'!E12*'5.2_пр-во котельные'!H17)+('5.1_передача котельные'!E12*'5.2_передача котельные'!H17)</f>
        <v>37746.002226304547</v>
      </c>
      <c r="G15" s="1159"/>
      <c r="H15" s="1170">
        <f>('5.1_пр-во котельные'!E12*'5.2_пр-во котельные'!H17*'5.2_пр-во котельные'!I17)+('5.1_передача котельные'!E12*'5.2_передача котельные'!H17*'5.2_передача котельные'!I17)</f>
        <v>39543.21740270489</v>
      </c>
      <c r="I15" s="1144"/>
      <c r="J15" s="1171" t="s">
        <v>1622</v>
      </c>
      <c r="K15" s="1143" t="s">
        <v>1624</v>
      </c>
      <c r="L15" s="1156"/>
    </row>
    <row r="16" spans="1:15">
      <c r="A16" s="1146">
        <f t="shared" si="1"/>
        <v>11</v>
      </c>
      <c r="B16" s="1168" t="s">
        <v>1627</v>
      </c>
      <c r="C16" s="1168" t="s">
        <v>1615</v>
      </c>
      <c r="D16" s="1376">
        <f>'4.6_котельные'!G20</f>
        <v>225637.55206086891</v>
      </c>
      <c r="E16" s="1158">
        <f>'4.6_котельные'!K20</f>
        <v>305625</v>
      </c>
      <c r="F16" s="1158">
        <f>211575+78313+10749</f>
        <v>300637</v>
      </c>
      <c r="G16" s="1180"/>
      <c r="H16" s="1158">
        <f>221562+83334+11386</f>
        <v>316282</v>
      </c>
      <c r="I16" s="1144"/>
      <c r="J16" s="1175" t="s">
        <v>1628</v>
      </c>
      <c r="K16" s="1143" t="s">
        <v>1716</v>
      </c>
      <c r="L16" s="1156"/>
    </row>
    <row r="17" spans="1:14">
      <c r="A17" s="1146">
        <f t="shared" si="1"/>
        <v>12</v>
      </c>
      <c r="B17" s="1168" t="s">
        <v>1564</v>
      </c>
      <c r="C17" s="1168" t="s">
        <v>1615</v>
      </c>
      <c r="D17" s="1375">
        <f>'4.6_котельные'!G14</f>
        <v>4176.2336823196965</v>
      </c>
      <c r="E17" s="1169">
        <f>'4.6_котельные'!K14</f>
        <v>15472</v>
      </c>
      <c r="F17" s="1227">
        <f>3143+1106+520</f>
        <v>4769</v>
      </c>
      <c r="G17" s="1452"/>
      <c r="H17" s="1452">
        <f>3151+1108+586</f>
        <v>4845</v>
      </c>
      <c r="I17" s="1144"/>
      <c r="J17" s="1175" t="s">
        <v>1628</v>
      </c>
      <c r="L17" s="1156"/>
    </row>
    <row r="18" spans="1:14">
      <c r="A18" s="1146">
        <f t="shared" si="1"/>
        <v>13</v>
      </c>
      <c r="B18" s="1168" t="s">
        <v>1629</v>
      </c>
      <c r="C18" s="1168" t="s">
        <v>1615</v>
      </c>
      <c r="D18" s="1375">
        <f>'4.6_котельные'!G57</f>
        <v>96275.704684544209</v>
      </c>
      <c r="E18" s="1169">
        <f>'4.6_котельные'!K57</f>
        <v>88756</v>
      </c>
      <c r="F18" s="1453">
        <f>E18*1.043</f>
        <v>92572.507999999987</v>
      </c>
      <c r="G18" s="1454"/>
      <c r="H18" s="1453">
        <f>F18*1.045</f>
        <v>96738.270859999975</v>
      </c>
      <c r="I18" s="1144"/>
      <c r="J18" s="1175" t="s">
        <v>1628</v>
      </c>
      <c r="K18" s="1143" t="s">
        <v>1624</v>
      </c>
      <c r="L18" s="1156"/>
    </row>
    <row r="19" spans="1:14">
      <c r="A19" s="1146">
        <v>14</v>
      </c>
      <c r="B19" s="1168" t="s">
        <v>1630</v>
      </c>
      <c r="C19" s="1168" t="s">
        <v>1615</v>
      </c>
      <c r="D19" s="1375">
        <f>SUM(D20:D26)</f>
        <v>19978.275713138017</v>
      </c>
      <c r="E19" s="1169">
        <f>SUM(E20:E26)</f>
        <v>43430.903559999999</v>
      </c>
      <c r="F19" s="1169">
        <f>SUM(F20:F26)</f>
        <v>44822.941288559479</v>
      </c>
      <c r="G19" s="1169">
        <f>SUM(G20:G26)</f>
        <v>0</v>
      </c>
      <c r="H19" s="1169">
        <f>SUM(H20:H26)</f>
        <v>46823.956027334432</v>
      </c>
      <c r="I19" s="1144"/>
      <c r="J19" s="1176"/>
      <c r="L19" s="1156"/>
    </row>
    <row r="20" spans="1:14" ht="63">
      <c r="A20" s="1157" t="s">
        <v>1631</v>
      </c>
      <c r="B20" s="1206" t="s">
        <v>1673</v>
      </c>
      <c r="C20" s="1168" t="s">
        <v>1615</v>
      </c>
      <c r="D20" s="1375">
        <f>'4.6_котельные'!G23</f>
        <v>0</v>
      </c>
      <c r="E20" s="1169">
        <f>'4.6_котельные'!K23</f>
        <v>2975</v>
      </c>
      <c r="F20" s="1169">
        <v>0</v>
      </c>
      <c r="G20" s="1180"/>
      <c r="H20" s="1180">
        <v>0</v>
      </c>
      <c r="I20" s="1144"/>
      <c r="J20" s="1177" t="s">
        <v>1628</v>
      </c>
      <c r="L20" s="1156"/>
    </row>
    <row r="21" spans="1:14">
      <c r="A21" s="1157" t="s">
        <v>1632</v>
      </c>
      <c r="B21" s="1168" t="s">
        <v>1633</v>
      </c>
      <c r="C21" s="1168" t="s">
        <v>1615</v>
      </c>
      <c r="D21" s="1375">
        <f>'4.6_котельные'!G56</f>
        <v>224.18788819875778</v>
      </c>
      <c r="E21" s="1169">
        <f>'4.6_котельные'!K56</f>
        <v>593.9</v>
      </c>
      <c r="F21" s="1169">
        <v>603.52</v>
      </c>
      <c r="G21" s="1180"/>
      <c r="H21" s="1180">
        <v>603.52</v>
      </c>
      <c r="I21" s="1144"/>
      <c r="J21" s="1175" t="s">
        <v>1628</v>
      </c>
      <c r="L21" s="1178"/>
    </row>
    <row r="22" spans="1:14">
      <c r="A22" s="1157" t="s">
        <v>1634</v>
      </c>
      <c r="B22" s="1168" t="s">
        <v>1635</v>
      </c>
      <c r="C22" s="1168" t="s">
        <v>1615</v>
      </c>
      <c r="D22" s="1375">
        <f>'4.6_котельные'!G60</f>
        <v>488.31235340109447</v>
      </c>
      <c r="E22" s="1169">
        <f>'4.6_котельные'!K60</f>
        <v>2440.5</v>
      </c>
      <c r="F22" s="1453">
        <f>E22*1.043</f>
        <v>2545.4414999999999</v>
      </c>
      <c r="G22" s="1454"/>
      <c r="H22" s="1453">
        <f>F22*1.045</f>
        <v>2659.9863674999997</v>
      </c>
      <c r="I22" s="1144"/>
      <c r="J22" s="1175" t="s">
        <v>1628</v>
      </c>
      <c r="K22" s="1143" t="s">
        <v>1624</v>
      </c>
      <c r="L22" s="1156"/>
    </row>
    <row r="23" spans="1:14">
      <c r="A23" s="1157" t="s">
        <v>1636</v>
      </c>
      <c r="B23" s="1168" t="s">
        <v>1637</v>
      </c>
      <c r="C23" s="1168" t="s">
        <v>1615</v>
      </c>
      <c r="D23" s="1375">
        <f>'4.6_котельные'!G61</f>
        <v>1320.5490167654852</v>
      </c>
      <c r="E23" s="1169">
        <f>'4.6_котельные'!K61</f>
        <v>1332</v>
      </c>
      <c r="F23" s="1227">
        <f>24+252+281+580+80</f>
        <v>1217</v>
      </c>
      <c r="G23" s="1452"/>
      <c r="H23" s="1227">
        <f>41+252+293+647+87</f>
        <v>1320</v>
      </c>
      <c r="I23" s="1144"/>
      <c r="J23" s="1175" t="s">
        <v>1628</v>
      </c>
      <c r="L23" s="1156"/>
    </row>
    <row r="24" spans="1:14">
      <c r="A24" s="1157" t="s">
        <v>1674</v>
      </c>
      <c r="B24" s="1168" t="s">
        <v>1638</v>
      </c>
      <c r="C24" s="1168" t="s">
        <v>1615</v>
      </c>
      <c r="D24" s="1375">
        <f>'4.6_котельные'!G58</f>
        <v>1242.397284153707</v>
      </c>
      <c r="E24" s="1169">
        <f>'4.6_котельные'!K58</f>
        <v>2015.2519199999999</v>
      </c>
      <c r="F24" s="1170">
        <f>('5.1_пр-во котельные'!E20*'5.2_пр-во котельные'!H17)+('5.1_передача котельные'!E20*'5.2_передача котельные'!H17)</f>
        <v>2132.300035754115</v>
      </c>
      <c r="G24" s="1174"/>
      <c r="H24" s="1170">
        <f>('5.1_пр-во котельные'!E20*'5.2_пр-во котельные'!H17*'5.2_пр-во котельные'!I17)+('5.1_передача котельные'!E20*'5.2_передача котельные'!H17*'5.2_передача котельные'!I17)</f>
        <v>2237.1857708666212</v>
      </c>
      <c r="I24" s="1144"/>
      <c r="J24" s="1171" t="s">
        <v>1622</v>
      </c>
      <c r="K24" s="1143" t="s">
        <v>1624</v>
      </c>
      <c r="L24" s="1156"/>
    </row>
    <row r="25" spans="1:14">
      <c r="A25" s="1157" t="s">
        <v>1675</v>
      </c>
      <c r="B25" s="1168" t="s">
        <v>1639</v>
      </c>
      <c r="C25" s="1168" t="s">
        <v>1615</v>
      </c>
      <c r="D25" s="1375">
        <f>'4.6_котельные'!G59</f>
        <v>506.9663799843629</v>
      </c>
      <c r="E25" s="1169">
        <f>'4.6_котельные'!K59</f>
        <v>1174.6825200000001</v>
      </c>
      <c r="F25" s="1170">
        <f>('5.1_пр-во котельные'!E21*'5.2_пр-во котельные'!H17)+('5.1_передача котельные'!E21*'5.2_передача котельные'!H17)</f>
        <v>1241.8084674781971</v>
      </c>
      <c r="G25" s="1174"/>
      <c r="H25" s="1170">
        <f>('5.1_пр-во котельные'!E21*'5.2_пр-во котельные'!H17*'5.2_пр-во котельные'!I17)+('5.1_передача котельные'!E21*'5.2_передача котельные'!H17*'5.2_передача котельные'!I17)</f>
        <v>1303.7157185924568</v>
      </c>
      <c r="I25" s="1144"/>
      <c r="J25" s="1171" t="s">
        <v>1622</v>
      </c>
      <c r="K25" s="1143" t="s">
        <v>1624</v>
      </c>
      <c r="L25" s="1156"/>
    </row>
    <row r="26" spans="1:14">
      <c r="A26" s="1157" t="s">
        <v>1676</v>
      </c>
      <c r="B26" s="1168" t="s">
        <v>1259</v>
      </c>
      <c r="C26" s="1168" t="s">
        <v>1615</v>
      </c>
      <c r="D26" s="1375">
        <f>'4.6_котельные'!G25</f>
        <v>16195.862790634608</v>
      </c>
      <c r="E26" s="1169">
        <f>'4.6_котельные'!K25</f>
        <v>32899.56912</v>
      </c>
      <c r="F26" s="1170">
        <f>('4.6_генерация_котельн.'!K25*'5.2_пр-во котельные'!H17)+('4.6_транзит+сбыт_котельн.'!K25*'5.2_передача котельные'!H17)</f>
        <v>37082.871285327165</v>
      </c>
      <c r="G26" s="1174"/>
      <c r="H26" s="1170">
        <f>('4.6_генерация_котельн.'!K25*'5.2_пр-во котельные'!H17*'5.2_пр-во котельные'!I17)+('4.6_транзит+сбыт_котельн.'!K25*'5.2_передача котельные'!H17*'5.2_передача котельные'!I17)</f>
        <v>38699.548170375354</v>
      </c>
      <c r="I26" s="1144"/>
      <c r="J26" s="1171" t="s">
        <v>1622</v>
      </c>
      <c r="K26" s="1143" t="s">
        <v>1624</v>
      </c>
      <c r="L26" s="1156"/>
    </row>
    <row r="27" spans="1:14">
      <c r="A27" s="1229">
        <v>18</v>
      </c>
      <c r="B27" s="1230" t="s">
        <v>1468</v>
      </c>
      <c r="C27" s="1230" t="s">
        <v>1615</v>
      </c>
      <c r="D27" s="1377">
        <f>SUM(D28:D35)</f>
        <v>12545.985145741915</v>
      </c>
      <c r="E27" s="1231">
        <f>SUM(E28:E35)</f>
        <v>216001.21856000001</v>
      </c>
      <c r="F27" s="1231">
        <f>SUM(F28:F35)</f>
        <v>435504.39462786261</v>
      </c>
      <c r="G27" s="1231">
        <f t="shared" ref="G27" si="4">SUM(G28:G35)</f>
        <v>0</v>
      </c>
      <c r="H27" s="1231" t="e">
        <f>SUM(H28:H35)</f>
        <v>#REF!</v>
      </c>
      <c r="I27" s="1158"/>
      <c r="J27" s="1179"/>
    </row>
    <row r="28" spans="1:14">
      <c r="A28" s="1157" t="s">
        <v>1640</v>
      </c>
      <c r="B28" s="1168" t="s">
        <v>1641</v>
      </c>
      <c r="C28" s="1168" t="s">
        <v>1615</v>
      </c>
      <c r="D28" s="1375">
        <f>'4.6_котельные'!G80</f>
        <v>8747.7331159253608</v>
      </c>
      <c r="E28" s="1169">
        <f>'4.6_котельные'!K80</f>
        <v>9029.94</v>
      </c>
      <c r="F28" s="1169">
        <f>E28*1.043</f>
        <v>9418.2274199999993</v>
      </c>
      <c r="G28" s="1180"/>
      <c r="H28" s="1180">
        <f>F28*1.045</f>
        <v>9842.0476538999992</v>
      </c>
      <c r="I28" s="1180"/>
      <c r="J28" s="1175" t="s">
        <v>1565</v>
      </c>
    </row>
    <row r="29" spans="1:14">
      <c r="A29" s="1157" t="s">
        <v>1642</v>
      </c>
      <c r="B29" s="1271" t="s">
        <v>1643</v>
      </c>
      <c r="C29" s="1271" t="s">
        <v>1615</v>
      </c>
      <c r="D29" s="1375">
        <f>'4.6_котельные'!G79</f>
        <v>0</v>
      </c>
      <c r="E29" s="1227">
        <f>'4.6_котельные'!K79</f>
        <v>0</v>
      </c>
      <c r="F29" s="1227">
        <v>234500</v>
      </c>
      <c r="G29" s="1228"/>
      <c r="H29" s="1227">
        <v>248000</v>
      </c>
      <c r="I29" s="1147"/>
      <c r="J29" s="1175" t="s">
        <v>1565</v>
      </c>
      <c r="L29" s="1156"/>
      <c r="M29" s="1156"/>
      <c r="N29" s="1156"/>
    </row>
    <row r="30" spans="1:14">
      <c r="A30" s="1157" t="s">
        <v>1644</v>
      </c>
      <c r="B30" s="1168" t="s">
        <v>1645</v>
      </c>
      <c r="C30" s="1168" t="s">
        <v>1615</v>
      </c>
      <c r="D30" s="1375">
        <f>'4.6_котельные'!G69</f>
        <v>0</v>
      </c>
      <c r="E30" s="1169">
        <f>'4.6_котельные'!K69</f>
        <v>25020</v>
      </c>
      <c r="F30" s="1453">
        <v>30545</v>
      </c>
      <c r="G30" s="1455"/>
      <c r="H30" s="1456">
        <v>35127</v>
      </c>
      <c r="I30" s="1147"/>
      <c r="J30" s="1175" t="s">
        <v>1628</v>
      </c>
      <c r="L30" s="1156"/>
      <c r="M30" s="1156"/>
      <c r="N30" s="1156"/>
    </row>
    <row r="31" spans="1:14">
      <c r="A31" s="1157" t="s">
        <v>1646</v>
      </c>
      <c r="B31" s="1168" t="s">
        <v>1647</v>
      </c>
      <c r="C31" s="1168" t="s">
        <v>1615</v>
      </c>
      <c r="D31" s="1375">
        <f>'4.6_котельные'!G72</f>
        <v>1372.4774950829456</v>
      </c>
      <c r="E31" s="1169">
        <f>'4.6_котельные'!K72</f>
        <v>1303.6755600000001</v>
      </c>
      <c r="F31" s="1170">
        <f>E31*'5.2_передача котельные'!H17</f>
        <v>1429.2913838625961</v>
      </c>
      <c r="G31" s="1237"/>
      <c r="H31" s="1159">
        <f>F31*'5.2_передача котельные'!I17</f>
        <v>1521.4268855402979</v>
      </c>
      <c r="I31" s="1147"/>
      <c r="J31" s="1175" t="s">
        <v>1622</v>
      </c>
      <c r="K31" s="1181" t="s">
        <v>1624</v>
      </c>
      <c r="L31" s="1181"/>
      <c r="M31" s="1156"/>
      <c r="N31" s="1156"/>
    </row>
    <row r="32" spans="1:14" ht="31.5">
      <c r="A32" s="1157" t="s">
        <v>1648</v>
      </c>
      <c r="B32" s="1168" t="s">
        <v>1649</v>
      </c>
      <c r="C32" s="1168" t="s">
        <v>1615</v>
      </c>
      <c r="D32" s="1375">
        <f>'4.6_котельные'!G73</f>
        <v>0</v>
      </c>
      <c r="E32" s="1169">
        <f>'4.6_котельные'!K73</f>
        <v>63140</v>
      </c>
      <c r="F32" s="1169">
        <v>0</v>
      </c>
      <c r="G32" s="1147"/>
      <c r="H32" s="1169">
        <v>0</v>
      </c>
      <c r="I32" s="1147"/>
      <c r="J32" s="1177" t="s">
        <v>1628</v>
      </c>
      <c r="L32" s="1156"/>
      <c r="M32" s="1156"/>
      <c r="N32" s="1156"/>
    </row>
    <row r="33" spans="1:14">
      <c r="A33" s="1157" t="s">
        <v>1650</v>
      </c>
      <c r="B33" s="1168" t="s">
        <v>1651</v>
      </c>
      <c r="C33" s="1168" t="s">
        <v>1615</v>
      </c>
      <c r="D33" s="1375">
        <f>'4.6_котельные'!G82+'4.6_котельные'!G74</f>
        <v>238.84125575226903</v>
      </c>
      <c r="E33" s="1169">
        <f>'4.6_котельные'!K82+'4.6_котельные'!K74</f>
        <v>87244.368000000002</v>
      </c>
      <c r="F33" s="1169">
        <f>E33*1.043</f>
        <v>90995.875824000002</v>
      </c>
      <c r="G33" s="1180"/>
      <c r="H33" s="1180">
        <f>F33*1.045</f>
        <v>95090.690236080001</v>
      </c>
      <c r="I33" s="1147"/>
      <c r="J33" s="1175" t="s">
        <v>1565</v>
      </c>
      <c r="L33" s="1156"/>
      <c r="M33" s="1156"/>
      <c r="N33" s="1156"/>
    </row>
    <row r="34" spans="1:14">
      <c r="A34" s="1157" t="s">
        <v>1652</v>
      </c>
      <c r="B34" s="1168" t="s">
        <v>1653</v>
      </c>
      <c r="C34" s="1168" t="s">
        <v>1615</v>
      </c>
      <c r="D34" s="1375">
        <f>'4.6_котельные'!G81</f>
        <v>0</v>
      </c>
      <c r="E34" s="1169">
        <f>'4.6_котельные'!K81</f>
        <v>0</v>
      </c>
      <c r="F34" s="1169">
        <f>'4.6_котельные'!L81</f>
        <v>0</v>
      </c>
      <c r="G34" s="1169">
        <f>'4.6_котельные'!M81</f>
        <v>0</v>
      </c>
      <c r="H34" s="1169" t="e">
        <f>'4.6_котельные'!#REF!</f>
        <v>#REF!</v>
      </c>
      <c r="I34" s="1147"/>
      <c r="J34" s="1175" t="s">
        <v>1565</v>
      </c>
      <c r="L34" s="1156"/>
      <c r="M34" s="1156"/>
      <c r="N34" s="1156"/>
    </row>
    <row r="35" spans="1:14">
      <c r="A35" s="1157" t="s">
        <v>1654</v>
      </c>
      <c r="B35" s="1168" t="s">
        <v>1655</v>
      </c>
      <c r="C35" s="1168" t="s">
        <v>1615</v>
      </c>
      <c r="D35" s="1375">
        <f>'4.6_котельные'!G83</f>
        <v>2186.9332789813402</v>
      </c>
      <c r="E35" s="1169">
        <f>'4.6_котельные'!K83</f>
        <v>30263.235000000001</v>
      </c>
      <c r="F35" s="1169">
        <f>ROUND((F28+F29+F30+F34)/0.8*0.2,0)</f>
        <v>68616</v>
      </c>
      <c r="G35" s="1169">
        <f t="shared" ref="G35:H35" si="5">ROUND((G28+G29+G30+G34)/0.8*0.2,0)</f>
        <v>0</v>
      </c>
      <c r="H35" s="1169" t="e">
        <f t="shared" si="5"/>
        <v>#REF!</v>
      </c>
      <c r="I35" s="1169">
        <f t="shared" ref="I35" si="6">ROUND((I28+I29+I30)/0.8*0.2,0)</f>
        <v>0</v>
      </c>
      <c r="J35" s="1177" t="s">
        <v>1628</v>
      </c>
    </row>
    <row r="36" spans="1:14" ht="16.5" thickBot="1">
      <c r="A36" s="1182">
        <f>A27+1</f>
        <v>19</v>
      </c>
      <c r="B36" s="1249" t="s">
        <v>1682</v>
      </c>
      <c r="C36" s="1249" t="s">
        <v>1615</v>
      </c>
      <c r="D36" s="1378">
        <f t="shared" ref="D36:I36" si="7">D12+D13+D14+D15+D16+D17+D18+D7+D8+D9+D10+D11+D27+D19</f>
        <v>2375953.970074811</v>
      </c>
      <c r="E36" s="1250">
        <f>E12+E13+E14+E15+E16+E17+E18+E7+E8+E9+E10+E11+E27+E19</f>
        <v>3106813.8754888079</v>
      </c>
      <c r="F36" s="1250">
        <f>F12+F13+F14+F15+F16+F17+F18+F7+F8+F9+F10+F11+F27+F19</f>
        <v>3655321.462508549</v>
      </c>
      <c r="G36" s="1250">
        <f t="shared" si="7"/>
        <v>0</v>
      </c>
      <c r="H36" s="1250" t="e">
        <f>H12+H13+H14+H15+H16+H17+H18+H7+H8+H9+H10+H11+H27+H19</f>
        <v>#REF!</v>
      </c>
      <c r="I36" s="1184" t="e">
        <f t="shared" si="7"/>
        <v>#DIV/0!</v>
      </c>
      <c r="J36" s="1185"/>
      <c r="L36" s="1186"/>
    </row>
    <row r="37" spans="1:14" ht="32.25" thickTop="1">
      <c r="A37" s="1251"/>
      <c r="B37" s="1252" t="s">
        <v>1686</v>
      </c>
      <c r="C37" s="1253" t="s">
        <v>1615</v>
      </c>
      <c r="D37" s="1374"/>
      <c r="E37" s="1254">
        <f>'4.6_котельные'!K84</f>
        <v>333023.90000000002</v>
      </c>
      <c r="F37" s="1254"/>
      <c r="G37" s="1254"/>
      <c r="H37" s="1254"/>
      <c r="I37" s="1247"/>
      <c r="J37" s="1185"/>
      <c r="L37" s="1186"/>
    </row>
    <row r="38" spans="1:14">
      <c r="A38" s="1251"/>
      <c r="B38" s="1255" t="s">
        <v>1683</v>
      </c>
      <c r="C38" s="1256" t="s">
        <v>1615</v>
      </c>
      <c r="D38" s="1257">
        <f>D36+D37</f>
        <v>2375953.970074811</v>
      </c>
      <c r="E38" s="1257">
        <f t="shared" ref="E38:H38" si="8">E36+E37</f>
        <v>3439837.7754888078</v>
      </c>
      <c r="F38" s="1257">
        <f t="shared" si="8"/>
        <v>3655321.462508549</v>
      </c>
      <c r="G38" s="1257">
        <f t="shared" si="8"/>
        <v>0</v>
      </c>
      <c r="H38" s="1257" t="e">
        <f t="shared" si="8"/>
        <v>#REF!</v>
      </c>
      <c r="I38" s="1247"/>
      <c r="J38" s="1185"/>
      <c r="K38" s="1186">
        <f>3290876-F38</f>
        <v>-364445.46250854898</v>
      </c>
      <c r="L38" s="1186" t="e">
        <f>3489316-H38</f>
        <v>#REF!</v>
      </c>
    </row>
    <row r="39" spans="1:14">
      <c r="A39" s="1251"/>
      <c r="B39" s="1255" t="s">
        <v>1684</v>
      </c>
      <c r="C39" s="1258" t="s">
        <v>804</v>
      </c>
      <c r="D39" s="1257"/>
      <c r="E39" s="1261">
        <f>'4.6_котельные'!K97</f>
        <v>389</v>
      </c>
      <c r="F39" s="1261">
        <f>E39</f>
        <v>389</v>
      </c>
      <c r="G39" s="1261">
        <f t="shared" ref="G39:H39" si="9">F39</f>
        <v>389</v>
      </c>
      <c r="H39" s="1261">
        <f t="shared" si="9"/>
        <v>389</v>
      </c>
      <c r="I39" s="1247"/>
      <c r="J39" s="1185"/>
      <c r="L39" s="1186"/>
    </row>
    <row r="40" spans="1:14">
      <c r="A40" s="1251"/>
      <c r="B40" s="1255" t="s">
        <v>417</v>
      </c>
      <c r="C40" s="1255" t="s">
        <v>1685</v>
      </c>
      <c r="D40" s="1257" t="e">
        <f>D38/D39</f>
        <v>#DIV/0!</v>
      </c>
      <c r="E40" s="1260">
        <f t="shared" ref="E40:H40" si="10">E38/E39</f>
        <v>8842.7706310766262</v>
      </c>
      <c r="F40" s="1260">
        <f t="shared" si="10"/>
        <v>9396.7132712302027</v>
      </c>
      <c r="G40" s="1260">
        <f t="shared" si="10"/>
        <v>0</v>
      </c>
      <c r="H40" s="1260" t="e">
        <f t="shared" si="10"/>
        <v>#REF!</v>
      </c>
      <c r="I40" s="1247"/>
      <c r="J40" s="1185"/>
      <c r="L40" s="1186"/>
    </row>
    <row r="41" spans="1:14" ht="16.5" thickBot="1">
      <c r="A41" s="1196"/>
      <c r="B41" s="1262" t="s">
        <v>1687</v>
      </c>
      <c r="C41" s="1263"/>
      <c r="D41" s="1264"/>
      <c r="E41" s="1264" t="e">
        <f>E40/D40*100</f>
        <v>#DIV/0!</v>
      </c>
      <c r="F41" s="1266">
        <f>F40/E40*100</f>
        <v>106.2643560854878</v>
      </c>
      <c r="G41" s="1266"/>
      <c r="H41" s="1266" t="e">
        <f>H40/F40*100</f>
        <v>#REF!</v>
      </c>
      <c r="I41" s="1247"/>
      <c r="J41" s="1185"/>
      <c r="L41" s="1186"/>
    </row>
    <row r="42" spans="1:14" ht="16.5" thickTop="1">
      <c r="A42" s="1146">
        <f>A36+1</f>
        <v>20</v>
      </c>
      <c r="B42" s="1153" t="s">
        <v>1656</v>
      </c>
      <c r="C42" s="1153" t="s">
        <v>1657</v>
      </c>
      <c r="D42" s="1187">
        <f>'[13] 4.4.'!F33</f>
        <v>262.7</v>
      </c>
      <c r="E42" s="1187">
        <v>224.71049861230739</v>
      </c>
      <c r="F42" s="1187"/>
      <c r="G42" s="1187"/>
      <c r="H42" s="1187"/>
      <c r="I42" s="1187"/>
      <c r="J42" s="1188"/>
      <c r="L42" s="1156"/>
      <c r="M42" s="1156"/>
      <c r="N42" s="1156"/>
    </row>
    <row r="43" spans="1:14">
      <c r="A43" s="1150">
        <f t="shared" ref="A43:A54" si="11">A42+1</f>
        <v>21</v>
      </c>
      <c r="B43" s="1189" t="s">
        <v>1658</v>
      </c>
      <c r="C43" s="1189"/>
      <c r="D43" s="1190">
        <f>'[13] 4.4.'!F61</f>
        <v>0.71</v>
      </c>
      <c r="E43" s="1190">
        <f>'[13] 4.4.'!H61</f>
        <v>0.71</v>
      </c>
      <c r="F43" s="1190"/>
      <c r="G43" s="1190"/>
      <c r="H43" s="1190"/>
      <c r="I43" s="1190"/>
      <c r="J43" s="1188"/>
      <c r="L43" s="1156"/>
      <c r="M43" s="1156"/>
      <c r="N43" s="1156"/>
    </row>
    <row r="44" spans="1:14" ht="16.5" thickBot="1">
      <c r="A44" s="1182">
        <f t="shared" si="11"/>
        <v>22</v>
      </c>
      <c r="B44" s="1162" t="s">
        <v>1659</v>
      </c>
      <c r="C44" s="1162" t="s">
        <v>231</v>
      </c>
      <c r="D44" s="1191">
        <f>'[13]4. 5'!N64</f>
        <v>4654.68</v>
      </c>
      <c r="E44" s="1191">
        <f>'[13]4. 5'!N82</f>
        <v>4830.6499999999996</v>
      </c>
      <c r="F44" s="1191"/>
      <c r="G44" s="1191"/>
      <c r="H44" s="1191"/>
      <c r="I44" s="1191"/>
      <c r="J44" s="1192"/>
      <c r="K44" s="1186"/>
      <c r="L44" s="1156"/>
      <c r="M44" s="1156"/>
      <c r="N44" s="1156"/>
    </row>
    <row r="45" spans="1:14" ht="16.5" thickTop="1">
      <c r="A45" s="1146">
        <f>A44+1</f>
        <v>23</v>
      </c>
      <c r="B45" s="1153" t="s">
        <v>1660</v>
      </c>
      <c r="C45" s="1153" t="s">
        <v>1661</v>
      </c>
      <c r="D45" s="1187">
        <f>'[13] 4.4.'!F36</f>
        <v>170.7</v>
      </c>
      <c r="E45" s="1187">
        <v>173.7</v>
      </c>
      <c r="F45" s="1187"/>
      <c r="G45" s="1187"/>
      <c r="H45" s="1187"/>
      <c r="I45" s="1187"/>
      <c r="J45" s="1192"/>
      <c r="L45" s="1156"/>
      <c r="M45" s="1156"/>
      <c r="N45" s="1156"/>
    </row>
    <row r="46" spans="1:14">
      <c r="A46" s="1150">
        <f t="shared" si="11"/>
        <v>24</v>
      </c>
      <c r="B46" s="1189" t="s">
        <v>1658</v>
      </c>
      <c r="C46" s="1189"/>
      <c r="D46" s="1190">
        <f>'[13] 4.4.'!H61</f>
        <v>0.71</v>
      </c>
      <c r="E46" s="1190">
        <f>'[13] 4.4.'!H64</f>
        <v>1.129</v>
      </c>
      <c r="F46" s="1190"/>
      <c r="G46" s="1190"/>
      <c r="H46" s="1190"/>
      <c r="I46" s="1190"/>
      <c r="J46" s="1192"/>
      <c r="L46" s="1156"/>
      <c r="M46" s="1156"/>
      <c r="N46" s="1156"/>
    </row>
    <row r="47" spans="1:14" ht="16.5" thickBot="1">
      <c r="A47" s="1182">
        <f t="shared" si="11"/>
        <v>25</v>
      </c>
      <c r="B47" s="1162" t="s">
        <v>1662</v>
      </c>
      <c r="C47" s="1162" t="s">
        <v>231</v>
      </c>
      <c r="D47" s="1191">
        <f>'[14]4. 5'!N67</f>
        <v>0</v>
      </c>
      <c r="E47" s="1191">
        <f>'[13]4. 5'!N85</f>
        <v>5904.3200000000006</v>
      </c>
      <c r="F47" s="1191"/>
      <c r="G47" s="1191"/>
      <c r="H47" s="1191"/>
      <c r="I47" s="1191"/>
      <c r="J47" s="1192"/>
      <c r="K47" s="1186">
        <f>E36+'[13]4.6_свод'!G108</f>
        <v>3547553.8754888079</v>
      </c>
      <c r="L47" s="1156"/>
      <c r="M47" s="1156"/>
      <c r="N47" s="1156"/>
    </row>
    <row r="48" spans="1:14" ht="17.25" thickTop="1" thickBot="1">
      <c r="A48" s="1182">
        <f>A47+1</f>
        <v>26</v>
      </c>
      <c r="B48" s="1189" t="s">
        <v>1663</v>
      </c>
      <c r="C48" s="1189" t="s">
        <v>326</v>
      </c>
      <c r="D48" s="1193"/>
      <c r="E48" s="1193"/>
      <c r="F48" s="1193"/>
      <c r="G48" s="1193"/>
      <c r="H48" s="1193"/>
      <c r="I48" s="1193"/>
      <c r="J48" s="1192"/>
      <c r="K48" s="1186">
        <f>'[13]4.6_свод'!G110</f>
        <v>1738834.2786218845</v>
      </c>
      <c r="L48" s="1156"/>
      <c r="M48" s="1156"/>
      <c r="N48" s="1156"/>
    </row>
    <row r="49" spans="1:15" ht="16.5" thickTop="1">
      <c r="A49" s="1164">
        <f t="shared" si="11"/>
        <v>27</v>
      </c>
      <c r="B49" s="1153" t="s">
        <v>1053</v>
      </c>
      <c r="C49" s="1153" t="s">
        <v>1664</v>
      </c>
      <c r="D49" s="1194">
        <f>'[13]4. 7'!F111</f>
        <v>7715.3895142135198</v>
      </c>
      <c r="E49" s="1194">
        <f>'[13]4. 7'!F143</f>
        <v>10396</v>
      </c>
      <c r="F49" s="1194"/>
      <c r="G49" s="1194"/>
      <c r="H49" s="1194"/>
      <c r="I49" s="1194"/>
      <c r="J49" s="1192"/>
      <c r="K49" s="1186">
        <f>K47-K48</f>
        <v>1808719.5968669234</v>
      </c>
      <c r="L49" s="1195"/>
      <c r="M49" s="1195"/>
      <c r="N49" s="1195"/>
    </row>
    <row r="50" spans="1:15" ht="16.5" thickBot="1">
      <c r="A50" s="1196">
        <f t="shared" si="11"/>
        <v>28</v>
      </c>
      <c r="B50" s="1183" t="s">
        <v>1665</v>
      </c>
      <c r="C50" s="1162" t="s">
        <v>1666</v>
      </c>
      <c r="D50" s="1197">
        <f>'[13]4. 7'!J111</f>
        <v>5.577015353547635</v>
      </c>
      <c r="E50" s="1197">
        <f>'[13]4. 7'!J143</f>
        <v>6.0560280477106581</v>
      </c>
      <c r="F50" s="1197"/>
      <c r="G50" s="1198"/>
      <c r="H50" s="1198"/>
      <c r="I50" s="1198"/>
      <c r="J50" s="1188"/>
      <c r="L50" s="1156"/>
      <c r="M50" s="1156"/>
      <c r="N50" s="1156"/>
    </row>
    <row r="51" spans="1:15" ht="16.5" thickTop="1">
      <c r="A51" s="1199">
        <f t="shared" si="11"/>
        <v>29</v>
      </c>
      <c r="B51" s="1153" t="s">
        <v>1667</v>
      </c>
      <c r="C51" s="1200" t="s">
        <v>1668</v>
      </c>
      <c r="D51" s="1201"/>
      <c r="E51" s="1201"/>
      <c r="F51" s="1201"/>
      <c r="G51" s="1201"/>
      <c r="H51" s="1201"/>
      <c r="I51" s="1201"/>
      <c r="J51" s="1192"/>
      <c r="L51" s="1156"/>
      <c r="M51" s="1156"/>
      <c r="N51" s="1156"/>
      <c r="O51" s="1156"/>
    </row>
    <row r="52" spans="1:15" ht="16.5" thickBot="1">
      <c r="A52" s="1146">
        <f t="shared" si="11"/>
        <v>30</v>
      </c>
      <c r="B52" s="1202" t="s">
        <v>740</v>
      </c>
      <c r="C52" s="1202" t="s">
        <v>1669</v>
      </c>
      <c r="D52" s="1203"/>
      <c r="E52" s="1203"/>
      <c r="F52" s="1203"/>
      <c r="G52" s="1203"/>
      <c r="H52" s="1203"/>
      <c r="I52" s="1203"/>
      <c r="J52" s="1188"/>
      <c r="L52" s="1156"/>
      <c r="M52" s="1156"/>
      <c r="N52" s="1156"/>
    </row>
    <row r="53" spans="1:15" ht="16.5" thickTop="1">
      <c r="A53" s="1199">
        <f t="shared" si="11"/>
        <v>31</v>
      </c>
      <c r="B53" s="1153" t="s">
        <v>1670</v>
      </c>
      <c r="C53" s="1153" t="s">
        <v>1668</v>
      </c>
      <c r="D53" s="1204">
        <f>'[13]4. 8 '!U8/1000</f>
        <v>991.66234999999995</v>
      </c>
      <c r="E53" s="1204">
        <f>'[13]4. 8 '!AA8/1000</f>
        <v>992</v>
      </c>
      <c r="F53" s="1204"/>
      <c r="G53" s="1194"/>
      <c r="H53" s="1194"/>
      <c r="I53" s="1194"/>
      <c r="J53" s="1192"/>
    </row>
    <row r="54" spans="1:15">
      <c r="A54" s="1146">
        <f t="shared" si="11"/>
        <v>32</v>
      </c>
      <c r="B54" s="1144" t="s">
        <v>1671</v>
      </c>
      <c r="C54" s="1144" t="s">
        <v>1669</v>
      </c>
      <c r="D54" s="1205">
        <f>'[13]4. 8 '!V8*1000</f>
        <v>8.0596088189796298</v>
      </c>
      <c r="E54" s="1205">
        <f>'[13]4. 8 '!AB8*1000</f>
        <v>8.3552206296612894</v>
      </c>
      <c r="F54" s="1205"/>
      <c r="G54" s="1205"/>
      <c r="H54" s="1205"/>
      <c r="I54" s="1205"/>
      <c r="J54" s="1188"/>
      <c r="L54" s="1156"/>
      <c r="M54" s="1156"/>
      <c r="N54" s="1156"/>
    </row>
    <row r="56" spans="1:15">
      <c r="L56" s="1156"/>
      <c r="M56" s="1156"/>
      <c r="N56" s="1156"/>
    </row>
    <row r="57" spans="1:15">
      <c r="E57" s="1186">
        <f>E36-'[13]5.9'!D18</f>
        <v>1932711.5117283473</v>
      </c>
    </row>
  </sheetData>
  <mergeCells count="1">
    <mergeCell ref="A1:I1"/>
  </mergeCells>
  <pageMargins left="0.7" right="0.7" top="0.75" bottom="0.75" header="0.3" footer="0.3"/>
  <pageSetup paperSize="9" scale="79" orientation="portrait" r:id="rId1"/>
  <legacy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O57"/>
  <sheetViews>
    <sheetView view="pageBreakPreview" zoomScale="85" zoomScaleNormal="100" zoomScaleSheetLayoutView="85" workbookViewId="0">
      <pane xSplit="3" ySplit="3" topLeftCell="D22" activePane="bottomRight" state="frozen"/>
      <selection activeCell="E37" sqref="E37"/>
      <selection pane="topRight" activeCell="E37" sqref="E37"/>
      <selection pane="bottomLeft" activeCell="E37" sqref="E37"/>
      <selection pane="bottomRight" activeCell="E37" sqref="E37"/>
    </sheetView>
  </sheetViews>
  <sheetFormatPr defaultRowHeight="15.75"/>
  <cols>
    <col min="1" max="1" width="8.140625" style="1143" bestFit="1" customWidth="1"/>
    <col min="2" max="2" width="38.140625" style="1143" customWidth="1"/>
    <col min="3" max="3" width="12.140625" style="1143" bestFit="1" customWidth="1"/>
    <col min="4" max="4" width="14" style="1143" customWidth="1"/>
    <col min="5" max="5" width="13" style="1143" bestFit="1" customWidth="1"/>
    <col min="6" max="6" width="13" style="1143" customWidth="1"/>
    <col min="7" max="7" width="13" style="1143" hidden="1" customWidth="1"/>
    <col min="8" max="8" width="14.42578125" style="1143" customWidth="1"/>
    <col min="9" max="9" width="13" style="1143" hidden="1" customWidth="1"/>
    <col min="10" max="10" width="13" style="1143" customWidth="1"/>
    <col min="11" max="11" width="10.7109375" style="1143" customWidth="1"/>
    <col min="12" max="12" width="16.5703125" style="1143" bestFit="1" customWidth="1"/>
    <col min="13" max="14" width="9.140625" style="1143"/>
    <col min="15" max="15" width="12.7109375" style="1143" bestFit="1" customWidth="1"/>
    <col min="16" max="16384" width="9.140625" style="1143"/>
  </cols>
  <sheetData>
    <row r="1" spans="1:15">
      <c r="A1" s="1969" t="s">
        <v>1605</v>
      </c>
      <c r="B1" s="1969"/>
      <c r="C1" s="1969"/>
      <c r="D1" s="1969"/>
      <c r="E1" s="1969"/>
      <c r="F1" s="1969"/>
      <c r="G1" s="1969"/>
      <c r="H1" s="1969"/>
      <c r="I1" s="1969"/>
    </row>
    <row r="2" spans="1:15">
      <c r="A2" s="1144" t="s">
        <v>1606</v>
      </c>
      <c r="B2" s="1144" t="s">
        <v>1607</v>
      </c>
      <c r="C2" s="1144" t="s">
        <v>1608</v>
      </c>
      <c r="D2" s="1145" t="s">
        <v>1711</v>
      </c>
      <c r="E2" s="1146">
        <v>2016</v>
      </c>
      <c r="F2" s="1146">
        <v>2017</v>
      </c>
      <c r="G2" s="1146">
        <v>2017</v>
      </c>
      <c r="H2" s="1146">
        <v>2018</v>
      </c>
      <c r="I2" s="1147">
        <v>2017</v>
      </c>
      <c r="J2" s="1148"/>
    </row>
    <row r="3" spans="1:15" ht="16.5" thickBot="1">
      <c r="A3" s="1149">
        <v>1</v>
      </c>
      <c r="B3" s="1149">
        <v>2</v>
      </c>
      <c r="C3" s="1149">
        <v>3</v>
      </c>
      <c r="D3" s="1150">
        <v>4</v>
      </c>
      <c r="E3" s="1150">
        <v>5</v>
      </c>
      <c r="F3" s="1150">
        <v>6</v>
      </c>
      <c r="G3" s="1150">
        <v>6</v>
      </c>
      <c r="H3" s="1150">
        <v>7</v>
      </c>
      <c r="I3" s="1150">
        <v>7</v>
      </c>
      <c r="J3" s="1148"/>
    </row>
    <row r="4" spans="1:15" ht="16.5" thickTop="1">
      <c r="A4" s="1151">
        <v>1</v>
      </c>
      <c r="B4" s="1152" t="s">
        <v>1609</v>
      </c>
      <c r="C4" s="1153" t="s">
        <v>1610</v>
      </c>
      <c r="D4" s="1154">
        <f>D5+D6</f>
        <v>1747813.9999999998</v>
      </c>
      <c r="E4" s="1154">
        <f>E5+E6</f>
        <v>1621348</v>
      </c>
      <c r="F4" s="1154">
        <f t="shared" ref="F4:H4" si="0">F5+F6</f>
        <v>1621348</v>
      </c>
      <c r="G4" s="1154">
        <f t="shared" si="0"/>
        <v>0</v>
      </c>
      <c r="H4" s="1154" t="e">
        <f t="shared" si="0"/>
        <v>#REF!</v>
      </c>
      <c r="I4" s="1154">
        <f>I5+I6</f>
        <v>0</v>
      </c>
      <c r="J4" s="1155"/>
      <c r="O4" s="1156"/>
    </row>
    <row r="5" spans="1:15">
      <c r="A5" s="1157" t="s">
        <v>1611</v>
      </c>
      <c r="B5" s="1144" t="s">
        <v>1672</v>
      </c>
      <c r="C5" s="1144" t="s">
        <v>1610</v>
      </c>
      <c r="D5" s="1158">
        <f>'4.1 (свод)'!AU10*1000</f>
        <v>1747813.9999999998</v>
      </c>
      <c r="E5" s="1158">
        <f>'Исходные данные_КТЭЦ'!E5+'Исходные данные_котельн'!E5</f>
        <v>1621348</v>
      </c>
      <c r="F5" s="1158">
        <f>'Исходные данные_КТЭЦ'!F5+'Исходные данные_котельн'!F5</f>
        <v>1621348</v>
      </c>
      <c r="G5" s="1158"/>
      <c r="H5" s="1158" t="e">
        <f>'Исходные данные_КТЭЦ'!H5+'Исходные данные_котельн'!H5</f>
        <v>#REF!</v>
      </c>
      <c r="I5" s="1158"/>
      <c r="J5" s="1160"/>
      <c r="O5" s="1156"/>
    </row>
    <row r="6" spans="1:15" ht="16.5" thickBot="1">
      <c r="A6" s="1161" t="s">
        <v>1612</v>
      </c>
      <c r="B6" s="1162" t="s">
        <v>1613</v>
      </c>
      <c r="C6" s="1162" t="s">
        <v>1610</v>
      </c>
      <c r="D6" s="1158">
        <f>'4.1 (свод)'!AU16*1000</f>
        <v>0</v>
      </c>
      <c r="E6" s="1158">
        <f>'4.1 (свод)'!CM16*1000</f>
        <v>0</v>
      </c>
      <c r="F6" s="1163"/>
      <c r="G6" s="1163"/>
      <c r="H6" s="1163"/>
      <c r="I6" s="1163"/>
      <c r="J6" s="1160"/>
      <c r="O6" s="1156"/>
    </row>
    <row r="7" spans="1:15" ht="16.5" thickTop="1">
      <c r="A7" s="1164">
        <f>A4+1</f>
        <v>2</v>
      </c>
      <c r="B7" s="1165" t="s">
        <v>1614</v>
      </c>
      <c r="C7" s="1165" t="s">
        <v>1615</v>
      </c>
      <c r="D7" s="1241">
        <f>'4.6_свод'!G10</f>
        <v>2254056.4385583238</v>
      </c>
      <c r="E7" s="1158">
        <f>'Исходные данные_КТЭЦ'!E7+'Исходные данные_котельн'!E7</f>
        <v>2156455.0063246526</v>
      </c>
      <c r="F7" s="1158">
        <f>'Исходные данные_КТЭЦ'!F7+'Исходные данные_котельн'!F7</f>
        <v>2441884.4524809713</v>
      </c>
      <c r="G7" s="1166"/>
      <c r="H7" s="1158">
        <f>'Исходные данные_КТЭЦ'!H7+'Исходные данные_котельн'!H7</f>
        <v>2618983.5566994082</v>
      </c>
      <c r="I7" s="1166" t="e">
        <f>ROUND(I42/I43*I5*I44/1000/1000,0)+ROUND(I45/I46*#REF!*I47/1000/1000,0)</f>
        <v>#DIV/0!</v>
      </c>
      <c r="J7" s="1167" t="s">
        <v>1616</v>
      </c>
      <c r="O7" s="1156"/>
    </row>
    <row r="8" spans="1:15">
      <c r="A8" s="1146">
        <f>A7+1</f>
        <v>3</v>
      </c>
      <c r="B8" s="1168" t="s">
        <v>1617</v>
      </c>
      <c r="C8" s="1168" t="s">
        <v>1615</v>
      </c>
      <c r="D8" s="1240">
        <f>ROUND(D48*D6/1000,0)</f>
        <v>0</v>
      </c>
      <c r="E8" s="1158"/>
      <c r="F8" s="1158"/>
      <c r="G8" s="1158">
        <f>ROUND(G48*G6/1000,0)</f>
        <v>0</v>
      </c>
      <c r="H8" s="1158"/>
      <c r="I8" s="1158">
        <f>ROUND(I48*I6/1000,0)</f>
        <v>0</v>
      </c>
      <c r="J8" s="1167" t="s">
        <v>1616</v>
      </c>
      <c r="O8" s="1156"/>
    </row>
    <row r="9" spans="1:15">
      <c r="A9" s="1146">
        <f t="shared" ref="A9:A18" si="1">A8+1</f>
        <v>4</v>
      </c>
      <c r="B9" s="1144" t="s">
        <v>1618</v>
      </c>
      <c r="C9" s="1144" t="s">
        <v>1615</v>
      </c>
      <c r="D9" s="1240">
        <f>ROUND(D51*D52,0)</f>
        <v>0</v>
      </c>
      <c r="E9" s="1158"/>
      <c r="F9" s="1158"/>
      <c r="G9" s="1158">
        <f t="shared" ref="G9:I9" si="2">ROUND(G51*G52,0)</f>
        <v>0</v>
      </c>
      <c r="H9" s="1158"/>
      <c r="I9" s="1158">
        <f t="shared" si="2"/>
        <v>0</v>
      </c>
      <c r="J9" s="1167" t="s">
        <v>1616</v>
      </c>
      <c r="O9" s="1156"/>
    </row>
    <row r="10" spans="1:15">
      <c r="A10" s="1146">
        <f t="shared" si="1"/>
        <v>5</v>
      </c>
      <c r="B10" s="1168" t="s">
        <v>1619</v>
      </c>
      <c r="C10" s="1168" t="s">
        <v>1615</v>
      </c>
      <c r="D10" s="1239">
        <f>'4.6_свод'!G12</f>
        <v>39217.417047199997</v>
      </c>
      <c r="E10" s="1158">
        <f>'Исходные данные_КТЭЦ'!E10+'Исходные данные_котельн'!E10</f>
        <v>-138618.44673739219</v>
      </c>
      <c r="F10" s="1158">
        <f>'Исходные данные_КТЭЦ'!F10+'Исходные данные_котельн'!F10</f>
        <v>119305</v>
      </c>
      <c r="G10" s="1166"/>
      <c r="H10" s="1158">
        <f>'Исходные данные_КТЭЦ'!H10+'Исходные данные_котельн'!H10</f>
        <v>124558</v>
      </c>
      <c r="I10" s="1169">
        <f t="shared" ref="I10" si="3">ROUND(I54*I53,0)</f>
        <v>0</v>
      </c>
      <c r="J10" s="1167" t="s">
        <v>1616</v>
      </c>
      <c r="O10" s="1156"/>
    </row>
    <row r="11" spans="1:15">
      <c r="A11" s="1146">
        <f t="shared" si="1"/>
        <v>6</v>
      </c>
      <c r="B11" s="1168" t="s">
        <v>1620</v>
      </c>
      <c r="C11" s="1168" t="s">
        <v>1615</v>
      </c>
      <c r="D11" s="1239">
        <f>'4.6_свод'!G11</f>
        <v>268419.60620700003</v>
      </c>
      <c r="E11" s="1158">
        <f>'Исходные данные_КТЭЦ'!E11+'Исходные данные_котельн'!E11</f>
        <v>293313.18624515599</v>
      </c>
      <c r="F11" s="1158">
        <f>'Исходные данные_КТЭЦ'!F11+'Исходные данные_котельн'!F11</f>
        <v>308047.92828301899</v>
      </c>
      <c r="G11" s="1166"/>
      <c r="H11" s="1158">
        <f>'Исходные данные_КТЭЦ'!H11+'Исходные данные_котельн'!H11</f>
        <v>322011.81796427048</v>
      </c>
      <c r="I11" s="1169">
        <f>ROUND(I49*I50,0)</f>
        <v>0</v>
      </c>
      <c r="J11" s="1167" t="s">
        <v>1616</v>
      </c>
      <c r="O11" s="1156"/>
    </row>
    <row r="12" spans="1:15">
      <c r="A12" s="1146">
        <f t="shared" si="1"/>
        <v>7</v>
      </c>
      <c r="B12" s="1168" t="s">
        <v>1621</v>
      </c>
      <c r="C12" s="1168" t="s">
        <v>1615</v>
      </c>
      <c r="D12" s="1240">
        <f>'4.6_свод'!G15</f>
        <v>1581863.6835238319</v>
      </c>
      <c r="E12" s="1158">
        <f>'Исходные данные_КТЭЦ'!E12+'Исходные данные_котельн'!E12</f>
        <v>2082909.31148744</v>
      </c>
      <c r="F12" s="1159">
        <f>'Исходные данные_КТЭЦ'!F12+'Исходные данные_котельн'!F12</f>
        <v>2072593.2941626303</v>
      </c>
      <c r="G12" s="1238"/>
      <c r="H12" s="1159">
        <f>'Исходные данные_КТЭЦ'!H12+'Исходные данные_котельн'!H12</f>
        <v>2313864.0714671924</v>
      </c>
      <c r="I12" s="1147"/>
      <c r="J12" s="1171" t="s">
        <v>1622</v>
      </c>
      <c r="K12" s="1143" t="s">
        <v>1624</v>
      </c>
      <c r="L12" s="1156"/>
    </row>
    <row r="13" spans="1:15">
      <c r="A13" s="1146">
        <f t="shared" si="1"/>
        <v>8</v>
      </c>
      <c r="B13" s="1168" t="s">
        <v>1623</v>
      </c>
      <c r="C13" s="1168" t="s">
        <v>1615</v>
      </c>
      <c r="D13" s="1239">
        <f>'4.6_свод'!G9+'4.6_свод'!G22</f>
        <v>215798.78257581015</v>
      </c>
      <c r="E13" s="1158">
        <f>'Исходные данные_КТЭЦ'!E13+'Исходные данные_котельн'!E13</f>
        <v>331518</v>
      </c>
      <c r="F13" s="1159">
        <f>'Исходные данные_КТЭЦ'!F13+'Исходные данные_котельн'!F13</f>
        <v>303789.2203939397</v>
      </c>
      <c r="G13" s="1238"/>
      <c r="H13" s="1159">
        <f>'Исходные данные_КТЭЦ'!H13+'Исходные данные_котельн'!H13</f>
        <v>320060.9173908442</v>
      </c>
      <c r="I13" s="1144"/>
      <c r="J13" s="1171" t="s">
        <v>1622</v>
      </c>
      <c r="K13" s="1143" t="s">
        <v>1624</v>
      </c>
      <c r="L13" s="1156"/>
    </row>
    <row r="14" spans="1:15">
      <c r="A14" s="1146">
        <f t="shared" si="1"/>
        <v>9</v>
      </c>
      <c r="B14" s="1168" t="s">
        <v>1625</v>
      </c>
      <c r="C14" s="1168" t="s">
        <v>1615</v>
      </c>
      <c r="D14" s="1239">
        <f>'4.6_свод'!G8-'4.6_свод'!G9</f>
        <v>51377.742374842077</v>
      </c>
      <c r="E14" s="1158">
        <f>'Исходные данные_КТЭЦ'!E14+'Исходные данные_котельн'!E14</f>
        <v>76450.516180000006</v>
      </c>
      <c r="F14" s="1159">
        <f>'Исходные данные_КТЭЦ'!F14+'Исходные данные_котельн'!F14</f>
        <v>80926.092351598127</v>
      </c>
      <c r="G14" s="1238"/>
      <c r="H14" s="1159">
        <f>'Исходные данные_КТЭЦ'!H14+'Исходные данные_котельн'!H14</f>
        <v>85321.254587828764</v>
      </c>
      <c r="I14" s="1147"/>
      <c r="J14" s="1171" t="s">
        <v>1622</v>
      </c>
      <c r="K14" s="1143" t="s">
        <v>1624</v>
      </c>
      <c r="L14" s="1173"/>
    </row>
    <row r="15" spans="1:15">
      <c r="A15" s="1146">
        <f t="shared" si="1"/>
        <v>10</v>
      </c>
      <c r="B15" s="1168" t="s">
        <v>1626</v>
      </c>
      <c r="C15" s="1168" t="s">
        <v>1615</v>
      </c>
      <c r="D15" s="1239">
        <f>'4.6_свод'!G24</f>
        <v>74119.055410680812</v>
      </c>
      <c r="E15" s="1158">
        <f>'Исходные данные_КТЭЦ'!E15+'Исходные данные_котельн'!E15</f>
        <v>100306.89108</v>
      </c>
      <c r="F15" s="1159">
        <f>'Исходные данные_КТЭЦ'!F15+'Исходные данные_котельн'!F15</f>
        <v>107301.07832714004</v>
      </c>
      <c r="G15" s="1238"/>
      <c r="H15" s="1159">
        <f>'Исходные данные_КТЭЦ'!H15+'Исходные данные_котельн'!H15</f>
        <v>112799.07553250495</v>
      </c>
      <c r="I15" s="1144"/>
      <c r="J15" s="1171" t="s">
        <v>1622</v>
      </c>
      <c r="K15" s="1143" t="s">
        <v>1624</v>
      </c>
      <c r="L15" s="1156"/>
    </row>
    <row r="16" spans="1:15">
      <c r="A16" s="1146">
        <f t="shared" si="1"/>
        <v>11</v>
      </c>
      <c r="B16" s="1168" t="s">
        <v>1627</v>
      </c>
      <c r="C16" s="1168" t="s">
        <v>1615</v>
      </c>
      <c r="D16" s="1240">
        <f>'4.6_свод'!G20</f>
        <v>458909.16569647024</v>
      </c>
      <c r="E16" s="1158">
        <f>'Исходные данные_КТЭЦ'!E16+'Исходные данные_котельн'!E16</f>
        <v>590496</v>
      </c>
      <c r="F16" s="1158">
        <f>'Исходные данные_КТЭЦ'!F16+'Исходные данные_котельн'!F16</f>
        <v>589079</v>
      </c>
      <c r="G16" s="1166"/>
      <c r="H16" s="1158">
        <f>'Исходные данные_КТЭЦ'!H16+'Исходные данные_котельн'!H16</f>
        <v>618777</v>
      </c>
      <c r="I16" s="1144"/>
      <c r="J16" s="1175" t="s">
        <v>1628</v>
      </c>
      <c r="K16" s="1143" t="s">
        <v>1716</v>
      </c>
      <c r="L16" s="1156"/>
    </row>
    <row r="17" spans="1:14">
      <c r="A17" s="1146">
        <f t="shared" si="1"/>
        <v>12</v>
      </c>
      <c r="B17" s="1168" t="s">
        <v>1564</v>
      </c>
      <c r="C17" s="1168" t="s">
        <v>1615</v>
      </c>
      <c r="D17" s="1239">
        <f>'4.6_свод'!G14</f>
        <v>126484.78340498135</v>
      </c>
      <c r="E17" s="1158">
        <f>'Исходные данные_КТЭЦ'!E17+'Исходные данные_котельн'!E17</f>
        <v>153570</v>
      </c>
      <c r="F17" s="1158">
        <f>'Исходные данные_КТЭЦ'!F17+'Исходные данные_котельн'!F17</f>
        <v>133857</v>
      </c>
      <c r="G17" s="1166"/>
      <c r="H17" s="1158">
        <f>'Исходные данные_КТЭЦ'!H17+'Исходные данные_котельн'!H17</f>
        <v>137820</v>
      </c>
      <c r="I17" s="1144"/>
      <c r="J17" s="1175" t="s">
        <v>1628</v>
      </c>
      <c r="L17" s="1156"/>
    </row>
    <row r="18" spans="1:14">
      <c r="A18" s="1146">
        <f t="shared" si="1"/>
        <v>13</v>
      </c>
      <c r="B18" s="1168" t="s">
        <v>1629</v>
      </c>
      <c r="C18" s="1168" t="s">
        <v>1615</v>
      </c>
      <c r="D18" s="1239">
        <f>'4.6_свод'!G57</f>
        <v>185045</v>
      </c>
      <c r="E18" s="1158">
        <f>'Исходные данные_КТЭЦ'!E18+'Исходные данные_котельн'!E18</f>
        <v>209444</v>
      </c>
      <c r="F18" s="1158">
        <f>'Исходные данные_КТЭЦ'!F18+'Исходные данные_котельн'!F18</f>
        <v>218450.09199999998</v>
      </c>
      <c r="G18" s="1166"/>
      <c r="H18" s="1158">
        <f>'Исходные данные_КТЭЦ'!H18+'Исходные данные_котельн'!H18</f>
        <v>228280.34613999998</v>
      </c>
      <c r="I18" s="1144"/>
      <c r="J18" s="1175" t="s">
        <v>1628</v>
      </c>
      <c r="K18" s="1143" t="s">
        <v>1624</v>
      </c>
      <c r="L18" s="1156"/>
    </row>
    <row r="19" spans="1:14">
      <c r="A19" s="1146">
        <v>14</v>
      </c>
      <c r="B19" s="1168" t="s">
        <v>1630</v>
      </c>
      <c r="C19" s="1168" t="s">
        <v>1615</v>
      </c>
      <c r="D19" s="1169">
        <f>SUM(D20:D26)</f>
        <v>227498</v>
      </c>
      <c r="E19" s="1169">
        <f>SUM(E20:E26)</f>
        <v>306206.66972000001</v>
      </c>
      <c r="F19" s="1169">
        <f>SUM(F20:F26)</f>
        <v>321655.12012089288</v>
      </c>
      <c r="G19" s="1169">
        <f>SUM(G20:G26)</f>
        <v>0</v>
      </c>
      <c r="H19" s="1169">
        <f>SUM(H20:H26)</f>
        <v>336671.14560667169</v>
      </c>
      <c r="I19" s="1144"/>
      <c r="J19" s="1176"/>
      <c r="L19" s="1156"/>
    </row>
    <row r="20" spans="1:14" ht="63">
      <c r="A20" s="1157" t="s">
        <v>1631</v>
      </c>
      <c r="B20" s="1206" t="s">
        <v>1139</v>
      </c>
      <c r="C20" s="1168" t="s">
        <v>1615</v>
      </c>
      <c r="D20" s="1239">
        <f>'4.6_свод'!G23</f>
        <v>108310</v>
      </c>
      <c r="E20" s="1158">
        <f>'Исходные данные_КТЭЦ'!E20+'Исходные данные_котельн'!E20</f>
        <v>126107</v>
      </c>
      <c r="F20" s="1158">
        <f>'Исходные данные_КТЭЦ'!F20+'Исходные данные_котельн'!F20</f>
        <v>119801</v>
      </c>
      <c r="G20" s="1166"/>
      <c r="H20" s="1158">
        <f>'Исходные данные_КТЭЦ'!H20+'Исходные данные_котельн'!H20</f>
        <v>125192</v>
      </c>
      <c r="I20" s="1144"/>
      <c r="J20" s="1177" t="s">
        <v>1628</v>
      </c>
      <c r="L20" s="1156"/>
    </row>
    <row r="21" spans="1:14">
      <c r="A21" s="1157" t="s">
        <v>1632</v>
      </c>
      <c r="B21" s="1168" t="s">
        <v>1633</v>
      </c>
      <c r="C21" s="1168" t="s">
        <v>1615</v>
      </c>
      <c r="D21" s="1239">
        <f>'4.6_свод'!G56</f>
        <v>353</v>
      </c>
      <c r="E21" s="1158">
        <f>'Исходные данные_КТЭЦ'!E21+'Исходные данные_котельн'!E21</f>
        <v>719.9</v>
      </c>
      <c r="F21" s="1158">
        <f>'Исходные данные_КТЭЦ'!F21+'Исходные данные_котельн'!F21</f>
        <v>972.52</v>
      </c>
      <c r="G21" s="1166"/>
      <c r="H21" s="1158">
        <f>'Исходные данные_КТЭЦ'!H21+'Исходные данные_котельн'!H21</f>
        <v>972.52</v>
      </c>
      <c r="I21" s="1144"/>
      <c r="J21" s="1175" t="s">
        <v>1628</v>
      </c>
      <c r="L21" s="1178"/>
    </row>
    <row r="22" spans="1:14">
      <c r="A22" s="1157" t="s">
        <v>1634</v>
      </c>
      <c r="B22" s="1168" t="s">
        <v>1635</v>
      </c>
      <c r="C22" s="1168" t="s">
        <v>1615</v>
      </c>
      <c r="D22" s="1239">
        <f>'4.6_свод'!G60</f>
        <v>1711</v>
      </c>
      <c r="E22" s="1158">
        <f>'Исходные данные_КТЭЦ'!E22+'Исходные данные_котельн'!E22</f>
        <v>13181.8</v>
      </c>
      <c r="F22" s="1158">
        <f>'Исходные данные_КТЭЦ'!F22+'Исходные данные_котельн'!F22</f>
        <v>13748.617399999999</v>
      </c>
      <c r="G22" s="1166"/>
      <c r="H22" s="1158">
        <f>'Исходные данные_КТЭЦ'!H22+'Исходные данные_котельн'!H22</f>
        <v>14367.305182999997</v>
      </c>
      <c r="I22" s="1144"/>
      <c r="J22" s="1175" t="s">
        <v>1628</v>
      </c>
      <c r="K22" s="1143" t="s">
        <v>1624</v>
      </c>
      <c r="L22" s="1156"/>
    </row>
    <row r="23" spans="1:14">
      <c r="A23" s="1157" t="s">
        <v>1636</v>
      </c>
      <c r="B23" s="1168" t="s">
        <v>1637</v>
      </c>
      <c r="C23" s="1168" t="s">
        <v>1615</v>
      </c>
      <c r="D23" s="1239">
        <f>'4.6_свод'!G61</f>
        <v>21622</v>
      </c>
      <c r="E23" s="1158">
        <f>'Исходные данные_КТЭЦ'!E23+'Исходные данные_котельн'!E23</f>
        <v>26028</v>
      </c>
      <c r="F23" s="1158">
        <f>'Исходные данные_КТЭЦ'!F23+'Исходные данные_котельн'!F23</f>
        <v>31483</v>
      </c>
      <c r="G23" s="1166"/>
      <c r="H23" s="1158">
        <f>'Исходные данные_КТЭЦ'!H23+'Исходные данные_котельн'!H23</f>
        <v>32583</v>
      </c>
      <c r="I23" s="1144"/>
      <c r="J23" s="1175" t="s">
        <v>1628</v>
      </c>
      <c r="L23" s="1156"/>
    </row>
    <row r="24" spans="1:14">
      <c r="A24" s="1157" t="s">
        <v>1674</v>
      </c>
      <c r="B24" s="1168" t="s">
        <v>1638</v>
      </c>
      <c r="C24" s="1168" t="s">
        <v>1615</v>
      </c>
      <c r="D24" s="1239">
        <f>'4.6_свод'!G58</f>
        <v>5701</v>
      </c>
      <c r="E24" s="1158">
        <f>'Исходные данные_КТЭЦ'!E24+'Исходные данные_котельн'!E24</f>
        <v>5770.8525600000003</v>
      </c>
      <c r="F24" s="1159">
        <f>'Исходные данные_КТЭЦ'!F24+'Исходные данные_котельн'!F24</f>
        <v>6122.0765407287736</v>
      </c>
      <c r="G24" s="1238"/>
      <c r="H24" s="1159">
        <f>'Исходные данные_КТЭЦ'!H24+'Исходные данные_котельн'!H24</f>
        <v>6439.1395408336821</v>
      </c>
      <c r="I24" s="1144"/>
      <c r="J24" s="1171" t="s">
        <v>1622</v>
      </c>
      <c r="K24" s="1143" t="s">
        <v>1624</v>
      </c>
      <c r="L24" s="1156"/>
    </row>
    <row r="25" spans="1:14">
      <c r="A25" s="1157" t="s">
        <v>1675</v>
      </c>
      <c r="B25" s="1168" t="s">
        <v>1639</v>
      </c>
      <c r="C25" s="1168" t="s">
        <v>1615</v>
      </c>
      <c r="D25" s="1239">
        <f>'4.6_свод'!G59</f>
        <v>2065</v>
      </c>
      <c r="E25" s="1158">
        <f>'Исходные данные_КТЭЦ'!E25+'Исходные данные_котельн'!E25</f>
        <v>2773.3503600000004</v>
      </c>
      <c r="F25" s="1159">
        <f>'Исходные данные_КТЭЦ'!F25+'Исходные данные_котельн'!F25</f>
        <v>2986.7999224835771</v>
      </c>
      <c r="G25" s="1238"/>
      <c r="H25" s="1159">
        <f>'Исходные данные_КТЭЦ'!H25+'Исходные данные_котельн'!H25</f>
        <v>3141.6111088876469</v>
      </c>
      <c r="I25" s="1144"/>
      <c r="J25" s="1171" t="s">
        <v>1622</v>
      </c>
      <c r="K25" s="1143" t="s">
        <v>1624</v>
      </c>
      <c r="L25" s="1156"/>
    </row>
    <row r="26" spans="1:14">
      <c r="A26" s="1157" t="s">
        <v>1676</v>
      </c>
      <c r="B26" s="1168" t="s">
        <v>1259</v>
      </c>
      <c r="C26" s="1168" t="s">
        <v>1615</v>
      </c>
      <c r="D26" s="1239">
        <f>'4.6_свод'!G25</f>
        <v>87736</v>
      </c>
      <c r="E26" s="1158">
        <f>'Исходные данные_КТЭЦ'!E26+'Исходные данные_котельн'!E26</f>
        <v>131625.76679999998</v>
      </c>
      <c r="F26" s="1159">
        <f>'Исходные данные_КТЭЦ'!F26+'Исходные данные_котельн'!F26</f>
        <v>146541.10625768054</v>
      </c>
      <c r="G26" s="1238"/>
      <c r="H26" s="1159">
        <f>'Исходные данные_КТЭЦ'!H26+'Исходные данные_котельн'!H26</f>
        <v>153975.56977395038</v>
      </c>
      <c r="I26" s="1144"/>
      <c r="J26" s="1171" t="s">
        <v>1622</v>
      </c>
      <c r="K26" s="1143" t="s">
        <v>1624</v>
      </c>
      <c r="L26" s="1156"/>
    </row>
    <row r="27" spans="1:14">
      <c r="A27" s="1229">
        <v>18</v>
      </c>
      <c r="B27" s="1230" t="s">
        <v>1468</v>
      </c>
      <c r="C27" s="1230" t="s">
        <v>1615</v>
      </c>
      <c r="D27" s="1231">
        <f>SUM(D28:D35)</f>
        <v>126492</v>
      </c>
      <c r="E27" s="1231">
        <f>SUM(E28:E35)</f>
        <v>835162.52285248821</v>
      </c>
      <c r="F27" s="1231">
        <f>SUM(F28:F35)</f>
        <v>1304228.0584293655</v>
      </c>
      <c r="G27" s="1231">
        <f t="shared" ref="G27" si="4">SUM(G28:G35)</f>
        <v>0</v>
      </c>
      <c r="H27" s="1231" t="e">
        <f>SUM(H28:H35)</f>
        <v>#REF!</v>
      </c>
      <c r="I27" s="1158"/>
      <c r="J27" s="1179"/>
    </row>
    <row r="28" spans="1:14">
      <c r="A28" s="1157" t="s">
        <v>1640</v>
      </c>
      <c r="B28" s="1168" t="s">
        <v>1641</v>
      </c>
      <c r="C28" s="1168" t="s">
        <v>1615</v>
      </c>
      <c r="D28" s="1239">
        <f>'4.6_свод'!G80</f>
        <v>18200</v>
      </c>
      <c r="E28" s="1158">
        <f>'Исходные данные_КТЭЦ'!E28+'Исходные данные_котельн'!E28</f>
        <v>21598.164000000001</v>
      </c>
      <c r="F28" s="1158">
        <f>'Исходные данные_КТЭЦ'!F28+'Исходные данные_котельн'!F28</f>
        <v>22526.885051999998</v>
      </c>
      <c r="G28" s="1166"/>
      <c r="H28" s="1158">
        <f>'Исходные данные_КТЭЦ'!H28+'Исходные данные_котельн'!H28</f>
        <v>23540.594879339995</v>
      </c>
      <c r="I28" s="1180"/>
      <c r="J28" s="1171" t="s">
        <v>1565</v>
      </c>
    </row>
    <row r="29" spans="1:14">
      <c r="A29" s="1157" t="s">
        <v>1642</v>
      </c>
      <c r="B29" s="1168" t="s">
        <v>1643</v>
      </c>
      <c r="C29" s="1168" t="s">
        <v>1615</v>
      </c>
      <c r="D29" s="1239">
        <f>'4.6_свод'!G79</f>
        <v>0</v>
      </c>
      <c r="E29" s="1158">
        <f>'Исходные данные_КТЭЦ'!E29+'Исходные данные_котельн'!E29</f>
        <v>0</v>
      </c>
      <c r="F29" s="1270">
        <f>'Исходные данные_КТЭЦ'!F29+'Исходные данные_котельн'!F29</f>
        <v>464500</v>
      </c>
      <c r="G29" s="1459"/>
      <c r="H29" s="1270">
        <f>'Исходные данные_КТЭЦ'!H29+'Исходные данные_котельн'!H29</f>
        <v>508000</v>
      </c>
      <c r="I29" s="1147"/>
      <c r="J29" s="1171" t="s">
        <v>1565</v>
      </c>
      <c r="L29" s="1156"/>
      <c r="M29" s="1156"/>
      <c r="N29" s="1156"/>
    </row>
    <row r="30" spans="1:14">
      <c r="A30" s="1157" t="s">
        <v>1644</v>
      </c>
      <c r="B30" s="1168" t="s">
        <v>1645</v>
      </c>
      <c r="C30" s="1168" t="s">
        <v>1615</v>
      </c>
      <c r="D30" s="1239">
        <f>'4.6_свод'!G69</f>
        <v>91218</v>
      </c>
      <c r="E30" s="1158">
        <f>'Исходные данные_КТЭЦ'!E30+'Исходные данные_котельн'!E30</f>
        <v>75549</v>
      </c>
      <c r="F30" s="1158">
        <f>'Исходные данные_КТЭЦ'!F30+'Исходные данные_котельн'!F30</f>
        <v>94836</v>
      </c>
      <c r="G30" s="1166"/>
      <c r="H30" s="1158">
        <f>'Исходные данные_КТЭЦ'!H30+'Исходные данные_котельн'!H30</f>
        <v>109062</v>
      </c>
      <c r="I30" s="1147"/>
      <c r="J30" s="1175" t="s">
        <v>1628</v>
      </c>
      <c r="L30" s="1156"/>
      <c r="M30" s="1156"/>
      <c r="N30" s="1156"/>
    </row>
    <row r="31" spans="1:14">
      <c r="A31" s="1157" t="s">
        <v>1646</v>
      </c>
      <c r="B31" s="1168" t="s">
        <v>1647</v>
      </c>
      <c r="C31" s="1168" t="s">
        <v>1615</v>
      </c>
      <c r="D31" s="1239">
        <f>'4.6_свод'!G72</f>
        <v>2908</v>
      </c>
      <c r="E31" s="1158">
        <f>'Исходные данные_КТЭЦ'!E31+'Исходные данные_котельн'!E31</f>
        <v>1830.2209200000002</v>
      </c>
      <c r="F31" s="1159">
        <f>'Исходные данные_КТЭЦ'!F31+'Исходные данные_котельн'!F31</f>
        <v>2006.5720887803359</v>
      </c>
      <c r="G31" s="1238"/>
      <c r="H31" s="1159">
        <f>'Исходные данные_КТЭЦ'!H31+'Исходные данные_котельн'!H31</f>
        <v>2135.9204694811483</v>
      </c>
      <c r="I31" s="1147"/>
      <c r="J31" s="1175" t="s">
        <v>1622</v>
      </c>
      <c r="K31" s="1181" t="s">
        <v>1624</v>
      </c>
      <c r="L31" s="1181"/>
      <c r="M31" s="1156"/>
      <c r="N31" s="1156"/>
    </row>
    <row r="32" spans="1:14" ht="31.5">
      <c r="A32" s="1157" t="s">
        <v>1648</v>
      </c>
      <c r="B32" s="1168" t="s">
        <v>1649</v>
      </c>
      <c r="C32" s="1168" t="s">
        <v>1615</v>
      </c>
      <c r="D32" s="1239">
        <f>'4.6_свод'!G73</f>
        <v>0</v>
      </c>
      <c r="E32" s="1158">
        <f>'Исходные данные_КТЭЦ'!E32+'Исходные данные_котельн'!E32</f>
        <v>202847</v>
      </c>
      <c r="F32" s="1158">
        <f>'Исходные данные_КТЭЦ'!F32+'Исходные данные_котельн'!F32</f>
        <v>338048</v>
      </c>
      <c r="G32" s="1166"/>
      <c r="H32" s="1158">
        <f>'Исходные данные_КТЭЦ'!H32+'Исходные данные_котельн'!H32</f>
        <v>338048</v>
      </c>
      <c r="I32" s="1147"/>
      <c r="J32" s="1177" t="s">
        <v>1628</v>
      </c>
      <c r="L32" s="1156"/>
      <c r="M32" s="1156"/>
      <c r="N32" s="1156"/>
    </row>
    <row r="33" spans="1:14">
      <c r="A33" s="1157" t="s">
        <v>1650</v>
      </c>
      <c r="B33" s="1168" t="s">
        <v>1651</v>
      </c>
      <c r="C33" s="1168" t="s">
        <v>1615</v>
      </c>
      <c r="D33" s="1239">
        <f>'4.6_свод'!G82+'4.6_свод'!G74+'4.6_свод'!G70</f>
        <v>9439</v>
      </c>
      <c r="E33" s="1158">
        <f>'Исходные данные_КТЭЦ'!E33+'Исходные данные_котельн'!E33</f>
        <v>205534.61293248818</v>
      </c>
      <c r="F33" s="1158">
        <f>'Исходные данные_КТЭЦ'!F33+'Исходные данные_котельн'!F33</f>
        <v>214372.60128858517</v>
      </c>
      <c r="G33" s="1166"/>
      <c r="H33" s="1158">
        <f>'Исходные данные_КТЭЦ'!H33+'Исходные данные_котельн'!H33</f>
        <v>224019.36834657149</v>
      </c>
      <c r="I33" s="1147"/>
      <c r="J33" s="1175" t="s">
        <v>1565</v>
      </c>
      <c r="L33" s="1156"/>
      <c r="M33" s="1156"/>
      <c r="N33" s="1156"/>
    </row>
    <row r="34" spans="1:14">
      <c r="A34" s="1157" t="s">
        <v>1652</v>
      </c>
      <c r="B34" s="1168" t="s">
        <v>1653</v>
      </c>
      <c r="C34" s="1168" t="s">
        <v>1615</v>
      </c>
      <c r="D34" s="1239">
        <f>'4.6_свод'!G81</f>
        <v>0</v>
      </c>
      <c r="E34" s="1158">
        <f>'Исходные данные_КТЭЦ'!E34+'Исходные данные_котельн'!E34</f>
        <v>202017.76</v>
      </c>
      <c r="F34" s="1158">
        <f>'Исходные данные_КТЭЦ'!F34+'Исходные данные_котельн'!F34</f>
        <v>17978</v>
      </c>
      <c r="G34" s="1166"/>
      <c r="H34" s="1158" t="e">
        <f>'Исходные данные_КТЭЦ'!H34+'Исходные данные_котельн'!H34</f>
        <v>#REF!</v>
      </c>
      <c r="I34" s="1147"/>
      <c r="J34" s="1175" t="s">
        <v>1565</v>
      </c>
      <c r="L34" s="1156"/>
      <c r="M34" s="1156"/>
      <c r="N34" s="1156"/>
    </row>
    <row r="35" spans="1:14">
      <c r="A35" s="1157" t="s">
        <v>1654</v>
      </c>
      <c r="B35" s="1168" t="s">
        <v>1655</v>
      </c>
      <c r="C35" s="1168" t="s">
        <v>1615</v>
      </c>
      <c r="D35" s="1239">
        <f>'4.6_свод'!G83</f>
        <v>4727</v>
      </c>
      <c r="E35" s="1158">
        <f>'Исходные данные_КТЭЦ'!E35+'Исходные данные_котельн'!E35</f>
        <v>125785.765</v>
      </c>
      <c r="F35" s="1158">
        <f>'Исходные данные_КТЭЦ'!F35+'Исходные данные_котельн'!F35</f>
        <v>149960</v>
      </c>
      <c r="G35" s="1166"/>
      <c r="H35" s="1158" t="e">
        <f>'Исходные данные_КТЭЦ'!H35+'Исходные данные_котельн'!H35</f>
        <v>#REF!</v>
      </c>
      <c r="I35" s="1169">
        <f t="shared" ref="I35" si="5">ROUND((I28+I29+I30)/0.8*0.2,0)</f>
        <v>0</v>
      </c>
      <c r="J35" s="1177" t="s">
        <v>1628</v>
      </c>
    </row>
    <row r="36" spans="1:14" ht="16.5" thickBot="1">
      <c r="A36" s="1182">
        <f>A27+1</f>
        <v>19</v>
      </c>
      <c r="B36" s="1249" t="s">
        <v>1682</v>
      </c>
      <c r="C36" s="1249" t="s">
        <v>1615</v>
      </c>
      <c r="D36" s="1259">
        <f>D12+D13+D14+D15+D16+D17+D18+D7+D8+D9+D10+D11+D27+D19</f>
        <v>5609281.6747991396</v>
      </c>
      <c r="E36" s="1250">
        <f>E12+E13+E14+E15+E16+E17+E18+E7+E8+E9+E10+E11+E27+E19+2</f>
        <v>6997215.6571523435</v>
      </c>
      <c r="F36" s="1250">
        <f>F12+F13+F14+F15+F16+F17+F18+F7+F8+F9+F10+F11+F27+F19</f>
        <v>8001116.3365495568</v>
      </c>
      <c r="G36" s="1250">
        <f t="shared" ref="G36:I36" si="6">G12+G13+G14+G15+G16+G17+G18+G7+G8+G9+G10+G11+G27+G19</f>
        <v>0</v>
      </c>
      <c r="H36" s="1250" t="e">
        <f>H12+H13+H14+H15+H16+H17+H18+H7+H8+H9+H10+H11+H27+H19</f>
        <v>#REF!</v>
      </c>
      <c r="I36" s="1184" t="e">
        <f t="shared" si="6"/>
        <v>#DIV/0!</v>
      </c>
      <c r="J36" s="1185"/>
      <c r="L36" s="1186"/>
    </row>
    <row r="37" spans="1:14" ht="32.25" thickTop="1">
      <c r="A37" s="1251"/>
      <c r="B37" s="1252" t="s">
        <v>1686</v>
      </c>
      <c r="C37" s="1253" t="s">
        <v>1615</v>
      </c>
      <c r="D37" s="1254">
        <f>'4.6_свод'!G84</f>
        <v>-39275</v>
      </c>
      <c r="E37" s="1254">
        <f>'Исходные данные_КТЭЦ'!E37+'Исходные данные_котельн'!E37</f>
        <v>2029720.9</v>
      </c>
      <c r="F37" s="1254">
        <f>'Исходные данные_КТЭЦ'!F37+'Исходные данные_котельн'!F37</f>
        <v>0</v>
      </c>
      <c r="G37" s="1254">
        <f>'Исходные данные_КТЭЦ'!G37+'Исходные данные_котельн'!G37</f>
        <v>0</v>
      </c>
      <c r="H37" s="1254">
        <f>'Исходные данные_КТЭЦ'!H37+'Исходные данные_котельн'!H37</f>
        <v>0</v>
      </c>
      <c r="I37" s="1247"/>
      <c r="J37" s="1185"/>
      <c r="L37" s="1186"/>
    </row>
    <row r="38" spans="1:14">
      <c r="A38" s="1251"/>
      <c r="B38" s="1255" t="s">
        <v>1683</v>
      </c>
      <c r="C38" s="1256" t="s">
        <v>1615</v>
      </c>
      <c r="D38" s="1257">
        <f t="shared" ref="D38:H38" si="7">D36+D37</f>
        <v>5570006.6747991396</v>
      </c>
      <c r="E38" s="1257">
        <f t="shared" si="7"/>
        <v>9026936.5571523439</v>
      </c>
      <c r="F38" s="1257">
        <f t="shared" si="7"/>
        <v>8001116.3365495568</v>
      </c>
      <c r="G38" s="1257">
        <f t="shared" si="7"/>
        <v>0</v>
      </c>
      <c r="H38" s="1257" t="e">
        <f t="shared" si="7"/>
        <v>#REF!</v>
      </c>
      <c r="I38" s="1247"/>
      <c r="J38" s="1185"/>
      <c r="L38" s="1186"/>
    </row>
    <row r="39" spans="1:14">
      <c r="A39" s="1251"/>
      <c r="B39" s="1255" t="s">
        <v>1684</v>
      </c>
      <c r="C39" s="1258" t="s">
        <v>804</v>
      </c>
      <c r="D39" s="1261">
        <f>'4.6_свод'!G97</f>
        <v>1370.5355758999997</v>
      </c>
      <c r="E39" s="1261">
        <f>'4.6_свод'!K97</f>
        <v>1249.7249999999999</v>
      </c>
      <c r="F39" s="1261">
        <f>'Исходные данные_КТЭЦ'!F39+'Исходные данные_котельн'!F39</f>
        <v>1249.7249999999999</v>
      </c>
      <c r="G39" s="1261">
        <f>'Исходные данные_КТЭЦ'!G39+'Исходные данные_котельн'!G39</f>
        <v>1249.7249999999999</v>
      </c>
      <c r="H39" s="1261" t="e">
        <f>'Исходные данные_КТЭЦ'!H39+'Исходные данные_котельн'!H39</f>
        <v>#REF!</v>
      </c>
      <c r="I39" s="1247"/>
      <c r="J39" s="1185"/>
      <c r="L39" s="1186"/>
    </row>
    <row r="40" spans="1:14">
      <c r="A40" s="1251"/>
      <c r="B40" s="1255" t="s">
        <v>417</v>
      </c>
      <c r="C40" s="1255" t="s">
        <v>1685</v>
      </c>
      <c r="D40" s="1260">
        <f t="shared" ref="D40:H40" si="8">D38/D39</f>
        <v>4064.1095151006512</v>
      </c>
      <c r="E40" s="1260">
        <f t="shared" si="8"/>
        <v>7223.1383361558301</v>
      </c>
      <c r="F40" s="1260">
        <f t="shared" si="8"/>
        <v>6402.3015755862752</v>
      </c>
      <c r="G40" s="1260">
        <f t="shared" si="8"/>
        <v>0</v>
      </c>
      <c r="H40" s="1260" t="e">
        <f t="shared" si="8"/>
        <v>#REF!</v>
      </c>
      <c r="I40" s="1247"/>
      <c r="J40" s="1185"/>
      <c r="L40" s="1186"/>
    </row>
    <row r="41" spans="1:14" ht="16.5" thickBot="1">
      <c r="A41" s="1196"/>
      <c r="B41" s="1262" t="s">
        <v>1687</v>
      </c>
      <c r="C41" s="1263"/>
      <c r="D41" s="1265"/>
      <c r="E41" s="1267">
        <f>E40/D40*100</f>
        <v>177.7299137564442</v>
      </c>
      <c r="F41" s="1267">
        <f>F40/E40*100</f>
        <v>88.636009413514756</v>
      </c>
      <c r="G41" s="1265"/>
      <c r="H41" s="1267" t="e">
        <f>H40/F40*100</f>
        <v>#REF!</v>
      </c>
      <c r="I41" s="1247"/>
      <c r="J41" s="1185"/>
      <c r="L41" s="1186"/>
    </row>
    <row r="42" spans="1:14" ht="16.5" thickTop="1">
      <c r="A42" s="1146">
        <f>A36+1</f>
        <v>20</v>
      </c>
      <c r="B42" s="1153" t="s">
        <v>1656</v>
      </c>
      <c r="C42" s="1153" t="s">
        <v>1657</v>
      </c>
      <c r="D42" s="1187">
        <f>'[13] 4.4.'!F33</f>
        <v>262.7</v>
      </c>
      <c r="E42" s="1187">
        <v>224.71049861230739</v>
      </c>
      <c r="F42" s="1187"/>
      <c r="G42" s="1187"/>
      <c r="H42" s="1187"/>
      <c r="I42" s="1187"/>
      <c r="J42" s="1188"/>
      <c r="L42" s="1156"/>
      <c r="M42" s="1156"/>
      <c r="N42" s="1156"/>
    </row>
    <row r="43" spans="1:14">
      <c r="A43" s="1150">
        <f t="shared" ref="A43:A54" si="9">A42+1</f>
        <v>21</v>
      </c>
      <c r="B43" s="1189" t="s">
        <v>1658</v>
      </c>
      <c r="C43" s="1189"/>
      <c r="D43" s="1190">
        <f>'[13] 4.4.'!F61</f>
        <v>0.71</v>
      </c>
      <c r="E43" s="1190">
        <f>'[13] 4.4.'!H61</f>
        <v>0.71</v>
      </c>
      <c r="F43" s="1190"/>
      <c r="G43" s="1190"/>
      <c r="H43" s="1190"/>
      <c r="I43" s="1190"/>
      <c r="J43" s="1188"/>
      <c r="L43" s="1156"/>
      <c r="M43" s="1156"/>
      <c r="N43" s="1156"/>
    </row>
    <row r="44" spans="1:14" ht="16.5" thickBot="1">
      <c r="A44" s="1182">
        <f t="shared" si="9"/>
        <v>22</v>
      </c>
      <c r="B44" s="1162" t="s">
        <v>1659</v>
      </c>
      <c r="C44" s="1162" t="s">
        <v>231</v>
      </c>
      <c r="D44" s="1191">
        <f>'[13]4. 5'!N64</f>
        <v>4654.68</v>
      </c>
      <c r="E44" s="1191">
        <f>'[13]4. 5'!N82</f>
        <v>4830.6499999999996</v>
      </c>
      <c r="F44" s="1191"/>
      <c r="G44" s="1191"/>
      <c r="H44" s="1191"/>
      <c r="I44" s="1191"/>
      <c r="J44" s="1192"/>
      <c r="K44" s="1186"/>
      <c r="L44" s="1156"/>
      <c r="M44" s="1156"/>
      <c r="N44" s="1156"/>
    </row>
    <row r="45" spans="1:14" ht="16.5" thickTop="1">
      <c r="A45" s="1146">
        <f>A44+1</f>
        <v>23</v>
      </c>
      <c r="B45" s="1153" t="s">
        <v>1660</v>
      </c>
      <c r="C45" s="1153" t="s">
        <v>1661</v>
      </c>
      <c r="D45" s="1187">
        <f>'[13] 4.4.'!F36</f>
        <v>170.7</v>
      </c>
      <c r="E45" s="1187">
        <v>173.7</v>
      </c>
      <c r="F45" s="1187"/>
      <c r="G45" s="1187"/>
      <c r="H45" s="1187"/>
      <c r="I45" s="1187"/>
      <c r="J45" s="1192"/>
      <c r="L45" s="1156"/>
      <c r="M45" s="1156"/>
      <c r="N45" s="1156"/>
    </row>
    <row r="46" spans="1:14">
      <c r="A46" s="1150">
        <f t="shared" si="9"/>
        <v>24</v>
      </c>
      <c r="B46" s="1189" t="s">
        <v>1658</v>
      </c>
      <c r="C46" s="1189"/>
      <c r="D46" s="1190">
        <f>'[13] 4.4.'!H61</f>
        <v>0.71</v>
      </c>
      <c r="E46" s="1190">
        <f>'[13] 4.4.'!H64</f>
        <v>1.129</v>
      </c>
      <c r="F46" s="1190"/>
      <c r="G46" s="1190"/>
      <c r="H46" s="1190"/>
      <c r="I46" s="1190"/>
      <c r="J46" s="1192"/>
      <c r="L46" s="1156"/>
      <c r="M46" s="1156"/>
      <c r="N46" s="1156"/>
    </row>
    <row r="47" spans="1:14" ht="16.5" thickBot="1">
      <c r="A47" s="1182">
        <f t="shared" si="9"/>
        <v>25</v>
      </c>
      <c r="B47" s="1162" t="s">
        <v>1662</v>
      </c>
      <c r="C47" s="1162" t="s">
        <v>231</v>
      </c>
      <c r="D47" s="1191">
        <f>'[14]4. 5'!N67</f>
        <v>0</v>
      </c>
      <c r="E47" s="1191">
        <f>'[13]4. 5'!N85</f>
        <v>5904.3200000000006</v>
      </c>
      <c r="F47" s="1191"/>
      <c r="G47" s="1191"/>
      <c r="H47" s="1191"/>
      <c r="I47" s="1191"/>
      <c r="J47" s="1192"/>
      <c r="K47" s="1186">
        <f>E36+'[13]4.6_свод'!G108</f>
        <v>7437955.6571523435</v>
      </c>
      <c r="L47" s="1156"/>
      <c r="M47" s="1156"/>
      <c r="N47" s="1156"/>
    </row>
    <row r="48" spans="1:14" ht="17.25" thickTop="1" thickBot="1">
      <c r="A48" s="1182">
        <f>A47+1</f>
        <v>26</v>
      </c>
      <c r="B48" s="1189" t="s">
        <v>1663</v>
      </c>
      <c r="C48" s="1189" t="s">
        <v>326</v>
      </c>
      <c r="D48" s="1193"/>
      <c r="E48" s="1193"/>
      <c r="F48" s="1193"/>
      <c r="G48" s="1193"/>
      <c r="H48" s="1193"/>
      <c r="I48" s="1193"/>
      <c r="J48" s="1192"/>
      <c r="K48" s="1186">
        <f>'[13]4.6_свод'!G110</f>
        <v>1738834.2786218845</v>
      </c>
      <c r="L48" s="1156"/>
      <c r="M48" s="1156"/>
      <c r="N48" s="1156"/>
    </row>
    <row r="49" spans="1:15" ht="16.5" thickTop="1">
      <c r="A49" s="1164">
        <f t="shared" si="9"/>
        <v>27</v>
      </c>
      <c r="B49" s="1153" t="s">
        <v>1053</v>
      </c>
      <c r="C49" s="1153" t="s">
        <v>1664</v>
      </c>
      <c r="D49" s="1194">
        <f>'[13]4. 7'!F111</f>
        <v>7715.3895142135198</v>
      </c>
      <c r="E49" s="1194">
        <f>'[13]4. 7'!F143</f>
        <v>10396</v>
      </c>
      <c r="F49" s="1194"/>
      <c r="G49" s="1194"/>
      <c r="H49" s="1194"/>
      <c r="I49" s="1194"/>
      <c r="J49" s="1192"/>
      <c r="K49" s="1186">
        <f>K47-K48</f>
        <v>5699121.3785304595</v>
      </c>
      <c r="L49" s="1195"/>
      <c r="M49" s="1195"/>
      <c r="N49" s="1195"/>
    </row>
    <row r="50" spans="1:15" ht="16.5" thickBot="1">
      <c r="A50" s="1196">
        <f t="shared" si="9"/>
        <v>28</v>
      </c>
      <c r="B50" s="1183" t="s">
        <v>1665</v>
      </c>
      <c r="C50" s="1162" t="s">
        <v>1666</v>
      </c>
      <c r="D50" s="1197">
        <f>'[13]4. 7'!J111</f>
        <v>5.577015353547635</v>
      </c>
      <c r="E50" s="1197">
        <f>'[13]4. 7'!J143</f>
        <v>6.0560280477106581</v>
      </c>
      <c r="F50" s="1197"/>
      <c r="G50" s="1198"/>
      <c r="H50" s="1198"/>
      <c r="I50" s="1198"/>
      <c r="J50" s="1188"/>
      <c r="L50" s="1156"/>
      <c r="M50" s="1156"/>
      <c r="N50" s="1156"/>
    </row>
    <row r="51" spans="1:15" ht="16.5" thickTop="1">
      <c r="A51" s="1199">
        <f t="shared" si="9"/>
        <v>29</v>
      </c>
      <c r="B51" s="1153" t="s">
        <v>1667</v>
      </c>
      <c r="C51" s="1200" t="s">
        <v>1668</v>
      </c>
      <c r="D51" s="1201"/>
      <c r="E51" s="1201"/>
      <c r="F51" s="1201"/>
      <c r="G51" s="1201"/>
      <c r="H51" s="1201"/>
      <c r="I51" s="1201"/>
      <c r="J51" s="1192"/>
      <c r="L51" s="1156"/>
      <c r="M51" s="1156"/>
      <c r="N51" s="1156"/>
      <c r="O51" s="1156"/>
    </row>
    <row r="52" spans="1:15" ht="16.5" thickBot="1">
      <c r="A52" s="1146">
        <f t="shared" si="9"/>
        <v>30</v>
      </c>
      <c r="B52" s="1202" t="s">
        <v>740</v>
      </c>
      <c r="C52" s="1202" t="s">
        <v>1669</v>
      </c>
      <c r="D52" s="1203"/>
      <c r="E52" s="1203"/>
      <c r="F52" s="1203"/>
      <c r="G52" s="1203"/>
      <c r="H52" s="1203"/>
      <c r="I52" s="1203"/>
      <c r="J52" s="1188"/>
      <c r="L52" s="1156"/>
      <c r="M52" s="1156"/>
      <c r="N52" s="1156"/>
    </row>
    <row r="53" spans="1:15" ht="16.5" thickTop="1">
      <c r="A53" s="1199">
        <f t="shared" si="9"/>
        <v>31</v>
      </c>
      <c r="B53" s="1153" t="s">
        <v>1670</v>
      </c>
      <c r="C53" s="1153" t="s">
        <v>1668</v>
      </c>
      <c r="D53" s="1204">
        <f>'[13]4. 8 '!U8/1000</f>
        <v>991.66234999999995</v>
      </c>
      <c r="E53" s="1204">
        <f>'[13]4. 8 '!AA8/1000</f>
        <v>992</v>
      </c>
      <c r="F53" s="1204"/>
      <c r="G53" s="1194"/>
      <c r="H53" s="1194"/>
      <c r="I53" s="1194"/>
      <c r="J53" s="1192"/>
    </row>
    <row r="54" spans="1:15">
      <c r="A54" s="1146">
        <f t="shared" si="9"/>
        <v>32</v>
      </c>
      <c r="B54" s="1144" t="s">
        <v>1671</v>
      </c>
      <c r="C54" s="1144" t="s">
        <v>1669</v>
      </c>
      <c r="D54" s="1205">
        <f>'[13]4. 8 '!V8*1000</f>
        <v>8.0596088189796298</v>
      </c>
      <c r="E54" s="1205">
        <f>'[13]4. 8 '!AB8*1000</f>
        <v>8.3552206296612894</v>
      </c>
      <c r="F54" s="1205"/>
      <c r="G54" s="1205"/>
      <c r="H54" s="1205"/>
      <c r="I54" s="1205"/>
      <c r="J54" s="1188"/>
      <c r="L54" s="1156"/>
      <c r="M54" s="1156"/>
      <c r="N54" s="1156"/>
    </row>
    <row r="56" spans="1:15">
      <c r="L56" s="1156"/>
      <c r="M56" s="1156"/>
      <c r="N56" s="1156"/>
    </row>
    <row r="57" spans="1:15">
      <c r="E57" s="1186">
        <f>E36-'[13]5.9'!D18</f>
        <v>5823113.2933918834</v>
      </c>
    </row>
  </sheetData>
  <mergeCells count="1">
    <mergeCell ref="A1:I1"/>
  </mergeCells>
  <pageMargins left="0.7" right="0.7" top="0.75" bottom="0.75" header="0.3" footer="0.3"/>
  <pageSetup paperSize="9" scale="79" orientation="portrait" r:id="rId1"/>
  <legacy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G40"/>
  <sheetViews>
    <sheetView view="pageBreakPreview" topLeftCell="A2" zoomScaleNormal="100" workbookViewId="0">
      <selection activeCell="G18" sqref="G18"/>
    </sheetView>
  </sheetViews>
  <sheetFormatPr defaultColWidth="2.7109375" defaultRowHeight="15"/>
  <cols>
    <col min="1" max="1" width="6.140625" style="1" customWidth="1"/>
    <col min="2" max="2" width="49" style="1" customWidth="1"/>
    <col min="3" max="4" width="18.140625" style="1" customWidth="1"/>
    <col min="5" max="5" width="18.5703125" style="1" customWidth="1"/>
    <col min="6" max="6" width="10.5703125" style="1" customWidth="1"/>
    <col min="7" max="57" width="8.28515625" style="1" customWidth="1"/>
    <col min="58" max="16384" width="2.7109375" style="1"/>
  </cols>
  <sheetData>
    <row r="1" spans="1:6" s="5" customFormat="1" ht="18" customHeight="1">
      <c r="A1" s="74" t="s">
        <v>1860</v>
      </c>
      <c r="E1" s="6" t="s">
        <v>1291</v>
      </c>
    </row>
    <row r="2" spans="1:6" ht="12.75" customHeight="1">
      <c r="A2" s="1139" t="s">
        <v>1678</v>
      </c>
    </row>
    <row r="3" spans="1:6" ht="57.75" customHeight="1">
      <c r="A3" s="1915" t="s">
        <v>1292</v>
      </c>
      <c r="B3" s="1915"/>
      <c r="C3" s="1915"/>
      <c r="D3" s="1915"/>
      <c r="E3" s="1915"/>
    </row>
    <row r="4" spans="1:6" ht="12.75" customHeight="1">
      <c r="B4" s="769"/>
      <c r="C4" s="769"/>
      <c r="D4" s="1751"/>
      <c r="E4" s="769"/>
    </row>
    <row r="5" spans="1:6" ht="14.25" customHeight="1">
      <c r="E5" s="23" t="s">
        <v>360</v>
      </c>
    </row>
    <row r="6" spans="1:6" s="3" customFormat="1" ht="75">
      <c r="A6" s="1858" t="s">
        <v>0</v>
      </c>
      <c r="B6" s="1858" t="s">
        <v>1293</v>
      </c>
      <c r="C6" s="1858" t="s">
        <v>1712</v>
      </c>
      <c r="D6" s="1858" t="s">
        <v>1963</v>
      </c>
      <c r="E6" s="1754" t="s">
        <v>1960</v>
      </c>
      <c r="F6" s="22"/>
    </row>
    <row r="7" spans="1:6" s="3" customFormat="1" ht="43.5" customHeight="1">
      <c r="A7" s="1971"/>
      <c r="B7" s="1971"/>
      <c r="C7" s="1971"/>
      <c r="D7" s="1971"/>
      <c r="E7" s="1754" t="s">
        <v>1961</v>
      </c>
      <c r="F7" s="22"/>
    </row>
    <row r="8" spans="1:6" s="2" customFormat="1">
      <c r="A8" s="13">
        <v>1</v>
      </c>
      <c r="B8" s="13">
        <v>2</v>
      </c>
      <c r="C8" s="13">
        <v>3</v>
      </c>
      <c r="D8" s="13">
        <v>4</v>
      </c>
      <c r="E8" s="13">
        <v>5</v>
      </c>
    </row>
    <row r="9" spans="1:6" s="41" customFormat="1" ht="15" customHeight="1">
      <c r="A9" s="60" t="s">
        <v>89</v>
      </c>
      <c r="B9" s="68" t="s">
        <v>1294</v>
      </c>
      <c r="C9" s="250"/>
      <c r="D9" s="250"/>
      <c r="E9" s="250">
        <v>63434</v>
      </c>
      <c r="F9" s="1209"/>
    </row>
    <row r="10" spans="1:6" s="41" customFormat="1" ht="15" customHeight="1">
      <c r="A10" s="60" t="s">
        <v>91</v>
      </c>
      <c r="B10" s="68" t="s">
        <v>1295</v>
      </c>
      <c r="C10" s="337"/>
      <c r="D10" s="337"/>
      <c r="E10" s="337">
        <v>224339</v>
      </c>
      <c r="F10" s="1209"/>
    </row>
    <row r="11" spans="1:6" s="41" customFormat="1" ht="15" customHeight="1">
      <c r="A11" s="60" t="s">
        <v>93</v>
      </c>
      <c r="B11" s="70" t="s">
        <v>1296</v>
      </c>
      <c r="C11" s="337"/>
      <c r="D11" s="337"/>
      <c r="E11" s="337">
        <v>954051.10095999995</v>
      </c>
      <c r="F11" s="1209"/>
    </row>
    <row r="12" spans="1:6" s="41" customFormat="1" ht="45">
      <c r="A12" s="60" t="s">
        <v>95</v>
      </c>
      <c r="B12" s="70" t="s">
        <v>1297</v>
      </c>
      <c r="C12" s="308"/>
      <c r="D12" s="308"/>
      <c r="E12" s="308">
        <v>61200</v>
      </c>
      <c r="F12" s="1210"/>
    </row>
    <row r="13" spans="1:6" s="41" customFormat="1" ht="30.75" customHeight="1">
      <c r="A13" s="60" t="s">
        <v>97</v>
      </c>
      <c r="B13" s="68" t="s">
        <v>1298</v>
      </c>
      <c r="C13" s="337">
        <f>SUM(C14:C19)</f>
        <v>0</v>
      </c>
      <c r="D13" s="337"/>
      <c r="E13" s="337">
        <v>65576</v>
      </c>
      <c r="F13" s="1209"/>
    </row>
    <row r="14" spans="1:6" s="41" customFormat="1" ht="15" customHeight="1">
      <c r="A14" s="60" t="s">
        <v>915</v>
      </c>
      <c r="B14" s="70" t="s">
        <v>1299</v>
      </c>
      <c r="C14" s="337"/>
      <c r="D14" s="337"/>
      <c r="E14" s="337">
        <v>4737</v>
      </c>
      <c r="F14" s="1209"/>
    </row>
    <row r="15" spans="1:6" s="41" customFormat="1" ht="15" customHeight="1">
      <c r="A15" s="60" t="s">
        <v>916</v>
      </c>
      <c r="B15" s="70" t="s">
        <v>1300</v>
      </c>
      <c r="C15" s="337"/>
      <c r="D15" s="337"/>
      <c r="E15" s="337">
        <v>33659</v>
      </c>
      <c r="F15" s="1209"/>
    </row>
    <row r="16" spans="1:6" s="41" customFormat="1" ht="15" customHeight="1">
      <c r="A16" s="60" t="s">
        <v>917</v>
      </c>
      <c r="B16" s="70" t="s">
        <v>1301</v>
      </c>
      <c r="C16" s="337"/>
      <c r="D16" s="337"/>
      <c r="E16" s="337">
        <v>0</v>
      </c>
      <c r="F16" s="1209"/>
    </row>
    <row r="17" spans="1:6" s="41" customFormat="1" ht="30">
      <c r="A17" s="60" t="s">
        <v>918</v>
      </c>
      <c r="B17" s="70" t="s">
        <v>1302</v>
      </c>
      <c r="C17" s="308"/>
      <c r="D17" s="308"/>
      <c r="E17" s="308">
        <v>2545</v>
      </c>
      <c r="F17" s="1210"/>
    </row>
    <row r="18" spans="1:6" s="41" customFormat="1" ht="30">
      <c r="A18" s="60" t="s">
        <v>919</v>
      </c>
      <c r="B18" s="68" t="s">
        <v>1303</v>
      </c>
      <c r="C18" s="337"/>
      <c r="D18" s="337"/>
      <c r="E18" s="337"/>
      <c r="F18" s="1209"/>
    </row>
    <row r="19" spans="1:6" s="41" customFormat="1" ht="15" customHeight="1">
      <c r="A19" s="60" t="s">
        <v>920</v>
      </c>
      <c r="B19" s="68" t="s">
        <v>1304</v>
      </c>
      <c r="C19" s="250"/>
      <c r="D19" s="250"/>
      <c r="E19" s="250">
        <v>24635</v>
      </c>
      <c r="F19" s="1209"/>
    </row>
    <row r="20" spans="1:6" s="41" customFormat="1" ht="17.25" customHeight="1">
      <c r="A20" s="60" t="s">
        <v>582</v>
      </c>
      <c r="B20" s="68" t="s">
        <v>1305</v>
      </c>
      <c r="C20" s="250"/>
      <c r="D20" s="250"/>
      <c r="E20" s="250">
        <v>3552</v>
      </c>
      <c r="F20" s="1209"/>
    </row>
    <row r="21" spans="1:6" s="41" customFormat="1" ht="17.25" customHeight="1">
      <c r="A21" s="60" t="s">
        <v>615</v>
      </c>
      <c r="B21" s="68" t="s">
        <v>1306</v>
      </c>
      <c r="C21" s="250"/>
      <c r="D21" s="250"/>
      <c r="E21" s="250">
        <v>1512</v>
      </c>
      <c r="F21" s="1209"/>
    </row>
    <row r="22" spans="1:6" s="41" customFormat="1" ht="15" customHeight="1">
      <c r="A22" s="60" t="s">
        <v>649</v>
      </c>
      <c r="B22" s="830" t="s">
        <v>1307</v>
      </c>
      <c r="C22" s="337"/>
      <c r="D22" s="337"/>
      <c r="E22" s="337"/>
      <c r="F22" s="1209"/>
    </row>
    <row r="23" spans="1:6" s="41" customFormat="1" ht="15" customHeight="1">
      <c r="A23" s="60" t="s">
        <v>1028</v>
      </c>
      <c r="B23" s="830" t="s">
        <v>1308</v>
      </c>
      <c r="C23" s="337"/>
      <c r="D23" s="337"/>
      <c r="E23" s="337"/>
      <c r="F23" s="1209"/>
    </row>
    <row r="24" spans="1:6" s="41" customFormat="1" ht="15" customHeight="1">
      <c r="A24" s="60" t="s">
        <v>1309</v>
      </c>
      <c r="B24" s="68" t="s">
        <v>1310</v>
      </c>
      <c r="C24" s="250">
        <f>SUM(C25:C34)</f>
        <v>0</v>
      </c>
      <c r="D24" s="250"/>
      <c r="E24" s="250">
        <v>28296</v>
      </c>
      <c r="F24" s="1209"/>
    </row>
    <row r="25" spans="1:6" s="41" customFormat="1">
      <c r="A25" s="60" t="s">
        <v>1311</v>
      </c>
      <c r="B25" s="830" t="s">
        <v>1312</v>
      </c>
      <c r="C25" s="337"/>
      <c r="D25" s="337"/>
      <c r="E25" s="337">
        <v>19258</v>
      </c>
      <c r="F25" s="1209"/>
    </row>
    <row r="26" spans="1:6" s="41" customFormat="1" ht="15" customHeight="1">
      <c r="A26" s="60" t="s">
        <v>1313</v>
      </c>
      <c r="B26" s="830" t="s">
        <v>1314</v>
      </c>
      <c r="C26" s="337"/>
      <c r="D26" s="337"/>
      <c r="E26" s="337">
        <v>4747</v>
      </c>
      <c r="F26" s="1209"/>
    </row>
    <row r="27" spans="1:6" s="41" customFormat="1" ht="15" customHeight="1">
      <c r="A27" s="60" t="s">
        <v>1315</v>
      </c>
      <c r="B27" s="830" t="s">
        <v>1316</v>
      </c>
      <c r="C27" s="337"/>
      <c r="D27" s="337"/>
      <c r="E27" s="337">
        <v>852</v>
      </c>
      <c r="F27" s="1209"/>
    </row>
    <row r="28" spans="1:6" s="41" customFormat="1" ht="15" customHeight="1">
      <c r="A28" s="60" t="s">
        <v>1317</v>
      </c>
      <c r="B28" s="830" t="s">
        <v>1318</v>
      </c>
      <c r="C28" s="337"/>
      <c r="D28" s="337"/>
      <c r="E28" s="337">
        <v>0</v>
      </c>
      <c r="F28" s="1209"/>
    </row>
    <row r="29" spans="1:6" s="41" customFormat="1" ht="15" customHeight="1">
      <c r="A29" s="60" t="s">
        <v>1319</v>
      </c>
      <c r="B29" s="830" t="s">
        <v>1320</v>
      </c>
      <c r="C29" s="337"/>
      <c r="D29" s="337"/>
      <c r="E29" s="337">
        <v>2941</v>
      </c>
      <c r="F29" s="1209"/>
    </row>
    <row r="30" spans="1:6" s="41" customFormat="1" ht="15" customHeight="1">
      <c r="A30" s="60" t="s">
        <v>1321</v>
      </c>
      <c r="B30" s="830" t="s">
        <v>1677</v>
      </c>
      <c r="C30" s="337"/>
      <c r="D30" s="337"/>
      <c r="E30" s="337">
        <v>498</v>
      </c>
      <c r="F30" s="1209"/>
    </row>
    <row r="31" spans="1:6" s="41" customFormat="1" ht="15" hidden="1" customHeight="1">
      <c r="A31" s="60" t="s">
        <v>1322</v>
      </c>
      <c r="B31" s="830"/>
      <c r="C31" s="337"/>
      <c r="D31" s="337"/>
      <c r="E31" s="337"/>
    </row>
    <row r="32" spans="1:6" s="41" customFormat="1" ht="15" hidden="1" customHeight="1">
      <c r="A32" s="60" t="s">
        <v>1323</v>
      </c>
      <c r="B32" s="833"/>
      <c r="C32" s="337"/>
      <c r="D32" s="337"/>
      <c r="E32" s="337"/>
    </row>
    <row r="33" spans="1:7" s="41" customFormat="1" ht="15" hidden="1" customHeight="1">
      <c r="A33" s="60" t="s">
        <v>1324</v>
      </c>
      <c r="B33" s="833"/>
      <c r="C33" s="337"/>
      <c r="D33" s="337"/>
      <c r="E33" s="337"/>
    </row>
    <row r="34" spans="1:7" s="41" customFormat="1" ht="15" hidden="1" customHeight="1">
      <c r="A34" s="60" t="s">
        <v>1325</v>
      </c>
      <c r="B34" s="833"/>
      <c r="C34" s="337"/>
      <c r="D34" s="337"/>
      <c r="E34" s="337"/>
    </row>
    <row r="35" spans="1:7" s="810" customFormat="1" ht="15" customHeight="1">
      <c r="A35" s="82"/>
      <c r="B35" s="808" t="s">
        <v>1326</v>
      </c>
      <c r="C35" s="809">
        <f>C9+C10+C11+C12+C13+C20+C21+C22+C23+C24</f>
        <v>0</v>
      </c>
      <c r="D35" s="809"/>
      <c r="E35" s="809">
        <f>E9+E10+E11+E12+E13+E20+E21+E22+E23+E24</f>
        <v>1401960.10096</v>
      </c>
      <c r="F35" s="1209"/>
    </row>
    <row r="37" spans="1:7" s="26" customFormat="1">
      <c r="A37" s="26" t="s">
        <v>1327</v>
      </c>
    </row>
    <row r="38" spans="1:7" s="773" customFormat="1" ht="30" customHeight="1">
      <c r="A38" s="773" t="s">
        <v>89</v>
      </c>
      <c r="B38" s="1842" t="s">
        <v>1328</v>
      </c>
      <c r="C38" s="1970"/>
      <c r="D38" s="1970"/>
      <c r="E38" s="1970"/>
      <c r="F38" s="811"/>
      <c r="G38" s="811"/>
    </row>
    <row r="39" spans="1:7" s="773" customFormat="1">
      <c r="B39" s="1842"/>
      <c r="C39" s="1842"/>
      <c r="D39" s="1842"/>
      <c r="E39" s="1842"/>
    </row>
    <row r="40" spans="1:7" ht="15.75" customHeight="1"/>
  </sheetData>
  <mergeCells count="7">
    <mergeCell ref="A3:E3"/>
    <mergeCell ref="B38:E38"/>
    <mergeCell ref="B39:E39"/>
    <mergeCell ref="A6:A7"/>
    <mergeCell ref="B6:B7"/>
    <mergeCell ref="C6:C7"/>
    <mergeCell ref="D6:D7"/>
  </mergeCells>
  <pageMargins left="0.78740157480314965" right="0.51181102362204722" top="0.59055118110236227" bottom="0.39370078740157483" header="0.19685039370078741" footer="0.19685039370078741"/>
  <pageSetup paperSize="9" scale="82" orientation="portrait" r:id="rId1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G40"/>
  <sheetViews>
    <sheetView view="pageBreakPreview" zoomScaleNormal="100" workbookViewId="0">
      <selection activeCell="F14" sqref="F14"/>
    </sheetView>
  </sheetViews>
  <sheetFormatPr defaultColWidth="2.7109375" defaultRowHeight="15"/>
  <cols>
    <col min="1" max="1" width="6.140625" style="1" customWidth="1"/>
    <col min="2" max="2" width="49" style="1" customWidth="1"/>
    <col min="3" max="4" width="18.140625" style="1" customWidth="1"/>
    <col min="5" max="5" width="18.5703125" style="1" customWidth="1"/>
    <col min="6" max="57" width="8.28515625" style="1" customWidth="1"/>
    <col min="58" max="16384" width="2.7109375" style="1"/>
  </cols>
  <sheetData>
    <row r="1" spans="1:5" s="5" customFormat="1" ht="18" customHeight="1">
      <c r="A1" s="74" t="s">
        <v>1860</v>
      </c>
      <c r="E1" s="6" t="s">
        <v>1291</v>
      </c>
    </row>
    <row r="2" spans="1:5" ht="12.75" customHeight="1">
      <c r="A2" s="759" t="s">
        <v>1678</v>
      </c>
    </row>
    <row r="3" spans="1:5" ht="57.75" customHeight="1">
      <c r="A3" s="1915" t="s">
        <v>1292</v>
      </c>
      <c r="B3" s="1915"/>
      <c r="C3" s="1915"/>
      <c r="D3" s="1915"/>
      <c r="E3" s="1915"/>
    </row>
    <row r="4" spans="1:5" ht="12.75" customHeight="1">
      <c r="B4" s="769"/>
      <c r="C4" s="769"/>
      <c r="D4" s="1751"/>
      <c r="E4" s="769"/>
    </row>
    <row r="5" spans="1:5" ht="14.25" customHeight="1">
      <c r="A5" s="812" t="s">
        <v>1329</v>
      </c>
      <c r="E5" s="23" t="s">
        <v>360</v>
      </c>
    </row>
    <row r="6" spans="1:5" s="3" customFormat="1" ht="75">
      <c r="A6" s="1858" t="s">
        <v>0</v>
      </c>
      <c r="B6" s="1858" t="s">
        <v>1293</v>
      </c>
      <c r="C6" s="1858" t="s">
        <v>1712</v>
      </c>
      <c r="D6" s="1858" t="s">
        <v>1959</v>
      </c>
      <c r="E6" s="1754" t="s">
        <v>1960</v>
      </c>
    </row>
    <row r="7" spans="1:5" s="3" customFormat="1" ht="43.5" customHeight="1">
      <c r="A7" s="1971"/>
      <c r="B7" s="1971"/>
      <c r="C7" s="1971"/>
      <c r="D7" s="1971"/>
      <c r="E7" s="1754" t="s">
        <v>1961</v>
      </c>
    </row>
    <row r="8" spans="1:5" s="2" customFormat="1">
      <c r="A8" s="13">
        <v>1</v>
      </c>
      <c r="B8" s="13">
        <v>2</v>
      </c>
      <c r="C8" s="13">
        <v>3</v>
      </c>
      <c r="D8" s="13">
        <v>4</v>
      </c>
      <c r="E8" s="13">
        <v>5</v>
      </c>
    </row>
    <row r="9" spans="1:5" s="41" customFormat="1" ht="15" customHeight="1">
      <c r="A9" s="60" t="s">
        <v>89</v>
      </c>
      <c r="B9" s="68" t="s">
        <v>1294</v>
      </c>
      <c r="C9" s="250"/>
      <c r="D9" s="250">
        <v>38324.784006403934</v>
      </c>
      <c r="E9" s="250">
        <v>38325</v>
      </c>
    </row>
    <row r="10" spans="1:5" s="41" customFormat="1" ht="15" customHeight="1">
      <c r="A10" s="60" t="s">
        <v>91</v>
      </c>
      <c r="B10" s="68" t="s">
        <v>1295</v>
      </c>
      <c r="C10" s="337"/>
      <c r="D10" s="337">
        <v>53967.886003220672</v>
      </c>
      <c r="E10" s="337">
        <v>100080</v>
      </c>
    </row>
    <row r="11" spans="1:5" s="41" customFormat="1" ht="15" customHeight="1">
      <c r="A11" s="60" t="s">
        <v>93</v>
      </c>
      <c r="B11" s="70" t="s">
        <v>1296</v>
      </c>
      <c r="C11" s="337"/>
      <c r="D11" s="337">
        <v>253792</v>
      </c>
      <c r="E11" s="337">
        <v>306958.78736000002</v>
      </c>
    </row>
    <row r="12" spans="1:5" s="41" customFormat="1" ht="45">
      <c r="A12" s="60" t="s">
        <v>95</v>
      </c>
      <c r="B12" s="70" t="s">
        <v>1297</v>
      </c>
      <c r="C12" s="840"/>
      <c r="D12" s="840">
        <v>22388.45241842611</v>
      </c>
      <c r="E12" s="840">
        <v>22388</v>
      </c>
    </row>
    <row r="13" spans="1:5" s="41" customFormat="1" ht="30.75" customHeight="1">
      <c r="A13" s="60" t="s">
        <v>97</v>
      </c>
      <c r="B13" s="68" t="s">
        <v>1298</v>
      </c>
      <c r="C13" s="840">
        <f>SUM(C14:C19)</f>
        <v>0</v>
      </c>
      <c r="D13" s="840">
        <v>18136.051843953133</v>
      </c>
      <c r="E13" s="840">
        <v>18135.951802483505</v>
      </c>
    </row>
    <row r="14" spans="1:5" s="41" customFormat="1" ht="15" customHeight="1">
      <c r="A14" s="60" t="s">
        <v>915</v>
      </c>
      <c r="B14" s="70" t="s">
        <v>1299</v>
      </c>
      <c r="C14" s="337"/>
      <c r="D14" s="337">
        <v>1310.1147780126357</v>
      </c>
      <c r="E14" s="337">
        <v>1310.1147780126357</v>
      </c>
    </row>
    <row r="15" spans="1:5" s="41" customFormat="1" ht="15" customHeight="1">
      <c r="A15" s="60" t="s">
        <v>916</v>
      </c>
      <c r="B15" s="70" t="s">
        <v>1300</v>
      </c>
      <c r="C15" s="337"/>
      <c r="D15" s="337">
        <v>8074.6657702426337</v>
      </c>
      <c r="E15" s="337">
        <v>8074.6657702426337</v>
      </c>
    </row>
    <row r="16" spans="1:5" s="41" customFormat="1" ht="15" customHeight="1">
      <c r="A16" s="60" t="s">
        <v>917</v>
      </c>
      <c r="B16" s="70" t="s">
        <v>1301</v>
      </c>
      <c r="C16" s="337"/>
      <c r="D16" s="337">
        <v>0</v>
      </c>
      <c r="E16" s="337">
        <v>0</v>
      </c>
    </row>
    <row r="17" spans="1:5" s="41" customFormat="1" ht="30">
      <c r="A17" s="60" t="s">
        <v>918</v>
      </c>
      <c r="B17" s="70" t="s">
        <v>1302</v>
      </c>
      <c r="C17" s="308"/>
      <c r="D17" s="308">
        <v>703.71175979118539</v>
      </c>
      <c r="E17" s="308">
        <v>703.71175979118539</v>
      </c>
    </row>
    <row r="18" spans="1:5" s="41" customFormat="1" ht="30">
      <c r="A18" s="60" t="s">
        <v>919</v>
      </c>
      <c r="B18" s="68" t="s">
        <v>1303</v>
      </c>
      <c r="C18" s="337"/>
      <c r="D18" s="337">
        <v>0</v>
      </c>
      <c r="E18" s="337"/>
    </row>
    <row r="19" spans="1:5" s="41" customFormat="1" ht="15" customHeight="1">
      <c r="A19" s="60" t="s">
        <v>920</v>
      </c>
      <c r="B19" s="68" t="s">
        <v>1304</v>
      </c>
      <c r="C19" s="250"/>
      <c r="D19" s="250">
        <v>8047.5595359066792</v>
      </c>
      <c r="E19" s="250">
        <v>8048.4594944370519</v>
      </c>
    </row>
    <row r="20" spans="1:5" s="41" customFormat="1" ht="17.25" customHeight="1">
      <c r="A20" s="60" t="s">
        <v>582</v>
      </c>
      <c r="B20" s="68" t="s">
        <v>1305</v>
      </c>
      <c r="C20" s="250"/>
      <c r="D20" s="250">
        <v>1146.7200864319839</v>
      </c>
      <c r="E20" s="250">
        <v>1147</v>
      </c>
    </row>
    <row r="21" spans="1:5" s="41" customFormat="1" ht="17.25" customHeight="1">
      <c r="A21" s="60" t="s">
        <v>615</v>
      </c>
      <c r="B21" s="68" t="s">
        <v>1306</v>
      </c>
      <c r="C21" s="250"/>
      <c r="D21" s="250">
        <v>638.72879215891203</v>
      </c>
      <c r="E21" s="250">
        <v>639</v>
      </c>
    </row>
    <row r="22" spans="1:5" s="41" customFormat="1" ht="15" customHeight="1">
      <c r="A22" s="60" t="s">
        <v>649</v>
      </c>
      <c r="B22" s="830" t="s">
        <v>1307</v>
      </c>
      <c r="C22" s="337"/>
      <c r="D22" s="337"/>
      <c r="E22" s="337"/>
    </row>
    <row r="23" spans="1:5" s="41" customFormat="1" ht="15" customHeight="1">
      <c r="A23" s="60" t="s">
        <v>1028</v>
      </c>
      <c r="B23" s="830" t="s">
        <v>1308</v>
      </c>
      <c r="C23" s="337"/>
      <c r="D23" s="337"/>
      <c r="E23" s="337"/>
    </row>
    <row r="24" spans="1:5" s="41" customFormat="1" ht="15" customHeight="1">
      <c r="A24" s="60" t="s">
        <v>1309</v>
      </c>
      <c r="B24" s="68" t="s">
        <v>1310</v>
      </c>
      <c r="C24" s="250">
        <f>SUM(C25:C34)</f>
        <v>0</v>
      </c>
      <c r="D24" s="250">
        <v>7626.6078032655187</v>
      </c>
      <c r="E24" s="250">
        <v>7627.0481975164939</v>
      </c>
    </row>
    <row r="25" spans="1:5" s="41" customFormat="1">
      <c r="A25" s="60" t="s">
        <v>1311</v>
      </c>
      <c r="B25" s="830" t="s">
        <v>1312</v>
      </c>
      <c r="C25" s="337"/>
      <c r="D25" s="337">
        <v>5326.0272491714859</v>
      </c>
      <c r="E25" s="337">
        <v>5326.0272491714859</v>
      </c>
    </row>
    <row r="26" spans="1:5" s="41" customFormat="1" ht="15" customHeight="1">
      <c r="A26" s="60" t="s">
        <v>1313</v>
      </c>
      <c r="B26" s="830" t="s">
        <v>1314</v>
      </c>
      <c r="C26" s="337"/>
      <c r="D26" s="337">
        <v>1312.6430837304315</v>
      </c>
      <c r="E26" s="337">
        <v>1312.6430837304315</v>
      </c>
    </row>
    <row r="27" spans="1:5" s="41" customFormat="1" ht="15" customHeight="1">
      <c r="A27" s="60" t="s">
        <v>1315</v>
      </c>
      <c r="B27" s="830" t="s">
        <v>1316</v>
      </c>
      <c r="C27" s="337"/>
      <c r="D27" s="337">
        <v>174.5596057490246</v>
      </c>
      <c r="E27" s="337">
        <v>175</v>
      </c>
    </row>
    <row r="28" spans="1:5" s="41" customFormat="1" ht="15" customHeight="1">
      <c r="A28" s="60" t="s">
        <v>1317</v>
      </c>
      <c r="B28" s="830" t="s">
        <v>1318</v>
      </c>
      <c r="C28" s="337"/>
      <c r="D28" s="337">
        <v>0</v>
      </c>
      <c r="E28" s="337">
        <v>0</v>
      </c>
    </row>
    <row r="29" spans="1:5" s="41" customFormat="1" ht="15" customHeight="1">
      <c r="A29" s="60" t="s">
        <v>1319</v>
      </c>
      <c r="B29" s="830" t="s">
        <v>1320</v>
      </c>
      <c r="C29" s="337"/>
      <c r="D29" s="337">
        <v>813.37786461457631</v>
      </c>
      <c r="E29" s="337">
        <v>813.37786461457631</v>
      </c>
    </row>
    <row r="30" spans="1:5" s="41" customFormat="1" ht="15" customHeight="1">
      <c r="A30" s="60" t="s">
        <v>1321</v>
      </c>
      <c r="B30" s="830" t="s">
        <v>1677</v>
      </c>
      <c r="C30" s="337"/>
      <c r="D30" s="337">
        <v>0</v>
      </c>
      <c r="E30" s="337">
        <v>0</v>
      </c>
    </row>
    <row r="31" spans="1:5" s="41" customFormat="1" ht="15" hidden="1" customHeight="1">
      <c r="A31" s="60" t="s">
        <v>1322</v>
      </c>
      <c r="B31" s="830"/>
      <c r="C31" s="337"/>
      <c r="D31" s="337"/>
      <c r="E31" s="337"/>
    </row>
    <row r="32" spans="1:5" s="41" customFormat="1" ht="15" hidden="1" customHeight="1">
      <c r="A32" s="60" t="s">
        <v>1323</v>
      </c>
      <c r="B32" s="833"/>
      <c r="C32" s="337"/>
      <c r="D32" s="337"/>
      <c r="E32" s="337"/>
    </row>
    <row r="33" spans="1:7" s="41" customFormat="1" ht="15" hidden="1" customHeight="1">
      <c r="A33" s="60" t="s">
        <v>1324</v>
      </c>
      <c r="B33" s="833"/>
      <c r="C33" s="337"/>
      <c r="D33" s="337"/>
      <c r="E33" s="337"/>
    </row>
    <row r="34" spans="1:7" s="41" customFormat="1" ht="15" hidden="1" customHeight="1">
      <c r="A34" s="60" t="s">
        <v>1325</v>
      </c>
      <c r="B34" s="833"/>
      <c r="C34" s="337"/>
      <c r="D34" s="337"/>
      <c r="E34" s="337"/>
    </row>
    <row r="35" spans="1:7" s="810" customFormat="1" ht="15" customHeight="1">
      <c r="A35" s="82"/>
      <c r="B35" s="808" t="s">
        <v>1326</v>
      </c>
      <c r="C35" s="809">
        <f>C9+C10+C11+C12+C13+C20+C21+C22+C23+C24</f>
        <v>0</v>
      </c>
      <c r="D35" s="809">
        <f>D9+D10+D11+D12+D13+D20+D21+D22+D23+D24</f>
        <v>396021.23095386027</v>
      </c>
      <c r="E35" s="809">
        <f>E9+E10+E11+E12+E13+E20+E21+E22+E23+E24</f>
        <v>495300.78736000002</v>
      </c>
    </row>
    <row r="37" spans="1:7" s="26" customFormat="1">
      <c r="A37" s="26" t="s">
        <v>1327</v>
      </c>
    </row>
    <row r="38" spans="1:7" s="773" customFormat="1" ht="30" customHeight="1">
      <c r="A38" s="773" t="s">
        <v>89</v>
      </c>
      <c r="B38" s="1842" t="s">
        <v>1328</v>
      </c>
      <c r="C38" s="1970"/>
      <c r="D38" s="1970"/>
      <c r="E38" s="1970"/>
      <c r="F38" s="811"/>
      <c r="G38" s="811"/>
    </row>
    <row r="39" spans="1:7" s="773" customFormat="1">
      <c r="B39" s="1842"/>
      <c r="C39" s="1842"/>
      <c r="D39" s="1842"/>
      <c r="E39" s="1842"/>
    </row>
    <row r="40" spans="1:7" ht="15.75" customHeight="1"/>
  </sheetData>
  <mergeCells count="7">
    <mergeCell ref="A3:E3"/>
    <mergeCell ref="B38:E38"/>
    <mergeCell ref="B39:E39"/>
    <mergeCell ref="A6:A7"/>
    <mergeCell ref="B6:B7"/>
    <mergeCell ref="C6:C7"/>
    <mergeCell ref="D6:D7"/>
  </mergeCells>
  <pageMargins left="0.78740157480314965" right="0.51181102362204722" top="0.59055118110236227" bottom="0.39370078740157483" header="0.19685039370078741" footer="0.19685039370078741"/>
  <pageSetup paperSize="9" scale="82" orientation="portrait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H40"/>
  <sheetViews>
    <sheetView view="pageBreakPreview" topLeftCell="A10" zoomScaleNormal="100" workbookViewId="0">
      <selection activeCell="D17" sqref="D17"/>
    </sheetView>
  </sheetViews>
  <sheetFormatPr defaultColWidth="2.7109375" defaultRowHeight="15"/>
  <cols>
    <col min="1" max="1" width="6.140625" style="1" customWidth="1"/>
    <col min="2" max="2" width="49" style="1" customWidth="1"/>
    <col min="3" max="4" width="18.140625" style="1" customWidth="1"/>
    <col min="5" max="5" width="18.5703125" style="1" customWidth="1"/>
    <col min="6" max="6" width="10.85546875" style="1" customWidth="1"/>
    <col min="7" max="58" width="8.28515625" style="1" customWidth="1"/>
    <col min="59" max="16384" width="2.7109375" style="1"/>
  </cols>
  <sheetData>
    <row r="1" spans="1:6" s="5" customFormat="1" ht="18" customHeight="1">
      <c r="A1" s="74" t="s">
        <v>1860</v>
      </c>
      <c r="E1" s="6" t="s">
        <v>1291</v>
      </c>
      <c r="F1" s="6"/>
    </row>
    <row r="2" spans="1:6" ht="12.75" customHeight="1">
      <c r="A2" s="1139" t="s">
        <v>1678</v>
      </c>
    </row>
    <row r="3" spans="1:6" ht="57.75" customHeight="1">
      <c r="A3" s="1915" t="s">
        <v>1292</v>
      </c>
      <c r="B3" s="1915"/>
      <c r="C3" s="1915"/>
      <c r="D3" s="1915"/>
      <c r="E3" s="1915"/>
      <c r="F3" s="1781"/>
    </row>
    <row r="4" spans="1:6" ht="12.75" customHeight="1">
      <c r="B4" s="769"/>
      <c r="C4" s="769"/>
      <c r="D4" s="1751"/>
      <c r="E4" s="769"/>
      <c r="F4" s="1779"/>
    </row>
    <row r="5" spans="1:6" ht="14.25" customHeight="1">
      <c r="A5" s="812" t="s">
        <v>1330</v>
      </c>
      <c r="E5" s="23" t="s">
        <v>360</v>
      </c>
      <c r="F5" s="23"/>
    </row>
    <row r="6" spans="1:6" s="3" customFormat="1" ht="75">
      <c r="A6" s="1858" t="s">
        <v>0</v>
      </c>
      <c r="B6" s="1858" t="s">
        <v>1293</v>
      </c>
      <c r="C6" s="1858" t="s">
        <v>1712</v>
      </c>
      <c r="D6" s="1858" t="s">
        <v>1963</v>
      </c>
      <c r="E6" s="1754" t="s">
        <v>1960</v>
      </c>
      <c r="F6" s="747"/>
    </row>
    <row r="7" spans="1:6" s="3" customFormat="1" ht="43.5" customHeight="1">
      <c r="A7" s="1971"/>
      <c r="B7" s="1971"/>
      <c r="C7" s="1971"/>
      <c r="D7" s="1971"/>
      <c r="E7" s="1754" t="s">
        <v>1961</v>
      </c>
      <c r="F7" s="747"/>
    </row>
    <row r="8" spans="1:6" s="2" customFormat="1">
      <c r="A8" s="13">
        <v>1</v>
      </c>
      <c r="B8" s="13">
        <v>2</v>
      </c>
      <c r="C8" s="13">
        <v>3</v>
      </c>
      <c r="D8" s="13">
        <v>4</v>
      </c>
      <c r="E8" s="13">
        <v>5</v>
      </c>
      <c r="F8" s="748"/>
    </row>
    <row r="9" spans="1:6" s="41" customFormat="1" ht="15" customHeight="1">
      <c r="A9" s="60" t="s">
        <v>89</v>
      </c>
      <c r="B9" s="68" t="s">
        <v>1294</v>
      </c>
      <c r="C9" s="250"/>
      <c r="D9" s="250"/>
      <c r="E9" s="250">
        <v>25109</v>
      </c>
      <c r="F9" s="1458"/>
    </row>
    <row r="10" spans="1:6" s="41" customFormat="1" ht="15" customHeight="1">
      <c r="A10" s="60" t="s">
        <v>91</v>
      </c>
      <c r="B10" s="68" t="s">
        <v>1295</v>
      </c>
      <c r="C10" s="337"/>
      <c r="D10" s="337"/>
      <c r="E10" s="337">
        <v>124259</v>
      </c>
      <c r="F10" s="1458"/>
    </row>
    <row r="11" spans="1:6" s="41" customFormat="1" ht="15" customHeight="1">
      <c r="A11" s="60" t="s">
        <v>93</v>
      </c>
      <c r="B11" s="70" t="s">
        <v>1296</v>
      </c>
      <c r="C11" s="337"/>
      <c r="D11" s="337"/>
      <c r="E11" s="337">
        <v>647092.31359999999</v>
      </c>
      <c r="F11" s="1458"/>
    </row>
    <row r="12" spans="1:6" s="41" customFormat="1" ht="45">
      <c r="A12" s="60" t="s">
        <v>95</v>
      </c>
      <c r="B12" s="70" t="s">
        <v>1297</v>
      </c>
      <c r="C12" s="308"/>
      <c r="D12" s="308"/>
      <c r="E12" s="308">
        <v>38812</v>
      </c>
      <c r="F12" s="1458"/>
    </row>
    <row r="13" spans="1:6" s="41" customFormat="1" ht="30.75" customHeight="1">
      <c r="A13" s="60" t="s">
        <v>97</v>
      </c>
      <c r="B13" s="68" t="s">
        <v>1298</v>
      </c>
      <c r="C13" s="337">
        <f>SUM(C14:C19)</f>
        <v>0</v>
      </c>
      <c r="D13" s="337"/>
      <c r="E13" s="337">
        <v>47440.048197516495</v>
      </c>
      <c r="F13" s="1458"/>
    </row>
    <row r="14" spans="1:6" s="41" customFormat="1" ht="15" customHeight="1">
      <c r="A14" s="60" t="s">
        <v>915</v>
      </c>
      <c r="B14" s="70" t="s">
        <v>1299</v>
      </c>
      <c r="C14" s="337"/>
      <c r="D14" s="337"/>
      <c r="E14" s="308">
        <v>3426.8852219873643</v>
      </c>
      <c r="F14" s="1458"/>
    </row>
    <row r="15" spans="1:6" s="41" customFormat="1" ht="15" customHeight="1">
      <c r="A15" s="60" t="s">
        <v>916</v>
      </c>
      <c r="B15" s="70" t="s">
        <v>1300</v>
      </c>
      <c r="C15" s="337"/>
      <c r="D15" s="337"/>
      <c r="E15" s="308">
        <v>25584.334229757365</v>
      </c>
      <c r="F15" s="1458"/>
    </row>
    <row r="16" spans="1:6" s="41" customFormat="1" ht="15" customHeight="1">
      <c r="A16" s="60" t="s">
        <v>917</v>
      </c>
      <c r="B16" s="70" t="s">
        <v>1301</v>
      </c>
      <c r="C16" s="337"/>
      <c r="D16" s="337"/>
      <c r="E16" s="308">
        <v>0</v>
      </c>
      <c r="F16" s="1458"/>
    </row>
    <row r="17" spans="1:6" s="41" customFormat="1" ht="30">
      <c r="A17" s="60" t="s">
        <v>918</v>
      </c>
      <c r="B17" s="70" t="s">
        <v>1302</v>
      </c>
      <c r="C17" s="337"/>
      <c r="D17" s="337"/>
      <c r="E17" s="308">
        <v>1841.2882402088146</v>
      </c>
      <c r="F17" s="1458"/>
    </row>
    <row r="18" spans="1:6" s="41" customFormat="1" ht="30">
      <c r="A18" s="60" t="s">
        <v>919</v>
      </c>
      <c r="B18" s="68" t="s">
        <v>1303</v>
      </c>
      <c r="C18" s="337"/>
      <c r="D18" s="337"/>
      <c r="E18" s="337"/>
      <c r="F18" s="1458"/>
    </row>
    <row r="19" spans="1:6" s="41" customFormat="1" ht="15" customHeight="1">
      <c r="A19" s="60" t="s">
        <v>920</v>
      </c>
      <c r="B19" s="68" t="s">
        <v>1304</v>
      </c>
      <c r="C19" s="250"/>
      <c r="D19" s="250"/>
      <c r="E19" s="337">
        <v>16587.540505562953</v>
      </c>
      <c r="F19" s="1458"/>
    </row>
    <row r="20" spans="1:6" s="41" customFormat="1" ht="17.25" customHeight="1">
      <c r="A20" s="60" t="s">
        <v>582</v>
      </c>
      <c r="B20" s="68" t="s">
        <v>1305</v>
      </c>
      <c r="C20" s="250"/>
      <c r="D20" s="250"/>
      <c r="E20" s="308">
        <v>2405</v>
      </c>
      <c r="F20" s="1458"/>
    </row>
    <row r="21" spans="1:6" s="41" customFormat="1" ht="17.25" customHeight="1">
      <c r="A21" s="60" t="s">
        <v>615</v>
      </c>
      <c r="B21" s="68" t="s">
        <v>1306</v>
      </c>
      <c r="C21" s="250"/>
      <c r="D21" s="250"/>
      <c r="E21" s="308">
        <v>873</v>
      </c>
      <c r="F21" s="1458"/>
    </row>
    <row r="22" spans="1:6" s="41" customFormat="1" ht="15" customHeight="1">
      <c r="A22" s="60" t="s">
        <v>649</v>
      </c>
      <c r="B22" s="830" t="s">
        <v>1307</v>
      </c>
      <c r="C22" s="337"/>
      <c r="D22" s="337"/>
      <c r="E22" s="337"/>
      <c r="F22" s="1458"/>
    </row>
    <row r="23" spans="1:6" s="41" customFormat="1" ht="15" customHeight="1">
      <c r="A23" s="60" t="s">
        <v>1028</v>
      </c>
      <c r="B23" s="830" t="s">
        <v>1308</v>
      </c>
      <c r="C23" s="337"/>
      <c r="D23" s="337"/>
      <c r="E23" s="337"/>
      <c r="F23" s="1458"/>
    </row>
    <row r="24" spans="1:6" s="41" customFormat="1" ht="15" customHeight="1">
      <c r="A24" s="60" t="s">
        <v>1309</v>
      </c>
      <c r="B24" s="68" t="s">
        <v>1310</v>
      </c>
      <c r="C24" s="250">
        <f>SUM(C25:C34)</f>
        <v>0</v>
      </c>
      <c r="D24" s="250"/>
      <c r="E24" s="337">
        <v>20668.951802483505</v>
      </c>
      <c r="F24" s="1458"/>
    </row>
    <row r="25" spans="1:6" s="41" customFormat="1">
      <c r="A25" s="60" t="s">
        <v>1311</v>
      </c>
      <c r="B25" s="830" t="s">
        <v>1312</v>
      </c>
      <c r="C25" s="337"/>
      <c r="D25" s="337"/>
      <c r="E25" s="308">
        <v>13931.972750828514</v>
      </c>
      <c r="F25" s="1458"/>
    </row>
    <row r="26" spans="1:6" s="41" customFormat="1" ht="15" customHeight="1">
      <c r="A26" s="60" t="s">
        <v>1313</v>
      </c>
      <c r="B26" s="830" t="s">
        <v>1314</v>
      </c>
      <c r="C26" s="337"/>
      <c r="D26" s="337"/>
      <c r="E26" s="308">
        <v>3434.3569162695685</v>
      </c>
      <c r="F26" s="1458"/>
    </row>
    <row r="27" spans="1:6" s="41" customFormat="1" ht="15" customHeight="1">
      <c r="A27" s="60" t="s">
        <v>1315</v>
      </c>
      <c r="B27" s="830" t="s">
        <v>1316</v>
      </c>
      <c r="C27" s="337"/>
      <c r="D27" s="337"/>
      <c r="E27" s="308">
        <v>677</v>
      </c>
      <c r="F27" s="1458"/>
    </row>
    <row r="28" spans="1:6" s="41" customFormat="1" ht="15" customHeight="1">
      <c r="A28" s="60" t="s">
        <v>1317</v>
      </c>
      <c r="B28" s="830" t="s">
        <v>1318</v>
      </c>
      <c r="C28" s="337"/>
      <c r="D28" s="337"/>
      <c r="E28" s="308">
        <v>0</v>
      </c>
      <c r="F28" s="1458"/>
    </row>
    <row r="29" spans="1:6" s="41" customFormat="1" ht="15" customHeight="1">
      <c r="A29" s="60" t="s">
        <v>1319</v>
      </c>
      <c r="B29" s="830" t="s">
        <v>1320</v>
      </c>
      <c r="C29" s="337"/>
      <c r="D29" s="337"/>
      <c r="E29" s="308">
        <v>2127.6221353854235</v>
      </c>
      <c r="F29" s="1458"/>
    </row>
    <row r="30" spans="1:6" s="41" customFormat="1" ht="15" customHeight="1">
      <c r="A30" s="60" t="s">
        <v>1321</v>
      </c>
      <c r="B30" s="830" t="s">
        <v>1677</v>
      </c>
      <c r="C30" s="337"/>
      <c r="D30" s="337"/>
      <c r="E30" s="241">
        <v>498</v>
      </c>
      <c r="F30" s="1458"/>
    </row>
    <row r="31" spans="1:6" s="41" customFormat="1" ht="15" hidden="1" customHeight="1">
      <c r="A31" s="60" t="s">
        <v>1322</v>
      </c>
      <c r="B31" s="830"/>
      <c r="C31" s="337"/>
      <c r="D31" s="337"/>
      <c r="E31" s="337"/>
      <c r="F31" s="1458"/>
    </row>
    <row r="32" spans="1:6" s="41" customFormat="1" ht="15" hidden="1" customHeight="1">
      <c r="A32" s="60" t="s">
        <v>1323</v>
      </c>
      <c r="B32" s="833"/>
      <c r="C32" s="337"/>
      <c r="D32" s="337"/>
      <c r="E32" s="337"/>
      <c r="F32" s="1458"/>
    </row>
    <row r="33" spans="1:8" s="41" customFormat="1" ht="15" hidden="1" customHeight="1">
      <c r="A33" s="60" t="s">
        <v>1324</v>
      </c>
      <c r="B33" s="833"/>
      <c r="C33" s="337"/>
      <c r="D33" s="337"/>
      <c r="E33" s="337"/>
      <c r="F33" s="1458"/>
    </row>
    <row r="34" spans="1:8" s="41" customFormat="1" ht="15" hidden="1" customHeight="1">
      <c r="A34" s="60" t="s">
        <v>1325</v>
      </c>
      <c r="B34" s="833"/>
      <c r="C34" s="337"/>
      <c r="D34" s="337"/>
      <c r="E34" s="337"/>
      <c r="F34" s="1458"/>
    </row>
    <row r="35" spans="1:8" s="810" customFormat="1" ht="15" customHeight="1">
      <c r="A35" s="82"/>
      <c r="B35" s="808" t="s">
        <v>1326</v>
      </c>
      <c r="C35" s="809">
        <f>C9+C10+C11+C12+C13+C20+C21+C22+C23+C24</f>
        <v>0</v>
      </c>
      <c r="D35" s="809"/>
      <c r="E35" s="809">
        <f>E9+E10+E11+E12+E13+E20+E21+E22+E23+E24</f>
        <v>906659.31359999999</v>
      </c>
      <c r="F35" s="809"/>
    </row>
    <row r="37" spans="1:8" s="26" customFormat="1">
      <c r="A37" s="26" t="s">
        <v>1327</v>
      </c>
    </row>
    <row r="38" spans="1:8" s="773" customFormat="1" ht="30" customHeight="1">
      <c r="A38" s="773" t="s">
        <v>89</v>
      </c>
      <c r="B38" s="1842" t="s">
        <v>1328</v>
      </c>
      <c r="C38" s="1970"/>
      <c r="D38" s="1970"/>
      <c r="E38" s="1970"/>
      <c r="F38" s="1782"/>
      <c r="G38" s="811"/>
      <c r="H38" s="811"/>
    </row>
    <row r="39" spans="1:8" s="773" customFormat="1">
      <c r="B39" s="1842"/>
      <c r="C39" s="1842"/>
      <c r="D39" s="1842"/>
      <c r="E39" s="1842"/>
      <c r="F39" s="1780"/>
    </row>
    <row r="40" spans="1:8" ht="15.75" customHeight="1"/>
  </sheetData>
  <mergeCells count="7">
    <mergeCell ref="A3:E3"/>
    <mergeCell ref="B38:E38"/>
    <mergeCell ref="B39:E39"/>
    <mergeCell ref="A6:A7"/>
    <mergeCell ref="B6:B7"/>
    <mergeCell ref="C6:C7"/>
    <mergeCell ref="D6:D7"/>
  </mergeCells>
  <pageMargins left="0.78740157480314965" right="0.51181102362204722" top="0.59055118110236227" bottom="0.39370078740157483" header="0.19685039370078741" footer="0.19685039370078741"/>
  <pageSetup paperSize="9" scale="82" orientation="portrait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G40"/>
  <sheetViews>
    <sheetView view="pageBreakPreview" zoomScaleNormal="100" workbookViewId="0">
      <selection activeCell="E20" sqref="E20"/>
    </sheetView>
  </sheetViews>
  <sheetFormatPr defaultColWidth="2.7109375" defaultRowHeight="15"/>
  <cols>
    <col min="1" max="1" width="6.140625" style="1" customWidth="1"/>
    <col min="2" max="2" width="49" style="1" customWidth="1"/>
    <col min="3" max="4" width="18.140625" style="1" customWidth="1"/>
    <col min="5" max="5" width="18.5703125" style="1" customWidth="1"/>
    <col min="6" max="6" width="10.5703125" style="1" customWidth="1"/>
    <col min="7" max="57" width="8.28515625" style="1" customWidth="1"/>
    <col min="58" max="16384" width="2.7109375" style="1"/>
  </cols>
  <sheetData>
    <row r="1" spans="1:6" s="5" customFormat="1" ht="18" customHeight="1">
      <c r="A1" s="74" t="s">
        <v>1860</v>
      </c>
      <c r="E1" s="6" t="s">
        <v>1291</v>
      </c>
    </row>
    <row r="2" spans="1:6" ht="12.75" customHeight="1">
      <c r="A2" s="1139" t="s">
        <v>1679</v>
      </c>
    </row>
    <row r="3" spans="1:6" ht="57.75" customHeight="1">
      <c r="A3" s="1915" t="s">
        <v>1292</v>
      </c>
      <c r="B3" s="1915"/>
      <c r="C3" s="1915"/>
      <c r="D3" s="1915"/>
      <c r="E3" s="1915"/>
    </row>
    <row r="4" spans="1:6" ht="12.75" customHeight="1">
      <c r="B4" s="1137"/>
      <c r="C4" s="1137"/>
      <c r="D4" s="1751"/>
      <c r="E4" s="1137"/>
    </row>
    <row r="5" spans="1:6" ht="14.25" customHeight="1">
      <c r="E5" s="23" t="s">
        <v>360</v>
      </c>
    </row>
    <row r="6" spans="1:6" s="3" customFormat="1" ht="75">
      <c r="A6" s="1858" t="s">
        <v>0</v>
      </c>
      <c r="B6" s="1858" t="s">
        <v>1293</v>
      </c>
      <c r="C6" s="1858" t="s">
        <v>1712</v>
      </c>
      <c r="D6" s="1858" t="s">
        <v>1963</v>
      </c>
      <c r="E6" s="1754" t="s">
        <v>1960</v>
      </c>
      <c r="F6" s="22"/>
    </row>
    <row r="7" spans="1:6" s="3" customFormat="1" ht="43.5" customHeight="1">
      <c r="A7" s="1971"/>
      <c r="B7" s="1971"/>
      <c r="C7" s="1971"/>
      <c r="D7" s="1971"/>
      <c r="E7" s="1754" t="s">
        <v>1961</v>
      </c>
      <c r="F7" s="22"/>
    </row>
    <row r="8" spans="1:6" s="2" customFormat="1">
      <c r="A8" s="13">
        <v>1</v>
      </c>
      <c r="B8" s="13">
        <v>2</v>
      </c>
      <c r="C8" s="13">
        <v>3</v>
      </c>
      <c r="D8" s="13">
        <v>4</v>
      </c>
      <c r="E8" s="13">
        <v>5</v>
      </c>
    </row>
    <row r="9" spans="1:6" s="41" customFormat="1" ht="15" customHeight="1">
      <c r="A9" s="60" t="s">
        <v>89</v>
      </c>
      <c r="B9" s="68" t="s">
        <v>1294</v>
      </c>
      <c r="C9" s="250"/>
      <c r="D9" s="250"/>
      <c r="E9" s="250">
        <v>3827.5</v>
      </c>
      <c r="F9" s="1209"/>
    </row>
    <row r="10" spans="1:6" s="41" customFormat="1" ht="15" customHeight="1">
      <c r="A10" s="60" t="s">
        <v>91</v>
      </c>
      <c r="B10" s="68" t="s">
        <v>1295</v>
      </c>
      <c r="C10" s="337"/>
      <c r="D10" s="337"/>
      <c r="E10" s="337">
        <v>38982</v>
      </c>
      <c r="F10" s="1209"/>
    </row>
    <row r="11" spans="1:6" s="41" customFormat="1" ht="15" customHeight="1">
      <c r="A11" s="60" t="s">
        <v>93</v>
      </c>
      <c r="B11" s="70" t="s">
        <v>1296</v>
      </c>
      <c r="C11" s="337"/>
      <c r="D11" s="337"/>
      <c r="E11" s="337">
        <v>912314.71607999993</v>
      </c>
      <c r="F11" s="1209"/>
    </row>
    <row r="12" spans="1:6" s="41" customFormat="1" ht="45">
      <c r="A12" s="60" t="s">
        <v>95</v>
      </c>
      <c r="B12" s="70" t="s">
        <v>1297</v>
      </c>
      <c r="C12" s="308"/>
      <c r="D12" s="308"/>
      <c r="E12" s="308">
        <v>33669</v>
      </c>
      <c r="F12" s="1210"/>
    </row>
    <row r="13" spans="1:6" s="41" customFormat="1" ht="30.75" customHeight="1">
      <c r="A13" s="60" t="s">
        <v>97</v>
      </c>
      <c r="B13" s="68" t="s">
        <v>1298</v>
      </c>
      <c r="C13" s="337">
        <f>SUM(C14:C19)</f>
        <v>0</v>
      </c>
      <c r="D13" s="337"/>
      <c r="E13" s="337">
        <v>21894</v>
      </c>
      <c r="F13" s="1209"/>
    </row>
    <row r="14" spans="1:6" s="41" customFormat="1" ht="15" customHeight="1">
      <c r="A14" s="60" t="s">
        <v>915</v>
      </c>
      <c r="B14" s="70" t="s">
        <v>1299</v>
      </c>
      <c r="C14" s="337"/>
      <c r="D14" s="337"/>
      <c r="E14" s="337">
        <v>1582</v>
      </c>
      <c r="F14" s="1209"/>
    </row>
    <row r="15" spans="1:6" s="41" customFormat="1" ht="15" customHeight="1">
      <c r="A15" s="60" t="s">
        <v>916</v>
      </c>
      <c r="B15" s="70" t="s">
        <v>1300</v>
      </c>
      <c r="C15" s="337"/>
      <c r="D15" s="337"/>
      <c r="E15" s="337">
        <v>5285</v>
      </c>
      <c r="F15" s="1209"/>
    </row>
    <row r="16" spans="1:6" s="41" customFormat="1" ht="15" customHeight="1">
      <c r="A16" s="60" t="s">
        <v>917</v>
      </c>
      <c r="B16" s="70" t="s">
        <v>1301</v>
      </c>
      <c r="C16" s="337"/>
      <c r="D16" s="337"/>
      <c r="E16" s="337">
        <v>0</v>
      </c>
      <c r="F16" s="1209"/>
    </row>
    <row r="17" spans="1:6" s="41" customFormat="1" ht="30">
      <c r="A17" s="60" t="s">
        <v>918</v>
      </c>
      <c r="B17" s="70" t="s">
        <v>1302</v>
      </c>
      <c r="C17" s="308"/>
      <c r="D17" s="308"/>
      <c r="E17" s="308">
        <v>849</v>
      </c>
      <c r="F17" s="1210"/>
    </row>
    <row r="18" spans="1:6" s="41" customFormat="1" ht="30">
      <c r="A18" s="60" t="s">
        <v>919</v>
      </c>
      <c r="B18" s="68" t="s">
        <v>1303</v>
      </c>
      <c r="C18" s="337"/>
      <c r="D18" s="337"/>
      <c r="E18" s="337"/>
      <c r="F18" s="1209"/>
    </row>
    <row r="19" spans="1:6" s="41" customFormat="1" ht="15" customHeight="1">
      <c r="A19" s="60" t="s">
        <v>920</v>
      </c>
      <c r="B19" s="68" t="s">
        <v>1304</v>
      </c>
      <c r="C19" s="250"/>
      <c r="D19" s="250"/>
      <c r="E19" s="250">
        <v>14178</v>
      </c>
      <c r="F19" s="1209"/>
    </row>
    <row r="20" spans="1:6" s="41" customFormat="1" ht="17.25" customHeight="1">
      <c r="A20" s="60" t="s">
        <v>582</v>
      </c>
      <c r="B20" s="68" t="s">
        <v>1305</v>
      </c>
      <c r="C20" s="250"/>
      <c r="D20" s="250"/>
      <c r="E20" s="250">
        <v>1906</v>
      </c>
      <c r="F20" s="1209"/>
    </row>
    <row r="21" spans="1:6" s="41" customFormat="1" ht="17.25" customHeight="1">
      <c r="A21" s="60" t="s">
        <v>615</v>
      </c>
      <c r="B21" s="68" t="s">
        <v>1306</v>
      </c>
      <c r="C21" s="250"/>
      <c r="D21" s="250"/>
      <c r="E21" s="250">
        <v>1111</v>
      </c>
      <c r="F21" s="1209"/>
    </row>
    <row r="22" spans="1:6" s="41" customFormat="1" ht="15" customHeight="1">
      <c r="A22" s="60" t="s">
        <v>649</v>
      </c>
      <c r="B22" s="830" t="s">
        <v>1307</v>
      </c>
      <c r="C22" s="337"/>
      <c r="D22" s="337"/>
      <c r="E22" s="337"/>
      <c r="F22" s="1209"/>
    </row>
    <row r="23" spans="1:6" s="41" customFormat="1" ht="15" customHeight="1">
      <c r="A23" s="60" t="s">
        <v>1028</v>
      </c>
      <c r="B23" s="830" t="s">
        <v>1308</v>
      </c>
      <c r="C23" s="337"/>
      <c r="D23" s="337"/>
      <c r="E23" s="337"/>
      <c r="F23" s="1209"/>
    </row>
    <row r="24" spans="1:6" s="41" customFormat="1" ht="15" customHeight="1">
      <c r="A24" s="60" t="s">
        <v>1309</v>
      </c>
      <c r="B24" s="68" t="s">
        <v>1310</v>
      </c>
      <c r="C24" s="250">
        <f>SUM(C25:C34)</f>
        <v>0</v>
      </c>
      <c r="D24" s="250"/>
      <c r="E24" s="250">
        <v>10455</v>
      </c>
      <c r="F24" s="1209"/>
    </row>
    <row r="25" spans="1:6" s="41" customFormat="1">
      <c r="A25" s="60" t="s">
        <v>1311</v>
      </c>
      <c r="B25" s="830" t="s">
        <v>1312</v>
      </c>
      <c r="C25" s="337"/>
      <c r="D25" s="337"/>
      <c r="E25" s="337">
        <v>6429</v>
      </c>
      <c r="F25" s="1209"/>
    </row>
    <row r="26" spans="1:6" s="41" customFormat="1" ht="15" customHeight="1">
      <c r="A26" s="60" t="s">
        <v>1313</v>
      </c>
      <c r="B26" s="830" t="s">
        <v>1314</v>
      </c>
      <c r="C26" s="337"/>
      <c r="D26" s="337"/>
      <c r="E26" s="337">
        <v>1584</v>
      </c>
      <c r="F26" s="1209"/>
    </row>
    <row r="27" spans="1:6" s="41" customFormat="1" ht="15" customHeight="1">
      <c r="A27" s="60" t="s">
        <v>1315</v>
      </c>
      <c r="B27" s="830" t="s">
        <v>1316</v>
      </c>
      <c r="C27" s="337"/>
      <c r="D27" s="337"/>
      <c r="E27" s="337">
        <v>227</v>
      </c>
      <c r="F27" s="1209"/>
    </row>
    <row r="28" spans="1:6" s="41" customFormat="1" ht="15" customHeight="1">
      <c r="A28" s="60" t="s">
        <v>1317</v>
      </c>
      <c r="B28" s="830" t="s">
        <v>1318</v>
      </c>
      <c r="C28" s="337"/>
      <c r="D28" s="337"/>
      <c r="E28" s="337">
        <v>0</v>
      </c>
      <c r="F28" s="1209"/>
    </row>
    <row r="29" spans="1:6" s="41" customFormat="1" ht="15" customHeight="1">
      <c r="A29" s="60" t="s">
        <v>1319</v>
      </c>
      <c r="B29" s="830" t="s">
        <v>1320</v>
      </c>
      <c r="C29" s="337"/>
      <c r="D29" s="337"/>
      <c r="E29" s="337">
        <v>982</v>
      </c>
      <c r="F29" s="1209"/>
    </row>
    <row r="30" spans="1:6" s="41" customFormat="1" ht="15" customHeight="1">
      <c r="A30" s="60" t="s">
        <v>1321</v>
      </c>
      <c r="B30" s="830" t="s">
        <v>1677</v>
      </c>
      <c r="C30" s="337"/>
      <c r="D30" s="337"/>
      <c r="E30" s="337">
        <v>1233</v>
      </c>
      <c r="F30" s="1209"/>
    </row>
    <row r="31" spans="1:6" s="41" customFormat="1" ht="15" hidden="1" customHeight="1">
      <c r="A31" s="60" t="s">
        <v>1322</v>
      </c>
      <c r="B31" s="830"/>
      <c r="C31" s="337"/>
      <c r="D31" s="337"/>
      <c r="E31" s="337"/>
    </row>
    <row r="32" spans="1:6" s="41" customFormat="1" ht="15" hidden="1" customHeight="1">
      <c r="A32" s="60" t="s">
        <v>1323</v>
      </c>
      <c r="B32" s="833"/>
      <c r="C32" s="337"/>
      <c r="D32" s="337"/>
      <c r="E32" s="337"/>
    </row>
    <row r="33" spans="1:7" s="41" customFormat="1" ht="15" hidden="1" customHeight="1">
      <c r="A33" s="60" t="s">
        <v>1324</v>
      </c>
      <c r="B33" s="833"/>
      <c r="C33" s="337"/>
      <c r="D33" s="337"/>
      <c r="E33" s="337"/>
    </row>
    <row r="34" spans="1:7" s="41" customFormat="1" ht="15" hidden="1" customHeight="1">
      <c r="A34" s="60" t="s">
        <v>1325</v>
      </c>
      <c r="B34" s="833"/>
      <c r="C34" s="337"/>
      <c r="D34" s="337"/>
      <c r="E34" s="337"/>
    </row>
    <row r="35" spans="1:7" s="810" customFormat="1" ht="15" customHeight="1">
      <c r="A35" s="82"/>
      <c r="B35" s="808" t="s">
        <v>1326</v>
      </c>
      <c r="C35" s="809">
        <f>C9+C10+C11+C12+C13+C20+C21+C22+C23+C24</f>
        <v>0</v>
      </c>
      <c r="D35" s="809"/>
      <c r="E35" s="809">
        <f>E9+E10+E11+E12+E13+E20+E21+E22+E23+E24</f>
        <v>1024159.2160799999</v>
      </c>
      <c r="F35" s="1209"/>
    </row>
    <row r="37" spans="1:7" s="26" customFormat="1">
      <c r="A37" s="26" t="s">
        <v>1327</v>
      </c>
    </row>
    <row r="38" spans="1:7" s="1140" customFormat="1" ht="30" customHeight="1">
      <c r="A38" s="1140" t="s">
        <v>89</v>
      </c>
      <c r="B38" s="1842" t="s">
        <v>1328</v>
      </c>
      <c r="C38" s="1970"/>
      <c r="D38" s="1970"/>
      <c r="E38" s="1970"/>
      <c r="F38" s="1141"/>
      <c r="G38" s="1141"/>
    </row>
    <row r="39" spans="1:7" s="1140" customFormat="1">
      <c r="B39" s="1842"/>
      <c r="C39" s="1842"/>
      <c r="D39" s="1842"/>
      <c r="E39" s="1842"/>
    </row>
    <row r="40" spans="1:7" ht="15.75" customHeight="1"/>
  </sheetData>
  <mergeCells count="7">
    <mergeCell ref="A3:E3"/>
    <mergeCell ref="B38:E38"/>
    <mergeCell ref="B39:E39"/>
    <mergeCell ref="A6:A7"/>
    <mergeCell ref="B6:B7"/>
    <mergeCell ref="C6:C7"/>
    <mergeCell ref="D6:D7"/>
  </mergeCells>
  <pageMargins left="0.78740157480314965" right="0.51181102362204722" top="0.59055118110236227" bottom="0.39370078740157483" header="0.19685039370078741" footer="0.19685039370078741"/>
  <pageSetup paperSize="9" scale="82" orientation="portrait" r:id="rId1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G40"/>
  <sheetViews>
    <sheetView view="pageBreakPreview" topLeftCell="A8" zoomScaleNormal="100" workbookViewId="0">
      <selection activeCell="E21" sqref="E21"/>
    </sheetView>
  </sheetViews>
  <sheetFormatPr defaultColWidth="2.7109375" defaultRowHeight="15"/>
  <cols>
    <col min="1" max="1" width="6.140625" style="1" customWidth="1"/>
    <col min="2" max="2" width="49" style="1" customWidth="1"/>
    <col min="3" max="4" width="18.140625" style="1" customWidth="1"/>
    <col min="5" max="5" width="18.5703125" style="1" customWidth="1"/>
    <col min="6" max="57" width="8.28515625" style="1" customWidth="1"/>
    <col min="58" max="16384" width="2.7109375" style="1"/>
  </cols>
  <sheetData>
    <row r="1" spans="1:5" s="5" customFormat="1" ht="18" customHeight="1">
      <c r="A1" s="74" t="s">
        <v>1860</v>
      </c>
      <c r="E1" s="6" t="s">
        <v>1291</v>
      </c>
    </row>
    <row r="2" spans="1:5" ht="12.75" customHeight="1">
      <c r="A2" s="1139" t="s">
        <v>1679</v>
      </c>
    </row>
    <row r="3" spans="1:5" ht="57.75" customHeight="1">
      <c r="A3" s="1915" t="s">
        <v>1292</v>
      </c>
      <c r="B3" s="1915"/>
      <c r="C3" s="1915"/>
      <c r="D3" s="1915"/>
      <c r="E3" s="1915"/>
    </row>
    <row r="4" spans="1:5" ht="12.75" customHeight="1">
      <c r="B4" s="1137"/>
      <c r="C4" s="1137"/>
      <c r="D4" s="1751"/>
      <c r="E4" s="1137"/>
    </row>
    <row r="5" spans="1:5" ht="14.25" customHeight="1">
      <c r="A5" s="812" t="s">
        <v>1329</v>
      </c>
      <c r="E5" s="23" t="s">
        <v>360</v>
      </c>
    </row>
    <row r="6" spans="1:5" s="3" customFormat="1" ht="75">
      <c r="A6" s="1858" t="s">
        <v>0</v>
      </c>
      <c r="B6" s="1858" t="s">
        <v>1293</v>
      </c>
      <c r="C6" s="1858" t="s">
        <v>1712</v>
      </c>
      <c r="D6" s="1858" t="s">
        <v>1963</v>
      </c>
      <c r="E6" s="1754" t="s">
        <v>1960</v>
      </c>
    </row>
    <row r="7" spans="1:5" s="3" customFormat="1" ht="43.5" customHeight="1">
      <c r="A7" s="1971"/>
      <c r="B7" s="1971"/>
      <c r="C7" s="1971"/>
      <c r="D7" s="1971"/>
      <c r="E7" s="1754" t="s">
        <v>1961</v>
      </c>
    </row>
    <row r="8" spans="1:5" s="2" customFormat="1">
      <c r="A8" s="13">
        <v>1</v>
      </c>
      <c r="B8" s="13">
        <v>2</v>
      </c>
      <c r="C8" s="13">
        <v>3</v>
      </c>
      <c r="D8" s="13">
        <v>4</v>
      </c>
      <c r="E8" s="13">
        <v>5</v>
      </c>
    </row>
    <row r="9" spans="1:5" s="41" customFormat="1" ht="15" customHeight="1">
      <c r="A9" s="60" t="s">
        <v>89</v>
      </c>
      <c r="B9" s="68" t="s">
        <v>1294</v>
      </c>
      <c r="C9" s="250"/>
      <c r="D9" s="250"/>
      <c r="E9" s="250">
        <v>-1369</v>
      </c>
    </row>
    <row r="10" spans="1:5" s="41" customFormat="1" ht="15" customHeight="1">
      <c r="A10" s="60" t="s">
        <v>91</v>
      </c>
      <c r="B10" s="68" t="s">
        <v>1295</v>
      </c>
      <c r="C10" s="337"/>
      <c r="D10" s="337"/>
      <c r="E10" s="337">
        <v>16619</v>
      </c>
    </row>
    <row r="11" spans="1:5" s="41" customFormat="1" ht="15" customHeight="1">
      <c r="A11" s="60" t="s">
        <v>93</v>
      </c>
      <c r="B11" s="70" t="s">
        <v>1296</v>
      </c>
      <c r="C11" s="337"/>
      <c r="D11" s="337"/>
      <c r="E11" s="337">
        <v>651988.99343999987</v>
      </c>
    </row>
    <row r="12" spans="1:5" s="41" customFormat="1" ht="45">
      <c r="A12" s="60" t="s">
        <v>95</v>
      </c>
      <c r="B12" s="70" t="s">
        <v>1297</v>
      </c>
      <c r="C12" s="308"/>
      <c r="D12" s="308"/>
      <c r="E12" s="308">
        <v>27027</v>
      </c>
    </row>
    <row r="13" spans="1:5" s="41" customFormat="1" ht="30.75" customHeight="1">
      <c r="A13" s="60" t="s">
        <v>97</v>
      </c>
      <c r="B13" s="68" t="s">
        <v>1298</v>
      </c>
      <c r="C13" s="337">
        <f>SUM(C14:C19)</f>
        <v>0</v>
      </c>
      <c r="D13" s="337"/>
      <c r="E13" s="337">
        <v>21894</v>
      </c>
    </row>
    <row r="14" spans="1:5" s="41" customFormat="1" ht="15" customHeight="1">
      <c r="A14" s="60" t="s">
        <v>915</v>
      </c>
      <c r="B14" s="70" t="s">
        <v>1299</v>
      </c>
      <c r="C14" s="337"/>
      <c r="D14" s="337"/>
      <c r="E14" s="337">
        <v>1582</v>
      </c>
    </row>
    <row r="15" spans="1:5" s="41" customFormat="1" ht="15" customHeight="1">
      <c r="A15" s="60" t="s">
        <v>916</v>
      </c>
      <c r="B15" s="70" t="s">
        <v>1300</v>
      </c>
      <c r="C15" s="337"/>
      <c r="D15" s="337"/>
      <c r="E15" s="337">
        <v>9747</v>
      </c>
    </row>
    <row r="16" spans="1:5" s="41" customFormat="1" ht="15" customHeight="1">
      <c r="A16" s="60" t="s">
        <v>917</v>
      </c>
      <c r="B16" s="70" t="s">
        <v>1301</v>
      </c>
      <c r="C16" s="337"/>
      <c r="D16" s="337"/>
      <c r="E16" s="337">
        <v>0</v>
      </c>
    </row>
    <row r="17" spans="1:5" s="41" customFormat="1" ht="30">
      <c r="A17" s="60" t="s">
        <v>918</v>
      </c>
      <c r="B17" s="70" t="s">
        <v>1302</v>
      </c>
      <c r="C17" s="308"/>
      <c r="D17" s="308"/>
      <c r="E17" s="308">
        <v>849</v>
      </c>
    </row>
    <row r="18" spans="1:5" s="41" customFormat="1" ht="30">
      <c r="A18" s="60" t="s">
        <v>919</v>
      </c>
      <c r="B18" s="68" t="s">
        <v>1303</v>
      </c>
      <c r="C18" s="337"/>
      <c r="D18" s="337"/>
      <c r="E18" s="337"/>
    </row>
    <row r="19" spans="1:5" s="41" customFormat="1" ht="15" customHeight="1">
      <c r="A19" s="60" t="s">
        <v>920</v>
      </c>
      <c r="B19" s="68" t="s">
        <v>1304</v>
      </c>
      <c r="C19" s="250"/>
      <c r="D19" s="250"/>
      <c r="E19" s="250">
        <v>9716</v>
      </c>
    </row>
    <row r="20" spans="1:5" s="41" customFormat="1" ht="17.25" customHeight="1">
      <c r="A20" s="60" t="s">
        <v>582</v>
      </c>
      <c r="B20" s="68" t="s">
        <v>1305</v>
      </c>
      <c r="C20" s="250"/>
      <c r="D20" s="250"/>
      <c r="E20" s="250">
        <v>1384</v>
      </c>
    </row>
    <row r="21" spans="1:5" s="41" customFormat="1" ht="17.25" customHeight="1">
      <c r="A21" s="60" t="s">
        <v>615</v>
      </c>
      <c r="B21" s="68" t="s">
        <v>1306</v>
      </c>
      <c r="C21" s="250"/>
      <c r="D21" s="250"/>
      <c r="E21" s="250">
        <v>771</v>
      </c>
    </row>
    <row r="22" spans="1:5" s="41" customFormat="1" ht="15" customHeight="1">
      <c r="A22" s="60" t="s">
        <v>649</v>
      </c>
      <c r="B22" s="830" t="s">
        <v>1307</v>
      </c>
      <c r="C22" s="337"/>
      <c r="D22" s="337"/>
      <c r="E22" s="337"/>
    </row>
    <row r="23" spans="1:5" s="41" customFormat="1" ht="15" customHeight="1">
      <c r="A23" s="60" t="s">
        <v>1028</v>
      </c>
      <c r="B23" s="830" t="s">
        <v>1308</v>
      </c>
      <c r="C23" s="337"/>
      <c r="D23" s="337"/>
      <c r="E23" s="337"/>
    </row>
    <row r="24" spans="1:5" s="41" customFormat="1" ht="15" customHeight="1">
      <c r="A24" s="60" t="s">
        <v>1309</v>
      </c>
      <c r="B24" s="68" t="s">
        <v>1310</v>
      </c>
      <c r="C24" s="250">
        <f>SUM(C25:C34)</f>
        <v>0</v>
      </c>
      <c r="D24" s="250"/>
      <c r="E24" s="250">
        <v>9206</v>
      </c>
    </row>
    <row r="25" spans="1:5" s="41" customFormat="1">
      <c r="A25" s="60" t="s">
        <v>1311</v>
      </c>
      <c r="B25" s="830" t="s">
        <v>1312</v>
      </c>
      <c r="C25" s="337"/>
      <c r="D25" s="337"/>
      <c r="E25" s="337">
        <v>6429</v>
      </c>
    </row>
    <row r="26" spans="1:5" s="41" customFormat="1" ht="15" customHeight="1">
      <c r="A26" s="60" t="s">
        <v>1313</v>
      </c>
      <c r="B26" s="830" t="s">
        <v>1314</v>
      </c>
      <c r="C26" s="337"/>
      <c r="D26" s="337"/>
      <c r="E26" s="337">
        <v>1584</v>
      </c>
    </row>
    <row r="27" spans="1:5" s="41" customFormat="1" ht="15" customHeight="1">
      <c r="A27" s="60" t="s">
        <v>1315</v>
      </c>
      <c r="B27" s="830" t="s">
        <v>1316</v>
      </c>
      <c r="C27" s="337"/>
      <c r="D27" s="337"/>
      <c r="E27" s="337">
        <v>211</v>
      </c>
    </row>
    <row r="28" spans="1:5" s="41" customFormat="1" ht="15" customHeight="1">
      <c r="A28" s="60" t="s">
        <v>1317</v>
      </c>
      <c r="B28" s="830" t="s">
        <v>1318</v>
      </c>
      <c r="C28" s="337"/>
      <c r="D28" s="337"/>
      <c r="E28" s="337">
        <v>0</v>
      </c>
    </row>
    <row r="29" spans="1:5" s="41" customFormat="1" ht="15" customHeight="1">
      <c r="A29" s="60" t="s">
        <v>1319</v>
      </c>
      <c r="B29" s="830" t="s">
        <v>1320</v>
      </c>
      <c r="C29" s="337"/>
      <c r="D29" s="337"/>
      <c r="E29" s="337">
        <v>982</v>
      </c>
    </row>
    <row r="30" spans="1:5" s="41" customFormat="1" ht="15" customHeight="1">
      <c r="A30" s="60" t="s">
        <v>1321</v>
      </c>
      <c r="B30" s="830" t="s">
        <v>1677</v>
      </c>
      <c r="C30" s="337"/>
      <c r="D30" s="337"/>
      <c r="E30" s="337">
        <v>0</v>
      </c>
    </row>
    <row r="31" spans="1:5" s="41" customFormat="1" ht="15" hidden="1" customHeight="1">
      <c r="A31" s="60" t="s">
        <v>1322</v>
      </c>
      <c r="B31" s="830"/>
      <c r="C31" s="337"/>
      <c r="D31" s="337"/>
      <c r="E31" s="337"/>
    </row>
    <row r="32" spans="1:5" s="41" customFormat="1" ht="15" hidden="1" customHeight="1">
      <c r="A32" s="60" t="s">
        <v>1323</v>
      </c>
      <c r="B32" s="833"/>
      <c r="C32" s="337"/>
      <c r="D32" s="337"/>
      <c r="E32" s="337"/>
    </row>
    <row r="33" spans="1:7" s="41" customFormat="1" ht="15" hidden="1" customHeight="1">
      <c r="A33" s="60" t="s">
        <v>1324</v>
      </c>
      <c r="B33" s="833"/>
      <c r="C33" s="337"/>
      <c r="D33" s="337"/>
      <c r="E33" s="337"/>
    </row>
    <row r="34" spans="1:7" s="41" customFormat="1" ht="15" hidden="1" customHeight="1">
      <c r="A34" s="60" t="s">
        <v>1325</v>
      </c>
      <c r="B34" s="833"/>
      <c r="C34" s="337"/>
      <c r="D34" s="337"/>
      <c r="E34" s="337"/>
    </row>
    <row r="35" spans="1:7" s="810" customFormat="1" ht="15" customHeight="1">
      <c r="A35" s="82"/>
      <c r="B35" s="808" t="s">
        <v>1326</v>
      </c>
      <c r="C35" s="809">
        <f>C9+C10+C11+C12+C13+C20+C21+C22+C23+C24</f>
        <v>0</v>
      </c>
      <c r="D35" s="809"/>
      <c r="E35" s="809">
        <f>E9+E10+E11+E12+E13+E20+E21+E22+E23+E24</f>
        <v>727520.99343999987</v>
      </c>
    </row>
    <row r="37" spans="1:7" s="26" customFormat="1">
      <c r="A37" s="26" t="s">
        <v>1327</v>
      </c>
    </row>
    <row r="38" spans="1:7" s="1140" customFormat="1" ht="30" customHeight="1">
      <c r="A38" s="1140" t="s">
        <v>89</v>
      </c>
      <c r="B38" s="1842" t="s">
        <v>1328</v>
      </c>
      <c r="C38" s="1970"/>
      <c r="D38" s="1970"/>
      <c r="E38" s="1970"/>
      <c r="F38" s="1141"/>
      <c r="G38" s="1141"/>
    </row>
    <row r="39" spans="1:7" s="1140" customFormat="1">
      <c r="B39" s="1842"/>
      <c r="C39" s="1842"/>
      <c r="D39" s="1842"/>
      <c r="E39" s="1842"/>
    </row>
    <row r="40" spans="1:7" ht="15.75" customHeight="1"/>
  </sheetData>
  <mergeCells count="7">
    <mergeCell ref="A3:E3"/>
    <mergeCell ref="B38:E38"/>
    <mergeCell ref="B39:E39"/>
    <mergeCell ref="A6:A7"/>
    <mergeCell ref="B6:B7"/>
    <mergeCell ref="C6:C7"/>
    <mergeCell ref="D6:D7"/>
  </mergeCells>
  <pageMargins left="0.78740157480314965" right="0.51181102362204722" top="0.59055118110236227" bottom="0.39370078740157483" header="0.19685039370078741" footer="0.19685039370078741"/>
  <pageSetup paperSize="9" scale="82" orientation="portrait" r:id="rId1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H40"/>
  <sheetViews>
    <sheetView view="pageBreakPreview" zoomScaleNormal="100" workbookViewId="0">
      <selection activeCell="D14" sqref="D14"/>
    </sheetView>
  </sheetViews>
  <sheetFormatPr defaultColWidth="2.7109375" defaultRowHeight="15"/>
  <cols>
    <col min="1" max="1" width="6.140625" style="1" customWidth="1"/>
    <col min="2" max="2" width="49" style="1" customWidth="1"/>
    <col min="3" max="4" width="18.140625" style="1" customWidth="1"/>
    <col min="5" max="5" width="18.5703125" style="1" customWidth="1"/>
    <col min="6" max="6" width="10" style="1" customWidth="1"/>
    <col min="7" max="58" width="8.28515625" style="1" customWidth="1"/>
    <col min="59" max="16384" width="2.7109375" style="1"/>
  </cols>
  <sheetData>
    <row r="1" spans="1:6" s="5" customFormat="1" ht="18" customHeight="1">
      <c r="A1" s="74" t="s">
        <v>1860</v>
      </c>
      <c r="E1" s="6" t="s">
        <v>1291</v>
      </c>
      <c r="F1" s="6"/>
    </row>
    <row r="2" spans="1:6" ht="12.75" customHeight="1">
      <c r="A2" s="1139" t="s">
        <v>1679</v>
      </c>
    </row>
    <row r="3" spans="1:6" ht="57.75" customHeight="1">
      <c r="A3" s="1915" t="s">
        <v>1292</v>
      </c>
      <c r="B3" s="1915"/>
      <c r="C3" s="1915"/>
      <c r="D3" s="1915"/>
      <c r="E3" s="1915"/>
      <c r="F3" s="1768"/>
    </row>
    <row r="4" spans="1:6" ht="12.75" customHeight="1">
      <c r="B4" s="1137"/>
      <c r="C4" s="1137"/>
      <c r="D4" s="1751"/>
      <c r="E4" s="1137"/>
      <c r="F4" s="1765"/>
    </row>
    <row r="5" spans="1:6" ht="14.25" customHeight="1">
      <c r="A5" s="812" t="s">
        <v>1330</v>
      </c>
      <c r="E5" s="23" t="s">
        <v>360</v>
      </c>
      <c r="F5" s="23"/>
    </row>
    <row r="6" spans="1:6" s="3" customFormat="1" ht="75">
      <c r="A6" s="1858" t="s">
        <v>0</v>
      </c>
      <c r="B6" s="1858" t="s">
        <v>1293</v>
      </c>
      <c r="C6" s="1858" t="s">
        <v>1712</v>
      </c>
      <c r="D6" s="1858" t="s">
        <v>1963</v>
      </c>
      <c r="E6" s="1754" t="s">
        <v>1960</v>
      </c>
      <c r="F6" s="747"/>
    </row>
    <row r="7" spans="1:6" s="3" customFormat="1" ht="43.5" customHeight="1">
      <c r="A7" s="1971"/>
      <c r="B7" s="1971"/>
      <c r="C7" s="1971"/>
      <c r="D7" s="1971"/>
      <c r="E7" s="1754" t="s">
        <v>1961</v>
      </c>
      <c r="F7" s="747"/>
    </row>
    <row r="8" spans="1:6" s="2" customFormat="1">
      <c r="A8" s="13">
        <v>1</v>
      </c>
      <c r="B8" s="13">
        <v>2</v>
      </c>
      <c r="C8" s="13">
        <v>3</v>
      </c>
      <c r="D8" s="13">
        <v>4</v>
      </c>
      <c r="E8" s="13">
        <v>5</v>
      </c>
      <c r="F8" s="748"/>
    </row>
    <row r="9" spans="1:6" s="41" customFormat="1" ht="15" customHeight="1">
      <c r="A9" s="60" t="s">
        <v>89</v>
      </c>
      <c r="B9" s="68" t="s">
        <v>1294</v>
      </c>
      <c r="C9" s="250"/>
      <c r="D9" s="250"/>
      <c r="E9" s="250">
        <v>5196.5</v>
      </c>
      <c r="F9" s="1458"/>
    </row>
    <row r="10" spans="1:6" s="41" customFormat="1" ht="15" customHeight="1">
      <c r="A10" s="60" t="s">
        <v>91</v>
      </c>
      <c r="B10" s="68" t="s">
        <v>1295</v>
      </c>
      <c r="C10" s="337"/>
      <c r="D10" s="337"/>
      <c r="E10" s="337">
        <v>22363</v>
      </c>
      <c r="F10" s="1458"/>
    </row>
    <row r="11" spans="1:6" s="41" customFormat="1" ht="15" customHeight="1">
      <c r="A11" s="60" t="s">
        <v>93</v>
      </c>
      <c r="B11" s="70" t="s">
        <v>1296</v>
      </c>
      <c r="C11" s="337"/>
      <c r="D11" s="337"/>
      <c r="E11" s="337">
        <v>260325.72264000002</v>
      </c>
      <c r="F11" s="1458"/>
    </row>
    <row r="12" spans="1:6" s="41" customFormat="1" ht="45">
      <c r="A12" s="60" t="s">
        <v>95</v>
      </c>
      <c r="B12" s="70" t="s">
        <v>1297</v>
      </c>
      <c r="C12" s="308"/>
      <c r="D12" s="308"/>
      <c r="E12" s="308">
        <v>6642</v>
      </c>
      <c r="F12" s="1458"/>
    </row>
    <row r="13" spans="1:6" s="41" customFormat="1" ht="30.75" customHeight="1">
      <c r="A13" s="60" t="s">
        <v>97</v>
      </c>
      <c r="B13" s="68" t="s">
        <v>1298</v>
      </c>
      <c r="C13" s="337">
        <f>SUM(C14:C19)</f>
        <v>0</v>
      </c>
      <c r="D13" s="337"/>
      <c r="E13" s="337">
        <v>0</v>
      </c>
      <c r="F13" s="337"/>
    </row>
    <row r="14" spans="1:6" s="41" customFormat="1" ht="15" customHeight="1">
      <c r="A14" s="60" t="s">
        <v>915</v>
      </c>
      <c r="B14" s="70" t="s">
        <v>1299</v>
      </c>
      <c r="C14" s="337"/>
      <c r="D14" s="337"/>
      <c r="E14" s="308">
        <v>0</v>
      </c>
      <c r="F14" s="1458"/>
    </row>
    <row r="15" spans="1:6" s="41" customFormat="1" ht="15" customHeight="1">
      <c r="A15" s="60" t="s">
        <v>916</v>
      </c>
      <c r="B15" s="70" t="s">
        <v>1300</v>
      </c>
      <c r="C15" s="337"/>
      <c r="D15" s="337"/>
      <c r="E15" s="308">
        <v>0</v>
      </c>
      <c r="F15" s="1458"/>
    </row>
    <row r="16" spans="1:6" s="41" customFormat="1" ht="15" customHeight="1">
      <c r="A16" s="60" t="s">
        <v>917</v>
      </c>
      <c r="B16" s="70" t="s">
        <v>1301</v>
      </c>
      <c r="C16" s="337"/>
      <c r="D16" s="337"/>
      <c r="E16" s="308">
        <v>0</v>
      </c>
      <c r="F16" s="1458"/>
    </row>
    <row r="17" spans="1:6" s="41" customFormat="1" ht="30">
      <c r="A17" s="60" t="s">
        <v>918</v>
      </c>
      <c r="B17" s="70" t="s">
        <v>1302</v>
      </c>
      <c r="C17" s="337"/>
      <c r="D17" s="337"/>
      <c r="E17" s="308">
        <v>0</v>
      </c>
      <c r="F17" s="1458"/>
    </row>
    <row r="18" spans="1:6" s="41" customFormat="1" ht="30">
      <c r="A18" s="60" t="s">
        <v>919</v>
      </c>
      <c r="B18" s="68" t="s">
        <v>1303</v>
      </c>
      <c r="C18" s="337"/>
      <c r="D18" s="337"/>
      <c r="E18" s="337"/>
      <c r="F18" s="1458"/>
    </row>
    <row r="19" spans="1:6" s="41" customFormat="1" ht="15" customHeight="1">
      <c r="A19" s="60" t="s">
        <v>920</v>
      </c>
      <c r="B19" s="68" t="s">
        <v>1304</v>
      </c>
      <c r="C19" s="250"/>
      <c r="D19" s="250"/>
      <c r="E19" s="250">
        <v>0</v>
      </c>
      <c r="F19" s="250"/>
    </row>
    <row r="20" spans="1:6" s="41" customFormat="1" ht="17.25" customHeight="1">
      <c r="A20" s="60" t="s">
        <v>582</v>
      </c>
      <c r="B20" s="68" t="s">
        <v>1305</v>
      </c>
      <c r="C20" s="250"/>
      <c r="D20" s="250"/>
      <c r="E20" s="241">
        <v>522</v>
      </c>
      <c r="F20" s="1458"/>
    </row>
    <row r="21" spans="1:6" s="41" customFormat="1" ht="17.25" customHeight="1">
      <c r="A21" s="60" t="s">
        <v>615</v>
      </c>
      <c r="B21" s="68" t="s">
        <v>1306</v>
      </c>
      <c r="C21" s="250"/>
      <c r="D21" s="250"/>
      <c r="E21" s="241">
        <v>340</v>
      </c>
      <c r="F21" s="1458"/>
    </row>
    <row r="22" spans="1:6" s="41" customFormat="1" ht="15" customHeight="1">
      <c r="A22" s="60" t="s">
        <v>649</v>
      </c>
      <c r="B22" s="830" t="s">
        <v>1307</v>
      </c>
      <c r="C22" s="337"/>
      <c r="D22" s="337"/>
      <c r="E22" s="337"/>
      <c r="F22" s="1458"/>
    </row>
    <row r="23" spans="1:6" s="41" customFormat="1" ht="15" customHeight="1">
      <c r="A23" s="60" t="s">
        <v>1028</v>
      </c>
      <c r="B23" s="830" t="s">
        <v>1308</v>
      </c>
      <c r="C23" s="337"/>
      <c r="D23" s="337"/>
      <c r="E23" s="337"/>
      <c r="F23" s="1458"/>
    </row>
    <row r="24" spans="1:6" s="41" customFormat="1" ht="15" customHeight="1">
      <c r="A24" s="60" t="s">
        <v>1309</v>
      </c>
      <c r="B24" s="68" t="s">
        <v>1310</v>
      </c>
      <c r="C24" s="250">
        <f>SUM(C25:C34)</f>
        <v>0</v>
      </c>
      <c r="D24" s="250"/>
      <c r="E24" s="250">
        <v>1249</v>
      </c>
      <c r="F24" s="1458"/>
    </row>
    <row r="25" spans="1:6" s="41" customFormat="1">
      <c r="A25" s="60" t="s">
        <v>1311</v>
      </c>
      <c r="B25" s="830" t="s">
        <v>1312</v>
      </c>
      <c r="C25" s="337"/>
      <c r="D25" s="337"/>
      <c r="E25" s="241">
        <v>0</v>
      </c>
      <c r="F25" s="1458"/>
    </row>
    <row r="26" spans="1:6" s="41" customFormat="1" ht="15" customHeight="1">
      <c r="A26" s="60" t="s">
        <v>1313</v>
      </c>
      <c r="B26" s="830" t="s">
        <v>1314</v>
      </c>
      <c r="C26" s="337"/>
      <c r="D26" s="337"/>
      <c r="E26" s="241">
        <v>0</v>
      </c>
      <c r="F26" s="1458"/>
    </row>
    <row r="27" spans="1:6" s="41" customFormat="1" ht="15" customHeight="1">
      <c r="A27" s="60" t="s">
        <v>1315</v>
      </c>
      <c r="B27" s="830" t="s">
        <v>1316</v>
      </c>
      <c r="C27" s="337"/>
      <c r="D27" s="337"/>
      <c r="E27" s="241">
        <v>16</v>
      </c>
      <c r="F27" s="1458"/>
    </row>
    <row r="28" spans="1:6" s="41" customFormat="1" ht="15" customHeight="1">
      <c r="A28" s="60" t="s">
        <v>1317</v>
      </c>
      <c r="B28" s="830" t="s">
        <v>1318</v>
      </c>
      <c r="C28" s="337"/>
      <c r="D28" s="337"/>
      <c r="E28" s="241">
        <v>0</v>
      </c>
      <c r="F28" s="1458"/>
    </row>
    <row r="29" spans="1:6" s="41" customFormat="1" ht="15" customHeight="1">
      <c r="A29" s="60" t="s">
        <v>1319</v>
      </c>
      <c r="B29" s="830" t="s">
        <v>1320</v>
      </c>
      <c r="C29" s="337"/>
      <c r="D29" s="337"/>
      <c r="E29" s="241">
        <v>0</v>
      </c>
      <c r="F29" s="1458"/>
    </row>
    <row r="30" spans="1:6" s="41" customFormat="1" ht="15" customHeight="1">
      <c r="A30" s="60" t="s">
        <v>1321</v>
      </c>
      <c r="B30" s="830" t="s">
        <v>1677</v>
      </c>
      <c r="C30" s="337"/>
      <c r="D30" s="337"/>
      <c r="E30" s="241">
        <v>1233</v>
      </c>
      <c r="F30" s="1458"/>
    </row>
    <row r="31" spans="1:6" s="41" customFormat="1" ht="15" hidden="1" customHeight="1">
      <c r="A31" s="60" t="s">
        <v>1322</v>
      </c>
      <c r="B31" s="830"/>
      <c r="C31" s="337"/>
      <c r="D31" s="337"/>
      <c r="E31" s="337"/>
      <c r="F31" s="1458"/>
    </row>
    <row r="32" spans="1:6" s="41" customFormat="1" ht="15" hidden="1" customHeight="1">
      <c r="A32" s="60" t="s">
        <v>1323</v>
      </c>
      <c r="B32" s="833"/>
      <c r="C32" s="337"/>
      <c r="D32" s="337"/>
      <c r="E32" s="337"/>
      <c r="F32" s="1458"/>
    </row>
    <row r="33" spans="1:8" s="41" customFormat="1" ht="15" hidden="1" customHeight="1">
      <c r="A33" s="60" t="s">
        <v>1324</v>
      </c>
      <c r="B33" s="833"/>
      <c r="C33" s="337"/>
      <c r="D33" s="337"/>
      <c r="E33" s="337"/>
      <c r="F33" s="1458"/>
    </row>
    <row r="34" spans="1:8" s="41" customFormat="1" ht="15" hidden="1" customHeight="1">
      <c r="A34" s="60" t="s">
        <v>1325</v>
      </c>
      <c r="B34" s="833"/>
      <c r="C34" s="337"/>
      <c r="D34" s="337"/>
      <c r="E34" s="337"/>
      <c r="F34" s="1458"/>
    </row>
    <row r="35" spans="1:8" s="810" customFormat="1" ht="15" customHeight="1">
      <c r="A35" s="82"/>
      <c r="B35" s="808" t="s">
        <v>1326</v>
      </c>
      <c r="C35" s="809">
        <f>C9+C10+C11+C12+C13+C20+C21+C22+C23+C24</f>
        <v>0</v>
      </c>
      <c r="D35" s="809"/>
      <c r="E35" s="809">
        <f>E9+E10+E11+E12+E13+E20+E21+E22+E23+E24</f>
        <v>296638.22264000005</v>
      </c>
      <c r="F35" s="809"/>
    </row>
    <row r="37" spans="1:8" s="26" customFormat="1">
      <c r="A37" s="26" t="s">
        <v>1327</v>
      </c>
    </row>
    <row r="38" spans="1:8" s="1140" customFormat="1" ht="30" customHeight="1">
      <c r="A38" s="1140" t="s">
        <v>89</v>
      </c>
      <c r="B38" s="1842" t="s">
        <v>1328</v>
      </c>
      <c r="C38" s="1970"/>
      <c r="D38" s="1970"/>
      <c r="E38" s="1970"/>
      <c r="F38" s="1769"/>
      <c r="G38" s="1141"/>
      <c r="H38" s="1141"/>
    </row>
    <row r="39" spans="1:8" s="1140" customFormat="1">
      <c r="B39" s="1842"/>
      <c r="C39" s="1842"/>
      <c r="D39" s="1842"/>
      <c r="E39" s="1842"/>
      <c r="F39" s="1766"/>
    </row>
    <row r="40" spans="1:8" ht="15.75" customHeight="1"/>
  </sheetData>
  <mergeCells count="7">
    <mergeCell ref="A3:E3"/>
    <mergeCell ref="B38:E38"/>
    <mergeCell ref="B39:E39"/>
    <mergeCell ref="A6:A7"/>
    <mergeCell ref="B6:B7"/>
    <mergeCell ref="C6:C7"/>
    <mergeCell ref="D6:D7"/>
  </mergeCells>
  <pageMargins left="0.78740157480314965" right="0.51181102362204722" top="0.59055118110236227" bottom="0.39370078740157483" header="0.19685039370078741" footer="0.19685039370078741"/>
  <pageSetup paperSize="9" scale="82" orientation="portrait" r:id="rId1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H40"/>
  <sheetViews>
    <sheetView view="pageBreakPreview" topLeftCell="A8" zoomScaleNormal="100" workbookViewId="0">
      <selection activeCell="E19" sqref="E19"/>
    </sheetView>
  </sheetViews>
  <sheetFormatPr defaultColWidth="2.7109375" defaultRowHeight="15"/>
  <cols>
    <col min="1" max="1" width="6.140625" style="1" customWidth="1"/>
    <col min="2" max="2" width="49" style="1" customWidth="1"/>
    <col min="3" max="4" width="18.140625" style="1" customWidth="1"/>
    <col min="5" max="5" width="18.5703125" style="1" customWidth="1"/>
    <col min="6" max="7" width="10.5703125" style="1" customWidth="1"/>
    <col min="8" max="58" width="8.28515625" style="1" customWidth="1"/>
    <col min="59" max="16384" width="2.7109375" style="1"/>
  </cols>
  <sheetData>
    <row r="1" spans="1:7" s="5" customFormat="1" ht="18" customHeight="1">
      <c r="A1" s="74" t="s">
        <v>1860</v>
      </c>
      <c r="E1" s="6" t="s">
        <v>1291</v>
      </c>
    </row>
    <row r="2" spans="1:7" ht="12.75" customHeight="1">
      <c r="A2" s="1222" t="s">
        <v>1681</v>
      </c>
    </row>
    <row r="3" spans="1:7" ht="57.75" customHeight="1">
      <c r="A3" s="1915" t="s">
        <v>1292</v>
      </c>
      <c r="B3" s="1915"/>
      <c r="C3" s="1915"/>
      <c r="D3" s="1915"/>
      <c r="E3" s="1915"/>
    </row>
    <row r="4" spans="1:7" ht="12.75" customHeight="1">
      <c r="B4" s="1221"/>
      <c r="C4" s="1221"/>
      <c r="D4" s="1751"/>
      <c r="E4" s="1221"/>
    </row>
    <row r="5" spans="1:7" ht="14.25" customHeight="1">
      <c r="E5" s="23" t="s">
        <v>360</v>
      </c>
    </row>
    <row r="6" spans="1:7" s="3" customFormat="1" ht="75">
      <c r="A6" s="1858" t="s">
        <v>0</v>
      </c>
      <c r="B6" s="1858" t="s">
        <v>1293</v>
      </c>
      <c r="C6" s="1858" t="s">
        <v>1714</v>
      </c>
      <c r="D6" s="1858" t="s">
        <v>1959</v>
      </c>
      <c r="E6" s="1754" t="s">
        <v>1960</v>
      </c>
      <c r="F6" s="22"/>
      <c r="G6" s="22"/>
    </row>
    <row r="7" spans="1:7" s="3" customFormat="1" ht="43.5" customHeight="1">
      <c r="A7" s="1971"/>
      <c r="B7" s="1971"/>
      <c r="C7" s="1971"/>
      <c r="D7" s="1971"/>
      <c r="E7" s="1754" t="s">
        <v>1961</v>
      </c>
      <c r="F7" s="22"/>
      <c r="G7" s="22"/>
    </row>
    <row r="8" spans="1:7" s="2" customFormat="1">
      <c r="A8" s="13">
        <v>1</v>
      </c>
      <c r="B8" s="13">
        <v>2</v>
      </c>
      <c r="C8" s="13">
        <v>3</v>
      </c>
      <c r="D8" s="13">
        <v>4</v>
      </c>
      <c r="E8" s="13">
        <v>5</v>
      </c>
    </row>
    <row r="9" spans="1:7" s="41" customFormat="1" ht="15" customHeight="1">
      <c r="A9" s="60" t="s">
        <v>89</v>
      </c>
      <c r="B9" s="68" t="s">
        <v>1294</v>
      </c>
      <c r="C9" s="250">
        <v>51377.742374842077</v>
      </c>
      <c r="D9" s="250">
        <v>67261.77</v>
      </c>
      <c r="E9" s="250">
        <v>67261.5</v>
      </c>
      <c r="F9" s="1209"/>
      <c r="G9" s="1209"/>
    </row>
    <row r="10" spans="1:7" s="41" customFormat="1" ht="15" customHeight="1">
      <c r="A10" s="60" t="s">
        <v>91</v>
      </c>
      <c r="B10" s="68" t="s">
        <v>1295</v>
      </c>
      <c r="C10" s="805">
        <v>215798.78257581015</v>
      </c>
      <c r="D10" s="1777">
        <v>199529.01400000002</v>
      </c>
      <c r="E10" s="1777">
        <v>263321</v>
      </c>
      <c r="F10" s="1209"/>
      <c r="G10" s="1209"/>
    </row>
    <row r="11" spans="1:7" s="41" customFormat="1" ht="15" customHeight="1">
      <c r="A11" s="60" t="s">
        <v>93</v>
      </c>
      <c r="B11" s="70" t="s">
        <v>1296</v>
      </c>
      <c r="C11" s="250">
        <v>1581863.6835238319</v>
      </c>
      <c r="D11" s="1777">
        <v>1732455.7217866688</v>
      </c>
      <c r="E11" s="1777">
        <v>1866365.8170399999</v>
      </c>
      <c r="F11" s="1209"/>
      <c r="G11" s="1209"/>
    </row>
    <row r="12" spans="1:7" s="41" customFormat="1" ht="45">
      <c r="A12" s="60" t="s">
        <v>95</v>
      </c>
      <c r="B12" s="70" t="s">
        <v>1297</v>
      </c>
      <c r="C12" s="241">
        <v>74119.055410680812</v>
      </c>
      <c r="D12" s="241">
        <v>94869</v>
      </c>
      <c r="E12" s="241">
        <v>94869</v>
      </c>
      <c r="F12" s="1210"/>
      <c r="G12" s="1209"/>
    </row>
    <row r="13" spans="1:7" s="41" customFormat="1" ht="30.75" customHeight="1">
      <c r="A13" s="60" t="s">
        <v>97</v>
      </c>
      <c r="B13" s="68" t="s">
        <v>1298</v>
      </c>
      <c r="C13" s="241">
        <v>69313</v>
      </c>
      <c r="D13" s="241">
        <v>87470.045504618742</v>
      </c>
      <c r="E13" s="241">
        <v>87470</v>
      </c>
      <c r="F13" s="1210"/>
      <c r="G13" s="1209"/>
    </row>
    <row r="14" spans="1:7" s="41" customFormat="1" ht="15" customHeight="1">
      <c r="A14" s="60" t="s">
        <v>915</v>
      </c>
      <c r="B14" s="70" t="s">
        <v>1299</v>
      </c>
      <c r="C14" s="337">
        <v>2556.8946000000001</v>
      </c>
      <c r="D14" s="337">
        <v>6318.674</v>
      </c>
      <c r="E14" s="250">
        <v>6319</v>
      </c>
      <c r="F14" s="1209"/>
      <c r="G14" s="1209"/>
    </row>
    <row r="15" spans="1:7" s="41" customFormat="1" ht="15" customHeight="1">
      <c r="A15" s="60" t="s">
        <v>916</v>
      </c>
      <c r="B15" s="70" t="s">
        <v>1300</v>
      </c>
      <c r="C15" s="337">
        <v>7520.0075999999999</v>
      </c>
      <c r="D15" s="337">
        <v>38944.053999999996</v>
      </c>
      <c r="E15" s="250">
        <v>38944</v>
      </c>
      <c r="F15" s="1209"/>
      <c r="G15" s="1209"/>
    </row>
    <row r="16" spans="1:7" s="41" customFormat="1" ht="15" customHeight="1">
      <c r="A16" s="60" t="s">
        <v>917</v>
      </c>
      <c r="B16" s="70" t="s">
        <v>1301</v>
      </c>
      <c r="C16" s="337">
        <v>459.69660000000005</v>
      </c>
      <c r="D16" s="337">
        <v>0</v>
      </c>
      <c r="E16" s="250">
        <v>0</v>
      </c>
      <c r="F16" s="1209"/>
      <c r="G16" s="1209"/>
    </row>
    <row r="17" spans="1:7" s="41" customFormat="1" ht="30">
      <c r="A17" s="60" t="s">
        <v>918</v>
      </c>
      <c r="B17" s="70" t="s">
        <v>1302</v>
      </c>
      <c r="C17" s="308">
        <v>0</v>
      </c>
      <c r="D17" s="308">
        <v>3393.9966747279323</v>
      </c>
      <c r="E17" s="308">
        <v>3394</v>
      </c>
      <c r="F17" s="1209"/>
      <c r="G17" s="1209"/>
    </row>
    <row r="18" spans="1:7" s="41" customFormat="1" ht="30">
      <c r="A18" s="60" t="s">
        <v>919</v>
      </c>
      <c r="B18" s="68" t="s">
        <v>1303</v>
      </c>
      <c r="C18" s="805"/>
      <c r="D18" s="805">
        <v>0</v>
      </c>
      <c r="E18" s="805"/>
      <c r="F18" s="1209"/>
      <c r="G18" s="1209"/>
    </row>
    <row r="19" spans="1:7" s="41" customFormat="1" ht="15" customHeight="1">
      <c r="A19" s="60" t="s">
        <v>920</v>
      </c>
      <c r="B19" s="68" t="s">
        <v>1304</v>
      </c>
      <c r="C19" s="250">
        <v>58776.401199999993</v>
      </c>
      <c r="D19" s="250">
        <v>38813.320829890814</v>
      </c>
      <c r="E19" s="250">
        <v>38813</v>
      </c>
      <c r="F19" s="1209"/>
      <c r="G19" s="1209"/>
    </row>
    <row r="20" spans="1:7" s="41" customFormat="1" ht="17.25" customHeight="1">
      <c r="A20" s="60" t="s">
        <v>582</v>
      </c>
      <c r="B20" s="68" t="s">
        <v>1305</v>
      </c>
      <c r="C20" s="337">
        <v>5700</v>
      </c>
      <c r="D20" s="337">
        <v>5458</v>
      </c>
      <c r="E20" s="250">
        <v>5458</v>
      </c>
      <c r="F20" s="1209"/>
      <c r="G20" s="1209"/>
    </row>
    <row r="21" spans="1:7" s="41" customFormat="1" ht="17.25" customHeight="1">
      <c r="A21" s="60" t="s">
        <v>615</v>
      </c>
      <c r="B21" s="68" t="s">
        <v>1306</v>
      </c>
      <c r="C21" s="337">
        <v>2065</v>
      </c>
      <c r="D21" s="337">
        <v>2622.725917978064</v>
      </c>
      <c r="E21" s="250">
        <v>2623</v>
      </c>
      <c r="F21" s="1209"/>
      <c r="G21" s="1209"/>
    </row>
    <row r="22" spans="1:7" s="41" customFormat="1" ht="15" customHeight="1">
      <c r="A22" s="60" t="s">
        <v>649</v>
      </c>
      <c r="B22" s="1208" t="s">
        <v>1307</v>
      </c>
      <c r="C22" s="805"/>
      <c r="D22" s="805"/>
      <c r="E22" s="805"/>
      <c r="F22" s="1209"/>
      <c r="G22" s="1209"/>
    </row>
    <row r="23" spans="1:7" s="41" customFormat="1" ht="15" customHeight="1">
      <c r="A23" s="60" t="s">
        <v>1028</v>
      </c>
      <c r="B23" s="1208" t="s">
        <v>1308</v>
      </c>
      <c r="C23" s="805"/>
      <c r="D23" s="805"/>
      <c r="E23" s="805"/>
      <c r="F23" s="1209"/>
      <c r="G23" s="1209"/>
    </row>
    <row r="24" spans="1:7" s="41" customFormat="1" ht="15" customHeight="1">
      <c r="A24" s="60" t="s">
        <v>1309</v>
      </c>
      <c r="B24" s="68" t="s">
        <v>1310</v>
      </c>
      <c r="C24" s="250">
        <v>21331</v>
      </c>
      <c r="D24" s="250">
        <v>38750.659731623586</v>
      </c>
      <c r="E24" s="250">
        <v>38751</v>
      </c>
      <c r="F24" s="1209"/>
      <c r="G24" s="1209"/>
    </row>
    <row r="25" spans="1:7" s="41" customFormat="1">
      <c r="A25" s="60" t="s">
        <v>1311</v>
      </c>
      <c r="B25" s="830" t="s">
        <v>1312</v>
      </c>
      <c r="C25" s="337">
        <v>12358</v>
      </c>
      <c r="D25" s="337">
        <v>25687.390500000001</v>
      </c>
      <c r="E25" s="250">
        <v>25687</v>
      </c>
      <c r="F25" s="1209"/>
      <c r="G25" s="1209"/>
    </row>
    <row r="26" spans="1:7" s="41" customFormat="1" ht="15" customHeight="1">
      <c r="A26" s="60" t="s">
        <v>1313</v>
      </c>
      <c r="B26" s="830" t="s">
        <v>1314</v>
      </c>
      <c r="C26" s="337">
        <v>2487</v>
      </c>
      <c r="D26" s="337">
        <v>6330.8680000000004</v>
      </c>
      <c r="E26" s="250">
        <v>6331</v>
      </c>
      <c r="F26" s="1209"/>
      <c r="G26" s="1209"/>
    </row>
    <row r="27" spans="1:7" s="41" customFormat="1" ht="15" customHeight="1">
      <c r="A27" s="60" t="s">
        <v>1315</v>
      </c>
      <c r="B27" s="830" t="s">
        <v>1316</v>
      </c>
      <c r="C27" s="337">
        <v>863</v>
      </c>
      <c r="D27" s="337">
        <v>1078.1130659099226</v>
      </c>
      <c r="E27" s="250">
        <v>1078</v>
      </c>
      <c r="F27" s="1209"/>
      <c r="G27" s="1209"/>
    </row>
    <row r="28" spans="1:7" s="41" customFormat="1" ht="15" customHeight="1">
      <c r="A28" s="60" t="s">
        <v>1317</v>
      </c>
      <c r="B28" s="830" t="s">
        <v>1318</v>
      </c>
      <c r="C28" s="337">
        <v>0</v>
      </c>
      <c r="D28" s="337">
        <v>0</v>
      </c>
      <c r="E28" s="250">
        <v>0</v>
      </c>
      <c r="F28" s="1209"/>
      <c r="G28" s="1209"/>
    </row>
    <row r="29" spans="1:7" s="41" customFormat="1" ht="15" customHeight="1">
      <c r="A29" s="60" t="s">
        <v>1319</v>
      </c>
      <c r="B29" s="830" t="s">
        <v>1320</v>
      </c>
      <c r="C29" s="337">
        <v>2715</v>
      </c>
      <c r="D29" s="337">
        <v>3922.9154968482271</v>
      </c>
      <c r="E29" s="250">
        <v>3923</v>
      </c>
      <c r="F29" s="1209"/>
      <c r="G29" s="1209"/>
    </row>
    <row r="30" spans="1:7" s="41" customFormat="1" ht="15" customHeight="1">
      <c r="A30" s="60" t="s">
        <v>1321</v>
      </c>
      <c r="B30" s="830" t="s">
        <v>1677</v>
      </c>
      <c r="C30" s="337">
        <v>2908</v>
      </c>
      <c r="D30" s="337">
        <v>1731.3726688654356</v>
      </c>
      <c r="E30" s="250">
        <v>1731</v>
      </c>
      <c r="F30" s="1209"/>
      <c r="G30" s="1209"/>
    </row>
    <row r="31" spans="1:7" s="41" customFormat="1" ht="15" hidden="1" customHeight="1">
      <c r="A31" s="60" t="s">
        <v>1322</v>
      </c>
      <c r="B31" s="830"/>
      <c r="C31" s="337"/>
      <c r="D31" s="337"/>
      <c r="E31" s="337"/>
      <c r="G31" s="1209"/>
    </row>
    <row r="32" spans="1:7" s="41" customFormat="1" ht="15" hidden="1" customHeight="1">
      <c r="A32" s="60" t="s">
        <v>1323</v>
      </c>
      <c r="B32" s="833"/>
      <c r="C32" s="337"/>
      <c r="D32" s="337"/>
      <c r="E32" s="337"/>
      <c r="G32" s="1209"/>
    </row>
    <row r="33" spans="1:8" s="41" customFormat="1" ht="15" hidden="1" customHeight="1">
      <c r="A33" s="60" t="s">
        <v>1324</v>
      </c>
      <c r="B33" s="833"/>
      <c r="C33" s="337"/>
      <c r="D33" s="337"/>
      <c r="E33" s="337"/>
      <c r="G33" s="1209"/>
    </row>
    <row r="34" spans="1:8" s="41" customFormat="1" ht="15" hidden="1" customHeight="1">
      <c r="A34" s="60" t="s">
        <v>1325</v>
      </c>
      <c r="B34" s="833"/>
      <c r="C34" s="337"/>
      <c r="D34" s="337"/>
      <c r="E34" s="337"/>
      <c r="G34" s="1209"/>
    </row>
    <row r="35" spans="1:8" s="810" customFormat="1" ht="15" customHeight="1">
      <c r="A35" s="82"/>
      <c r="B35" s="808" t="s">
        <v>1326</v>
      </c>
      <c r="C35" s="809">
        <f>C9+C10+C11+C12+C13+C20+C21+C22+C23+C24</f>
        <v>2021568.2638851649</v>
      </c>
      <c r="D35" s="809">
        <f>D9+D10+D11+D12+D13+D20+D21+D22+D23+D24</f>
        <v>2228416.9369408893</v>
      </c>
      <c r="E35" s="809">
        <f>E9+E10+E11+E12+E13+E20+E21+E22+E23+E24</f>
        <v>2426119.3170400001</v>
      </c>
      <c r="F35" s="1209"/>
      <c r="G35" s="1209"/>
    </row>
    <row r="37" spans="1:8" s="26" customFormat="1">
      <c r="A37" s="26" t="s">
        <v>1327</v>
      </c>
    </row>
    <row r="38" spans="1:8" s="1223" customFormat="1" ht="30" customHeight="1">
      <c r="A38" s="1223" t="s">
        <v>89</v>
      </c>
      <c r="B38" s="1842" t="s">
        <v>1328</v>
      </c>
      <c r="C38" s="1970"/>
      <c r="D38" s="1970"/>
      <c r="E38" s="1970"/>
      <c r="F38" s="1224"/>
      <c r="G38" s="1293"/>
      <c r="H38" s="1224"/>
    </row>
    <row r="39" spans="1:8" s="1223" customFormat="1">
      <c r="B39" s="1842"/>
      <c r="C39" s="1842"/>
      <c r="D39" s="1842"/>
      <c r="E39" s="1842"/>
      <c r="G39" s="1292"/>
    </row>
    <row r="40" spans="1:8" ht="15.75" customHeight="1"/>
  </sheetData>
  <mergeCells count="7">
    <mergeCell ref="A3:E3"/>
    <mergeCell ref="B38:E38"/>
    <mergeCell ref="B39:E39"/>
    <mergeCell ref="A6:A7"/>
    <mergeCell ref="B6:B7"/>
    <mergeCell ref="C6:C7"/>
    <mergeCell ref="D6:D7"/>
  </mergeCells>
  <pageMargins left="0.78740157480314965" right="0.51181102362204722" top="0.59055118110236227" bottom="0.39370078740157483" header="0.19685039370078741" footer="0.19685039370078741"/>
  <pageSetup paperSize="9" scale="77" orientation="portrait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H40"/>
  <sheetViews>
    <sheetView view="pageBreakPreview" topLeftCell="A10" zoomScaleNormal="100" workbookViewId="0">
      <selection activeCell="D11" sqref="D11"/>
    </sheetView>
  </sheetViews>
  <sheetFormatPr defaultColWidth="2.7109375" defaultRowHeight="15"/>
  <cols>
    <col min="1" max="1" width="6.140625" style="1" customWidth="1"/>
    <col min="2" max="2" width="49" style="1" customWidth="1"/>
    <col min="3" max="4" width="18.140625" style="1" customWidth="1"/>
    <col min="5" max="5" width="18.5703125" style="1" customWidth="1"/>
    <col min="6" max="6" width="12.140625" style="1" customWidth="1"/>
    <col min="7" max="58" width="8.28515625" style="1" customWidth="1"/>
    <col min="59" max="16384" width="2.7109375" style="1"/>
  </cols>
  <sheetData>
    <row r="1" spans="1:6" s="5" customFormat="1" ht="18" customHeight="1">
      <c r="A1" s="74" t="s">
        <v>1860</v>
      </c>
      <c r="E1" s="6" t="s">
        <v>1291</v>
      </c>
      <c r="F1" s="6"/>
    </row>
    <row r="2" spans="1:6" ht="12.75" customHeight="1">
      <c r="A2" s="1222" t="s">
        <v>1681</v>
      </c>
    </row>
    <row r="3" spans="1:6" ht="57.75" customHeight="1">
      <c r="A3" s="1915" t="s">
        <v>1292</v>
      </c>
      <c r="B3" s="1915"/>
      <c r="C3" s="1915"/>
      <c r="D3" s="1915"/>
      <c r="E3" s="1915"/>
      <c r="F3" s="1449"/>
    </row>
    <row r="4" spans="1:6" ht="12.75" customHeight="1">
      <c r="B4" s="1221"/>
      <c r="C4" s="1221"/>
      <c r="D4" s="1751"/>
      <c r="E4" s="1221"/>
      <c r="F4" s="1447"/>
    </row>
    <row r="5" spans="1:6" ht="14.25" customHeight="1">
      <c r="A5" s="812" t="s">
        <v>1329</v>
      </c>
      <c r="E5" s="23" t="s">
        <v>360</v>
      </c>
      <c r="F5" s="23"/>
    </row>
    <row r="6" spans="1:6" s="3" customFormat="1" ht="75">
      <c r="A6" s="1858" t="s">
        <v>0</v>
      </c>
      <c r="B6" s="1858" t="s">
        <v>1293</v>
      </c>
      <c r="C6" s="1858" t="s">
        <v>1713</v>
      </c>
      <c r="D6" s="1858" t="s">
        <v>1959</v>
      </c>
      <c r="E6" s="1754" t="s">
        <v>1960</v>
      </c>
      <c r="F6" s="747"/>
    </row>
    <row r="7" spans="1:6" s="3" customFormat="1" ht="43.5" customHeight="1">
      <c r="A7" s="1971"/>
      <c r="B7" s="1971"/>
      <c r="C7" s="1971"/>
      <c r="D7" s="1971"/>
      <c r="E7" s="1754" t="s">
        <v>1961</v>
      </c>
      <c r="F7" s="747"/>
    </row>
    <row r="8" spans="1:6" s="2" customFormat="1">
      <c r="A8" s="13">
        <v>1</v>
      </c>
      <c r="B8" s="13">
        <v>2</v>
      </c>
      <c r="C8" s="13">
        <v>3</v>
      </c>
      <c r="D8" s="13">
        <v>4</v>
      </c>
      <c r="E8" s="13">
        <v>5</v>
      </c>
      <c r="F8" s="748"/>
    </row>
    <row r="9" spans="1:6" s="41" customFormat="1" ht="15" customHeight="1">
      <c r="A9" s="60" t="s">
        <v>89</v>
      </c>
      <c r="B9" s="68" t="s">
        <v>1294</v>
      </c>
      <c r="C9" s="250">
        <v>33578</v>
      </c>
      <c r="D9" s="250">
        <v>36955.667448868393</v>
      </c>
      <c r="E9" s="250">
        <v>36956</v>
      </c>
      <c r="F9" s="1458"/>
    </row>
    <row r="10" spans="1:6" s="41" customFormat="1" ht="15" customHeight="1">
      <c r="A10" s="60" t="s">
        <v>91</v>
      </c>
      <c r="B10" s="68" t="s">
        <v>1295</v>
      </c>
      <c r="C10" s="805">
        <v>92408</v>
      </c>
      <c r="D10" s="805">
        <v>119116.00842290935</v>
      </c>
      <c r="E10" s="805">
        <v>116699</v>
      </c>
      <c r="F10" s="1458"/>
    </row>
    <row r="11" spans="1:6" s="41" customFormat="1" ht="15" customHeight="1">
      <c r="A11" s="60" t="s">
        <v>93</v>
      </c>
      <c r="B11" s="70" t="s">
        <v>1296</v>
      </c>
      <c r="C11" s="805">
        <v>874995</v>
      </c>
      <c r="D11" s="805">
        <v>900926.5115379598</v>
      </c>
      <c r="E11" s="805">
        <v>958947.78079999983</v>
      </c>
      <c r="F11" s="1458"/>
    </row>
    <row r="12" spans="1:6" s="41" customFormat="1" ht="45">
      <c r="A12" s="60" t="s">
        <v>95</v>
      </c>
      <c r="B12" s="70" t="s">
        <v>1297</v>
      </c>
      <c r="C12" s="241">
        <v>36744</v>
      </c>
      <c r="D12" s="241">
        <v>49415</v>
      </c>
      <c r="E12" s="241">
        <v>49415</v>
      </c>
      <c r="F12" s="1458"/>
    </row>
    <row r="13" spans="1:6" s="41" customFormat="1" ht="30.75" customHeight="1">
      <c r="A13" s="60" t="s">
        <v>97</v>
      </c>
      <c r="B13" s="68" t="s">
        <v>1298</v>
      </c>
      <c r="C13" s="250">
        <v>28359.504000000001</v>
      </c>
      <c r="D13" s="250">
        <v>40029.251916106572</v>
      </c>
      <c r="E13" s="250">
        <v>40029</v>
      </c>
      <c r="F13" s="1458"/>
    </row>
    <row r="14" spans="1:6" s="41" customFormat="1" ht="15" customHeight="1">
      <c r="A14" s="60" t="s">
        <v>915</v>
      </c>
      <c r="B14" s="70" t="s">
        <v>1299</v>
      </c>
      <c r="C14" s="250">
        <v>0</v>
      </c>
      <c r="D14" s="250">
        <v>2891.6389818088874</v>
      </c>
      <c r="E14" s="250">
        <v>2892</v>
      </c>
      <c r="F14" s="1458"/>
    </row>
    <row r="15" spans="1:6" s="41" customFormat="1" ht="15" customHeight="1">
      <c r="A15" s="60" t="s">
        <v>916</v>
      </c>
      <c r="B15" s="70" t="s">
        <v>1300</v>
      </c>
      <c r="C15" s="250">
        <v>0</v>
      </c>
      <c r="D15" s="250">
        <v>17822.116579533984</v>
      </c>
      <c r="E15" s="250">
        <v>17822</v>
      </c>
      <c r="F15" s="1458"/>
    </row>
    <row r="16" spans="1:6" s="41" customFormat="1" ht="15" customHeight="1">
      <c r="A16" s="60" t="s">
        <v>917</v>
      </c>
      <c r="B16" s="70" t="s">
        <v>1301</v>
      </c>
      <c r="C16" s="250">
        <v>0</v>
      </c>
      <c r="D16" s="250">
        <v>0</v>
      </c>
      <c r="E16" s="250">
        <v>0</v>
      </c>
      <c r="F16" s="1458"/>
    </row>
    <row r="17" spans="1:6" s="41" customFormat="1" ht="30">
      <c r="A17" s="60" t="s">
        <v>918</v>
      </c>
      <c r="B17" s="70" t="s">
        <v>1302</v>
      </c>
      <c r="C17" s="241">
        <v>0</v>
      </c>
      <c r="D17" s="241">
        <v>1553.2076965472545</v>
      </c>
      <c r="E17" s="241">
        <v>1553</v>
      </c>
      <c r="F17" s="1458"/>
    </row>
    <row r="18" spans="1:6" s="41" customFormat="1" ht="30">
      <c r="A18" s="60" t="s">
        <v>919</v>
      </c>
      <c r="B18" s="68" t="s">
        <v>1303</v>
      </c>
      <c r="C18" s="805"/>
      <c r="D18" s="805">
        <v>0</v>
      </c>
      <c r="E18" s="805"/>
      <c r="F18" s="1458"/>
    </row>
    <row r="19" spans="1:6" s="41" customFormat="1" ht="15" customHeight="1">
      <c r="A19" s="60" t="s">
        <v>920</v>
      </c>
      <c r="B19" s="68" t="s">
        <v>1304</v>
      </c>
      <c r="C19" s="250">
        <v>28359.504000000001</v>
      </c>
      <c r="D19" s="250">
        <v>17762.288658216446</v>
      </c>
      <c r="E19" s="250">
        <v>17762</v>
      </c>
      <c r="F19" s="1458"/>
    </row>
    <row r="20" spans="1:6" s="41" customFormat="1" ht="17.25" customHeight="1">
      <c r="A20" s="60" t="s">
        <v>582</v>
      </c>
      <c r="B20" s="68" t="s">
        <v>1305</v>
      </c>
      <c r="C20" s="250">
        <v>2241</v>
      </c>
      <c r="D20" s="250">
        <v>2531</v>
      </c>
      <c r="E20" s="241">
        <v>2531</v>
      </c>
      <c r="F20" s="1458"/>
    </row>
    <row r="21" spans="1:6" s="41" customFormat="1" ht="17.25" customHeight="1">
      <c r="A21" s="60" t="s">
        <v>615</v>
      </c>
      <c r="B21" s="68" t="s">
        <v>1306</v>
      </c>
      <c r="C21" s="250">
        <v>1003</v>
      </c>
      <c r="D21" s="250">
        <v>1409.7795897029437</v>
      </c>
      <c r="E21" s="241">
        <v>1410</v>
      </c>
      <c r="F21" s="1458"/>
    </row>
    <row r="22" spans="1:6" s="41" customFormat="1" ht="15" customHeight="1">
      <c r="A22" s="60" t="s">
        <v>649</v>
      </c>
      <c r="B22" s="1208" t="s">
        <v>1307</v>
      </c>
      <c r="C22" s="805"/>
      <c r="D22" s="805"/>
      <c r="E22" s="805"/>
      <c r="F22" s="1458"/>
    </row>
    <row r="23" spans="1:6" s="41" customFormat="1" ht="15" customHeight="1">
      <c r="A23" s="60" t="s">
        <v>1028</v>
      </c>
      <c r="B23" s="1208" t="s">
        <v>1308</v>
      </c>
      <c r="C23" s="805"/>
      <c r="D23" s="805"/>
      <c r="E23" s="805"/>
      <c r="F23" s="1458"/>
    </row>
    <row r="24" spans="1:6" s="41" customFormat="1" ht="15" customHeight="1">
      <c r="A24" s="60" t="s">
        <v>1309</v>
      </c>
      <c r="B24" s="68" t="s">
        <v>1310</v>
      </c>
      <c r="C24" s="250">
        <v>11066.496000000001</v>
      </c>
      <c r="D24" s="250">
        <v>16833.178888604001</v>
      </c>
      <c r="E24" s="250">
        <v>16833</v>
      </c>
      <c r="F24" s="1458"/>
    </row>
    <row r="25" spans="1:6" s="41" customFormat="1">
      <c r="A25" s="60" t="s">
        <v>1311</v>
      </c>
      <c r="B25" s="830" t="s">
        <v>1312</v>
      </c>
      <c r="C25" s="250">
        <v>7619.9428000000007</v>
      </c>
      <c r="D25" s="250">
        <v>11755.418891803452</v>
      </c>
      <c r="E25" s="241">
        <v>11755</v>
      </c>
      <c r="F25" s="1458"/>
    </row>
    <row r="26" spans="1:6" s="41" customFormat="1" ht="15" customHeight="1">
      <c r="A26" s="60" t="s">
        <v>1313</v>
      </c>
      <c r="B26" s="830" t="s">
        <v>1314</v>
      </c>
      <c r="C26" s="250">
        <v>1533.4842000000001</v>
      </c>
      <c r="D26" s="250">
        <v>2897.2193687293361</v>
      </c>
      <c r="E26" s="241">
        <v>2897</v>
      </c>
      <c r="F26" s="1458"/>
    </row>
    <row r="27" spans="1:6" s="41" customFormat="1" ht="15" customHeight="1">
      <c r="A27" s="60" t="s">
        <v>1315</v>
      </c>
      <c r="B27" s="830" t="s">
        <v>1316</v>
      </c>
      <c r="C27" s="337">
        <v>239</v>
      </c>
      <c r="D27" s="337">
        <v>385.28178530950208</v>
      </c>
      <c r="E27" s="241">
        <v>385</v>
      </c>
      <c r="F27" s="1458"/>
    </row>
    <row r="28" spans="1:6" s="41" customFormat="1" ht="15" customHeight="1">
      <c r="A28" s="60" t="s">
        <v>1317</v>
      </c>
      <c r="B28" s="830" t="s">
        <v>1318</v>
      </c>
      <c r="C28" s="337">
        <v>0</v>
      </c>
      <c r="D28" s="337">
        <v>0</v>
      </c>
      <c r="E28" s="241">
        <v>0</v>
      </c>
      <c r="F28" s="1458"/>
    </row>
    <row r="29" spans="1:6" s="41" customFormat="1" ht="15" customHeight="1">
      <c r="A29" s="60" t="s">
        <v>1319</v>
      </c>
      <c r="B29" s="830" t="s">
        <v>1320</v>
      </c>
      <c r="C29" s="250">
        <v>1674.0690000000002</v>
      </c>
      <c r="D29" s="250">
        <v>1795.2588427617111</v>
      </c>
      <c r="E29" s="241">
        <v>1795</v>
      </c>
      <c r="F29" s="1458"/>
    </row>
    <row r="30" spans="1:6" s="41" customFormat="1" ht="15" customHeight="1">
      <c r="A30" s="60" t="s">
        <v>1321</v>
      </c>
      <c r="B30" s="830" t="s">
        <v>1677</v>
      </c>
      <c r="C30" s="337">
        <v>0</v>
      </c>
      <c r="D30" s="337">
        <v>0</v>
      </c>
      <c r="E30" s="241">
        <v>0</v>
      </c>
      <c r="F30" s="1458"/>
    </row>
    <row r="31" spans="1:6" s="41" customFormat="1" ht="15" hidden="1" customHeight="1">
      <c r="A31" s="60" t="s">
        <v>1322</v>
      </c>
      <c r="B31" s="830"/>
      <c r="C31" s="337"/>
      <c r="D31" s="337"/>
      <c r="E31" s="337"/>
      <c r="F31" s="1458"/>
    </row>
    <row r="32" spans="1:6" s="41" customFormat="1" ht="15" hidden="1" customHeight="1">
      <c r="A32" s="60" t="s">
        <v>1323</v>
      </c>
      <c r="B32" s="833"/>
      <c r="C32" s="337"/>
      <c r="D32" s="337"/>
      <c r="E32" s="337"/>
      <c r="F32" s="1458"/>
    </row>
    <row r="33" spans="1:8" s="41" customFormat="1" ht="15" hidden="1" customHeight="1">
      <c r="A33" s="60" t="s">
        <v>1324</v>
      </c>
      <c r="B33" s="833"/>
      <c r="C33" s="337"/>
      <c r="D33" s="337"/>
      <c r="E33" s="337"/>
      <c r="F33" s="1458"/>
    </row>
    <row r="34" spans="1:8" s="41" customFormat="1" ht="15" hidden="1" customHeight="1">
      <c r="A34" s="60" t="s">
        <v>1325</v>
      </c>
      <c r="B34" s="833"/>
      <c r="C34" s="337"/>
      <c r="D34" s="337"/>
      <c r="E34" s="337"/>
      <c r="F34" s="1458"/>
    </row>
    <row r="35" spans="1:8" s="810" customFormat="1" ht="15" customHeight="1">
      <c r="A35" s="82"/>
      <c r="B35" s="808" t="s">
        <v>1326</v>
      </c>
      <c r="C35" s="809">
        <f>C9+C10+C11+C12+C13+C20+C21+C22+C23+C24</f>
        <v>1080395</v>
      </c>
      <c r="D35" s="809">
        <f>D9+D10+D11+D12+D13+D20+D21+D22+D23+D24</f>
        <v>1167216.3978041511</v>
      </c>
      <c r="E35" s="809">
        <f>E9+E10+E11+E12+E13+E20+E21+E22+E23+E24</f>
        <v>1222820.7807999998</v>
      </c>
      <c r="F35" s="1458"/>
    </row>
    <row r="37" spans="1:8" s="26" customFormat="1">
      <c r="A37" s="26" t="s">
        <v>1327</v>
      </c>
    </row>
    <row r="38" spans="1:8" s="1223" customFormat="1" ht="30" customHeight="1">
      <c r="A38" s="1223" t="s">
        <v>89</v>
      </c>
      <c r="B38" s="1842" t="s">
        <v>1328</v>
      </c>
      <c r="C38" s="1970"/>
      <c r="D38" s="1970"/>
      <c r="E38" s="1970"/>
      <c r="F38" s="1450"/>
      <c r="G38" s="1224"/>
      <c r="H38" s="1224"/>
    </row>
    <row r="39" spans="1:8" s="1223" customFormat="1">
      <c r="B39" s="1842"/>
      <c r="C39" s="1842"/>
      <c r="D39" s="1842"/>
      <c r="E39" s="1842"/>
      <c r="F39" s="1448"/>
    </row>
    <row r="40" spans="1:8" ht="15.75" customHeight="1"/>
  </sheetData>
  <mergeCells count="7">
    <mergeCell ref="A3:E3"/>
    <mergeCell ref="B38:E38"/>
    <mergeCell ref="B39:E39"/>
    <mergeCell ref="A6:A7"/>
    <mergeCell ref="B6:B7"/>
    <mergeCell ref="C6:C7"/>
    <mergeCell ref="D6:D7"/>
  </mergeCells>
  <pageMargins left="0.78740157480314965" right="0.51181102362204722" top="0.59055118110236227" bottom="0.39370078740157483" header="0.19685039370078741" footer="0.19685039370078741"/>
  <pageSetup paperSize="9" scale="77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160</vt:i4>
      </vt:variant>
      <vt:variant>
        <vt:lpstr>Именованные диапазоны</vt:lpstr>
      </vt:variant>
      <vt:variant>
        <vt:i4>296</vt:i4>
      </vt:variant>
    </vt:vector>
  </HeadingPairs>
  <TitlesOfParts>
    <vt:vector size="456" baseType="lpstr">
      <vt:lpstr>3.1</vt:lpstr>
      <vt:lpstr>Показатели ТСО 3.1-КТЭЦ</vt:lpstr>
      <vt:lpstr>Показатели ТСО 3.1. котельн.</vt:lpstr>
      <vt:lpstr>4.1 (свод)</vt:lpstr>
      <vt:lpstr>4.1_ПП_КТЭЦ</vt:lpstr>
      <vt:lpstr>4.1_КТЭЦ</vt:lpstr>
      <vt:lpstr>4.1_котельные</vt:lpstr>
      <vt:lpstr>4.1_ПП_котельн.</vt:lpstr>
      <vt:lpstr>4.2_КТЭЦ</vt:lpstr>
      <vt:lpstr>4.2_котельные</vt:lpstr>
      <vt:lpstr>4.3_свод</vt:lpstr>
      <vt:lpstr>4.3_КТЭЦ</vt:lpstr>
      <vt:lpstr>4.3_котельные</vt:lpstr>
      <vt:lpstr>4.3ПП_КТЭЦ</vt:lpstr>
      <vt:lpstr>4.4</vt:lpstr>
      <vt:lpstr>4.5</vt:lpstr>
      <vt:lpstr>4.3ПП_котельн.</vt:lpstr>
      <vt:lpstr> 4.4-свод_тепло</vt:lpstr>
      <vt:lpstr> 4.4-КТЭЦ_комбинир.</vt:lpstr>
      <vt:lpstr> 4.4-котельные</vt:lpstr>
      <vt:lpstr>4.5 - свод</vt:lpstr>
      <vt:lpstr>4.6_свод</vt:lpstr>
      <vt:lpstr>4.6_генерация (свод)</vt:lpstr>
      <vt:lpstr>4.6_транзит+сбыт (свод)</vt:lpstr>
      <vt:lpstr>4.6_транзит (свод)</vt:lpstr>
      <vt:lpstr>4.6_сбыт (свод)</vt:lpstr>
      <vt:lpstr>4.6_КТЭЦ свод с косв.</vt:lpstr>
      <vt:lpstr>4.6_КТЭЦ свод</vt:lpstr>
      <vt:lpstr>4.6_генерация_КТЭЦ с косв.</vt:lpstr>
      <vt:lpstr>4.6_генерация_КТЭЦ</vt:lpstr>
      <vt:lpstr>4.6_транзит+сбыт_КТЭЦ с косв.</vt:lpstr>
      <vt:lpstr>4.6_транзит+сбыт_КТЭЦ</vt:lpstr>
      <vt:lpstr>4.6_транзит_КТЭЦ с косв.</vt:lpstr>
      <vt:lpstr>4.6_транзит_КТЭЦ</vt:lpstr>
      <vt:lpstr>4.6_сбыт_КТЭЦ с косв.</vt:lpstr>
      <vt:lpstr>4.6_сбыт_КТЭЦ</vt:lpstr>
      <vt:lpstr>4.7</vt:lpstr>
      <vt:lpstr>4.8</vt:lpstr>
      <vt:lpstr>4.6_косв.</vt:lpstr>
      <vt:lpstr>4.6_котельные</vt:lpstr>
      <vt:lpstr>4.6_генерация_котельн.</vt:lpstr>
      <vt:lpstr>4.6_транзит+сбыт_котельн.</vt:lpstr>
      <vt:lpstr>4.6_транзит_котельн.</vt:lpstr>
      <vt:lpstr>4.6_сбыт_котельн.</vt:lpstr>
      <vt:lpstr>4. 7_КТЭЦ</vt:lpstr>
      <vt:lpstr>4. 7_котельн.</vt:lpstr>
      <vt:lpstr>4.8 - КТЭЦ</vt:lpstr>
      <vt:lpstr>4.8 - котельн.</vt:lpstr>
      <vt:lpstr>4.9_свод </vt:lpstr>
      <vt:lpstr>4.9_пр-во (свод)</vt:lpstr>
      <vt:lpstr>4.9_транзит+сбыт (свод)</vt:lpstr>
      <vt:lpstr>4.9_транзит (свод)</vt:lpstr>
      <vt:lpstr>4.9_сбыт (свод)</vt:lpstr>
      <vt:lpstr>4.9_свод КТЭЦ</vt:lpstr>
      <vt:lpstr>4.9_пр-во КТЭЦ</vt:lpstr>
      <vt:lpstr>4.9_транзит+сбыт (КТЭЦ)</vt:lpstr>
      <vt:lpstr>4.9_транзит КТЭЦ </vt:lpstr>
      <vt:lpstr>4.9_сбыт КТЭЦ  </vt:lpstr>
      <vt:lpstr>4.9_свод ККЭ</vt:lpstr>
      <vt:lpstr>4.9_пр-во ККЭ</vt:lpstr>
      <vt:lpstr>4.9_транзит+сбыт (ККЭ)</vt:lpstr>
      <vt:lpstr>4.9_транзит ККЭ</vt:lpstr>
      <vt:lpstr>4.9_сбыт ККЭ</vt:lpstr>
      <vt:lpstr>4.10_свод </vt:lpstr>
      <vt:lpstr>4.10_пр-во (свод)</vt:lpstr>
      <vt:lpstr>4.10_транзит+сбыт (свод)</vt:lpstr>
      <vt:lpstr>4.10_транзит (свод)</vt:lpstr>
      <vt:lpstr>4.10_сбыт (свод)</vt:lpstr>
      <vt:lpstr>4.10_свод_КТЭЦ</vt:lpstr>
      <vt:lpstr>4.10_пр-во_КТЭЦ</vt:lpstr>
      <vt:lpstr>4.10_транзит+сбыт_КТЭЦ</vt:lpstr>
      <vt:lpstr>4.10_транзит_КТЭЦ</vt:lpstr>
      <vt:lpstr>4.10_сбыт_КТЭЦ</vt:lpstr>
      <vt:lpstr>4.10_свод_котельн.</vt:lpstr>
      <vt:lpstr>4.10_пр-во_котельн.</vt:lpstr>
      <vt:lpstr>4.10_транзит+сбыт_котельн.</vt:lpstr>
      <vt:lpstr>4.10_транзит_котельн.</vt:lpstr>
      <vt:lpstr>4.10_сбыт_котельн.</vt:lpstr>
      <vt:lpstr>4.10_косв.</vt:lpstr>
      <vt:lpstr>4.11 (свод)</vt:lpstr>
      <vt:lpstr>4.11_КТЭЦ</vt:lpstr>
      <vt:lpstr>4.11_котельные</vt:lpstr>
      <vt:lpstr>4.12 (свод)</vt:lpstr>
      <vt:lpstr>4.12_КТЭЦ</vt:lpstr>
      <vt:lpstr>4.12_котельные</vt:lpstr>
      <vt:lpstr>4.13</vt:lpstr>
      <vt:lpstr>4.14</vt:lpstr>
      <vt:lpstr>4.15</vt:lpstr>
      <vt:lpstr>Исходные данные_КТЭЦ</vt:lpstr>
      <vt:lpstr>Исходные данные_котельн</vt:lpstr>
      <vt:lpstr>Исходные данные_КТЭЦ+котельн</vt:lpstr>
      <vt:lpstr>5.1_свод_КТЭЦ</vt:lpstr>
      <vt:lpstr>5.1_пр-во КТЭЦ</vt:lpstr>
      <vt:lpstr>5.1_передача КТЭЦ</vt:lpstr>
      <vt:lpstr>5.1_свод_котельные</vt:lpstr>
      <vt:lpstr>5.1_пр-во котельные</vt:lpstr>
      <vt:lpstr>5.1_передача котельные</vt:lpstr>
      <vt:lpstr>5.1_свод_КТЭЦ+котельн</vt:lpstr>
      <vt:lpstr>5.1_пр-во КТЭЦ+котельн</vt:lpstr>
      <vt:lpstr>5.1_передача КТЭЦ+котельн</vt:lpstr>
      <vt:lpstr>5.2_пр-во КТЭЦ</vt:lpstr>
      <vt:lpstr>5.2_передача КТЭЦ</vt:lpstr>
      <vt:lpstr>5.2_пр-во котельные</vt:lpstr>
      <vt:lpstr>5.2_передача котельные</vt:lpstr>
      <vt:lpstr>5.2_свод КТЭЦ+котельн</vt:lpstr>
      <vt:lpstr>5.2_пр-во КТЭЦ+котельн</vt:lpstr>
      <vt:lpstr>5.2_передача КТЭЦ+котельн</vt:lpstr>
      <vt:lpstr>5.3_КТЭЦ</vt:lpstr>
      <vt:lpstr>5.3_пр-во КТЭЦ</vt:lpstr>
      <vt:lpstr>5.3_передача КТЭЦ</vt:lpstr>
      <vt:lpstr>5.3_котельные</vt:lpstr>
      <vt:lpstr>5.3_пр-во котельные</vt:lpstr>
      <vt:lpstr>5.3_передача котельные</vt:lpstr>
      <vt:lpstr>5.3_КТЭЦ+котельн</vt:lpstr>
      <vt:lpstr>5.3_КТЭЦ+котельн_пр</vt:lpstr>
      <vt:lpstr>5.3_КТЭЦ+котельн_пер</vt:lpstr>
      <vt:lpstr>5.4_КТЭЦ</vt:lpstr>
      <vt:lpstr>5.4_пр-во КТЭЦ</vt:lpstr>
      <vt:lpstr>5.4_передача КТЭЦ</vt:lpstr>
      <vt:lpstr>5.5</vt:lpstr>
      <vt:lpstr>5.6</vt:lpstr>
      <vt:lpstr>5.7</vt:lpstr>
      <vt:lpstr>5.4_котельные</vt:lpstr>
      <vt:lpstr>5.4_пр-во котельные</vt:lpstr>
      <vt:lpstr>5.4_передача котельные</vt:lpstr>
      <vt:lpstr>5.4_КТЭЦ+котельн</vt:lpstr>
      <vt:lpstr>5.4_КТЭЦ+котельн_пр</vt:lpstr>
      <vt:lpstr>5.4_КТЭЦ+котельн_пер</vt:lpstr>
      <vt:lpstr>5.9_КТЭЦ</vt:lpstr>
      <vt:lpstr>5.9_котельные</vt:lpstr>
      <vt:lpstr>5.9_КТЭЦ+котельн</vt:lpstr>
      <vt:lpstr>6.1_генерация (свод)</vt:lpstr>
      <vt:lpstr>6.1_генерация (КТЭЦ)</vt:lpstr>
      <vt:lpstr>6.1_генерация (котельн) </vt:lpstr>
      <vt:lpstr>6.2_передача (свод)</vt:lpstr>
      <vt:lpstr>6.2_передача (КТЭЦ)</vt:lpstr>
      <vt:lpstr>6.2_передача (котельн)</vt:lpstr>
      <vt:lpstr>6.3_потери (свод)</vt:lpstr>
      <vt:lpstr>6.3_потери (КТЭЦ)</vt:lpstr>
      <vt:lpstr>6.3_потери (котельн)</vt:lpstr>
      <vt:lpstr>6.4_потребителям (свод)</vt:lpstr>
      <vt:lpstr>6.4_потребителям (КТЭЦ)</vt:lpstr>
      <vt:lpstr>6.4_потребителям (котельн)</vt:lpstr>
      <vt:lpstr>6.5_передача (свод)</vt:lpstr>
      <vt:lpstr>6.5_передача (КТЭЦ)</vt:lpstr>
      <vt:lpstr>6.5_передача (котельн)</vt:lpstr>
      <vt:lpstr>Вспом. расчеты_теплонос. (2016)</vt:lpstr>
      <vt:lpstr>Вспом. расчеты_теплонос.(2017)</vt:lpstr>
      <vt:lpstr>6.6_теплонос.тэц-1_1 контур</vt:lpstr>
      <vt:lpstr>6.6_теплонос.тэц-2_1 контур</vt:lpstr>
      <vt:lpstr>6.6_теплонос.ктэц_1 контур</vt:lpstr>
      <vt:lpstr>6.7_теплонос._1 контур</vt:lpstr>
      <vt:lpstr>6.6_теплонос.ктэц_2 контур</vt:lpstr>
      <vt:lpstr>6.6_теплонос.котельн_2 контур</vt:lpstr>
      <vt:lpstr>6.7_теплонос._2 контур</vt:lpstr>
      <vt:lpstr>6.8_ГВСоткр_1 контур</vt:lpstr>
      <vt:lpstr>6.8_ГВСоткр_свод_2 контур</vt:lpstr>
      <vt:lpstr>6.8_ГВСоткр_КТЭЦ_2 контур</vt:lpstr>
      <vt:lpstr>6.8_ГВСоткр_котельн_2 контур</vt:lpstr>
      <vt:lpstr>усл. ед. тепло</vt:lpstr>
      <vt:lpstr>' 4.4-котельные'!Заголовки_для_печати</vt:lpstr>
      <vt:lpstr>' 4.4-КТЭЦ_комбинир.'!Заголовки_для_печати</vt:lpstr>
      <vt:lpstr>' 4.4-свод_тепло'!Заголовки_для_печати</vt:lpstr>
      <vt:lpstr>'4. 7_котельн.'!Заголовки_для_печати</vt:lpstr>
      <vt:lpstr>'4. 7_КТЭЦ'!Заголовки_для_печати</vt:lpstr>
      <vt:lpstr>'4.1 (свод)'!Заголовки_для_печати</vt:lpstr>
      <vt:lpstr>'4.1_котельные'!Заголовки_для_печати</vt:lpstr>
      <vt:lpstr>'4.1_КТЭЦ'!Заголовки_для_печати</vt:lpstr>
      <vt:lpstr>'4.1_ПП_котельн.'!Заголовки_для_печати</vt:lpstr>
      <vt:lpstr>'4.1_ПП_КТЭЦ'!Заголовки_для_печати</vt:lpstr>
      <vt:lpstr>'4.10_косв.'!Заголовки_для_печати</vt:lpstr>
      <vt:lpstr>'4.10_пр-во (свод)'!Заголовки_для_печати</vt:lpstr>
      <vt:lpstr>'4.10_пр-во_котельн.'!Заголовки_для_печати</vt:lpstr>
      <vt:lpstr>'4.10_пр-во_КТЭЦ'!Заголовки_для_печати</vt:lpstr>
      <vt:lpstr>'4.10_сбыт (свод)'!Заголовки_для_печати</vt:lpstr>
      <vt:lpstr>'4.10_сбыт_котельн.'!Заголовки_для_печати</vt:lpstr>
      <vt:lpstr>'4.10_сбыт_КТЭЦ'!Заголовки_для_печати</vt:lpstr>
      <vt:lpstr>'4.10_свод '!Заголовки_для_печати</vt:lpstr>
      <vt:lpstr>'4.10_свод_котельн.'!Заголовки_для_печати</vt:lpstr>
      <vt:lpstr>'4.10_свод_КТЭЦ'!Заголовки_для_печати</vt:lpstr>
      <vt:lpstr>'4.10_транзит (свод)'!Заголовки_для_печати</vt:lpstr>
      <vt:lpstr>'4.10_транзит_котельн.'!Заголовки_для_печати</vt:lpstr>
      <vt:lpstr>'4.10_транзит_КТЭЦ'!Заголовки_для_печати</vt:lpstr>
      <vt:lpstr>'4.10_транзит+сбыт (свод)'!Заголовки_для_печати</vt:lpstr>
      <vt:lpstr>'4.10_транзит+сбыт_котельн.'!Заголовки_для_печати</vt:lpstr>
      <vt:lpstr>'4.10_транзит+сбыт_КТЭЦ'!Заголовки_для_печати</vt:lpstr>
      <vt:lpstr>'4.12 (свод)'!Заголовки_для_печати</vt:lpstr>
      <vt:lpstr>'4.12_котельные'!Заголовки_для_печати</vt:lpstr>
      <vt:lpstr>'4.13'!Заголовки_для_печати</vt:lpstr>
      <vt:lpstr>'4.14'!Заголовки_для_печати</vt:lpstr>
      <vt:lpstr>'4.15'!Заголовки_для_печати</vt:lpstr>
      <vt:lpstr>'4.2_котельные'!Заголовки_для_печати</vt:lpstr>
      <vt:lpstr>'4.2_КТЭЦ'!Заголовки_для_печати</vt:lpstr>
      <vt:lpstr>'4.3_котельные'!Заголовки_для_печати</vt:lpstr>
      <vt:lpstr>'4.3_КТЭЦ'!Заголовки_для_печати</vt:lpstr>
      <vt:lpstr>'4.3_свод'!Заголовки_для_печати</vt:lpstr>
      <vt:lpstr>'4.4'!Заголовки_для_печати</vt:lpstr>
      <vt:lpstr>'4.5'!Заголовки_для_печати</vt:lpstr>
      <vt:lpstr>'4.5 - свод'!Заголовки_для_печати</vt:lpstr>
      <vt:lpstr>'4.6_генерация (свод)'!Заголовки_для_печати</vt:lpstr>
      <vt:lpstr>'4.6_генерация_котельн.'!Заголовки_для_печати</vt:lpstr>
      <vt:lpstr>'4.6_генерация_КТЭЦ'!Заголовки_для_печати</vt:lpstr>
      <vt:lpstr>'4.6_генерация_КТЭЦ с косв.'!Заголовки_для_печати</vt:lpstr>
      <vt:lpstr>'4.6_косв.'!Заголовки_для_печати</vt:lpstr>
      <vt:lpstr>'4.6_котельные'!Заголовки_для_печати</vt:lpstr>
      <vt:lpstr>'4.6_КТЭЦ свод'!Заголовки_для_печати</vt:lpstr>
      <vt:lpstr>'4.6_КТЭЦ свод с косв.'!Заголовки_для_печати</vt:lpstr>
      <vt:lpstr>'4.6_сбыт (свод)'!Заголовки_для_печати</vt:lpstr>
      <vt:lpstr>'4.6_сбыт_котельн.'!Заголовки_для_печати</vt:lpstr>
      <vt:lpstr>'4.6_сбыт_КТЭЦ'!Заголовки_для_печати</vt:lpstr>
      <vt:lpstr>'4.6_сбыт_КТЭЦ с косв.'!Заголовки_для_печати</vt:lpstr>
      <vt:lpstr>'4.6_свод'!Заголовки_для_печати</vt:lpstr>
      <vt:lpstr>'4.6_транзит (свод)'!Заголовки_для_печати</vt:lpstr>
      <vt:lpstr>'4.6_транзит_котельн.'!Заголовки_для_печати</vt:lpstr>
      <vt:lpstr>'4.6_транзит_КТЭЦ'!Заголовки_для_печати</vt:lpstr>
      <vt:lpstr>'4.6_транзит_КТЭЦ с косв.'!Заголовки_для_печати</vt:lpstr>
      <vt:lpstr>'4.6_транзит+сбыт (свод)'!Заголовки_для_печати</vt:lpstr>
      <vt:lpstr>'4.6_транзит+сбыт_котельн.'!Заголовки_для_печати</vt:lpstr>
      <vt:lpstr>'4.6_транзит+сбыт_КТЭЦ'!Заголовки_для_печати</vt:lpstr>
      <vt:lpstr>'4.6_транзит+сбыт_КТЭЦ с косв.'!Заголовки_для_печати</vt:lpstr>
      <vt:lpstr>'4.7'!Заголовки_для_печати</vt:lpstr>
      <vt:lpstr>'4.8'!Заголовки_для_печати</vt:lpstr>
      <vt:lpstr>'4.8 - котельн.'!Заголовки_для_печати</vt:lpstr>
      <vt:lpstr>'4.8 - КТЭЦ'!Заголовки_для_печати</vt:lpstr>
      <vt:lpstr>'4.9_пр-во (свод)'!Заголовки_для_печати</vt:lpstr>
      <vt:lpstr>'4.9_пр-во ККЭ'!Заголовки_для_печати</vt:lpstr>
      <vt:lpstr>'4.9_пр-во КТЭЦ'!Заголовки_для_печати</vt:lpstr>
      <vt:lpstr>'4.9_сбыт (свод)'!Заголовки_для_печати</vt:lpstr>
      <vt:lpstr>'4.9_сбыт ККЭ'!Заголовки_для_печати</vt:lpstr>
      <vt:lpstr>'4.9_сбыт КТЭЦ  '!Заголовки_для_печати</vt:lpstr>
      <vt:lpstr>'4.9_свод '!Заголовки_для_печати</vt:lpstr>
      <vt:lpstr>'4.9_свод ККЭ'!Заголовки_для_печати</vt:lpstr>
      <vt:lpstr>'4.9_свод КТЭЦ'!Заголовки_для_печати</vt:lpstr>
      <vt:lpstr>'4.9_транзит (свод)'!Заголовки_для_печати</vt:lpstr>
      <vt:lpstr>'4.9_транзит ККЭ'!Заголовки_для_печати</vt:lpstr>
      <vt:lpstr>'4.9_транзит КТЭЦ '!Заголовки_для_печати</vt:lpstr>
      <vt:lpstr>'4.9_транзит+сбыт (ККЭ)'!Заголовки_для_печати</vt:lpstr>
      <vt:lpstr>'4.9_транзит+сбыт (КТЭЦ)'!Заголовки_для_печати</vt:lpstr>
      <vt:lpstr>'4.9_транзит+сбыт (свод)'!Заголовки_для_печати</vt:lpstr>
      <vt:lpstr>'5.1_передача котельные'!Заголовки_для_печати</vt:lpstr>
      <vt:lpstr>'5.1_передача КТЭЦ'!Заголовки_для_печати</vt:lpstr>
      <vt:lpstr>'5.1_передача КТЭЦ+котельн'!Заголовки_для_печати</vt:lpstr>
      <vt:lpstr>'5.1_пр-во котельные'!Заголовки_для_печати</vt:lpstr>
      <vt:lpstr>'5.1_пр-во КТЭЦ'!Заголовки_для_печати</vt:lpstr>
      <vt:lpstr>'5.1_пр-во КТЭЦ+котельн'!Заголовки_для_печати</vt:lpstr>
      <vt:lpstr>'5.1_свод_котельные'!Заголовки_для_печати</vt:lpstr>
      <vt:lpstr>'5.1_свод_КТЭЦ'!Заголовки_для_печати</vt:lpstr>
      <vt:lpstr>'5.1_свод_КТЭЦ+котельн'!Заголовки_для_печати</vt:lpstr>
      <vt:lpstr>'5.2_передача котельные'!Заголовки_для_печати</vt:lpstr>
      <vt:lpstr>'5.2_передача КТЭЦ'!Заголовки_для_печати</vt:lpstr>
      <vt:lpstr>'5.2_передача КТЭЦ+котельн'!Заголовки_для_печати</vt:lpstr>
      <vt:lpstr>'5.2_пр-во котельные'!Заголовки_для_печати</vt:lpstr>
      <vt:lpstr>'5.2_пр-во КТЭЦ'!Заголовки_для_печати</vt:lpstr>
      <vt:lpstr>'5.2_пр-во КТЭЦ+котельн'!Заголовки_для_печати</vt:lpstr>
      <vt:lpstr>'5.2_свод КТЭЦ+котельн'!Заголовки_для_печати</vt:lpstr>
      <vt:lpstr>'5.3_котельные'!Заголовки_для_печати</vt:lpstr>
      <vt:lpstr>'5.3_КТЭЦ'!Заголовки_для_печати</vt:lpstr>
      <vt:lpstr>'5.3_КТЭЦ+котельн'!Заголовки_для_печати</vt:lpstr>
      <vt:lpstr>'5.3_КТЭЦ+котельн_пер'!Заголовки_для_печати</vt:lpstr>
      <vt:lpstr>'5.3_КТЭЦ+котельн_пр'!Заголовки_для_печати</vt:lpstr>
      <vt:lpstr>'5.3_передача котельные'!Заголовки_для_печати</vt:lpstr>
      <vt:lpstr>'5.3_передача КТЭЦ'!Заголовки_для_печати</vt:lpstr>
      <vt:lpstr>'5.3_пр-во котельные'!Заголовки_для_печати</vt:lpstr>
      <vt:lpstr>'5.3_пр-во КТЭЦ'!Заголовки_для_печати</vt:lpstr>
      <vt:lpstr>'5.4_котельные'!Заголовки_для_печати</vt:lpstr>
      <vt:lpstr>'5.4_КТЭЦ'!Заголовки_для_печати</vt:lpstr>
      <vt:lpstr>'5.4_КТЭЦ+котельн'!Заголовки_для_печати</vt:lpstr>
      <vt:lpstr>'5.4_КТЭЦ+котельн_пер'!Заголовки_для_печати</vt:lpstr>
      <vt:lpstr>'5.4_КТЭЦ+котельн_пр'!Заголовки_для_печати</vt:lpstr>
      <vt:lpstr>'5.4_передача котельные'!Заголовки_для_печати</vt:lpstr>
      <vt:lpstr>'5.4_передача КТЭЦ'!Заголовки_для_печати</vt:lpstr>
      <vt:lpstr>'5.4_пр-во котельные'!Заголовки_для_печати</vt:lpstr>
      <vt:lpstr>'5.4_пр-во КТЭЦ'!Заголовки_для_печати</vt:lpstr>
      <vt:lpstr>'5.5'!Заголовки_для_печати</vt:lpstr>
      <vt:lpstr>'5.6'!Заголовки_для_печати</vt:lpstr>
      <vt:lpstr>'5.7'!Заголовки_для_печати</vt:lpstr>
      <vt:lpstr>'5.9_котельные'!Заголовки_для_печати</vt:lpstr>
      <vt:lpstr>'5.9_КТЭЦ'!Заголовки_для_печати</vt:lpstr>
      <vt:lpstr>'5.9_КТЭЦ+котельн'!Заголовки_для_печати</vt:lpstr>
      <vt:lpstr>'6.1_генерация (котельн) '!Заголовки_для_печати</vt:lpstr>
      <vt:lpstr>'6.1_генерация (КТЭЦ)'!Заголовки_для_печати</vt:lpstr>
      <vt:lpstr>'6.1_генерация (свод)'!Заголовки_для_печати</vt:lpstr>
      <vt:lpstr>'6.2_передача (котельн)'!Заголовки_для_печати</vt:lpstr>
      <vt:lpstr>'6.2_передача (КТЭЦ)'!Заголовки_для_печати</vt:lpstr>
      <vt:lpstr>'6.2_передача (свод)'!Заголовки_для_печати</vt:lpstr>
      <vt:lpstr>'6.3_потери (котельн)'!Заголовки_для_печати</vt:lpstr>
      <vt:lpstr>'6.3_потери (КТЭЦ)'!Заголовки_для_печати</vt:lpstr>
      <vt:lpstr>'6.3_потери (свод)'!Заголовки_для_печати</vt:lpstr>
      <vt:lpstr>'6.4_потребителям (котельн)'!Заголовки_для_печати</vt:lpstr>
      <vt:lpstr>'6.4_потребителям (КТЭЦ)'!Заголовки_для_печати</vt:lpstr>
      <vt:lpstr>'6.4_потребителям (свод)'!Заголовки_для_печати</vt:lpstr>
      <vt:lpstr>'6.5_передача (котельн)'!Заголовки_для_печати</vt:lpstr>
      <vt:lpstr>'6.5_передача (КТЭЦ)'!Заголовки_для_печати</vt:lpstr>
      <vt:lpstr>'6.5_передача (свод)'!Заголовки_для_печати</vt:lpstr>
      <vt:lpstr>'Показатели ТСО 3.1. котельн.'!Заголовки_для_печати</vt:lpstr>
      <vt:lpstr>'Показатели ТСО 3.1-КТЭЦ'!Заголовки_для_печати</vt:lpstr>
      <vt:lpstr>' 4.4-котельные'!Область_печати</vt:lpstr>
      <vt:lpstr>' 4.4-КТЭЦ_комбинир.'!Область_печати</vt:lpstr>
      <vt:lpstr>' 4.4-свод_тепло'!Область_печати</vt:lpstr>
      <vt:lpstr>'3.1'!Область_печати</vt:lpstr>
      <vt:lpstr>'4. 7_котельн.'!Область_печати</vt:lpstr>
      <vt:lpstr>'4. 7_КТЭЦ'!Область_печати</vt:lpstr>
      <vt:lpstr>'4.1 (свод)'!Область_печати</vt:lpstr>
      <vt:lpstr>'4.1_котельные'!Область_печати</vt:lpstr>
      <vt:lpstr>'4.1_КТЭЦ'!Область_печати</vt:lpstr>
      <vt:lpstr>'4.1_ПП_котельн.'!Область_печати</vt:lpstr>
      <vt:lpstr>'4.1_ПП_КТЭЦ'!Область_печати</vt:lpstr>
      <vt:lpstr>'4.10_косв.'!Область_печати</vt:lpstr>
      <vt:lpstr>'4.10_пр-во (свод)'!Область_печати</vt:lpstr>
      <vt:lpstr>'4.10_пр-во_котельн.'!Область_печати</vt:lpstr>
      <vt:lpstr>'4.10_пр-во_КТЭЦ'!Область_печати</vt:lpstr>
      <vt:lpstr>'4.10_сбыт (свод)'!Область_печати</vt:lpstr>
      <vt:lpstr>'4.10_сбыт_котельн.'!Область_печати</vt:lpstr>
      <vt:lpstr>'4.10_сбыт_КТЭЦ'!Область_печати</vt:lpstr>
      <vt:lpstr>'4.10_свод '!Область_печати</vt:lpstr>
      <vt:lpstr>'4.10_свод_котельн.'!Область_печати</vt:lpstr>
      <vt:lpstr>'4.10_свод_КТЭЦ'!Область_печати</vt:lpstr>
      <vt:lpstr>'4.10_транзит (свод)'!Область_печати</vt:lpstr>
      <vt:lpstr>'4.10_транзит_котельн.'!Область_печати</vt:lpstr>
      <vt:lpstr>'4.10_транзит_КТЭЦ'!Область_печати</vt:lpstr>
      <vt:lpstr>'4.10_транзит+сбыт (свод)'!Область_печати</vt:lpstr>
      <vt:lpstr>'4.10_транзит+сбыт_котельн.'!Область_печати</vt:lpstr>
      <vt:lpstr>'4.10_транзит+сбыт_КТЭЦ'!Область_печати</vt:lpstr>
      <vt:lpstr>'4.11 (свод)'!Область_печати</vt:lpstr>
      <vt:lpstr>'4.11_котельные'!Область_печати</vt:lpstr>
      <vt:lpstr>'4.11_КТЭЦ'!Область_печати</vt:lpstr>
      <vt:lpstr>'4.12 (свод)'!Область_печати</vt:lpstr>
      <vt:lpstr>'4.12_котельные'!Область_печати</vt:lpstr>
      <vt:lpstr>'4.12_КТЭЦ'!Область_печати</vt:lpstr>
      <vt:lpstr>'4.13'!Область_печати</vt:lpstr>
      <vt:lpstr>'4.14'!Область_печати</vt:lpstr>
      <vt:lpstr>'4.15'!Область_печати</vt:lpstr>
      <vt:lpstr>'4.2_котельные'!Область_печати</vt:lpstr>
      <vt:lpstr>'4.2_КТЭЦ'!Область_печати</vt:lpstr>
      <vt:lpstr>'4.3_котельные'!Область_печати</vt:lpstr>
      <vt:lpstr>'4.3_КТЭЦ'!Область_печати</vt:lpstr>
      <vt:lpstr>'4.3_свод'!Область_печати</vt:lpstr>
      <vt:lpstr>'4.3ПП_котельн.'!Область_печати</vt:lpstr>
      <vt:lpstr>'4.3ПП_КТЭЦ'!Область_печати</vt:lpstr>
      <vt:lpstr>'4.4'!Область_печати</vt:lpstr>
      <vt:lpstr>'4.5'!Область_печати</vt:lpstr>
      <vt:lpstr>'4.5 - свод'!Область_печати</vt:lpstr>
      <vt:lpstr>'4.6_генерация (свод)'!Область_печати</vt:lpstr>
      <vt:lpstr>'4.6_генерация_котельн.'!Область_печати</vt:lpstr>
      <vt:lpstr>'4.6_генерация_КТЭЦ'!Область_печати</vt:lpstr>
      <vt:lpstr>'4.6_генерация_КТЭЦ с косв.'!Область_печати</vt:lpstr>
      <vt:lpstr>'4.6_косв.'!Область_печати</vt:lpstr>
      <vt:lpstr>'4.6_котельные'!Область_печати</vt:lpstr>
      <vt:lpstr>'4.6_КТЭЦ свод'!Область_печати</vt:lpstr>
      <vt:lpstr>'4.6_КТЭЦ свод с косв.'!Область_печати</vt:lpstr>
      <vt:lpstr>'4.6_сбыт (свод)'!Область_печати</vt:lpstr>
      <vt:lpstr>'4.6_сбыт_котельн.'!Область_печати</vt:lpstr>
      <vt:lpstr>'4.6_сбыт_КТЭЦ'!Область_печати</vt:lpstr>
      <vt:lpstr>'4.6_сбыт_КТЭЦ с косв.'!Область_печати</vt:lpstr>
      <vt:lpstr>'4.6_свод'!Область_печати</vt:lpstr>
      <vt:lpstr>'4.6_транзит (свод)'!Область_печати</vt:lpstr>
      <vt:lpstr>'4.6_транзит_котельн.'!Область_печати</vt:lpstr>
      <vt:lpstr>'4.6_транзит_КТЭЦ'!Область_печати</vt:lpstr>
      <vt:lpstr>'4.6_транзит_КТЭЦ с косв.'!Область_печати</vt:lpstr>
      <vt:lpstr>'4.6_транзит+сбыт (свод)'!Область_печати</vt:lpstr>
      <vt:lpstr>'4.6_транзит+сбыт_котельн.'!Область_печати</vt:lpstr>
      <vt:lpstr>'4.6_транзит+сбыт_КТЭЦ'!Область_печати</vt:lpstr>
      <vt:lpstr>'4.6_транзит+сбыт_КТЭЦ с косв.'!Область_печати</vt:lpstr>
      <vt:lpstr>'4.7'!Область_печати</vt:lpstr>
      <vt:lpstr>'4.8'!Область_печати</vt:lpstr>
      <vt:lpstr>'4.8 - котельн.'!Область_печати</vt:lpstr>
      <vt:lpstr>'4.8 - КТЭЦ'!Область_печати</vt:lpstr>
      <vt:lpstr>'4.9_пр-во (свод)'!Область_печати</vt:lpstr>
      <vt:lpstr>'4.9_пр-во ККЭ'!Область_печати</vt:lpstr>
      <vt:lpstr>'4.9_пр-во КТЭЦ'!Область_печати</vt:lpstr>
      <vt:lpstr>'4.9_сбыт (свод)'!Область_печати</vt:lpstr>
      <vt:lpstr>'4.9_сбыт ККЭ'!Область_печати</vt:lpstr>
      <vt:lpstr>'4.9_сбыт КТЭЦ  '!Область_печати</vt:lpstr>
      <vt:lpstr>'4.9_свод '!Область_печати</vt:lpstr>
      <vt:lpstr>'4.9_свод ККЭ'!Область_печати</vt:lpstr>
      <vt:lpstr>'4.9_свод КТЭЦ'!Область_печати</vt:lpstr>
      <vt:lpstr>'4.9_транзит (свод)'!Область_печати</vt:lpstr>
      <vt:lpstr>'4.9_транзит ККЭ'!Область_печати</vt:lpstr>
      <vt:lpstr>'4.9_транзит КТЭЦ '!Область_печати</vt:lpstr>
      <vt:lpstr>'4.9_транзит+сбыт (ККЭ)'!Область_печати</vt:lpstr>
      <vt:lpstr>'4.9_транзит+сбыт (КТЭЦ)'!Область_печати</vt:lpstr>
      <vt:lpstr>'4.9_транзит+сбыт (свод)'!Область_печати</vt:lpstr>
      <vt:lpstr>'5.1_передача котельные'!Область_печати</vt:lpstr>
      <vt:lpstr>'5.1_передача КТЭЦ'!Область_печати</vt:lpstr>
      <vt:lpstr>'5.1_передача КТЭЦ+котельн'!Область_печати</vt:lpstr>
      <vt:lpstr>'5.1_пр-во котельные'!Область_печати</vt:lpstr>
      <vt:lpstr>'5.1_пр-во КТЭЦ'!Область_печати</vt:lpstr>
      <vt:lpstr>'5.1_пр-во КТЭЦ+котельн'!Область_печати</vt:lpstr>
      <vt:lpstr>'5.1_свод_котельные'!Область_печати</vt:lpstr>
      <vt:lpstr>'5.1_свод_КТЭЦ'!Область_печати</vt:lpstr>
      <vt:lpstr>'5.1_свод_КТЭЦ+котельн'!Область_печати</vt:lpstr>
      <vt:lpstr>'5.2_передача котельные'!Область_печати</vt:lpstr>
      <vt:lpstr>'5.2_передача КТЭЦ'!Область_печати</vt:lpstr>
      <vt:lpstr>'5.2_передача КТЭЦ+котельн'!Область_печати</vt:lpstr>
      <vt:lpstr>'5.2_пр-во котельные'!Область_печати</vt:lpstr>
      <vt:lpstr>'5.2_пр-во КТЭЦ'!Область_печати</vt:lpstr>
      <vt:lpstr>'5.2_пр-во КТЭЦ+котельн'!Область_печати</vt:lpstr>
      <vt:lpstr>'5.2_свод КТЭЦ+котельн'!Область_печати</vt:lpstr>
      <vt:lpstr>'5.3_котельные'!Область_печати</vt:lpstr>
      <vt:lpstr>'5.3_КТЭЦ'!Область_печати</vt:lpstr>
      <vt:lpstr>'5.3_КТЭЦ+котельн'!Область_печати</vt:lpstr>
      <vt:lpstr>'5.3_КТЭЦ+котельн_пер'!Область_печати</vt:lpstr>
      <vt:lpstr>'5.3_КТЭЦ+котельн_пр'!Область_печати</vt:lpstr>
      <vt:lpstr>'5.3_передача котельные'!Область_печати</vt:lpstr>
      <vt:lpstr>'5.3_передача КТЭЦ'!Область_печати</vt:lpstr>
      <vt:lpstr>'5.3_пр-во котельные'!Область_печати</vt:lpstr>
      <vt:lpstr>'5.3_пр-во КТЭЦ'!Область_печати</vt:lpstr>
      <vt:lpstr>'5.4_котельные'!Область_печати</vt:lpstr>
      <vt:lpstr>'5.4_КТЭЦ'!Область_печати</vt:lpstr>
      <vt:lpstr>'5.4_КТЭЦ+котельн'!Область_печати</vt:lpstr>
      <vt:lpstr>'5.4_КТЭЦ+котельн_пер'!Область_печати</vt:lpstr>
      <vt:lpstr>'5.4_КТЭЦ+котельн_пр'!Область_печати</vt:lpstr>
      <vt:lpstr>'5.4_передача котельные'!Область_печати</vt:lpstr>
      <vt:lpstr>'5.4_передача КТЭЦ'!Область_печати</vt:lpstr>
      <vt:lpstr>'5.4_пр-во котельные'!Область_печати</vt:lpstr>
      <vt:lpstr>'5.4_пр-во КТЭЦ'!Область_печати</vt:lpstr>
      <vt:lpstr>'5.5'!Область_печати</vt:lpstr>
      <vt:lpstr>'5.6'!Область_печати</vt:lpstr>
      <vt:lpstr>'5.7'!Область_печати</vt:lpstr>
      <vt:lpstr>'5.9_котельные'!Область_печати</vt:lpstr>
      <vt:lpstr>'5.9_КТЭЦ'!Область_печати</vt:lpstr>
      <vt:lpstr>'5.9_КТЭЦ+котельн'!Область_печати</vt:lpstr>
      <vt:lpstr>'6.1_генерация (котельн) '!Область_печати</vt:lpstr>
      <vt:lpstr>'6.1_генерация (КТЭЦ)'!Область_печати</vt:lpstr>
      <vt:lpstr>'6.1_генерация (свод)'!Область_печати</vt:lpstr>
      <vt:lpstr>'6.2_передача (котельн)'!Область_печати</vt:lpstr>
      <vt:lpstr>'6.2_передача (КТЭЦ)'!Область_печати</vt:lpstr>
      <vt:lpstr>'6.2_передача (свод)'!Область_печати</vt:lpstr>
      <vt:lpstr>'6.3_потери (котельн)'!Область_печати</vt:lpstr>
      <vt:lpstr>'6.3_потери (КТЭЦ)'!Область_печати</vt:lpstr>
      <vt:lpstr>'6.3_потери (свод)'!Область_печати</vt:lpstr>
      <vt:lpstr>'6.4_потребителям (котельн)'!Область_печати</vt:lpstr>
      <vt:lpstr>'6.4_потребителям (КТЭЦ)'!Область_печати</vt:lpstr>
      <vt:lpstr>'6.4_потребителям (свод)'!Область_печати</vt:lpstr>
      <vt:lpstr>'6.5_передача (котельн)'!Область_печати</vt:lpstr>
      <vt:lpstr>'6.5_передача (КТЭЦ)'!Область_печати</vt:lpstr>
      <vt:lpstr>'6.5_передача (свод)'!Область_печати</vt:lpstr>
      <vt:lpstr>'6.6_теплонос.котельн_2 контур'!Область_печати</vt:lpstr>
      <vt:lpstr>'6.6_теплонос.ктэц_1 контур'!Область_печати</vt:lpstr>
      <vt:lpstr>'6.6_теплонос.ктэц_2 контур'!Область_печати</vt:lpstr>
      <vt:lpstr>'6.6_теплонос.тэц-1_1 контур'!Область_печати</vt:lpstr>
      <vt:lpstr>'6.6_теплонос.тэц-2_1 контур'!Область_печати</vt:lpstr>
      <vt:lpstr>'6.7_теплонос._1 контур'!Область_печати</vt:lpstr>
      <vt:lpstr>'6.7_теплонос._2 контур'!Область_печати</vt:lpstr>
      <vt:lpstr>'6.8_ГВСоткр_1 контур'!Область_печати</vt:lpstr>
      <vt:lpstr>'6.8_ГВСоткр_котельн_2 контур'!Область_печати</vt:lpstr>
      <vt:lpstr>'6.8_ГВСоткр_КТЭЦ_2 контур'!Область_печати</vt:lpstr>
      <vt:lpstr>'6.8_ГВСоткр_свод_2 контур'!Область_печати</vt:lpstr>
      <vt:lpstr>'Вспом. расчеты_теплонос. (2016)'!Область_печати</vt:lpstr>
      <vt:lpstr>'Вспом. расчеты_теплонос.(2017)'!Область_печати</vt:lpstr>
      <vt:lpstr>'Исходные данные_котельн'!Область_печати</vt:lpstr>
      <vt:lpstr>'Исходные данные_КТЭЦ'!Область_печати</vt:lpstr>
      <vt:lpstr>'Исходные данные_КТЭЦ+котельн'!Область_печати</vt:lpstr>
      <vt:lpstr>'Показатели ТСО 3.1. котельн.'!Область_печати</vt:lpstr>
      <vt:lpstr>'Показатели ТСО 3.1-КТЭЦ'!Область_печати</vt:lpstr>
      <vt:lpstr>'усл. ед. тепло'!Область_печати</vt:lpstr>
    </vt:vector>
  </TitlesOfParts>
  <Company>КонсультантПлюс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КонсультантПлюс</dc:creator>
  <cp:lastModifiedBy>Блуметич Ольга Ивановна</cp:lastModifiedBy>
  <cp:lastPrinted>2016-04-28T02:09:03Z</cp:lastPrinted>
  <dcterms:created xsi:type="dcterms:W3CDTF">2008-10-01T13:21:49Z</dcterms:created>
  <dcterms:modified xsi:type="dcterms:W3CDTF">2016-05-09T22:41:13Z</dcterms:modified>
</cp:coreProperties>
</file>